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5.xml" ContentType="application/vnd.openxmlformats-officedocument.spreadsheetml.comments+xml"/>
  <Override PartName="/xl/drawings/drawing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comments6.xml" ContentType="application/vnd.openxmlformats-officedocument.spreadsheetml.comments+xml"/>
  <Override PartName="/xl/drawings/drawing3.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omments9.xml" ContentType="application/vnd.openxmlformats-officedocument.spreadsheetml.comments+xml"/>
  <Override PartName="/xl/drawings/drawing6.xml" ContentType="application/vnd.openxmlformats-officedocument.drawing+xml"/>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drawings/drawing7.xml" ContentType="application/vnd.openxmlformats-officedocument.drawing+xml"/>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24226"/>
  <mc:AlternateContent xmlns:mc="http://schemas.openxmlformats.org/markup-compatibility/2006">
    <mc:Choice Requires="x15">
      <x15ac:absPath xmlns:x15ac="http://schemas.microsoft.com/office/spreadsheetml/2010/11/ac" url="https://tso-network.de/lksn/sg_hoba/Dokumente/20_EEG/04_Verguetung/Verguetungskategorien/"/>
    </mc:Choice>
  </mc:AlternateContent>
  <bookViews>
    <workbookView xWindow="-105" yWindow="-105" windowWidth="38625" windowHeight="21225"/>
  </bookViews>
  <sheets>
    <sheet name="Vorbehalt und Haftungsauschluss" sheetId="7" r:id="rId1"/>
    <sheet name="Änderungshistorie" sheetId="8" r:id="rId2"/>
    <sheet name="Erläuterungen" sheetId="2" r:id="rId3"/>
    <sheet name="EEG-Vergütungen und vNNE" sheetId="5" r:id="rId4"/>
    <sheet name="Nicht mehr verwendbare Kateg." sheetId="6" r:id="rId5"/>
    <sheet name="Kategorien Auslauf d. Förderung" sheetId="9" r:id="rId6"/>
    <sheet name="Beispiel Sanktionen §52 EEG2023" sheetId="16" r:id="rId7"/>
    <sheet name="Beispiel § 23 MaStRV" sheetId="15" r:id="rId8"/>
    <sheet name="Beispiel negative Marktprämie" sheetId="10" r:id="rId9"/>
    <sheet name="Beispiel Leistungsstufen" sheetId="11" r:id="rId10"/>
    <sheet name="Beispiel Sanktion Marktwert" sheetId="14" r:id="rId11"/>
    <sheet name="Beispiel Biomasseanlage" sheetId="3" r:id="rId12"/>
    <sheet name="Beispiel Solarstromeigenverbr." sheetId="4" r:id="rId13"/>
  </sheets>
  <definedNames>
    <definedName name="_xlnm._FilterDatabase" localSheetId="3" hidden="1">'EEG-Vergütungen und vNNE'!$A$2:$J$6303</definedName>
    <definedName name="_xlnm._FilterDatabase" localSheetId="5" hidden="1">'Kategorien Auslauf d. Förderung'!$A$3:$H$467</definedName>
    <definedName name="_xlnm._FilterDatabase" localSheetId="4" hidden="1">'Nicht mehr verwendbare Kateg.'!$A$3:$G$474</definedName>
    <definedName name="_ftn2" localSheetId="2">Erläuterungen!$A$401</definedName>
    <definedName name="_ftn3" localSheetId="2">Erläuterungen!$A$402</definedName>
    <definedName name="_ftn4" localSheetId="2">Erläuterungen!$A$403</definedName>
    <definedName name="_ftn5" localSheetId="2">Erläuterungen!$A$404</definedName>
    <definedName name="_ftnref1" localSheetId="2">Erläuterungen!$B$100</definedName>
    <definedName name="_ftnref2" localSheetId="2">Erläuterungen!$A$154</definedName>
    <definedName name="_ftnref3" localSheetId="2">Erläuterungen!$B$160</definedName>
    <definedName name="_ftnref4" localSheetId="2">Erläuterungen!$A$369</definedName>
    <definedName name="_ftnref5" localSheetId="2">Erläuterungen!$A$370</definedName>
    <definedName name="anscount" hidden="1">1</definedName>
    <definedName name="_xlnm.Print_Area" localSheetId="3">'EEG-Vergütungen und vNNE'!$A:$F</definedName>
    <definedName name="Tab_Daten" localSheetId="6">#REF!</definedName>
    <definedName name="Tab_Daten">#REF!</definedName>
    <definedName name="Tab_Kategorien" localSheetId="6">#REF!</definedName>
    <definedName name="Tab_Kategorien">#REF!</definedName>
    <definedName name="Tab_Perioden" localSheetId="6">#REF!</definedName>
    <definedName name="Tab_Perioden">#REF!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783" i="5" l="1"/>
  <c r="H5773" i="5"/>
  <c r="H5772" i="5"/>
  <c r="H5771" i="5"/>
  <c r="H5770" i="5"/>
  <c r="H5769" i="5"/>
  <c r="H5768" i="5"/>
  <c r="H5767" i="5"/>
  <c r="H5766" i="5"/>
  <c r="H5765" i="5"/>
  <c r="H5764" i="5"/>
  <c r="H5763" i="5"/>
  <c r="H5762" i="5"/>
  <c r="H5761" i="5"/>
  <c r="H5759" i="5"/>
  <c r="T2559" i="5" l="1"/>
  <c r="M2559" i="5" s="1"/>
  <c r="F2559" i="5" s="1"/>
  <c r="G2559" i="5" s="1"/>
  <c r="H2559" i="5" s="1"/>
  <c r="T2562" i="5"/>
  <c r="T2561" i="5"/>
  <c r="M2561" i="5" s="1"/>
  <c r="F2561" i="5" s="1"/>
  <c r="G2561" i="5" s="1"/>
  <c r="H2561" i="5" s="1"/>
  <c r="H5742" i="5"/>
  <c r="G5214" i="5" l="1"/>
  <c r="G5213" i="5"/>
  <c r="G5215" i="5"/>
  <c r="J5222" i="5"/>
  <c r="J5223" i="5"/>
  <c r="J5226" i="5"/>
  <c r="J5831" i="5"/>
  <c r="J6022" i="5" l="1"/>
  <c r="J6021" i="5"/>
  <c r="J6020" i="5"/>
  <c r="J6019" i="5"/>
  <c r="J6018" i="5"/>
  <c r="J6017" i="5"/>
  <c r="J6016" i="5"/>
  <c r="J6015" i="5"/>
  <c r="J6014" i="5"/>
  <c r="J6013" i="5"/>
  <c r="J6012" i="5"/>
  <c r="J6011" i="5"/>
  <c r="J6010" i="5"/>
  <c r="J6008" i="5"/>
  <c r="H6008" i="5"/>
  <c r="J6006" i="5"/>
  <c r="J6005" i="5"/>
  <c r="J6004" i="5"/>
  <c r="J6003" i="5"/>
  <c r="J6002" i="5"/>
  <c r="J6001" i="5"/>
  <c r="J6000" i="5"/>
  <c r="J5999" i="5"/>
  <c r="J5998" i="5"/>
  <c r="J5997" i="5"/>
  <c r="J5996" i="5"/>
  <c r="J5995" i="5"/>
  <c r="J5994" i="5"/>
  <c r="J5992" i="5"/>
  <c r="H5992" i="5"/>
  <c r="H5976" i="5"/>
  <c r="J5974" i="5"/>
  <c r="J5972" i="5"/>
  <c r="H5972" i="5"/>
  <c r="J5970" i="5"/>
  <c r="J5969" i="5"/>
  <c r="J5968" i="5"/>
  <c r="J5967" i="5"/>
  <c r="J5966" i="5"/>
  <c r="J5965" i="5"/>
  <c r="J5964" i="5"/>
  <c r="J5963" i="5"/>
  <c r="J5962" i="5"/>
  <c r="J5961" i="5"/>
  <c r="J5960" i="5"/>
  <c r="J5959" i="5"/>
  <c r="J5958" i="5"/>
  <c r="J5956" i="5"/>
  <c r="H5956" i="5"/>
  <c r="J5954" i="5"/>
  <c r="J5953" i="5"/>
  <c r="J5952" i="5"/>
  <c r="J5951" i="5"/>
  <c r="J5950" i="5"/>
  <c r="J5949" i="5"/>
  <c r="J5948" i="5"/>
  <c r="J5947" i="5"/>
  <c r="J5946" i="5"/>
  <c r="J5945" i="5"/>
  <c r="J5944" i="5"/>
  <c r="J5943" i="5"/>
  <c r="J5942" i="5"/>
  <c r="J5940" i="5"/>
  <c r="H5940" i="5"/>
  <c r="J5938" i="5"/>
  <c r="J5937" i="5"/>
  <c r="J5936" i="5"/>
  <c r="J5935" i="5"/>
  <c r="J5934" i="5"/>
  <c r="J5933" i="5"/>
  <c r="J5932" i="5"/>
  <c r="J5931" i="5"/>
  <c r="J5930" i="5"/>
  <c r="J5929" i="5"/>
  <c r="J5928" i="5"/>
  <c r="J5927" i="5"/>
  <c r="J5926" i="5"/>
  <c r="J5924" i="5"/>
  <c r="H5924" i="5"/>
  <c r="J5922" i="5"/>
  <c r="J5921" i="5"/>
  <c r="J5920" i="5"/>
  <c r="J5919" i="5"/>
  <c r="J5918" i="5"/>
  <c r="J5917" i="5"/>
  <c r="J5916" i="5"/>
  <c r="J5915" i="5"/>
  <c r="J5914" i="5"/>
  <c r="J5913" i="5"/>
  <c r="J5912" i="5"/>
  <c r="J5911" i="5"/>
  <c r="J5910" i="5"/>
  <c r="J5908" i="5"/>
  <c r="H5908" i="5"/>
  <c r="J5906" i="5"/>
  <c r="J5905" i="5"/>
  <c r="J5904" i="5"/>
  <c r="J5903" i="5"/>
  <c r="J5902" i="5"/>
  <c r="J5901" i="5"/>
  <c r="J5900" i="5"/>
  <c r="J5899" i="5"/>
  <c r="J5898" i="5"/>
  <c r="J5897" i="5"/>
  <c r="J5896" i="5"/>
  <c r="J5895" i="5"/>
  <c r="J5894" i="5"/>
  <c r="H5892" i="5"/>
  <c r="J5890" i="5"/>
  <c r="J5889" i="5"/>
  <c r="J5888" i="5"/>
  <c r="J5887" i="5"/>
  <c r="J5886" i="5"/>
  <c r="J5885" i="5"/>
  <c r="J5884" i="5"/>
  <c r="J5883" i="5"/>
  <c r="J5882" i="5"/>
  <c r="J5881" i="5"/>
  <c r="J5880" i="5"/>
  <c r="J5879" i="5"/>
  <c r="J5878" i="5"/>
  <c r="H5876" i="5"/>
  <c r="J5874" i="5"/>
  <c r="J5873" i="5"/>
  <c r="J5871" i="5"/>
  <c r="H5871" i="5"/>
  <c r="J5869" i="5"/>
  <c r="J5867" i="5"/>
  <c r="H5867" i="5"/>
  <c r="J5865" i="5"/>
  <c r="J5864" i="5"/>
  <c r="J5863" i="5"/>
  <c r="J5862" i="5"/>
  <c r="J5861" i="5"/>
  <c r="J5860" i="5"/>
  <c r="J5859" i="5"/>
  <c r="J5858" i="5"/>
  <c r="J5857" i="5"/>
  <c r="J5856" i="5"/>
  <c r="J5855" i="5"/>
  <c r="J5854" i="5"/>
  <c r="J5853" i="5"/>
  <c r="J5851" i="5"/>
  <c r="H5851" i="5"/>
  <c r="J5849" i="5"/>
  <c r="J5848" i="5"/>
  <c r="J5846" i="5"/>
  <c r="J5311" i="5"/>
  <c r="C5313" i="5"/>
  <c r="C5312" i="5"/>
  <c r="C5311" i="5"/>
  <c r="A5311" i="5"/>
  <c r="A5312" i="5" s="1"/>
  <c r="A5313" i="5" s="1"/>
  <c r="X5313" i="5"/>
  <c r="W5313" i="5"/>
  <c r="V5313" i="5"/>
  <c r="U5313" i="5"/>
  <c r="S5313" i="5"/>
  <c r="R5313" i="5"/>
  <c r="Q5313" i="5"/>
  <c r="P5313" i="5"/>
  <c r="X5312" i="5"/>
  <c r="W5312" i="5"/>
  <c r="V5312" i="5"/>
  <c r="U5312" i="5"/>
  <c r="S5312" i="5"/>
  <c r="R5312" i="5"/>
  <c r="Q5312" i="5"/>
  <c r="P5312" i="5"/>
  <c r="J5225" i="5"/>
  <c r="A5225" i="5"/>
  <c r="C5225" i="5"/>
  <c r="C5226" i="5"/>
  <c r="A5226" i="5"/>
  <c r="J5219" i="5"/>
  <c r="J5218" i="5"/>
  <c r="S5216" i="5"/>
  <c r="S5217" i="5" s="1"/>
  <c r="F5220" i="5" s="1"/>
  <c r="R5216" i="5"/>
  <c r="R5217" i="5" s="1"/>
  <c r="F5219" i="5" s="1"/>
  <c r="C5219" i="5"/>
  <c r="C5218" i="5"/>
  <c r="Q5216" i="5"/>
  <c r="Q5217" i="5" s="1"/>
  <c r="F5218" i="5" s="1"/>
  <c r="P5216" i="5"/>
  <c r="G5217" i="5" s="1"/>
  <c r="H5217" i="5" s="1"/>
  <c r="O5216" i="5"/>
  <c r="O5217" i="5" s="1"/>
  <c r="F5216" i="5" s="1"/>
  <c r="A5220" i="5"/>
  <c r="A5219" i="5"/>
  <c r="A5218" i="5"/>
  <c r="A5217" i="5"/>
  <c r="A5216" i="5"/>
  <c r="J5220" i="5"/>
  <c r="C5220" i="5"/>
  <c r="J5217" i="5"/>
  <c r="C5217" i="5"/>
  <c r="J5216" i="5"/>
  <c r="C5216" i="5"/>
  <c r="P5217" i="5" l="1"/>
  <c r="F5217" i="5" s="1"/>
  <c r="G5220" i="5"/>
  <c r="H5220" i="5" s="1"/>
  <c r="G5218" i="5"/>
  <c r="H5218" i="5" s="1"/>
  <c r="G5219" i="5"/>
  <c r="H5219" i="5" s="1"/>
  <c r="G5216" i="5"/>
  <c r="H5216" i="5" s="1"/>
  <c r="Q5214" i="5" l="1"/>
  <c r="F5215" i="5" s="1"/>
  <c r="P5214" i="5"/>
  <c r="F5214" i="5" s="1"/>
  <c r="O5214" i="5"/>
  <c r="F5213" i="5" s="1"/>
  <c r="C5215" i="5"/>
  <c r="C5214" i="5"/>
  <c r="C5213" i="5"/>
  <c r="A5215" i="5"/>
  <c r="A5214" i="5"/>
  <c r="A5213" i="5"/>
  <c r="J5215" i="5"/>
  <c r="H5215" i="5"/>
  <c r="J5214" i="5"/>
  <c r="H5214" i="5"/>
  <c r="J5213" i="5"/>
  <c r="H5213" i="5"/>
  <c r="H5212" i="5"/>
  <c r="J4677" i="5" l="1"/>
  <c r="C4677" i="5"/>
  <c r="A4677" i="5"/>
  <c r="H4676" i="5"/>
  <c r="H4678" i="5"/>
  <c r="H450" i="9"/>
  <c r="H447" i="9"/>
  <c r="H446" i="9"/>
  <c r="H445" i="9"/>
  <c r="H444" i="9"/>
  <c r="J4364" i="5"/>
  <c r="J4213" i="5"/>
  <c r="Q4213" i="5"/>
  <c r="F4213" i="5" s="1"/>
  <c r="G4213" i="5"/>
  <c r="H4213" i="5" s="1"/>
  <c r="C4213" i="5"/>
  <c r="H439" i="9"/>
  <c r="H438" i="9"/>
  <c r="C4087" i="5"/>
  <c r="C4086" i="5"/>
  <c r="C4085" i="5"/>
  <c r="J4087" i="5"/>
  <c r="J4086" i="5"/>
  <c r="J4085" i="5"/>
  <c r="G4087" i="5"/>
  <c r="H4087" i="5" s="1"/>
  <c r="Q4086" i="5"/>
  <c r="F4087" i="5" s="1"/>
  <c r="P4086" i="5"/>
  <c r="F4086" i="5" s="1"/>
  <c r="O4086" i="5"/>
  <c r="F4085" i="5" s="1"/>
  <c r="G4086" i="5"/>
  <c r="H4086" i="5" s="1"/>
  <c r="G4085" i="5"/>
  <c r="H4085" i="5" s="1"/>
  <c r="H4084" i="5"/>
  <c r="J4007" i="5"/>
  <c r="J4006" i="5"/>
  <c r="P4007" i="5"/>
  <c r="F4007" i="5" s="1"/>
  <c r="O4007" i="5"/>
  <c r="F4006" i="5" s="1"/>
  <c r="C4007" i="5"/>
  <c r="C4006" i="5"/>
  <c r="H4005" i="5"/>
  <c r="G3773" i="5"/>
  <c r="H3773" i="5" s="1"/>
  <c r="G3772" i="5"/>
  <c r="T3772" i="5"/>
  <c r="F3773" i="5" s="1"/>
  <c r="A3773" i="5"/>
  <c r="A3772" i="5"/>
  <c r="J3773" i="5"/>
  <c r="J3772" i="5"/>
  <c r="S3772" i="5"/>
  <c r="F3772" i="5" s="1"/>
  <c r="H3771" i="5"/>
  <c r="G3720" i="5"/>
  <c r="H3720" i="5" s="1"/>
  <c r="G3719" i="5"/>
  <c r="H3719" i="5" s="1"/>
  <c r="J3720" i="5"/>
  <c r="J3719" i="5"/>
  <c r="U3719" i="5"/>
  <c r="F3720" i="5" s="1"/>
  <c r="T3719" i="5"/>
  <c r="F3719" i="5" s="1"/>
  <c r="H3718" i="5"/>
  <c r="J3619" i="5"/>
  <c r="V3619" i="5"/>
  <c r="F3619" i="5" s="1"/>
  <c r="G3619" i="5"/>
  <c r="H3619" i="5" s="1"/>
  <c r="H3618" i="5"/>
  <c r="J3911" i="5"/>
  <c r="J3910" i="5"/>
  <c r="C3911" i="5"/>
  <c r="P3911" i="5"/>
  <c r="F3911" i="5" s="1"/>
  <c r="G3910" i="5"/>
  <c r="H3910" i="5" s="1"/>
  <c r="C3910" i="5"/>
  <c r="H3909" i="5"/>
  <c r="H433" i="9"/>
  <c r="H432" i="9"/>
  <c r="H427" i="9"/>
  <c r="H426" i="9"/>
  <c r="H425" i="9"/>
  <c r="H424" i="9"/>
  <c r="H423" i="9"/>
  <c r="H422" i="9"/>
  <c r="H421" i="9"/>
  <c r="H420" i="9"/>
  <c r="H419" i="9"/>
  <c r="H418" i="9"/>
  <c r="H417" i="9"/>
  <c r="H416" i="9"/>
  <c r="H415" i="9"/>
  <c r="H414" i="9"/>
  <c r="H413" i="9"/>
  <c r="H412" i="9"/>
  <c r="H411" i="9"/>
  <c r="H410" i="9"/>
  <c r="H409" i="9"/>
  <c r="H408" i="9"/>
  <c r="H407" i="9"/>
  <c r="H406" i="9"/>
  <c r="H405" i="9"/>
  <c r="H404" i="9"/>
  <c r="H403" i="9"/>
  <c r="H402" i="9"/>
  <c r="H401" i="9"/>
  <c r="H400" i="9"/>
  <c r="H398" i="9"/>
  <c r="H397" i="9"/>
  <c r="H396" i="9"/>
  <c r="H395" i="9"/>
  <c r="H394" i="9"/>
  <c r="H393" i="9"/>
  <c r="H392" i="9"/>
  <c r="H391" i="9"/>
  <c r="H390" i="9"/>
  <c r="H389" i="9"/>
  <c r="H388" i="9"/>
  <c r="H387" i="9"/>
  <c r="H386" i="9"/>
  <c r="H385" i="9"/>
  <c r="H384" i="9"/>
  <c r="H383" i="9"/>
  <c r="H382" i="9"/>
  <c r="H381" i="9"/>
  <c r="H380" i="9"/>
  <c r="H379" i="9"/>
  <c r="H378" i="9"/>
  <c r="H377" i="9"/>
  <c r="H376" i="9"/>
  <c r="H375" i="9"/>
  <c r="H374" i="9"/>
  <c r="H373" i="9"/>
  <c r="H372" i="9"/>
  <c r="H371" i="9"/>
  <c r="H370" i="9"/>
  <c r="H369" i="9"/>
  <c r="H368" i="9"/>
  <c r="H367" i="9"/>
  <c r="H366" i="9"/>
  <c r="H365" i="9"/>
  <c r="H364" i="9"/>
  <c r="H363" i="9"/>
  <c r="H362" i="9"/>
  <c r="H361" i="9"/>
  <c r="H360" i="9"/>
  <c r="H359" i="9"/>
  <c r="H358" i="9"/>
  <c r="H357" i="9"/>
  <c r="H356" i="9"/>
  <c r="H355" i="9"/>
  <c r="H354" i="9"/>
  <c r="H353" i="9"/>
  <c r="H352" i="9"/>
  <c r="H351" i="9"/>
  <c r="H350" i="9"/>
  <c r="H349" i="9"/>
  <c r="H348" i="9"/>
  <c r="H347" i="9"/>
  <c r="H346" i="9"/>
  <c r="H345" i="9"/>
  <c r="H344" i="9"/>
  <c r="H343" i="9"/>
  <c r="H342" i="9"/>
  <c r="H341" i="9"/>
  <c r="H340" i="9"/>
  <c r="H339" i="9"/>
  <c r="H338" i="9"/>
  <c r="H337" i="9"/>
  <c r="H336" i="9"/>
  <c r="H335" i="9"/>
  <c r="H334" i="9"/>
  <c r="H333" i="9"/>
  <c r="H332" i="9"/>
  <c r="H331" i="9"/>
  <c r="H330" i="9"/>
  <c r="H329" i="9"/>
  <c r="H328" i="9"/>
  <c r="H327" i="9"/>
  <c r="H326" i="9"/>
  <c r="H325" i="9"/>
  <c r="H324" i="9"/>
  <c r="H323" i="9"/>
  <c r="H322" i="9"/>
  <c r="H321" i="9"/>
  <c r="H320" i="9"/>
  <c r="H319" i="9"/>
  <c r="H318" i="9"/>
  <c r="H317" i="9"/>
  <c r="H316" i="9"/>
  <c r="H315" i="9"/>
  <c r="H314" i="9"/>
  <c r="H313" i="9"/>
  <c r="H312" i="9"/>
  <c r="H311" i="9"/>
  <c r="H310" i="9"/>
  <c r="H309" i="9"/>
  <c r="H308" i="9"/>
  <c r="H307" i="9"/>
  <c r="H306" i="9"/>
  <c r="H305" i="9"/>
  <c r="H304" i="9"/>
  <c r="H303" i="9"/>
  <c r="H302" i="9"/>
  <c r="H301" i="9"/>
  <c r="H300" i="9"/>
  <c r="H299" i="9"/>
  <c r="H298" i="9"/>
  <c r="H297" i="9"/>
  <c r="H296" i="9"/>
  <c r="H295" i="9"/>
  <c r="H294" i="9"/>
  <c r="H293" i="9"/>
  <c r="H292" i="9"/>
  <c r="H291" i="9"/>
  <c r="H290" i="9"/>
  <c r="H289" i="9"/>
  <c r="H288" i="9"/>
  <c r="H287" i="9"/>
  <c r="H286" i="9"/>
  <c r="H285" i="9"/>
  <c r="H284" i="9"/>
  <c r="H283" i="9"/>
  <c r="H282" i="9"/>
  <c r="H281" i="9"/>
  <c r="H280" i="9"/>
  <c r="H279" i="9"/>
  <c r="H278" i="9"/>
  <c r="H277" i="9"/>
  <c r="H276" i="9"/>
  <c r="H275" i="9"/>
  <c r="H274" i="9"/>
  <c r="H273" i="9"/>
  <c r="H272" i="9"/>
  <c r="H271" i="9"/>
  <c r="H270" i="9"/>
  <c r="H269" i="9"/>
  <c r="H268" i="9"/>
  <c r="H267" i="9"/>
  <c r="H266" i="9"/>
  <c r="H265" i="9"/>
  <c r="H264" i="9"/>
  <c r="H263" i="9"/>
  <c r="H262" i="9"/>
  <c r="H261" i="9"/>
  <c r="H260" i="9"/>
  <c r="H259" i="9"/>
  <c r="H258" i="9"/>
  <c r="H257" i="9"/>
  <c r="H256" i="9"/>
  <c r="H255" i="9"/>
  <c r="H254" i="9"/>
  <c r="H253" i="9"/>
  <c r="H252" i="9"/>
  <c r="H251" i="9"/>
  <c r="H250" i="9"/>
  <c r="H249" i="9"/>
  <c r="H248" i="9"/>
  <c r="H247" i="9"/>
  <c r="H246" i="9"/>
  <c r="H245" i="9"/>
  <c r="H244" i="9"/>
  <c r="H243" i="9"/>
  <c r="H242" i="9"/>
  <c r="H241" i="9"/>
  <c r="H240" i="9"/>
  <c r="H239" i="9"/>
  <c r="H238" i="9"/>
  <c r="H237" i="9"/>
  <c r="H236" i="9"/>
  <c r="H235" i="9"/>
  <c r="H234" i="9"/>
  <c r="H233" i="9"/>
  <c r="H232" i="9"/>
  <c r="H231" i="9"/>
  <c r="H230" i="9"/>
  <c r="A77" i="8"/>
  <c r="U266" i="5"/>
  <c r="T266" i="5"/>
  <c r="S266" i="5"/>
  <c r="R266" i="5"/>
  <c r="Q266" i="5"/>
  <c r="P266" i="5"/>
  <c r="O266" i="5"/>
  <c r="U250" i="5"/>
  <c r="U251" i="5" s="1"/>
  <c r="T250" i="5"/>
  <c r="T251" i="5" s="1"/>
  <c r="S250" i="5"/>
  <c r="S251" i="5" s="1"/>
  <c r="R250" i="5"/>
  <c r="R251" i="5" s="1"/>
  <c r="Q250" i="5"/>
  <c r="Q251" i="5" s="1"/>
  <c r="P250" i="5"/>
  <c r="P251" i="5" s="1"/>
  <c r="O250" i="5"/>
  <c r="U257" i="5"/>
  <c r="U258" i="5" s="1"/>
  <c r="T257" i="5"/>
  <c r="T258" i="5" s="1"/>
  <c r="S257" i="5"/>
  <c r="S258" i="5" s="1"/>
  <c r="R257" i="5"/>
  <c r="R258" i="5" s="1"/>
  <c r="Q257" i="5"/>
  <c r="Q258" i="5" s="1"/>
  <c r="P257" i="5"/>
  <c r="P258" i="5" s="1"/>
  <c r="O257" i="5"/>
  <c r="O258" i="5" s="1"/>
  <c r="D263" i="5"/>
  <c r="C263" i="5"/>
  <c r="A263" i="5"/>
  <c r="D262" i="5"/>
  <c r="C262" i="5"/>
  <c r="A262" i="5"/>
  <c r="D261" i="5"/>
  <c r="S256" i="5" s="1"/>
  <c r="C261" i="5"/>
  <c r="A261" i="5"/>
  <c r="D260" i="5"/>
  <c r="C260" i="5"/>
  <c r="A260" i="5"/>
  <c r="D259" i="5"/>
  <c r="Q256" i="5" s="1"/>
  <c r="C259" i="5"/>
  <c r="A259" i="5"/>
  <c r="D258" i="5"/>
  <c r="C258" i="5"/>
  <c r="A258" i="5"/>
  <c r="M257" i="5"/>
  <c r="D257" i="5"/>
  <c r="O256" i="5" s="1"/>
  <c r="C257" i="5"/>
  <c r="A257" i="5"/>
  <c r="C256" i="5"/>
  <c r="A256" i="5"/>
  <c r="C255" i="5"/>
  <c r="A255" i="5"/>
  <c r="C254" i="5"/>
  <c r="A254" i="5"/>
  <c r="C253" i="5"/>
  <c r="A253" i="5"/>
  <c r="C252" i="5"/>
  <c r="A252" i="5"/>
  <c r="O251" i="5"/>
  <c r="C251" i="5"/>
  <c r="A251" i="5"/>
  <c r="C250" i="5"/>
  <c r="A250" i="5"/>
  <c r="U249" i="5"/>
  <c r="T249" i="5"/>
  <c r="S249" i="5"/>
  <c r="R249" i="5"/>
  <c r="Q249" i="5"/>
  <c r="P249" i="5"/>
  <c r="O249" i="5"/>
  <c r="H249" i="5"/>
  <c r="A1" i="9"/>
  <c r="H27" i="9"/>
  <c r="H26" i="9"/>
  <c r="H25" i="9"/>
  <c r="H24" i="9"/>
  <c r="H23" i="9"/>
  <c r="U561" i="6"/>
  <c r="T561" i="6"/>
  <c r="S561" i="6"/>
  <c r="R561" i="6"/>
  <c r="P561" i="6"/>
  <c r="O561" i="6"/>
  <c r="N561" i="6"/>
  <c r="M561" i="6"/>
  <c r="U560" i="6"/>
  <c r="T560" i="6"/>
  <c r="S560" i="6"/>
  <c r="R560" i="6"/>
  <c r="P560" i="6"/>
  <c r="O560" i="6"/>
  <c r="N560" i="6"/>
  <c r="M560" i="6"/>
  <c r="U559" i="6"/>
  <c r="T559" i="6"/>
  <c r="S559" i="6"/>
  <c r="R559" i="6"/>
  <c r="P559" i="6"/>
  <c r="O559" i="6"/>
  <c r="N559" i="6"/>
  <c r="M559" i="6"/>
  <c r="U558" i="6"/>
  <c r="T558" i="6"/>
  <c r="S558" i="6"/>
  <c r="R558" i="6"/>
  <c r="P558" i="6"/>
  <c r="O558" i="6"/>
  <c r="N558" i="6"/>
  <c r="M558" i="6"/>
  <c r="U557" i="6"/>
  <c r="T557" i="6"/>
  <c r="S557" i="6"/>
  <c r="R557" i="6"/>
  <c r="P557" i="6"/>
  <c r="O557" i="6"/>
  <c r="N557" i="6"/>
  <c r="M557" i="6"/>
  <c r="U556" i="6"/>
  <c r="T556" i="6"/>
  <c r="S556" i="6"/>
  <c r="R556" i="6"/>
  <c r="P556" i="6"/>
  <c r="O556" i="6"/>
  <c r="N556" i="6"/>
  <c r="M556" i="6"/>
  <c r="U555" i="6"/>
  <c r="T555" i="6"/>
  <c r="S555" i="6"/>
  <c r="R555" i="6"/>
  <c r="P555" i="6"/>
  <c r="O555" i="6"/>
  <c r="N555" i="6"/>
  <c r="M555" i="6"/>
  <c r="U554" i="6"/>
  <c r="T554" i="6"/>
  <c r="S554" i="6"/>
  <c r="R554" i="6"/>
  <c r="P554" i="6"/>
  <c r="O554" i="6"/>
  <c r="N554" i="6"/>
  <c r="M554" i="6"/>
  <c r="U553" i="6"/>
  <c r="T553" i="6"/>
  <c r="S553" i="6"/>
  <c r="R553" i="6"/>
  <c r="P553" i="6"/>
  <c r="O553" i="6"/>
  <c r="N553" i="6"/>
  <c r="M553" i="6"/>
  <c r="H6123" i="5"/>
  <c r="G5208" i="5"/>
  <c r="H5208" i="5" s="1"/>
  <c r="G5211" i="5"/>
  <c r="H5211" i="5" s="1"/>
  <c r="G5210" i="5"/>
  <c r="G5209" i="5"/>
  <c r="H5209" i="5" s="1"/>
  <c r="H5206" i="5"/>
  <c r="H5207" i="5"/>
  <c r="H5205" i="5"/>
  <c r="F5206" i="5"/>
  <c r="F5207" i="5"/>
  <c r="F5205" i="5"/>
  <c r="AZ2569" i="5"/>
  <c r="AY2569" i="5"/>
  <c r="AW2569" i="5"/>
  <c r="AX2569" i="5" s="1"/>
  <c r="AU2569" i="5"/>
  <c r="AV2569" i="5" s="1"/>
  <c r="AR2569" i="5"/>
  <c r="AS2569" i="5" s="1"/>
  <c r="AO2569" i="5"/>
  <c r="AN2569" i="5"/>
  <c r="AL2569" i="5"/>
  <c r="AK2569" i="5"/>
  <c r="AJ2569" i="5"/>
  <c r="AI2569" i="5"/>
  <c r="T2569" i="5"/>
  <c r="AP2569" i="5" s="1"/>
  <c r="T2568" i="5"/>
  <c r="M2568" i="5" s="1"/>
  <c r="F2568" i="5" s="1"/>
  <c r="G2568" i="5" s="1"/>
  <c r="H2568" i="5" s="1"/>
  <c r="T2567" i="5"/>
  <c r="M2567" i="5" s="1"/>
  <c r="F2567" i="5" s="1"/>
  <c r="G2567" i="5" s="1"/>
  <c r="H2567" i="5" s="1"/>
  <c r="T2558" i="5"/>
  <c r="M2558" i="5" s="1"/>
  <c r="F2558" i="5" s="1"/>
  <c r="G2558" i="5" s="1"/>
  <c r="H2558" i="5" s="1"/>
  <c r="F5337" i="5"/>
  <c r="G5337" i="5"/>
  <c r="H5337" i="5" s="1"/>
  <c r="P5337" i="5"/>
  <c r="Q5337" i="5"/>
  <c r="F5338" i="5"/>
  <c r="G5338" i="5"/>
  <c r="H5338" i="5" s="1"/>
  <c r="P5338" i="5"/>
  <c r="Q5338" i="5"/>
  <c r="Q5336" i="5"/>
  <c r="P5336" i="5"/>
  <c r="G5336" i="5"/>
  <c r="H5336" i="5" s="1"/>
  <c r="F5336" i="5"/>
  <c r="Q5335" i="5"/>
  <c r="P5335" i="5"/>
  <c r="G5335" i="5"/>
  <c r="H5335" i="5" s="1"/>
  <c r="F5335" i="5"/>
  <c r="H5332" i="5"/>
  <c r="G176" i="5"/>
  <c r="H176" i="5" s="1"/>
  <c r="G177" i="5"/>
  <c r="H177" i="5" s="1"/>
  <c r="G178" i="5"/>
  <c r="H178" i="5" s="1"/>
  <c r="G179" i="5"/>
  <c r="H179" i="5" s="1"/>
  <c r="G180" i="5"/>
  <c r="H180" i="5" s="1"/>
  <c r="G181" i="5"/>
  <c r="H181" i="5" s="1"/>
  <c r="G175" i="5"/>
  <c r="H175" i="5" s="1"/>
  <c r="G146" i="5"/>
  <c r="H146" i="5" s="1"/>
  <c r="G147" i="5"/>
  <c r="H147" i="5" s="1"/>
  <c r="G148" i="5"/>
  <c r="H148" i="5" s="1"/>
  <c r="G149" i="5"/>
  <c r="H149" i="5" s="1"/>
  <c r="G150" i="5"/>
  <c r="H150" i="5" s="1"/>
  <c r="G151" i="5"/>
  <c r="H151" i="5" s="1"/>
  <c r="G145" i="5"/>
  <c r="H145" i="5" s="1"/>
  <c r="G131" i="5"/>
  <c r="H131" i="5" s="1"/>
  <c r="G132" i="5"/>
  <c r="H132" i="5" s="1"/>
  <c r="G133" i="5"/>
  <c r="H133" i="5" s="1"/>
  <c r="G134" i="5"/>
  <c r="H134" i="5" s="1"/>
  <c r="G135" i="5"/>
  <c r="H135" i="5" s="1"/>
  <c r="G136" i="5"/>
  <c r="H136" i="5" s="1"/>
  <c r="G130" i="5"/>
  <c r="H130" i="5" s="1"/>
  <c r="E138" i="15"/>
  <c r="D138" i="15"/>
  <c r="O118" i="15"/>
  <c r="N118" i="15"/>
  <c r="M118" i="15"/>
  <c r="L118" i="15"/>
  <c r="K118" i="15"/>
  <c r="J118" i="15"/>
  <c r="I118" i="15"/>
  <c r="H118" i="15"/>
  <c r="G118" i="15"/>
  <c r="F118" i="15"/>
  <c r="E118" i="15"/>
  <c r="D118" i="15"/>
  <c r="R116" i="15"/>
  <c r="Q116" i="15"/>
  <c r="R115" i="15"/>
  <c r="Q115" i="15"/>
  <c r="R114" i="15"/>
  <c r="Q114" i="15"/>
  <c r="R113" i="15"/>
  <c r="Q113" i="15"/>
  <c r="R112" i="15"/>
  <c r="Q112" i="15"/>
  <c r="O104" i="15"/>
  <c r="N104" i="15"/>
  <c r="M104" i="15"/>
  <c r="L104" i="15"/>
  <c r="K104" i="15"/>
  <c r="J104" i="15"/>
  <c r="I104" i="15"/>
  <c r="H104" i="15"/>
  <c r="G104" i="15"/>
  <c r="F104" i="15"/>
  <c r="E104" i="15"/>
  <c r="D104" i="15"/>
  <c r="R101" i="15"/>
  <c r="Q101" i="15"/>
  <c r="R100" i="15"/>
  <c r="Q100" i="15"/>
  <c r="R99" i="15"/>
  <c r="Q99" i="15"/>
  <c r="E41" i="15"/>
  <c r="D41" i="15"/>
  <c r="E90" i="15"/>
  <c r="D90" i="15"/>
  <c r="Q74" i="15"/>
  <c r="Q73" i="15"/>
  <c r="R74" i="15"/>
  <c r="R73" i="15"/>
  <c r="R75" i="15"/>
  <c r="Q75" i="15"/>
  <c r="R61" i="15"/>
  <c r="Q61" i="15"/>
  <c r="R27" i="15"/>
  <c r="Q27" i="15"/>
  <c r="R13" i="15"/>
  <c r="Q13" i="15"/>
  <c r="R76" i="15"/>
  <c r="Q76" i="15"/>
  <c r="O79" i="15"/>
  <c r="N79" i="15"/>
  <c r="M79" i="15"/>
  <c r="L79" i="15"/>
  <c r="K79" i="15"/>
  <c r="J79" i="15"/>
  <c r="I79" i="15"/>
  <c r="H79" i="15"/>
  <c r="G79" i="15"/>
  <c r="F79" i="15"/>
  <c r="E79" i="15"/>
  <c r="D79" i="15"/>
  <c r="R77" i="15"/>
  <c r="Q77" i="15"/>
  <c r="O65" i="15"/>
  <c r="N65" i="15"/>
  <c r="M65" i="15"/>
  <c r="L65" i="15"/>
  <c r="K65" i="15"/>
  <c r="J65" i="15"/>
  <c r="I65" i="15"/>
  <c r="H65" i="15"/>
  <c r="G65" i="15"/>
  <c r="F65" i="15"/>
  <c r="E65" i="15"/>
  <c r="D65" i="15"/>
  <c r="R62" i="15"/>
  <c r="Q62" i="15"/>
  <c r="R60" i="15"/>
  <c r="Q60" i="15"/>
  <c r="R28" i="15"/>
  <c r="R14" i="15"/>
  <c r="R12" i="15"/>
  <c r="Q14" i="15"/>
  <c r="Q12" i="15"/>
  <c r="K30" i="15"/>
  <c r="H17" i="15"/>
  <c r="I17" i="15"/>
  <c r="J17" i="15"/>
  <c r="L17" i="15"/>
  <c r="N17" i="15"/>
  <c r="D17" i="15"/>
  <c r="A6303" i="5"/>
  <c r="A6302" i="5"/>
  <c r="A6286" i="5"/>
  <c r="H6271" i="5"/>
  <c r="H6219" i="5"/>
  <c r="H6220" i="5"/>
  <c r="H6222" i="5"/>
  <c r="A6251" i="5"/>
  <c r="A6284" i="5" s="1"/>
  <c r="A6250" i="5"/>
  <c r="A6266" i="5" s="1"/>
  <c r="A6299" i="5" s="1"/>
  <c r="A6249" i="5"/>
  <c r="A6265" i="5" s="1"/>
  <c r="A6298" i="5" s="1"/>
  <c r="A6248" i="5"/>
  <c r="A6281" i="5" s="1"/>
  <c r="A6247" i="5"/>
  <c r="A6263" i="5" s="1"/>
  <c r="A6296" i="5" s="1"/>
  <c r="A6246" i="5"/>
  <c r="A6279" i="5" s="1"/>
  <c r="A6245" i="5"/>
  <c r="A6261" i="5" s="1"/>
  <c r="A6294" i="5" s="1"/>
  <c r="A6244" i="5"/>
  <c r="A6260" i="5" s="1"/>
  <c r="A6293" i="5" s="1"/>
  <c r="A6243" i="5"/>
  <c r="A6276" i="5" s="1"/>
  <c r="A6242" i="5"/>
  <c r="A6275" i="5" s="1"/>
  <c r="A6241" i="5"/>
  <c r="A6257" i="5" s="1"/>
  <c r="A6290" i="5" s="1"/>
  <c r="A6240" i="5"/>
  <c r="A6256" i="5" s="1"/>
  <c r="A6289" i="5" s="1"/>
  <c r="A6239" i="5"/>
  <c r="A6255" i="5" s="1"/>
  <c r="A6288" i="5" s="1"/>
  <c r="A6252" i="5"/>
  <c r="A6285" i="5" s="1"/>
  <c r="H6238" i="5"/>
  <c r="H5629" i="5"/>
  <c r="H5628" i="5"/>
  <c r="H5627" i="5"/>
  <c r="H5626" i="5"/>
  <c r="H5625" i="5"/>
  <c r="H5624" i="5"/>
  <c r="H5623" i="5"/>
  <c r="H5622" i="5"/>
  <c r="H5621" i="5"/>
  <c r="H5620" i="5"/>
  <c r="H5619" i="5"/>
  <c r="H5618" i="5"/>
  <c r="H5617" i="5"/>
  <c r="H5616" i="5"/>
  <c r="H5615" i="5"/>
  <c r="H5614" i="5"/>
  <c r="H5613" i="5"/>
  <c r="H5612" i="5"/>
  <c r="H5611" i="5"/>
  <c r="H5610" i="5"/>
  <c r="H5609" i="5"/>
  <c r="H5608" i="5"/>
  <c r="H5607" i="5"/>
  <c r="H5606" i="5"/>
  <c r="H5605" i="5"/>
  <c r="H5604" i="5"/>
  <c r="H5603" i="5"/>
  <c r="H5602" i="5"/>
  <c r="H5601" i="5"/>
  <c r="H5600" i="5"/>
  <c r="H5599" i="5"/>
  <c r="H5598" i="5"/>
  <c r="H5597" i="5"/>
  <c r="H5596" i="5"/>
  <c r="H5595" i="5"/>
  <c r="H5594" i="5"/>
  <c r="H5593" i="5"/>
  <c r="H5592" i="5"/>
  <c r="H5590" i="5"/>
  <c r="H5589" i="5"/>
  <c r="H5588" i="5"/>
  <c r="H5587" i="5"/>
  <c r="H5586" i="5"/>
  <c r="H5585" i="5"/>
  <c r="H5584" i="5"/>
  <c r="H5583" i="5"/>
  <c r="H5582" i="5"/>
  <c r="H5581" i="5"/>
  <c r="H5580" i="5"/>
  <c r="H5579" i="5"/>
  <c r="H5578" i="5"/>
  <c r="H5577" i="5"/>
  <c r="H5576" i="5"/>
  <c r="H5575" i="5"/>
  <c r="H5574" i="5"/>
  <c r="H5573" i="5"/>
  <c r="H5572" i="5"/>
  <c r="H5571" i="5"/>
  <c r="H5570" i="5"/>
  <c r="H5569" i="5"/>
  <c r="H5568" i="5"/>
  <c r="H5567" i="5"/>
  <c r="H5566" i="5"/>
  <c r="H5565" i="5"/>
  <c r="H5564" i="5"/>
  <c r="H5563" i="5"/>
  <c r="H5562" i="5"/>
  <c r="H5561" i="5"/>
  <c r="H5560" i="5"/>
  <c r="H5559" i="5"/>
  <c r="H5558" i="5"/>
  <c r="H5557" i="5"/>
  <c r="H5556" i="5"/>
  <c r="H5555" i="5"/>
  <c r="H5554" i="5"/>
  <c r="H5553" i="5"/>
  <c r="H5552" i="5"/>
  <c r="H5551" i="5"/>
  <c r="H5550" i="5"/>
  <c r="H5549" i="5"/>
  <c r="H5548" i="5"/>
  <c r="H5547" i="5"/>
  <c r="H5546" i="5"/>
  <c r="H5545" i="5"/>
  <c r="H5544" i="5"/>
  <c r="H5543" i="5"/>
  <c r="H5542" i="5"/>
  <c r="H5541" i="5"/>
  <c r="H5540" i="5"/>
  <c r="H5539" i="5"/>
  <c r="H5538" i="5"/>
  <c r="H5537" i="5"/>
  <c r="H5536" i="5"/>
  <c r="H5535" i="5"/>
  <c r="H5534" i="5"/>
  <c r="H5533" i="5"/>
  <c r="H5532" i="5"/>
  <c r="H5531" i="5"/>
  <c r="H5530" i="5"/>
  <c r="H5529" i="5"/>
  <c r="H5528" i="5"/>
  <c r="H5527" i="5"/>
  <c r="H5526" i="5"/>
  <c r="H5525" i="5"/>
  <c r="H5524" i="5"/>
  <c r="H5523" i="5"/>
  <c r="H5522" i="5"/>
  <c r="H5521" i="5"/>
  <c r="H5520" i="5"/>
  <c r="H5519" i="5"/>
  <c r="H5518" i="5"/>
  <c r="H5517" i="5"/>
  <c r="H5516" i="5"/>
  <c r="H5515" i="5"/>
  <c r="H5514" i="5"/>
  <c r="H5513" i="5"/>
  <c r="H5512" i="5"/>
  <c r="H5511" i="5"/>
  <c r="H5510" i="5"/>
  <c r="H5509" i="5"/>
  <c r="H5508" i="5"/>
  <c r="H5507" i="5"/>
  <c r="H5506" i="5"/>
  <c r="H5505" i="5"/>
  <c r="H5504" i="5"/>
  <c r="H5503" i="5"/>
  <c r="H5502" i="5"/>
  <c r="H5501" i="5"/>
  <c r="H5500" i="5"/>
  <c r="H5499" i="5"/>
  <c r="H5498" i="5"/>
  <c r="H5497" i="5"/>
  <c r="H5496" i="5"/>
  <c r="H5495" i="5"/>
  <c r="H5494" i="5"/>
  <c r="H5493" i="5"/>
  <c r="H5492" i="5"/>
  <c r="H5491" i="5"/>
  <c r="H5490" i="5"/>
  <c r="H5489" i="5"/>
  <c r="H5488" i="5"/>
  <c r="H5487" i="5"/>
  <c r="H5486" i="5"/>
  <c r="H5485" i="5"/>
  <c r="H5484" i="5"/>
  <c r="H5483" i="5"/>
  <c r="H5482" i="5"/>
  <c r="H5481" i="5"/>
  <c r="H5480" i="5"/>
  <c r="H5479" i="5"/>
  <c r="H5478" i="5"/>
  <c r="H5477" i="5"/>
  <c r="H5476" i="5"/>
  <c r="H5475" i="5"/>
  <c r="H5474" i="5"/>
  <c r="H5473" i="5"/>
  <c r="H5472" i="5"/>
  <c r="H5471" i="5"/>
  <c r="H5470" i="5"/>
  <c r="H5469" i="5"/>
  <c r="H5468" i="5"/>
  <c r="H5467" i="5"/>
  <c r="H5466" i="5"/>
  <c r="H5465" i="5"/>
  <c r="H5464" i="5"/>
  <c r="H5463" i="5"/>
  <c r="H5462" i="5"/>
  <c r="AA13" i="10"/>
  <c r="Q5343" i="5"/>
  <c r="P5343" i="5"/>
  <c r="G5343" i="5"/>
  <c r="H5343" i="5" s="1"/>
  <c r="F5343" i="5"/>
  <c r="H5340" i="5"/>
  <c r="V11" i="10"/>
  <c r="U11" i="10"/>
  <c r="T11" i="10"/>
  <c r="S11" i="10"/>
  <c r="R11" i="10"/>
  <c r="Q11" i="10"/>
  <c r="L12" i="10"/>
  <c r="K12" i="10"/>
  <c r="J12" i="10"/>
  <c r="I12" i="10"/>
  <c r="V12" i="10" s="1"/>
  <c r="H12" i="10"/>
  <c r="U12" i="10" s="1"/>
  <c r="G12" i="10"/>
  <c r="T12" i="10" s="1"/>
  <c r="F12" i="10"/>
  <c r="S12" i="10" s="1"/>
  <c r="S17" i="10" s="1"/>
  <c r="E12" i="10"/>
  <c r="R12" i="10" s="1"/>
  <c r="D12" i="10"/>
  <c r="Q12" i="10" s="1"/>
  <c r="K13" i="14"/>
  <c r="J13" i="14"/>
  <c r="J14" i="14" s="1"/>
  <c r="I13" i="14"/>
  <c r="I14" i="14" s="1"/>
  <c r="V14" i="14" s="1"/>
  <c r="H13" i="14"/>
  <c r="G13" i="14"/>
  <c r="G14" i="14" s="1"/>
  <c r="T14" i="14" s="1"/>
  <c r="F13" i="14"/>
  <c r="X10" i="14"/>
  <c r="W10" i="14"/>
  <c r="V10" i="14"/>
  <c r="U10" i="14"/>
  <c r="T10" i="14"/>
  <c r="S10" i="14"/>
  <c r="P13" i="14"/>
  <c r="AC13" i="14" s="1"/>
  <c r="O13" i="14"/>
  <c r="O14" i="14" s="1"/>
  <c r="AB14" i="14" s="1"/>
  <c r="N13" i="14"/>
  <c r="AA13" i="14" s="1"/>
  <c r="M13" i="14"/>
  <c r="M14" i="14" s="1"/>
  <c r="Z14" i="14" s="1"/>
  <c r="L13" i="14"/>
  <c r="E13" i="14"/>
  <c r="R13" i="14" s="1"/>
  <c r="N12" i="10"/>
  <c r="C12" i="10"/>
  <c r="M12" i="10"/>
  <c r="X18" i="14"/>
  <c r="W18" i="14"/>
  <c r="V18" i="14"/>
  <c r="U18" i="14"/>
  <c r="T18" i="14"/>
  <c r="S18" i="14"/>
  <c r="C18" i="14"/>
  <c r="AC10" i="14"/>
  <c r="AC18" i="14" s="1"/>
  <c r="AB10" i="14"/>
  <c r="AB18" i="14" s="1"/>
  <c r="AA10" i="14"/>
  <c r="AA18" i="14" s="1"/>
  <c r="Z10" i="14"/>
  <c r="Z18" i="14" s="1"/>
  <c r="Y10" i="14"/>
  <c r="Y18" i="14" s="1"/>
  <c r="R10" i="14"/>
  <c r="R18" i="14" s="1"/>
  <c r="Q4211" i="5"/>
  <c r="F4211" i="5" s="1"/>
  <c r="G4211" i="5"/>
  <c r="H4211" i="5" s="1"/>
  <c r="C4211" i="5"/>
  <c r="A4211" i="5"/>
  <c r="A4213" i="5" s="1"/>
  <c r="Q4081" i="5"/>
  <c r="Q4082" i="5" s="1"/>
  <c r="F4083" i="5" s="1"/>
  <c r="P4081" i="5"/>
  <c r="P4082" i="5" s="1"/>
  <c r="F4082" i="5" s="1"/>
  <c r="O4081" i="5"/>
  <c r="O4082" i="5" s="1"/>
  <c r="F4081" i="5" s="1"/>
  <c r="C4083" i="5"/>
  <c r="A4081" i="5"/>
  <c r="A4085" i="5" s="1"/>
  <c r="A4083" i="5"/>
  <c r="A4087" i="5" s="1"/>
  <c r="A4082" i="5"/>
  <c r="A4086" i="5" s="1"/>
  <c r="C4082" i="5"/>
  <c r="C4081" i="5"/>
  <c r="H4080" i="5"/>
  <c r="U264" i="5"/>
  <c r="T264" i="5"/>
  <c r="S264" i="5"/>
  <c r="R264" i="5"/>
  <c r="Q264" i="5"/>
  <c r="P264" i="5"/>
  <c r="O264" i="5"/>
  <c r="D278" i="5"/>
  <c r="U271" i="5" s="1"/>
  <c r="D277" i="5"/>
  <c r="T271" i="5" s="1"/>
  <c r="D276" i="5"/>
  <c r="S271" i="5" s="1"/>
  <c r="D275" i="5"/>
  <c r="R271" i="5" s="1"/>
  <c r="D274" i="5"/>
  <c r="Q271" i="5" s="1"/>
  <c r="D273" i="5"/>
  <c r="P271" i="5" s="1"/>
  <c r="D272" i="5"/>
  <c r="C278" i="5"/>
  <c r="C277" i="5"/>
  <c r="C276" i="5"/>
  <c r="C275" i="5"/>
  <c r="C274" i="5"/>
  <c r="C273" i="5"/>
  <c r="C272" i="5"/>
  <c r="C271" i="5"/>
  <c r="C270" i="5"/>
  <c r="C269" i="5"/>
  <c r="C268" i="5"/>
  <c r="C267" i="5"/>
  <c r="C266" i="5"/>
  <c r="C265" i="5"/>
  <c r="A278" i="5"/>
  <c r="A277" i="5"/>
  <c r="A276" i="5"/>
  <c r="A275" i="5"/>
  <c r="A274" i="5"/>
  <c r="A273" i="5"/>
  <c r="A272" i="5"/>
  <c r="A271" i="5"/>
  <c r="A270" i="5"/>
  <c r="A269" i="5"/>
  <c r="A268" i="5"/>
  <c r="A267" i="5"/>
  <c r="A266" i="5"/>
  <c r="A265" i="5"/>
  <c r="C3617" i="5"/>
  <c r="A3617" i="5"/>
  <c r="C3616" i="5"/>
  <c r="A3616" i="5"/>
  <c r="C3717" i="5"/>
  <c r="C3716" i="5"/>
  <c r="C3715" i="5"/>
  <c r="C3714" i="5"/>
  <c r="A3717" i="5"/>
  <c r="A3716" i="5"/>
  <c r="A3715" i="5"/>
  <c r="A3714" i="5"/>
  <c r="G3714" i="5" s="1"/>
  <c r="H3714" i="5" s="1"/>
  <c r="C3770" i="5"/>
  <c r="A3770" i="5"/>
  <c r="C3769" i="5"/>
  <c r="A3769" i="5"/>
  <c r="C3908" i="5"/>
  <c r="A3908" i="5"/>
  <c r="A3911" i="5" s="1"/>
  <c r="C3907" i="5"/>
  <c r="A3907" i="5"/>
  <c r="A3910" i="5" s="1"/>
  <c r="C4004" i="5"/>
  <c r="A4004" i="5"/>
  <c r="A4007" i="5" s="1"/>
  <c r="C4003" i="5"/>
  <c r="A4003" i="5"/>
  <c r="A4006" i="5" s="1"/>
  <c r="P4003" i="5"/>
  <c r="P4004" i="5" s="1"/>
  <c r="F4004" i="5" s="1"/>
  <c r="O4003" i="5"/>
  <c r="O4004" i="5" s="1"/>
  <c r="F4003" i="5" s="1"/>
  <c r="H4002" i="5"/>
  <c r="P3907" i="5"/>
  <c r="G3908" i="5" s="1"/>
  <c r="H3908" i="5" s="1"/>
  <c r="O3907" i="5"/>
  <c r="O3908" i="5" s="1"/>
  <c r="F3907" i="5" s="1"/>
  <c r="H3906" i="5"/>
  <c r="P3769" i="5"/>
  <c r="P3770" i="5" s="1"/>
  <c r="S3770" i="5" s="1"/>
  <c r="H3768" i="5"/>
  <c r="P3616" i="5"/>
  <c r="P3617" i="5" s="1"/>
  <c r="V3617" i="5" s="1"/>
  <c r="H3615" i="5"/>
  <c r="Q3715" i="5"/>
  <c r="U3715" i="5" s="1"/>
  <c r="P3715" i="5"/>
  <c r="T3715" i="5" s="1"/>
  <c r="U3714" i="5"/>
  <c r="T3714" i="5"/>
  <c r="H3713" i="5"/>
  <c r="U273" i="5"/>
  <c r="T273" i="5"/>
  <c r="S273" i="5"/>
  <c r="R273" i="5"/>
  <c r="Q273" i="5"/>
  <c r="P273" i="5"/>
  <c r="O273" i="5"/>
  <c r="M272" i="5"/>
  <c r="H264" i="5"/>
  <c r="X5309" i="5"/>
  <c r="W5309" i="5"/>
  <c r="V5309" i="5"/>
  <c r="U5309" i="5"/>
  <c r="S5309" i="5"/>
  <c r="R5309" i="5"/>
  <c r="Q5309" i="5"/>
  <c r="P5309" i="5"/>
  <c r="X5308" i="5"/>
  <c r="W5308" i="5"/>
  <c r="V5308" i="5"/>
  <c r="U5308" i="5"/>
  <c r="S5308" i="5"/>
  <c r="R5308" i="5"/>
  <c r="Q5308" i="5"/>
  <c r="P5308" i="5"/>
  <c r="X5307" i="5"/>
  <c r="W5307" i="5"/>
  <c r="V5307" i="5"/>
  <c r="U5307" i="5"/>
  <c r="S5307" i="5"/>
  <c r="R5307" i="5"/>
  <c r="Q5307" i="5"/>
  <c r="P5307" i="5"/>
  <c r="X5301" i="5"/>
  <c r="W5301" i="5"/>
  <c r="V5301" i="5"/>
  <c r="U5301" i="5"/>
  <c r="S5301" i="5"/>
  <c r="R5301" i="5"/>
  <c r="Q5301" i="5"/>
  <c r="P5301" i="5"/>
  <c r="D5279" i="5"/>
  <c r="D5282" i="5" s="1"/>
  <c r="D5285" i="5" s="1"/>
  <c r="D5288" i="5" s="1"/>
  <c r="D5291" i="5" s="1"/>
  <c r="D5294" i="5" s="1"/>
  <c r="D5297" i="5" s="1"/>
  <c r="D5300" i="5" s="1"/>
  <c r="D5303" i="5" s="1"/>
  <c r="D5306" i="5" s="1"/>
  <c r="D5309" i="5" s="1"/>
  <c r="N5275" i="5"/>
  <c r="N5276" i="5" s="1"/>
  <c r="D5275" i="5"/>
  <c r="D5278" i="5" s="1"/>
  <c r="D5274" i="5"/>
  <c r="D5277" i="5" s="1"/>
  <c r="A5274" i="5"/>
  <c r="C5274" i="5" s="1"/>
  <c r="W5195" i="5"/>
  <c r="V5195" i="5"/>
  <c r="U5195" i="5"/>
  <c r="R5195" i="5"/>
  <c r="Q5195" i="5"/>
  <c r="P5195" i="5"/>
  <c r="W5194" i="5"/>
  <c r="V5194" i="5"/>
  <c r="U5194" i="5"/>
  <c r="R5194" i="5"/>
  <c r="Q5194" i="5"/>
  <c r="P5194" i="5"/>
  <c r="D5189" i="5"/>
  <c r="D5192" i="5" s="1"/>
  <c r="N5185" i="5"/>
  <c r="N5186" i="5" s="1"/>
  <c r="D5185" i="5"/>
  <c r="D5188" i="5" s="1"/>
  <c r="D5184" i="5"/>
  <c r="D5187" i="5" s="1"/>
  <c r="A5184" i="5"/>
  <c r="C5184" i="5" s="1"/>
  <c r="N4665" i="5"/>
  <c r="N4666" i="5" s="1"/>
  <c r="A4664" i="5"/>
  <c r="C4664" i="5" s="1"/>
  <c r="H4663" i="5"/>
  <c r="H5814" i="5"/>
  <c r="H6134" i="5"/>
  <c r="H6133" i="5"/>
  <c r="H6132" i="5"/>
  <c r="H6130" i="5"/>
  <c r="J43" i="11"/>
  <c r="I43" i="11"/>
  <c r="H43" i="11"/>
  <c r="G43" i="11"/>
  <c r="F43" i="11"/>
  <c r="E43" i="11"/>
  <c r="D43" i="11"/>
  <c r="C43" i="11"/>
  <c r="N42" i="11"/>
  <c r="M42" i="11"/>
  <c r="L42" i="11"/>
  <c r="D42" i="11"/>
  <c r="C42" i="11"/>
  <c r="N41" i="11"/>
  <c r="M41" i="11"/>
  <c r="L41" i="11"/>
  <c r="K41" i="11"/>
  <c r="J41" i="11"/>
  <c r="I41" i="11"/>
  <c r="H41" i="11"/>
  <c r="G41" i="11"/>
  <c r="F41" i="11"/>
  <c r="R39" i="11"/>
  <c r="P39" i="11"/>
  <c r="B39" i="11"/>
  <c r="B43" i="11" s="1"/>
  <c r="R38" i="11"/>
  <c r="P38" i="11"/>
  <c r="B38" i="11"/>
  <c r="B42" i="11" s="1"/>
  <c r="R37" i="11"/>
  <c r="P37" i="11"/>
  <c r="B37" i="11"/>
  <c r="B41" i="11" s="1"/>
  <c r="D36" i="11"/>
  <c r="E36" i="11" s="1"/>
  <c r="F36" i="11" s="1"/>
  <c r="G36" i="11" s="1"/>
  <c r="H36" i="11" s="1"/>
  <c r="I36" i="11" s="1"/>
  <c r="J36" i="11" s="1"/>
  <c r="K36" i="11" s="1"/>
  <c r="L36" i="11" s="1"/>
  <c r="M36" i="11" s="1"/>
  <c r="N36" i="11" s="1"/>
  <c r="B20" i="11"/>
  <c r="B24" i="11" s="1"/>
  <c r="N19" i="11"/>
  <c r="M19" i="11"/>
  <c r="L19" i="11"/>
  <c r="K19" i="11"/>
  <c r="K20" i="11" s="1"/>
  <c r="J19" i="11"/>
  <c r="I19" i="11"/>
  <c r="H19" i="11"/>
  <c r="G19" i="11"/>
  <c r="F19" i="11"/>
  <c r="R19" i="11" s="1"/>
  <c r="R23" i="11" s="1"/>
  <c r="E19" i="11"/>
  <c r="D19" i="11"/>
  <c r="C19" i="11"/>
  <c r="B19" i="11"/>
  <c r="B23" i="11" s="1"/>
  <c r="N18" i="11"/>
  <c r="N20" i="11" s="1"/>
  <c r="N24" i="11" s="1"/>
  <c r="M18" i="11"/>
  <c r="L18" i="11"/>
  <c r="K18" i="11"/>
  <c r="J18" i="11"/>
  <c r="I18" i="11"/>
  <c r="H18" i="11"/>
  <c r="G18" i="11"/>
  <c r="F18" i="11"/>
  <c r="E18" i="11"/>
  <c r="D18" i="11"/>
  <c r="R18" i="11" s="1"/>
  <c r="C18" i="11"/>
  <c r="C20" i="11" s="1"/>
  <c r="B18" i="11"/>
  <c r="B22" i="11" s="1"/>
  <c r="D17" i="11"/>
  <c r="E17" i="11" s="1"/>
  <c r="F17" i="11" s="1"/>
  <c r="G17" i="11" s="1"/>
  <c r="H17" i="11" s="1"/>
  <c r="I17" i="11" s="1"/>
  <c r="J17" i="11" s="1"/>
  <c r="K17" i="11" s="1"/>
  <c r="L17" i="11" s="1"/>
  <c r="M17" i="11" s="1"/>
  <c r="N17" i="11" s="1"/>
  <c r="F9" i="11"/>
  <c r="F8" i="11"/>
  <c r="F7" i="11"/>
  <c r="AA11" i="10"/>
  <c r="Z11" i="10"/>
  <c r="Y11" i="10"/>
  <c r="X11" i="10"/>
  <c r="W11" i="10"/>
  <c r="P11" i="10"/>
  <c r="H5635" i="5"/>
  <c r="H5634" i="5"/>
  <c r="H5633" i="5"/>
  <c r="H5632" i="5"/>
  <c r="H5631" i="5"/>
  <c r="H5630" i="5"/>
  <c r="AZ472" i="5"/>
  <c r="AY472" i="5"/>
  <c r="AW472" i="5"/>
  <c r="AX472" i="5" s="1"/>
  <c r="AU472" i="5"/>
  <c r="AV472" i="5" s="1"/>
  <c r="AR472" i="5"/>
  <c r="AS472" i="5" s="1"/>
  <c r="AO472" i="5"/>
  <c r="AN472" i="5"/>
  <c r="AL472" i="5"/>
  <c r="AK472" i="5"/>
  <c r="AJ472" i="5"/>
  <c r="AI472" i="5"/>
  <c r="T472" i="5"/>
  <c r="M472" i="5" s="1"/>
  <c r="F472" i="5" s="1"/>
  <c r="AZ471" i="5"/>
  <c r="AY471" i="5"/>
  <c r="AW471" i="5"/>
  <c r="AX471" i="5" s="1"/>
  <c r="AU471" i="5"/>
  <c r="AV471" i="5" s="1"/>
  <c r="AR471" i="5"/>
  <c r="AT471" i="5" s="1"/>
  <c r="AO471" i="5"/>
  <c r="AN471" i="5"/>
  <c r="AL471" i="5"/>
  <c r="AK471" i="5"/>
  <c r="AJ471" i="5"/>
  <c r="AI471" i="5"/>
  <c r="T471" i="5"/>
  <c r="AP471" i="5" s="1"/>
  <c r="AZ466" i="5"/>
  <c r="AY466" i="5"/>
  <c r="AW466" i="5"/>
  <c r="AX466" i="5" s="1"/>
  <c r="AU466" i="5"/>
  <c r="AV466" i="5" s="1"/>
  <c r="AR466" i="5"/>
  <c r="AS466" i="5" s="1"/>
  <c r="AP466" i="5"/>
  <c r="AO466" i="5"/>
  <c r="AN466" i="5"/>
  <c r="AL466" i="5"/>
  <c r="AK466" i="5"/>
  <c r="AJ466" i="5"/>
  <c r="AI466" i="5"/>
  <c r="M466" i="5"/>
  <c r="F466" i="5" s="1"/>
  <c r="AZ464" i="5"/>
  <c r="AY464" i="5"/>
  <c r="AW464" i="5"/>
  <c r="AX464" i="5" s="1"/>
  <c r="AU464" i="5"/>
  <c r="AV464" i="5" s="1"/>
  <c r="AR464" i="5"/>
  <c r="AS464" i="5" s="1"/>
  <c r="AP464" i="5"/>
  <c r="AO464" i="5"/>
  <c r="AN464" i="5"/>
  <c r="AL464" i="5"/>
  <c r="AK464" i="5"/>
  <c r="AJ464" i="5"/>
  <c r="AI464" i="5"/>
  <c r="M464" i="5"/>
  <c r="F464" i="5" s="1"/>
  <c r="G464" i="5" s="1"/>
  <c r="H464" i="5" s="1"/>
  <c r="H6237" i="5"/>
  <c r="G5349" i="5"/>
  <c r="H5349" i="5" s="1"/>
  <c r="F5349" i="5"/>
  <c r="F415" i="6"/>
  <c r="G4599" i="5"/>
  <c r="H4599" i="5" s="1"/>
  <c r="G4209" i="5"/>
  <c r="H4209" i="5" s="1"/>
  <c r="Q4209" i="5"/>
  <c r="F4209" i="5" s="1"/>
  <c r="U5147" i="5"/>
  <c r="P4652" i="5"/>
  <c r="P4653" i="5" s="1"/>
  <c r="Q4653" i="5" s="1"/>
  <c r="F4653" i="5" s="1"/>
  <c r="M1735" i="5"/>
  <c r="F1735" i="5" s="1"/>
  <c r="M1734" i="5"/>
  <c r="F1734" i="5" s="1"/>
  <c r="G1734" i="5" s="1"/>
  <c r="H1734" i="5" s="1"/>
  <c r="AZ1735" i="5"/>
  <c r="AY1735" i="5"/>
  <c r="AW1735" i="5"/>
  <c r="AX1735" i="5" s="1"/>
  <c r="AU1735" i="5"/>
  <c r="AV1735" i="5" s="1"/>
  <c r="AR1735" i="5"/>
  <c r="AO1735" i="5"/>
  <c r="AN1735" i="5"/>
  <c r="AL1735" i="5"/>
  <c r="AK1735" i="5"/>
  <c r="AJ1735" i="5"/>
  <c r="AI1735" i="5"/>
  <c r="AZ1734" i="5"/>
  <c r="AY1734" i="5"/>
  <c r="AW1734" i="5"/>
  <c r="AX1734" i="5" s="1"/>
  <c r="AU1734" i="5"/>
  <c r="AV1734" i="5" s="1"/>
  <c r="AR1734" i="5"/>
  <c r="AS1734" i="5" s="1"/>
  <c r="AO1734" i="5"/>
  <c r="AN1734" i="5"/>
  <c r="AL1734" i="5"/>
  <c r="AK1734" i="5"/>
  <c r="AJ1734" i="5"/>
  <c r="AI1734" i="5"/>
  <c r="AP1734" i="5"/>
  <c r="T2145" i="5"/>
  <c r="M2145" i="5" s="1"/>
  <c r="F2145" i="5" s="1"/>
  <c r="G2145" i="5" s="1"/>
  <c r="H2145" i="5" s="1"/>
  <c r="N3015" i="5"/>
  <c r="N3013" i="5"/>
  <c r="N3014" i="5"/>
  <c r="M3017" i="5"/>
  <c r="T2150" i="5"/>
  <c r="M2150" i="5" s="1"/>
  <c r="F2150" i="5" s="1"/>
  <c r="G2150" i="5" s="1"/>
  <c r="H2150" i="5" s="1"/>
  <c r="M878" i="5"/>
  <c r="F878" i="5" s="1"/>
  <c r="G878" i="5" s="1"/>
  <c r="H878" i="5" s="1"/>
  <c r="M879" i="5"/>
  <c r="F879" i="5" s="1"/>
  <c r="G879" i="5" s="1"/>
  <c r="H879" i="5" s="1"/>
  <c r="M469" i="5"/>
  <c r="F469" i="5" s="1"/>
  <c r="G469" i="5" s="1"/>
  <c r="H469" i="5" s="1"/>
  <c r="M470" i="5"/>
  <c r="F470" i="5" s="1"/>
  <c r="G470" i="5" s="1"/>
  <c r="H470" i="5" s="1"/>
  <c r="M457" i="5"/>
  <c r="F457" i="5" s="1"/>
  <c r="G457" i="5" s="1"/>
  <c r="H457" i="5" s="1"/>
  <c r="M459" i="5"/>
  <c r="F459" i="5" s="1"/>
  <c r="G459" i="5" s="1"/>
  <c r="H459" i="5" s="1"/>
  <c r="AP468" i="5"/>
  <c r="AP467" i="5"/>
  <c r="T1304" i="5"/>
  <c r="M1304" i="5" s="1"/>
  <c r="F1304" i="5" s="1"/>
  <c r="G1304" i="5" s="1"/>
  <c r="H1304" i="5" s="1"/>
  <c r="T1303" i="5"/>
  <c r="M1303" i="5" s="1"/>
  <c r="F1303" i="5" s="1"/>
  <c r="G1303" i="5" s="1"/>
  <c r="H1303" i="5" s="1"/>
  <c r="T1302" i="5"/>
  <c r="M1302" i="5" s="1"/>
  <c r="F1302" i="5" s="1"/>
  <c r="G1302" i="5" s="1"/>
  <c r="H1302" i="5" s="1"/>
  <c r="T1301" i="5"/>
  <c r="M1301" i="5" s="1"/>
  <c r="F1301" i="5" s="1"/>
  <c r="G1301" i="5" s="1"/>
  <c r="H1301" i="5" s="1"/>
  <c r="T1300" i="5"/>
  <c r="M1300" i="5" s="1"/>
  <c r="F1300" i="5" s="1"/>
  <c r="G1300" i="5" s="1"/>
  <c r="H1300" i="5" s="1"/>
  <c r="T2164" i="5"/>
  <c r="M2164" i="5" s="1"/>
  <c r="F2164" i="5" s="1"/>
  <c r="G2164" i="5" s="1"/>
  <c r="H2164" i="5" s="1"/>
  <c r="T2163" i="5"/>
  <c r="M2163" i="5" s="1"/>
  <c r="F2163" i="5" s="1"/>
  <c r="G2163" i="5" s="1"/>
  <c r="H2163" i="5" s="1"/>
  <c r="T2162" i="5"/>
  <c r="M2162" i="5" s="1"/>
  <c r="F2162" i="5" s="1"/>
  <c r="G2162" i="5" s="1"/>
  <c r="H2162" i="5" s="1"/>
  <c r="T2161" i="5"/>
  <c r="M2161" i="5" s="1"/>
  <c r="F2161" i="5" s="1"/>
  <c r="G2161" i="5" s="1"/>
  <c r="H2161" i="5" s="1"/>
  <c r="T2160" i="5"/>
  <c r="M2160" i="5" s="1"/>
  <c r="F2160" i="5" s="1"/>
  <c r="G2160" i="5" s="1"/>
  <c r="H2160" i="5" s="1"/>
  <c r="T2159" i="5"/>
  <c r="M2159" i="5" s="1"/>
  <c r="F2159" i="5" s="1"/>
  <c r="G2159" i="5" s="1"/>
  <c r="H2159" i="5" s="1"/>
  <c r="T2158" i="5"/>
  <c r="M2158" i="5" s="1"/>
  <c r="F2158" i="5" s="1"/>
  <c r="G2158" i="5" s="1"/>
  <c r="H2158" i="5" s="1"/>
  <c r="T2157" i="5"/>
  <c r="M2157" i="5" s="1"/>
  <c r="F2157" i="5" s="1"/>
  <c r="G2157" i="5" s="1"/>
  <c r="H2157" i="5" s="1"/>
  <c r="T2156" i="5"/>
  <c r="M2156" i="5" s="1"/>
  <c r="F2156" i="5" s="1"/>
  <c r="G2156" i="5" s="1"/>
  <c r="H2156" i="5" s="1"/>
  <c r="T2155" i="5"/>
  <c r="M2155" i="5" s="1"/>
  <c r="F2155" i="5" s="1"/>
  <c r="G2155" i="5" s="1"/>
  <c r="H2155" i="5" s="1"/>
  <c r="G5348" i="5"/>
  <c r="H5348" i="5" s="1"/>
  <c r="F5348" i="5"/>
  <c r="H5345" i="5"/>
  <c r="G5324" i="5"/>
  <c r="H5324" i="5" s="1"/>
  <c r="F5324" i="5"/>
  <c r="G5323" i="5"/>
  <c r="H5323" i="5" s="1"/>
  <c r="F5323" i="5"/>
  <c r="G5322" i="5"/>
  <c r="H5322" i="5" s="1"/>
  <c r="F5322" i="5"/>
  <c r="G5321" i="5"/>
  <c r="H5321" i="5" s="1"/>
  <c r="F5321" i="5"/>
  <c r="G5320" i="5"/>
  <c r="H5320" i="5" s="1"/>
  <c r="F5320" i="5"/>
  <c r="D5237" i="5"/>
  <c r="A5237" i="5"/>
  <c r="A5238" i="5" s="1"/>
  <c r="X5272" i="5"/>
  <c r="W5272" i="5"/>
  <c r="V5272" i="5"/>
  <c r="U5272" i="5"/>
  <c r="S5272" i="5"/>
  <c r="R5272" i="5"/>
  <c r="Q5272" i="5"/>
  <c r="P5272" i="5"/>
  <c r="X5271" i="5"/>
  <c r="W5271" i="5"/>
  <c r="V5271" i="5"/>
  <c r="U5271" i="5"/>
  <c r="S5271" i="5"/>
  <c r="R5271" i="5"/>
  <c r="Q5271" i="5"/>
  <c r="P5271" i="5"/>
  <c r="X5270" i="5"/>
  <c r="W5270" i="5"/>
  <c r="V5270" i="5"/>
  <c r="U5270" i="5"/>
  <c r="S5270" i="5"/>
  <c r="R5270" i="5"/>
  <c r="Q5270" i="5"/>
  <c r="P5270" i="5"/>
  <c r="X5265" i="5"/>
  <c r="W5265" i="5"/>
  <c r="V5265" i="5"/>
  <c r="U5265" i="5"/>
  <c r="S5265" i="5"/>
  <c r="R5265" i="5"/>
  <c r="Q5265" i="5"/>
  <c r="P5265" i="5"/>
  <c r="X5264" i="5"/>
  <c r="W5264" i="5"/>
  <c r="V5264" i="5"/>
  <c r="U5264" i="5"/>
  <c r="S5264" i="5"/>
  <c r="R5264" i="5"/>
  <c r="Q5264" i="5"/>
  <c r="P5264" i="5"/>
  <c r="D5242" i="5"/>
  <c r="S5238" i="5"/>
  <c r="R5238" i="5"/>
  <c r="Q5238" i="5"/>
  <c r="Q5239" i="5" s="1"/>
  <c r="N5238" i="5"/>
  <c r="D5238" i="5"/>
  <c r="A5147" i="5"/>
  <c r="A5148" i="5" s="1"/>
  <c r="H6236" i="5"/>
  <c r="H6235" i="5"/>
  <c r="H6234" i="5"/>
  <c r="H6233" i="5"/>
  <c r="H6232" i="5"/>
  <c r="H6231" i="5"/>
  <c r="H6230" i="5"/>
  <c r="H6229" i="5"/>
  <c r="H6228" i="5"/>
  <c r="H6227" i="5"/>
  <c r="H6226" i="5"/>
  <c r="H6225" i="5"/>
  <c r="H6224" i="5"/>
  <c r="H6223" i="5"/>
  <c r="H6218" i="5"/>
  <c r="H25" i="5"/>
  <c r="H5" i="5"/>
  <c r="H8" i="5"/>
  <c r="H11" i="5"/>
  <c r="H17" i="5"/>
  <c r="H21" i="5"/>
  <c r="G3712" i="5"/>
  <c r="H3712" i="5" s="1"/>
  <c r="G3711" i="5"/>
  <c r="H3711" i="5" s="1"/>
  <c r="G3767" i="5"/>
  <c r="H3767" i="5" s="1"/>
  <c r="G3614" i="5"/>
  <c r="H3614" i="5" s="1"/>
  <c r="H5849" i="5"/>
  <c r="H5847" i="5"/>
  <c r="H5846" i="5"/>
  <c r="Z5150" i="5"/>
  <c r="Z5151" i="5" s="1"/>
  <c r="Z5152" i="5" s="1"/>
  <c r="Z5153" i="5" s="1"/>
  <c r="Z5154" i="5" s="1"/>
  <c r="Z5155" i="5" s="1"/>
  <c r="Z5156" i="5" s="1"/>
  <c r="Z5157" i="5" s="1"/>
  <c r="Z5158" i="5" s="1"/>
  <c r="AA5150" i="5"/>
  <c r="AA5151" i="5" s="1"/>
  <c r="AA5152" i="5" s="1"/>
  <c r="AA5153" i="5" s="1"/>
  <c r="AA5154" i="5" s="1"/>
  <c r="AA5155" i="5" s="1"/>
  <c r="AA5156" i="5" s="1"/>
  <c r="AA5157" i="5" s="1"/>
  <c r="AA5158" i="5" s="1"/>
  <c r="AB5150" i="5"/>
  <c r="AB5151" i="5" s="1"/>
  <c r="AB5152" i="5" s="1"/>
  <c r="AB5153" i="5" s="1"/>
  <c r="AB5154" i="5" s="1"/>
  <c r="AB5155" i="5" s="1"/>
  <c r="AB5156" i="5" s="1"/>
  <c r="AB5157" i="5" s="1"/>
  <c r="AB5158" i="5" s="1"/>
  <c r="X5182" i="5"/>
  <c r="W5182" i="5"/>
  <c r="V5182" i="5"/>
  <c r="U5182" i="5"/>
  <c r="S5182" i="5"/>
  <c r="R5182" i="5"/>
  <c r="Q5182" i="5"/>
  <c r="P5182" i="5"/>
  <c r="X5181" i="5"/>
  <c r="W5181" i="5"/>
  <c r="V5181" i="5"/>
  <c r="U5181" i="5"/>
  <c r="S5181" i="5"/>
  <c r="R5181" i="5"/>
  <c r="Q5181" i="5"/>
  <c r="P5181" i="5"/>
  <c r="X5180" i="5"/>
  <c r="W5180" i="5"/>
  <c r="V5180" i="5"/>
  <c r="U5180" i="5"/>
  <c r="S5180" i="5"/>
  <c r="R5180" i="5"/>
  <c r="Q5180" i="5"/>
  <c r="P5180" i="5"/>
  <c r="X5179" i="5"/>
  <c r="W5179" i="5"/>
  <c r="V5179" i="5"/>
  <c r="U5179" i="5"/>
  <c r="S5179" i="5"/>
  <c r="R5179" i="5"/>
  <c r="Q5179" i="5"/>
  <c r="P5179" i="5"/>
  <c r="X5178" i="5"/>
  <c r="W5178" i="5"/>
  <c r="V5178" i="5"/>
  <c r="U5178" i="5"/>
  <c r="S5178" i="5"/>
  <c r="R5178" i="5"/>
  <c r="Q5178" i="5"/>
  <c r="P5178" i="5"/>
  <c r="X5177" i="5"/>
  <c r="W5177" i="5"/>
  <c r="V5177" i="5"/>
  <c r="U5177" i="5"/>
  <c r="S5177" i="5"/>
  <c r="R5177" i="5"/>
  <c r="Q5177" i="5"/>
  <c r="P5177" i="5"/>
  <c r="X5176" i="5"/>
  <c r="W5176" i="5"/>
  <c r="V5176" i="5"/>
  <c r="U5176" i="5"/>
  <c r="S5176" i="5"/>
  <c r="R5176" i="5"/>
  <c r="Q5176" i="5"/>
  <c r="P5176" i="5"/>
  <c r="X5175" i="5"/>
  <c r="W5175" i="5"/>
  <c r="V5175" i="5"/>
  <c r="U5175" i="5"/>
  <c r="S5175" i="5"/>
  <c r="R5175" i="5"/>
  <c r="Q5175" i="5"/>
  <c r="P5175" i="5"/>
  <c r="X5174" i="5"/>
  <c r="W5174" i="5"/>
  <c r="V5174" i="5"/>
  <c r="U5174" i="5"/>
  <c r="S5174" i="5"/>
  <c r="R5174" i="5"/>
  <c r="Q5174" i="5"/>
  <c r="P5174" i="5"/>
  <c r="D5152" i="5"/>
  <c r="D5155" i="5" s="1"/>
  <c r="D5158" i="5" s="1"/>
  <c r="D5161" i="5" s="1"/>
  <c r="D5164" i="5" s="1"/>
  <c r="D5167" i="5" s="1"/>
  <c r="D5170" i="5" s="1"/>
  <c r="D5173" i="5" s="1"/>
  <c r="D5176" i="5" s="1"/>
  <c r="D5179" i="5" s="1"/>
  <c r="D5182" i="5" s="1"/>
  <c r="N5148" i="5"/>
  <c r="N5149" i="5" s="1"/>
  <c r="A5153" i="5" s="1"/>
  <c r="C5153" i="5" s="1"/>
  <c r="D5148" i="5"/>
  <c r="D5151" i="5" s="1"/>
  <c r="D5154" i="5" s="1"/>
  <c r="D5157" i="5" s="1"/>
  <c r="D5160" i="5" s="1"/>
  <c r="D5163" i="5" s="1"/>
  <c r="D5166" i="5" s="1"/>
  <c r="D5169" i="5" s="1"/>
  <c r="D5172" i="5" s="1"/>
  <c r="D5175" i="5" s="1"/>
  <c r="D5178" i="5" s="1"/>
  <c r="D5181" i="5" s="1"/>
  <c r="D5147" i="5"/>
  <c r="AL1755" i="5"/>
  <c r="AK1755" i="5"/>
  <c r="AJ1755" i="5"/>
  <c r="AP1754" i="5"/>
  <c r="AO1754" i="5"/>
  <c r="AN1754" i="5"/>
  <c r="AH1754" i="5"/>
  <c r="H1754" i="5"/>
  <c r="N4652" i="5"/>
  <c r="N4653" i="5" s="1"/>
  <c r="N4654" i="5" s="1"/>
  <c r="N4655" i="5" s="1"/>
  <c r="N4656" i="5" s="1"/>
  <c r="N4657" i="5" s="1"/>
  <c r="N4658" i="5" s="1"/>
  <c r="N4659" i="5" s="1"/>
  <c r="N4660" i="5" s="1"/>
  <c r="N4661" i="5" s="1"/>
  <c r="N4662" i="5" s="1"/>
  <c r="H4650" i="5"/>
  <c r="S3767" i="5"/>
  <c r="F3767" i="5" s="1"/>
  <c r="H3766" i="5"/>
  <c r="U3711" i="5"/>
  <c r="F3712" i="5" s="1"/>
  <c r="T3711" i="5"/>
  <c r="F3711" i="5" s="1"/>
  <c r="H3710" i="5"/>
  <c r="H3613" i="5"/>
  <c r="G4079" i="5"/>
  <c r="H4079" i="5" s="1"/>
  <c r="Q4078" i="5"/>
  <c r="F4079" i="5" s="1"/>
  <c r="P4078" i="5"/>
  <c r="F4078" i="5" s="1"/>
  <c r="O4078" i="5"/>
  <c r="F4077" i="5" s="1"/>
  <c r="G4078" i="5"/>
  <c r="H4078" i="5" s="1"/>
  <c r="G4077" i="5"/>
  <c r="H4077" i="5" s="1"/>
  <c r="H4076" i="5"/>
  <c r="P4001" i="5"/>
  <c r="F4001" i="5" s="1"/>
  <c r="O4001" i="5"/>
  <c r="F4000" i="5" s="1"/>
  <c r="G4001" i="5"/>
  <c r="H4001" i="5" s="1"/>
  <c r="G4000" i="5"/>
  <c r="H4000" i="5" s="1"/>
  <c r="H3999" i="5"/>
  <c r="P3905" i="5"/>
  <c r="F3905" i="5" s="1"/>
  <c r="O3905" i="5"/>
  <c r="F3904" i="5" s="1"/>
  <c r="G3905" i="5"/>
  <c r="H3905" i="5" s="1"/>
  <c r="G3904" i="5"/>
  <c r="H3904" i="5" s="1"/>
  <c r="H3903" i="5"/>
  <c r="H3912" i="5"/>
  <c r="H3913" i="5"/>
  <c r="H3914" i="5"/>
  <c r="G241" i="5"/>
  <c r="H241" i="5" s="1"/>
  <c r="G240" i="5"/>
  <c r="H240" i="5" s="1"/>
  <c r="G239" i="5"/>
  <c r="H239" i="5" s="1"/>
  <c r="G238" i="5"/>
  <c r="H238" i="5" s="1"/>
  <c r="G237" i="5"/>
  <c r="H237" i="5" s="1"/>
  <c r="G236" i="5"/>
  <c r="H236" i="5" s="1"/>
  <c r="G235" i="5"/>
  <c r="H235" i="5" s="1"/>
  <c r="G248" i="5"/>
  <c r="H248" i="5" s="1"/>
  <c r="G247" i="5"/>
  <c r="H247" i="5" s="1"/>
  <c r="G246" i="5"/>
  <c r="H246" i="5" s="1"/>
  <c r="G245" i="5"/>
  <c r="H245" i="5" s="1"/>
  <c r="G244" i="5"/>
  <c r="H244" i="5" s="1"/>
  <c r="G243" i="5"/>
  <c r="H243" i="5" s="1"/>
  <c r="G242" i="5"/>
  <c r="H242" i="5" s="1"/>
  <c r="U243" i="5"/>
  <c r="F248" i="5" s="1"/>
  <c r="T243" i="5"/>
  <c r="F247" i="5" s="1"/>
  <c r="S243" i="5"/>
  <c r="F246" i="5" s="1"/>
  <c r="R243" i="5"/>
  <c r="F245" i="5" s="1"/>
  <c r="Q243" i="5"/>
  <c r="F244" i="5" s="1"/>
  <c r="P243" i="5"/>
  <c r="F243" i="5" s="1"/>
  <c r="O243" i="5"/>
  <c r="F242" i="5" s="1"/>
  <c r="P236" i="5"/>
  <c r="F236" i="5" s="1"/>
  <c r="M242" i="5"/>
  <c r="Q236" i="5"/>
  <c r="F237" i="5" s="1"/>
  <c r="U236" i="5"/>
  <c r="F241" i="5" s="1"/>
  <c r="T236" i="5"/>
  <c r="F240" i="5" s="1"/>
  <c r="S236" i="5"/>
  <c r="F239" i="5" s="1"/>
  <c r="R236" i="5"/>
  <c r="F238" i="5" s="1"/>
  <c r="O236" i="5"/>
  <c r="F235" i="5" s="1"/>
  <c r="H234" i="5"/>
  <c r="AZ1292" i="5"/>
  <c r="AY1292" i="5"/>
  <c r="AW1292" i="5"/>
  <c r="AX1292" i="5" s="1"/>
  <c r="AU1292" i="5"/>
  <c r="AV1292" i="5" s="1"/>
  <c r="AR1292" i="5"/>
  <c r="AO1292" i="5"/>
  <c r="AN1292" i="5"/>
  <c r="AL1292" i="5"/>
  <c r="AK1292" i="5"/>
  <c r="AJ1292" i="5"/>
  <c r="AI1292" i="5"/>
  <c r="AZ1288" i="5"/>
  <c r="AY1288" i="5"/>
  <c r="AW1288" i="5"/>
  <c r="AX1288" i="5" s="1"/>
  <c r="AU1288" i="5"/>
  <c r="AV1288" i="5" s="1"/>
  <c r="AR1288" i="5"/>
  <c r="AT1288" i="5" s="1"/>
  <c r="AO1288" i="5"/>
  <c r="AN1288" i="5"/>
  <c r="AL1288" i="5"/>
  <c r="AK1288" i="5"/>
  <c r="AJ1288" i="5"/>
  <c r="AI1288" i="5"/>
  <c r="T1730" i="5"/>
  <c r="M1730" i="5" s="1"/>
  <c r="F1730" i="5" s="1"/>
  <c r="G1730" i="5" s="1"/>
  <c r="H1730" i="5" s="1"/>
  <c r="M1716" i="5"/>
  <c r="F1716" i="5" s="1"/>
  <c r="G1716" i="5" s="1"/>
  <c r="H1716" i="5" s="1"/>
  <c r="M1727" i="5"/>
  <c r="F1727" i="5" s="1"/>
  <c r="G1727" i="5" s="1"/>
  <c r="H1727" i="5" s="1"/>
  <c r="M1725" i="5"/>
  <c r="F1725" i="5" s="1"/>
  <c r="G1725" i="5" s="1"/>
  <c r="H1725" i="5" s="1"/>
  <c r="M1718" i="5"/>
  <c r="F1718" i="5" s="1"/>
  <c r="G1718" i="5" s="1"/>
  <c r="H1718" i="5" s="1"/>
  <c r="T880" i="5"/>
  <c r="M880" i="5" s="1"/>
  <c r="F880" i="5" s="1"/>
  <c r="G880" i="5" s="1"/>
  <c r="H880" i="5" s="1"/>
  <c r="T1732" i="5"/>
  <c r="M1732" i="5" s="1"/>
  <c r="F1732" i="5" s="1"/>
  <c r="G1732" i="5" s="1"/>
  <c r="H1732" i="5" s="1"/>
  <c r="T1733" i="5"/>
  <c r="M1733" i="5" s="1"/>
  <c r="F1733" i="5" s="1"/>
  <c r="G1733" i="5" s="1"/>
  <c r="H1733" i="5" s="1"/>
  <c r="T1731" i="5"/>
  <c r="M1731" i="5" s="1"/>
  <c r="F1731" i="5" s="1"/>
  <c r="G1731" i="5" s="1"/>
  <c r="H1731" i="5" s="1"/>
  <c r="T1729" i="5"/>
  <c r="M1729" i="5" s="1"/>
  <c r="F1729" i="5" s="1"/>
  <c r="G1729" i="5" s="1"/>
  <c r="H1729" i="5" s="1"/>
  <c r="T2566" i="5"/>
  <c r="M2566" i="5" s="1"/>
  <c r="F2566" i="5" s="1"/>
  <c r="G2566" i="5" s="1"/>
  <c r="H2566" i="5" s="1"/>
  <c r="T2565" i="5"/>
  <c r="M2565" i="5" s="1"/>
  <c r="F2565" i="5" s="1"/>
  <c r="G2565" i="5" s="1"/>
  <c r="H2565" i="5" s="1"/>
  <c r="AH2165" i="5"/>
  <c r="AN2165" i="5"/>
  <c r="AO2165" i="5"/>
  <c r="AP2165" i="5"/>
  <c r="AR2165" i="5"/>
  <c r="AS2165" i="5" s="1"/>
  <c r="AU2165" i="5"/>
  <c r="AV2165" i="5" s="1"/>
  <c r="AW2165" i="5"/>
  <c r="AX2165" i="5" s="1"/>
  <c r="AH2166" i="5"/>
  <c r="AJ2166" i="5" s="1"/>
  <c r="AN2166" i="5"/>
  <c r="AO2166" i="5"/>
  <c r="AP2166" i="5"/>
  <c r="AR2166" i="5"/>
  <c r="AT2166" i="5" s="1"/>
  <c r="AU2166" i="5"/>
  <c r="AV2166" i="5" s="1"/>
  <c r="AW2166" i="5"/>
  <c r="AX2166" i="5" s="1"/>
  <c r="AH2167" i="5"/>
  <c r="AJ2167" i="5" s="1"/>
  <c r="AN2167" i="5"/>
  <c r="AO2167" i="5"/>
  <c r="AP2167" i="5"/>
  <c r="AR2167" i="5"/>
  <c r="AU2167" i="5"/>
  <c r="AV2167" i="5" s="1"/>
  <c r="AW2167" i="5"/>
  <c r="AX2167" i="5" s="1"/>
  <c r="X5145" i="5"/>
  <c r="W5145" i="5"/>
  <c r="V5145" i="5"/>
  <c r="U5145" i="5"/>
  <c r="S5145" i="5"/>
  <c r="R5145" i="5"/>
  <c r="Q5145" i="5"/>
  <c r="P5145" i="5"/>
  <c r="X5144" i="5"/>
  <c r="W5144" i="5"/>
  <c r="V5144" i="5"/>
  <c r="U5144" i="5"/>
  <c r="S5144" i="5"/>
  <c r="R5144" i="5"/>
  <c r="Q5144" i="5"/>
  <c r="P5144" i="5"/>
  <c r="A5144" i="5"/>
  <c r="C5144" i="5" s="1"/>
  <c r="X5143" i="5"/>
  <c r="W5143" i="5"/>
  <c r="V5143" i="5"/>
  <c r="U5143" i="5"/>
  <c r="S5143" i="5"/>
  <c r="R5143" i="5"/>
  <c r="Q5143" i="5"/>
  <c r="P5143" i="5"/>
  <c r="C5143" i="5"/>
  <c r="X5142" i="5"/>
  <c r="W5142" i="5"/>
  <c r="V5142" i="5"/>
  <c r="U5142" i="5"/>
  <c r="S5142" i="5"/>
  <c r="R5142" i="5"/>
  <c r="Q5142" i="5"/>
  <c r="P5142" i="5"/>
  <c r="X5141" i="5"/>
  <c r="W5141" i="5"/>
  <c r="V5141" i="5"/>
  <c r="U5141" i="5"/>
  <c r="S5141" i="5"/>
  <c r="R5141" i="5"/>
  <c r="Q5141" i="5"/>
  <c r="P5141" i="5"/>
  <c r="A5141" i="5"/>
  <c r="C5141" i="5" s="1"/>
  <c r="X5140" i="5"/>
  <c r="W5140" i="5"/>
  <c r="V5140" i="5"/>
  <c r="U5140" i="5"/>
  <c r="S5140" i="5"/>
  <c r="R5140" i="5"/>
  <c r="Q5140" i="5"/>
  <c r="P5140" i="5"/>
  <c r="C5140" i="5"/>
  <c r="X5139" i="5"/>
  <c r="W5139" i="5"/>
  <c r="V5139" i="5"/>
  <c r="U5139" i="5"/>
  <c r="S5139" i="5"/>
  <c r="R5139" i="5"/>
  <c r="Q5139" i="5"/>
  <c r="P5139" i="5"/>
  <c r="X5138" i="5"/>
  <c r="W5138" i="5"/>
  <c r="V5138" i="5"/>
  <c r="U5138" i="5"/>
  <c r="S5138" i="5"/>
  <c r="R5138" i="5"/>
  <c r="Q5138" i="5"/>
  <c r="P5138" i="5"/>
  <c r="A5138" i="5"/>
  <c r="X5137" i="5"/>
  <c r="W5137" i="5"/>
  <c r="V5137" i="5"/>
  <c r="U5137" i="5"/>
  <c r="S5137" i="5"/>
  <c r="R5137" i="5"/>
  <c r="Q5137" i="5"/>
  <c r="P5137" i="5"/>
  <c r="C5137" i="5"/>
  <c r="A5135" i="5"/>
  <c r="C5135" i="5" s="1"/>
  <c r="C5134" i="5"/>
  <c r="A5132" i="5"/>
  <c r="C5132" i="5" s="1"/>
  <c r="C5131" i="5"/>
  <c r="A5129" i="5"/>
  <c r="C5129" i="5" s="1"/>
  <c r="C5128" i="5"/>
  <c r="A5126" i="5"/>
  <c r="C5126" i="5" s="1"/>
  <c r="C5125" i="5"/>
  <c r="A5123" i="5"/>
  <c r="C5123" i="5" s="1"/>
  <c r="C5122" i="5"/>
  <c r="A5120" i="5"/>
  <c r="C5120" i="5" s="1"/>
  <c r="C5119" i="5"/>
  <c r="A5117" i="5"/>
  <c r="A5118" i="5" s="1"/>
  <c r="C5118" i="5" s="1"/>
  <c r="C5116" i="5"/>
  <c r="D5115" i="5"/>
  <c r="D5118" i="5" s="1"/>
  <c r="D5121" i="5" s="1"/>
  <c r="D5124" i="5" s="1"/>
  <c r="D5127" i="5" s="1"/>
  <c r="D5130" i="5" s="1"/>
  <c r="D5133" i="5" s="1"/>
  <c r="D5136" i="5" s="1"/>
  <c r="D5139" i="5" s="1"/>
  <c r="D5142" i="5" s="1"/>
  <c r="D5145" i="5" s="1"/>
  <c r="A5114" i="5"/>
  <c r="C5114" i="5" s="1"/>
  <c r="C5113" i="5"/>
  <c r="N5111" i="5"/>
  <c r="N5112" i="5" s="1"/>
  <c r="N5113" i="5" s="1"/>
  <c r="N5114" i="5" s="1"/>
  <c r="N5115" i="5" s="1"/>
  <c r="N5116" i="5" s="1"/>
  <c r="N5117" i="5" s="1"/>
  <c r="N5118" i="5" s="1"/>
  <c r="N5119" i="5" s="1"/>
  <c r="N5120" i="5" s="1"/>
  <c r="N5121" i="5" s="1"/>
  <c r="D5111" i="5"/>
  <c r="D5114" i="5" s="1"/>
  <c r="D5117" i="5" s="1"/>
  <c r="D5120" i="5" s="1"/>
  <c r="D5123" i="5" s="1"/>
  <c r="D5126" i="5" s="1"/>
  <c r="D5129" i="5" s="1"/>
  <c r="D5132" i="5" s="1"/>
  <c r="D5135" i="5" s="1"/>
  <c r="D5138" i="5" s="1"/>
  <c r="D5141" i="5" s="1"/>
  <c r="D5144" i="5" s="1"/>
  <c r="A5111" i="5"/>
  <c r="A5112" i="5" s="1"/>
  <c r="C5112" i="5" s="1"/>
  <c r="D5110" i="5"/>
  <c r="C5110" i="5"/>
  <c r="N4639" i="5"/>
  <c r="N4640" i="5" s="1"/>
  <c r="N4641" i="5" s="1"/>
  <c r="N4642" i="5" s="1"/>
  <c r="N4643" i="5" s="1"/>
  <c r="N4644" i="5" s="1"/>
  <c r="N4645" i="5" s="1"/>
  <c r="N4646" i="5" s="1"/>
  <c r="N4647" i="5" s="1"/>
  <c r="N4648" i="5" s="1"/>
  <c r="N4649" i="5" s="1"/>
  <c r="N4613" i="5"/>
  <c r="N4614" i="5" s="1"/>
  <c r="N4615" i="5" s="1"/>
  <c r="N4616" i="5" s="1"/>
  <c r="N4617" i="5" s="1"/>
  <c r="N4618" i="5" s="1"/>
  <c r="N4619" i="5" s="1"/>
  <c r="N4620" i="5" s="1"/>
  <c r="N4621" i="5" s="1"/>
  <c r="N4622" i="5" s="1"/>
  <c r="N4623" i="5" s="1"/>
  <c r="H4637" i="5"/>
  <c r="O4458" i="5"/>
  <c r="O4462" i="5" s="1"/>
  <c r="O4466" i="5" s="1"/>
  <c r="O4467" i="5" s="1"/>
  <c r="H4465" i="5"/>
  <c r="Q4207" i="5"/>
  <c r="F4207" i="5" s="1"/>
  <c r="G4207" i="5"/>
  <c r="H4207" i="5" s="1"/>
  <c r="H4072" i="5"/>
  <c r="H3996" i="5"/>
  <c r="H3900" i="5"/>
  <c r="H3761" i="5"/>
  <c r="H3701" i="5"/>
  <c r="H3596" i="5"/>
  <c r="M227" i="5"/>
  <c r="N227" i="5"/>
  <c r="H219" i="5"/>
  <c r="H18" i="5"/>
  <c r="T1728" i="5"/>
  <c r="M1728" i="5" s="1"/>
  <c r="F1728" i="5" s="1"/>
  <c r="G1728" i="5" s="1"/>
  <c r="H1728" i="5" s="1"/>
  <c r="T1726" i="5"/>
  <c r="M1726" i="5" s="1"/>
  <c r="F1726" i="5" s="1"/>
  <c r="G1726" i="5" s="1"/>
  <c r="H1726" i="5" s="1"/>
  <c r="AP2133" i="5"/>
  <c r="M2133" i="5"/>
  <c r="G2133" i="5"/>
  <c r="H2133" i="5" s="1"/>
  <c r="M1276" i="5"/>
  <c r="F1276" i="5" s="1"/>
  <c r="AM1276" i="5" s="1"/>
  <c r="T1299" i="5"/>
  <c r="T1298" i="5"/>
  <c r="M1298" i="5" s="1"/>
  <c r="F1298" i="5" s="1"/>
  <c r="G1298" i="5" s="1"/>
  <c r="H1298" i="5" s="1"/>
  <c r="T1297" i="5"/>
  <c r="AP1297" i="5" s="1"/>
  <c r="AZ1299" i="5"/>
  <c r="AY1299" i="5"/>
  <c r="AW1299" i="5"/>
  <c r="AX1299" i="5" s="1"/>
  <c r="AU1299" i="5"/>
  <c r="AV1299" i="5" s="1"/>
  <c r="AR1299" i="5"/>
  <c r="AT1299" i="5" s="1"/>
  <c r="AO1299" i="5"/>
  <c r="AN1299" i="5"/>
  <c r="AL1299" i="5"/>
  <c r="AK1299" i="5"/>
  <c r="AJ1299" i="5"/>
  <c r="AI1299" i="5"/>
  <c r="AZ1298" i="5"/>
  <c r="AY1298" i="5"/>
  <c r="AW1298" i="5"/>
  <c r="AX1298" i="5" s="1"/>
  <c r="AU1298" i="5"/>
  <c r="AV1298" i="5" s="1"/>
  <c r="AR1298" i="5"/>
  <c r="AT1298" i="5" s="1"/>
  <c r="AO1298" i="5"/>
  <c r="AN1298" i="5"/>
  <c r="AL1298" i="5"/>
  <c r="AK1298" i="5"/>
  <c r="AJ1298" i="5"/>
  <c r="AI1298" i="5"/>
  <c r="AZ1297" i="5"/>
  <c r="AY1297" i="5"/>
  <c r="AW1297" i="5"/>
  <c r="AX1297" i="5" s="1"/>
  <c r="AU1297" i="5"/>
  <c r="AV1297" i="5" s="1"/>
  <c r="AR1297" i="5"/>
  <c r="AT1297" i="5" s="1"/>
  <c r="AO1297" i="5"/>
  <c r="AN1297" i="5"/>
  <c r="AL1297" i="5"/>
  <c r="AK1297" i="5"/>
  <c r="AJ1297" i="5"/>
  <c r="AI1297" i="5"/>
  <c r="H6163" i="5"/>
  <c r="H4452" i="5"/>
  <c r="G4205" i="5"/>
  <c r="H4205" i="5" s="1"/>
  <c r="G4203" i="5"/>
  <c r="H4203" i="5" s="1"/>
  <c r="G4201" i="5"/>
  <c r="H4201" i="5" s="1"/>
  <c r="G4199" i="5"/>
  <c r="H4199" i="5" s="1"/>
  <c r="H4198" i="5"/>
  <c r="G4197" i="5"/>
  <c r="H4197" i="5" s="1"/>
  <c r="H4196" i="5"/>
  <c r="G4195" i="5"/>
  <c r="H4195" i="5" s="1"/>
  <c r="Q4205" i="5"/>
  <c r="F4205" i="5" s="1"/>
  <c r="Q4203" i="5"/>
  <c r="F4203" i="5" s="1"/>
  <c r="Q4201" i="5"/>
  <c r="F4201" i="5" s="1"/>
  <c r="Q4199" i="5"/>
  <c r="F4199" i="5" s="1"/>
  <c r="Q4197" i="5"/>
  <c r="F4197" i="5" s="1"/>
  <c r="Q4195" i="5"/>
  <c r="F4195" i="5" s="1"/>
  <c r="A5074" i="5"/>
  <c r="A5075" i="5" s="1"/>
  <c r="C5075" i="5" s="1"/>
  <c r="X5108" i="5"/>
  <c r="W5108" i="5"/>
  <c r="V5108" i="5"/>
  <c r="U5108" i="5"/>
  <c r="S5108" i="5"/>
  <c r="R5108" i="5"/>
  <c r="Q5108" i="5"/>
  <c r="P5108" i="5"/>
  <c r="X5107" i="5"/>
  <c r="W5107" i="5"/>
  <c r="V5107" i="5"/>
  <c r="U5107" i="5"/>
  <c r="S5107" i="5"/>
  <c r="R5107" i="5"/>
  <c r="Q5107" i="5"/>
  <c r="P5107" i="5"/>
  <c r="A5107" i="5"/>
  <c r="A5108" i="5" s="1"/>
  <c r="C5108" i="5" s="1"/>
  <c r="X5106" i="5"/>
  <c r="W5106" i="5"/>
  <c r="V5106" i="5"/>
  <c r="U5106" i="5"/>
  <c r="S5106" i="5"/>
  <c r="R5106" i="5"/>
  <c r="Q5106" i="5"/>
  <c r="P5106" i="5"/>
  <c r="C5106" i="5"/>
  <c r="X5105" i="5"/>
  <c r="W5105" i="5"/>
  <c r="V5105" i="5"/>
  <c r="U5105" i="5"/>
  <c r="S5105" i="5"/>
  <c r="R5105" i="5"/>
  <c r="Q5105" i="5"/>
  <c r="P5105" i="5"/>
  <c r="X5104" i="5"/>
  <c r="W5104" i="5"/>
  <c r="V5104" i="5"/>
  <c r="U5104" i="5"/>
  <c r="S5104" i="5"/>
  <c r="R5104" i="5"/>
  <c r="Q5104" i="5"/>
  <c r="P5104" i="5"/>
  <c r="A5104" i="5"/>
  <c r="X5103" i="5"/>
  <c r="W5103" i="5"/>
  <c r="V5103" i="5"/>
  <c r="U5103" i="5"/>
  <c r="S5103" i="5"/>
  <c r="R5103" i="5"/>
  <c r="Q5103" i="5"/>
  <c r="P5103" i="5"/>
  <c r="C5103" i="5"/>
  <c r="X5102" i="5"/>
  <c r="W5102" i="5"/>
  <c r="V5102" i="5"/>
  <c r="U5102" i="5"/>
  <c r="S5102" i="5"/>
  <c r="R5102" i="5"/>
  <c r="Q5102" i="5"/>
  <c r="P5102" i="5"/>
  <c r="X5101" i="5"/>
  <c r="W5101" i="5"/>
  <c r="V5101" i="5"/>
  <c r="U5101" i="5"/>
  <c r="S5101" i="5"/>
  <c r="R5101" i="5"/>
  <c r="Q5101" i="5"/>
  <c r="P5101" i="5"/>
  <c r="A5101" i="5"/>
  <c r="A5102" i="5" s="1"/>
  <c r="C5102" i="5" s="1"/>
  <c r="X5100" i="5"/>
  <c r="W5100" i="5"/>
  <c r="V5100" i="5"/>
  <c r="U5100" i="5"/>
  <c r="S5100" i="5"/>
  <c r="R5100" i="5"/>
  <c r="Q5100" i="5"/>
  <c r="P5100" i="5"/>
  <c r="C5100" i="5"/>
  <c r="A5098" i="5"/>
  <c r="A5099" i="5" s="1"/>
  <c r="C5099" i="5" s="1"/>
  <c r="C5097" i="5"/>
  <c r="A5095" i="5"/>
  <c r="A5096" i="5" s="1"/>
  <c r="C5096" i="5" s="1"/>
  <c r="C5094" i="5"/>
  <c r="A5092" i="5"/>
  <c r="A5093" i="5" s="1"/>
  <c r="C5093" i="5" s="1"/>
  <c r="C5091" i="5"/>
  <c r="A5089" i="5"/>
  <c r="C5089" i="5" s="1"/>
  <c r="C5088" i="5"/>
  <c r="A5086" i="5"/>
  <c r="C5085" i="5"/>
  <c r="A5083" i="5"/>
  <c r="C5082" i="5"/>
  <c r="A5080" i="5"/>
  <c r="C5079" i="5"/>
  <c r="D5078" i="5"/>
  <c r="A5077" i="5"/>
  <c r="C5076" i="5"/>
  <c r="W5074" i="5"/>
  <c r="N5074" i="5"/>
  <c r="N5075" i="5" s="1"/>
  <c r="N5076" i="5" s="1"/>
  <c r="N5077" i="5" s="1"/>
  <c r="N5078" i="5" s="1"/>
  <c r="N5079" i="5" s="1"/>
  <c r="N5080" i="5" s="1"/>
  <c r="N5081" i="5" s="1"/>
  <c r="N5082" i="5" s="1"/>
  <c r="N5083" i="5" s="1"/>
  <c r="N5084" i="5" s="1"/>
  <c r="D5074" i="5"/>
  <c r="D5077" i="5" s="1"/>
  <c r="D5080" i="5" s="1"/>
  <c r="D5083" i="5" s="1"/>
  <c r="D5086" i="5" s="1"/>
  <c r="D5089" i="5" s="1"/>
  <c r="D5092" i="5" s="1"/>
  <c r="D5095" i="5" s="1"/>
  <c r="D5098" i="5" s="1"/>
  <c r="D5101" i="5" s="1"/>
  <c r="D5104" i="5" s="1"/>
  <c r="D5107" i="5" s="1"/>
  <c r="D5073" i="5"/>
  <c r="D5076" i="5" s="1"/>
  <c r="C5073" i="5"/>
  <c r="N4626" i="5"/>
  <c r="N4627" i="5" s="1"/>
  <c r="N4628" i="5" s="1"/>
  <c r="N4629" i="5" s="1"/>
  <c r="N4630" i="5" s="1"/>
  <c r="N4631" i="5" s="1"/>
  <c r="N4632" i="5" s="1"/>
  <c r="N4633" i="5" s="1"/>
  <c r="N4634" i="5" s="1"/>
  <c r="N4635" i="5" s="1"/>
  <c r="N4636" i="5" s="1"/>
  <c r="H4624" i="5"/>
  <c r="H4461" i="5"/>
  <c r="H4068" i="5"/>
  <c r="H3993" i="5"/>
  <c r="H3897" i="5"/>
  <c r="H3756" i="5"/>
  <c r="H3692" i="5"/>
  <c r="H3579" i="5"/>
  <c r="N212" i="5"/>
  <c r="H204" i="5"/>
  <c r="T1710" i="5"/>
  <c r="T1709" i="5"/>
  <c r="T1708" i="5"/>
  <c r="M1708" i="5" s="1"/>
  <c r="F1708" i="5" s="1"/>
  <c r="G1708" i="5" s="1"/>
  <c r="H1708" i="5" s="1"/>
  <c r="T1707" i="5"/>
  <c r="AP1707" i="5" s="1"/>
  <c r="T1706" i="5"/>
  <c r="T1705" i="5"/>
  <c r="M1705" i="5" s="1"/>
  <c r="F1705" i="5" s="1"/>
  <c r="G1705" i="5" s="1"/>
  <c r="H1705" i="5" s="1"/>
  <c r="T1704" i="5"/>
  <c r="T1703" i="5"/>
  <c r="M1703" i="5" s="1"/>
  <c r="F1703" i="5" s="1"/>
  <c r="G1703" i="5" s="1"/>
  <c r="H1703" i="5" s="1"/>
  <c r="T1702" i="5"/>
  <c r="M1702" i="5" s="1"/>
  <c r="F1702" i="5" s="1"/>
  <c r="G1702" i="5" s="1"/>
  <c r="H1702" i="5" s="1"/>
  <c r="T1701" i="5"/>
  <c r="M1701" i="5" s="1"/>
  <c r="F1701" i="5" s="1"/>
  <c r="G1701" i="5" s="1"/>
  <c r="H1701" i="5" s="1"/>
  <c r="T1700" i="5"/>
  <c r="T1699" i="5"/>
  <c r="M1699" i="5" s="1"/>
  <c r="F1699" i="5" s="1"/>
  <c r="AM1699" i="5" s="1"/>
  <c r="T1698" i="5"/>
  <c r="M1698" i="5" s="1"/>
  <c r="F1698" i="5" s="1"/>
  <c r="G1698" i="5" s="1"/>
  <c r="H1698" i="5" s="1"/>
  <c r="T1697" i="5"/>
  <c r="T1696" i="5"/>
  <c r="M1696" i="5" s="1"/>
  <c r="F1696" i="5" s="1"/>
  <c r="G1696" i="5" s="1"/>
  <c r="H1696" i="5" s="1"/>
  <c r="T1695" i="5"/>
  <c r="T1711" i="5"/>
  <c r="T1712" i="5"/>
  <c r="M1712" i="5" s="1"/>
  <c r="F1712" i="5" s="1"/>
  <c r="T1713" i="5"/>
  <c r="M1713" i="5" s="1"/>
  <c r="F1713" i="5" s="1"/>
  <c r="G1713" i="5" s="1"/>
  <c r="H1713" i="5" s="1"/>
  <c r="T1714" i="5"/>
  <c r="T1715" i="5"/>
  <c r="M1715" i="5" s="1"/>
  <c r="F1715" i="5" s="1"/>
  <c r="G1715" i="5" s="1"/>
  <c r="H1715" i="5" s="1"/>
  <c r="T1717" i="5"/>
  <c r="M1717" i="5" s="1"/>
  <c r="F1717" i="5" s="1"/>
  <c r="T1719" i="5"/>
  <c r="AP1719" i="5" s="1"/>
  <c r="T1720" i="5"/>
  <c r="AP1720" i="5" s="1"/>
  <c r="T1721" i="5"/>
  <c r="M1721" i="5" s="1"/>
  <c r="F1721" i="5" s="1"/>
  <c r="T1722" i="5"/>
  <c r="M1722" i="5" s="1"/>
  <c r="F1722" i="5" s="1"/>
  <c r="T1724" i="5"/>
  <c r="T1723" i="5"/>
  <c r="M1723" i="5" s="1"/>
  <c r="F1723" i="5" s="1"/>
  <c r="G1723" i="5" s="1"/>
  <c r="H1723" i="5" s="1"/>
  <c r="T2154" i="5"/>
  <c r="M2154" i="5" s="1"/>
  <c r="F2154" i="5" s="1"/>
  <c r="G2154" i="5" s="1"/>
  <c r="H2154" i="5" s="1"/>
  <c r="AZ1724" i="5"/>
  <c r="AY1724" i="5"/>
  <c r="AW1724" i="5"/>
  <c r="AX1724" i="5" s="1"/>
  <c r="AU1724" i="5"/>
  <c r="AV1724" i="5" s="1"/>
  <c r="AR1724" i="5"/>
  <c r="AS1724" i="5" s="1"/>
  <c r="AO1724" i="5"/>
  <c r="AN1724" i="5"/>
  <c r="AL1724" i="5"/>
  <c r="AK1724" i="5"/>
  <c r="AJ1724" i="5"/>
  <c r="AI1724" i="5"/>
  <c r="AZ1723" i="5"/>
  <c r="AY1723" i="5"/>
  <c r="AW1723" i="5"/>
  <c r="AX1723" i="5" s="1"/>
  <c r="AU1723" i="5"/>
  <c r="AV1723" i="5" s="1"/>
  <c r="AR1723" i="5"/>
  <c r="AO1723" i="5"/>
  <c r="AN1723" i="5"/>
  <c r="AL1723" i="5"/>
  <c r="AK1723" i="5"/>
  <c r="AJ1723" i="5"/>
  <c r="AI1723" i="5"/>
  <c r="T2555" i="5"/>
  <c r="M2555" i="5" s="1"/>
  <c r="F2555" i="5" s="1"/>
  <c r="G2555" i="5" s="1"/>
  <c r="H2555" i="5" s="1"/>
  <c r="T2556" i="5"/>
  <c r="M2556" i="5" s="1"/>
  <c r="F2556" i="5" s="1"/>
  <c r="T2557" i="5"/>
  <c r="T2560" i="5"/>
  <c r="M2560" i="5" s="1"/>
  <c r="F2560" i="5" s="1"/>
  <c r="G2560" i="5" s="1"/>
  <c r="H2560" i="5" s="1"/>
  <c r="M2562" i="5"/>
  <c r="F2562" i="5" s="1"/>
  <c r="G2562" i="5" s="1"/>
  <c r="H2562" i="5" s="1"/>
  <c r="T2564" i="5"/>
  <c r="M2564" i="5" s="1"/>
  <c r="F2564" i="5" s="1"/>
  <c r="G2564" i="5" s="1"/>
  <c r="H2564" i="5" s="1"/>
  <c r="T2563" i="5"/>
  <c r="M2563" i="5" s="1"/>
  <c r="F2563" i="5" s="1"/>
  <c r="G2563" i="5" s="1"/>
  <c r="H2563" i="5" s="1"/>
  <c r="T877" i="5"/>
  <c r="M2144" i="5"/>
  <c r="F2144" i="5" s="1"/>
  <c r="G2144" i="5" s="1"/>
  <c r="H2144" i="5" s="1"/>
  <c r="M2143" i="5"/>
  <c r="F2143" i="5" s="1"/>
  <c r="G2143" i="5" s="1"/>
  <c r="H2143" i="5" s="1"/>
  <c r="M2142" i="5"/>
  <c r="F2142" i="5" s="1"/>
  <c r="M2141" i="5"/>
  <c r="F2141" i="5" s="1"/>
  <c r="G2141" i="5" s="1"/>
  <c r="H2141" i="5" s="1"/>
  <c r="M2140" i="5"/>
  <c r="F2140" i="5" s="1"/>
  <c r="T2149" i="5"/>
  <c r="M2149" i="5" s="1"/>
  <c r="F2149" i="5" s="1"/>
  <c r="G2149" i="5" s="1"/>
  <c r="H2149" i="5" s="1"/>
  <c r="T2152" i="5"/>
  <c r="M2152" i="5" s="1"/>
  <c r="F2152" i="5" s="1"/>
  <c r="G2152" i="5" s="1"/>
  <c r="H2152" i="5" s="1"/>
  <c r="T2147" i="5"/>
  <c r="M2147" i="5" s="1"/>
  <c r="F2147" i="5" s="1"/>
  <c r="G2147" i="5" s="1"/>
  <c r="H2147" i="5" s="1"/>
  <c r="M468" i="5"/>
  <c r="F468" i="5" s="1"/>
  <c r="G468" i="5" s="1"/>
  <c r="H468" i="5" s="1"/>
  <c r="M467" i="5"/>
  <c r="F467" i="5" s="1"/>
  <c r="M465" i="5"/>
  <c r="F465" i="5" s="1"/>
  <c r="G465" i="5" s="1"/>
  <c r="H465" i="5" s="1"/>
  <c r="AZ465" i="5"/>
  <c r="AY465" i="5"/>
  <c r="AW465" i="5"/>
  <c r="AX465" i="5" s="1"/>
  <c r="AU465" i="5"/>
  <c r="AV465" i="5" s="1"/>
  <c r="AR465" i="5"/>
  <c r="AP465" i="5"/>
  <c r="AO465" i="5"/>
  <c r="AN465" i="5"/>
  <c r="AL465" i="5"/>
  <c r="AK465" i="5"/>
  <c r="AJ465" i="5"/>
  <c r="AI465" i="5"/>
  <c r="AZ463" i="5"/>
  <c r="AY463" i="5"/>
  <c r="AW463" i="5"/>
  <c r="AX463" i="5" s="1"/>
  <c r="AU463" i="5"/>
  <c r="AV463" i="5" s="1"/>
  <c r="AR463" i="5"/>
  <c r="AP463" i="5"/>
  <c r="AO463" i="5"/>
  <c r="AN463" i="5"/>
  <c r="AL463" i="5"/>
  <c r="AK463" i="5"/>
  <c r="AJ463" i="5"/>
  <c r="AI463" i="5"/>
  <c r="AH473" i="5"/>
  <c r="AN473" i="5"/>
  <c r="AO473" i="5"/>
  <c r="AP473" i="5"/>
  <c r="AR473" i="5"/>
  <c r="AT473" i="5" s="1"/>
  <c r="AU473" i="5"/>
  <c r="AV473" i="5" s="1"/>
  <c r="AW473" i="5"/>
  <c r="AX473" i="5" s="1"/>
  <c r="AZ462" i="5"/>
  <c r="AY462" i="5"/>
  <c r="AW462" i="5"/>
  <c r="AX462" i="5" s="1"/>
  <c r="AU462" i="5"/>
  <c r="AV462" i="5" s="1"/>
  <c r="AR462" i="5"/>
  <c r="AT462" i="5" s="1"/>
  <c r="AP462" i="5"/>
  <c r="AO462" i="5"/>
  <c r="AN462" i="5"/>
  <c r="AL462" i="5"/>
  <c r="AK462" i="5"/>
  <c r="AJ462" i="5"/>
  <c r="AI462" i="5"/>
  <c r="T2153" i="5"/>
  <c r="M2153" i="5" s="1"/>
  <c r="F2153" i="5" s="1"/>
  <c r="G2153" i="5" s="1"/>
  <c r="H2153" i="5" s="1"/>
  <c r="T2151" i="5"/>
  <c r="M2151" i="5" s="1"/>
  <c r="F2151" i="5" s="1"/>
  <c r="T2148" i="5"/>
  <c r="M2148" i="5" s="1"/>
  <c r="F2148" i="5" s="1"/>
  <c r="G2148" i="5" s="1"/>
  <c r="H2148" i="5" s="1"/>
  <c r="BD1280" i="5"/>
  <c r="T1280" i="5" s="1"/>
  <c r="M1280" i="5" s="1"/>
  <c r="F1280" i="5" s="1"/>
  <c r="G1280" i="5" s="1"/>
  <c r="H1280" i="5" s="1"/>
  <c r="H5777" i="5"/>
  <c r="H5781" i="5"/>
  <c r="H5780" i="5"/>
  <c r="H5778" i="5"/>
  <c r="H5779" i="5"/>
  <c r="Q4458" i="5"/>
  <c r="G5234" i="5"/>
  <c r="H5234" i="5" s="1"/>
  <c r="Q5234" i="5"/>
  <c r="P5234" i="5"/>
  <c r="F5234" i="5"/>
  <c r="H5232" i="5"/>
  <c r="H5231" i="5"/>
  <c r="H5230" i="5"/>
  <c r="H5229" i="5"/>
  <c r="H5228" i="5"/>
  <c r="C4352" i="5"/>
  <c r="C4351" i="5"/>
  <c r="C4350" i="5"/>
  <c r="C4349" i="5"/>
  <c r="C4348" i="5"/>
  <c r="C4347" i="5"/>
  <c r="C4346" i="5"/>
  <c r="C4345" i="5"/>
  <c r="C4344" i="5"/>
  <c r="C4343" i="5"/>
  <c r="C4342" i="5"/>
  <c r="C4341" i="5"/>
  <c r="C4340" i="5"/>
  <c r="C4339" i="5"/>
  <c r="C4338" i="5"/>
  <c r="C4337" i="5"/>
  <c r="C4336" i="5"/>
  <c r="C4335" i="5"/>
  <c r="C4334" i="5"/>
  <c r="C4333" i="5"/>
  <c r="C4332" i="5"/>
  <c r="C4331" i="5"/>
  <c r="C4330" i="5"/>
  <c r="C4329" i="5"/>
  <c r="C5069" i="5"/>
  <c r="C5066" i="5"/>
  <c r="C5063" i="5"/>
  <c r="C5060" i="5"/>
  <c r="C5057" i="5"/>
  <c r="A5037" i="5"/>
  <c r="A5038" i="5" s="1"/>
  <c r="C5038" i="5" s="1"/>
  <c r="A5055" i="5"/>
  <c r="X5071" i="5"/>
  <c r="W5071" i="5"/>
  <c r="V5071" i="5"/>
  <c r="U5071" i="5"/>
  <c r="S5071" i="5"/>
  <c r="R5071" i="5"/>
  <c r="Q5071" i="5"/>
  <c r="P5071" i="5"/>
  <c r="X5070" i="5"/>
  <c r="W5070" i="5"/>
  <c r="V5070" i="5"/>
  <c r="U5070" i="5"/>
  <c r="S5070" i="5"/>
  <c r="R5070" i="5"/>
  <c r="Q5070" i="5"/>
  <c r="P5070" i="5"/>
  <c r="A5070" i="5"/>
  <c r="C5070" i="5" s="1"/>
  <c r="X5069" i="5"/>
  <c r="W5069" i="5"/>
  <c r="V5069" i="5"/>
  <c r="U5069" i="5"/>
  <c r="S5069" i="5"/>
  <c r="R5069" i="5"/>
  <c r="Q5069" i="5"/>
  <c r="P5069" i="5"/>
  <c r="X5068" i="5"/>
  <c r="W5068" i="5"/>
  <c r="V5068" i="5"/>
  <c r="U5068" i="5"/>
  <c r="S5068" i="5"/>
  <c r="R5068" i="5"/>
  <c r="Q5068" i="5"/>
  <c r="P5068" i="5"/>
  <c r="X5067" i="5"/>
  <c r="W5067" i="5"/>
  <c r="V5067" i="5"/>
  <c r="U5067" i="5"/>
  <c r="S5067" i="5"/>
  <c r="R5067" i="5"/>
  <c r="Q5067" i="5"/>
  <c r="P5067" i="5"/>
  <c r="A5067" i="5"/>
  <c r="X5066" i="5"/>
  <c r="W5066" i="5"/>
  <c r="V5066" i="5"/>
  <c r="U5066" i="5"/>
  <c r="S5066" i="5"/>
  <c r="R5066" i="5"/>
  <c r="Q5066" i="5"/>
  <c r="P5066" i="5"/>
  <c r="X5065" i="5"/>
  <c r="W5065" i="5"/>
  <c r="V5065" i="5"/>
  <c r="U5065" i="5"/>
  <c r="S5065" i="5"/>
  <c r="R5065" i="5"/>
  <c r="Q5065" i="5"/>
  <c r="P5065" i="5"/>
  <c r="X5064" i="5"/>
  <c r="W5064" i="5"/>
  <c r="V5064" i="5"/>
  <c r="U5064" i="5"/>
  <c r="S5064" i="5"/>
  <c r="R5064" i="5"/>
  <c r="Q5064" i="5"/>
  <c r="P5064" i="5"/>
  <c r="A5064" i="5"/>
  <c r="C5064" i="5" s="1"/>
  <c r="X5063" i="5"/>
  <c r="W5063" i="5"/>
  <c r="V5063" i="5"/>
  <c r="U5063" i="5"/>
  <c r="S5063" i="5"/>
  <c r="R5063" i="5"/>
  <c r="Q5063" i="5"/>
  <c r="P5063" i="5"/>
  <c r="A5061" i="5"/>
  <c r="A5058" i="5"/>
  <c r="C5058" i="5" s="1"/>
  <c r="C5054" i="5"/>
  <c r="A5052" i="5"/>
  <c r="C5052" i="5" s="1"/>
  <c r="C5051" i="5"/>
  <c r="A5049" i="5"/>
  <c r="C5049" i="5" s="1"/>
  <c r="C5048" i="5"/>
  <c r="A5046" i="5"/>
  <c r="C5046" i="5" s="1"/>
  <c r="C5045" i="5"/>
  <c r="A5043" i="5"/>
  <c r="C5043" i="5" s="1"/>
  <c r="C5042" i="5"/>
  <c r="D5041" i="5"/>
  <c r="D5044" i="5" s="1"/>
  <c r="D5047" i="5" s="1"/>
  <c r="D5050" i="5" s="1"/>
  <c r="D5053" i="5" s="1"/>
  <c r="D5056" i="5" s="1"/>
  <c r="D5059" i="5" s="1"/>
  <c r="D5062" i="5" s="1"/>
  <c r="D5065" i="5" s="1"/>
  <c r="D5068" i="5" s="1"/>
  <c r="D5071" i="5" s="1"/>
  <c r="A5040" i="5"/>
  <c r="C5039" i="5"/>
  <c r="N5037" i="5"/>
  <c r="N5038" i="5" s="1"/>
  <c r="N5039" i="5" s="1"/>
  <c r="N5040" i="5" s="1"/>
  <c r="N5041" i="5" s="1"/>
  <c r="N5042" i="5" s="1"/>
  <c r="N5043" i="5" s="1"/>
  <c r="N5044" i="5" s="1"/>
  <c r="N5045" i="5" s="1"/>
  <c r="N5046" i="5" s="1"/>
  <c r="N5047" i="5" s="1"/>
  <c r="D5037" i="5"/>
  <c r="D5040" i="5" s="1"/>
  <c r="D5043" i="5" s="1"/>
  <c r="D5046" i="5" s="1"/>
  <c r="D5049" i="5" s="1"/>
  <c r="D5052" i="5" s="1"/>
  <c r="D5055" i="5" s="1"/>
  <c r="D5058" i="5" s="1"/>
  <c r="D5061" i="5" s="1"/>
  <c r="D5064" i="5" s="1"/>
  <c r="D5067" i="5" s="1"/>
  <c r="D5070" i="5" s="1"/>
  <c r="D5036" i="5"/>
  <c r="D5039" i="5" s="1"/>
  <c r="D5042" i="5" s="1"/>
  <c r="D5045" i="5" s="1"/>
  <c r="D5048" i="5" s="1"/>
  <c r="D5051" i="5" s="1"/>
  <c r="D5054" i="5" s="1"/>
  <c r="D5057" i="5" s="1"/>
  <c r="D5060" i="5" s="1"/>
  <c r="D5063" i="5" s="1"/>
  <c r="D5066" i="5" s="1"/>
  <c r="D5069" i="5" s="1"/>
  <c r="H5035" i="5"/>
  <c r="C5036" i="5"/>
  <c r="H4611" i="5"/>
  <c r="P4458" i="5"/>
  <c r="H4457" i="5"/>
  <c r="P3991" i="5"/>
  <c r="P3994" i="5" s="1"/>
  <c r="O3991" i="5"/>
  <c r="G3991" i="5" s="1"/>
  <c r="H3991" i="5" s="1"/>
  <c r="H3990" i="5"/>
  <c r="G3988" i="5"/>
  <c r="H3988" i="5" s="1"/>
  <c r="Q4065" i="5"/>
  <c r="Q4066" i="5" s="1"/>
  <c r="F4067" i="5" s="1"/>
  <c r="P4065" i="5"/>
  <c r="G4066" i="5" s="1"/>
  <c r="H4066" i="5" s="1"/>
  <c r="O4065" i="5"/>
  <c r="O4066" i="5" s="1"/>
  <c r="F4065" i="5" s="1"/>
  <c r="H4064" i="5"/>
  <c r="P3895" i="5"/>
  <c r="P3896" i="5" s="1"/>
  <c r="F3896" i="5" s="1"/>
  <c r="O3895" i="5"/>
  <c r="O3898" i="5" s="1"/>
  <c r="G3898" i="5" s="1"/>
  <c r="H3898" i="5" s="1"/>
  <c r="H3894" i="5"/>
  <c r="H3751" i="5"/>
  <c r="H3562" i="5"/>
  <c r="P3664" i="5"/>
  <c r="H3683" i="5"/>
  <c r="N197" i="5"/>
  <c r="U190" i="5"/>
  <c r="G196" i="5" s="1"/>
  <c r="T190" i="5"/>
  <c r="G195" i="5" s="1"/>
  <c r="S190" i="5"/>
  <c r="G194" i="5" s="1"/>
  <c r="R190" i="5"/>
  <c r="Q190" i="5"/>
  <c r="Q205" i="5" s="1"/>
  <c r="G207" i="5" s="1"/>
  <c r="P190" i="5"/>
  <c r="P205" i="5" s="1"/>
  <c r="G206" i="5" s="1"/>
  <c r="H206" i="5" s="1"/>
  <c r="O190" i="5"/>
  <c r="H189" i="5"/>
  <c r="AZ1295" i="5"/>
  <c r="AY1295" i="5"/>
  <c r="AW1295" i="5"/>
  <c r="AX1295" i="5" s="1"/>
  <c r="AU1295" i="5"/>
  <c r="AV1295" i="5" s="1"/>
  <c r="AR1295" i="5"/>
  <c r="AT1295" i="5" s="1"/>
  <c r="AO1295" i="5"/>
  <c r="AN1295" i="5"/>
  <c r="AL1295" i="5"/>
  <c r="AK1295" i="5"/>
  <c r="AJ1295" i="5"/>
  <c r="AI1295" i="5"/>
  <c r="BD1291" i="5"/>
  <c r="M1287" i="5"/>
  <c r="F1287" i="5" s="1"/>
  <c r="G1287" i="5" s="1"/>
  <c r="H1287" i="5" s="1"/>
  <c r="M1285" i="5"/>
  <c r="F1285" i="5" s="1"/>
  <c r="G1285" i="5" s="1"/>
  <c r="H1285" i="5" s="1"/>
  <c r="M1284" i="5"/>
  <c r="F1284" i="5" s="1"/>
  <c r="G1284" i="5" s="1"/>
  <c r="H1284" i="5" s="1"/>
  <c r="M1286" i="5"/>
  <c r="F1286" i="5" s="1"/>
  <c r="G1286" i="5" s="1"/>
  <c r="H1286" i="5" s="1"/>
  <c r="AZ1286" i="5"/>
  <c r="AY1286" i="5"/>
  <c r="AW1286" i="5"/>
  <c r="AX1286" i="5" s="1"/>
  <c r="AU1286" i="5"/>
  <c r="AV1286" i="5" s="1"/>
  <c r="AR1286" i="5"/>
  <c r="AT1286" i="5" s="1"/>
  <c r="AP1286" i="5"/>
  <c r="AO1286" i="5"/>
  <c r="AN1286" i="5"/>
  <c r="AL1286" i="5"/>
  <c r="AK1286" i="5"/>
  <c r="AJ1286" i="5"/>
  <c r="AI1286" i="5"/>
  <c r="AZ1284" i="5"/>
  <c r="AY1284" i="5"/>
  <c r="AW1284" i="5"/>
  <c r="AX1284" i="5" s="1"/>
  <c r="AU1284" i="5"/>
  <c r="AV1284" i="5" s="1"/>
  <c r="AR1284" i="5"/>
  <c r="AS1284" i="5" s="1"/>
  <c r="AP1284" i="5"/>
  <c r="AO1284" i="5"/>
  <c r="AN1284" i="5"/>
  <c r="AL1284" i="5"/>
  <c r="AK1284" i="5"/>
  <c r="AJ1284" i="5"/>
  <c r="AI1284" i="5"/>
  <c r="H867" i="5"/>
  <c r="M867" i="5"/>
  <c r="F867" i="5" s="1"/>
  <c r="M876" i="5"/>
  <c r="F876" i="5" s="1"/>
  <c r="G876" i="5" s="1"/>
  <c r="H876" i="5" s="1"/>
  <c r="M868" i="5"/>
  <c r="F868" i="5" s="1"/>
  <c r="G868" i="5" s="1"/>
  <c r="H868" i="5" s="1"/>
  <c r="M864" i="5"/>
  <c r="F864" i="5" s="1"/>
  <c r="AZ864" i="5"/>
  <c r="AY864" i="5"/>
  <c r="AW864" i="5"/>
  <c r="AX864" i="5" s="1"/>
  <c r="AU864" i="5"/>
  <c r="AV864" i="5" s="1"/>
  <c r="AR864" i="5"/>
  <c r="AS864" i="5" s="1"/>
  <c r="AN864" i="5"/>
  <c r="AO864" i="5"/>
  <c r="AP864" i="5"/>
  <c r="M865" i="5"/>
  <c r="F865" i="5" s="1"/>
  <c r="AL864" i="5"/>
  <c r="AK864" i="5"/>
  <c r="AJ864" i="5"/>
  <c r="AI864" i="5"/>
  <c r="H864" i="5"/>
  <c r="T2146" i="5"/>
  <c r="M2146" i="5" s="1"/>
  <c r="F2146" i="5" s="1"/>
  <c r="G2146" i="5" s="1"/>
  <c r="H2146" i="5" s="1"/>
  <c r="AZ2142" i="5"/>
  <c r="AY2142" i="5"/>
  <c r="AW2142" i="5"/>
  <c r="AX2142" i="5" s="1"/>
  <c r="AU2142" i="5"/>
  <c r="AV2142" i="5" s="1"/>
  <c r="AR2142" i="5"/>
  <c r="AN2142" i="5"/>
  <c r="AO2142" i="5"/>
  <c r="AP2142" i="5"/>
  <c r="AL2142" i="5"/>
  <c r="AK2142" i="5"/>
  <c r="AJ2142" i="5"/>
  <c r="AI2142" i="5"/>
  <c r="AZ2140" i="5"/>
  <c r="AY2140" i="5"/>
  <c r="AW2140" i="5"/>
  <c r="AX2140" i="5" s="1"/>
  <c r="AU2140" i="5"/>
  <c r="AV2140" i="5" s="1"/>
  <c r="AR2140" i="5"/>
  <c r="AT2140" i="5" s="1"/>
  <c r="AN2140" i="5"/>
  <c r="AO2140" i="5"/>
  <c r="AP2140" i="5"/>
  <c r="AL2140" i="5"/>
  <c r="AK2140" i="5"/>
  <c r="AJ2140" i="5"/>
  <c r="AI2140" i="5"/>
  <c r="M1266" i="5"/>
  <c r="F1266" i="5" s="1"/>
  <c r="M1275" i="5"/>
  <c r="F1275" i="5" s="1"/>
  <c r="G1275" i="5" s="1"/>
  <c r="H1275" i="5" s="1"/>
  <c r="M1270" i="5"/>
  <c r="F1270" i="5" s="1"/>
  <c r="G1270" i="5" s="1"/>
  <c r="H1270" i="5" s="1"/>
  <c r="M1269" i="5"/>
  <c r="F1269" i="5" s="1"/>
  <c r="G1269" i="5" s="1"/>
  <c r="H1269" i="5" s="1"/>
  <c r="M1274" i="5"/>
  <c r="F1274" i="5" s="1"/>
  <c r="H6059" i="5"/>
  <c r="M1283" i="5"/>
  <c r="F1283" i="5" s="1"/>
  <c r="AH1305" i="5"/>
  <c r="AW1305" i="5"/>
  <c r="AX1305" i="5" s="1"/>
  <c r="AU1305" i="5"/>
  <c r="AV1305" i="5" s="1"/>
  <c r="AR1305" i="5"/>
  <c r="AT1305" i="5" s="1"/>
  <c r="AN1305" i="5"/>
  <c r="AO1305" i="5"/>
  <c r="AP1305" i="5"/>
  <c r="M1278" i="5"/>
  <c r="F1278" i="5" s="1"/>
  <c r="H1305" i="5"/>
  <c r="M1282" i="5"/>
  <c r="F1282" i="5" s="1"/>
  <c r="G1282" i="5" s="1"/>
  <c r="H1282" i="5" s="1"/>
  <c r="M1281" i="5"/>
  <c r="F1281" i="5" s="1"/>
  <c r="G1281" i="5" s="1"/>
  <c r="H1281" i="5" s="1"/>
  <c r="AZ1283" i="5"/>
  <c r="AY1283" i="5"/>
  <c r="AW1283" i="5"/>
  <c r="AX1283" i="5" s="1"/>
  <c r="AU1283" i="5"/>
  <c r="AV1283" i="5" s="1"/>
  <c r="AR1283" i="5"/>
  <c r="AN1283" i="5"/>
  <c r="AO1283" i="5"/>
  <c r="AP1283" i="5"/>
  <c r="AL1283" i="5"/>
  <c r="AK1283" i="5"/>
  <c r="AJ1283" i="5"/>
  <c r="AI1283" i="5"/>
  <c r="AZ1282" i="5"/>
  <c r="AY1282" i="5"/>
  <c r="AW1282" i="5"/>
  <c r="AX1282" i="5" s="1"/>
  <c r="AU1282" i="5"/>
  <c r="AV1282" i="5" s="1"/>
  <c r="AR1282" i="5"/>
  <c r="AN1282" i="5"/>
  <c r="AO1282" i="5"/>
  <c r="AP1282" i="5"/>
  <c r="AL1282" i="5"/>
  <c r="AK1282" i="5"/>
  <c r="AJ1282" i="5"/>
  <c r="AI1282" i="5"/>
  <c r="AZ1281" i="5"/>
  <c r="AY1281" i="5"/>
  <c r="AW1281" i="5"/>
  <c r="AX1281" i="5" s="1"/>
  <c r="AU1281" i="5"/>
  <c r="AV1281" i="5" s="1"/>
  <c r="AR1281" i="5"/>
  <c r="AN1281" i="5"/>
  <c r="AO1281" i="5"/>
  <c r="AP1281" i="5"/>
  <c r="M1279" i="5"/>
  <c r="F1279" i="5" s="1"/>
  <c r="AL1281" i="5"/>
  <c r="AK1281" i="5"/>
  <c r="AJ1281" i="5"/>
  <c r="AI1281" i="5"/>
  <c r="F5330" i="5"/>
  <c r="F5329" i="5"/>
  <c r="F5328" i="5"/>
  <c r="F5327" i="5"/>
  <c r="H5675" i="5"/>
  <c r="G5330" i="5"/>
  <c r="H5330" i="5" s="1"/>
  <c r="G5328" i="5"/>
  <c r="H5328" i="5" s="1"/>
  <c r="G5329" i="5"/>
  <c r="H5329" i="5" s="1"/>
  <c r="U4999" i="5"/>
  <c r="S3747" i="5"/>
  <c r="V3546" i="5"/>
  <c r="F3546" i="5" s="1"/>
  <c r="W3546" i="5"/>
  <c r="F3547" i="5" s="1"/>
  <c r="G3546" i="5"/>
  <c r="H3546" i="5" s="1"/>
  <c r="H6024" i="5"/>
  <c r="H5776" i="5"/>
  <c r="H5775" i="5"/>
  <c r="H5708" i="5"/>
  <c r="A5033" i="5"/>
  <c r="A5034" i="5" s="1"/>
  <c r="A5030" i="5"/>
  <c r="A5031" i="5" s="1"/>
  <c r="A5027" i="5"/>
  <c r="A5028" i="5" s="1"/>
  <c r="A5024" i="5"/>
  <c r="A5025" i="5" s="1"/>
  <c r="A5021" i="5"/>
  <c r="A5022" i="5" s="1"/>
  <c r="A5018" i="5"/>
  <c r="A5019" i="5" s="1"/>
  <c r="C5019" i="5" s="1"/>
  <c r="A5015" i="5"/>
  <c r="A5012" i="5"/>
  <c r="A5013" i="5" s="1"/>
  <c r="C5013" i="5" s="1"/>
  <c r="A5009" i="5"/>
  <c r="A5006" i="5"/>
  <c r="A5003" i="5"/>
  <c r="C5003" i="5" s="1"/>
  <c r="A5000" i="5"/>
  <c r="D5004" i="5"/>
  <c r="D5000" i="5"/>
  <c r="D5003" i="5" s="1"/>
  <c r="V4999" i="5"/>
  <c r="W4999" i="5"/>
  <c r="X5034" i="5"/>
  <c r="W5034" i="5"/>
  <c r="V5034" i="5"/>
  <c r="U5034" i="5"/>
  <c r="S5034" i="5"/>
  <c r="R5034" i="5"/>
  <c r="Q5034" i="5"/>
  <c r="P5034" i="5"/>
  <c r="X5033" i="5"/>
  <c r="W5033" i="5"/>
  <c r="V5033" i="5"/>
  <c r="U5033" i="5"/>
  <c r="S5033" i="5"/>
  <c r="R5033" i="5"/>
  <c r="Q5033" i="5"/>
  <c r="P5033" i="5"/>
  <c r="X5032" i="5"/>
  <c r="W5032" i="5"/>
  <c r="V5032" i="5"/>
  <c r="U5032" i="5"/>
  <c r="S5032" i="5"/>
  <c r="R5032" i="5"/>
  <c r="Q5032" i="5"/>
  <c r="P5032" i="5"/>
  <c r="X5031" i="5"/>
  <c r="W5031" i="5"/>
  <c r="V5031" i="5"/>
  <c r="U5031" i="5"/>
  <c r="S5031" i="5"/>
  <c r="R5031" i="5"/>
  <c r="Q5031" i="5"/>
  <c r="P5031" i="5"/>
  <c r="X5030" i="5"/>
  <c r="W5030" i="5"/>
  <c r="V5030" i="5"/>
  <c r="U5030" i="5"/>
  <c r="S5030" i="5"/>
  <c r="R5030" i="5"/>
  <c r="Q5030" i="5"/>
  <c r="P5030" i="5"/>
  <c r="X5029" i="5"/>
  <c r="W5029" i="5"/>
  <c r="V5029" i="5"/>
  <c r="U5029" i="5"/>
  <c r="S5029" i="5"/>
  <c r="R5029" i="5"/>
  <c r="Q5029" i="5"/>
  <c r="P5029" i="5"/>
  <c r="X5028" i="5"/>
  <c r="W5028" i="5"/>
  <c r="V5028" i="5"/>
  <c r="U5028" i="5"/>
  <c r="S5028" i="5"/>
  <c r="R5028" i="5"/>
  <c r="Q5028" i="5"/>
  <c r="P5028" i="5"/>
  <c r="X5027" i="5"/>
  <c r="W5027" i="5"/>
  <c r="V5027" i="5"/>
  <c r="U5027" i="5"/>
  <c r="S5027" i="5"/>
  <c r="R5027" i="5"/>
  <c r="Q5027" i="5"/>
  <c r="P5027" i="5"/>
  <c r="X5026" i="5"/>
  <c r="W5026" i="5"/>
  <c r="V5026" i="5"/>
  <c r="U5026" i="5"/>
  <c r="S5026" i="5"/>
  <c r="R5026" i="5"/>
  <c r="Q5026" i="5"/>
  <c r="P5026" i="5"/>
  <c r="C5017" i="5"/>
  <c r="C5014" i="5"/>
  <c r="C5011" i="5"/>
  <c r="C5008" i="5"/>
  <c r="C5005" i="5"/>
  <c r="C5002" i="5"/>
  <c r="N5000" i="5"/>
  <c r="N5001" i="5" s="1"/>
  <c r="N5002" i="5" s="1"/>
  <c r="N5003" i="5" s="1"/>
  <c r="N5004" i="5" s="1"/>
  <c r="N5005" i="5" s="1"/>
  <c r="N5006" i="5" s="1"/>
  <c r="R5000" i="5"/>
  <c r="Q5000" i="5"/>
  <c r="P5000" i="5"/>
  <c r="P5001" i="5" s="1"/>
  <c r="D4999" i="5"/>
  <c r="C4999" i="5"/>
  <c r="H4998" i="5"/>
  <c r="Q4599" i="5"/>
  <c r="F4599" i="5" s="1"/>
  <c r="P4600" i="5"/>
  <c r="Q4600" i="5" s="1"/>
  <c r="F4600" i="5" s="1"/>
  <c r="N4600" i="5"/>
  <c r="N4601" i="5" s="1"/>
  <c r="N4602" i="5" s="1"/>
  <c r="N4603" i="5" s="1"/>
  <c r="N4604" i="5" s="1"/>
  <c r="N4605" i="5" s="1"/>
  <c r="N4606" i="5" s="1"/>
  <c r="N4607" i="5" s="1"/>
  <c r="N4608" i="5" s="1"/>
  <c r="N4609" i="5" s="1"/>
  <c r="N4610" i="5" s="1"/>
  <c r="H4598" i="5"/>
  <c r="G4454" i="5"/>
  <c r="H4454" i="5" s="1"/>
  <c r="H4451" i="5"/>
  <c r="G4456" i="5"/>
  <c r="H4456" i="5" s="1"/>
  <c r="Q4455" i="5"/>
  <c r="F4456" i="5" s="1"/>
  <c r="P4455" i="5"/>
  <c r="F4455" i="5" s="1"/>
  <c r="O4455" i="5"/>
  <c r="F4454" i="5" s="1"/>
  <c r="G4455" i="5"/>
  <c r="H4455" i="5" s="1"/>
  <c r="H4453" i="5"/>
  <c r="G4304" i="5"/>
  <c r="H4304" i="5" s="1"/>
  <c r="Q4305" i="5"/>
  <c r="G4307" i="5" s="1"/>
  <c r="H4307" i="5" s="1"/>
  <c r="P4305" i="5"/>
  <c r="G4305" i="5"/>
  <c r="H4305" i="5" s="1"/>
  <c r="U4304" i="5"/>
  <c r="F4305" i="5" s="1"/>
  <c r="T4304" i="5"/>
  <c r="F4304" i="5" s="1"/>
  <c r="H4301" i="5"/>
  <c r="G3747" i="5"/>
  <c r="H3747" i="5" s="1"/>
  <c r="P3748" i="5"/>
  <c r="H3746" i="5"/>
  <c r="G3676" i="5"/>
  <c r="H3676" i="5" s="1"/>
  <c r="G3675" i="5"/>
  <c r="H3675" i="5" s="1"/>
  <c r="U3675" i="5"/>
  <c r="F3676" i="5" s="1"/>
  <c r="T3675" i="5"/>
  <c r="H3544" i="5"/>
  <c r="H3672" i="5"/>
  <c r="Q3676" i="5"/>
  <c r="P3676" i="5"/>
  <c r="P3677" i="5" s="1"/>
  <c r="G3679" i="5" s="1"/>
  <c r="H3679" i="5" s="1"/>
  <c r="H3674" i="5"/>
  <c r="G3547" i="5"/>
  <c r="H3547" i="5" s="1"/>
  <c r="G3548" i="5"/>
  <c r="H3548" i="5" s="1"/>
  <c r="G3549" i="5"/>
  <c r="H3549" i="5" s="1"/>
  <c r="X3546" i="5"/>
  <c r="F3548" i="5" s="1"/>
  <c r="Y3546" i="5"/>
  <c r="F3549" i="5" s="1"/>
  <c r="P3526" i="5"/>
  <c r="G3526" i="5" s="1"/>
  <c r="H3526" i="5" s="1"/>
  <c r="R3547" i="5"/>
  <c r="P3547" i="5"/>
  <c r="S3547" i="5"/>
  <c r="Q3547" i="5"/>
  <c r="W3547" i="5" s="1"/>
  <c r="F3551" i="5" s="1"/>
  <c r="H3545" i="5"/>
  <c r="G4063" i="5"/>
  <c r="H4063" i="5" s="1"/>
  <c r="Q4062" i="5"/>
  <c r="F4063" i="5" s="1"/>
  <c r="P4062" i="5"/>
  <c r="F4062" i="5" s="1"/>
  <c r="O4062" i="5"/>
  <c r="F4061" i="5" s="1"/>
  <c r="G4062" i="5"/>
  <c r="H4062" i="5" s="1"/>
  <c r="G4061" i="5"/>
  <c r="H4061" i="5" s="1"/>
  <c r="H4060" i="5"/>
  <c r="P3989" i="5"/>
  <c r="F3989" i="5" s="1"/>
  <c r="O3989" i="5"/>
  <c r="F3988" i="5" s="1"/>
  <c r="G3989" i="5"/>
  <c r="H3989" i="5" s="1"/>
  <c r="H3987" i="5"/>
  <c r="P3893" i="5"/>
  <c r="F3893" i="5" s="1"/>
  <c r="O3893" i="5"/>
  <c r="F3892" i="5" s="1"/>
  <c r="G3893" i="5"/>
  <c r="H3893" i="5" s="1"/>
  <c r="G3892" i="5"/>
  <c r="H3892" i="5" s="1"/>
  <c r="H3891" i="5"/>
  <c r="G182" i="5"/>
  <c r="H182" i="5" s="1"/>
  <c r="G183" i="5"/>
  <c r="H183" i="5" s="1"/>
  <c r="G184" i="5"/>
  <c r="H184" i="5" s="1"/>
  <c r="G185" i="5"/>
  <c r="H185" i="5" s="1"/>
  <c r="G186" i="5"/>
  <c r="H186" i="5" s="1"/>
  <c r="G187" i="5"/>
  <c r="H187" i="5" s="1"/>
  <c r="G188" i="5"/>
  <c r="H188" i="5" s="1"/>
  <c r="P183" i="5"/>
  <c r="F183" i="5" s="1"/>
  <c r="Q183" i="5"/>
  <c r="F184" i="5" s="1"/>
  <c r="R183" i="5"/>
  <c r="F185" i="5" s="1"/>
  <c r="S183" i="5"/>
  <c r="F186" i="5" s="1"/>
  <c r="T183" i="5"/>
  <c r="F187" i="5" s="1"/>
  <c r="U183" i="5"/>
  <c r="F188" i="5" s="1"/>
  <c r="O183" i="5"/>
  <c r="F182" i="5" s="1"/>
  <c r="O153" i="5"/>
  <c r="F152" i="5" s="1"/>
  <c r="P176" i="5"/>
  <c r="F176" i="5" s="1"/>
  <c r="Q176" i="5"/>
  <c r="F177" i="5" s="1"/>
  <c r="R176" i="5"/>
  <c r="F178" i="5" s="1"/>
  <c r="S176" i="5"/>
  <c r="F179" i="5" s="1"/>
  <c r="T176" i="5"/>
  <c r="F180" i="5" s="1"/>
  <c r="U176" i="5"/>
  <c r="F181" i="5" s="1"/>
  <c r="O176" i="5"/>
  <c r="F175" i="5" s="1"/>
  <c r="H174" i="5"/>
  <c r="G5327" i="5"/>
  <c r="H5327" i="5" s="1"/>
  <c r="G5326" i="5"/>
  <c r="H5326" i="5" s="1"/>
  <c r="F5326" i="5"/>
  <c r="H5315" i="5"/>
  <c r="H6029" i="5"/>
  <c r="AZ875" i="5"/>
  <c r="AY875" i="5"/>
  <c r="AW875" i="5"/>
  <c r="AX875" i="5" s="1"/>
  <c r="AU875" i="5"/>
  <c r="AV875" i="5" s="1"/>
  <c r="AR875" i="5"/>
  <c r="AP875" i="5"/>
  <c r="AO875" i="5"/>
  <c r="AN875" i="5"/>
  <c r="AL875" i="5"/>
  <c r="AK875" i="5"/>
  <c r="AJ875" i="5"/>
  <c r="AI875" i="5"/>
  <c r="M875" i="5"/>
  <c r="F875" i="5" s="1"/>
  <c r="G875" i="5" s="1"/>
  <c r="H875" i="5" s="1"/>
  <c r="M869" i="5"/>
  <c r="F869" i="5" s="1"/>
  <c r="AJ869" i="5"/>
  <c r="AK869" i="5"/>
  <c r="AL869" i="5"/>
  <c r="AN869" i="5"/>
  <c r="AO869" i="5"/>
  <c r="AP869" i="5"/>
  <c r="AR869" i="5"/>
  <c r="AS869" i="5" s="1"/>
  <c r="AU869" i="5"/>
  <c r="AV869" i="5" s="1"/>
  <c r="AW869" i="5"/>
  <c r="AX869" i="5" s="1"/>
  <c r="AY869" i="5"/>
  <c r="AZ869" i="5"/>
  <c r="M2139" i="5"/>
  <c r="F2139" i="5" s="1"/>
  <c r="M2138" i="5"/>
  <c r="F2138" i="5" s="1"/>
  <c r="G2138" i="5" s="1"/>
  <c r="H2138" i="5" s="1"/>
  <c r="M2137" i="5"/>
  <c r="F2137" i="5" s="1"/>
  <c r="M2136" i="5"/>
  <c r="F2136" i="5" s="1"/>
  <c r="G2136" i="5" s="1"/>
  <c r="H2136" i="5" s="1"/>
  <c r="M2135" i="5"/>
  <c r="F2135" i="5" s="1"/>
  <c r="AZ2138" i="5"/>
  <c r="AY2138" i="5"/>
  <c r="AW2138" i="5"/>
  <c r="AX2138" i="5" s="1"/>
  <c r="AU2138" i="5"/>
  <c r="AV2138" i="5" s="1"/>
  <c r="AR2138" i="5"/>
  <c r="AT2138" i="5" s="1"/>
  <c r="AP2138" i="5"/>
  <c r="AO2138" i="5"/>
  <c r="AN2138" i="5"/>
  <c r="AL2138" i="5"/>
  <c r="AK2138" i="5"/>
  <c r="AJ2138" i="5"/>
  <c r="AI2138" i="5"/>
  <c r="AZ2135" i="5"/>
  <c r="AY2135" i="5"/>
  <c r="AW2135" i="5"/>
  <c r="AX2135" i="5" s="1"/>
  <c r="AU2135" i="5"/>
  <c r="AV2135" i="5" s="1"/>
  <c r="AR2135" i="5"/>
  <c r="AP2135" i="5"/>
  <c r="AO2135" i="5"/>
  <c r="AN2135" i="5"/>
  <c r="AL2135" i="5"/>
  <c r="AK2135" i="5"/>
  <c r="AJ2135" i="5"/>
  <c r="AI2135" i="5"/>
  <c r="AZ2139" i="5"/>
  <c r="AY2139" i="5"/>
  <c r="AW2139" i="5"/>
  <c r="AX2139" i="5" s="1"/>
  <c r="AU2139" i="5"/>
  <c r="AV2139" i="5" s="1"/>
  <c r="AR2139" i="5"/>
  <c r="AS2139" i="5" s="1"/>
  <c r="AP2139" i="5"/>
  <c r="AO2139" i="5"/>
  <c r="AN2139" i="5"/>
  <c r="AL2139" i="5"/>
  <c r="AK2139" i="5"/>
  <c r="AJ2139" i="5"/>
  <c r="AI2139" i="5"/>
  <c r="AZ2136" i="5"/>
  <c r="AY2136" i="5"/>
  <c r="AW2136" i="5"/>
  <c r="AX2136" i="5" s="1"/>
  <c r="AU2136" i="5"/>
  <c r="AV2136" i="5" s="1"/>
  <c r="AR2136" i="5"/>
  <c r="AT2136" i="5" s="1"/>
  <c r="AP2136" i="5"/>
  <c r="AO2136" i="5"/>
  <c r="AN2136" i="5"/>
  <c r="AL2136" i="5"/>
  <c r="AK2136" i="5"/>
  <c r="AJ2136" i="5"/>
  <c r="AI2136" i="5"/>
  <c r="AZ1719" i="5"/>
  <c r="AY1719" i="5"/>
  <c r="AW1719" i="5"/>
  <c r="AX1719" i="5" s="1"/>
  <c r="AU1719" i="5"/>
  <c r="AV1719" i="5" s="1"/>
  <c r="AR1719" i="5"/>
  <c r="AS1719" i="5" s="1"/>
  <c r="AO1719" i="5"/>
  <c r="AN1719" i="5"/>
  <c r="AL1719" i="5"/>
  <c r="AK1719" i="5"/>
  <c r="AJ1719" i="5"/>
  <c r="AI1719" i="5"/>
  <c r="AZ1717" i="5"/>
  <c r="AY1717" i="5"/>
  <c r="AW1717" i="5"/>
  <c r="AX1717" i="5" s="1"/>
  <c r="AU1717" i="5"/>
  <c r="AV1717" i="5" s="1"/>
  <c r="AR1717" i="5"/>
  <c r="AO1717" i="5"/>
  <c r="AN1717" i="5"/>
  <c r="AL1717" i="5"/>
  <c r="AK1717" i="5"/>
  <c r="AJ1717" i="5"/>
  <c r="AI1717" i="5"/>
  <c r="AZ1720" i="5"/>
  <c r="AY1720" i="5"/>
  <c r="AW1720" i="5"/>
  <c r="AX1720" i="5" s="1"/>
  <c r="AU1720" i="5"/>
  <c r="AV1720" i="5" s="1"/>
  <c r="AR1720" i="5"/>
  <c r="AO1720" i="5"/>
  <c r="AN1720" i="5"/>
  <c r="AL1720" i="5"/>
  <c r="AK1720" i="5"/>
  <c r="AJ1720" i="5"/>
  <c r="AI1720" i="5"/>
  <c r="M458" i="5"/>
  <c r="F458" i="5" s="1"/>
  <c r="M456" i="5"/>
  <c r="F456" i="5" s="1"/>
  <c r="AZ456" i="5"/>
  <c r="AY456" i="5"/>
  <c r="AW456" i="5"/>
  <c r="AX456" i="5" s="1"/>
  <c r="AU456" i="5"/>
  <c r="AV456" i="5" s="1"/>
  <c r="AR456" i="5"/>
  <c r="AP456" i="5"/>
  <c r="AO456" i="5"/>
  <c r="AN456" i="5"/>
  <c r="AL456" i="5"/>
  <c r="AK456" i="5"/>
  <c r="AJ456" i="5"/>
  <c r="AZ458" i="5"/>
  <c r="AY458" i="5"/>
  <c r="AW458" i="5"/>
  <c r="AX458" i="5" s="1"/>
  <c r="AU458" i="5"/>
  <c r="AV458" i="5" s="1"/>
  <c r="AR458" i="5"/>
  <c r="AP458" i="5"/>
  <c r="AO458" i="5"/>
  <c r="AN458" i="5"/>
  <c r="AL458" i="5"/>
  <c r="AK458" i="5"/>
  <c r="AJ458" i="5"/>
  <c r="AZ460" i="5"/>
  <c r="AY460" i="5"/>
  <c r="AW460" i="5"/>
  <c r="AX460" i="5" s="1"/>
  <c r="AU460" i="5"/>
  <c r="AV460" i="5" s="1"/>
  <c r="AR460" i="5"/>
  <c r="AS460" i="5" s="1"/>
  <c r="AP460" i="5"/>
  <c r="AO460" i="5"/>
  <c r="AN460" i="5"/>
  <c r="AL460" i="5"/>
  <c r="AK460" i="5"/>
  <c r="AJ460" i="5"/>
  <c r="AI460" i="5"/>
  <c r="M462" i="5"/>
  <c r="F462" i="5" s="1"/>
  <c r="G462" i="5" s="1"/>
  <c r="H462" i="5" s="1"/>
  <c r="AZ457" i="5"/>
  <c r="AY457" i="5"/>
  <c r="AW457" i="5"/>
  <c r="AX457" i="5" s="1"/>
  <c r="AU457" i="5"/>
  <c r="AV457" i="5" s="1"/>
  <c r="AR457" i="5"/>
  <c r="AS457" i="5" s="1"/>
  <c r="AP457" i="5"/>
  <c r="AO457" i="5"/>
  <c r="AN457" i="5"/>
  <c r="AL457" i="5"/>
  <c r="AK457" i="5"/>
  <c r="AJ457" i="5"/>
  <c r="M460" i="5"/>
  <c r="F460" i="5" s="1"/>
  <c r="G460" i="5" s="1"/>
  <c r="H460" i="5" s="1"/>
  <c r="G3659" i="5"/>
  <c r="H3659" i="5" s="1"/>
  <c r="G3658" i="5"/>
  <c r="H3658" i="5" s="1"/>
  <c r="U138" i="5"/>
  <c r="F143" i="5" s="1"/>
  <c r="T138" i="5"/>
  <c r="F142" i="5" s="1"/>
  <c r="S138" i="5"/>
  <c r="F141" i="5" s="1"/>
  <c r="R138" i="5"/>
  <c r="F140" i="5" s="1"/>
  <c r="Q138" i="5"/>
  <c r="F139" i="5" s="1"/>
  <c r="P138" i="5"/>
  <c r="F138" i="5" s="1"/>
  <c r="O138" i="5"/>
  <c r="F137" i="5" s="1"/>
  <c r="U153" i="5"/>
  <c r="F158" i="5" s="1"/>
  <c r="T153" i="5"/>
  <c r="S153" i="5"/>
  <c r="R153" i="5"/>
  <c r="F155" i="5" s="1"/>
  <c r="Q153" i="5"/>
  <c r="F154" i="5" s="1"/>
  <c r="P153" i="5"/>
  <c r="F153" i="5" s="1"/>
  <c r="Q4057" i="5"/>
  <c r="G4059" i="5" s="1"/>
  <c r="H4059" i="5" s="1"/>
  <c r="P4057" i="5"/>
  <c r="G4058" i="5" s="1"/>
  <c r="H4058" i="5" s="1"/>
  <c r="M463" i="5"/>
  <c r="F463" i="5" s="1"/>
  <c r="G463" i="5" s="1"/>
  <c r="H463" i="5" s="1"/>
  <c r="M461" i="5"/>
  <c r="F461" i="5" s="1"/>
  <c r="G461" i="5" s="1"/>
  <c r="H461" i="5" s="1"/>
  <c r="AZ461" i="5"/>
  <c r="AY461" i="5"/>
  <c r="AW461" i="5"/>
  <c r="AX461" i="5" s="1"/>
  <c r="AU461" i="5"/>
  <c r="AV461" i="5" s="1"/>
  <c r="AR461" i="5"/>
  <c r="AP461" i="5"/>
  <c r="AO461" i="5"/>
  <c r="AN461" i="5"/>
  <c r="AL461" i="5"/>
  <c r="AK461" i="5"/>
  <c r="AJ461" i="5"/>
  <c r="AZ459" i="5"/>
  <c r="AY459" i="5"/>
  <c r="AW459" i="5"/>
  <c r="AX459" i="5" s="1"/>
  <c r="AU459" i="5"/>
  <c r="AV459" i="5" s="1"/>
  <c r="AR459" i="5"/>
  <c r="AS459" i="5" s="1"/>
  <c r="AP459" i="5"/>
  <c r="AO459" i="5"/>
  <c r="AN459" i="5"/>
  <c r="AL459" i="5"/>
  <c r="AK459" i="5"/>
  <c r="AJ459" i="5"/>
  <c r="AW455" i="5"/>
  <c r="AX455" i="5" s="1"/>
  <c r="AU455" i="5"/>
  <c r="AV455" i="5" s="1"/>
  <c r="AR455" i="5"/>
  <c r="AT455" i="5" s="1"/>
  <c r="AP455" i="5"/>
  <c r="AO455" i="5"/>
  <c r="AN455" i="5"/>
  <c r="AH455" i="5"/>
  <c r="H455" i="5"/>
  <c r="O160" i="5"/>
  <c r="G160" i="5" s="1"/>
  <c r="H160" i="5" s="1"/>
  <c r="N4587" i="5"/>
  <c r="N4588" i="5" s="1"/>
  <c r="N4589" i="5" s="1"/>
  <c r="N4590" i="5" s="1"/>
  <c r="N4591" i="5" s="1"/>
  <c r="N4592" i="5" s="1"/>
  <c r="N4593" i="5" s="1"/>
  <c r="N4594" i="5" s="1"/>
  <c r="N4595" i="5" s="1"/>
  <c r="N4596" i="5" s="1"/>
  <c r="N4597" i="5" s="1"/>
  <c r="H4585" i="5"/>
  <c r="X4997" i="5"/>
  <c r="W4997" i="5"/>
  <c r="V4997" i="5"/>
  <c r="U4997" i="5"/>
  <c r="S4997" i="5"/>
  <c r="R4997" i="5"/>
  <c r="Q4997" i="5"/>
  <c r="P4997" i="5"/>
  <c r="X4996" i="5"/>
  <c r="W4996" i="5"/>
  <c r="V4996" i="5"/>
  <c r="U4996" i="5"/>
  <c r="S4996" i="5"/>
  <c r="R4996" i="5"/>
  <c r="Q4996" i="5"/>
  <c r="P4996" i="5"/>
  <c r="X4995" i="5"/>
  <c r="W4995" i="5"/>
  <c r="V4995" i="5"/>
  <c r="U4995" i="5"/>
  <c r="S4995" i="5"/>
  <c r="R4995" i="5"/>
  <c r="Q4995" i="5"/>
  <c r="P4995" i="5"/>
  <c r="A4995" i="5"/>
  <c r="A4996" i="5" s="1"/>
  <c r="A4997" i="5" s="1"/>
  <c r="X4994" i="5"/>
  <c r="W4994" i="5"/>
  <c r="V4994" i="5"/>
  <c r="U4994" i="5"/>
  <c r="S4994" i="5"/>
  <c r="R4994" i="5"/>
  <c r="Q4994" i="5"/>
  <c r="P4994" i="5"/>
  <c r="X4993" i="5"/>
  <c r="W4993" i="5"/>
  <c r="V4993" i="5"/>
  <c r="U4993" i="5"/>
  <c r="S4993" i="5"/>
  <c r="R4993" i="5"/>
  <c r="Q4993" i="5"/>
  <c r="P4993" i="5"/>
  <c r="X4992" i="5"/>
  <c r="W4992" i="5"/>
  <c r="V4992" i="5"/>
  <c r="U4992" i="5"/>
  <c r="S4992" i="5"/>
  <c r="R4992" i="5"/>
  <c r="Q4992" i="5"/>
  <c r="P4992" i="5"/>
  <c r="X4991" i="5"/>
  <c r="W4991" i="5"/>
  <c r="V4991" i="5"/>
  <c r="U4991" i="5"/>
  <c r="S4991" i="5"/>
  <c r="R4991" i="5"/>
  <c r="Q4991" i="5"/>
  <c r="P4991" i="5"/>
  <c r="A4991" i="5"/>
  <c r="A4992" i="5" s="1"/>
  <c r="A4993" i="5" s="1"/>
  <c r="X4990" i="5"/>
  <c r="W4990" i="5"/>
  <c r="V4990" i="5"/>
  <c r="U4990" i="5"/>
  <c r="S4990" i="5"/>
  <c r="R4990" i="5"/>
  <c r="Q4990" i="5"/>
  <c r="P4990" i="5"/>
  <c r="X4989" i="5"/>
  <c r="W4989" i="5"/>
  <c r="V4989" i="5"/>
  <c r="U4989" i="5"/>
  <c r="S4989" i="5"/>
  <c r="R4989" i="5"/>
  <c r="Q4989" i="5"/>
  <c r="P4989" i="5"/>
  <c r="X4988" i="5"/>
  <c r="W4988" i="5"/>
  <c r="V4988" i="5"/>
  <c r="U4988" i="5"/>
  <c r="S4988" i="5"/>
  <c r="R4988" i="5"/>
  <c r="Q4988" i="5"/>
  <c r="P4988" i="5"/>
  <c r="X4987" i="5"/>
  <c r="W4987" i="5"/>
  <c r="V4987" i="5"/>
  <c r="U4987" i="5"/>
  <c r="S4987" i="5"/>
  <c r="R4987" i="5"/>
  <c r="Q4987" i="5"/>
  <c r="P4987" i="5"/>
  <c r="A4987" i="5"/>
  <c r="A4988" i="5" s="1"/>
  <c r="A4989" i="5" s="1"/>
  <c r="X4986" i="5"/>
  <c r="W4986" i="5"/>
  <c r="V4986" i="5"/>
  <c r="U4986" i="5"/>
  <c r="S4986" i="5"/>
  <c r="R4986" i="5"/>
  <c r="Q4986" i="5"/>
  <c r="P4986" i="5"/>
  <c r="X4985" i="5"/>
  <c r="W4985" i="5"/>
  <c r="V4985" i="5"/>
  <c r="U4985" i="5"/>
  <c r="S4985" i="5"/>
  <c r="R4985" i="5"/>
  <c r="Q4985" i="5"/>
  <c r="P4985" i="5"/>
  <c r="X4984" i="5"/>
  <c r="W4984" i="5"/>
  <c r="V4984" i="5"/>
  <c r="U4984" i="5"/>
  <c r="S4984" i="5"/>
  <c r="R4984" i="5"/>
  <c r="Q4984" i="5"/>
  <c r="P4984" i="5"/>
  <c r="X4983" i="5"/>
  <c r="W4983" i="5"/>
  <c r="V4983" i="5"/>
  <c r="U4983" i="5"/>
  <c r="S4983" i="5"/>
  <c r="R4983" i="5"/>
  <c r="Q4983" i="5"/>
  <c r="P4983" i="5"/>
  <c r="A4983" i="5"/>
  <c r="A4984" i="5" s="1"/>
  <c r="A4985" i="5" s="1"/>
  <c r="A4979" i="5"/>
  <c r="D4977" i="5"/>
  <c r="D4976" i="5"/>
  <c r="D4975" i="5"/>
  <c r="A4975" i="5"/>
  <c r="D4974" i="5"/>
  <c r="C4974" i="5"/>
  <c r="D4973" i="5"/>
  <c r="D4972" i="5"/>
  <c r="D4971" i="5"/>
  <c r="A4971" i="5"/>
  <c r="A4972" i="5" s="1"/>
  <c r="C4972" i="5" s="1"/>
  <c r="D4970" i="5"/>
  <c r="C4970" i="5"/>
  <c r="D4969" i="5"/>
  <c r="D4968" i="5"/>
  <c r="D4967" i="5"/>
  <c r="A4967" i="5"/>
  <c r="D4966" i="5"/>
  <c r="C4966" i="5"/>
  <c r="D4965" i="5"/>
  <c r="D4964" i="5"/>
  <c r="D4963" i="5"/>
  <c r="A4963" i="5"/>
  <c r="D4962" i="5"/>
  <c r="C4962" i="5"/>
  <c r="D4961" i="5"/>
  <c r="D4960" i="5"/>
  <c r="D4959" i="5"/>
  <c r="A4959" i="5"/>
  <c r="D4958" i="5"/>
  <c r="C4958" i="5"/>
  <c r="D4957" i="5"/>
  <c r="D4956" i="5"/>
  <c r="D4955" i="5"/>
  <c r="A4955" i="5"/>
  <c r="C4955" i="5" s="1"/>
  <c r="D4954" i="5"/>
  <c r="C4954" i="5"/>
  <c r="D4953" i="5"/>
  <c r="D4952" i="5"/>
  <c r="N4951" i="5"/>
  <c r="N4952" i="5" s="1"/>
  <c r="N4953" i="5" s="1"/>
  <c r="N4954" i="5" s="1"/>
  <c r="N4955" i="5" s="1"/>
  <c r="N4956" i="5" s="1"/>
  <c r="N4957" i="5" s="1"/>
  <c r="N4958" i="5" s="1"/>
  <c r="N4959" i="5" s="1"/>
  <c r="N4960" i="5" s="1"/>
  <c r="N4961" i="5" s="1"/>
  <c r="D4951" i="5"/>
  <c r="A4951" i="5"/>
  <c r="C4951" i="5" s="1"/>
  <c r="D4950" i="5"/>
  <c r="C4950" i="5"/>
  <c r="H4949" i="5"/>
  <c r="Q4293" i="5"/>
  <c r="Q4294" i="5" s="1"/>
  <c r="P4293" i="5"/>
  <c r="H4292" i="5"/>
  <c r="G4450" i="5"/>
  <c r="H4450" i="5" s="1"/>
  <c r="Q4448" i="5"/>
  <c r="F4450" i="5" s="1"/>
  <c r="P4448" i="5"/>
  <c r="F4449" i="5" s="1"/>
  <c r="O4448" i="5"/>
  <c r="F4448" i="5" s="1"/>
  <c r="G4449" i="5"/>
  <c r="H4449" i="5" s="1"/>
  <c r="G4448" i="5"/>
  <c r="H4448" i="5" s="1"/>
  <c r="H4447" i="5"/>
  <c r="P3740" i="5"/>
  <c r="H3739" i="5"/>
  <c r="Q3664" i="5"/>
  <c r="S3526" i="5"/>
  <c r="G3529" i="5" s="1"/>
  <c r="H3529" i="5" s="1"/>
  <c r="R3526" i="5"/>
  <c r="Q3526" i="5"/>
  <c r="Q3527" i="5" s="1"/>
  <c r="H3525" i="5"/>
  <c r="O3889" i="5"/>
  <c r="O3985" i="5"/>
  <c r="G3985" i="5" s="1"/>
  <c r="H3985" i="5" s="1"/>
  <c r="O4057" i="5"/>
  <c r="G4057" i="5" s="1"/>
  <c r="H4057" i="5" s="1"/>
  <c r="H4056" i="5"/>
  <c r="P3985" i="5"/>
  <c r="G3986" i="5" s="1"/>
  <c r="H3986" i="5" s="1"/>
  <c r="H3984" i="5"/>
  <c r="P3889" i="5"/>
  <c r="G3890" i="5" s="1"/>
  <c r="H3890" i="5" s="1"/>
  <c r="H3888" i="5"/>
  <c r="U160" i="5"/>
  <c r="G166" i="5" s="1"/>
  <c r="H166" i="5" s="1"/>
  <c r="T160" i="5"/>
  <c r="G165" i="5" s="1"/>
  <c r="H165" i="5" s="1"/>
  <c r="S160" i="5"/>
  <c r="R160" i="5"/>
  <c r="G163" i="5" s="1"/>
  <c r="H163" i="5" s="1"/>
  <c r="Q160" i="5"/>
  <c r="G162" i="5" s="1"/>
  <c r="H162" i="5" s="1"/>
  <c r="P160" i="5"/>
  <c r="G161" i="5" s="1"/>
  <c r="H161" i="5" s="1"/>
  <c r="N167" i="5"/>
  <c r="H279" i="5"/>
  <c r="H173" i="5"/>
  <c r="H172" i="5"/>
  <c r="H171" i="5"/>
  <c r="H170" i="5"/>
  <c r="H169" i="5"/>
  <c r="H168" i="5"/>
  <c r="H167" i="5"/>
  <c r="H159" i="5"/>
  <c r="AZ874" i="5"/>
  <c r="AY874" i="5"/>
  <c r="AW874" i="5"/>
  <c r="AX874" i="5" s="1"/>
  <c r="AU874" i="5"/>
  <c r="AV874" i="5" s="1"/>
  <c r="AR874" i="5"/>
  <c r="AT874" i="5" s="1"/>
  <c r="AP874" i="5"/>
  <c r="AO874" i="5"/>
  <c r="AN874" i="5"/>
  <c r="AL874" i="5"/>
  <c r="AK874" i="5"/>
  <c r="AJ874" i="5"/>
  <c r="AI874" i="5"/>
  <c r="M874" i="5"/>
  <c r="F874" i="5" s="1"/>
  <c r="G874" i="5" s="1"/>
  <c r="H874" i="5" s="1"/>
  <c r="M873" i="5"/>
  <c r="F873" i="5" s="1"/>
  <c r="G873" i="5" s="1"/>
  <c r="H873" i="5" s="1"/>
  <c r="Q5318" i="5"/>
  <c r="P5318" i="5"/>
  <c r="G5318" i="5"/>
  <c r="H5318" i="5" s="1"/>
  <c r="F5318" i="5"/>
  <c r="AW2570" i="5"/>
  <c r="AX2570" i="5" s="1"/>
  <c r="AU2570" i="5"/>
  <c r="AV2570" i="5" s="1"/>
  <c r="AR2570" i="5"/>
  <c r="AS2570" i="5" s="1"/>
  <c r="AP2570" i="5"/>
  <c r="AO2570" i="5"/>
  <c r="AN2570" i="5"/>
  <c r="AH2570" i="5"/>
  <c r="AL2570" i="5" s="1"/>
  <c r="AZ2557" i="5"/>
  <c r="AY2557" i="5"/>
  <c r="AW2557" i="5"/>
  <c r="AX2557" i="5" s="1"/>
  <c r="AU2557" i="5"/>
  <c r="AV2557" i="5" s="1"/>
  <c r="AR2557" i="5"/>
  <c r="AT2557" i="5" s="1"/>
  <c r="AO2557" i="5"/>
  <c r="AN2557" i="5"/>
  <c r="AL2557" i="5"/>
  <c r="AK2557" i="5"/>
  <c r="AJ2557" i="5"/>
  <c r="AI2557" i="5"/>
  <c r="AZ1279" i="5"/>
  <c r="AY1279" i="5"/>
  <c r="AW1279" i="5"/>
  <c r="AX1279" i="5" s="1"/>
  <c r="AU1279" i="5"/>
  <c r="AV1279" i="5" s="1"/>
  <c r="AR1279" i="5"/>
  <c r="AT1279" i="5" s="1"/>
  <c r="AP1279" i="5"/>
  <c r="AO1279" i="5"/>
  <c r="AN1279" i="5"/>
  <c r="AL1279" i="5"/>
  <c r="AK1279" i="5"/>
  <c r="AJ1279" i="5"/>
  <c r="AI1279" i="5"/>
  <c r="AZ1278" i="5"/>
  <c r="AY1278" i="5"/>
  <c r="AW1278" i="5"/>
  <c r="AX1278" i="5" s="1"/>
  <c r="AU1278" i="5"/>
  <c r="AV1278" i="5" s="1"/>
  <c r="AR1278" i="5"/>
  <c r="AT1278" i="5" s="1"/>
  <c r="AP1278" i="5"/>
  <c r="AO1278" i="5"/>
  <c r="AN1278" i="5"/>
  <c r="AL1278" i="5"/>
  <c r="AK1278" i="5"/>
  <c r="AJ1278" i="5"/>
  <c r="AI1278" i="5"/>
  <c r="AZ1277" i="5"/>
  <c r="AY1277" i="5"/>
  <c r="AW1277" i="5"/>
  <c r="AX1277" i="5" s="1"/>
  <c r="AU1277" i="5"/>
  <c r="AV1277" i="5" s="1"/>
  <c r="AR1277" i="5"/>
  <c r="AS1277" i="5" s="1"/>
  <c r="AP1277" i="5"/>
  <c r="AO1277" i="5"/>
  <c r="AN1277" i="5"/>
  <c r="AL1277" i="5"/>
  <c r="AK1277" i="5"/>
  <c r="AJ1277" i="5"/>
  <c r="AI1277" i="5"/>
  <c r="M1277" i="5"/>
  <c r="F1277" i="5" s="1"/>
  <c r="G1277" i="5" s="1"/>
  <c r="H1277" i="5" s="1"/>
  <c r="M2131" i="5"/>
  <c r="F2131" i="5" s="1"/>
  <c r="M2128" i="5"/>
  <c r="F2128" i="5" s="1"/>
  <c r="G2128" i="5" s="1"/>
  <c r="H2128" i="5" s="1"/>
  <c r="AZ2131" i="5"/>
  <c r="AY2131" i="5"/>
  <c r="AW2131" i="5"/>
  <c r="AX2131" i="5" s="1"/>
  <c r="AU2131" i="5"/>
  <c r="AV2131" i="5" s="1"/>
  <c r="AR2131" i="5"/>
  <c r="AT2131" i="5" s="1"/>
  <c r="AP2131" i="5"/>
  <c r="AO2131" i="5"/>
  <c r="AN2131" i="5"/>
  <c r="AL2131" i="5"/>
  <c r="AK2131" i="5"/>
  <c r="AJ2131" i="5"/>
  <c r="AI2131" i="5"/>
  <c r="AZ2128" i="5"/>
  <c r="AY2128" i="5"/>
  <c r="AW2128" i="5"/>
  <c r="AX2128" i="5" s="1"/>
  <c r="AU2128" i="5"/>
  <c r="AV2128" i="5" s="1"/>
  <c r="AR2128" i="5"/>
  <c r="AP2128" i="5"/>
  <c r="AO2128" i="5"/>
  <c r="AN2128" i="5"/>
  <c r="AL2128" i="5"/>
  <c r="AK2128" i="5"/>
  <c r="AJ2128" i="5"/>
  <c r="AI2128" i="5"/>
  <c r="M2134" i="5"/>
  <c r="F2134" i="5" s="1"/>
  <c r="AZ2137" i="5"/>
  <c r="AY2137" i="5"/>
  <c r="AW2137" i="5"/>
  <c r="AX2137" i="5" s="1"/>
  <c r="AU2137" i="5"/>
  <c r="AV2137" i="5" s="1"/>
  <c r="AR2137" i="5"/>
  <c r="AT2137" i="5" s="1"/>
  <c r="AP2137" i="5"/>
  <c r="AO2137" i="5"/>
  <c r="AN2137" i="5"/>
  <c r="AL2137" i="5"/>
  <c r="AK2137" i="5"/>
  <c r="AJ2137" i="5"/>
  <c r="AI2137" i="5"/>
  <c r="AZ2134" i="5"/>
  <c r="AY2134" i="5"/>
  <c r="AW2134" i="5"/>
  <c r="AX2134" i="5" s="1"/>
  <c r="AU2134" i="5"/>
  <c r="AV2134" i="5" s="1"/>
  <c r="AR2134" i="5"/>
  <c r="AT2134" i="5" s="1"/>
  <c r="AP2134" i="5"/>
  <c r="AO2134" i="5"/>
  <c r="AN2134" i="5"/>
  <c r="AL2134" i="5"/>
  <c r="AK2134" i="5"/>
  <c r="AJ2134" i="5"/>
  <c r="AI2134" i="5"/>
  <c r="AH876" i="5"/>
  <c r="AW876" i="5" s="1"/>
  <c r="AX876" i="5" s="1"/>
  <c r="AN876" i="5"/>
  <c r="AO876" i="5"/>
  <c r="AP876" i="5"/>
  <c r="AZ872" i="5"/>
  <c r="AY872" i="5"/>
  <c r="AW872" i="5"/>
  <c r="AX872" i="5" s="1"/>
  <c r="AU872" i="5"/>
  <c r="AV872" i="5" s="1"/>
  <c r="AR872" i="5"/>
  <c r="AT872" i="5" s="1"/>
  <c r="AP872" i="5"/>
  <c r="AO872" i="5"/>
  <c r="AN872" i="5"/>
  <c r="AL872" i="5"/>
  <c r="AK872" i="5"/>
  <c r="AJ872" i="5"/>
  <c r="AI872" i="5"/>
  <c r="M872" i="5"/>
  <c r="F872" i="5" s="1"/>
  <c r="G872" i="5" s="1"/>
  <c r="H872" i="5" s="1"/>
  <c r="M871" i="5"/>
  <c r="F871" i="5" s="1"/>
  <c r="AZ1712" i="5"/>
  <c r="AY1712" i="5"/>
  <c r="AW1712" i="5"/>
  <c r="AX1712" i="5" s="1"/>
  <c r="AU1712" i="5"/>
  <c r="AV1712" i="5" s="1"/>
  <c r="AR1712" i="5"/>
  <c r="AS1712" i="5" s="1"/>
  <c r="AO1712" i="5"/>
  <c r="AN1712" i="5"/>
  <c r="AL1712" i="5"/>
  <c r="AK1712" i="5"/>
  <c r="AJ1712" i="5"/>
  <c r="AI1712" i="5"/>
  <c r="AZ1714" i="5"/>
  <c r="AY1714" i="5"/>
  <c r="AW1714" i="5"/>
  <c r="AX1714" i="5" s="1"/>
  <c r="AU1714" i="5"/>
  <c r="AV1714" i="5" s="1"/>
  <c r="AR1714" i="5"/>
  <c r="AT1714" i="5" s="1"/>
  <c r="AO1714" i="5"/>
  <c r="AN1714" i="5"/>
  <c r="AL1714" i="5"/>
  <c r="AK1714" i="5"/>
  <c r="AJ1714" i="5"/>
  <c r="AI1714" i="5"/>
  <c r="M1272" i="5"/>
  <c r="F1272" i="5" s="1"/>
  <c r="G1272" i="5" s="1"/>
  <c r="H1272" i="5" s="1"/>
  <c r="M1267" i="5"/>
  <c r="F1267" i="5" s="1"/>
  <c r="AZ1272" i="5"/>
  <c r="AY1272" i="5"/>
  <c r="AW1272" i="5"/>
  <c r="AX1272" i="5" s="1"/>
  <c r="AU1272" i="5"/>
  <c r="AV1272" i="5" s="1"/>
  <c r="AR1272" i="5"/>
  <c r="AS1272" i="5" s="1"/>
  <c r="AP1272" i="5"/>
  <c r="AO1272" i="5"/>
  <c r="AN1272" i="5"/>
  <c r="AL1272" i="5"/>
  <c r="AK1272" i="5"/>
  <c r="AJ1272" i="5"/>
  <c r="AI1272" i="5"/>
  <c r="AZ1267" i="5"/>
  <c r="AY1267" i="5"/>
  <c r="AW1267" i="5"/>
  <c r="AX1267" i="5" s="1"/>
  <c r="AU1267" i="5"/>
  <c r="AV1267" i="5" s="1"/>
  <c r="AR1267" i="5"/>
  <c r="AP1267" i="5"/>
  <c r="AO1267" i="5"/>
  <c r="AN1267" i="5"/>
  <c r="AL1267" i="5"/>
  <c r="AK1267" i="5"/>
  <c r="AJ1267" i="5"/>
  <c r="AI1267" i="5"/>
  <c r="H6089" i="5"/>
  <c r="H143" i="5"/>
  <c r="H142" i="5"/>
  <c r="H141" i="5"/>
  <c r="H140" i="5"/>
  <c r="H139" i="5"/>
  <c r="H138" i="5"/>
  <c r="H137" i="5"/>
  <c r="H158" i="5"/>
  <c r="H157" i="5"/>
  <c r="H156" i="5"/>
  <c r="H155" i="5"/>
  <c r="H154" i="5"/>
  <c r="H153" i="5"/>
  <c r="H152" i="5"/>
  <c r="H5649" i="5"/>
  <c r="K43" i="6"/>
  <c r="K42" i="6"/>
  <c r="K41" i="6"/>
  <c r="K40" i="6"/>
  <c r="K39" i="6"/>
  <c r="G4290" i="5"/>
  <c r="H4290" i="5" s="1"/>
  <c r="G4053" i="5"/>
  <c r="H4053" i="5" s="1"/>
  <c r="G3982" i="5"/>
  <c r="H3982" i="5" s="1"/>
  <c r="G3886" i="5"/>
  <c r="H3886" i="5" s="1"/>
  <c r="G3737" i="5"/>
  <c r="H3737" i="5" s="1"/>
  <c r="U146" i="5"/>
  <c r="F151" i="5" s="1"/>
  <c r="T146" i="5"/>
  <c r="S146" i="5"/>
  <c r="R146" i="5"/>
  <c r="F148" i="5" s="1"/>
  <c r="Q146" i="5"/>
  <c r="F147" i="5" s="1"/>
  <c r="P146" i="5"/>
  <c r="F146" i="5" s="1"/>
  <c r="O146" i="5"/>
  <c r="F145" i="5" s="1"/>
  <c r="H144" i="5"/>
  <c r="G3524" i="5"/>
  <c r="H3524" i="5" s="1"/>
  <c r="G3523" i="5"/>
  <c r="H3523" i="5" s="1"/>
  <c r="R3522" i="5"/>
  <c r="Q3522" i="5"/>
  <c r="P3522" i="5"/>
  <c r="W3526" i="5" s="1"/>
  <c r="F3527" i="5" s="1"/>
  <c r="O3522" i="5"/>
  <c r="G3522" i="5"/>
  <c r="H3522" i="5" s="1"/>
  <c r="G3521" i="5"/>
  <c r="H3521" i="5" s="1"/>
  <c r="H3520" i="5"/>
  <c r="Q3662" i="5"/>
  <c r="P3662" i="5"/>
  <c r="F3661" i="5" s="1"/>
  <c r="G3662" i="5"/>
  <c r="H3662" i="5" s="1"/>
  <c r="G3661" i="5"/>
  <c r="H3661" i="5" s="1"/>
  <c r="H3660" i="5"/>
  <c r="O3738" i="5"/>
  <c r="H3736" i="5"/>
  <c r="P3887" i="5"/>
  <c r="O3887" i="5"/>
  <c r="G3887" i="5"/>
  <c r="H3887" i="5" s="1"/>
  <c r="H3885" i="5"/>
  <c r="P3983" i="5"/>
  <c r="F3983" i="5" s="1"/>
  <c r="O3983" i="5"/>
  <c r="O3986" i="5" s="1"/>
  <c r="F3985" i="5" s="1"/>
  <c r="G3983" i="5"/>
  <c r="H3983" i="5" s="1"/>
  <c r="H3981" i="5"/>
  <c r="G4055" i="5"/>
  <c r="H4055" i="5" s="1"/>
  <c r="Q4054" i="5"/>
  <c r="P4054" i="5"/>
  <c r="F4054" i="5" s="1"/>
  <c r="O4054" i="5"/>
  <c r="F4053" i="5" s="1"/>
  <c r="G4054" i="5"/>
  <c r="H4054" i="5" s="1"/>
  <c r="H4052" i="5"/>
  <c r="P4291" i="5"/>
  <c r="O4291" i="5"/>
  <c r="T4293" i="5" s="1"/>
  <c r="G4291" i="5"/>
  <c r="H4291" i="5" s="1"/>
  <c r="H4289" i="5"/>
  <c r="G4446" i="5"/>
  <c r="H4446" i="5" s="1"/>
  <c r="Q4444" i="5"/>
  <c r="F4446" i="5" s="1"/>
  <c r="P4444" i="5"/>
  <c r="F4445" i="5" s="1"/>
  <c r="O4444" i="5"/>
  <c r="F4444" i="5" s="1"/>
  <c r="G4445" i="5"/>
  <c r="H4445" i="5" s="1"/>
  <c r="G4444" i="5"/>
  <c r="H4444" i="5" s="1"/>
  <c r="H4443" i="5"/>
  <c r="A4926" i="5"/>
  <c r="A4922" i="5"/>
  <c r="C4922" i="5" s="1"/>
  <c r="A4918" i="5"/>
  <c r="A4919" i="5" s="1"/>
  <c r="A4914" i="5"/>
  <c r="A4915" i="5" s="1"/>
  <c r="A4910" i="5"/>
  <c r="A4906" i="5"/>
  <c r="A4902" i="5"/>
  <c r="A4903" i="5" s="1"/>
  <c r="N4574" i="5"/>
  <c r="N4575" i="5" s="1"/>
  <c r="N4576" i="5" s="1"/>
  <c r="N4577" i="5" s="1"/>
  <c r="N4578" i="5" s="1"/>
  <c r="N4579" i="5" s="1"/>
  <c r="N4580" i="5" s="1"/>
  <c r="N4581" i="5" s="1"/>
  <c r="N4582" i="5" s="1"/>
  <c r="N4583" i="5" s="1"/>
  <c r="N4584" i="5" s="1"/>
  <c r="H4572" i="5"/>
  <c r="N4902" i="5"/>
  <c r="N4903" i="5" s="1"/>
  <c r="N4904" i="5" s="1"/>
  <c r="N4905" i="5" s="1"/>
  <c r="N4906" i="5" s="1"/>
  <c r="N4907" i="5" s="1"/>
  <c r="N4908" i="5" s="1"/>
  <c r="N4909" i="5" s="1"/>
  <c r="N4910" i="5" s="1"/>
  <c r="N4911" i="5" s="1"/>
  <c r="N4912" i="5" s="1"/>
  <c r="D4928" i="5"/>
  <c r="D4927" i="5"/>
  <c r="D4926" i="5"/>
  <c r="D4925" i="5"/>
  <c r="C4925" i="5"/>
  <c r="D4924" i="5"/>
  <c r="D4923" i="5"/>
  <c r="D4922" i="5"/>
  <c r="D4921" i="5"/>
  <c r="C4921" i="5"/>
  <c r="D4920" i="5"/>
  <c r="D4919" i="5"/>
  <c r="D4918" i="5"/>
  <c r="D4917" i="5"/>
  <c r="C4917" i="5"/>
  <c r="D4916" i="5"/>
  <c r="D4915" i="5"/>
  <c r="D4914" i="5"/>
  <c r="D4913" i="5"/>
  <c r="C4913" i="5"/>
  <c r="D4912" i="5"/>
  <c r="D4911" i="5"/>
  <c r="D4910" i="5"/>
  <c r="D4909" i="5"/>
  <c r="C4909" i="5"/>
  <c r="D4908" i="5"/>
  <c r="D4907" i="5"/>
  <c r="D4906" i="5"/>
  <c r="D4905" i="5"/>
  <c r="C4905" i="5"/>
  <c r="D4904" i="5"/>
  <c r="D4903" i="5"/>
  <c r="D4902" i="5"/>
  <c r="D4901" i="5"/>
  <c r="C4901" i="5"/>
  <c r="X4948" i="5"/>
  <c r="W4948" i="5"/>
  <c r="V4948" i="5"/>
  <c r="U4948" i="5"/>
  <c r="S4948" i="5"/>
  <c r="R4948" i="5"/>
  <c r="Q4948" i="5"/>
  <c r="P4948" i="5"/>
  <c r="X4947" i="5"/>
  <c r="W4947" i="5"/>
  <c r="V4947" i="5"/>
  <c r="U4947" i="5"/>
  <c r="S4947" i="5"/>
  <c r="R4947" i="5"/>
  <c r="Q4947" i="5"/>
  <c r="P4947" i="5"/>
  <c r="X4946" i="5"/>
  <c r="W4946" i="5"/>
  <c r="V4946" i="5"/>
  <c r="U4946" i="5"/>
  <c r="S4946" i="5"/>
  <c r="R4946" i="5"/>
  <c r="Q4946" i="5"/>
  <c r="P4946" i="5"/>
  <c r="A4946" i="5"/>
  <c r="A4947" i="5" s="1"/>
  <c r="A4948" i="5" s="1"/>
  <c r="X4945" i="5"/>
  <c r="W4945" i="5"/>
  <c r="V4945" i="5"/>
  <c r="U4945" i="5"/>
  <c r="S4945" i="5"/>
  <c r="R4945" i="5"/>
  <c r="Q4945" i="5"/>
  <c r="P4945" i="5"/>
  <c r="X4944" i="5"/>
  <c r="W4944" i="5"/>
  <c r="V4944" i="5"/>
  <c r="U4944" i="5"/>
  <c r="S4944" i="5"/>
  <c r="R4944" i="5"/>
  <c r="Q4944" i="5"/>
  <c r="P4944" i="5"/>
  <c r="X4943" i="5"/>
  <c r="W4943" i="5"/>
  <c r="V4943" i="5"/>
  <c r="U4943" i="5"/>
  <c r="S4943" i="5"/>
  <c r="R4943" i="5"/>
  <c r="Q4943" i="5"/>
  <c r="P4943" i="5"/>
  <c r="X4942" i="5"/>
  <c r="W4942" i="5"/>
  <c r="V4942" i="5"/>
  <c r="U4942" i="5"/>
  <c r="S4942" i="5"/>
  <c r="R4942" i="5"/>
  <c r="Q4942" i="5"/>
  <c r="P4942" i="5"/>
  <c r="A4942" i="5"/>
  <c r="A4943" i="5" s="1"/>
  <c r="A4944" i="5" s="1"/>
  <c r="X4941" i="5"/>
  <c r="W4941" i="5"/>
  <c r="V4941" i="5"/>
  <c r="U4941" i="5"/>
  <c r="S4941" i="5"/>
  <c r="R4941" i="5"/>
  <c r="Q4941" i="5"/>
  <c r="P4941" i="5"/>
  <c r="X4940" i="5"/>
  <c r="W4940" i="5"/>
  <c r="V4940" i="5"/>
  <c r="U4940" i="5"/>
  <c r="S4940" i="5"/>
  <c r="R4940" i="5"/>
  <c r="Q4940" i="5"/>
  <c r="P4940" i="5"/>
  <c r="X4939" i="5"/>
  <c r="W4939" i="5"/>
  <c r="V4939" i="5"/>
  <c r="U4939" i="5"/>
  <c r="S4939" i="5"/>
  <c r="R4939" i="5"/>
  <c r="Q4939" i="5"/>
  <c r="P4939" i="5"/>
  <c r="X4938" i="5"/>
  <c r="W4938" i="5"/>
  <c r="V4938" i="5"/>
  <c r="U4938" i="5"/>
  <c r="S4938" i="5"/>
  <c r="R4938" i="5"/>
  <c r="Q4938" i="5"/>
  <c r="P4938" i="5"/>
  <c r="A4938" i="5"/>
  <c r="X4937" i="5"/>
  <c r="W4937" i="5"/>
  <c r="V4937" i="5"/>
  <c r="U4937" i="5"/>
  <c r="S4937" i="5"/>
  <c r="R4937" i="5"/>
  <c r="Q4937" i="5"/>
  <c r="P4937" i="5"/>
  <c r="X4936" i="5"/>
  <c r="W4936" i="5"/>
  <c r="V4936" i="5"/>
  <c r="U4936" i="5"/>
  <c r="S4936" i="5"/>
  <c r="R4936" i="5"/>
  <c r="Q4936" i="5"/>
  <c r="P4936" i="5"/>
  <c r="X4935" i="5"/>
  <c r="W4935" i="5"/>
  <c r="V4935" i="5"/>
  <c r="U4935" i="5"/>
  <c r="S4935" i="5"/>
  <c r="R4935" i="5"/>
  <c r="Q4935" i="5"/>
  <c r="P4935" i="5"/>
  <c r="X4934" i="5"/>
  <c r="W4934" i="5"/>
  <c r="V4934" i="5"/>
  <c r="U4934" i="5"/>
  <c r="S4934" i="5"/>
  <c r="R4934" i="5"/>
  <c r="Q4934" i="5"/>
  <c r="P4934" i="5"/>
  <c r="A4934" i="5"/>
  <c r="A4935" i="5" s="1"/>
  <c r="A4936" i="5" s="1"/>
  <c r="A4930" i="5"/>
  <c r="A4931" i="5" s="1"/>
  <c r="A4932" i="5" s="1"/>
  <c r="H4900" i="5"/>
  <c r="H6179" i="5"/>
  <c r="H6178" i="5"/>
  <c r="H6177" i="5"/>
  <c r="H6176" i="5"/>
  <c r="H6175" i="5"/>
  <c r="H6174" i="5"/>
  <c r="H6173" i="5"/>
  <c r="H6172" i="5"/>
  <c r="H6171" i="5"/>
  <c r="H6170" i="5"/>
  <c r="H6169" i="5"/>
  <c r="H6168" i="5"/>
  <c r="H6167" i="5"/>
  <c r="H6166" i="5"/>
  <c r="H6165" i="5"/>
  <c r="H6164" i="5"/>
  <c r="H6162" i="5"/>
  <c r="H6161" i="5"/>
  <c r="H6160" i="5"/>
  <c r="H6159" i="5"/>
  <c r="H6158" i="5"/>
  <c r="H6157" i="5"/>
  <c r="H6156" i="5"/>
  <c r="H6155" i="5"/>
  <c r="H6154" i="5"/>
  <c r="H6153" i="5"/>
  <c r="H6152" i="5"/>
  <c r="H6151" i="5"/>
  <c r="H6150" i="5"/>
  <c r="H6149" i="5"/>
  <c r="H5677" i="5"/>
  <c r="H5671" i="5"/>
  <c r="H5670" i="5"/>
  <c r="H5692" i="5"/>
  <c r="H5678" i="5"/>
  <c r="H5673" i="5"/>
  <c r="H5676" i="5"/>
  <c r="H5674" i="5"/>
  <c r="H5672" i="5"/>
  <c r="H5669" i="5"/>
  <c r="H6122" i="5"/>
  <c r="H6121" i="5"/>
  <c r="H6120" i="5"/>
  <c r="H6119" i="5"/>
  <c r="H6118" i="5"/>
  <c r="H6117" i="5"/>
  <c r="H6116" i="5"/>
  <c r="H6115" i="5"/>
  <c r="H6114" i="5"/>
  <c r="H6113" i="5"/>
  <c r="H6112" i="5"/>
  <c r="H6111" i="5"/>
  <c r="H6110" i="5"/>
  <c r="H6109" i="5"/>
  <c r="H5844" i="5"/>
  <c r="H5839" i="5"/>
  <c r="A4897" i="5"/>
  <c r="A4898" i="5" s="1"/>
  <c r="A4899" i="5" s="1"/>
  <c r="A4893" i="5"/>
  <c r="A4889" i="5"/>
  <c r="A4890" i="5" s="1"/>
  <c r="A4885" i="5"/>
  <c r="A4881" i="5"/>
  <c r="G4881" i="5" s="1"/>
  <c r="H4881" i="5" s="1"/>
  <c r="H5458" i="5"/>
  <c r="G4287" i="5"/>
  <c r="H4287" i="5" s="1"/>
  <c r="H5829" i="5"/>
  <c r="H5828" i="5"/>
  <c r="H5827" i="5"/>
  <c r="H5826" i="5"/>
  <c r="H5825" i="5"/>
  <c r="H5824" i="5"/>
  <c r="H5823" i="5"/>
  <c r="H5822" i="5"/>
  <c r="H5821" i="5"/>
  <c r="H5820" i="5"/>
  <c r="H5819" i="5"/>
  <c r="H5818" i="5"/>
  <c r="H5817" i="5"/>
  <c r="H5816" i="5"/>
  <c r="H5815" i="5"/>
  <c r="G4442" i="5"/>
  <c r="H4442" i="5" s="1"/>
  <c r="H6124" i="5"/>
  <c r="H6095" i="5"/>
  <c r="H6096" i="5"/>
  <c r="H6097" i="5"/>
  <c r="H6098" i="5"/>
  <c r="H6099" i="5"/>
  <c r="H6100" i="5"/>
  <c r="H6101" i="5"/>
  <c r="H6102" i="5"/>
  <c r="H6103" i="5"/>
  <c r="H6104" i="5"/>
  <c r="H6105" i="5"/>
  <c r="H6108" i="5"/>
  <c r="H6107" i="5"/>
  <c r="H6106" i="5"/>
  <c r="H6094" i="5"/>
  <c r="H6093" i="5"/>
  <c r="H5698" i="5"/>
  <c r="H5697" i="5"/>
  <c r="H5695" i="5"/>
  <c r="H5694" i="5"/>
  <c r="H5693" i="5"/>
  <c r="H5705" i="5"/>
  <c r="H5704" i="5"/>
  <c r="H5703" i="5"/>
  <c r="H5702" i="5"/>
  <c r="H5701" i="5"/>
  <c r="H5842" i="5"/>
  <c r="H5841" i="5"/>
  <c r="H5838" i="5"/>
  <c r="H5837" i="5"/>
  <c r="H5836" i="5"/>
  <c r="H5834" i="5"/>
  <c r="H5832" i="5"/>
  <c r="H5831" i="5"/>
  <c r="H5796" i="5"/>
  <c r="X4899" i="5"/>
  <c r="W4899" i="5"/>
  <c r="V4899" i="5"/>
  <c r="U4899" i="5"/>
  <c r="S4899" i="5"/>
  <c r="R4899" i="5"/>
  <c r="Q4899" i="5"/>
  <c r="P4899" i="5"/>
  <c r="X4898" i="5"/>
  <c r="W4898" i="5"/>
  <c r="V4898" i="5"/>
  <c r="U4898" i="5"/>
  <c r="S4898" i="5"/>
  <c r="R4898" i="5"/>
  <c r="Q4898" i="5"/>
  <c r="P4898" i="5"/>
  <c r="X4897" i="5"/>
  <c r="W4897" i="5"/>
  <c r="V4897" i="5"/>
  <c r="U4897" i="5"/>
  <c r="S4897" i="5"/>
  <c r="R4897" i="5"/>
  <c r="Q4897" i="5"/>
  <c r="P4897" i="5"/>
  <c r="X4896" i="5"/>
  <c r="W4896" i="5"/>
  <c r="V4896" i="5"/>
  <c r="U4896" i="5"/>
  <c r="S4896" i="5"/>
  <c r="R4896" i="5"/>
  <c r="Q4896" i="5"/>
  <c r="P4896" i="5"/>
  <c r="X4895" i="5"/>
  <c r="W4895" i="5"/>
  <c r="V4895" i="5"/>
  <c r="U4895" i="5"/>
  <c r="S4895" i="5"/>
  <c r="R4895" i="5"/>
  <c r="Q4895" i="5"/>
  <c r="P4895" i="5"/>
  <c r="X4894" i="5"/>
  <c r="W4894" i="5"/>
  <c r="V4894" i="5"/>
  <c r="U4894" i="5"/>
  <c r="S4894" i="5"/>
  <c r="R4894" i="5"/>
  <c r="Q4894" i="5"/>
  <c r="P4894" i="5"/>
  <c r="X4893" i="5"/>
  <c r="W4893" i="5"/>
  <c r="V4893" i="5"/>
  <c r="U4893" i="5"/>
  <c r="S4893" i="5"/>
  <c r="R4893" i="5"/>
  <c r="Q4893" i="5"/>
  <c r="P4893" i="5"/>
  <c r="X4892" i="5"/>
  <c r="W4892" i="5"/>
  <c r="V4892" i="5"/>
  <c r="U4892" i="5"/>
  <c r="S4892" i="5"/>
  <c r="R4892" i="5"/>
  <c r="Q4892" i="5"/>
  <c r="P4892" i="5"/>
  <c r="X4891" i="5"/>
  <c r="W4891" i="5"/>
  <c r="V4891" i="5"/>
  <c r="U4891" i="5"/>
  <c r="S4891" i="5"/>
  <c r="R4891" i="5"/>
  <c r="Q4891" i="5"/>
  <c r="P4891" i="5"/>
  <c r="X4890" i="5"/>
  <c r="W4890" i="5"/>
  <c r="V4890" i="5"/>
  <c r="U4890" i="5"/>
  <c r="S4890" i="5"/>
  <c r="R4890" i="5"/>
  <c r="Q4890" i="5"/>
  <c r="P4890" i="5"/>
  <c r="X4889" i="5"/>
  <c r="W4889" i="5"/>
  <c r="V4889" i="5"/>
  <c r="U4889" i="5"/>
  <c r="S4889" i="5"/>
  <c r="R4889" i="5"/>
  <c r="Q4889" i="5"/>
  <c r="P4889" i="5"/>
  <c r="X4888" i="5"/>
  <c r="W4888" i="5"/>
  <c r="V4888" i="5"/>
  <c r="U4888" i="5"/>
  <c r="S4888" i="5"/>
  <c r="R4888" i="5"/>
  <c r="Q4888" i="5"/>
  <c r="P4888" i="5"/>
  <c r="X4886" i="5"/>
  <c r="W4886" i="5"/>
  <c r="V4886" i="5"/>
  <c r="U4886" i="5"/>
  <c r="S4886" i="5"/>
  <c r="R4886" i="5"/>
  <c r="Q4886" i="5"/>
  <c r="P4886" i="5"/>
  <c r="X4887" i="5"/>
  <c r="W4887" i="5"/>
  <c r="V4887" i="5"/>
  <c r="U4887" i="5"/>
  <c r="S4887" i="5"/>
  <c r="R4887" i="5"/>
  <c r="Q4887" i="5"/>
  <c r="P4887" i="5"/>
  <c r="X4885" i="5"/>
  <c r="W4885" i="5"/>
  <c r="V4885" i="5"/>
  <c r="U4885" i="5"/>
  <c r="S4885" i="5"/>
  <c r="R4885" i="5"/>
  <c r="Q4885" i="5"/>
  <c r="P4885" i="5"/>
  <c r="G4880" i="5"/>
  <c r="H4880" i="5" s="1"/>
  <c r="S4881" i="5"/>
  <c r="S4882" i="5" s="1"/>
  <c r="S4883" i="5" s="1"/>
  <c r="S4884" i="5" s="1"/>
  <c r="S4901" i="5" s="1"/>
  <c r="S4902" i="5" s="1"/>
  <c r="S4903" i="5" s="1"/>
  <c r="S4904" i="5" s="1"/>
  <c r="S4905" i="5" s="1"/>
  <c r="S4906" i="5" s="1"/>
  <c r="S4907" i="5" s="1"/>
  <c r="S4908" i="5" s="1"/>
  <c r="S4909" i="5" s="1"/>
  <c r="S4910" i="5" s="1"/>
  <c r="R4881" i="5"/>
  <c r="R4882" i="5" s="1"/>
  <c r="R4883" i="5" s="1"/>
  <c r="R4884" i="5" s="1"/>
  <c r="R4901" i="5" s="1"/>
  <c r="R4902" i="5" s="1"/>
  <c r="Q4881" i="5"/>
  <c r="X4880" i="5"/>
  <c r="X4881" i="5" s="1"/>
  <c r="X4882" i="5" s="1"/>
  <c r="X4883" i="5" s="1"/>
  <c r="X4884" i="5" s="1"/>
  <c r="W4880" i="5"/>
  <c r="W4881" i="5" s="1"/>
  <c r="W4882" i="5" s="1"/>
  <c r="W4883" i="5" s="1"/>
  <c r="W4884" i="5" s="1"/>
  <c r="W4901" i="5" s="1"/>
  <c r="W4902" i="5" s="1"/>
  <c r="V4880" i="5"/>
  <c r="P4881" i="5"/>
  <c r="P4882" i="5" s="1"/>
  <c r="U4880" i="5"/>
  <c r="H4879" i="5"/>
  <c r="H4878" i="5"/>
  <c r="H4877" i="5"/>
  <c r="P4568" i="5"/>
  <c r="G4568" i="5" s="1"/>
  <c r="H4568" i="5" s="1"/>
  <c r="G4567" i="5"/>
  <c r="H4567" i="5" s="1"/>
  <c r="Q4567" i="5"/>
  <c r="H4566" i="5"/>
  <c r="H4565" i="5"/>
  <c r="H4564" i="5"/>
  <c r="Q4440" i="5"/>
  <c r="F4442" i="5" s="1"/>
  <c r="P4440" i="5"/>
  <c r="F4441" i="5" s="1"/>
  <c r="O4440" i="5"/>
  <c r="F4440" i="5" s="1"/>
  <c r="G4441" i="5"/>
  <c r="H4441" i="5" s="1"/>
  <c r="G4440" i="5"/>
  <c r="H4440" i="5" s="1"/>
  <c r="H4439" i="5"/>
  <c r="H4438" i="5"/>
  <c r="H4437" i="5"/>
  <c r="P4288" i="5"/>
  <c r="F4288" i="5" s="1"/>
  <c r="O4288" i="5"/>
  <c r="F4287" i="5" s="1"/>
  <c r="G4288" i="5"/>
  <c r="H4288" i="5" s="1"/>
  <c r="H4286" i="5"/>
  <c r="H4285" i="5"/>
  <c r="H4284" i="5"/>
  <c r="H4194" i="5"/>
  <c r="H4193" i="5"/>
  <c r="H4192" i="5"/>
  <c r="H128" i="5"/>
  <c r="G3519" i="5"/>
  <c r="H3519" i="5" s="1"/>
  <c r="G3518" i="5"/>
  <c r="H3518" i="5" s="1"/>
  <c r="G3517" i="5"/>
  <c r="H3517" i="5" s="1"/>
  <c r="R3517" i="5"/>
  <c r="F3519" i="5" s="1"/>
  <c r="Q3517" i="5"/>
  <c r="F3518" i="5" s="1"/>
  <c r="P3517" i="5"/>
  <c r="F3517" i="5" s="1"/>
  <c r="G3516" i="5"/>
  <c r="H3516" i="5" s="1"/>
  <c r="O3517" i="5"/>
  <c r="F3516" i="5" s="1"/>
  <c r="H3515" i="5"/>
  <c r="O3735" i="5"/>
  <c r="F3734" i="5" s="1"/>
  <c r="G3734" i="5"/>
  <c r="H3734" i="5" s="1"/>
  <c r="H3733" i="5"/>
  <c r="Q3659" i="5"/>
  <c r="F3659" i="5" s="1"/>
  <c r="P3659" i="5"/>
  <c r="F3658" i="5" s="1"/>
  <c r="H3657" i="5"/>
  <c r="H4046" i="5"/>
  <c r="G4051" i="5"/>
  <c r="H4051" i="5" s="1"/>
  <c r="G4050" i="5"/>
  <c r="H4050" i="5" s="1"/>
  <c r="G4049" i="5"/>
  <c r="H4049" i="5" s="1"/>
  <c r="Q4050" i="5"/>
  <c r="F4051" i="5" s="1"/>
  <c r="G3980" i="5"/>
  <c r="H3980" i="5" s="1"/>
  <c r="G3979" i="5"/>
  <c r="H3979" i="5" s="1"/>
  <c r="G3884" i="5"/>
  <c r="H3884" i="5" s="1"/>
  <c r="G3883" i="5"/>
  <c r="H3883" i="5" s="1"/>
  <c r="H4088" i="5"/>
  <c r="P4050" i="5"/>
  <c r="F4050" i="5" s="1"/>
  <c r="O4050" i="5"/>
  <c r="F4049" i="5" s="1"/>
  <c r="H4048" i="5"/>
  <c r="H4047" i="5"/>
  <c r="H4008" i="5"/>
  <c r="P3980" i="5"/>
  <c r="F3980" i="5" s="1"/>
  <c r="O3980" i="5"/>
  <c r="F3979" i="5" s="1"/>
  <c r="H3978" i="5"/>
  <c r="H3977" i="5"/>
  <c r="H3881" i="5"/>
  <c r="P3884" i="5"/>
  <c r="F3884" i="5" s="1"/>
  <c r="O3884" i="5"/>
  <c r="F3883" i="5" s="1"/>
  <c r="H3882" i="5"/>
  <c r="U131" i="5"/>
  <c r="F136" i="5" s="1"/>
  <c r="T131" i="5"/>
  <c r="F135" i="5" s="1"/>
  <c r="S131" i="5"/>
  <c r="F134" i="5" s="1"/>
  <c r="R131" i="5"/>
  <c r="F133" i="5" s="1"/>
  <c r="Q131" i="5"/>
  <c r="F132" i="5" s="1"/>
  <c r="P131" i="5"/>
  <c r="F131" i="5" s="1"/>
  <c r="O131" i="5"/>
  <c r="F130" i="5" s="1"/>
  <c r="H6216" i="5"/>
  <c r="H6215" i="5"/>
  <c r="H6214" i="5"/>
  <c r="H6213" i="5"/>
  <c r="H6212" i="5"/>
  <c r="H6211" i="5"/>
  <c r="H6210" i="5"/>
  <c r="H6209" i="5"/>
  <c r="H6208" i="5"/>
  <c r="H6207" i="5"/>
  <c r="H6206" i="5"/>
  <c r="H6205" i="5"/>
  <c r="H6204" i="5"/>
  <c r="H6203" i="5"/>
  <c r="H6202" i="5"/>
  <c r="H6201" i="5"/>
  <c r="H6200" i="5"/>
  <c r="H6199" i="5"/>
  <c r="H6198" i="5"/>
  <c r="H6197" i="5"/>
  <c r="H6196" i="5"/>
  <c r="H6195" i="5"/>
  <c r="H6194" i="5"/>
  <c r="H6193" i="5"/>
  <c r="H6192" i="5"/>
  <c r="H6191" i="5"/>
  <c r="H6190" i="5"/>
  <c r="H6189" i="5"/>
  <c r="H6188" i="5"/>
  <c r="H6187" i="5"/>
  <c r="H6186" i="5"/>
  <c r="H6185" i="5"/>
  <c r="H6184" i="5"/>
  <c r="H6183" i="5"/>
  <c r="H6182" i="5"/>
  <c r="H6181" i="5"/>
  <c r="H6180" i="5"/>
  <c r="H6092" i="5"/>
  <c r="H6090" i="5"/>
  <c r="H6128" i="5"/>
  <c r="H5811" i="5"/>
  <c r="H5808" i="5"/>
  <c r="H5807" i="5"/>
  <c r="H5806" i="5"/>
  <c r="H5802" i="5"/>
  <c r="H5801" i="5"/>
  <c r="H5800" i="5"/>
  <c r="H5797" i="5"/>
  <c r="H5713" i="5"/>
  <c r="H5711" i="5"/>
  <c r="H5710" i="5"/>
  <c r="H5709" i="5"/>
  <c r="H5668" i="5"/>
  <c r="H5667" i="5"/>
  <c r="H5666" i="5"/>
  <c r="H5665" i="5"/>
  <c r="H5664" i="5"/>
  <c r="H5663" i="5"/>
  <c r="H5662" i="5"/>
  <c r="H5661" i="5"/>
  <c r="H5660" i="5"/>
  <c r="H5659" i="5"/>
  <c r="H5658" i="5"/>
  <c r="H5657" i="5"/>
  <c r="H5656" i="5"/>
  <c r="H5655" i="5"/>
  <c r="H5654" i="5"/>
  <c r="H5653" i="5"/>
  <c r="H5652" i="5"/>
  <c r="H5651" i="5"/>
  <c r="H5650" i="5"/>
  <c r="H5461" i="5"/>
  <c r="H5460" i="5"/>
  <c r="H5459" i="5"/>
  <c r="H5457" i="5"/>
  <c r="H5456" i="5"/>
  <c r="H5455" i="5"/>
  <c r="H5454" i="5"/>
  <c r="H5453" i="5"/>
  <c r="H5452" i="5"/>
  <c r="H5451" i="5"/>
  <c r="H5450" i="5"/>
  <c r="H5449" i="5"/>
  <c r="H5448" i="5"/>
  <c r="H5447" i="5"/>
  <c r="H5446" i="5"/>
  <c r="H5445" i="5"/>
  <c r="H5444" i="5"/>
  <c r="H5443" i="5"/>
  <c r="H5442" i="5"/>
  <c r="H5441" i="5"/>
  <c r="H5440" i="5"/>
  <c r="H5439" i="5"/>
  <c r="H5438" i="5"/>
  <c r="H5432" i="5"/>
  <c r="H5431" i="5"/>
  <c r="H5430" i="5"/>
  <c r="H5429" i="5"/>
  <c r="H5428" i="5"/>
  <c r="H5427" i="5"/>
  <c r="H5426" i="5"/>
  <c r="H5425" i="5"/>
  <c r="H5424" i="5"/>
  <c r="H5423" i="5"/>
  <c r="H5422" i="5"/>
  <c r="H5421" i="5"/>
  <c r="H5420" i="5"/>
  <c r="H5419" i="5"/>
  <c r="H5418" i="5"/>
  <c r="H5417" i="5"/>
  <c r="H5416" i="5"/>
  <c r="H5415" i="5"/>
  <c r="H5414" i="5"/>
  <c r="H5413" i="5"/>
  <c r="H5412" i="5"/>
  <c r="H5411" i="5"/>
  <c r="H5410" i="5"/>
  <c r="H5409" i="5"/>
  <c r="H5408" i="5"/>
  <c r="H5407" i="5"/>
  <c r="H5406" i="5"/>
  <c r="H5405" i="5"/>
  <c r="H5404" i="5"/>
  <c r="H5403" i="5"/>
  <c r="H5402" i="5"/>
  <c r="H5401" i="5"/>
  <c r="H5400" i="5"/>
  <c r="H5399" i="5"/>
  <c r="H5398" i="5"/>
  <c r="H5397" i="5"/>
  <c r="H5396" i="5"/>
  <c r="H5395" i="5"/>
  <c r="H5394" i="5"/>
  <c r="H5393" i="5"/>
  <c r="H5392" i="5"/>
  <c r="H5391" i="5"/>
  <c r="H5390" i="5"/>
  <c r="H5389" i="5"/>
  <c r="H5388" i="5"/>
  <c r="H5387" i="5"/>
  <c r="H5386" i="5"/>
  <c r="H5385" i="5"/>
  <c r="H5384" i="5"/>
  <c r="H5383" i="5"/>
  <c r="H5382" i="5"/>
  <c r="H5381" i="5"/>
  <c r="H5380" i="5"/>
  <c r="H5379" i="5"/>
  <c r="H5378" i="5"/>
  <c r="H5377" i="5"/>
  <c r="H5376" i="5"/>
  <c r="H4876" i="5"/>
  <c r="H4875" i="5"/>
  <c r="H4874" i="5"/>
  <c r="H4873" i="5"/>
  <c r="H4872" i="5"/>
  <c r="H4871" i="5"/>
  <c r="H4870" i="5"/>
  <c r="H4869" i="5"/>
  <c r="H4868" i="5"/>
  <c r="H4867" i="5"/>
  <c r="H4866" i="5"/>
  <c r="H4865" i="5"/>
  <c r="H4864" i="5"/>
  <c r="H4863" i="5"/>
  <c r="H4862" i="5"/>
  <c r="H4861" i="5"/>
  <c r="H4860" i="5"/>
  <c r="H4859" i="5"/>
  <c r="H4858" i="5"/>
  <c r="H4857" i="5"/>
  <c r="H4856" i="5"/>
  <c r="H4855" i="5"/>
  <c r="H4854" i="5"/>
  <c r="H4853" i="5"/>
  <c r="H4852" i="5"/>
  <c r="H4851" i="5"/>
  <c r="H4850" i="5"/>
  <c r="H4849" i="5"/>
  <c r="H4848" i="5"/>
  <c r="H4847" i="5"/>
  <c r="H4846" i="5"/>
  <c r="H4845" i="5"/>
  <c r="H4844" i="5"/>
  <c r="H4843" i="5"/>
  <c r="H4842" i="5"/>
  <c r="H4841" i="5"/>
  <c r="H4840" i="5"/>
  <c r="H4839" i="5"/>
  <c r="H4838" i="5"/>
  <c r="H4837" i="5"/>
  <c r="H4836" i="5"/>
  <c r="H4835" i="5"/>
  <c r="H4834" i="5"/>
  <c r="H4833" i="5"/>
  <c r="H4832" i="5"/>
  <c r="H4831" i="5"/>
  <c r="H4830" i="5"/>
  <c r="H4829" i="5"/>
  <c r="H4828" i="5"/>
  <c r="H4827" i="5"/>
  <c r="H4826" i="5"/>
  <c r="H4825" i="5"/>
  <c r="H4824" i="5"/>
  <c r="H4823" i="5"/>
  <c r="H4822" i="5"/>
  <c r="H4821" i="5"/>
  <c r="H4820" i="5"/>
  <c r="H4819" i="5"/>
  <c r="H4818" i="5"/>
  <c r="H4817" i="5"/>
  <c r="H4816" i="5"/>
  <c r="H4815" i="5"/>
  <c r="H4814" i="5"/>
  <c r="H4813" i="5"/>
  <c r="H4812" i="5"/>
  <c r="H4811" i="5"/>
  <c r="H4810" i="5"/>
  <c r="H4809" i="5"/>
  <c r="H4808" i="5"/>
  <c r="H4807" i="5"/>
  <c r="H4806" i="5"/>
  <c r="H4805" i="5"/>
  <c r="H4804" i="5"/>
  <c r="H4803" i="5"/>
  <c r="H4802" i="5"/>
  <c r="H4801" i="5"/>
  <c r="H4800" i="5"/>
  <c r="H4799" i="5"/>
  <c r="H4798" i="5"/>
  <c r="H4797" i="5"/>
  <c r="H4796" i="5"/>
  <c r="H4795" i="5"/>
  <c r="H4794" i="5"/>
  <c r="H4793" i="5"/>
  <c r="H4792" i="5"/>
  <c r="H4791" i="5"/>
  <c r="H4790" i="5"/>
  <c r="H4789" i="5"/>
  <c r="H4788" i="5"/>
  <c r="H4787" i="5"/>
  <c r="H4786" i="5"/>
  <c r="H4785" i="5"/>
  <c r="H4784" i="5"/>
  <c r="H4783" i="5"/>
  <c r="H4782" i="5"/>
  <c r="H4781" i="5"/>
  <c r="H4780" i="5"/>
  <c r="H4779" i="5"/>
  <c r="H4778" i="5"/>
  <c r="H4777" i="5"/>
  <c r="H4776" i="5"/>
  <c r="H4775" i="5"/>
  <c r="H4774" i="5"/>
  <c r="H4773" i="5"/>
  <c r="H4772" i="5"/>
  <c r="H4771" i="5"/>
  <c r="H4770" i="5"/>
  <c r="H4769" i="5"/>
  <c r="H4768" i="5"/>
  <c r="H4767" i="5"/>
  <c r="H4766" i="5"/>
  <c r="H4765" i="5"/>
  <c r="H4764" i="5"/>
  <c r="H4763" i="5"/>
  <c r="H4762" i="5"/>
  <c r="H4752" i="5"/>
  <c r="H4751" i="5"/>
  <c r="H4750" i="5"/>
  <c r="H4749" i="5"/>
  <c r="H4748" i="5"/>
  <c r="H4738" i="5"/>
  <c r="H4737" i="5"/>
  <c r="H4736" i="5"/>
  <c r="H4735" i="5"/>
  <c r="H4734" i="5"/>
  <c r="H4724" i="5"/>
  <c r="H4723" i="5"/>
  <c r="H4722" i="5"/>
  <c r="H4721" i="5"/>
  <c r="H4720" i="5"/>
  <c r="H4710" i="5"/>
  <c r="H4709" i="5"/>
  <c r="H4708" i="5"/>
  <c r="H4707" i="5"/>
  <c r="H4706" i="5"/>
  <c r="H4696" i="5"/>
  <c r="H4695" i="5"/>
  <c r="H4694" i="5"/>
  <c r="H4693" i="5"/>
  <c r="H4692" i="5"/>
  <c r="H4689" i="5"/>
  <c r="H4688" i="5"/>
  <c r="H4687" i="5"/>
  <c r="H4686" i="5"/>
  <c r="H4685" i="5"/>
  <c r="H4682" i="5"/>
  <c r="H4681" i="5"/>
  <c r="H4680" i="5"/>
  <c r="H4679" i="5"/>
  <c r="H4563" i="5"/>
  <c r="H4562" i="5"/>
  <c r="H4561" i="5"/>
  <c r="H4560" i="5"/>
  <c r="H4559" i="5"/>
  <c r="H4558" i="5"/>
  <c r="H4557" i="5"/>
  <c r="H4556" i="5"/>
  <c r="H4555" i="5"/>
  <c r="H4554" i="5"/>
  <c r="H4553" i="5"/>
  <c r="H4552" i="5"/>
  <c r="H4551" i="5"/>
  <c r="H4550" i="5"/>
  <c r="H4549" i="5"/>
  <c r="H4548" i="5"/>
  <c r="H4547" i="5"/>
  <c r="H4546" i="5"/>
  <c r="H4545" i="5"/>
  <c r="H4544" i="5"/>
  <c r="H4543" i="5"/>
  <c r="H4542" i="5"/>
  <c r="H4541" i="5"/>
  <c r="H4540" i="5"/>
  <c r="H4539" i="5"/>
  <c r="H4538" i="5"/>
  <c r="H4537" i="5"/>
  <c r="H4536" i="5"/>
  <c r="H4535" i="5"/>
  <c r="H4534" i="5"/>
  <c r="H4533" i="5"/>
  <c r="H4532" i="5"/>
  <c r="H4531" i="5"/>
  <c r="H4530" i="5"/>
  <c r="H4529" i="5"/>
  <c r="H4528" i="5"/>
  <c r="H4527" i="5"/>
  <c r="H4526" i="5"/>
  <c r="H4525" i="5"/>
  <c r="H4524" i="5"/>
  <c r="H4523" i="5"/>
  <c r="H4522" i="5"/>
  <c r="H4521" i="5"/>
  <c r="H4520" i="5"/>
  <c r="H4519" i="5"/>
  <c r="H4518" i="5"/>
  <c r="H4517" i="5"/>
  <c r="H4516" i="5"/>
  <c r="H4515" i="5"/>
  <c r="H4514" i="5"/>
  <c r="H4513" i="5"/>
  <c r="H4512" i="5"/>
  <c r="H4511" i="5"/>
  <c r="H4510" i="5"/>
  <c r="H4509" i="5"/>
  <c r="H4508" i="5"/>
  <c r="H4507" i="5"/>
  <c r="H4506" i="5"/>
  <c r="H4505" i="5"/>
  <c r="H4504" i="5"/>
  <c r="H4503" i="5"/>
  <c r="H4502" i="5"/>
  <c r="H4501" i="5"/>
  <c r="H4500" i="5"/>
  <c r="H4499" i="5"/>
  <c r="H4498" i="5"/>
  <c r="H4497" i="5"/>
  <c r="H4496" i="5"/>
  <c r="H4495" i="5"/>
  <c r="H4494" i="5"/>
  <c r="H4493" i="5"/>
  <c r="H4492" i="5"/>
  <c r="H4491" i="5"/>
  <c r="H4490" i="5"/>
  <c r="H4489" i="5"/>
  <c r="H4488" i="5"/>
  <c r="H4487" i="5"/>
  <c r="H4486" i="5"/>
  <c r="H4485" i="5"/>
  <c r="H4484" i="5"/>
  <c r="H4483" i="5"/>
  <c r="H4482" i="5"/>
  <c r="H4481" i="5"/>
  <c r="H4480" i="5"/>
  <c r="H4479" i="5"/>
  <c r="H4478" i="5"/>
  <c r="H4477" i="5"/>
  <c r="H4476" i="5"/>
  <c r="H4475" i="5"/>
  <c r="H4474" i="5"/>
  <c r="H4473" i="5"/>
  <c r="H4472" i="5"/>
  <c r="H4471" i="5"/>
  <c r="H4470" i="5"/>
  <c r="H4469" i="5"/>
  <c r="H4400" i="5"/>
  <c r="H4436" i="5"/>
  <c r="H4435" i="5"/>
  <c r="H4434" i="5"/>
  <c r="H4433" i="5"/>
  <c r="H4432" i="5"/>
  <c r="H4431" i="5"/>
  <c r="H4430" i="5"/>
  <c r="H4429" i="5"/>
  <c r="H4428" i="5"/>
  <c r="H4427" i="5"/>
  <c r="H4426" i="5"/>
  <c r="H4425" i="5"/>
  <c r="H4424" i="5"/>
  <c r="H4423" i="5"/>
  <c r="H4422" i="5"/>
  <c r="H4421" i="5"/>
  <c r="H4420" i="5"/>
  <c r="H4419" i="5"/>
  <c r="H4418" i="5"/>
  <c r="H4417" i="5"/>
  <c r="H4416" i="5"/>
  <c r="H4415" i="5"/>
  <c r="H4414" i="5"/>
  <c r="H4413" i="5"/>
  <c r="H4412" i="5"/>
  <c r="H4411" i="5"/>
  <c r="H4410" i="5"/>
  <c r="H4409" i="5"/>
  <c r="H4408" i="5"/>
  <c r="H4407" i="5"/>
  <c r="H4406" i="5"/>
  <c r="H4405" i="5"/>
  <c r="H4404" i="5"/>
  <c r="H4403" i="5"/>
  <c r="H4402" i="5"/>
  <c r="H4399" i="5"/>
  <c r="H4398" i="5"/>
  <c r="H4397" i="5"/>
  <c r="H4396" i="5"/>
  <c r="H4395" i="5"/>
  <c r="H4394" i="5"/>
  <c r="H4393" i="5"/>
  <c r="H4392" i="5"/>
  <c r="H4391" i="5"/>
  <c r="H4390" i="5"/>
  <c r="H4389" i="5"/>
  <c r="H4388" i="5"/>
  <c r="H4387" i="5"/>
  <c r="H4386" i="5"/>
  <c r="H4385" i="5"/>
  <c r="H4384" i="5"/>
  <c r="H4383" i="5"/>
  <c r="H4382" i="5"/>
  <c r="H4381" i="5"/>
  <c r="H4380" i="5"/>
  <c r="H4379" i="5"/>
  <c r="H4378" i="5"/>
  <c r="H4377" i="5"/>
  <c r="H4376" i="5"/>
  <c r="H4375" i="5"/>
  <c r="H4374" i="5"/>
  <c r="H4373" i="5"/>
  <c r="H4372" i="5"/>
  <c r="H4283" i="5"/>
  <c r="H4282" i="5"/>
  <c r="H4281" i="5"/>
  <c r="H4280" i="5"/>
  <c r="H4279" i="5"/>
  <c r="H4278" i="5"/>
  <c r="H4277" i="5"/>
  <c r="H4276" i="5"/>
  <c r="H4275" i="5"/>
  <c r="H4274" i="5"/>
  <c r="H4273" i="5"/>
  <c r="H4272" i="5"/>
  <c r="H4271" i="5"/>
  <c r="H4270" i="5"/>
  <c r="H4269" i="5"/>
  <c r="H4268" i="5"/>
  <c r="H4267" i="5"/>
  <c r="H4266" i="5"/>
  <c r="H4265" i="5"/>
  <c r="H4264" i="5"/>
  <c r="H4263" i="5"/>
  <c r="H4262" i="5"/>
  <c r="H4261" i="5"/>
  <c r="H4260" i="5"/>
  <c r="H4259" i="5"/>
  <c r="H4258" i="5"/>
  <c r="H4257" i="5"/>
  <c r="H4256" i="5"/>
  <c r="H4255" i="5"/>
  <c r="H4254" i="5"/>
  <c r="H4253" i="5"/>
  <c r="H4252" i="5"/>
  <c r="H4251" i="5"/>
  <c r="H4250" i="5"/>
  <c r="H4249" i="5"/>
  <c r="H4248" i="5"/>
  <c r="H4247" i="5"/>
  <c r="H4246" i="5"/>
  <c r="H4245" i="5"/>
  <c r="H4244" i="5"/>
  <c r="H4243" i="5"/>
  <c r="H4242" i="5"/>
  <c r="H4241" i="5"/>
  <c r="H4240" i="5"/>
  <c r="H4239" i="5"/>
  <c r="H4238" i="5"/>
  <c r="H4237" i="5"/>
  <c r="H4236" i="5"/>
  <c r="H4235" i="5"/>
  <c r="H4234" i="5"/>
  <c r="H4233" i="5"/>
  <c r="H4232" i="5"/>
  <c r="H4231" i="5"/>
  <c r="H4230" i="5"/>
  <c r="H4229" i="5"/>
  <c r="H4228" i="5"/>
  <c r="H4227" i="5"/>
  <c r="H4226" i="5"/>
  <c r="H4225" i="5"/>
  <c r="H4224" i="5"/>
  <c r="H4223" i="5"/>
  <c r="H4222" i="5"/>
  <c r="H4221" i="5"/>
  <c r="H4220" i="5"/>
  <c r="H4219" i="5"/>
  <c r="H4218" i="5"/>
  <c r="H4217" i="5"/>
  <c r="H4216" i="5"/>
  <c r="H4191" i="5"/>
  <c r="H4190" i="5"/>
  <c r="H4189" i="5"/>
  <c r="H4188" i="5"/>
  <c r="H4187" i="5"/>
  <c r="H4186" i="5"/>
  <c r="H4185" i="5"/>
  <c r="H4184" i="5"/>
  <c r="H4183" i="5"/>
  <c r="H4182" i="5"/>
  <c r="H4181" i="5"/>
  <c r="H4180" i="5"/>
  <c r="H4179" i="5"/>
  <c r="H4178" i="5"/>
  <c r="H4177" i="5"/>
  <c r="H4176" i="5"/>
  <c r="H4175" i="5"/>
  <c r="H4174" i="5"/>
  <c r="H4173" i="5"/>
  <c r="H4172" i="5"/>
  <c r="H4171" i="5"/>
  <c r="H4170" i="5"/>
  <c r="H4169" i="5"/>
  <c r="H4168" i="5"/>
  <c r="H4167" i="5"/>
  <c r="H4166" i="5"/>
  <c r="H4165" i="5"/>
  <c r="H4164" i="5"/>
  <c r="H4163" i="5"/>
  <c r="H4162" i="5"/>
  <c r="H4161" i="5"/>
  <c r="H4160" i="5"/>
  <c r="H4159" i="5"/>
  <c r="H4158" i="5"/>
  <c r="H4157" i="5"/>
  <c r="H4156" i="5"/>
  <c r="H4155" i="5"/>
  <c r="H4154" i="5"/>
  <c r="H4153" i="5"/>
  <c r="H4152" i="5"/>
  <c r="H4151" i="5"/>
  <c r="H4150" i="5"/>
  <c r="H4149" i="5"/>
  <c r="H4148" i="5"/>
  <c r="H4147" i="5"/>
  <c r="H4146" i="5"/>
  <c r="H4145" i="5"/>
  <c r="H4144" i="5"/>
  <c r="H4143" i="5"/>
  <c r="H4142" i="5"/>
  <c r="H4141" i="5"/>
  <c r="H4140" i="5"/>
  <c r="H4139" i="5"/>
  <c r="H4138" i="5"/>
  <c r="H4137" i="5"/>
  <c r="H4136" i="5"/>
  <c r="H4135" i="5"/>
  <c r="H4134" i="5"/>
  <c r="H4133" i="5"/>
  <c r="H4132" i="5"/>
  <c r="H4131" i="5"/>
  <c r="H4130" i="5"/>
  <c r="H4129" i="5"/>
  <c r="H4128" i="5"/>
  <c r="H4127" i="5"/>
  <c r="H4126" i="5"/>
  <c r="H4125" i="5"/>
  <c r="H4124" i="5"/>
  <c r="H4123" i="5"/>
  <c r="H4122" i="5"/>
  <c r="H4121" i="5"/>
  <c r="H4120" i="5"/>
  <c r="H4119" i="5"/>
  <c r="H4118" i="5"/>
  <c r="H4117" i="5"/>
  <c r="H4116" i="5"/>
  <c r="H4115" i="5"/>
  <c r="H4114" i="5"/>
  <c r="H4113" i="5"/>
  <c r="H4112" i="5"/>
  <c r="H4111" i="5"/>
  <c r="H4110" i="5"/>
  <c r="H4109" i="5"/>
  <c r="H4108" i="5"/>
  <c r="H4107" i="5"/>
  <c r="H4106" i="5"/>
  <c r="H4105" i="5"/>
  <c r="H4104" i="5"/>
  <c r="H4103" i="5"/>
  <c r="H4102" i="5"/>
  <c r="H4101" i="5"/>
  <c r="H4100" i="5"/>
  <c r="H4099" i="5"/>
  <c r="H4098" i="5"/>
  <c r="H4097" i="5"/>
  <c r="H4096" i="5"/>
  <c r="H4095" i="5"/>
  <c r="H4045" i="5"/>
  <c r="H4044" i="5"/>
  <c r="H4043" i="5"/>
  <c r="H4042" i="5"/>
  <c r="H4041" i="5"/>
  <c r="H4040" i="5"/>
  <c r="H4039" i="5"/>
  <c r="H4038" i="5"/>
  <c r="H4037" i="5"/>
  <c r="H4036" i="5"/>
  <c r="H4035" i="5"/>
  <c r="H4034" i="5"/>
  <c r="H4033" i="5"/>
  <c r="H4032" i="5"/>
  <c r="H4031" i="5"/>
  <c r="H4030" i="5"/>
  <c r="H4029" i="5"/>
  <c r="H4028" i="5"/>
  <c r="H4027" i="5"/>
  <c r="H4026" i="5"/>
  <c r="H4025" i="5"/>
  <c r="H4024" i="5"/>
  <c r="H4023" i="5"/>
  <c r="H4022" i="5"/>
  <c r="H4021" i="5"/>
  <c r="H4020" i="5"/>
  <c r="H4019" i="5"/>
  <c r="H4018" i="5"/>
  <c r="H4017" i="5"/>
  <c r="H4016" i="5"/>
  <c r="H4015" i="5"/>
  <c r="H4014" i="5"/>
  <c r="H4013" i="5"/>
  <c r="H4012" i="5"/>
  <c r="H4011" i="5"/>
  <c r="H4010" i="5"/>
  <c r="H4009" i="5"/>
  <c r="H3976" i="5"/>
  <c r="H3975" i="5"/>
  <c r="H3974" i="5"/>
  <c r="H3973" i="5"/>
  <c r="H3972" i="5"/>
  <c r="H3971" i="5"/>
  <c r="H3970" i="5"/>
  <c r="H3969" i="5"/>
  <c r="H3968" i="5"/>
  <c r="H3967" i="5"/>
  <c r="H3966" i="5"/>
  <c r="H3965" i="5"/>
  <c r="H3964" i="5"/>
  <c r="H3963" i="5"/>
  <c r="H3962" i="5"/>
  <c r="H3961" i="5"/>
  <c r="H3960" i="5"/>
  <c r="H3959" i="5"/>
  <c r="H3958" i="5"/>
  <c r="H3957" i="5"/>
  <c r="H3956" i="5"/>
  <c r="H3955" i="5"/>
  <c r="H3954" i="5"/>
  <c r="H3953" i="5"/>
  <c r="H3952" i="5"/>
  <c r="H3951" i="5"/>
  <c r="H3950" i="5"/>
  <c r="H3949" i="5"/>
  <c r="H3948" i="5"/>
  <c r="H3947" i="5"/>
  <c r="H3946" i="5"/>
  <c r="H3945" i="5"/>
  <c r="H3944" i="5"/>
  <c r="H3943" i="5"/>
  <c r="H3942" i="5"/>
  <c r="H3941" i="5"/>
  <c r="H3940" i="5"/>
  <c r="H3939" i="5"/>
  <c r="H3938" i="5"/>
  <c r="H3937" i="5"/>
  <c r="H3936" i="5"/>
  <c r="H3935" i="5"/>
  <c r="H3934" i="5"/>
  <c r="H3933" i="5"/>
  <c r="H3932" i="5"/>
  <c r="H3931" i="5"/>
  <c r="H3930" i="5"/>
  <c r="H3929" i="5"/>
  <c r="H3928" i="5"/>
  <c r="H3927" i="5"/>
  <c r="H3926" i="5"/>
  <c r="H3925" i="5"/>
  <c r="H3924" i="5"/>
  <c r="H3923" i="5"/>
  <c r="H3922" i="5"/>
  <c r="H3921" i="5"/>
  <c r="H3920" i="5"/>
  <c r="H3919" i="5"/>
  <c r="H3918" i="5"/>
  <c r="H3917" i="5"/>
  <c r="H3916" i="5"/>
  <c r="H3915" i="5"/>
  <c r="H3880" i="5"/>
  <c r="H3879" i="5"/>
  <c r="H3878" i="5"/>
  <c r="H3877" i="5"/>
  <c r="H3876" i="5"/>
  <c r="H3875" i="5"/>
  <c r="H3874" i="5"/>
  <c r="H3873" i="5"/>
  <c r="H3872" i="5"/>
  <c r="H3871" i="5"/>
  <c r="H3870" i="5"/>
  <c r="H3869" i="5"/>
  <c r="H3868" i="5"/>
  <c r="H3867" i="5"/>
  <c r="H3866" i="5"/>
  <c r="H3865" i="5"/>
  <c r="H3864" i="5"/>
  <c r="H3863" i="5"/>
  <c r="H3862" i="5"/>
  <c r="H3861" i="5"/>
  <c r="H3860" i="5"/>
  <c r="H3859" i="5"/>
  <c r="H3858" i="5"/>
  <c r="H3857" i="5"/>
  <c r="H3856" i="5"/>
  <c r="H3855" i="5"/>
  <c r="H3854" i="5"/>
  <c r="H3853" i="5"/>
  <c r="H3852" i="5"/>
  <c r="H3851" i="5"/>
  <c r="H3850" i="5"/>
  <c r="H3849" i="5"/>
  <c r="H3848" i="5"/>
  <c r="H3847" i="5"/>
  <c r="H3846" i="5"/>
  <c r="H3845" i="5"/>
  <c r="H3844" i="5"/>
  <c r="H3843" i="5"/>
  <c r="H3842" i="5"/>
  <c r="H3841" i="5"/>
  <c r="H3840" i="5"/>
  <c r="H3839" i="5"/>
  <c r="H3838" i="5"/>
  <c r="H3837" i="5"/>
  <c r="H3836" i="5"/>
  <c r="H3835" i="5"/>
  <c r="H3834" i="5"/>
  <c r="H3833" i="5"/>
  <c r="H3832" i="5"/>
  <c r="H3831" i="5"/>
  <c r="H3830" i="5"/>
  <c r="H3829" i="5"/>
  <c r="H3828" i="5"/>
  <c r="H3827" i="5"/>
  <c r="H3826" i="5"/>
  <c r="H3825" i="5"/>
  <c r="H3824" i="5"/>
  <c r="H3823" i="5"/>
  <c r="H3822" i="5"/>
  <c r="H3821" i="5"/>
  <c r="H3820" i="5"/>
  <c r="H3819" i="5"/>
  <c r="H3818" i="5"/>
  <c r="H3817" i="5"/>
  <c r="H3816" i="5"/>
  <c r="H3815" i="5"/>
  <c r="H3814" i="5"/>
  <c r="H3813" i="5"/>
  <c r="H3812" i="5"/>
  <c r="H3811" i="5"/>
  <c r="H3810" i="5"/>
  <c r="H3809" i="5"/>
  <c r="H3808" i="5"/>
  <c r="H3807" i="5"/>
  <c r="H3806" i="5"/>
  <c r="H3805" i="5"/>
  <c r="H3804" i="5"/>
  <c r="H3803" i="5"/>
  <c r="H3802" i="5"/>
  <c r="H3801" i="5"/>
  <c r="H3800" i="5"/>
  <c r="H3799" i="5"/>
  <c r="H3798" i="5"/>
  <c r="H3797" i="5"/>
  <c r="H3796" i="5"/>
  <c r="H3795" i="5"/>
  <c r="H3794" i="5"/>
  <c r="H3793" i="5"/>
  <c r="H3792" i="5"/>
  <c r="H3791" i="5"/>
  <c r="H3790" i="5"/>
  <c r="H3789" i="5"/>
  <c r="H3788" i="5"/>
  <c r="H3787" i="5"/>
  <c r="H3786" i="5"/>
  <c r="H3785" i="5"/>
  <c r="H3784" i="5"/>
  <c r="H3783" i="5"/>
  <c r="H3782" i="5"/>
  <c r="H3781" i="5"/>
  <c r="H3780" i="5"/>
  <c r="H3779" i="5"/>
  <c r="H3778" i="5"/>
  <c r="H3777" i="5"/>
  <c r="H3776" i="5"/>
  <c r="H3730" i="5"/>
  <c r="H3729" i="5"/>
  <c r="H3728" i="5"/>
  <c r="H3727" i="5"/>
  <c r="H3726" i="5"/>
  <c r="H3725" i="5"/>
  <c r="H3724" i="5"/>
  <c r="H3723" i="5"/>
  <c r="H3663" i="5"/>
  <c r="H3654" i="5"/>
  <c r="H3653" i="5"/>
  <c r="H3652" i="5"/>
  <c r="H3651" i="5"/>
  <c r="H3650" i="5"/>
  <c r="H3649" i="5"/>
  <c r="H3648" i="5"/>
  <c r="H3647" i="5"/>
  <c r="H3646" i="5"/>
  <c r="H3645" i="5"/>
  <c r="H3644" i="5"/>
  <c r="H3643" i="5"/>
  <c r="H3642" i="5"/>
  <c r="H3641" i="5"/>
  <c r="H3640" i="5"/>
  <c r="H3639" i="5"/>
  <c r="H3638" i="5"/>
  <c r="H3637" i="5"/>
  <c r="H3636" i="5"/>
  <c r="H3635" i="5"/>
  <c r="H3634" i="5"/>
  <c r="H3633" i="5"/>
  <c r="H3632" i="5"/>
  <c r="H3631" i="5"/>
  <c r="H3630" i="5"/>
  <c r="H3629" i="5"/>
  <c r="H3628" i="5"/>
  <c r="H3627" i="5"/>
  <c r="H3626" i="5"/>
  <c r="H3512" i="5"/>
  <c r="H3511" i="5"/>
  <c r="H3510" i="5"/>
  <c r="H3509" i="5"/>
  <c r="H3508" i="5"/>
  <c r="H3507" i="5"/>
  <c r="H3506" i="5"/>
  <c r="H3505" i="5"/>
  <c r="H3504" i="5"/>
  <c r="H3503" i="5"/>
  <c r="H3502" i="5"/>
  <c r="H3501" i="5"/>
  <c r="H3500" i="5"/>
  <c r="H3499" i="5"/>
  <c r="H3498" i="5"/>
  <c r="H3497" i="5"/>
  <c r="H3496" i="5"/>
  <c r="H3495" i="5"/>
  <c r="H3494" i="5"/>
  <c r="H3493" i="5"/>
  <c r="H3492" i="5"/>
  <c r="H3491" i="5"/>
  <c r="H3490" i="5"/>
  <c r="H3489" i="5"/>
  <c r="H3488" i="5"/>
  <c r="H3487" i="5"/>
  <c r="H3486" i="5"/>
  <c r="H3485" i="5"/>
  <c r="H3484" i="5"/>
  <c r="H3483" i="5"/>
  <c r="H3482" i="5"/>
  <c r="H3481" i="5"/>
  <c r="H3480" i="5"/>
  <c r="H3479" i="5"/>
  <c r="H3478" i="5"/>
  <c r="H3477" i="5"/>
  <c r="H3476" i="5"/>
  <c r="H3475" i="5"/>
  <c r="H3474" i="5"/>
  <c r="H3473" i="5"/>
  <c r="H3472" i="5"/>
  <c r="H3471" i="5"/>
  <c r="H3470" i="5"/>
  <c r="H3469" i="5"/>
  <c r="H3468" i="5"/>
  <c r="H3467" i="5"/>
  <c r="H3466" i="5"/>
  <c r="H3465" i="5"/>
  <c r="H3464" i="5"/>
  <c r="H3463" i="5"/>
  <c r="H3462" i="5"/>
  <c r="H3461" i="5"/>
  <c r="H3460" i="5"/>
  <c r="H3459" i="5"/>
  <c r="H3458" i="5"/>
  <c r="H3457" i="5"/>
  <c r="H3456" i="5"/>
  <c r="H3455" i="5"/>
  <c r="H3454" i="5"/>
  <c r="H3453" i="5"/>
  <c r="H3452" i="5"/>
  <c r="H3451" i="5"/>
  <c r="H3450" i="5"/>
  <c r="H3449" i="5"/>
  <c r="H3448" i="5"/>
  <c r="H3447" i="5"/>
  <c r="H3446" i="5"/>
  <c r="H3445" i="5"/>
  <c r="H3444" i="5"/>
  <c r="H3443" i="5"/>
  <c r="H3442" i="5"/>
  <c r="H3441" i="5"/>
  <c r="H3440" i="5"/>
  <c r="H3433" i="5"/>
  <c r="H3432" i="5"/>
  <c r="H3431" i="5"/>
  <c r="H3430" i="5"/>
  <c r="H3429" i="5"/>
  <c r="H3428" i="5"/>
  <c r="H3427" i="5"/>
  <c r="H3426" i="5"/>
  <c r="H3425" i="5"/>
  <c r="H3424" i="5"/>
  <c r="H3423" i="5"/>
  <c r="H3422" i="5"/>
  <c r="H3421" i="5"/>
  <c r="H3420" i="5"/>
  <c r="H3419" i="5"/>
  <c r="H3418" i="5"/>
  <c r="H3417" i="5"/>
  <c r="H3416" i="5"/>
  <c r="H3415" i="5"/>
  <c r="H3414" i="5"/>
  <c r="H3413" i="5"/>
  <c r="H3412" i="5"/>
  <c r="H3411" i="5"/>
  <c r="H3410" i="5"/>
  <c r="H3409" i="5"/>
  <c r="H3408" i="5"/>
  <c r="H3407" i="5"/>
  <c r="H3406" i="5"/>
  <c r="H3405" i="5"/>
  <c r="H3404" i="5"/>
  <c r="H3403" i="5"/>
  <c r="H3402" i="5"/>
  <c r="H3401" i="5"/>
  <c r="H3400" i="5"/>
  <c r="H3399" i="5"/>
  <c r="H3398" i="5"/>
  <c r="H3397" i="5"/>
  <c r="H3396" i="5"/>
  <c r="H3395" i="5"/>
  <c r="H3394" i="5"/>
  <c r="H3393" i="5"/>
  <c r="H3392" i="5"/>
  <c r="H3391" i="5"/>
  <c r="H3390" i="5"/>
  <c r="H3389" i="5"/>
  <c r="H3388" i="5"/>
  <c r="H3387" i="5"/>
  <c r="H3386" i="5"/>
  <c r="H3385" i="5"/>
  <c r="H3384" i="5"/>
  <c r="H3383" i="5"/>
  <c r="H3382" i="5"/>
  <c r="H3381" i="5"/>
  <c r="H3380" i="5"/>
  <c r="H3379" i="5"/>
  <c r="H3378" i="5"/>
  <c r="H3377" i="5"/>
  <c r="H3376" i="5"/>
  <c r="H3375" i="5"/>
  <c r="H3374" i="5"/>
  <c r="H3373" i="5"/>
  <c r="H3372" i="5"/>
  <c r="H3371" i="5"/>
  <c r="H3370" i="5"/>
  <c r="H3369" i="5"/>
  <c r="H3368" i="5"/>
  <c r="H3367" i="5"/>
  <c r="H3366" i="5"/>
  <c r="H3365" i="5"/>
  <c r="H3364" i="5"/>
  <c r="H3363" i="5"/>
  <c r="H3362" i="5"/>
  <c r="H3361" i="5"/>
  <c r="H3354" i="5"/>
  <c r="H3353" i="5"/>
  <c r="H3352" i="5"/>
  <c r="H3351" i="5"/>
  <c r="H3350" i="5"/>
  <c r="H3349" i="5"/>
  <c r="H3348" i="5"/>
  <c r="H3347" i="5"/>
  <c r="H3346" i="5"/>
  <c r="H3345" i="5"/>
  <c r="H3344" i="5"/>
  <c r="H3343" i="5"/>
  <c r="H3342" i="5"/>
  <c r="H3341" i="5"/>
  <c r="H3340" i="5"/>
  <c r="H3339" i="5"/>
  <c r="H3338" i="5"/>
  <c r="H3337" i="5"/>
  <c r="H3336" i="5"/>
  <c r="H3335" i="5"/>
  <c r="H3334" i="5"/>
  <c r="H3333" i="5"/>
  <c r="H3332" i="5"/>
  <c r="H3331" i="5"/>
  <c r="H3330" i="5"/>
  <c r="H3329" i="5"/>
  <c r="H3328" i="5"/>
  <c r="H3327" i="5"/>
  <c r="H3326" i="5"/>
  <c r="H3325" i="5"/>
  <c r="H3324" i="5"/>
  <c r="H3323" i="5"/>
  <c r="H3322" i="5"/>
  <c r="H3321" i="5"/>
  <c r="H3320" i="5"/>
  <c r="H3319" i="5"/>
  <c r="H3318" i="5"/>
  <c r="H3317" i="5"/>
  <c r="H3316" i="5"/>
  <c r="H3315" i="5"/>
  <c r="H3314" i="5"/>
  <c r="H3313" i="5"/>
  <c r="H3312" i="5"/>
  <c r="H3311" i="5"/>
  <c r="H3310" i="5"/>
  <c r="H3309" i="5"/>
  <c r="H3308" i="5"/>
  <c r="H3307" i="5"/>
  <c r="H3306" i="5"/>
  <c r="H3305" i="5"/>
  <c r="H3304" i="5"/>
  <c r="H3303" i="5"/>
  <c r="H3302" i="5"/>
  <c r="H3301" i="5"/>
  <c r="H3300" i="5"/>
  <c r="H3299" i="5"/>
  <c r="H3298" i="5"/>
  <c r="H3297" i="5"/>
  <c r="H3296" i="5"/>
  <c r="H3295" i="5"/>
  <c r="H3294" i="5"/>
  <c r="H3293" i="5"/>
  <c r="H3292" i="5"/>
  <c r="H3291" i="5"/>
  <c r="H3290" i="5"/>
  <c r="H3289" i="5"/>
  <c r="H3288" i="5"/>
  <c r="H3287" i="5"/>
  <c r="H3286" i="5"/>
  <c r="H3285" i="5"/>
  <c r="H3284" i="5"/>
  <c r="H3283" i="5"/>
  <c r="H3282" i="5"/>
  <c r="H3275" i="5"/>
  <c r="H3274" i="5"/>
  <c r="H3273" i="5"/>
  <c r="H3272" i="5"/>
  <c r="H3271" i="5"/>
  <c r="H3270" i="5"/>
  <c r="H3269" i="5"/>
  <c r="H3268" i="5"/>
  <c r="H3267" i="5"/>
  <c r="H3266" i="5"/>
  <c r="H3265" i="5"/>
  <c r="H3264" i="5"/>
  <c r="H3263" i="5"/>
  <c r="H3262" i="5"/>
  <c r="H3261" i="5"/>
  <c r="H3260" i="5"/>
  <c r="H3259" i="5"/>
  <c r="H3258" i="5"/>
  <c r="H3257" i="5"/>
  <c r="H3256" i="5"/>
  <c r="H3255" i="5"/>
  <c r="H3254" i="5"/>
  <c r="H3253" i="5"/>
  <c r="H3252" i="5"/>
  <c r="H3251" i="5"/>
  <c r="H3250" i="5"/>
  <c r="H3249" i="5"/>
  <c r="H3248" i="5"/>
  <c r="H3247" i="5"/>
  <c r="H3238" i="5"/>
  <c r="H3237" i="5"/>
  <c r="H3236" i="5"/>
  <c r="H3235" i="5"/>
  <c r="H3234" i="5"/>
  <c r="H3233" i="5"/>
  <c r="H3232" i="5"/>
  <c r="H3231" i="5"/>
  <c r="H3230" i="5"/>
  <c r="H3229" i="5"/>
  <c r="H3228" i="5"/>
  <c r="H3227" i="5"/>
  <c r="H3226" i="5"/>
  <c r="H3225" i="5"/>
  <c r="H3224" i="5"/>
  <c r="H3223" i="5"/>
  <c r="H3222" i="5"/>
  <c r="H3221" i="5"/>
  <c r="H3220" i="5"/>
  <c r="H3219" i="5"/>
  <c r="H3218" i="5"/>
  <c r="H3217" i="5"/>
  <c r="H3216" i="5"/>
  <c r="H3215" i="5"/>
  <c r="H3214" i="5"/>
  <c r="H3213" i="5"/>
  <c r="H3212" i="5"/>
  <c r="H3211" i="5"/>
  <c r="H3210" i="5"/>
  <c r="H3209" i="5"/>
  <c r="H3208" i="5"/>
  <c r="H3207" i="5"/>
  <c r="H3206" i="5"/>
  <c r="H3205" i="5"/>
  <c r="H3204" i="5"/>
  <c r="H3203" i="5"/>
  <c r="H3202" i="5"/>
  <c r="H3201" i="5"/>
  <c r="H3200" i="5"/>
  <c r="H3199" i="5"/>
  <c r="H3198" i="5"/>
  <c r="H3197" i="5"/>
  <c r="H3196" i="5"/>
  <c r="H3195" i="5"/>
  <c r="H3194" i="5"/>
  <c r="H3193" i="5"/>
  <c r="H3192" i="5"/>
  <c r="H3191" i="5"/>
  <c r="H3190" i="5"/>
  <c r="H3189" i="5"/>
  <c r="H3188" i="5"/>
  <c r="H3187" i="5"/>
  <c r="H3186" i="5"/>
  <c r="H3185" i="5"/>
  <c r="H3184" i="5"/>
  <c r="H3183" i="5"/>
  <c r="H3182" i="5"/>
  <c r="H3181" i="5"/>
  <c r="H3180" i="5"/>
  <c r="H3179" i="5"/>
  <c r="H3178" i="5"/>
  <c r="H3177" i="5"/>
  <c r="H3176" i="5"/>
  <c r="H3175" i="5"/>
  <c r="H3174" i="5"/>
  <c r="H3173" i="5"/>
  <c r="H3172" i="5"/>
  <c r="H3171" i="5"/>
  <c r="H3170" i="5"/>
  <c r="H3169" i="5"/>
  <c r="H3168" i="5"/>
  <c r="H3167" i="5"/>
  <c r="H3166" i="5"/>
  <c r="H3165" i="5"/>
  <c r="H3164" i="5"/>
  <c r="H3163" i="5"/>
  <c r="H3162" i="5"/>
  <c r="H3161" i="5"/>
  <c r="H3160" i="5"/>
  <c r="H3159" i="5"/>
  <c r="H3158" i="5"/>
  <c r="H3157" i="5"/>
  <c r="H3156" i="5"/>
  <c r="H3155" i="5"/>
  <c r="H3154" i="5"/>
  <c r="H3153" i="5"/>
  <c r="H3152" i="5"/>
  <c r="H3151" i="5"/>
  <c r="H3150" i="5"/>
  <c r="H3149" i="5"/>
  <c r="H3148" i="5"/>
  <c r="H3147" i="5"/>
  <c r="H3146" i="5"/>
  <c r="H3145" i="5"/>
  <c r="H3144" i="5"/>
  <c r="H3143" i="5"/>
  <c r="H3142" i="5"/>
  <c r="H3141" i="5"/>
  <c r="H3140" i="5"/>
  <c r="H3139" i="5"/>
  <c r="H3138" i="5"/>
  <c r="H3137" i="5"/>
  <c r="H3136" i="5"/>
  <c r="H3135" i="5"/>
  <c r="H3134" i="5"/>
  <c r="H3133" i="5"/>
  <c r="H3132" i="5"/>
  <c r="H3131" i="5"/>
  <c r="H3130" i="5"/>
  <c r="H3129" i="5"/>
  <c r="H3128" i="5"/>
  <c r="H3127" i="5"/>
  <c r="H3126" i="5"/>
  <c r="H3125" i="5"/>
  <c r="H3124" i="5"/>
  <c r="H3123" i="5"/>
  <c r="H3122" i="5"/>
  <c r="H3121" i="5"/>
  <c r="H3120" i="5"/>
  <c r="H3119" i="5"/>
  <c r="H3118" i="5"/>
  <c r="H3117" i="5"/>
  <c r="H3116" i="5"/>
  <c r="H3115" i="5"/>
  <c r="H3114" i="5"/>
  <c r="H3113" i="5"/>
  <c r="H3112" i="5"/>
  <c r="H3111" i="5"/>
  <c r="H3110" i="5"/>
  <c r="H3109" i="5"/>
  <c r="H3108" i="5"/>
  <c r="H3107" i="5"/>
  <c r="H3106" i="5"/>
  <c r="H3105" i="5"/>
  <c r="H3104" i="5"/>
  <c r="H3103" i="5"/>
  <c r="H3102" i="5"/>
  <c r="H3101" i="5"/>
  <c r="H3100" i="5"/>
  <c r="H3099" i="5"/>
  <c r="H3098" i="5"/>
  <c r="H3097" i="5"/>
  <c r="H3096" i="5"/>
  <c r="H3095" i="5"/>
  <c r="H3094" i="5"/>
  <c r="H3093" i="5"/>
  <c r="H3092" i="5"/>
  <c r="H3091" i="5"/>
  <c r="H3090" i="5"/>
  <c r="H3089" i="5"/>
  <c r="H3088" i="5"/>
  <c r="H3087" i="5"/>
  <c r="H3086" i="5"/>
  <c r="H3085" i="5"/>
  <c r="H3084" i="5"/>
  <c r="H3083" i="5"/>
  <c r="H3082" i="5"/>
  <c r="H3081" i="5"/>
  <c r="H3080" i="5"/>
  <c r="H3079" i="5"/>
  <c r="H3078" i="5"/>
  <c r="H3077" i="5"/>
  <c r="H3076" i="5"/>
  <c r="H3075" i="5"/>
  <c r="H3074" i="5"/>
  <c r="H3073" i="5"/>
  <c r="H3072" i="5"/>
  <c r="H3071" i="5"/>
  <c r="H3070" i="5"/>
  <c r="H3069" i="5"/>
  <c r="H3068" i="5"/>
  <c r="H3067" i="5"/>
  <c r="H3066" i="5"/>
  <c r="H3065" i="5"/>
  <c r="H3064" i="5"/>
  <c r="H3063" i="5"/>
  <c r="H3062" i="5"/>
  <c r="H3061" i="5"/>
  <c r="H3060" i="5"/>
  <c r="H3059" i="5"/>
  <c r="H3058" i="5"/>
  <c r="H3057" i="5"/>
  <c r="H3056" i="5"/>
  <c r="H3055" i="5"/>
  <c r="H3054" i="5"/>
  <c r="H3053" i="5"/>
  <c r="H3052" i="5"/>
  <c r="H3051" i="5"/>
  <c r="H3050" i="5"/>
  <c r="H3049" i="5"/>
  <c r="H3048" i="5"/>
  <c r="H3047" i="5"/>
  <c r="H3046" i="5"/>
  <c r="H3045" i="5"/>
  <c r="H3044" i="5"/>
  <c r="H3043" i="5"/>
  <c r="H3042" i="5"/>
  <c r="H3041" i="5"/>
  <c r="H3040" i="5"/>
  <c r="H3039" i="5"/>
  <c r="H3038" i="5"/>
  <c r="H3037" i="5"/>
  <c r="H3036" i="5"/>
  <c r="H3035" i="5"/>
  <c r="H3034" i="5"/>
  <c r="H3033" i="5"/>
  <c r="H3032" i="5"/>
  <c r="H3031" i="5"/>
  <c r="H3030" i="5"/>
  <c r="H3029" i="5"/>
  <c r="H3028" i="5"/>
  <c r="H3027" i="5"/>
  <c r="H3026" i="5"/>
  <c r="H3025" i="5"/>
  <c r="H3024" i="5"/>
  <c r="H3023" i="5"/>
  <c r="H3022" i="5"/>
  <c r="H3015" i="5"/>
  <c r="H3014" i="5"/>
  <c r="H3013" i="5"/>
  <c r="H3012" i="5"/>
  <c r="H3011" i="5"/>
  <c r="H3010" i="5"/>
  <c r="H3009" i="5"/>
  <c r="H3008" i="5"/>
  <c r="H3007" i="5"/>
  <c r="H3006" i="5"/>
  <c r="H3005" i="5"/>
  <c r="H3004" i="5"/>
  <c r="H3003" i="5"/>
  <c r="H3002" i="5"/>
  <c r="H3001" i="5"/>
  <c r="H3000" i="5"/>
  <c r="H2999" i="5"/>
  <c r="H2998" i="5"/>
  <c r="H2997" i="5"/>
  <c r="H2996" i="5"/>
  <c r="H2995" i="5"/>
  <c r="H2994" i="5"/>
  <c r="H2993" i="5"/>
  <c r="H2992" i="5"/>
  <c r="H2991" i="5"/>
  <c r="H2990" i="5"/>
  <c r="H2989" i="5"/>
  <c r="H2988" i="5"/>
  <c r="H2987" i="5"/>
  <c r="H2986" i="5"/>
  <c r="H2985" i="5"/>
  <c r="H2984" i="5"/>
  <c r="H2983" i="5"/>
  <c r="H2982" i="5"/>
  <c r="H2981" i="5"/>
  <c r="H2980" i="5"/>
  <c r="H2979" i="5"/>
  <c r="H2978" i="5"/>
  <c r="H2977" i="5"/>
  <c r="H2976" i="5"/>
  <c r="H2975" i="5"/>
  <c r="H2974" i="5"/>
  <c r="H2973" i="5"/>
  <c r="H2972" i="5"/>
  <c r="H2971" i="5"/>
  <c r="H2970" i="5"/>
  <c r="H2969" i="5"/>
  <c r="H2968" i="5"/>
  <c r="H2967" i="5"/>
  <c r="H2966" i="5"/>
  <c r="H2965" i="5"/>
  <c r="H2964" i="5"/>
  <c r="H2963" i="5"/>
  <c r="H2962" i="5"/>
  <c r="H2961" i="5"/>
  <c r="H2960" i="5"/>
  <c r="H2959" i="5"/>
  <c r="H2958" i="5"/>
  <c r="H2957" i="5"/>
  <c r="H2956" i="5"/>
  <c r="H2955" i="5"/>
  <c r="H2954" i="5"/>
  <c r="H2953" i="5"/>
  <c r="H2952" i="5"/>
  <c r="H2951" i="5"/>
  <c r="H2950" i="5"/>
  <c r="H2949" i="5"/>
  <c r="H2948" i="5"/>
  <c r="H2947" i="5"/>
  <c r="H2946" i="5"/>
  <c r="H2945" i="5"/>
  <c r="H2944" i="5"/>
  <c r="H2943" i="5"/>
  <c r="H2942" i="5"/>
  <c r="H2941" i="5"/>
  <c r="H2940" i="5"/>
  <c r="H2939" i="5"/>
  <c r="H2938" i="5"/>
  <c r="H2937" i="5"/>
  <c r="H2936" i="5"/>
  <c r="H2935" i="5"/>
  <c r="H2934" i="5"/>
  <c r="H2933" i="5"/>
  <c r="H2932" i="5"/>
  <c r="H2931" i="5"/>
  <c r="H2930" i="5"/>
  <c r="H2929" i="5"/>
  <c r="H2928" i="5"/>
  <c r="H2927" i="5"/>
  <c r="H2926" i="5"/>
  <c r="H2925" i="5"/>
  <c r="H2924" i="5"/>
  <c r="H2923" i="5"/>
  <c r="H2922" i="5"/>
  <c r="H2921" i="5"/>
  <c r="H2920" i="5"/>
  <c r="H2919" i="5"/>
  <c r="H2918" i="5"/>
  <c r="H2917" i="5"/>
  <c r="H2916" i="5"/>
  <c r="H2915" i="5"/>
  <c r="H2914" i="5"/>
  <c r="H2913" i="5"/>
  <c r="H2912" i="5"/>
  <c r="H2911" i="5"/>
  <c r="H2910" i="5"/>
  <c r="H2909" i="5"/>
  <c r="H2908" i="5"/>
  <c r="H2907" i="5"/>
  <c r="H2906" i="5"/>
  <c r="H2905" i="5"/>
  <c r="H2904" i="5"/>
  <c r="H2903" i="5"/>
  <c r="H2902" i="5"/>
  <c r="H2901" i="5"/>
  <c r="H2900" i="5"/>
  <c r="H2899" i="5"/>
  <c r="H2898" i="5"/>
  <c r="H2897" i="5"/>
  <c r="H2896" i="5"/>
  <c r="H2895" i="5"/>
  <c r="H2894" i="5"/>
  <c r="H2893" i="5"/>
  <c r="H2892" i="5"/>
  <c r="H2891" i="5"/>
  <c r="H2890" i="5"/>
  <c r="H2889" i="5"/>
  <c r="H2888" i="5"/>
  <c r="H2887" i="5"/>
  <c r="H2886" i="5"/>
  <c r="H2885" i="5"/>
  <c r="H2884" i="5"/>
  <c r="H2883" i="5"/>
  <c r="H2882" i="5"/>
  <c r="H2881" i="5"/>
  <c r="H2880" i="5"/>
  <c r="H2879" i="5"/>
  <c r="H2878" i="5"/>
  <c r="H2877" i="5"/>
  <c r="H2876" i="5"/>
  <c r="H2875" i="5"/>
  <c r="H2874" i="5"/>
  <c r="H2873" i="5"/>
  <c r="H2872" i="5"/>
  <c r="H2871" i="5"/>
  <c r="H2870" i="5"/>
  <c r="H2869" i="5"/>
  <c r="H2868" i="5"/>
  <c r="H2867" i="5"/>
  <c r="H2866" i="5"/>
  <c r="H2865" i="5"/>
  <c r="H2864" i="5"/>
  <c r="H2863" i="5"/>
  <c r="H2862" i="5"/>
  <c r="H2861" i="5"/>
  <c r="H2860" i="5"/>
  <c r="H2859" i="5"/>
  <c r="H2858" i="5"/>
  <c r="H2857" i="5"/>
  <c r="H2856" i="5"/>
  <c r="H2855" i="5"/>
  <c r="H2854" i="5"/>
  <c r="H2853" i="5"/>
  <c r="H2852" i="5"/>
  <c r="H2851" i="5"/>
  <c r="H2850" i="5"/>
  <c r="H2849" i="5"/>
  <c r="H2848" i="5"/>
  <c r="H2847" i="5"/>
  <c r="H2846" i="5"/>
  <c r="H2845" i="5"/>
  <c r="H2844" i="5"/>
  <c r="H2843" i="5"/>
  <c r="H2842" i="5"/>
  <c r="H2841" i="5"/>
  <c r="H2840" i="5"/>
  <c r="H2839" i="5"/>
  <c r="H2838" i="5"/>
  <c r="H2837" i="5"/>
  <c r="H2836" i="5"/>
  <c r="H2835" i="5"/>
  <c r="H2834" i="5"/>
  <c r="H2833" i="5"/>
  <c r="H2832" i="5"/>
  <c r="H2831" i="5"/>
  <c r="H2830" i="5"/>
  <c r="H2829" i="5"/>
  <c r="H2828" i="5"/>
  <c r="H2827" i="5"/>
  <c r="H2826" i="5"/>
  <c r="H2825" i="5"/>
  <c r="H2824" i="5"/>
  <c r="H2823" i="5"/>
  <c r="H2822" i="5"/>
  <c r="H2821" i="5"/>
  <c r="H2820" i="5"/>
  <c r="H2819" i="5"/>
  <c r="H2818" i="5"/>
  <c r="H2817" i="5"/>
  <c r="H2816" i="5"/>
  <c r="H2815" i="5"/>
  <c r="H2814" i="5"/>
  <c r="H2813" i="5"/>
  <c r="H2812" i="5"/>
  <c r="H2811" i="5"/>
  <c r="H2810" i="5"/>
  <c r="H2809" i="5"/>
  <c r="H2808" i="5"/>
  <c r="H2807" i="5"/>
  <c r="H2806" i="5"/>
  <c r="H2805" i="5"/>
  <c r="H2804" i="5"/>
  <c r="H2803" i="5"/>
  <c r="H2802" i="5"/>
  <c r="H2801" i="5"/>
  <c r="H2800" i="5"/>
  <c r="H2799" i="5"/>
  <c r="H2792" i="5"/>
  <c r="H2791" i="5"/>
  <c r="H2790" i="5"/>
  <c r="H2789" i="5"/>
  <c r="H2788" i="5"/>
  <c r="H2787" i="5"/>
  <c r="H2786" i="5"/>
  <c r="H2785" i="5"/>
  <c r="H2784" i="5"/>
  <c r="H2783" i="5"/>
  <c r="H2782" i="5"/>
  <c r="H2781" i="5"/>
  <c r="H2780" i="5"/>
  <c r="H2779" i="5"/>
  <c r="H2778" i="5"/>
  <c r="H2777" i="5"/>
  <c r="H2776" i="5"/>
  <c r="H2775" i="5"/>
  <c r="H2774" i="5"/>
  <c r="H2773" i="5"/>
  <c r="H2772" i="5"/>
  <c r="H2771" i="5"/>
  <c r="H2770" i="5"/>
  <c r="H2769" i="5"/>
  <c r="H2768" i="5"/>
  <c r="H2767" i="5"/>
  <c r="H2766" i="5"/>
  <c r="H2765" i="5"/>
  <c r="H2764" i="5"/>
  <c r="H2763" i="5"/>
  <c r="H2762" i="5"/>
  <c r="H2761" i="5"/>
  <c r="H2760" i="5"/>
  <c r="H2759" i="5"/>
  <c r="H2758" i="5"/>
  <c r="H2757" i="5"/>
  <c r="H2756" i="5"/>
  <c r="H2755" i="5"/>
  <c r="H2754" i="5"/>
  <c r="H2753" i="5"/>
  <c r="H2752" i="5"/>
  <c r="H2751" i="5"/>
  <c r="H2750" i="5"/>
  <c r="H2749" i="5"/>
  <c r="H2748" i="5"/>
  <c r="H2747" i="5"/>
  <c r="H2746" i="5"/>
  <c r="H2745" i="5"/>
  <c r="H2744" i="5"/>
  <c r="H2743" i="5"/>
  <c r="H2742" i="5"/>
  <c r="H2741" i="5"/>
  <c r="H2740" i="5"/>
  <c r="H2739" i="5"/>
  <c r="H2738" i="5"/>
  <c r="H2737" i="5"/>
  <c r="H2736" i="5"/>
  <c r="H2735" i="5"/>
  <c r="H2734" i="5"/>
  <c r="H2733" i="5"/>
  <c r="H2732" i="5"/>
  <c r="H2731" i="5"/>
  <c r="H2730" i="5"/>
  <c r="H2729" i="5"/>
  <c r="H2728" i="5"/>
  <c r="H2727" i="5"/>
  <c r="H2726" i="5"/>
  <c r="H2725" i="5"/>
  <c r="H2724" i="5"/>
  <c r="H2723" i="5"/>
  <c r="H2722" i="5"/>
  <c r="H2721" i="5"/>
  <c r="H2720" i="5"/>
  <c r="H2719" i="5"/>
  <c r="H2718" i="5"/>
  <c r="H2717" i="5"/>
  <c r="H2716" i="5"/>
  <c r="H2715" i="5"/>
  <c r="H2714" i="5"/>
  <c r="H2713" i="5"/>
  <c r="H2712" i="5"/>
  <c r="H2711" i="5"/>
  <c r="H2710" i="5"/>
  <c r="H2709" i="5"/>
  <c r="H2708" i="5"/>
  <c r="H2707" i="5"/>
  <c r="H2706" i="5"/>
  <c r="H2705" i="5"/>
  <c r="H2704" i="5"/>
  <c r="H2703" i="5"/>
  <c r="H2702" i="5"/>
  <c r="H2701" i="5"/>
  <c r="H2700" i="5"/>
  <c r="H2699" i="5"/>
  <c r="H2698" i="5"/>
  <c r="H2697" i="5"/>
  <c r="H2696" i="5"/>
  <c r="H2695" i="5"/>
  <c r="H2694" i="5"/>
  <c r="H2693" i="5"/>
  <c r="H2692" i="5"/>
  <c r="H2691" i="5"/>
  <c r="H2690" i="5"/>
  <c r="H2689" i="5"/>
  <c r="H2688" i="5"/>
  <c r="H2687" i="5"/>
  <c r="H2686" i="5"/>
  <c r="H2685" i="5"/>
  <c r="H2684" i="5"/>
  <c r="H2683" i="5"/>
  <c r="H2682" i="5"/>
  <c r="H2681" i="5"/>
  <c r="H2680" i="5"/>
  <c r="H2679" i="5"/>
  <c r="H2678" i="5"/>
  <c r="H2677" i="5"/>
  <c r="H2676" i="5"/>
  <c r="H2675" i="5"/>
  <c r="H2674" i="5"/>
  <c r="H2673" i="5"/>
  <c r="H2672" i="5"/>
  <c r="H2671" i="5"/>
  <c r="H2670" i="5"/>
  <c r="H2669" i="5"/>
  <c r="H2668" i="5"/>
  <c r="H2667" i="5"/>
  <c r="H2666" i="5"/>
  <c r="H2665" i="5"/>
  <c r="H2664" i="5"/>
  <c r="H2663" i="5"/>
  <c r="H2662" i="5"/>
  <c r="H2661" i="5"/>
  <c r="H2660" i="5"/>
  <c r="H2659" i="5"/>
  <c r="H2658" i="5"/>
  <c r="H2657" i="5"/>
  <c r="H2656" i="5"/>
  <c r="H2655" i="5"/>
  <c r="H2654" i="5"/>
  <c r="H2653" i="5"/>
  <c r="H2652" i="5"/>
  <c r="H2651" i="5"/>
  <c r="H2650" i="5"/>
  <c r="H2649" i="5"/>
  <c r="H2648" i="5"/>
  <c r="H2647" i="5"/>
  <c r="H2646" i="5"/>
  <c r="H2645" i="5"/>
  <c r="H2644" i="5"/>
  <c r="H2643" i="5"/>
  <c r="H2642" i="5"/>
  <c r="H2641" i="5"/>
  <c r="H2640" i="5"/>
  <c r="H2639" i="5"/>
  <c r="H2638" i="5"/>
  <c r="H2637" i="5"/>
  <c r="H2636" i="5"/>
  <c r="H2635" i="5"/>
  <c r="H2634" i="5"/>
  <c r="H2633" i="5"/>
  <c r="H2632" i="5"/>
  <c r="H2631" i="5"/>
  <c r="H2630" i="5"/>
  <c r="H2629" i="5"/>
  <c r="H2628" i="5"/>
  <c r="H2627" i="5"/>
  <c r="H2626" i="5"/>
  <c r="H2625" i="5"/>
  <c r="H2624" i="5"/>
  <c r="H2623" i="5"/>
  <c r="H2622" i="5"/>
  <c r="H2621" i="5"/>
  <c r="H2620" i="5"/>
  <c r="H2619" i="5"/>
  <c r="H2618" i="5"/>
  <c r="H2617" i="5"/>
  <c r="H2616" i="5"/>
  <c r="H2615" i="5"/>
  <c r="H2614" i="5"/>
  <c r="H2613" i="5"/>
  <c r="H2612" i="5"/>
  <c r="H2611" i="5"/>
  <c r="H2610" i="5"/>
  <c r="H2609" i="5"/>
  <c r="H2608" i="5"/>
  <c r="H2607" i="5"/>
  <c r="H2606" i="5"/>
  <c r="H2605" i="5"/>
  <c r="H2604" i="5"/>
  <c r="H2603" i="5"/>
  <c r="H2602" i="5"/>
  <c r="H2601" i="5"/>
  <c r="H2600" i="5"/>
  <c r="H2599" i="5"/>
  <c r="H2598" i="5"/>
  <c r="H2597" i="5"/>
  <c r="H2596" i="5"/>
  <c r="H2595" i="5"/>
  <c r="H2594" i="5"/>
  <c r="H2593" i="5"/>
  <c r="H2592" i="5"/>
  <c r="H2591" i="5"/>
  <c r="H2590" i="5"/>
  <c r="H2589" i="5"/>
  <c r="H2588" i="5"/>
  <c r="H2587" i="5"/>
  <c r="H2586" i="5"/>
  <c r="H2585" i="5"/>
  <c r="H2584" i="5"/>
  <c r="H2583" i="5"/>
  <c r="H2582" i="5"/>
  <c r="H2581" i="5"/>
  <c r="H2580" i="5"/>
  <c r="H2579" i="5"/>
  <c r="H2578" i="5"/>
  <c r="H2577" i="5"/>
  <c r="H2576" i="5"/>
  <c r="H2553" i="5"/>
  <c r="H2552" i="5"/>
  <c r="H2551" i="5"/>
  <c r="H2550" i="5"/>
  <c r="H2549" i="5"/>
  <c r="H2548" i="5"/>
  <c r="H2547" i="5"/>
  <c r="H2546" i="5"/>
  <c r="H2545" i="5"/>
  <c r="H2544" i="5"/>
  <c r="H2543" i="5"/>
  <c r="H2542" i="5"/>
  <c r="H2541" i="5"/>
  <c r="H2540" i="5"/>
  <c r="H2539" i="5"/>
  <c r="H2538" i="5"/>
  <c r="H2537" i="5"/>
  <c r="H2536" i="5"/>
  <c r="H2535" i="5"/>
  <c r="H2534" i="5"/>
  <c r="H2533" i="5"/>
  <c r="H2532" i="5"/>
  <c r="H2531" i="5"/>
  <c r="H2530" i="5"/>
  <c r="H2529" i="5"/>
  <c r="H2528" i="5"/>
  <c r="H2527" i="5"/>
  <c r="H2526" i="5"/>
  <c r="H2525" i="5"/>
  <c r="H2524" i="5"/>
  <c r="H2523" i="5"/>
  <c r="H2522" i="5"/>
  <c r="H2521" i="5"/>
  <c r="H2520" i="5"/>
  <c r="H2519" i="5"/>
  <c r="H2518" i="5"/>
  <c r="H2517" i="5"/>
  <c r="H2516" i="5"/>
  <c r="H2515" i="5"/>
  <c r="H2514" i="5"/>
  <c r="H2513" i="5"/>
  <c r="H2512" i="5"/>
  <c r="H2511" i="5"/>
  <c r="H2510" i="5"/>
  <c r="H2509" i="5"/>
  <c r="H2508" i="5"/>
  <c r="H2507" i="5"/>
  <c r="H2506" i="5"/>
  <c r="H2505" i="5"/>
  <c r="H2504" i="5"/>
  <c r="H2503" i="5"/>
  <c r="H2502" i="5"/>
  <c r="H2501" i="5"/>
  <c r="H2500" i="5"/>
  <c r="H2499" i="5"/>
  <c r="H2498" i="5"/>
  <c r="H2497" i="5"/>
  <c r="H2496" i="5"/>
  <c r="H2495" i="5"/>
  <c r="H2494" i="5"/>
  <c r="H2493" i="5"/>
  <c r="H2492" i="5"/>
  <c r="H2491" i="5"/>
  <c r="H2490" i="5"/>
  <c r="H2489" i="5"/>
  <c r="H2488" i="5"/>
  <c r="H2487" i="5"/>
  <c r="H2486" i="5"/>
  <c r="H2485" i="5"/>
  <c r="H2484" i="5"/>
  <c r="H2483" i="5"/>
  <c r="H2482" i="5"/>
  <c r="H2481" i="5"/>
  <c r="H2480" i="5"/>
  <c r="H2479" i="5"/>
  <c r="H2478" i="5"/>
  <c r="H2477" i="5"/>
  <c r="H2476" i="5"/>
  <c r="H2475" i="5"/>
  <c r="H2474" i="5"/>
  <c r="H2473" i="5"/>
  <c r="H2472" i="5"/>
  <c r="H2471" i="5"/>
  <c r="H2470" i="5"/>
  <c r="H2469" i="5"/>
  <c r="H2468" i="5"/>
  <c r="H2467" i="5"/>
  <c r="H2466" i="5"/>
  <c r="H2465" i="5"/>
  <c r="H2464" i="5"/>
  <c r="H2463" i="5"/>
  <c r="H2462" i="5"/>
  <c r="H2461" i="5"/>
  <c r="H2460" i="5"/>
  <c r="H2459" i="5"/>
  <c r="H2458" i="5"/>
  <c r="H2457" i="5"/>
  <c r="H2456" i="5"/>
  <c r="H2455" i="5"/>
  <c r="H2454" i="5"/>
  <c r="H2453" i="5"/>
  <c r="H2452" i="5"/>
  <c r="H2451" i="5"/>
  <c r="H2450" i="5"/>
  <c r="H2449" i="5"/>
  <c r="H2448" i="5"/>
  <c r="H2447" i="5"/>
  <c r="H2446" i="5"/>
  <c r="H2445" i="5"/>
  <c r="H2444" i="5"/>
  <c r="H2443" i="5"/>
  <c r="H2442" i="5"/>
  <c r="H2441" i="5"/>
  <c r="H2440" i="5"/>
  <c r="H2439" i="5"/>
  <c r="H2438" i="5"/>
  <c r="H2437" i="5"/>
  <c r="H2436" i="5"/>
  <c r="H2435" i="5"/>
  <c r="H2434" i="5"/>
  <c r="H2433" i="5"/>
  <c r="H2432" i="5"/>
  <c r="H2431" i="5"/>
  <c r="H2430" i="5"/>
  <c r="H2429" i="5"/>
  <c r="H2428" i="5"/>
  <c r="H2427" i="5"/>
  <c r="H2426" i="5"/>
  <c r="H2425" i="5"/>
  <c r="H2424" i="5"/>
  <c r="H2423" i="5"/>
  <c r="H2422" i="5"/>
  <c r="H2421" i="5"/>
  <c r="H2420" i="5"/>
  <c r="H2419" i="5"/>
  <c r="H2418" i="5"/>
  <c r="H2417" i="5"/>
  <c r="H2416" i="5"/>
  <c r="H2415" i="5"/>
  <c r="H2414" i="5"/>
  <c r="H2413" i="5"/>
  <c r="H2412" i="5"/>
  <c r="H2411" i="5"/>
  <c r="H2410" i="5"/>
  <c r="H2409" i="5"/>
  <c r="H2408" i="5"/>
  <c r="H2407" i="5"/>
  <c r="H2406" i="5"/>
  <c r="H2405" i="5"/>
  <c r="H2404" i="5"/>
  <c r="H2403" i="5"/>
  <c r="H2402" i="5"/>
  <c r="H2401" i="5"/>
  <c r="H2400" i="5"/>
  <c r="H2399" i="5"/>
  <c r="H2398" i="5"/>
  <c r="H2397" i="5"/>
  <c r="H2396" i="5"/>
  <c r="H2395" i="5"/>
  <c r="H2394" i="5"/>
  <c r="H2393" i="5"/>
  <c r="H2392" i="5"/>
  <c r="H2391" i="5"/>
  <c r="H2390" i="5"/>
  <c r="H2389" i="5"/>
  <c r="H2388" i="5"/>
  <c r="H2387" i="5"/>
  <c r="H2386" i="5"/>
  <c r="H2385" i="5"/>
  <c r="H2384" i="5"/>
  <c r="H2383" i="5"/>
  <c r="H2382" i="5"/>
  <c r="H2381" i="5"/>
  <c r="H2380" i="5"/>
  <c r="H2379" i="5"/>
  <c r="H2378" i="5"/>
  <c r="H2377" i="5"/>
  <c r="H2376" i="5"/>
  <c r="H2375" i="5"/>
  <c r="H2374" i="5"/>
  <c r="H2373" i="5"/>
  <c r="H2372" i="5"/>
  <c r="H2371" i="5"/>
  <c r="H2370" i="5"/>
  <c r="H2369" i="5"/>
  <c r="H2368" i="5"/>
  <c r="H2367" i="5"/>
  <c r="H2366" i="5"/>
  <c r="H2365" i="5"/>
  <c r="H2364" i="5"/>
  <c r="H2363" i="5"/>
  <c r="H2362" i="5"/>
  <c r="H2361" i="5"/>
  <c r="H2360" i="5"/>
  <c r="H2359" i="5"/>
  <c r="H2358" i="5"/>
  <c r="H2357" i="5"/>
  <c r="H2356" i="5"/>
  <c r="H2355" i="5"/>
  <c r="H2354" i="5"/>
  <c r="H2353" i="5"/>
  <c r="H2352" i="5"/>
  <c r="H2351" i="5"/>
  <c r="H2350" i="5"/>
  <c r="H2349" i="5"/>
  <c r="H2348" i="5"/>
  <c r="H2347" i="5"/>
  <c r="H2346" i="5"/>
  <c r="H2345" i="5"/>
  <c r="H2344" i="5"/>
  <c r="H2343" i="5"/>
  <c r="H2342" i="5"/>
  <c r="H2341" i="5"/>
  <c r="H2340" i="5"/>
  <c r="H2339" i="5"/>
  <c r="H2338" i="5"/>
  <c r="H2337" i="5"/>
  <c r="H2336" i="5"/>
  <c r="H2335" i="5"/>
  <c r="H2334" i="5"/>
  <c r="H2333" i="5"/>
  <c r="H2332" i="5"/>
  <c r="H2331" i="5"/>
  <c r="H2330" i="5"/>
  <c r="H2329" i="5"/>
  <c r="H2328" i="5"/>
  <c r="H2327" i="5"/>
  <c r="H2326" i="5"/>
  <c r="H2325" i="5"/>
  <c r="H2324" i="5"/>
  <c r="H2323" i="5"/>
  <c r="H2322" i="5"/>
  <c r="H2321" i="5"/>
  <c r="H2320" i="5"/>
  <c r="H2319" i="5"/>
  <c r="H2318" i="5"/>
  <c r="H2317" i="5"/>
  <c r="H2316" i="5"/>
  <c r="H2315" i="5"/>
  <c r="H2314" i="5"/>
  <c r="H2313" i="5"/>
  <c r="H2312" i="5"/>
  <c r="H2311" i="5"/>
  <c r="H2310" i="5"/>
  <c r="H2309" i="5"/>
  <c r="H2308" i="5"/>
  <c r="H2307" i="5"/>
  <c r="H2306" i="5"/>
  <c r="H2305" i="5"/>
  <c r="H2304" i="5"/>
  <c r="H2303" i="5"/>
  <c r="H2302" i="5"/>
  <c r="H2301" i="5"/>
  <c r="H2300" i="5"/>
  <c r="H2299" i="5"/>
  <c r="H2298" i="5"/>
  <c r="H2297" i="5"/>
  <c r="H2296" i="5"/>
  <c r="H2295" i="5"/>
  <c r="H2294" i="5"/>
  <c r="H2293" i="5"/>
  <c r="H2292" i="5"/>
  <c r="H2291" i="5"/>
  <c r="H2290" i="5"/>
  <c r="H2289" i="5"/>
  <c r="H2288" i="5"/>
  <c r="H2287" i="5"/>
  <c r="H2286" i="5"/>
  <c r="H2285" i="5"/>
  <c r="H2284" i="5"/>
  <c r="H2283" i="5"/>
  <c r="H2282" i="5"/>
  <c r="H2281" i="5"/>
  <c r="H2280" i="5"/>
  <c r="H2279" i="5"/>
  <c r="H2278" i="5"/>
  <c r="H2277" i="5"/>
  <c r="H2276" i="5"/>
  <c r="H2275" i="5"/>
  <c r="H2274" i="5"/>
  <c r="H2273" i="5"/>
  <c r="H2272" i="5"/>
  <c r="H2271" i="5"/>
  <c r="H2270" i="5"/>
  <c r="H2269" i="5"/>
  <c r="H2268" i="5"/>
  <c r="H2267" i="5"/>
  <c r="H2266" i="5"/>
  <c r="H2265" i="5"/>
  <c r="H2264" i="5"/>
  <c r="H2263" i="5"/>
  <c r="H2262" i="5"/>
  <c r="H2261" i="5"/>
  <c r="H2260" i="5"/>
  <c r="H2259" i="5"/>
  <c r="H2258" i="5"/>
  <c r="H2257" i="5"/>
  <c r="H2256" i="5"/>
  <c r="H2255" i="5"/>
  <c r="H2254" i="5"/>
  <c r="H2253" i="5"/>
  <c r="H2252" i="5"/>
  <c r="H2251" i="5"/>
  <c r="H2250" i="5"/>
  <c r="H2249" i="5"/>
  <c r="H2248" i="5"/>
  <c r="H2247" i="5"/>
  <c r="H2246" i="5"/>
  <c r="H2245" i="5"/>
  <c r="H2244" i="5"/>
  <c r="H2243" i="5"/>
  <c r="H2242" i="5"/>
  <c r="H2241" i="5"/>
  <c r="H2240" i="5"/>
  <c r="H2239" i="5"/>
  <c r="H2238" i="5"/>
  <c r="H2237" i="5"/>
  <c r="H2236" i="5"/>
  <c r="H2235" i="5"/>
  <c r="H2234" i="5"/>
  <c r="H2233" i="5"/>
  <c r="H2232" i="5"/>
  <c r="H2231" i="5"/>
  <c r="H2230" i="5"/>
  <c r="H2229" i="5"/>
  <c r="H2228" i="5"/>
  <c r="H2227" i="5"/>
  <c r="H2226" i="5"/>
  <c r="H2225" i="5"/>
  <c r="H2224" i="5"/>
  <c r="H2223" i="5"/>
  <c r="H2222" i="5"/>
  <c r="H2221" i="5"/>
  <c r="H2220" i="5"/>
  <c r="H2219" i="5"/>
  <c r="H2218" i="5"/>
  <c r="H2217" i="5"/>
  <c r="H2216" i="5"/>
  <c r="H2215" i="5"/>
  <c r="H2214" i="5"/>
  <c r="H2213" i="5"/>
  <c r="H2212" i="5"/>
  <c r="H2211" i="5"/>
  <c r="H2210" i="5"/>
  <c r="H2209" i="5"/>
  <c r="H2208" i="5"/>
  <c r="H2207" i="5"/>
  <c r="H2206" i="5"/>
  <c r="H2205" i="5"/>
  <c r="H2204" i="5"/>
  <c r="H2203" i="5"/>
  <c r="H2202" i="5"/>
  <c r="H2201" i="5"/>
  <c r="H2200" i="5"/>
  <c r="H2199" i="5"/>
  <c r="H2198" i="5"/>
  <c r="H2197" i="5"/>
  <c r="H2196" i="5"/>
  <c r="H2195" i="5"/>
  <c r="H2194" i="5"/>
  <c r="H2193" i="5"/>
  <c r="H2192" i="5"/>
  <c r="H2191" i="5"/>
  <c r="H2190" i="5"/>
  <c r="H2189" i="5"/>
  <c r="H2188" i="5"/>
  <c r="H2187" i="5"/>
  <c r="H2186" i="5"/>
  <c r="H2185" i="5"/>
  <c r="H2184" i="5"/>
  <c r="H2183" i="5"/>
  <c r="H2182" i="5"/>
  <c r="H2181" i="5"/>
  <c r="H2180" i="5"/>
  <c r="H2179" i="5"/>
  <c r="H2178" i="5"/>
  <c r="H2177" i="5"/>
  <c r="H2176" i="5"/>
  <c r="H2175" i="5"/>
  <c r="H2174" i="5"/>
  <c r="H2173" i="5"/>
  <c r="H2172" i="5"/>
  <c r="H2171" i="5"/>
  <c r="H2125" i="5"/>
  <c r="H2124" i="5"/>
  <c r="H2123" i="5"/>
  <c r="H2122" i="5"/>
  <c r="H2121" i="5"/>
  <c r="H2120" i="5"/>
  <c r="H2119" i="5"/>
  <c r="H2118" i="5"/>
  <c r="H2117" i="5"/>
  <c r="H2116" i="5"/>
  <c r="H2115" i="5"/>
  <c r="H2114" i="5"/>
  <c r="H2113" i="5"/>
  <c r="H2112" i="5"/>
  <c r="H2111" i="5"/>
  <c r="H2110" i="5"/>
  <c r="H2109" i="5"/>
  <c r="H2108" i="5"/>
  <c r="H2107" i="5"/>
  <c r="H2106" i="5"/>
  <c r="H2105" i="5"/>
  <c r="H2104" i="5"/>
  <c r="H2103" i="5"/>
  <c r="H2102" i="5"/>
  <c r="H2101" i="5"/>
  <c r="H2100" i="5"/>
  <c r="H2099" i="5"/>
  <c r="H2098" i="5"/>
  <c r="H2097" i="5"/>
  <c r="H2096" i="5"/>
  <c r="H2095" i="5"/>
  <c r="H2094" i="5"/>
  <c r="H2093" i="5"/>
  <c r="H2092" i="5"/>
  <c r="H2091" i="5"/>
  <c r="H2090" i="5"/>
  <c r="H2089" i="5"/>
  <c r="H2088" i="5"/>
  <c r="H2087" i="5"/>
  <c r="H2086" i="5"/>
  <c r="H2085" i="5"/>
  <c r="H2084" i="5"/>
  <c r="H2083" i="5"/>
  <c r="H2082" i="5"/>
  <c r="H2081" i="5"/>
  <c r="H2080" i="5"/>
  <c r="H2079" i="5"/>
  <c r="H2078" i="5"/>
  <c r="H2077" i="5"/>
  <c r="H2076" i="5"/>
  <c r="H2075" i="5"/>
  <c r="H2074" i="5"/>
  <c r="H2073" i="5"/>
  <c r="H2072" i="5"/>
  <c r="H2071" i="5"/>
  <c r="H2070" i="5"/>
  <c r="H2069" i="5"/>
  <c r="H2068" i="5"/>
  <c r="H2067" i="5"/>
  <c r="H2066" i="5"/>
  <c r="H2065" i="5"/>
  <c r="H2064" i="5"/>
  <c r="H2063" i="5"/>
  <c r="H2062" i="5"/>
  <c r="H2061" i="5"/>
  <c r="H2060" i="5"/>
  <c r="H2059" i="5"/>
  <c r="H2058" i="5"/>
  <c r="H2057" i="5"/>
  <c r="H2056" i="5"/>
  <c r="H2055" i="5"/>
  <c r="H2054" i="5"/>
  <c r="H2053" i="5"/>
  <c r="H2052" i="5"/>
  <c r="H2051" i="5"/>
  <c r="H2050" i="5"/>
  <c r="H2049" i="5"/>
  <c r="H2048" i="5"/>
  <c r="H2047" i="5"/>
  <c r="H2046" i="5"/>
  <c r="H2045" i="5"/>
  <c r="H2044" i="5"/>
  <c r="H2043" i="5"/>
  <c r="H2042" i="5"/>
  <c r="H2041" i="5"/>
  <c r="H2040" i="5"/>
  <c r="H2039" i="5"/>
  <c r="H2038" i="5"/>
  <c r="H2037" i="5"/>
  <c r="H2036" i="5"/>
  <c r="H2035" i="5"/>
  <c r="H2034" i="5"/>
  <c r="H2033" i="5"/>
  <c r="H2032" i="5"/>
  <c r="H2031" i="5"/>
  <c r="H2030" i="5"/>
  <c r="H2029" i="5"/>
  <c r="H2028" i="5"/>
  <c r="H2027" i="5"/>
  <c r="H2026" i="5"/>
  <c r="H2025" i="5"/>
  <c r="H2024" i="5"/>
  <c r="H2023" i="5"/>
  <c r="H2022" i="5"/>
  <c r="H2021" i="5"/>
  <c r="H2020" i="5"/>
  <c r="H2019" i="5"/>
  <c r="H2018" i="5"/>
  <c r="H2017" i="5"/>
  <c r="H2016" i="5"/>
  <c r="H2015" i="5"/>
  <c r="H2014" i="5"/>
  <c r="H2013" i="5"/>
  <c r="H2012" i="5"/>
  <c r="H2011" i="5"/>
  <c r="H2010" i="5"/>
  <c r="H2009" i="5"/>
  <c r="H2008" i="5"/>
  <c r="H2007" i="5"/>
  <c r="H2006" i="5"/>
  <c r="H2005" i="5"/>
  <c r="H2004" i="5"/>
  <c r="H2003" i="5"/>
  <c r="H2002" i="5"/>
  <c r="H2001" i="5"/>
  <c r="H2000" i="5"/>
  <c r="H1999" i="5"/>
  <c r="H1998" i="5"/>
  <c r="H1997" i="5"/>
  <c r="H1996" i="5"/>
  <c r="H1995" i="5"/>
  <c r="H1994" i="5"/>
  <c r="H1993" i="5"/>
  <c r="H1992" i="5"/>
  <c r="H1991" i="5"/>
  <c r="H1990" i="5"/>
  <c r="H1989" i="5"/>
  <c r="H1988" i="5"/>
  <c r="H1987" i="5"/>
  <c r="H1986" i="5"/>
  <c r="H1985" i="5"/>
  <c r="H1984" i="5"/>
  <c r="H1983" i="5"/>
  <c r="H1982" i="5"/>
  <c r="H1981" i="5"/>
  <c r="H1980" i="5"/>
  <c r="H1979" i="5"/>
  <c r="H1978" i="5"/>
  <c r="H1977" i="5"/>
  <c r="H1976" i="5"/>
  <c r="H1975" i="5"/>
  <c r="H1974" i="5"/>
  <c r="H1973" i="5"/>
  <c r="H1972" i="5"/>
  <c r="H1971" i="5"/>
  <c r="H1970" i="5"/>
  <c r="H1969" i="5"/>
  <c r="H1968" i="5"/>
  <c r="H1967" i="5"/>
  <c r="H1966" i="5"/>
  <c r="H1965" i="5"/>
  <c r="H1964" i="5"/>
  <c r="H1963" i="5"/>
  <c r="H1962" i="5"/>
  <c r="H1961" i="5"/>
  <c r="H1960" i="5"/>
  <c r="H1959" i="5"/>
  <c r="H1958" i="5"/>
  <c r="H1957" i="5"/>
  <c r="H1956" i="5"/>
  <c r="H1955" i="5"/>
  <c r="H1954" i="5"/>
  <c r="H1953" i="5"/>
  <c r="H1952" i="5"/>
  <c r="H1951" i="5"/>
  <c r="H1950" i="5"/>
  <c r="H1949" i="5"/>
  <c r="H1948" i="5"/>
  <c r="H1947" i="5"/>
  <c r="H1946" i="5"/>
  <c r="H1945" i="5"/>
  <c r="H1944" i="5"/>
  <c r="H1943" i="5"/>
  <c r="H1942" i="5"/>
  <c r="H1941" i="5"/>
  <c r="H1940" i="5"/>
  <c r="H1939" i="5"/>
  <c r="H1938" i="5"/>
  <c r="H1937" i="5"/>
  <c r="H1936" i="5"/>
  <c r="H1935" i="5"/>
  <c r="H1934" i="5"/>
  <c r="H1933" i="5"/>
  <c r="H1932" i="5"/>
  <c r="H1931" i="5"/>
  <c r="H1930" i="5"/>
  <c r="H1929" i="5"/>
  <c r="H1928" i="5"/>
  <c r="H1927" i="5"/>
  <c r="H1926" i="5"/>
  <c r="H1925" i="5"/>
  <c r="H1924" i="5"/>
  <c r="H1923" i="5"/>
  <c r="H1922" i="5"/>
  <c r="H1921" i="5"/>
  <c r="H1920" i="5"/>
  <c r="H1919" i="5"/>
  <c r="H1918" i="5"/>
  <c r="H1917" i="5"/>
  <c r="H1916" i="5"/>
  <c r="H1915" i="5"/>
  <c r="H1914" i="5"/>
  <c r="H1913" i="5"/>
  <c r="H1912" i="5"/>
  <c r="H1911" i="5"/>
  <c r="H1910" i="5"/>
  <c r="H1909" i="5"/>
  <c r="H1908" i="5"/>
  <c r="H1907" i="5"/>
  <c r="H1906" i="5"/>
  <c r="H1905" i="5"/>
  <c r="H1904" i="5"/>
  <c r="H1903" i="5"/>
  <c r="H1902" i="5"/>
  <c r="H1901" i="5"/>
  <c r="H1900" i="5"/>
  <c r="H1899" i="5"/>
  <c r="H1898" i="5"/>
  <c r="H1897" i="5"/>
  <c r="H1896" i="5"/>
  <c r="H1895" i="5"/>
  <c r="H1894" i="5"/>
  <c r="H1893" i="5"/>
  <c r="H1892" i="5"/>
  <c r="H1891" i="5"/>
  <c r="H1890" i="5"/>
  <c r="H1889" i="5"/>
  <c r="H1888" i="5"/>
  <c r="H1887" i="5"/>
  <c r="H1886" i="5"/>
  <c r="H1885" i="5"/>
  <c r="H1884" i="5"/>
  <c r="H1883" i="5"/>
  <c r="H1882" i="5"/>
  <c r="H1881" i="5"/>
  <c r="H1880" i="5"/>
  <c r="H1879" i="5"/>
  <c r="H1878" i="5"/>
  <c r="H1877" i="5"/>
  <c r="H1876" i="5"/>
  <c r="H1875" i="5"/>
  <c r="H1874" i="5"/>
  <c r="H1873" i="5"/>
  <c r="H1872" i="5"/>
  <c r="H1871" i="5"/>
  <c r="H1870" i="5"/>
  <c r="H1869" i="5"/>
  <c r="H1868" i="5"/>
  <c r="H1867" i="5"/>
  <c r="H1866" i="5"/>
  <c r="H1865" i="5"/>
  <c r="H1864" i="5"/>
  <c r="H1863" i="5"/>
  <c r="H1862" i="5"/>
  <c r="H1861" i="5"/>
  <c r="H1860" i="5"/>
  <c r="H1859" i="5"/>
  <c r="H1858" i="5"/>
  <c r="H1857" i="5"/>
  <c r="H1856" i="5"/>
  <c r="H1855" i="5"/>
  <c r="H1854" i="5"/>
  <c r="H1853" i="5"/>
  <c r="H1852" i="5"/>
  <c r="H1851" i="5"/>
  <c r="H1850" i="5"/>
  <c r="H1849" i="5"/>
  <c r="H1848" i="5"/>
  <c r="H1847" i="5"/>
  <c r="H1846" i="5"/>
  <c r="H1845" i="5"/>
  <c r="H1844" i="5"/>
  <c r="H1843" i="5"/>
  <c r="H1842" i="5"/>
  <c r="H1841" i="5"/>
  <c r="H1840" i="5"/>
  <c r="H1839" i="5"/>
  <c r="H1838" i="5"/>
  <c r="H1837" i="5"/>
  <c r="H1836" i="5"/>
  <c r="H1835" i="5"/>
  <c r="H1834" i="5"/>
  <c r="H1833" i="5"/>
  <c r="H1832" i="5"/>
  <c r="H1831" i="5"/>
  <c r="H1830" i="5"/>
  <c r="H1829" i="5"/>
  <c r="H1828" i="5"/>
  <c r="H1827" i="5"/>
  <c r="H1826" i="5"/>
  <c r="H1825" i="5"/>
  <c r="H1824" i="5"/>
  <c r="H1823" i="5"/>
  <c r="H1822" i="5"/>
  <c r="H1821" i="5"/>
  <c r="H1820" i="5"/>
  <c r="H1819" i="5"/>
  <c r="H1818" i="5"/>
  <c r="H1817" i="5"/>
  <c r="H1816" i="5"/>
  <c r="H1815" i="5"/>
  <c r="H1814" i="5"/>
  <c r="H1813" i="5"/>
  <c r="H1812" i="5"/>
  <c r="H1811" i="5"/>
  <c r="H1810" i="5"/>
  <c r="H1809" i="5"/>
  <c r="H1808" i="5"/>
  <c r="H1807" i="5"/>
  <c r="H1806" i="5"/>
  <c r="H1805" i="5"/>
  <c r="H1804" i="5"/>
  <c r="H1803" i="5"/>
  <c r="H1802" i="5"/>
  <c r="H1801" i="5"/>
  <c r="H1800" i="5"/>
  <c r="H1799" i="5"/>
  <c r="H1798" i="5"/>
  <c r="H1797" i="5"/>
  <c r="H1796" i="5"/>
  <c r="H1795" i="5"/>
  <c r="H1794" i="5"/>
  <c r="H1793" i="5"/>
  <c r="H1792" i="5"/>
  <c r="H1791" i="5"/>
  <c r="H1790" i="5"/>
  <c r="H1789" i="5"/>
  <c r="H1788" i="5"/>
  <c r="H1787" i="5"/>
  <c r="H1786" i="5"/>
  <c r="H1785" i="5"/>
  <c r="H1784" i="5"/>
  <c r="H1783" i="5"/>
  <c r="H1782" i="5"/>
  <c r="H1781" i="5"/>
  <c r="H1780" i="5"/>
  <c r="H1779" i="5"/>
  <c r="H1778" i="5"/>
  <c r="H1777" i="5"/>
  <c r="H1776" i="5"/>
  <c r="H1775" i="5"/>
  <c r="H1774" i="5"/>
  <c r="H1773" i="5"/>
  <c r="H1772" i="5"/>
  <c r="H1771" i="5"/>
  <c r="H1770" i="5"/>
  <c r="H1769" i="5"/>
  <c r="H1768" i="5"/>
  <c r="H1767" i="5"/>
  <c r="H1766" i="5"/>
  <c r="H1765" i="5"/>
  <c r="H1764" i="5"/>
  <c r="H1763" i="5"/>
  <c r="H1762" i="5"/>
  <c r="H1761" i="5"/>
  <c r="H1760" i="5"/>
  <c r="H1759" i="5"/>
  <c r="H1758" i="5"/>
  <c r="H1757" i="5"/>
  <c r="H1756" i="5"/>
  <c r="H1755" i="5"/>
  <c r="H1753" i="5"/>
  <c r="H1752" i="5"/>
  <c r="H1751" i="5"/>
  <c r="H1750" i="5"/>
  <c r="H1749" i="5"/>
  <c r="H1748" i="5"/>
  <c r="H1747" i="5"/>
  <c r="H1746" i="5"/>
  <c r="H1745" i="5"/>
  <c r="H1744" i="5"/>
  <c r="H1743" i="5"/>
  <c r="H1742" i="5"/>
  <c r="H1694" i="5"/>
  <c r="H1693" i="5"/>
  <c r="H1692" i="5"/>
  <c r="H1691" i="5"/>
  <c r="H1690" i="5"/>
  <c r="H1689" i="5"/>
  <c r="H1688" i="5"/>
  <c r="H1687" i="5"/>
  <c r="H1686" i="5"/>
  <c r="H1685" i="5"/>
  <c r="H1684" i="5"/>
  <c r="H1683" i="5"/>
  <c r="H1682" i="5"/>
  <c r="H1681" i="5"/>
  <c r="H1680" i="5"/>
  <c r="H1679" i="5"/>
  <c r="H1678" i="5"/>
  <c r="H1677" i="5"/>
  <c r="H1676" i="5"/>
  <c r="H1675" i="5"/>
  <c r="H1674" i="5"/>
  <c r="H1673" i="5"/>
  <c r="H1672" i="5"/>
  <c r="H1671" i="5"/>
  <c r="H1670" i="5"/>
  <c r="H1669" i="5"/>
  <c r="H1668" i="5"/>
  <c r="H1667" i="5"/>
  <c r="H1666" i="5"/>
  <c r="H1665" i="5"/>
  <c r="H1664" i="5"/>
  <c r="H1663" i="5"/>
  <c r="H1662" i="5"/>
  <c r="H1661" i="5"/>
  <c r="H1660" i="5"/>
  <c r="H1659" i="5"/>
  <c r="H1658" i="5"/>
  <c r="H1657" i="5"/>
  <c r="H1656" i="5"/>
  <c r="H1655" i="5"/>
  <c r="H1654" i="5"/>
  <c r="H1653" i="5"/>
  <c r="H1652" i="5"/>
  <c r="H1651" i="5"/>
  <c r="H1650" i="5"/>
  <c r="H1649" i="5"/>
  <c r="H1648" i="5"/>
  <c r="H1647" i="5"/>
  <c r="H1646" i="5"/>
  <c r="H1645" i="5"/>
  <c r="H1644" i="5"/>
  <c r="H1643" i="5"/>
  <c r="H1642" i="5"/>
  <c r="H1641" i="5"/>
  <c r="H1640" i="5"/>
  <c r="H1639" i="5"/>
  <c r="H1638" i="5"/>
  <c r="H1637" i="5"/>
  <c r="H1636" i="5"/>
  <c r="H1635" i="5"/>
  <c r="H1634" i="5"/>
  <c r="H1633" i="5"/>
  <c r="H1632" i="5"/>
  <c r="H1631" i="5"/>
  <c r="H1630" i="5"/>
  <c r="H1629" i="5"/>
  <c r="H1628" i="5"/>
  <c r="H1627" i="5"/>
  <c r="H1626" i="5"/>
  <c r="H1625" i="5"/>
  <c r="H1624" i="5"/>
  <c r="H1623" i="5"/>
  <c r="H1622" i="5"/>
  <c r="H1621" i="5"/>
  <c r="H1620" i="5"/>
  <c r="H1619" i="5"/>
  <c r="H1618" i="5"/>
  <c r="H1617" i="5"/>
  <c r="H1616" i="5"/>
  <c r="H1615" i="5"/>
  <c r="H1614" i="5"/>
  <c r="H1613" i="5"/>
  <c r="H1612" i="5"/>
  <c r="H1611" i="5"/>
  <c r="H1610" i="5"/>
  <c r="H1609" i="5"/>
  <c r="H1608" i="5"/>
  <c r="H1607" i="5"/>
  <c r="H1606" i="5"/>
  <c r="H1605" i="5"/>
  <c r="H1604" i="5"/>
  <c r="H1603" i="5"/>
  <c r="H1602" i="5"/>
  <c r="H1601" i="5"/>
  <c r="H1600" i="5"/>
  <c r="H1599" i="5"/>
  <c r="H1598" i="5"/>
  <c r="H1597" i="5"/>
  <c r="H1596" i="5"/>
  <c r="H1595" i="5"/>
  <c r="H1594" i="5"/>
  <c r="H1593" i="5"/>
  <c r="H1592" i="5"/>
  <c r="H1591" i="5"/>
  <c r="H1590" i="5"/>
  <c r="H1589" i="5"/>
  <c r="H1588" i="5"/>
  <c r="H1587" i="5"/>
  <c r="H1586" i="5"/>
  <c r="H1585" i="5"/>
  <c r="H1584" i="5"/>
  <c r="H1583" i="5"/>
  <c r="H1582" i="5"/>
  <c r="H1581" i="5"/>
  <c r="H1580" i="5"/>
  <c r="H1579" i="5"/>
  <c r="H1578" i="5"/>
  <c r="H1577" i="5"/>
  <c r="H1576" i="5"/>
  <c r="H1575" i="5"/>
  <c r="H1574" i="5"/>
  <c r="H1573" i="5"/>
  <c r="H1572" i="5"/>
  <c r="H1571" i="5"/>
  <c r="H1570" i="5"/>
  <c r="H1569" i="5"/>
  <c r="H1568" i="5"/>
  <c r="H1567" i="5"/>
  <c r="H1566" i="5"/>
  <c r="H1565" i="5"/>
  <c r="H1564" i="5"/>
  <c r="H1563" i="5"/>
  <c r="H1562" i="5"/>
  <c r="H1561" i="5"/>
  <c r="H1560" i="5"/>
  <c r="H1559" i="5"/>
  <c r="H1558" i="5"/>
  <c r="H1557" i="5"/>
  <c r="H1556" i="5"/>
  <c r="H1555" i="5"/>
  <c r="H1554" i="5"/>
  <c r="H1553" i="5"/>
  <c r="H1552" i="5"/>
  <c r="H1551" i="5"/>
  <c r="H1550" i="5"/>
  <c r="H1549" i="5"/>
  <c r="H1548" i="5"/>
  <c r="H1547" i="5"/>
  <c r="H1546" i="5"/>
  <c r="H1545" i="5"/>
  <c r="H1544" i="5"/>
  <c r="H1543" i="5"/>
  <c r="H1542" i="5"/>
  <c r="H1541" i="5"/>
  <c r="H1540" i="5"/>
  <c r="H1539" i="5"/>
  <c r="H1538" i="5"/>
  <c r="H1537" i="5"/>
  <c r="H1536" i="5"/>
  <c r="H1535" i="5"/>
  <c r="H1534" i="5"/>
  <c r="H1533" i="5"/>
  <c r="H1532" i="5"/>
  <c r="H1531" i="5"/>
  <c r="H1530" i="5"/>
  <c r="H1529" i="5"/>
  <c r="H1528" i="5"/>
  <c r="H1527" i="5"/>
  <c r="H1526" i="5"/>
  <c r="H1525" i="5"/>
  <c r="H1524" i="5"/>
  <c r="H1523" i="5"/>
  <c r="H1522" i="5"/>
  <c r="H1521" i="5"/>
  <c r="H1520" i="5"/>
  <c r="H1519" i="5"/>
  <c r="H1518" i="5"/>
  <c r="H1517" i="5"/>
  <c r="H1516" i="5"/>
  <c r="H1515" i="5"/>
  <c r="H1514" i="5"/>
  <c r="H1513" i="5"/>
  <c r="H1512" i="5"/>
  <c r="H1511" i="5"/>
  <c r="H1510" i="5"/>
  <c r="H1509" i="5"/>
  <c r="H1508" i="5"/>
  <c r="H1507" i="5"/>
  <c r="H1506" i="5"/>
  <c r="H1505" i="5"/>
  <c r="H1504" i="5"/>
  <c r="H1503" i="5"/>
  <c r="H1502" i="5"/>
  <c r="H1501" i="5"/>
  <c r="H1500" i="5"/>
  <c r="H1499" i="5"/>
  <c r="H1498" i="5"/>
  <c r="H1497" i="5"/>
  <c r="H1496" i="5"/>
  <c r="H1495" i="5"/>
  <c r="H1494" i="5"/>
  <c r="H1493" i="5"/>
  <c r="H1492" i="5"/>
  <c r="H1491" i="5"/>
  <c r="H1490" i="5"/>
  <c r="H1489" i="5"/>
  <c r="H1488" i="5"/>
  <c r="H1487" i="5"/>
  <c r="H1486" i="5"/>
  <c r="H1485" i="5"/>
  <c r="H1484" i="5"/>
  <c r="H1483" i="5"/>
  <c r="H1482" i="5"/>
  <c r="H1481" i="5"/>
  <c r="H1480" i="5"/>
  <c r="H1479" i="5"/>
  <c r="H1478" i="5"/>
  <c r="H1477" i="5"/>
  <c r="H1476" i="5"/>
  <c r="H1475" i="5"/>
  <c r="H1474" i="5"/>
  <c r="H1473" i="5"/>
  <c r="H1472" i="5"/>
  <c r="H1471" i="5"/>
  <c r="H1470" i="5"/>
  <c r="H1469" i="5"/>
  <c r="H1468" i="5"/>
  <c r="H1467" i="5"/>
  <c r="H1466" i="5"/>
  <c r="H1465" i="5"/>
  <c r="H1464" i="5"/>
  <c r="H1463" i="5"/>
  <c r="H1462" i="5"/>
  <c r="H1461" i="5"/>
  <c r="H1460" i="5"/>
  <c r="H1459" i="5"/>
  <c r="H1458" i="5"/>
  <c r="H1457" i="5"/>
  <c r="H1456" i="5"/>
  <c r="H1455" i="5"/>
  <c r="H1454" i="5"/>
  <c r="H1453" i="5"/>
  <c r="H1452" i="5"/>
  <c r="H1451" i="5"/>
  <c r="H1450" i="5"/>
  <c r="H1449" i="5"/>
  <c r="H1448" i="5"/>
  <c r="H1447" i="5"/>
  <c r="H1446" i="5"/>
  <c r="H1445" i="5"/>
  <c r="H1444" i="5"/>
  <c r="H1443" i="5"/>
  <c r="H1442" i="5"/>
  <c r="H1441" i="5"/>
  <c r="H1440" i="5"/>
  <c r="H1439" i="5"/>
  <c r="H1438" i="5"/>
  <c r="H1437" i="5"/>
  <c r="H1436" i="5"/>
  <c r="H1435" i="5"/>
  <c r="H1434" i="5"/>
  <c r="H1433" i="5"/>
  <c r="H1432" i="5"/>
  <c r="H1431" i="5"/>
  <c r="H1430" i="5"/>
  <c r="H1429" i="5"/>
  <c r="H1428" i="5"/>
  <c r="H1427" i="5"/>
  <c r="H1426" i="5"/>
  <c r="H1425" i="5"/>
  <c r="H1424" i="5"/>
  <c r="H1423" i="5"/>
  <c r="H1422" i="5"/>
  <c r="H1421" i="5"/>
  <c r="H1420" i="5"/>
  <c r="H1419" i="5"/>
  <c r="H1418" i="5"/>
  <c r="H1417" i="5"/>
  <c r="H1416" i="5"/>
  <c r="H1415" i="5"/>
  <c r="H1414" i="5"/>
  <c r="H1413" i="5"/>
  <c r="H1412" i="5"/>
  <c r="H1411" i="5"/>
  <c r="H1410" i="5"/>
  <c r="H1409" i="5"/>
  <c r="H1408" i="5"/>
  <c r="H1407" i="5"/>
  <c r="H1406" i="5"/>
  <c r="H1405" i="5"/>
  <c r="H1404" i="5"/>
  <c r="H1403" i="5"/>
  <c r="H1402" i="5"/>
  <c r="H1401" i="5"/>
  <c r="H1400" i="5"/>
  <c r="H1399" i="5"/>
  <c r="H1398" i="5"/>
  <c r="H1397" i="5"/>
  <c r="H1396" i="5"/>
  <c r="H1395" i="5"/>
  <c r="H1394" i="5"/>
  <c r="H1393" i="5"/>
  <c r="H1392" i="5"/>
  <c r="H1391" i="5"/>
  <c r="H1390" i="5"/>
  <c r="H1389" i="5"/>
  <c r="H1388" i="5"/>
  <c r="H1387" i="5"/>
  <c r="H1386" i="5"/>
  <c r="H1385" i="5"/>
  <c r="H1384" i="5"/>
  <c r="H1383" i="5"/>
  <c r="H1382" i="5"/>
  <c r="H1381" i="5"/>
  <c r="H1380" i="5"/>
  <c r="H1379" i="5"/>
  <c r="H1378" i="5"/>
  <c r="H1377" i="5"/>
  <c r="H1376" i="5"/>
  <c r="H1375" i="5"/>
  <c r="H1374" i="5"/>
  <c r="H1373" i="5"/>
  <c r="H1372" i="5"/>
  <c r="H1371" i="5"/>
  <c r="H1370" i="5"/>
  <c r="H1369" i="5"/>
  <c r="H1368" i="5"/>
  <c r="H1367" i="5"/>
  <c r="H1366" i="5"/>
  <c r="H1365" i="5"/>
  <c r="H1364" i="5"/>
  <c r="H1363" i="5"/>
  <c r="H1362" i="5"/>
  <c r="H1361" i="5"/>
  <c r="H1360" i="5"/>
  <c r="H1359" i="5"/>
  <c r="H1358" i="5"/>
  <c r="H1357" i="5"/>
  <c r="H1356" i="5"/>
  <c r="H1355" i="5"/>
  <c r="H1354" i="5"/>
  <c r="H1353" i="5"/>
  <c r="H1352" i="5"/>
  <c r="H1351" i="5"/>
  <c r="H1350" i="5"/>
  <c r="H1349" i="5"/>
  <c r="H1348" i="5"/>
  <c r="H1347" i="5"/>
  <c r="H1346" i="5"/>
  <c r="H1345" i="5"/>
  <c r="H1344" i="5"/>
  <c r="H1343" i="5"/>
  <c r="H1342" i="5"/>
  <c r="H1341" i="5"/>
  <c r="H1340" i="5"/>
  <c r="H1339" i="5"/>
  <c r="H1338" i="5"/>
  <c r="H1337" i="5"/>
  <c r="H1336" i="5"/>
  <c r="H1335" i="5"/>
  <c r="H1334" i="5"/>
  <c r="H1333" i="5"/>
  <c r="H1332" i="5"/>
  <c r="H1331" i="5"/>
  <c r="H1330" i="5"/>
  <c r="H1329" i="5"/>
  <c r="H1328" i="5"/>
  <c r="H1327" i="5"/>
  <c r="H1326" i="5"/>
  <c r="H1325" i="5"/>
  <c r="H1324" i="5"/>
  <c r="H1323" i="5"/>
  <c r="H1322" i="5"/>
  <c r="H1321" i="5"/>
  <c r="H1320" i="5"/>
  <c r="H1319" i="5"/>
  <c r="H1318" i="5"/>
  <c r="H1317" i="5"/>
  <c r="H1316" i="5"/>
  <c r="H1315" i="5"/>
  <c r="H1314" i="5"/>
  <c r="H1313" i="5"/>
  <c r="H1312" i="5"/>
  <c r="H1311" i="5"/>
  <c r="H1265" i="5"/>
  <c r="H1264" i="5"/>
  <c r="H1263" i="5"/>
  <c r="H1262" i="5"/>
  <c r="H1261" i="5"/>
  <c r="H1260" i="5"/>
  <c r="H1259" i="5"/>
  <c r="H1258" i="5"/>
  <c r="H1257" i="5"/>
  <c r="H1256" i="5"/>
  <c r="H1255" i="5"/>
  <c r="H1254" i="5"/>
  <c r="H1253" i="5"/>
  <c r="H1252" i="5"/>
  <c r="H1251" i="5"/>
  <c r="H1250" i="5"/>
  <c r="H1249" i="5"/>
  <c r="H1248" i="5"/>
  <c r="H1247" i="5"/>
  <c r="H1246" i="5"/>
  <c r="H1245" i="5"/>
  <c r="H1244" i="5"/>
  <c r="H1243" i="5"/>
  <c r="H1242" i="5"/>
  <c r="H1241" i="5"/>
  <c r="H1240" i="5"/>
  <c r="H1239" i="5"/>
  <c r="H1238" i="5"/>
  <c r="H1237" i="5"/>
  <c r="H1236" i="5"/>
  <c r="H1235" i="5"/>
  <c r="H1234" i="5"/>
  <c r="H1233" i="5"/>
  <c r="H1232" i="5"/>
  <c r="H1231" i="5"/>
  <c r="H1230" i="5"/>
  <c r="H1229" i="5"/>
  <c r="H1228" i="5"/>
  <c r="H1227" i="5"/>
  <c r="H1226" i="5"/>
  <c r="H1225" i="5"/>
  <c r="H1224" i="5"/>
  <c r="H1223" i="5"/>
  <c r="H1222" i="5"/>
  <c r="H1221" i="5"/>
  <c r="H1220" i="5"/>
  <c r="H1219" i="5"/>
  <c r="H1218" i="5"/>
  <c r="H1217" i="5"/>
  <c r="H1216" i="5"/>
  <c r="H1215" i="5"/>
  <c r="H1214" i="5"/>
  <c r="H1213" i="5"/>
  <c r="H1212" i="5"/>
  <c r="H1211" i="5"/>
  <c r="H1210" i="5"/>
  <c r="H1209" i="5"/>
  <c r="H1208" i="5"/>
  <c r="H1207" i="5"/>
  <c r="H1206" i="5"/>
  <c r="H1205" i="5"/>
  <c r="H1204" i="5"/>
  <c r="H1203" i="5"/>
  <c r="H1202" i="5"/>
  <c r="H1201" i="5"/>
  <c r="H1200" i="5"/>
  <c r="H1199" i="5"/>
  <c r="H1198" i="5"/>
  <c r="H1197" i="5"/>
  <c r="H1196" i="5"/>
  <c r="H1195" i="5"/>
  <c r="H1194" i="5"/>
  <c r="H1193" i="5"/>
  <c r="H1192" i="5"/>
  <c r="H1191" i="5"/>
  <c r="H1190" i="5"/>
  <c r="H1189" i="5"/>
  <c r="H1188" i="5"/>
  <c r="H1187" i="5"/>
  <c r="H1186" i="5"/>
  <c r="H1185" i="5"/>
  <c r="H1184" i="5"/>
  <c r="H1183" i="5"/>
  <c r="H1182" i="5"/>
  <c r="H1181" i="5"/>
  <c r="H1180" i="5"/>
  <c r="H1179" i="5"/>
  <c r="H1178" i="5"/>
  <c r="H1177" i="5"/>
  <c r="H1176" i="5"/>
  <c r="H1175" i="5"/>
  <c r="H1174" i="5"/>
  <c r="H1173" i="5"/>
  <c r="H1172" i="5"/>
  <c r="H1171" i="5"/>
  <c r="H1170" i="5"/>
  <c r="H1169" i="5"/>
  <c r="H1168" i="5"/>
  <c r="H1167" i="5"/>
  <c r="H1166" i="5"/>
  <c r="H1165" i="5"/>
  <c r="H1164" i="5"/>
  <c r="H1163" i="5"/>
  <c r="H1162" i="5"/>
  <c r="H1161" i="5"/>
  <c r="H1160" i="5"/>
  <c r="H1159" i="5"/>
  <c r="H1158" i="5"/>
  <c r="H1157" i="5"/>
  <c r="H1156" i="5"/>
  <c r="H1155" i="5"/>
  <c r="H1154" i="5"/>
  <c r="H1153" i="5"/>
  <c r="H1152" i="5"/>
  <c r="H1151" i="5"/>
  <c r="H1150" i="5"/>
  <c r="H1149" i="5"/>
  <c r="H1148" i="5"/>
  <c r="H1147" i="5"/>
  <c r="H1146" i="5"/>
  <c r="H1145" i="5"/>
  <c r="H1144" i="5"/>
  <c r="H1143" i="5"/>
  <c r="H1142" i="5"/>
  <c r="H1141" i="5"/>
  <c r="H1140" i="5"/>
  <c r="H1139" i="5"/>
  <c r="H1138" i="5"/>
  <c r="H1137" i="5"/>
  <c r="H1136" i="5"/>
  <c r="H1135" i="5"/>
  <c r="H1134" i="5"/>
  <c r="H1133" i="5"/>
  <c r="H1132" i="5"/>
  <c r="H1131" i="5"/>
  <c r="H1130" i="5"/>
  <c r="H1129" i="5"/>
  <c r="H1128" i="5"/>
  <c r="H1127" i="5"/>
  <c r="H1126" i="5"/>
  <c r="H1125" i="5"/>
  <c r="H1124" i="5"/>
  <c r="H1123" i="5"/>
  <c r="H1122" i="5"/>
  <c r="H1121" i="5"/>
  <c r="H1120" i="5"/>
  <c r="H1119" i="5"/>
  <c r="H1118" i="5"/>
  <c r="H1117" i="5"/>
  <c r="H1116" i="5"/>
  <c r="H1115" i="5"/>
  <c r="H1114" i="5"/>
  <c r="H1113" i="5"/>
  <c r="H1112" i="5"/>
  <c r="H1111" i="5"/>
  <c r="H1110" i="5"/>
  <c r="H1109" i="5"/>
  <c r="H1108" i="5"/>
  <c r="H1107" i="5"/>
  <c r="H1106" i="5"/>
  <c r="H1105" i="5"/>
  <c r="H1104" i="5"/>
  <c r="H1103" i="5"/>
  <c r="H1102" i="5"/>
  <c r="H1101" i="5"/>
  <c r="H1100" i="5"/>
  <c r="H1099" i="5"/>
  <c r="H1098" i="5"/>
  <c r="H1097" i="5"/>
  <c r="H1096" i="5"/>
  <c r="H1095" i="5"/>
  <c r="H1094" i="5"/>
  <c r="H1093" i="5"/>
  <c r="H1092" i="5"/>
  <c r="H1091" i="5"/>
  <c r="H1090" i="5"/>
  <c r="H1089" i="5"/>
  <c r="H1088" i="5"/>
  <c r="H1087" i="5"/>
  <c r="H1086" i="5"/>
  <c r="H1085" i="5"/>
  <c r="H1084" i="5"/>
  <c r="H1083" i="5"/>
  <c r="H1082" i="5"/>
  <c r="H1081" i="5"/>
  <c r="H1080" i="5"/>
  <c r="H1079" i="5"/>
  <c r="H1078" i="5"/>
  <c r="H1077" i="5"/>
  <c r="H1076" i="5"/>
  <c r="H1075" i="5"/>
  <c r="H1074" i="5"/>
  <c r="H1073" i="5"/>
  <c r="H1072" i="5"/>
  <c r="H1071" i="5"/>
  <c r="H1070" i="5"/>
  <c r="H1069" i="5"/>
  <c r="H1068" i="5"/>
  <c r="H1067" i="5"/>
  <c r="H1066" i="5"/>
  <c r="H1065" i="5"/>
  <c r="H1064" i="5"/>
  <c r="H1063" i="5"/>
  <c r="H1062" i="5"/>
  <c r="H1061" i="5"/>
  <c r="H1060" i="5"/>
  <c r="H1059" i="5"/>
  <c r="H1058" i="5"/>
  <c r="H1057" i="5"/>
  <c r="H1056" i="5"/>
  <c r="H1055" i="5"/>
  <c r="H1054" i="5"/>
  <c r="H1053" i="5"/>
  <c r="H1052" i="5"/>
  <c r="H1051" i="5"/>
  <c r="H1050" i="5"/>
  <c r="H1049" i="5"/>
  <c r="H1048" i="5"/>
  <c r="H1047" i="5"/>
  <c r="H1046" i="5"/>
  <c r="H1045" i="5"/>
  <c r="H1044" i="5"/>
  <c r="H1043" i="5"/>
  <c r="H1042" i="5"/>
  <c r="H1041" i="5"/>
  <c r="H1040" i="5"/>
  <c r="H1039" i="5"/>
  <c r="H1038" i="5"/>
  <c r="H1037" i="5"/>
  <c r="H1036" i="5"/>
  <c r="H1035" i="5"/>
  <c r="H1034" i="5"/>
  <c r="H1033" i="5"/>
  <c r="H1032" i="5"/>
  <c r="H1031" i="5"/>
  <c r="H1030" i="5"/>
  <c r="H1029" i="5"/>
  <c r="H1028" i="5"/>
  <c r="H1027" i="5"/>
  <c r="H1026" i="5"/>
  <c r="H1025" i="5"/>
  <c r="H1024" i="5"/>
  <c r="H1023" i="5"/>
  <c r="H1022" i="5"/>
  <c r="H1021" i="5"/>
  <c r="H1020" i="5"/>
  <c r="H1019" i="5"/>
  <c r="H1018" i="5"/>
  <c r="H1017" i="5"/>
  <c r="H1016" i="5"/>
  <c r="H1015" i="5"/>
  <c r="H1014" i="5"/>
  <c r="H1013" i="5"/>
  <c r="H1012" i="5"/>
  <c r="H1011" i="5"/>
  <c r="H1010" i="5"/>
  <c r="H1009" i="5"/>
  <c r="H1008" i="5"/>
  <c r="H1007" i="5"/>
  <c r="H1006" i="5"/>
  <c r="H1005" i="5"/>
  <c r="H1004" i="5"/>
  <c r="H1003" i="5"/>
  <c r="H1002" i="5"/>
  <c r="H1001" i="5"/>
  <c r="H1000" i="5"/>
  <c r="H999" i="5"/>
  <c r="H998" i="5"/>
  <c r="H997" i="5"/>
  <c r="H996" i="5"/>
  <c r="H995" i="5"/>
  <c r="H994" i="5"/>
  <c r="H993" i="5"/>
  <c r="H992" i="5"/>
  <c r="H991" i="5"/>
  <c r="H990" i="5"/>
  <c r="H989" i="5"/>
  <c r="H988" i="5"/>
  <c r="H987" i="5"/>
  <c r="H986" i="5"/>
  <c r="H985" i="5"/>
  <c r="H984" i="5"/>
  <c r="H983" i="5"/>
  <c r="H982" i="5"/>
  <c r="H981" i="5"/>
  <c r="H980" i="5"/>
  <c r="H979" i="5"/>
  <c r="H978" i="5"/>
  <c r="H977" i="5"/>
  <c r="H976" i="5"/>
  <c r="H975" i="5"/>
  <c r="H974" i="5"/>
  <c r="H973" i="5"/>
  <c r="H972" i="5"/>
  <c r="H971" i="5"/>
  <c r="H970" i="5"/>
  <c r="H969" i="5"/>
  <c r="H968" i="5"/>
  <c r="H967" i="5"/>
  <c r="H966" i="5"/>
  <c r="H965" i="5"/>
  <c r="H964" i="5"/>
  <c r="H963" i="5"/>
  <c r="H962" i="5"/>
  <c r="H961" i="5"/>
  <c r="H960" i="5"/>
  <c r="H959" i="5"/>
  <c r="H958" i="5"/>
  <c r="H957" i="5"/>
  <c r="H956" i="5"/>
  <c r="H955" i="5"/>
  <c r="H954" i="5"/>
  <c r="H953" i="5"/>
  <c r="H952" i="5"/>
  <c r="H951" i="5"/>
  <c r="H950" i="5"/>
  <c r="H949" i="5"/>
  <c r="H948" i="5"/>
  <c r="H947" i="5"/>
  <c r="H946" i="5"/>
  <c r="H945" i="5"/>
  <c r="H944" i="5"/>
  <c r="H943" i="5"/>
  <c r="H942" i="5"/>
  <c r="H941" i="5"/>
  <c r="H940" i="5"/>
  <c r="H939" i="5"/>
  <c r="H938" i="5"/>
  <c r="H937" i="5"/>
  <c r="H936" i="5"/>
  <c r="H935" i="5"/>
  <c r="H934" i="5"/>
  <c r="H933" i="5"/>
  <c r="H932" i="5"/>
  <c r="H931" i="5"/>
  <c r="H930" i="5"/>
  <c r="H929" i="5"/>
  <c r="H928" i="5"/>
  <c r="H927" i="5"/>
  <c r="H926" i="5"/>
  <c r="H925" i="5"/>
  <c r="H924" i="5"/>
  <c r="H923" i="5"/>
  <c r="H922" i="5"/>
  <c r="H921" i="5"/>
  <c r="H920" i="5"/>
  <c r="H919" i="5"/>
  <c r="H918" i="5"/>
  <c r="H917" i="5"/>
  <c r="H916" i="5"/>
  <c r="H915" i="5"/>
  <c r="H914" i="5"/>
  <c r="H913" i="5"/>
  <c r="H912" i="5"/>
  <c r="H911" i="5"/>
  <c r="H910" i="5"/>
  <c r="H909" i="5"/>
  <c r="H908" i="5"/>
  <c r="H907" i="5"/>
  <c r="H906" i="5"/>
  <c r="H905" i="5"/>
  <c r="H904" i="5"/>
  <c r="H903" i="5"/>
  <c r="H902" i="5"/>
  <c r="H901" i="5"/>
  <c r="H900" i="5"/>
  <c r="H899" i="5"/>
  <c r="H898" i="5"/>
  <c r="H897" i="5"/>
  <c r="H896" i="5"/>
  <c r="H895" i="5"/>
  <c r="H894" i="5"/>
  <c r="H893" i="5"/>
  <c r="H892" i="5"/>
  <c r="H891" i="5"/>
  <c r="H890" i="5"/>
  <c r="H889" i="5"/>
  <c r="H888" i="5"/>
  <c r="H887" i="5"/>
  <c r="H862" i="5"/>
  <c r="H861" i="5"/>
  <c r="H860" i="5"/>
  <c r="H859" i="5"/>
  <c r="H858" i="5"/>
  <c r="H857" i="5"/>
  <c r="H856" i="5"/>
  <c r="H855" i="5"/>
  <c r="H854" i="5"/>
  <c r="H853" i="5"/>
  <c r="H852" i="5"/>
  <c r="H851" i="5"/>
  <c r="H850" i="5"/>
  <c r="H849" i="5"/>
  <c r="H848" i="5"/>
  <c r="H847" i="5"/>
  <c r="H846" i="5"/>
  <c r="H845" i="5"/>
  <c r="H844" i="5"/>
  <c r="H843" i="5"/>
  <c r="H842" i="5"/>
  <c r="H841" i="5"/>
  <c r="H840" i="5"/>
  <c r="H839" i="5"/>
  <c r="H838" i="5"/>
  <c r="H837" i="5"/>
  <c r="H836" i="5"/>
  <c r="H835" i="5"/>
  <c r="H834" i="5"/>
  <c r="H833" i="5"/>
  <c r="H832" i="5"/>
  <c r="H831" i="5"/>
  <c r="H830" i="5"/>
  <c r="H829" i="5"/>
  <c r="H828" i="5"/>
  <c r="H827" i="5"/>
  <c r="H826" i="5"/>
  <c r="H825" i="5"/>
  <c r="H824" i="5"/>
  <c r="H823" i="5"/>
  <c r="H822" i="5"/>
  <c r="H821" i="5"/>
  <c r="H820" i="5"/>
  <c r="H819" i="5"/>
  <c r="H818" i="5"/>
  <c r="H817" i="5"/>
  <c r="H816" i="5"/>
  <c r="H815" i="5"/>
  <c r="H814" i="5"/>
  <c r="H813" i="5"/>
  <c r="H812" i="5"/>
  <c r="H811" i="5"/>
  <c r="H810" i="5"/>
  <c r="H809" i="5"/>
  <c r="H808" i="5"/>
  <c r="H807" i="5"/>
  <c r="H806" i="5"/>
  <c r="H805" i="5"/>
  <c r="H804" i="5"/>
  <c r="H803" i="5"/>
  <c r="H802" i="5"/>
  <c r="H801" i="5"/>
  <c r="H800" i="5"/>
  <c r="H799" i="5"/>
  <c r="H798" i="5"/>
  <c r="H797" i="5"/>
  <c r="H796" i="5"/>
  <c r="H795" i="5"/>
  <c r="H794" i="5"/>
  <c r="H793" i="5"/>
  <c r="H792" i="5"/>
  <c r="H791" i="5"/>
  <c r="H790" i="5"/>
  <c r="H789" i="5"/>
  <c r="H788" i="5"/>
  <c r="H787" i="5"/>
  <c r="H786" i="5"/>
  <c r="H785" i="5"/>
  <c r="H784" i="5"/>
  <c r="H783" i="5"/>
  <c r="H782" i="5"/>
  <c r="H781" i="5"/>
  <c r="H780" i="5"/>
  <c r="H779" i="5"/>
  <c r="H778" i="5"/>
  <c r="H777" i="5"/>
  <c r="H776" i="5"/>
  <c r="H775" i="5"/>
  <c r="H774" i="5"/>
  <c r="H773" i="5"/>
  <c r="H772" i="5"/>
  <c r="H771" i="5"/>
  <c r="H770" i="5"/>
  <c r="H769" i="5"/>
  <c r="H768" i="5"/>
  <c r="H767" i="5"/>
  <c r="H766" i="5"/>
  <c r="H765" i="5"/>
  <c r="H764" i="5"/>
  <c r="H763" i="5"/>
  <c r="H762" i="5"/>
  <c r="H761" i="5"/>
  <c r="H760" i="5"/>
  <c r="H759" i="5"/>
  <c r="H758" i="5"/>
  <c r="H757" i="5"/>
  <c r="H756" i="5"/>
  <c r="H755" i="5"/>
  <c r="H754" i="5"/>
  <c r="H753" i="5"/>
  <c r="H752" i="5"/>
  <c r="H751" i="5"/>
  <c r="H75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704" i="5"/>
  <c r="H703" i="5"/>
  <c r="H702" i="5"/>
  <c r="H701" i="5"/>
  <c r="H700" i="5"/>
  <c r="H699" i="5"/>
  <c r="H698" i="5"/>
  <c r="H697" i="5"/>
  <c r="H696" i="5"/>
  <c r="H695" i="5"/>
  <c r="H694" i="5"/>
  <c r="H693" i="5"/>
  <c r="H692" i="5"/>
  <c r="H691" i="5"/>
  <c r="H690" i="5"/>
  <c r="H689" i="5"/>
  <c r="H688" i="5"/>
  <c r="H687" i="5"/>
  <c r="H686" i="5"/>
  <c r="H685" i="5"/>
  <c r="H684" i="5"/>
  <c r="H683" i="5"/>
  <c r="H682" i="5"/>
  <c r="H681"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601" i="5"/>
  <c r="H600" i="5"/>
  <c r="H599" i="5"/>
  <c r="H598" i="5"/>
  <c r="H597" i="5"/>
  <c r="H596" i="5"/>
  <c r="H595" i="5"/>
  <c r="H594" i="5"/>
  <c r="H593" i="5"/>
  <c r="H592" i="5"/>
  <c r="H591" i="5"/>
  <c r="H590" i="5"/>
  <c r="H589" i="5"/>
  <c r="H588" i="5"/>
  <c r="H587" i="5"/>
  <c r="H586" i="5"/>
  <c r="H585" i="5"/>
  <c r="H584" i="5"/>
  <c r="H583" i="5"/>
  <c r="H582" i="5"/>
  <c r="H581" i="5"/>
  <c r="H580" i="5"/>
  <c r="H579" i="5"/>
  <c r="H578" i="5"/>
  <c r="H577" i="5"/>
  <c r="H576" i="5"/>
  <c r="H575" i="5"/>
  <c r="H574" i="5"/>
  <c r="H573" i="5"/>
  <c r="H572" i="5"/>
  <c r="H571" i="5"/>
  <c r="H57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296" i="5"/>
  <c r="H295" i="5"/>
  <c r="H294" i="5"/>
  <c r="H293" i="5"/>
  <c r="H292" i="5"/>
  <c r="H291" i="5"/>
  <c r="H290" i="5"/>
  <c r="H289" i="5"/>
  <c r="H288" i="5"/>
  <c r="H287" i="5"/>
  <c r="H286" i="5"/>
  <c r="H129"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0" i="5"/>
  <c r="H29" i="5"/>
  <c r="H28" i="5"/>
  <c r="H26" i="5"/>
  <c r="H24" i="5"/>
  <c r="H22" i="5"/>
  <c r="H20" i="5"/>
  <c r="H15" i="5"/>
  <c r="H14" i="5"/>
  <c r="H13" i="5"/>
  <c r="H12" i="5"/>
  <c r="H10" i="5"/>
  <c r="H9" i="5"/>
  <c r="H7" i="5"/>
  <c r="H6" i="5"/>
  <c r="AZ870" i="5"/>
  <c r="AY870" i="5"/>
  <c r="AW870" i="5"/>
  <c r="AX870" i="5" s="1"/>
  <c r="AU870" i="5"/>
  <c r="AV870" i="5" s="1"/>
  <c r="AR870" i="5"/>
  <c r="AN870" i="5"/>
  <c r="AO870" i="5"/>
  <c r="AP870" i="5"/>
  <c r="M870" i="5"/>
  <c r="F870" i="5" s="1"/>
  <c r="G870" i="5" s="1"/>
  <c r="H870" i="5" s="1"/>
  <c r="AL870" i="5"/>
  <c r="AK870" i="5"/>
  <c r="AJ870" i="5"/>
  <c r="AZ866" i="5"/>
  <c r="AY866" i="5"/>
  <c r="AW866" i="5"/>
  <c r="AX866" i="5" s="1"/>
  <c r="AU866" i="5"/>
  <c r="AV866" i="5" s="1"/>
  <c r="AR866" i="5"/>
  <c r="AS866" i="5" s="1"/>
  <c r="AN866" i="5"/>
  <c r="AO866" i="5"/>
  <c r="AP866" i="5"/>
  <c r="M866" i="5"/>
  <c r="F866" i="5" s="1"/>
  <c r="M863" i="5"/>
  <c r="F863" i="5" s="1"/>
  <c r="AL866" i="5"/>
  <c r="AK866" i="5"/>
  <c r="AJ866" i="5"/>
  <c r="AI866" i="5"/>
  <c r="AH862" i="5"/>
  <c r="AW862" i="5"/>
  <c r="AX862" i="5" s="1"/>
  <c r="AU862" i="5"/>
  <c r="AV862" i="5" s="1"/>
  <c r="AR862" i="5"/>
  <c r="AN862" i="5"/>
  <c r="AO862" i="5"/>
  <c r="AP862" i="5"/>
  <c r="AZ1711" i="5"/>
  <c r="AY1711" i="5"/>
  <c r="AW1711" i="5"/>
  <c r="AX1711" i="5" s="1"/>
  <c r="AU1711" i="5"/>
  <c r="AV1711" i="5" s="1"/>
  <c r="AR1711" i="5"/>
  <c r="AN1711" i="5"/>
  <c r="AO1711" i="5"/>
  <c r="AL1711" i="5"/>
  <c r="AK1711" i="5"/>
  <c r="AJ1711" i="5"/>
  <c r="AI1711" i="5"/>
  <c r="AZ1704" i="5"/>
  <c r="AY1704" i="5"/>
  <c r="AW1704" i="5"/>
  <c r="AX1704" i="5" s="1"/>
  <c r="AU1704" i="5"/>
  <c r="AV1704" i="5" s="1"/>
  <c r="AR1704" i="5"/>
  <c r="AN1704" i="5"/>
  <c r="AO1704" i="5"/>
  <c r="AL1704" i="5"/>
  <c r="AK1704" i="5"/>
  <c r="AJ1704" i="5"/>
  <c r="AI1704" i="5"/>
  <c r="AZ1697" i="5"/>
  <c r="AY1697" i="5"/>
  <c r="AW1697" i="5"/>
  <c r="AX1697" i="5" s="1"/>
  <c r="AU1697" i="5"/>
  <c r="AV1697" i="5" s="1"/>
  <c r="AR1697" i="5"/>
  <c r="AN1697" i="5"/>
  <c r="AO1697" i="5"/>
  <c r="AL1697" i="5"/>
  <c r="AK1697" i="5"/>
  <c r="AJ1697" i="5"/>
  <c r="AI1697" i="5"/>
  <c r="M1273" i="5"/>
  <c r="F1273" i="5" s="1"/>
  <c r="M1268" i="5"/>
  <c r="F1268" i="5" s="1"/>
  <c r="AZ1273" i="5"/>
  <c r="AY1273" i="5"/>
  <c r="AW1273" i="5"/>
  <c r="AX1273" i="5" s="1"/>
  <c r="AU1273" i="5"/>
  <c r="AV1273" i="5" s="1"/>
  <c r="AR1273" i="5"/>
  <c r="AN1273" i="5"/>
  <c r="AO1273" i="5"/>
  <c r="AP1273" i="5"/>
  <c r="AL1273" i="5"/>
  <c r="AK1273" i="5"/>
  <c r="AJ1273" i="5"/>
  <c r="AI1273" i="5"/>
  <c r="AZ1268" i="5"/>
  <c r="AY1268" i="5"/>
  <c r="AW1268" i="5"/>
  <c r="AX1268" i="5" s="1"/>
  <c r="AU1268" i="5"/>
  <c r="AV1268" i="5" s="1"/>
  <c r="AR1268" i="5"/>
  <c r="AN1268" i="5"/>
  <c r="AO1268" i="5"/>
  <c r="AP1268" i="5"/>
  <c r="AL1268" i="5"/>
  <c r="AK1268" i="5"/>
  <c r="AJ1268" i="5"/>
  <c r="AI1268" i="5"/>
  <c r="AZ1709" i="5"/>
  <c r="AY1709" i="5"/>
  <c r="AW1709" i="5"/>
  <c r="AX1709" i="5" s="1"/>
  <c r="AU1709" i="5"/>
  <c r="AV1709" i="5" s="1"/>
  <c r="AR1709" i="5"/>
  <c r="AN1709" i="5"/>
  <c r="AO1709" i="5"/>
  <c r="AL1709" i="5"/>
  <c r="AK1709" i="5"/>
  <c r="AJ1709" i="5"/>
  <c r="AI1709" i="5"/>
  <c r="AZ1702" i="5"/>
  <c r="AY1702" i="5"/>
  <c r="AW1702" i="5"/>
  <c r="AX1702" i="5" s="1"/>
  <c r="AU1702" i="5"/>
  <c r="AV1702" i="5" s="1"/>
  <c r="AR1702" i="5"/>
  <c r="AN1702" i="5"/>
  <c r="AO1702" i="5"/>
  <c r="AL1702" i="5"/>
  <c r="AK1702" i="5"/>
  <c r="AJ1702" i="5"/>
  <c r="AI1702" i="5"/>
  <c r="AZ1695" i="5"/>
  <c r="AY1695" i="5"/>
  <c r="AW1695" i="5"/>
  <c r="AX1695" i="5" s="1"/>
  <c r="AU1695" i="5"/>
  <c r="AV1695" i="5" s="1"/>
  <c r="AR1695" i="5"/>
  <c r="AN1695" i="5"/>
  <c r="AO1695" i="5"/>
  <c r="AL1695" i="5"/>
  <c r="AK1695" i="5"/>
  <c r="AJ1695" i="5"/>
  <c r="M1271" i="5"/>
  <c r="F1271" i="5" s="1"/>
  <c r="AZ1274" i="5"/>
  <c r="AY1274" i="5"/>
  <c r="AW1274" i="5"/>
  <c r="AX1274" i="5" s="1"/>
  <c r="AU1274" i="5"/>
  <c r="AV1274" i="5" s="1"/>
  <c r="AR1274" i="5"/>
  <c r="AT1274" i="5" s="1"/>
  <c r="AN1274" i="5"/>
  <c r="AO1274" i="5"/>
  <c r="AP1274" i="5"/>
  <c r="T886" i="5"/>
  <c r="AL1274" i="5"/>
  <c r="AK1274" i="5"/>
  <c r="AJ1274" i="5"/>
  <c r="AI1274" i="5"/>
  <c r="AZ1269" i="5"/>
  <c r="AY1269" i="5"/>
  <c r="AW1269" i="5"/>
  <c r="AX1269" i="5" s="1"/>
  <c r="AU1269" i="5"/>
  <c r="AV1269" i="5" s="1"/>
  <c r="AR1269" i="5"/>
  <c r="AN1269" i="5"/>
  <c r="AO1269" i="5"/>
  <c r="AP1269" i="5"/>
  <c r="AL1269" i="5"/>
  <c r="AK1269" i="5"/>
  <c r="AJ1269" i="5"/>
  <c r="AI1269" i="5"/>
  <c r="M2132" i="5"/>
  <c r="F2132" i="5" s="1"/>
  <c r="M2130" i="5"/>
  <c r="F2130" i="5" s="1"/>
  <c r="M2129" i="5"/>
  <c r="F2129" i="5" s="1"/>
  <c r="G2129" i="5" s="1"/>
  <c r="H2129" i="5" s="1"/>
  <c r="M2127" i="5"/>
  <c r="F2127" i="5" s="1"/>
  <c r="G2127" i="5" s="1"/>
  <c r="H2127" i="5" s="1"/>
  <c r="M2126" i="5"/>
  <c r="F2126" i="5" s="1"/>
  <c r="G2126" i="5" s="1"/>
  <c r="H2126" i="5" s="1"/>
  <c r="AZ1276" i="5"/>
  <c r="AY1276" i="5"/>
  <c r="AW1276" i="5"/>
  <c r="AX1276" i="5" s="1"/>
  <c r="AU1276" i="5"/>
  <c r="AV1276" i="5" s="1"/>
  <c r="AR1276" i="5"/>
  <c r="AS1276" i="5" s="1"/>
  <c r="AN1276" i="5"/>
  <c r="AO1276" i="5"/>
  <c r="AP1276" i="5"/>
  <c r="AL1276" i="5"/>
  <c r="AK1276" i="5"/>
  <c r="AJ1276" i="5"/>
  <c r="AH1308" i="5"/>
  <c r="AZ1271" i="5"/>
  <c r="AY1271" i="5"/>
  <c r="AW1271" i="5"/>
  <c r="AX1271" i="5" s="1"/>
  <c r="AU1271" i="5"/>
  <c r="AV1271" i="5" s="1"/>
  <c r="AR1271" i="5"/>
  <c r="AS1271" i="5" s="1"/>
  <c r="AN1271" i="5"/>
  <c r="AO1271" i="5"/>
  <c r="AP1271" i="5"/>
  <c r="AL1271" i="5"/>
  <c r="AK1271" i="5"/>
  <c r="AJ1271" i="5"/>
  <c r="AI1271" i="5"/>
  <c r="AH1265" i="5"/>
  <c r="AJ1265" i="5" s="1"/>
  <c r="AW1265" i="5"/>
  <c r="AX1265" i="5" s="1"/>
  <c r="AU1265" i="5"/>
  <c r="AV1265" i="5" s="1"/>
  <c r="AR1265" i="5"/>
  <c r="AN1265" i="5"/>
  <c r="AO1265" i="5"/>
  <c r="AP1265" i="5"/>
  <c r="M1260" i="5"/>
  <c r="F1260" i="5" s="1"/>
  <c r="AH1260" i="5"/>
  <c r="AH2125" i="5"/>
  <c r="AW2125" i="5"/>
  <c r="AX2125" i="5" s="1"/>
  <c r="AU2125" i="5"/>
  <c r="AV2125" i="5" s="1"/>
  <c r="AR2125" i="5"/>
  <c r="AT2125" i="5" s="1"/>
  <c r="AN2125" i="5"/>
  <c r="AO2125" i="5"/>
  <c r="AP2125" i="5"/>
  <c r="M2120" i="5"/>
  <c r="F2120" i="5" s="1"/>
  <c r="AH2120" i="5"/>
  <c r="AP2132" i="5"/>
  <c r="AH2089" i="5"/>
  <c r="T1741" i="5"/>
  <c r="M1832" i="5" s="1"/>
  <c r="F1832" i="5" s="1"/>
  <c r="D4876" i="5"/>
  <c r="D4875" i="5"/>
  <c r="D4874" i="5"/>
  <c r="D4873" i="5"/>
  <c r="D4872" i="5"/>
  <c r="D4871" i="5"/>
  <c r="D4870" i="5"/>
  <c r="D4869" i="5"/>
  <c r="D4868" i="5"/>
  <c r="D4867" i="5"/>
  <c r="D4866" i="5"/>
  <c r="D4865" i="5"/>
  <c r="D4864" i="5"/>
  <c r="D4863" i="5"/>
  <c r="D4862" i="5"/>
  <c r="D4861" i="5"/>
  <c r="D4860" i="5"/>
  <c r="D4859" i="5"/>
  <c r="D4858" i="5"/>
  <c r="D4857" i="5"/>
  <c r="D4856" i="5"/>
  <c r="D4855" i="5"/>
  <c r="D4854" i="5"/>
  <c r="D4853" i="5"/>
  <c r="D4852" i="5"/>
  <c r="D4851" i="5"/>
  <c r="D4850" i="5"/>
  <c r="D4849" i="5"/>
  <c r="A4874" i="5"/>
  <c r="C4873" i="5"/>
  <c r="A4870" i="5"/>
  <c r="C4870" i="5" s="1"/>
  <c r="C4869" i="5"/>
  <c r="A4866" i="5"/>
  <c r="C4865" i="5"/>
  <c r="A4862" i="5"/>
  <c r="C4861" i="5"/>
  <c r="A4858" i="5"/>
  <c r="A4859" i="5" s="1"/>
  <c r="C4859" i="5" s="1"/>
  <c r="C4857" i="5"/>
  <c r="A4854" i="5"/>
  <c r="A4855" i="5" s="1"/>
  <c r="A4856" i="5" s="1"/>
  <c r="C4856" i="5" s="1"/>
  <c r="C4853" i="5"/>
  <c r="O4850" i="5"/>
  <c r="O4851" i="5" s="1"/>
  <c r="O4852" i="5" s="1"/>
  <c r="O4853" i="5" s="1"/>
  <c r="O4854" i="5" s="1"/>
  <c r="O4855" i="5" s="1"/>
  <c r="O4856" i="5" s="1"/>
  <c r="O4857" i="5" s="1"/>
  <c r="O4858" i="5" s="1"/>
  <c r="O4859" i="5" s="1"/>
  <c r="O4860" i="5" s="1"/>
  <c r="A4850" i="5"/>
  <c r="C4850" i="5" s="1"/>
  <c r="C4849" i="5"/>
  <c r="D4557" i="5"/>
  <c r="D4558" i="5" s="1"/>
  <c r="D4559" i="5" s="1"/>
  <c r="D4560" i="5" s="1"/>
  <c r="D4561" i="5" s="1"/>
  <c r="D4562" i="5" s="1"/>
  <c r="D4563" i="5" s="1"/>
  <c r="C4563" i="5"/>
  <c r="C4562" i="5"/>
  <c r="C4561" i="5"/>
  <c r="B4561" i="5"/>
  <c r="B4562" i="5" s="1"/>
  <c r="B4563" i="5" s="1"/>
  <c r="C4560" i="5"/>
  <c r="C4559" i="5"/>
  <c r="O4558" i="5"/>
  <c r="O4559" i="5" s="1"/>
  <c r="O4560" i="5" s="1"/>
  <c r="O4561" i="5" s="1"/>
  <c r="O4562" i="5" s="1"/>
  <c r="O4563" i="5" s="1"/>
  <c r="C4558" i="5"/>
  <c r="B4558" i="5"/>
  <c r="B4559" i="5" s="1"/>
  <c r="C4557" i="5"/>
  <c r="C4399" i="5"/>
  <c r="C4398" i="5"/>
  <c r="C4397" i="5"/>
  <c r="T4395" i="5"/>
  <c r="C4283" i="5"/>
  <c r="C4282" i="5"/>
  <c r="C4281" i="5"/>
  <c r="T4280" i="5"/>
  <c r="R4276" i="5"/>
  <c r="R4280" i="5" s="1"/>
  <c r="O4280" i="5" s="1"/>
  <c r="A4191" i="5"/>
  <c r="A4190" i="5"/>
  <c r="C4191" i="5"/>
  <c r="C4190" i="5"/>
  <c r="R4189" i="5"/>
  <c r="C4045" i="5"/>
  <c r="C4044" i="5"/>
  <c r="C4043" i="5"/>
  <c r="AM3975" i="5"/>
  <c r="AL3975" i="5"/>
  <c r="AK3975" i="5"/>
  <c r="AM3974" i="5"/>
  <c r="AL3974" i="5"/>
  <c r="AK3974" i="5"/>
  <c r="AM3973" i="5"/>
  <c r="AL3973" i="5"/>
  <c r="AK3973" i="5"/>
  <c r="AM3972" i="5"/>
  <c r="AL3972" i="5"/>
  <c r="AK3972" i="5"/>
  <c r="AM3971" i="5"/>
  <c r="AL3971" i="5"/>
  <c r="AK3971" i="5"/>
  <c r="AM3970" i="5"/>
  <c r="AL3970" i="5"/>
  <c r="AK3970" i="5"/>
  <c r="AM3969" i="5"/>
  <c r="AL3969" i="5"/>
  <c r="AK3969" i="5"/>
  <c r="AM3968" i="5"/>
  <c r="AL3968" i="5"/>
  <c r="AK3968" i="5"/>
  <c r="C3975" i="5"/>
  <c r="C3974" i="5"/>
  <c r="C3973" i="5"/>
  <c r="C3972" i="5"/>
  <c r="C3971" i="5"/>
  <c r="C3970" i="5"/>
  <c r="C3969" i="5"/>
  <c r="C3968" i="5"/>
  <c r="AQ3972" i="5"/>
  <c r="D3972" i="5"/>
  <c r="AQ3968" i="5"/>
  <c r="D3968" i="5"/>
  <c r="V3967" i="5"/>
  <c r="R4013" i="5"/>
  <c r="M4014" i="5"/>
  <c r="L4014" i="5" s="1"/>
  <c r="M4015" i="5"/>
  <c r="L4015" i="5" s="1"/>
  <c r="M4016" i="5"/>
  <c r="L4016" i="5" s="1"/>
  <c r="N3863" i="5"/>
  <c r="M3863" i="5" s="1"/>
  <c r="F3863" i="5" s="1"/>
  <c r="L3863" i="5" s="1"/>
  <c r="C3879" i="5"/>
  <c r="C3878" i="5"/>
  <c r="C3877" i="5"/>
  <c r="C3876" i="5"/>
  <c r="C3875" i="5"/>
  <c r="C3874" i="5"/>
  <c r="C3873" i="5"/>
  <c r="C3872" i="5"/>
  <c r="AM3879" i="5"/>
  <c r="AL3879" i="5"/>
  <c r="AK3879" i="5"/>
  <c r="AM3878" i="5"/>
  <c r="AL3878" i="5"/>
  <c r="AK3878" i="5"/>
  <c r="AM3877" i="5"/>
  <c r="AL3877" i="5"/>
  <c r="AK3877" i="5"/>
  <c r="AM3876" i="5"/>
  <c r="AL3876" i="5"/>
  <c r="AK3876" i="5"/>
  <c r="AM3875" i="5"/>
  <c r="AL3875" i="5"/>
  <c r="AK3875" i="5"/>
  <c r="AM3874" i="5"/>
  <c r="AL3874" i="5"/>
  <c r="AK3874" i="5"/>
  <c r="AM3873" i="5"/>
  <c r="AL3873" i="5"/>
  <c r="AK3873" i="5"/>
  <c r="AM3872" i="5"/>
  <c r="AL3872" i="5"/>
  <c r="AK3872" i="5"/>
  <c r="AQ3876" i="5"/>
  <c r="D3876" i="5"/>
  <c r="AQ3872" i="5"/>
  <c r="D3872" i="5"/>
  <c r="V3871" i="5"/>
  <c r="C3512" i="5"/>
  <c r="C3511" i="5"/>
  <c r="C3510" i="5"/>
  <c r="C3509" i="5"/>
  <c r="C3508" i="5"/>
  <c r="C3507" i="5"/>
  <c r="C3506" i="5"/>
  <c r="C3505" i="5"/>
  <c r="C3504" i="5"/>
  <c r="C3503" i="5"/>
  <c r="C3502" i="5"/>
  <c r="C3501" i="5"/>
  <c r="C3500" i="5"/>
  <c r="C3499" i="5"/>
  <c r="C3498" i="5"/>
  <c r="C3497" i="5"/>
  <c r="C3496" i="5"/>
  <c r="C3495" i="5"/>
  <c r="C3494" i="5"/>
  <c r="C3493" i="5"/>
  <c r="C3492" i="5"/>
  <c r="C3491" i="5"/>
  <c r="C3490" i="5"/>
  <c r="C3489" i="5"/>
  <c r="C3488" i="5"/>
  <c r="C3487" i="5"/>
  <c r="C3486" i="5"/>
  <c r="C3485" i="5"/>
  <c r="C3484" i="5"/>
  <c r="C3483" i="5"/>
  <c r="C3482" i="5"/>
  <c r="C3481" i="5"/>
  <c r="C3480" i="5"/>
  <c r="C3479" i="5"/>
  <c r="C3478" i="5"/>
  <c r="C3477" i="5"/>
  <c r="C3476" i="5"/>
  <c r="C3475" i="5"/>
  <c r="C3474" i="5"/>
  <c r="C3473" i="5"/>
  <c r="C3472" i="5"/>
  <c r="C3471" i="5"/>
  <c r="C3470" i="5"/>
  <c r="C3469" i="5"/>
  <c r="C3468" i="5"/>
  <c r="C3467" i="5"/>
  <c r="C3466" i="5"/>
  <c r="C3465" i="5"/>
  <c r="C3464" i="5"/>
  <c r="C3463" i="5"/>
  <c r="C3462" i="5"/>
  <c r="C3461" i="5"/>
  <c r="C3460" i="5"/>
  <c r="C3459" i="5"/>
  <c r="C3458" i="5"/>
  <c r="C3457" i="5"/>
  <c r="C3456" i="5"/>
  <c r="C3455" i="5"/>
  <c r="C3454" i="5"/>
  <c r="C3453" i="5"/>
  <c r="C3452" i="5"/>
  <c r="C3451" i="5"/>
  <c r="C3450" i="5"/>
  <c r="C3449" i="5"/>
  <c r="C3448" i="5"/>
  <c r="C3447" i="5"/>
  <c r="C3446" i="5"/>
  <c r="C3445" i="5"/>
  <c r="C3444" i="5"/>
  <c r="C3443" i="5"/>
  <c r="C3442" i="5"/>
  <c r="C3441" i="5"/>
  <c r="C3440" i="5"/>
  <c r="N3636" i="5"/>
  <c r="M3636" i="5" s="1"/>
  <c r="F3636" i="5" s="1"/>
  <c r="L3636" i="5" s="1"/>
  <c r="AM3654" i="5"/>
  <c r="AL3654" i="5"/>
  <c r="AK3654" i="5"/>
  <c r="AM3653" i="5"/>
  <c r="AL3653" i="5"/>
  <c r="AK3653" i="5"/>
  <c r="AM3652" i="5"/>
  <c r="AL3652" i="5"/>
  <c r="AK3652" i="5"/>
  <c r="AM3651" i="5"/>
  <c r="AL3651" i="5"/>
  <c r="AK3651" i="5"/>
  <c r="AM3650" i="5"/>
  <c r="AL3650" i="5"/>
  <c r="AK3650" i="5"/>
  <c r="AM3649" i="5"/>
  <c r="AL3649" i="5"/>
  <c r="AK3649" i="5"/>
  <c r="AM3648" i="5"/>
  <c r="AL3648" i="5"/>
  <c r="AK3648" i="5"/>
  <c r="AM3647" i="5"/>
  <c r="AL3647" i="5"/>
  <c r="AK3647" i="5"/>
  <c r="AM3646" i="5"/>
  <c r="AL3646" i="5"/>
  <c r="AK3646" i="5"/>
  <c r="S3635" i="5"/>
  <c r="S3645" i="5" s="1"/>
  <c r="O3645" i="5" s="1"/>
  <c r="AQ3654" i="5"/>
  <c r="D3654" i="5"/>
  <c r="AQ3650" i="5"/>
  <c r="D3650" i="5"/>
  <c r="AQ3646" i="5"/>
  <c r="D3646" i="5"/>
  <c r="V3645" i="5"/>
  <c r="AT3512" i="5"/>
  <c r="AS3512" i="5"/>
  <c r="AR3512" i="5"/>
  <c r="AQ3512" i="5"/>
  <c r="AP3512" i="5"/>
  <c r="AO3512" i="5"/>
  <c r="AN3512" i="5"/>
  <c r="AM3512" i="5"/>
  <c r="AL3512" i="5"/>
  <c r="AK3512" i="5"/>
  <c r="AT3511" i="5"/>
  <c r="AS3511" i="5"/>
  <c r="AR3511" i="5"/>
  <c r="AQ3511" i="5"/>
  <c r="AP3511" i="5"/>
  <c r="AO3511" i="5"/>
  <c r="AN3511" i="5"/>
  <c r="AM3511" i="5"/>
  <c r="AL3511" i="5"/>
  <c r="AK3511" i="5"/>
  <c r="AT3510" i="5"/>
  <c r="AS3510" i="5"/>
  <c r="AR3510" i="5"/>
  <c r="AQ3510" i="5"/>
  <c r="AP3510" i="5"/>
  <c r="AO3510" i="5"/>
  <c r="AN3510" i="5"/>
  <c r="AM3510" i="5"/>
  <c r="AL3510" i="5"/>
  <c r="AK3510" i="5"/>
  <c r="AT3509" i="5"/>
  <c r="AS3509" i="5"/>
  <c r="AR3509" i="5"/>
  <c r="AQ3509" i="5"/>
  <c r="AP3509" i="5"/>
  <c r="AO3509" i="5"/>
  <c r="AN3509" i="5"/>
  <c r="AM3509" i="5"/>
  <c r="AL3509" i="5"/>
  <c r="AK3509" i="5"/>
  <c r="AT3508" i="5"/>
  <c r="AS3508" i="5"/>
  <c r="AR3508" i="5"/>
  <c r="AQ3508" i="5"/>
  <c r="AP3508" i="5"/>
  <c r="AO3508" i="5"/>
  <c r="AN3508" i="5"/>
  <c r="AM3508" i="5"/>
  <c r="AL3508" i="5"/>
  <c r="AK3508" i="5"/>
  <c r="AT3507" i="5"/>
  <c r="AS3507" i="5"/>
  <c r="AR3507" i="5"/>
  <c r="AQ3507" i="5"/>
  <c r="AP3507" i="5"/>
  <c r="AO3507" i="5"/>
  <c r="AN3507" i="5"/>
  <c r="AM3507" i="5"/>
  <c r="AL3507" i="5"/>
  <c r="AK3507" i="5"/>
  <c r="AT3506" i="5"/>
  <c r="AS3506" i="5"/>
  <c r="AR3506" i="5"/>
  <c r="AQ3506" i="5"/>
  <c r="AP3506" i="5"/>
  <c r="AO3506" i="5"/>
  <c r="AN3506" i="5"/>
  <c r="AM3506" i="5"/>
  <c r="AL3506" i="5"/>
  <c r="AK3506" i="5"/>
  <c r="AT3505" i="5"/>
  <c r="AS3505" i="5"/>
  <c r="AR3505" i="5"/>
  <c r="AQ3505" i="5"/>
  <c r="AP3505" i="5"/>
  <c r="AO3505" i="5"/>
  <c r="AN3505" i="5"/>
  <c r="AM3505" i="5"/>
  <c r="AL3505" i="5"/>
  <c r="AK3505" i="5"/>
  <c r="AT3504" i="5"/>
  <c r="AS3504" i="5"/>
  <c r="AR3504" i="5"/>
  <c r="AQ3504" i="5"/>
  <c r="AP3504" i="5"/>
  <c r="AO3504" i="5"/>
  <c r="AN3504" i="5"/>
  <c r="AM3504" i="5"/>
  <c r="AL3504" i="5"/>
  <c r="AK3504" i="5"/>
  <c r="AT3503" i="5"/>
  <c r="AS3503" i="5"/>
  <c r="AR3503" i="5"/>
  <c r="AQ3503" i="5"/>
  <c r="AP3503" i="5"/>
  <c r="AO3503" i="5"/>
  <c r="AN3503" i="5"/>
  <c r="AM3503" i="5"/>
  <c r="AL3503" i="5"/>
  <c r="AK3503" i="5"/>
  <c r="AT3502" i="5"/>
  <c r="AS3502" i="5"/>
  <c r="AR3502" i="5"/>
  <c r="AQ3502" i="5"/>
  <c r="AP3502" i="5"/>
  <c r="AO3502" i="5"/>
  <c r="AN3502" i="5"/>
  <c r="AM3502" i="5"/>
  <c r="AL3502" i="5"/>
  <c r="AK3502" i="5"/>
  <c r="AT3501" i="5"/>
  <c r="AS3501" i="5"/>
  <c r="AR3501" i="5"/>
  <c r="AQ3501" i="5"/>
  <c r="AP3501" i="5"/>
  <c r="AO3501" i="5"/>
  <c r="AN3501" i="5"/>
  <c r="AM3501" i="5"/>
  <c r="AL3501" i="5"/>
  <c r="AK3501" i="5"/>
  <c r="AT3500" i="5"/>
  <c r="AS3500" i="5"/>
  <c r="AR3500" i="5"/>
  <c r="AQ3500" i="5"/>
  <c r="AP3500" i="5"/>
  <c r="AO3500" i="5"/>
  <c r="AN3500" i="5"/>
  <c r="AM3500" i="5"/>
  <c r="AL3500" i="5"/>
  <c r="AK3500" i="5"/>
  <c r="AT3499" i="5"/>
  <c r="AS3499" i="5"/>
  <c r="AR3499" i="5"/>
  <c r="AQ3499" i="5"/>
  <c r="AP3499" i="5"/>
  <c r="AO3499" i="5"/>
  <c r="AN3499" i="5"/>
  <c r="AM3499" i="5"/>
  <c r="AL3499" i="5"/>
  <c r="AK3499" i="5"/>
  <c r="AT3498" i="5"/>
  <c r="AS3498" i="5"/>
  <c r="AR3498" i="5"/>
  <c r="AQ3498" i="5"/>
  <c r="AP3498" i="5"/>
  <c r="AO3498" i="5"/>
  <c r="AN3498" i="5"/>
  <c r="AM3498" i="5"/>
  <c r="AL3498" i="5"/>
  <c r="AK3498" i="5"/>
  <c r="AT3497" i="5"/>
  <c r="AS3497" i="5"/>
  <c r="AR3497" i="5"/>
  <c r="AQ3497" i="5"/>
  <c r="AP3497" i="5"/>
  <c r="AO3497" i="5"/>
  <c r="AN3497" i="5"/>
  <c r="AM3497" i="5"/>
  <c r="AL3497" i="5"/>
  <c r="AK3497" i="5"/>
  <c r="AT3496" i="5"/>
  <c r="AS3496" i="5"/>
  <c r="AR3496" i="5"/>
  <c r="AQ3496" i="5"/>
  <c r="AP3496" i="5"/>
  <c r="AO3496" i="5"/>
  <c r="AN3496" i="5"/>
  <c r="AM3496" i="5"/>
  <c r="AL3496" i="5"/>
  <c r="AK3496" i="5"/>
  <c r="AT3495" i="5"/>
  <c r="AS3495" i="5"/>
  <c r="AR3495" i="5"/>
  <c r="AQ3495" i="5"/>
  <c r="AP3495" i="5"/>
  <c r="AO3495" i="5"/>
  <c r="AN3495" i="5"/>
  <c r="AM3495" i="5"/>
  <c r="AL3495" i="5"/>
  <c r="AK3495" i="5"/>
  <c r="AT3494" i="5"/>
  <c r="AS3494" i="5"/>
  <c r="AR3494" i="5"/>
  <c r="AQ3494" i="5"/>
  <c r="AP3494" i="5"/>
  <c r="AO3494" i="5"/>
  <c r="AN3494" i="5"/>
  <c r="AM3494" i="5"/>
  <c r="AL3494" i="5"/>
  <c r="AK3494" i="5"/>
  <c r="AT3493" i="5"/>
  <c r="AS3493" i="5"/>
  <c r="AR3493" i="5"/>
  <c r="AQ3493" i="5"/>
  <c r="AP3493" i="5"/>
  <c r="AO3493" i="5"/>
  <c r="AN3493" i="5"/>
  <c r="AM3493" i="5"/>
  <c r="AL3493" i="5"/>
  <c r="AK3493" i="5"/>
  <c r="AT3492" i="5"/>
  <c r="AS3492" i="5"/>
  <c r="AR3492" i="5"/>
  <c r="AQ3492" i="5"/>
  <c r="AP3492" i="5"/>
  <c r="AO3492" i="5"/>
  <c r="AN3492" i="5"/>
  <c r="AM3492" i="5"/>
  <c r="AL3492" i="5"/>
  <c r="AK3492" i="5"/>
  <c r="AT3491" i="5"/>
  <c r="AS3491" i="5"/>
  <c r="AR3491" i="5"/>
  <c r="AQ3491" i="5"/>
  <c r="AP3491" i="5"/>
  <c r="AO3491" i="5"/>
  <c r="AN3491" i="5"/>
  <c r="AM3491" i="5"/>
  <c r="AL3491" i="5"/>
  <c r="AK3491" i="5"/>
  <c r="AT3490" i="5"/>
  <c r="AS3490" i="5"/>
  <c r="AR3490" i="5"/>
  <c r="AQ3490" i="5"/>
  <c r="AP3490" i="5"/>
  <c r="AO3490" i="5"/>
  <c r="AN3490" i="5"/>
  <c r="AM3490" i="5"/>
  <c r="AL3490" i="5"/>
  <c r="AK3490" i="5"/>
  <c r="AT3489" i="5"/>
  <c r="AS3489" i="5"/>
  <c r="AR3489" i="5"/>
  <c r="AQ3489" i="5"/>
  <c r="AP3489" i="5"/>
  <c r="AO3489" i="5"/>
  <c r="AN3489" i="5"/>
  <c r="AM3489" i="5"/>
  <c r="AL3489" i="5"/>
  <c r="AK3489" i="5"/>
  <c r="AT3488" i="5"/>
  <c r="AS3488" i="5"/>
  <c r="AR3488" i="5"/>
  <c r="AQ3488" i="5"/>
  <c r="AP3488" i="5"/>
  <c r="AO3488" i="5"/>
  <c r="AN3488" i="5"/>
  <c r="AM3488" i="5"/>
  <c r="AL3488" i="5"/>
  <c r="AK3488" i="5"/>
  <c r="AT3487" i="5"/>
  <c r="AS3487" i="5"/>
  <c r="AR3487" i="5"/>
  <c r="AQ3487" i="5"/>
  <c r="AP3487" i="5"/>
  <c r="AO3487" i="5"/>
  <c r="AN3487" i="5"/>
  <c r="AM3487" i="5"/>
  <c r="AL3487" i="5"/>
  <c r="AK3487" i="5"/>
  <c r="AT3486" i="5"/>
  <c r="AS3486" i="5"/>
  <c r="AR3486" i="5"/>
  <c r="AQ3486" i="5"/>
  <c r="AP3486" i="5"/>
  <c r="AO3486" i="5"/>
  <c r="AN3486" i="5"/>
  <c r="AM3486" i="5"/>
  <c r="AL3486" i="5"/>
  <c r="AK3486" i="5"/>
  <c r="AT3485" i="5"/>
  <c r="AS3485" i="5"/>
  <c r="AR3485" i="5"/>
  <c r="AQ3485" i="5"/>
  <c r="AP3485" i="5"/>
  <c r="AO3485" i="5"/>
  <c r="AN3485" i="5"/>
  <c r="AM3485" i="5"/>
  <c r="AL3485" i="5"/>
  <c r="AK3485" i="5"/>
  <c r="AT3484" i="5"/>
  <c r="AS3484" i="5"/>
  <c r="AR3484" i="5"/>
  <c r="AQ3484" i="5"/>
  <c r="AP3484" i="5"/>
  <c r="AO3484" i="5"/>
  <c r="AN3484" i="5"/>
  <c r="AM3484" i="5"/>
  <c r="AL3484" i="5"/>
  <c r="AK3484" i="5"/>
  <c r="AT3483" i="5"/>
  <c r="AS3483" i="5"/>
  <c r="AR3483" i="5"/>
  <c r="AQ3483" i="5"/>
  <c r="AP3483" i="5"/>
  <c r="AO3483" i="5"/>
  <c r="AN3483" i="5"/>
  <c r="AM3483" i="5"/>
  <c r="AL3483" i="5"/>
  <c r="AK3483" i="5"/>
  <c r="AT3482" i="5"/>
  <c r="AS3482" i="5"/>
  <c r="AR3482" i="5"/>
  <c r="AQ3482" i="5"/>
  <c r="AP3482" i="5"/>
  <c r="AO3482" i="5"/>
  <c r="AN3482" i="5"/>
  <c r="AM3482" i="5"/>
  <c r="AL3482" i="5"/>
  <c r="AK3482" i="5"/>
  <c r="AT3481" i="5"/>
  <c r="AS3481" i="5"/>
  <c r="AR3481" i="5"/>
  <c r="AQ3481" i="5"/>
  <c r="AP3481" i="5"/>
  <c r="AO3481" i="5"/>
  <c r="AN3481" i="5"/>
  <c r="AM3481" i="5"/>
  <c r="AL3481" i="5"/>
  <c r="AK3481" i="5"/>
  <c r="AT3480" i="5"/>
  <c r="AS3480" i="5"/>
  <c r="AR3480" i="5"/>
  <c r="AQ3480" i="5"/>
  <c r="AP3480" i="5"/>
  <c r="AO3480" i="5"/>
  <c r="AN3480" i="5"/>
  <c r="AM3480" i="5"/>
  <c r="AL3480" i="5"/>
  <c r="AK3480" i="5"/>
  <c r="AT3479" i="5"/>
  <c r="AS3479" i="5"/>
  <c r="AR3479" i="5"/>
  <c r="AQ3479" i="5"/>
  <c r="AP3479" i="5"/>
  <c r="AO3479" i="5"/>
  <c r="AN3479" i="5"/>
  <c r="AM3479" i="5"/>
  <c r="AL3479" i="5"/>
  <c r="AK3479" i="5"/>
  <c r="AT3478" i="5"/>
  <c r="AS3478" i="5"/>
  <c r="AR3478" i="5"/>
  <c r="AQ3478" i="5"/>
  <c r="AP3478" i="5"/>
  <c r="AO3478" i="5"/>
  <c r="AN3478" i="5"/>
  <c r="AM3478" i="5"/>
  <c r="AL3478" i="5"/>
  <c r="AK3478" i="5"/>
  <c r="AT3477" i="5"/>
  <c r="AS3477" i="5"/>
  <c r="AR3477" i="5"/>
  <c r="AQ3477" i="5"/>
  <c r="AP3477" i="5"/>
  <c r="AO3477" i="5"/>
  <c r="AN3477" i="5"/>
  <c r="AM3477" i="5"/>
  <c r="AL3477" i="5"/>
  <c r="AK3477" i="5"/>
  <c r="AT3476" i="5"/>
  <c r="AS3476" i="5"/>
  <c r="AR3476" i="5"/>
  <c r="AQ3476" i="5"/>
  <c r="AP3476" i="5"/>
  <c r="AO3476" i="5"/>
  <c r="AN3476" i="5"/>
  <c r="AM3476" i="5"/>
  <c r="AL3476" i="5"/>
  <c r="AK3476" i="5"/>
  <c r="AT3475" i="5"/>
  <c r="AS3475" i="5"/>
  <c r="AR3475" i="5"/>
  <c r="AQ3475" i="5"/>
  <c r="AP3475" i="5"/>
  <c r="AO3475" i="5"/>
  <c r="AN3475" i="5"/>
  <c r="AM3475" i="5"/>
  <c r="AL3475" i="5"/>
  <c r="AK3475" i="5"/>
  <c r="AT3474" i="5"/>
  <c r="AS3474" i="5"/>
  <c r="AR3474" i="5"/>
  <c r="AQ3474" i="5"/>
  <c r="AP3474" i="5"/>
  <c r="AO3474" i="5"/>
  <c r="AN3474" i="5"/>
  <c r="AM3474" i="5"/>
  <c r="AL3474" i="5"/>
  <c r="AK3474" i="5"/>
  <c r="AT3473" i="5"/>
  <c r="AS3473" i="5"/>
  <c r="AR3473" i="5"/>
  <c r="AQ3473" i="5"/>
  <c r="AP3473" i="5"/>
  <c r="AO3473" i="5"/>
  <c r="AN3473" i="5"/>
  <c r="AM3473" i="5"/>
  <c r="AL3473" i="5"/>
  <c r="AK3473" i="5"/>
  <c r="AT3472" i="5"/>
  <c r="AS3472" i="5"/>
  <c r="AR3472" i="5"/>
  <c r="AQ3472" i="5"/>
  <c r="AP3472" i="5"/>
  <c r="AO3472" i="5"/>
  <c r="AN3472" i="5"/>
  <c r="AM3472" i="5"/>
  <c r="AL3472" i="5"/>
  <c r="AK3472" i="5"/>
  <c r="AT3471" i="5"/>
  <c r="AS3471" i="5"/>
  <c r="AR3471" i="5"/>
  <c r="AQ3471" i="5"/>
  <c r="AP3471" i="5"/>
  <c r="AO3471" i="5"/>
  <c r="AN3471" i="5"/>
  <c r="AM3471" i="5"/>
  <c r="AL3471" i="5"/>
  <c r="AK3471" i="5"/>
  <c r="AT3470" i="5"/>
  <c r="AS3470" i="5"/>
  <c r="AR3470" i="5"/>
  <c r="AQ3470" i="5"/>
  <c r="AP3470" i="5"/>
  <c r="AO3470" i="5"/>
  <c r="AN3470" i="5"/>
  <c r="AM3470" i="5"/>
  <c r="AL3470" i="5"/>
  <c r="AK3470" i="5"/>
  <c r="AT3469" i="5"/>
  <c r="AS3469" i="5"/>
  <c r="AR3469" i="5"/>
  <c r="AQ3469" i="5"/>
  <c r="AP3469" i="5"/>
  <c r="AO3469" i="5"/>
  <c r="AN3469" i="5"/>
  <c r="AM3469" i="5"/>
  <c r="AL3469" i="5"/>
  <c r="AK3469" i="5"/>
  <c r="AT3468" i="5"/>
  <c r="AS3468" i="5"/>
  <c r="AR3468" i="5"/>
  <c r="AQ3468" i="5"/>
  <c r="AP3468" i="5"/>
  <c r="AO3468" i="5"/>
  <c r="AN3468" i="5"/>
  <c r="AM3468" i="5"/>
  <c r="AL3468" i="5"/>
  <c r="AK3468" i="5"/>
  <c r="AT3467" i="5"/>
  <c r="AS3467" i="5"/>
  <c r="AR3467" i="5"/>
  <c r="AQ3467" i="5"/>
  <c r="AP3467" i="5"/>
  <c r="AO3467" i="5"/>
  <c r="AN3467" i="5"/>
  <c r="AM3467" i="5"/>
  <c r="AL3467" i="5"/>
  <c r="AK3467" i="5"/>
  <c r="AT3466" i="5"/>
  <c r="AS3466" i="5"/>
  <c r="AR3466" i="5"/>
  <c r="AQ3466" i="5"/>
  <c r="AP3466" i="5"/>
  <c r="AO3466" i="5"/>
  <c r="AN3466" i="5"/>
  <c r="AM3466" i="5"/>
  <c r="AL3466" i="5"/>
  <c r="AK3466" i="5"/>
  <c r="AT3465" i="5"/>
  <c r="AS3465" i="5"/>
  <c r="AR3465" i="5"/>
  <c r="AQ3465" i="5"/>
  <c r="AP3465" i="5"/>
  <c r="AO3465" i="5"/>
  <c r="AN3465" i="5"/>
  <c r="AM3465" i="5"/>
  <c r="AL3465" i="5"/>
  <c r="AK3465" i="5"/>
  <c r="AT3464" i="5"/>
  <c r="AS3464" i="5"/>
  <c r="AR3464" i="5"/>
  <c r="AQ3464" i="5"/>
  <c r="AP3464" i="5"/>
  <c r="AO3464" i="5"/>
  <c r="AN3464" i="5"/>
  <c r="AM3464" i="5"/>
  <c r="AL3464" i="5"/>
  <c r="AK3464" i="5"/>
  <c r="AT3463" i="5"/>
  <c r="AS3463" i="5"/>
  <c r="AR3463" i="5"/>
  <c r="AQ3463" i="5"/>
  <c r="AP3463" i="5"/>
  <c r="AO3463" i="5"/>
  <c r="AN3463" i="5"/>
  <c r="AM3463" i="5"/>
  <c r="AL3463" i="5"/>
  <c r="AK3463" i="5"/>
  <c r="AT3462" i="5"/>
  <c r="AS3462" i="5"/>
  <c r="AR3462" i="5"/>
  <c r="AQ3462" i="5"/>
  <c r="AP3462" i="5"/>
  <c r="AO3462" i="5"/>
  <c r="AN3462" i="5"/>
  <c r="AM3462" i="5"/>
  <c r="AL3462" i="5"/>
  <c r="AK3462" i="5"/>
  <c r="AT3461" i="5"/>
  <c r="AS3461" i="5"/>
  <c r="AR3461" i="5"/>
  <c r="AQ3461" i="5"/>
  <c r="AP3461" i="5"/>
  <c r="AO3461" i="5"/>
  <c r="AN3461" i="5"/>
  <c r="AM3461" i="5"/>
  <c r="AL3461" i="5"/>
  <c r="AK3461" i="5"/>
  <c r="AT3460" i="5"/>
  <c r="AS3460" i="5"/>
  <c r="AR3460" i="5"/>
  <c r="AQ3460" i="5"/>
  <c r="AP3460" i="5"/>
  <c r="AO3460" i="5"/>
  <c r="AN3460" i="5"/>
  <c r="AM3460" i="5"/>
  <c r="AL3460" i="5"/>
  <c r="AK3460" i="5"/>
  <c r="AT3459" i="5"/>
  <c r="AS3459" i="5"/>
  <c r="AR3459" i="5"/>
  <c r="AQ3459" i="5"/>
  <c r="AP3459" i="5"/>
  <c r="AO3459" i="5"/>
  <c r="AN3459" i="5"/>
  <c r="AM3459" i="5"/>
  <c r="AL3459" i="5"/>
  <c r="AK3459" i="5"/>
  <c r="AT3458" i="5"/>
  <c r="AS3458" i="5"/>
  <c r="AR3458" i="5"/>
  <c r="AQ3458" i="5"/>
  <c r="AP3458" i="5"/>
  <c r="AO3458" i="5"/>
  <c r="AN3458" i="5"/>
  <c r="AM3458" i="5"/>
  <c r="AL3458" i="5"/>
  <c r="AK3458" i="5"/>
  <c r="AT3457" i="5"/>
  <c r="AS3457" i="5"/>
  <c r="AR3457" i="5"/>
  <c r="AQ3457" i="5"/>
  <c r="AP3457" i="5"/>
  <c r="AO3457" i="5"/>
  <c r="AN3457" i="5"/>
  <c r="AM3457" i="5"/>
  <c r="AL3457" i="5"/>
  <c r="AK3457" i="5"/>
  <c r="AT3456" i="5"/>
  <c r="AS3456" i="5"/>
  <c r="AR3456" i="5"/>
  <c r="AQ3456" i="5"/>
  <c r="AP3456" i="5"/>
  <c r="AO3456" i="5"/>
  <c r="AN3456" i="5"/>
  <c r="AM3456" i="5"/>
  <c r="AL3456" i="5"/>
  <c r="AK3456" i="5"/>
  <c r="AT3455" i="5"/>
  <c r="AS3455" i="5"/>
  <c r="AR3455" i="5"/>
  <c r="AQ3455" i="5"/>
  <c r="AP3455" i="5"/>
  <c r="AO3455" i="5"/>
  <c r="AN3455" i="5"/>
  <c r="AM3455" i="5"/>
  <c r="AL3455" i="5"/>
  <c r="AK3455" i="5"/>
  <c r="AT3454" i="5"/>
  <c r="AS3454" i="5"/>
  <c r="AR3454" i="5"/>
  <c r="AQ3454" i="5"/>
  <c r="AP3454" i="5"/>
  <c r="AO3454" i="5"/>
  <c r="AN3454" i="5"/>
  <c r="AM3454" i="5"/>
  <c r="AL3454" i="5"/>
  <c r="AK3454" i="5"/>
  <c r="AT3453" i="5"/>
  <c r="AS3453" i="5"/>
  <c r="AR3453" i="5"/>
  <c r="AQ3453" i="5"/>
  <c r="AP3453" i="5"/>
  <c r="AO3453" i="5"/>
  <c r="AN3453" i="5"/>
  <c r="AM3453" i="5"/>
  <c r="AL3453" i="5"/>
  <c r="AK3453" i="5"/>
  <c r="AT3452" i="5"/>
  <c r="AS3452" i="5"/>
  <c r="AR3452" i="5"/>
  <c r="AQ3452" i="5"/>
  <c r="AP3452" i="5"/>
  <c r="AO3452" i="5"/>
  <c r="AN3452" i="5"/>
  <c r="AM3452" i="5"/>
  <c r="AL3452" i="5"/>
  <c r="AK3452" i="5"/>
  <c r="AT3451" i="5"/>
  <c r="AS3451" i="5"/>
  <c r="AR3451" i="5"/>
  <c r="AQ3451" i="5"/>
  <c r="AP3451" i="5"/>
  <c r="AO3451" i="5"/>
  <c r="AN3451" i="5"/>
  <c r="AM3451" i="5"/>
  <c r="AL3451" i="5"/>
  <c r="AK3451" i="5"/>
  <c r="AT3450" i="5"/>
  <c r="AS3450" i="5"/>
  <c r="AR3450" i="5"/>
  <c r="AQ3450" i="5"/>
  <c r="AP3450" i="5"/>
  <c r="AO3450" i="5"/>
  <c r="AN3450" i="5"/>
  <c r="AM3450" i="5"/>
  <c r="AL3450" i="5"/>
  <c r="AK3450" i="5"/>
  <c r="AT3449" i="5"/>
  <c r="AS3449" i="5"/>
  <c r="AR3449" i="5"/>
  <c r="AQ3449" i="5"/>
  <c r="AP3449" i="5"/>
  <c r="AO3449" i="5"/>
  <c r="AN3449" i="5"/>
  <c r="AM3449" i="5"/>
  <c r="AL3449" i="5"/>
  <c r="AK3449" i="5"/>
  <c r="AT3448" i="5"/>
  <c r="AS3448" i="5"/>
  <c r="AR3448" i="5"/>
  <c r="AQ3448" i="5"/>
  <c r="AP3448" i="5"/>
  <c r="AO3448" i="5"/>
  <c r="AN3448" i="5"/>
  <c r="AM3448" i="5"/>
  <c r="AL3448" i="5"/>
  <c r="AK3448" i="5"/>
  <c r="AT3447" i="5"/>
  <c r="AS3447" i="5"/>
  <c r="AR3447" i="5"/>
  <c r="AQ3447" i="5"/>
  <c r="AP3447" i="5"/>
  <c r="AO3447" i="5"/>
  <c r="AN3447" i="5"/>
  <c r="AM3447" i="5"/>
  <c r="AL3447" i="5"/>
  <c r="AK3447" i="5"/>
  <c r="AT3446" i="5"/>
  <c r="AS3446" i="5"/>
  <c r="AR3446" i="5"/>
  <c r="AQ3446" i="5"/>
  <c r="AP3446" i="5"/>
  <c r="AO3446" i="5"/>
  <c r="AN3446" i="5"/>
  <c r="AM3446" i="5"/>
  <c r="AL3446" i="5"/>
  <c r="AK3446" i="5"/>
  <c r="AT3445" i="5"/>
  <c r="AS3445" i="5"/>
  <c r="AR3445" i="5"/>
  <c r="AQ3445" i="5"/>
  <c r="AP3445" i="5"/>
  <c r="AO3445" i="5"/>
  <c r="AN3445" i="5"/>
  <c r="AM3445" i="5"/>
  <c r="AL3445" i="5"/>
  <c r="AK3445" i="5"/>
  <c r="AT3444" i="5"/>
  <c r="AS3444" i="5"/>
  <c r="AR3444" i="5"/>
  <c r="AQ3444" i="5"/>
  <c r="AP3444" i="5"/>
  <c r="AO3444" i="5"/>
  <c r="AN3444" i="5"/>
  <c r="AM3444" i="5"/>
  <c r="AL3444" i="5"/>
  <c r="AK3444" i="5"/>
  <c r="AT3443" i="5"/>
  <c r="AS3443" i="5"/>
  <c r="AR3443" i="5"/>
  <c r="AQ3443" i="5"/>
  <c r="AP3443" i="5"/>
  <c r="AO3443" i="5"/>
  <c r="AS3440" i="5"/>
  <c r="AR3440" i="5"/>
  <c r="AQ3440" i="5"/>
  <c r="AP3440" i="5"/>
  <c r="AO3440" i="5"/>
  <c r="AN3443" i="5"/>
  <c r="AM3443" i="5"/>
  <c r="AL3443" i="5"/>
  <c r="AK3443" i="5"/>
  <c r="AT3442" i="5"/>
  <c r="AS3442" i="5"/>
  <c r="AR3442" i="5"/>
  <c r="AQ3442" i="5"/>
  <c r="AP3442" i="5"/>
  <c r="AO3442" i="5"/>
  <c r="AN3442" i="5"/>
  <c r="AM3442" i="5"/>
  <c r="AL3442" i="5"/>
  <c r="AK3442" i="5"/>
  <c r="AT3441" i="5"/>
  <c r="AS3441" i="5"/>
  <c r="AR3441" i="5"/>
  <c r="AQ3441" i="5"/>
  <c r="AP3441" i="5"/>
  <c r="AO3441" i="5"/>
  <c r="AT3440" i="5"/>
  <c r="AN3441" i="5"/>
  <c r="AM3441" i="5"/>
  <c r="AL3441" i="5"/>
  <c r="AK3441" i="5"/>
  <c r="AN3440" i="5"/>
  <c r="AM3440" i="5"/>
  <c r="AL3440" i="5"/>
  <c r="AK3440" i="5"/>
  <c r="AX3512" i="5"/>
  <c r="D3512" i="5"/>
  <c r="AX3492" i="5"/>
  <c r="D3492" i="5"/>
  <c r="AX3472" i="5"/>
  <c r="D3472" i="5"/>
  <c r="AX3456" i="5"/>
  <c r="D3456" i="5"/>
  <c r="AX3440" i="5"/>
  <c r="D3440" i="5"/>
  <c r="AC3439" i="5"/>
  <c r="M3435" i="5"/>
  <c r="AZ1700" i="5"/>
  <c r="AY1700" i="5"/>
  <c r="AW1700" i="5"/>
  <c r="AX1700" i="5" s="1"/>
  <c r="AU1700" i="5"/>
  <c r="AV1700" i="5" s="1"/>
  <c r="AR1700" i="5"/>
  <c r="AN1700" i="5"/>
  <c r="AO1700" i="5"/>
  <c r="AL1700" i="5"/>
  <c r="AK1700" i="5"/>
  <c r="AJ1700" i="5"/>
  <c r="AI1700" i="5"/>
  <c r="AZ1707" i="5"/>
  <c r="AY1707" i="5"/>
  <c r="AW1707" i="5"/>
  <c r="AX1707" i="5" s="1"/>
  <c r="AU1707" i="5"/>
  <c r="AV1707" i="5" s="1"/>
  <c r="AR1707" i="5"/>
  <c r="AN1707" i="5"/>
  <c r="AO1707" i="5"/>
  <c r="AL1707" i="5"/>
  <c r="AK1707" i="5"/>
  <c r="AJ1707" i="5"/>
  <c r="AI1707" i="5"/>
  <c r="AZ1710" i="5"/>
  <c r="AY1710" i="5"/>
  <c r="AW1710" i="5"/>
  <c r="AX1710" i="5" s="1"/>
  <c r="AU1710" i="5"/>
  <c r="AV1710" i="5" s="1"/>
  <c r="AR1710" i="5"/>
  <c r="AT1710" i="5" s="1"/>
  <c r="AN1710" i="5"/>
  <c r="AO1710" i="5"/>
  <c r="AL1710" i="5"/>
  <c r="AK1710" i="5"/>
  <c r="AJ1710" i="5"/>
  <c r="AI1710" i="5"/>
  <c r="AZ1706" i="5"/>
  <c r="AY1706" i="5"/>
  <c r="AW1706" i="5"/>
  <c r="AX1706" i="5" s="1"/>
  <c r="AU1706" i="5"/>
  <c r="AV1706" i="5" s="1"/>
  <c r="AR1706" i="5"/>
  <c r="AN1706" i="5"/>
  <c r="AO1706" i="5"/>
  <c r="AL1706" i="5"/>
  <c r="AK1706" i="5"/>
  <c r="AJ1706" i="5"/>
  <c r="AI1706" i="5"/>
  <c r="AZ1699" i="5"/>
  <c r="AY1699" i="5"/>
  <c r="AW1699" i="5"/>
  <c r="AX1699" i="5" s="1"/>
  <c r="AU1699" i="5"/>
  <c r="AV1699" i="5" s="1"/>
  <c r="AR1699" i="5"/>
  <c r="AT1699" i="5" s="1"/>
  <c r="AN1699" i="5"/>
  <c r="AO1699" i="5"/>
  <c r="AL1699" i="5"/>
  <c r="AK1699" i="5"/>
  <c r="AJ1699" i="5"/>
  <c r="AI1699" i="5"/>
  <c r="T1310" i="5"/>
  <c r="AH1694" i="5"/>
  <c r="AW1694" i="5"/>
  <c r="AX1694" i="5" s="1"/>
  <c r="AU1694" i="5"/>
  <c r="AV1694" i="5" s="1"/>
  <c r="AR1694" i="5"/>
  <c r="AN1694" i="5"/>
  <c r="AO1694" i="5"/>
  <c r="AP1694" i="5"/>
  <c r="M1689" i="5"/>
  <c r="F1689" i="5" s="1"/>
  <c r="AH1689" i="5"/>
  <c r="AZ1689" i="5" s="1"/>
  <c r="U99" i="5"/>
  <c r="T99" i="5"/>
  <c r="F104" i="5" s="1"/>
  <c r="S99" i="5"/>
  <c r="R99" i="5"/>
  <c r="Q99" i="5"/>
  <c r="P99" i="5"/>
  <c r="P114" i="5" s="1"/>
  <c r="F115" i="5" s="1"/>
  <c r="O99" i="5"/>
  <c r="O114" i="5" s="1"/>
  <c r="F114" i="5" s="1"/>
  <c r="O4801" i="5"/>
  <c r="O4802" i="5" s="1"/>
  <c r="O4764" i="5"/>
  <c r="O4765" i="5" s="1"/>
  <c r="O4766" i="5" s="1"/>
  <c r="O4767" i="5" s="1"/>
  <c r="O4768" i="5" s="1"/>
  <c r="O4545" i="5"/>
  <c r="O4546" i="5" s="1"/>
  <c r="O4547" i="5" s="1"/>
  <c r="O4548" i="5" s="1"/>
  <c r="O4549" i="5" s="1"/>
  <c r="O4550" i="5" s="1"/>
  <c r="O4551" i="5" s="1"/>
  <c r="O4552" i="5" s="1"/>
  <c r="O4553" i="5" s="1"/>
  <c r="O4554" i="5" s="1"/>
  <c r="O4555" i="5" s="1"/>
  <c r="O4535" i="5"/>
  <c r="O4536" i="5" s="1"/>
  <c r="O4537" i="5" s="1"/>
  <c r="O4538" i="5" s="1"/>
  <c r="O4539" i="5" s="1"/>
  <c r="O4540" i="5" s="1"/>
  <c r="O4541" i="5" s="1"/>
  <c r="O4542" i="5" s="1"/>
  <c r="N4279" i="5"/>
  <c r="N4277" i="5"/>
  <c r="M4275" i="5"/>
  <c r="F4275" i="5" s="1"/>
  <c r="L4275" i="5" s="1"/>
  <c r="M4273" i="5"/>
  <c r="F4273" i="5" s="1"/>
  <c r="L4273" i="5" s="1"/>
  <c r="AC3360" i="5"/>
  <c r="V3853" i="5"/>
  <c r="V3949" i="5"/>
  <c r="M4184" i="5"/>
  <c r="F4184" i="5" s="1"/>
  <c r="L4184" i="5" s="1"/>
  <c r="M4185" i="5"/>
  <c r="F4185" i="5" s="1"/>
  <c r="L4185" i="5" s="1"/>
  <c r="C3966" i="5"/>
  <c r="C3965" i="5"/>
  <c r="C3964" i="5"/>
  <c r="C3963" i="5"/>
  <c r="C3962" i="5"/>
  <c r="C3961" i="5"/>
  <c r="C3960" i="5"/>
  <c r="C3959" i="5"/>
  <c r="C3957" i="5"/>
  <c r="C3956" i="5"/>
  <c r="C3955" i="5"/>
  <c r="C3954" i="5"/>
  <c r="C3953" i="5"/>
  <c r="C3952" i="5"/>
  <c r="C3951" i="5"/>
  <c r="C3950" i="5"/>
  <c r="C3861" i="5"/>
  <c r="C3860" i="5"/>
  <c r="C3859" i="5"/>
  <c r="C3858" i="5"/>
  <c r="C3857" i="5"/>
  <c r="C3856" i="5"/>
  <c r="C3855" i="5"/>
  <c r="C3854" i="5"/>
  <c r="M3356" i="5"/>
  <c r="Z3360" i="5"/>
  <c r="V3360" i="5" s="1"/>
  <c r="AA3360" i="5"/>
  <c r="AA3439" i="5" s="1"/>
  <c r="W3439" i="5" s="1"/>
  <c r="AB3360" i="5"/>
  <c r="X3360" i="5" s="1"/>
  <c r="C4395" i="5"/>
  <c r="C4394" i="5"/>
  <c r="C4393" i="5"/>
  <c r="C4279" i="5"/>
  <c r="C4278" i="5"/>
  <c r="C4277" i="5"/>
  <c r="N4431" i="5"/>
  <c r="N4435" i="5" s="1"/>
  <c r="M4435" i="5" s="1"/>
  <c r="F4436" i="5" s="1"/>
  <c r="N4430" i="5"/>
  <c r="N4429" i="5"/>
  <c r="M4427" i="5"/>
  <c r="F4428" i="5" s="1"/>
  <c r="M4426" i="5"/>
  <c r="F4427" i="5" s="1"/>
  <c r="M4425" i="5"/>
  <c r="F4426" i="5" s="1"/>
  <c r="S4391" i="5"/>
  <c r="S4395" i="5" s="1"/>
  <c r="P4395" i="5" s="1"/>
  <c r="R4391" i="5"/>
  <c r="O4391" i="5" s="1"/>
  <c r="N4394" i="5"/>
  <c r="N4393" i="5"/>
  <c r="N4392" i="5"/>
  <c r="N4396" i="5" s="1"/>
  <c r="T4391" i="5"/>
  <c r="S4276" i="5"/>
  <c r="N4278" i="5"/>
  <c r="N4282" i="5" s="1"/>
  <c r="T4276" i="5"/>
  <c r="C3433" i="5"/>
  <c r="C3432" i="5"/>
  <c r="C3431" i="5"/>
  <c r="C3430" i="5"/>
  <c r="C3429" i="5"/>
  <c r="C3428" i="5"/>
  <c r="C3427" i="5"/>
  <c r="C3426" i="5"/>
  <c r="C3425" i="5"/>
  <c r="C3424" i="5"/>
  <c r="C3423" i="5"/>
  <c r="C3422" i="5"/>
  <c r="C3421" i="5"/>
  <c r="C3420" i="5"/>
  <c r="C3419" i="5"/>
  <c r="C3418" i="5"/>
  <c r="C3417" i="5"/>
  <c r="C3416" i="5"/>
  <c r="C3415" i="5"/>
  <c r="C3414" i="5"/>
  <c r="C3413" i="5"/>
  <c r="C3412" i="5"/>
  <c r="C3411" i="5"/>
  <c r="C3410" i="5"/>
  <c r="C3409" i="5"/>
  <c r="C3408" i="5"/>
  <c r="C3407" i="5"/>
  <c r="C3406" i="5"/>
  <c r="C3405" i="5"/>
  <c r="C3404" i="5"/>
  <c r="C3403" i="5"/>
  <c r="C3402" i="5"/>
  <c r="C3401" i="5"/>
  <c r="C3400" i="5"/>
  <c r="C3399" i="5"/>
  <c r="C3398" i="5"/>
  <c r="C3397" i="5"/>
  <c r="C3396" i="5"/>
  <c r="C3395" i="5"/>
  <c r="C3394" i="5"/>
  <c r="C3393" i="5"/>
  <c r="C3392" i="5"/>
  <c r="C3391" i="5"/>
  <c r="C3390" i="5"/>
  <c r="C3389" i="5"/>
  <c r="C3388" i="5"/>
  <c r="C3387" i="5"/>
  <c r="C3386" i="5"/>
  <c r="C3385" i="5"/>
  <c r="C3384" i="5"/>
  <c r="C3383" i="5"/>
  <c r="C3382" i="5"/>
  <c r="C3381" i="5"/>
  <c r="C3380" i="5"/>
  <c r="C3379" i="5"/>
  <c r="C3378" i="5"/>
  <c r="C3377" i="5"/>
  <c r="C3376" i="5"/>
  <c r="C3375" i="5"/>
  <c r="C3374" i="5"/>
  <c r="C3373" i="5"/>
  <c r="C3372" i="5"/>
  <c r="C3371" i="5"/>
  <c r="C3370" i="5"/>
  <c r="C3369" i="5"/>
  <c r="C3368" i="5"/>
  <c r="C3367" i="5"/>
  <c r="C3366" i="5"/>
  <c r="C3365" i="5"/>
  <c r="C3364" i="5"/>
  <c r="C3363" i="5"/>
  <c r="C3362" i="5"/>
  <c r="C3361" i="5"/>
  <c r="N4188" i="5"/>
  <c r="M4188" i="5" s="1"/>
  <c r="F4188" i="5" s="1"/>
  <c r="L4188" i="5" s="1"/>
  <c r="N4187" i="5"/>
  <c r="M4187" i="5" s="1"/>
  <c r="F4187" i="5" s="1"/>
  <c r="L4187" i="5" s="1"/>
  <c r="R4186" i="5"/>
  <c r="C4041" i="5"/>
  <c r="C4040" i="5"/>
  <c r="C4039" i="5"/>
  <c r="N4041" i="5"/>
  <c r="N4040" i="5"/>
  <c r="M4040" i="5" s="1"/>
  <c r="F4040" i="5" s="1"/>
  <c r="L4040" i="5" s="1"/>
  <c r="N4039" i="5"/>
  <c r="S3958" i="5"/>
  <c r="O3958" i="5" s="1"/>
  <c r="N3963" i="5"/>
  <c r="N3959" i="5"/>
  <c r="U3958" i="5"/>
  <c r="Q3958" i="5" s="1"/>
  <c r="T3958" i="5"/>
  <c r="T3967" i="5" s="1"/>
  <c r="P3967" i="5" s="1"/>
  <c r="V3958" i="5"/>
  <c r="AM3966" i="5"/>
  <c r="AL3966" i="5"/>
  <c r="AK3966" i="5"/>
  <c r="AM3965" i="5"/>
  <c r="AL3965" i="5"/>
  <c r="AK3965" i="5"/>
  <c r="AM3964" i="5"/>
  <c r="AL3964" i="5"/>
  <c r="AK3964" i="5"/>
  <c r="AQ3963" i="5"/>
  <c r="AM3963" i="5"/>
  <c r="AL3963" i="5"/>
  <c r="AK3963" i="5"/>
  <c r="D3963" i="5"/>
  <c r="AM3962" i="5"/>
  <c r="AL3962" i="5"/>
  <c r="AK3962" i="5"/>
  <c r="AM3961" i="5"/>
  <c r="AL3961" i="5"/>
  <c r="AK3961" i="5"/>
  <c r="AM3960" i="5"/>
  <c r="AL3960" i="5"/>
  <c r="AK3960" i="5"/>
  <c r="AQ3959" i="5"/>
  <c r="AM3959" i="5"/>
  <c r="AL3959" i="5"/>
  <c r="AK3959" i="5"/>
  <c r="D3959" i="5"/>
  <c r="N3867" i="5"/>
  <c r="N3876" i="5" s="1"/>
  <c r="M3876" i="5" s="1"/>
  <c r="F3876" i="5" s="1"/>
  <c r="L3876" i="5" s="1"/>
  <c r="U3862" i="5"/>
  <c r="T3862" i="5"/>
  <c r="S3862" i="5"/>
  <c r="V3862" i="5"/>
  <c r="C3870" i="5"/>
  <c r="C3869" i="5"/>
  <c r="C3868" i="5"/>
  <c r="C3867" i="5"/>
  <c r="C3866" i="5"/>
  <c r="C3865" i="5"/>
  <c r="C3864" i="5"/>
  <c r="C3863" i="5"/>
  <c r="AM3870" i="5"/>
  <c r="AL3870" i="5"/>
  <c r="AK3870" i="5"/>
  <c r="AM3869" i="5"/>
  <c r="AL3869" i="5"/>
  <c r="AK3869" i="5"/>
  <c r="AM3868" i="5"/>
  <c r="AL3868" i="5"/>
  <c r="AK3868" i="5"/>
  <c r="AQ3867" i="5"/>
  <c r="AM3867" i="5"/>
  <c r="AL3867" i="5"/>
  <c r="AK3867" i="5"/>
  <c r="D3867" i="5"/>
  <c r="AM3866" i="5"/>
  <c r="AL3866" i="5"/>
  <c r="AK3866" i="5"/>
  <c r="AM3865" i="5"/>
  <c r="AL3865" i="5"/>
  <c r="AK3865" i="5"/>
  <c r="AM3864" i="5"/>
  <c r="AL3864" i="5"/>
  <c r="AK3864" i="5"/>
  <c r="AQ3863" i="5"/>
  <c r="AM3863" i="5"/>
  <c r="AL3863" i="5"/>
  <c r="AK3863" i="5"/>
  <c r="D3863" i="5"/>
  <c r="N3728" i="5"/>
  <c r="N3640" i="5"/>
  <c r="U3635" i="5"/>
  <c r="T3635" i="5"/>
  <c r="T3645" i="5" s="1"/>
  <c r="P3645" i="5" s="1"/>
  <c r="AQ3644" i="5"/>
  <c r="AM3644" i="5"/>
  <c r="AL3644" i="5"/>
  <c r="AK3644" i="5"/>
  <c r="D3644" i="5"/>
  <c r="AM3643" i="5"/>
  <c r="AL3643" i="5"/>
  <c r="AK3643" i="5"/>
  <c r="AM3642" i="5"/>
  <c r="AL3642" i="5"/>
  <c r="AK3642" i="5"/>
  <c r="AM3641" i="5"/>
  <c r="AL3641" i="5"/>
  <c r="AK3641" i="5"/>
  <c r="AQ3640" i="5"/>
  <c r="AM3640" i="5"/>
  <c r="AL3640" i="5"/>
  <c r="AK3640" i="5"/>
  <c r="D3640" i="5"/>
  <c r="AM3639" i="5"/>
  <c r="AL3639" i="5"/>
  <c r="AK3639" i="5"/>
  <c r="AM3638" i="5"/>
  <c r="AL3638" i="5"/>
  <c r="AK3638" i="5"/>
  <c r="AM3637" i="5"/>
  <c r="AL3637" i="5"/>
  <c r="AK3637" i="5"/>
  <c r="AQ3636" i="5"/>
  <c r="AM3636" i="5"/>
  <c r="AL3636" i="5"/>
  <c r="AK3636" i="5"/>
  <c r="D3636" i="5"/>
  <c r="V3635" i="5"/>
  <c r="N3433" i="5"/>
  <c r="N3393" i="5"/>
  <c r="N3472" i="5" s="1"/>
  <c r="M3472" i="5" s="1"/>
  <c r="F3472" i="5" s="1"/>
  <c r="L3472" i="5" s="1"/>
  <c r="N3377" i="5"/>
  <c r="N3361" i="5"/>
  <c r="N3231" i="5"/>
  <c r="AX3433" i="5"/>
  <c r="AT3433" i="5"/>
  <c r="AS3433" i="5"/>
  <c r="AR3433" i="5"/>
  <c r="AQ3433" i="5"/>
  <c r="AP3433" i="5"/>
  <c r="AO3433" i="5"/>
  <c r="AN3433" i="5"/>
  <c r="AM3433" i="5"/>
  <c r="AL3433" i="5"/>
  <c r="AK3433" i="5"/>
  <c r="D3433" i="5"/>
  <c r="AT3432" i="5"/>
  <c r="AS3432" i="5"/>
  <c r="AR3432" i="5"/>
  <c r="AQ3432" i="5"/>
  <c r="AP3432" i="5"/>
  <c r="AO3432" i="5"/>
  <c r="AN3432" i="5"/>
  <c r="AM3432" i="5"/>
  <c r="AL3432" i="5"/>
  <c r="AK3432" i="5"/>
  <c r="AT3431" i="5"/>
  <c r="AS3431" i="5"/>
  <c r="AR3431" i="5"/>
  <c r="AQ3431" i="5"/>
  <c r="AP3431" i="5"/>
  <c r="AO3431" i="5"/>
  <c r="AN3431" i="5"/>
  <c r="AM3431" i="5"/>
  <c r="AL3431" i="5"/>
  <c r="AK3431" i="5"/>
  <c r="AT3430" i="5"/>
  <c r="AS3430" i="5"/>
  <c r="AR3430" i="5"/>
  <c r="AQ3430" i="5"/>
  <c r="AP3430" i="5"/>
  <c r="AO3430" i="5"/>
  <c r="AN3430" i="5"/>
  <c r="AM3430" i="5"/>
  <c r="AL3430" i="5"/>
  <c r="AK3430" i="5"/>
  <c r="AT3429" i="5"/>
  <c r="AS3429" i="5"/>
  <c r="AR3429" i="5"/>
  <c r="AQ3429" i="5"/>
  <c r="AP3429" i="5"/>
  <c r="AO3429" i="5"/>
  <c r="AN3429" i="5"/>
  <c r="AM3429" i="5"/>
  <c r="AL3429" i="5"/>
  <c r="AK3429" i="5"/>
  <c r="AT3428" i="5"/>
  <c r="AS3428" i="5"/>
  <c r="AR3428" i="5"/>
  <c r="AQ3428" i="5"/>
  <c r="AP3428" i="5"/>
  <c r="AO3428" i="5"/>
  <c r="AN3428" i="5"/>
  <c r="AM3428" i="5"/>
  <c r="AL3428" i="5"/>
  <c r="AK3428" i="5"/>
  <c r="AT3427" i="5"/>
  <c r="AS3427" i="5"/>
  <c r="AR3427" i="5"/>
  <c r="AQ3427" i="5"/>
  <c r="AP3427" i="5"/>
  <c r="AO3427" i="5"/>
  <c r="AN3427" i="5"/>
  <c r="AM3427" i="5"/>
  <c r="AL3427" i="5"/>
  <c r="AK3427" i="5"/>
  <c r="AT3426" i="5"/>
  <c r="AS3426" i="5"/>
  <c r="AR3426" i="5"/>
  <c r="AQ3426" i="5"/>
  <c r="AP3426" i="5"/>
  <c r="AO3426" i="5"/>
  <c r="AN3426" i="5"/>
  <c r="AM3426" i="5"/>
  <c r="AL3426" i="5"/>
  <c r="AK3426" i="5"/>
  <c r="AT3425" i="5"/>
  <c r="AS3425" i="5"/>
  <c r="AR3425" i="5"/>
  <c r="AQ3425" i="5"/>
  <c r="AP3425" i="5"/>
  <c r="AO3425" i="5"/>
  <c r="AN3425" i="5"/>
  <c r="AM3425" i="5"/>
  <c r="AL3425" i="5"/>
  <c r="AK3425" i="5"/>
  <c r="AT3424" i="5"/>
  <c r="AS3424" i="5"/>
  <c r="AR3424" i="5"/>
  <c r="AQ3424" i="5"/>
  <c r="AP3424" i="5"/>
  <c r="AO3424" i="5"/>
  <c r="AN3424" i="5"/>
  <c r="AM3424" i="5"/>
  <c r="AL3424" i="5"/>
  <c r="AK3424" i="5"/>
  <c r="AT3423" i="5"/>
  <c r="AS3423" i="5"/>
  <c r="AR3423" i="5"/>
  <c r="AQ3423" i="5"/>
  <c r="AP3423" i="5"/>
  <c r="AO3423" i="5"/>
  <c r="AN3423" i="5"/>
  <c r="AM3423" i="5"/>
  <c r="AL3423" i="5"/>
  <c r="AK3423" i="5"/>
  <c r="AT3422" i="5"/>
  <c r="AS3422" i="5"/>
  <c r="AR3422" i="5"/>
  <c r="AQ3422" i="5"/>
  <c r="AP3422" i="5"/>
  <c r="AO3422" i="5"/>
  <c r="AN3422" i="5"/>
  <c r="AM3422" i="5"/>
  <c r="AL3422" i="5"/>
  <c r="AK3422" i="5"/>
  <c r="AT3421" i="5"/>
  <c r="AS3421" i="5"/>
  <c r="AR3421" i="5"/>
  <c r="AQ3421" i="5"/>
  <c r="AP3421" i="5"/>
  <c r="AO3421" i="5"/>
  <c r="AN3421" i="5"/>
  <c r="AM3421" i="5"/>
  <c r="AL3421" i="5"/>
  <c r="AK3421" i="5"/>
  <c r="AT3420" i="5"/>
  <c r="AS3420" i="5"/>
  <c r="AR3420" i="5"/>
  <c r="AQ3420" i="5"/>
  <c r="AP3420" i="5"/>
  <c r="AO3420" i="5"/>
  <c r="AN3420" i="5"/>
  <c r="AM3420" i="5"/>
  <c r="AL3420" i="5"/>
  <c r="AK3420" i="5"/>
  <c r="AT3419" i="5"/>
  <c r="AS3419" i="5"/>
  <c r="AR3419" i="5"/>
  <c r="AQ3419" i="5"/>
  <c r="AP3419" i="5"/>
  <c r="AO3419" i="5"/>
  <c r="AN3419" i="5"/>
  <c r="AM3419" i="5"/>
  <c r="AL3419" i="5"/>
  <c r="AK3419" i="5"/>
  <c r="AT3418" i="5"/>
  <c r="AS3418" i="5"/>
  <c r="AR3418" i="5"/>
  <c r="AQ3418" i="5"/>
  <c r="AP3418" i="5"/>
  <c r="AO3418" i="5"/>
  <c r="AN3418" i="5"/>
  <c r="AM3418" i="5"/>
  <c r="AL3418" i="5"/>
  <c r="AK3418" i="5"/>
  <c r="AT3417" i="5"/>
  <c r="AS3417" i="5"/>
  <c r="AR3417" i="5"/>
  <c r="AQ3417" i="5"/>
  <c r="AP3417" i="5"/>
  <c r="AO3417" i="5"/>
  <c r="AN3417" i="5"/>
  <c r="AM3417" i="5"/>
  <c r="AL3417" i="5"/>
  <c r="AK3417" i="5"/>
  <c r="AT3416" i="5"/>
  <c r="AS3416" i="5"/>
  <c r="AR3416" i="5"/>
  <c r="AQ3416" i="5"/>
  <c r="AP3416" i="5"/>
  <c r="AO3416" i="5"/>
  <c r="AN3416" i="5"/>
  <c r="AM3416" i="5"/>
  <c r="AL3416" i="5"/>
  <c r="AK3416" i="5"/>
  <c r="AT3415" i="5"/>
  <c r="AS3415" i="5"/>
  <c r="AR3415" i="5"/>
  <c r="AQ3415" i="5"/>
  <c r="AP3415" i="5"/>
  <c r="AO3415" i="5"/>
  <c r="AN3415" i="5"/>
  <c r="AM3415" i="5"/>
  <c r="AL3415" i="5"/>
  <c r="AK3415" i="5"/>
  <c r="AT3414" i="5"/>
  <c r="AS3414" i="5"/>
  <c r="AR3414" i="5"/>
  <c r="AQ3414" i="5"/>
  <c r="AP3414" i="5"/>
  <c r="AO3414" i="5"/>
  <c r="AN3414" i="5"/>
  <c r="AM3414" i="5"/>
  <c r="AL3414" i="5"/>
  <c r="AK3414" i="5"/>
  <c r="AX3413" i="5"/>
  <c r="AT3413" i="5"/>
  <c r="AS3413" i="5"/>
  <c r="AR3413" i="5"/>
  <c r="AQ3413" i="5"/>
  <c r="AP3413" i="5"/>
  <c r="AO3413" i="5"/>
  <c r="AN3413" i="5"/>
  <c r="AM3413" i="5"/>
  <c r="AL3413" i="5"/>
  <c r="AK3413" i="5"/>
  <c r="D3413" i="5"/>
  <c r="AT3412" i="5"/>
  <c r="AS3412" i="5"/>
  <c r="AR3412" i="5"/>
  <c r="AQ3412" i="5"/>
  <c r="AP3412" i="5"/>
  <c r="AO3412" i="5"/>
  <c r="AN3412" i="5"/>
  <c r="AM3412" i="5"/>
  <c r="AL3412" i="5"/>
  <c r="AK3412" i="5"/>
  <c r="AT3411" i="5"/>
  <c r="AS3411" i="5"/>
  <c r="AR3411" i="5"/>
  <c r="AQ3411" i="5"/>
  <c r="AP3411" i="5"/>
  <c r="AO3411" i="5"/>
  <c r="AN3411" i="5"/>
  <c r="AM3411" i="5"/>
  <c r="AL3411" i="5"/>
  <c r="AK3411" i="5"/>
  <c r="AT3410" i="5"/>
  <c r="AS3410" i="5"/>
  <c r="AR3410" i="5"/>
  <c r="AQ3410" i="5"/>
  <c r="AP3410" i="5"/>
  <c r="AO3410" i="5"/>
  <c r="AN3410" i="5"/>
  <c r="AM3410" i="5"/>
  <c r="AL3410" i="5"/>
  <c r="AK3410" i="5"/>
  <c r="AT3409" i="5"/>
  <c r="AS3409" i="5"/>
  <c r="AR3409" i="5"/>
  <c r="AQ3409" i="5"/>
  <c r="AP3409" i="5"/>
  <c r="AO3409" i="5"/>
  <c r="AN3409" i="5"/>
  <c r="AM3409" i="5"/>
  <c r="AL3409" i="5"/>
  <c r="AK3409" i="5"/>
  <c r="AT3408" i="5"/>
  <c r="AS3408" i="5"/>
  <c r="AR3408" i="5"/>
  <c r="AQ3408" i="5"/>
  <c r="AP3408" i="5"/>
  <c r="AO3408" i="5"/>
  <c r="AN3408" i="5"/>
  <c r="AM3408" i="5"/>
  <c r="AL3408" i="5"/>
  <c r="AK3408" i="5"/>
  <c r="AT3407" i="5"/>
  <c r="AS3407" i="5"/>
  <c r="AR3407" i="5"/>
  <c r="AQ3407" i="5"/>
  <c r="AP3407" i="5"/>
  <c r="AO3407" i="5"/>
  <c r="AN3407" i="5"/>
  <c r="AM3407" i="5"/>
  <c r="AL3407" i="5"/>
  <c r="AK3407" i="5"/>
  <c r="AT3406" i="5"/>
  <c r="AS3406" i="5"/>
  <c r="AR3406" i="5"/>
  <c r="AQ3406" i="5"/>
  <c r="AP3406" i="5"/>
  <c r="AO3406" i="5"/>
  <c r="AN3406" i="5"/>
  <c r="AM3406" i="5"/>
  <c r="AL3406" i="5"/>
  <c r="AK3406" i="5"/>
  <c r="AT3405" i="5"/>
  <c r="AS3405" i="5"/>
  <c r="AR3405" i="5"/>
  <c r="AQ3405" i="5"/>
  <c r="AP3405" i="5"/>
  <c r="AO3405" i="5"/>
  <c r="AN3405" i="5"/>
  <c r="AM3405" i="5"/>
  <c r="AL3405" i="5"/>
  <c r="AK3405" i="5"/>
  <c r="AT3404" i="5"/>
  <c r="AS3404" i="5"/>
  <c r="AR3404" i="5"/>
  <c r="AQ3404" i="5"/>
  <c r="AP3404" i="5"/>
  <c r="AO3404" i="5"/>
  <c r="AN3404" i="5"/>
  <c r="AM3404" i="5"/>
  <c r="AL3404" i="5"/>
  <c r="AK3404" i="5"/>
  <c r="AT3403" i="5"/>
  <c r="AS3403" i="5"/>
  <c r="AR3403" i="5"/>
  <c r="AQ3403" i="5"/>
  <c r="AP3403" i="5"/>
  <c r="AO3403" i="5"/>
  <c r="AN3403" i="5"/>
  <c r="AM3403" i="5"/>
  <c r="AL3403" i="5"/>
  <c r="AK3403" i="5"/>
  <c r="AT3402" i="5"/>
  <c r="AS3402" i="5"/>
  <c r="AR3402" i="5"/>
  <c r="AQ3402" i="5"/>
  <c r="AP3402" i="5"/>
  <c r="AO3402" i="5"/>
  <c r="AN3402" i="5"/>
  <c r="AM3402" i="5"/>
  <c r="AL3402" i="5"/>
  <c r="AK3402" i="5"/>
  <c r="AT3401" i="5"/>
  <c r="AS3401" i="5"/>
  <c r="AR3401" i="5"/>
  <c r="AQ3401" i="5"/>
  <c r="AP3401" i="5"/>
  <c r="AO3401" i="5"/>
  <c r="AN3401" i="5"/>
  <c r="AM3401" i="5"/>
  <c r="AL3401" i="5"/>
  <c r="AK3401" i="5"/>
  <c r="AT3400" i="5"/>
  <c r="AS3400" i="5"/>
  <c r="AR3400" i="5"/>
  <c r="AQ3400" i="5"/>
  <c r="AP3400" i="5"/>
  <c r="AO3400" i="5"/>
  <c r="AN3400" i="5"/>
  <c r="AM3400" i="5"/>
  <c r="AL3400" i="5"/>
  <c r="AK3400" i="5"/>
  <c r="AT3399" i="5"/>
  <c r="AS3399" i="5"/>
  <c r="AR3399" i="5"/>
  <c r="AQ3399" i="5"/>
  <c r="AP3399" i="5"/>
  <c r="AO3399" i="5"/>
  <c r="AN3399" i="5"/>
  <c r="AM3399" i="5"/>
  <c r="AL3399" i="5"/>
  <c r="AK3399" i="5"/>
  <c r="AT3398" i="5"/>
  <c r="AS3398" i="5"/>
  <c r="AR3398" i="5"/>
  <c r="AQ3398" i="5"/>
  <c r="AP3398" i="5"/>
  <c r="AO3398" i="5"/>
  <c r="AN3398" i="5"/>
  <c r="AM3398" i="5"/>
  <c r="AL3398" i="5"/>
  <c r="AK3398" i="5"/>
  <c r="AT3397" i="5"/>
  <c r="AS3397" i="5"/>
  <c r="AR3397" i="5"/>
  <c r="AQ3397" i="5"/>
  <c r="AP3397" i="5"/>
  <c r="AO3397" i="5"/>
  <c r="AN3397" i="5"/>
  <c r="AM3397" i="5"/>
  <c r="AL3397" i="5"/>
  <c r="AK3397" i="5"/>
  <c r="AT3396" i="5"/>
  <c r="AS3396" i="5"/>
  <c r="AR3396" i="5"/>
  <c r="AQ3396" i="5"/>
  <c r="AP3396" i="5"/>
  <c r="AO3396" i="5"/>
  <c r="AN3396" i="5"/>
  <c r="AM3396" i="5"/>
  <c r="AL3396" i="5"/>
  <c r="AK3396" i="5"/>
  <c r="AT3395" i="5"/>
  <c r="AS3395" i="5"/>
  <c r="AR3395" i="5"/>
  <c r="AQ3395" i="5"/>
  <c r="AP3395" i="5"/>
  <c r="AO3395" i="5"/>
  <c r="AN3395" i="5"/>
  <c r="AM3395" i="5"/>
  <c r="AL3395" i="5"/>
  <c r="AK3395" i="5"/>
  <c r="AT3394" i="5"/>
  <c r="AS3394" i="5"/>
  <c r="AR3394" i="5"/>
  <c r="AQ3394" i="5"/>
  <c r="AP3394" i="5"/>
  <c r="AO3394" i="5"/>
  <c r="AN3394" i="5"/>
  <c r="AM3394" i="5"/>
  <c r="AL3394" i="5"/>
  <c r="AK3394" i="5"/>
  <c r="AX3393" i="5"/>
  <c r="AT3393" i="5"/>
  <c r="AS3393" i="5"/>
  <c r="AR3393" i="5"/>
  <c r="AQ3393" i="5"/>
  <c r="AP3393" i="5"/>
  <c r="AO3393" i="5"/>
  <c r="AN3393" i="5"/>
  <c r="AM3393" i="5"/>
  <c r="AL3393" i="5"/>
  <c r="AK3393" i="5"/>
  <c r="D3393" i="5"/>
  <c r="AT3392" i="5"/>
  <c r="AS3392" i="5"/>
  <c r="AR3392" i="5"/>
  <c r="AQ3392" i="5"/>
  <c r="AP3392" i="5"/>
  <c r="AO3392" i="5"/>
  <c r="AN3392" i="5"/>
  <c r="AM3392" i="5"/>
  <c r="AL3392" i="5"/>
  <c r="AK3392" i="5"/>
  <c r="AT3391" i="5"/>
  <c r="AS3391" i="5"/>
  <c r="AR3391" i="5"/>
  <c r="AQ3391" i="5"/>
  <c r="AP3391" i="5"/>
  <c r="AO3391" i="5"/>
  <c r="AN3391" i="5"/>
  <c r="AM3391" i="5"/>
  <c r="AL3391" i="5"/>
  <c r="AK3391" i="5"/>
  <c r="AT3390" i="5"/>
  <c r="AS3390" i="5"/>
  <c r="AR3390" i="5"/>
  <c r="AQ3390" i="5"/>
  <c r="AP3390" i="5"/>
  <c r="AO3390" i="5"/>
  <c r="AN3390" i="5"/>
  <c r="AM3390" i="5"/>
  <c r="AL3390" i="5"/>
  <c r="AK3390" i="5"/>
  <c r="AT3389" i="5"/>
  <c r="AS3389" i="5"/>
  <c r="AR3389" i="5"/>
  <c r="AQ3389" i="5"/>
  <c r="AP3389" i="5"/>
  <c r="AO3389" i="5"/>
  <c r="AN3389" i="5"/>
  <c r="AM3389" i="5"/>
  <c r="AL3389" i="5"/>
  <c r="AK3389" i="5"/>
  <c r="AT3388" i="5"/>
  <c r="AS3388" i="5"/>
  <c r="AR3388" i="5"/>
  <c r="AQ3388" i="5"/>
  <c r="AP3388" i="5"/>
  <c r="AO3388" i="5"/>
  <c r="AN3388" i="5"/>
  <c r="AM3388" i="5"/>
  <c r="AL3388" i="5"/>
  <c r="AK3388" i="5"/>
  <c r="AT3387" i="5"/>
  <c r="AS3387" i="5"/>
  <c r="AR3387" i="5"/>
  <c r="AQ3387" i="5"/>
  <c r="AP3387" i="5"/>
  <c r="AO3387" i="5"/>
  <c r="AN3387" i="5"/>
  <c r="AM3387" i="5"/>
  <c r="AL3387" i="5"/>
  <c r="AK3387" i="5"/>
  <c r="AT3386" i="5"/>
  <c r="AS3386" i="5"/>
  <c r="AR3386" i="5"/>
  <c r="AQ3386" i="5"/>
  <c r="AP3386" i="5"/>
  <c r="AO3386" i="5"/>
  <c r="AN3386" i="5"/>
  <c r="AM3386" i="5"/>
  <c r="AL3386" i="5"/>
  <c r="AK3386" i="5"/>
  <c r="AT3385" i="5"/>
  <c r="AS3385" i="5"/>
  <c r="AR3385" i="5"/>
  <c r="AQ3385" i="5"/>
  <c r="AP3385" i="5"/>
  <c r="AO3385" i="5"/>
  <c r="AN3385" i="5"/>
  <c r="AM3385" i="5"/>
  <c r="AL3385" i="5"/>
  <c r="AK3385" i="5"/>
  <c r="AT3384" i="5"/>
  <c r="AS3384" i="5"/>
  <c r="AR3384" i="5"/>
  <c r="AQ3384" i="5"/>
  <c r="AP3384" i="5"/>
  <c r="AO3384" i="5"/>
  <c r="AN3384" i="5"/>
  <c r="AM3384" i="5"/>
  <c r="AL3384" i="5"/>
  <c r="AK3384" i="5"/>
  <c r="AT3383" i="5"/>
  <c r="AS3383" i="5"/>
  <c r="AR3383" i="5"/>
  <c r="AQ3383" i="5"/>
  <c r="AP3383" i="5"/>
  <c r="AO3383" i="5"/>
  <c r="AN3383" i="5"/>
  <c r="AM3383" i="5"/>
  <c r="AL3383" i="5"/>
  <c r="AK3383" i="5"/>
  <c r="AT3382" i="5"/>
  <c r="AS3382" i="5"/>
  <c r="AR3382" i="5"/>
  <c r="AQ3382" i="5"/>
  <c r="AP3382" i="5"/>
  <c r="AO3382" i="5"/>
  <c r="AN3382" i="5"/>
  <c r="AM3382" i="5"/>
  <c r="AL3382" i="5"/>
  <c r="AK3382" i="5"/>
  <c r="AT3381" i="5"/>
  <c r="AS3381" i="5"/>
  <c r="AR3381" i="5"/>
  <c r="AQ3381" i="5"/>
  <c r="AP3381" i="5"/>
  <c r="AO3381" i="5"/>
  <c r="AN3381" i="5"/>
  <c r="AM3381" i="5"/>
  <c r="AL3381" i="5"/>
  <c r="AK3381" i="5"/>
  <c r="AT3380" i="5"/>
  <c r="AS3380" i="5"/>
  <c r="AR3380" i="5"/>
  <c r="AQ3380" i="5"/>
  <c r="AP3380" i="5"/>
  <c r="AO3380" i="5"/>
  <c r="AN3380" i="5"/>
  <c r="AM3380" i="5"/>
  <c r="AL3380" i="5"/>
  <c r="AK3380" i="5"/>
  <c r="AT3379" i="5"/>
  <c r="AS3379" i="5"/>
  <c r="AR3379" i="5"/>
  <c r="AQ3379" i="5"/>
  <c r="AP3379" i="5"/>
  <c r="AO3379" i="5"/>
  <c r="AN3379" i="5"/>
  <c r="AM3379" i="5"/>
  <c r="AL3379" i="5"/>
  <c r="AK3379" i="5"/>
  <c r="AT3378" i="5"/>
  <c r="AS3378" i="5"/>
  <c r="AR3378" i="5"/>
  <c r="AQ3378" i="5"/>
  <c r="AP3378" i="5"/>
  <c r="AO3378" i="5"/>
  <c r="AN3378" i="5"/>
  <c r="AM3378" i="5"/>
  <c r="AL3378" i="5"/>
  <c r="AK3378" i="5"/>
  <c r="AX3377" i="5"/>
  <c r="AT3377" i="5"/>
  <c r="AS3377" i="5"/>
  <c r="AR3377" i="5"/>
  <c r="AQ3377" i="5"/>
  <c r="AP3377" i="5"/>
  <c r="AO3377" i="5"/>
  <c r="AN3377" i="5"/>
  <c r="AM3377" i="5"/>
  <c r="AL3377" i="5"/>
  <c r="AK3377" i="5"/>
  <c r="D3377" i="5"/>
  <c r="AT3376" i="5"/>
  <c r="AS3376" i="5"/>
  <c r="AR3376" i="5"/>
  <c r="AQ3376" i="5"/>
  <c r="AP3376" i="5"/>
  <c r="AO3376" i="5"/>
  <c r="AN3376" i="5"/>
  <c r="AM3376" i="5"/>
  <c r="AL3376" i="5"/>
  <c r="AK3376" i="5"/>
  <c r="AT3375" i="5"/>
  <c r="AS3375" i="5"/>
  <c r="AR3375" i="5"/>
  <c r="AQ3375" i="5"/>
  <c r="AP3375" i="5"/>
  <c r="AO3375" i="5"/>
  <c r="AN3375" i="5"/>
  <c r="AM3375" i="5"/>
  <c r="AL3375" i="5"/>
  <c r="AK3375" i="5"/>
  <c r="AT3374" i="5"/>
  <c r="AS3374" i="5"/>
  <c r="AR3374" i="5"/>
  <c r="AQ3374" i="5"/>
  <c r="AP3374" i="5"/>
  <c r="AO3374" i="5"/>
  <c r="AN3374" i="5"/>
  <c r="AM3374" i="5"/>
  <c r="AL3374" i="5"/>
  <c r="AK3374" i="5"/>
  <c r="AT3373" i="5"/>
  <c r="AS3373" i="5"/>
  <c r="AR3373" i="5"/>
  <c r="AQ3373" i="5"/>
  <c r="AP3373" i="5"/>
  <c r="AO3373" i="5"/>
  <c r="AN3373" i="5"/>
  <c r="AM3373" i="5"/>
  <c r="AL3373" i="5"/>
  <c r="AK3373" i="5"/>
  <c r="AT3372" i="5"/>
  <c r="AS3372" i="5"/>
  <c r="AR3372" i="5"/>
  <c r="AQ3372" i="5"/>
  <c r="AP3372" i="5"/>
  <c r="AO3372" i="5"/>
  <c r="AN3372" i="5"/>
  <c r="AM3372" i="5"/>
  <c r="AL3372" i="5"/>
  <c r="AK3372" i="5"/>
  <c r="AT3371" i="5"/>
  <c r="AS3371" i="5"/>
  <c r="AR3371" i="5"/>
  <c r="AQ3371" i="5"/>
  <c r="AP3371" i="5"/>
  <c r="AO3371" i="5"/>
  <c r="AN3371" i="5"/>
  <c r="AM3371" i="5"/>
  <c r="AL3371" i="5"/>
  <c r="AK3371" i="5"/>
  <c r="AT3370" i="5"/>
  <c r="AS3370" i="5"/>
  <c r="AR3370" i="5"/>
  <c r="AQ3370" i="5"/>
  <c r="AP3370" i="5"/>
  <c r="AO3370" i="5"/>
  <c r="AN3370" i="5"/>
  <c r="AM3370" i="5"/>
  <c r="AL3370" i="5"/>
  <c r="AK3370" i="5"/>
  <c r="AT3369" i="5"/>
  <c r="AS3369" i="5"/>
  <c r="AR3369" i="5"/>
  <c r="AQ3369" i="5"/>
  <c r="AP3369" i="5"/>
  <c r="AO3369" i="5"/>
  <c r="AN3369" i="5"/>
  <c r="AM3369" i="5"/>
  <c r="AL3369" i="5"/>
  <c r="AK3369" i="5"/>
  <c r="AT3368" i="5"/>
  <c r="AS3368" i="5"/>
  <c r="AR3368" i="5"/>
  <c r="AQ3368" i="5"/>
  <c r="AP3368" i="5"/>
  <c r="AO3368" i="5"/>
  <c r="AN3368" i="5"/>
  <c r="AM3368" i="5"/>
  <c r="AL3368" i="5"/>
  <c r="AK3368" i="5"/>
  <c r="AT3367" i="5"/>
  <c r="AS3367" i="5"/>
  <c r="AR3367" i="5"/>
  <c r="AQ3367" i="5"/>
  <c r="AP3367" i="5"/>
  <c r="AO3367" i="5"/>
  <c r="AN3367" i="5"/>
  <c r="AM3367" i="5"/>
  <c r="AL3367" i="5"/>
  <c r="AK3367" i="5"/>
  <c r="AT3366" i="5"/>
  <c r="AS3366" i="5"/>
  <c r="AR3366" i="5"/>
  <c r="AQ3366" i="5"/>
  <c r="AP3366" i="5"/>
  <c r="AO3366" i="5"/>
  <c r="AN3366" i="5"/>
  <c r="AM3366" i="5"/>
  <c r="AL3366" i="5"/>
  <c r="AK3366" i="5"/>
  <c r="AT3365" i="5"/>
  <c r="AS3365" i="5"/>
  <c r="AR3365" i="5"/>
  <c r="AQ3365" i="5"/>
  <c r="AP3365" i="5"/>
  <c r="AO3365" i="5"/>
  <c r="AN3365" i="5"/>
  <c r="AM3365" i="5"/>
  <c r="AL3365" i="5"/>
  <c r="AK3365" i="5"/>
  <c r="AT3364" i="5"/>
  <c r="AS3364" i="5"/>
  <c r="AR3364" i="5"/>
  <c r="AQ3364" i="5"/>
  <c r="AP3364" i="5"/>
  <c r="AO3364" i="5"/>
  <c r="AN3364" i="5"/>
  <c r="AM3364" i="5"/>
  <c r="AL3364" i="5"/>
  <c r="AK3364" i="5"/>
  <c r="AT3363" i="5"/>
  <c r="AS3363" i="5"/>
  <c r="AR3363" i="5"/>
  <c r="AQ3363" i="5"/>
  <c r="AP3363" i="5"/>
  <c r="AO3363" i="5"/>
  <c r="AN3363" i="5"/>
  <c r="AM3363" i="5"/>
  <c r="AL3363" i="5"/>
  <c r="AK3363" i="5"/>
  <c r="AT3362" i="5"/>
  <c r="AS3362" i="5"/>
  <c r="AR3362" i="5"/>
  <c r="AQ3362" i="5"/>
  <c r="AP3362" i="5"/>
  <c r="AO3362" i="5"/>
  <c r="AN3362" i="5"/>
  <c r="AM3362" i="5"/>
  <c r="AL3362" i="5"/>
  <c r="AK3362" i="5"/>
  <c r="AX3361" i="5"/>
  <c r="AT3361" i="5"/>
  <c r="AS3361" i="5"/>
  <c r="AR3361" i="5"/>
  <c r="AQ3361" i="5"/>
  <c r="AP3361" i="5"/>
  <c r="AO3361" i="5"/>
  <c r="AN3361" i="5"/>
  <c r="AM3361" i="5"/>
  <c r="AL3361" i="5"/>
  <c r="AK3361" i="5"/>
  <c r="D3361" i="5"/>
  <c r="O106" i="5"/>
  <c r="P106" i="5"/>
  <c r="Q106" i="5"/>
  <c r="F108" i="5" s="1"/>
  <c r="R106" i="5"/>
  <c r="S106" i="5"/>
  <c r="F110" i="5" s="1"/>
  <c r="T106" i="5"/>
  <c r="U106" i="5"/>
  <c r="U121" i="5" s="1"/>
  <c r="F127" i="5" s="1"/>
  <c r="Q4535" i="5"/>
  <c r="Q4536" i="5" s="1"/>
  <c r="Q4537" i="5" s="1"/>
  <c r="Q4538" i="5" s="1"/>
  <c r="D4544" i="5"/>
  <c r="D4545" i="5" s="1"/>
  <c r="D4546" i="5" s="1"/>
  <c r="D4547" i="5"/>
  <c r="D4548" i="5" s="1"/>
  <c r="D4549" i="5" s="1"/>
  <c r="D4550" i="5" s="1"/>
  <c r="D4551" i="5" s="1"/>
  <c r="D4552" i="5" s="1"/>
  <c r="D4553" i="5" s="1"/>
  <c r="D4554" i="5" s="1"/>
  <c r="D4555" i="5" s="1"/>
  <c r="C4546" i="5"/>
  <c r="C4545" i="5"/>
  <c r="B4545" i="5"/>
  <c r="B4546" i="5" s="1"/>
  <c r="C4544" i="5"/>
  <c r="C4555" i="5"/>
  <c r="C4554" i="5"/>
  <c r="C4553" i="5"/>
  <c r="C4552" i="5"/>
  <c r="C4551" i="5"/>
  <c r="C4550" i="5"/>
  <c r="C4549" i="5"/>
  <c r="C4548" i="5"/>
  <c r="B4548" i="5"/>
  <c r="B4549" i="5" s="1"/>
  <c r="B4550" i="5" s="1"/>
  <c r="B4551" i="5" s="1"/>
  <c r="B4552" i="5" s="1"/>
  <c r="B4553" i="5" s="1"/>
  <c r="B4554" i="5" s="1"/>
  <c r="B4555" i="5" s="1"/>
  <c r="C4547" i="5"/>
  <c r="D4847" i="5"/>
  <c r="D4846" i="5"/>
  <c r="D4845" i="5"/>
  <c r="D4844" i="5"/>
  <c r="D4843" i="5"/>
  <c r="D4842" i="5"/>
  <c r="D4841" i="5"/>
  <c r="D4840" i="5"/>
  <c r="D4839" i="5"/>
  <c r="D4838" i="5"/>
  <c r="D4837" i="5"/>
  <c r="D4836" i="5"/>
  <c r="D4835" i="5"/>
  <c r="D4834" i="5"/>
  <c r="D4833" i="5"/>
  <c r="D4832" i="5"/>
  <c r="D4831" i="5"/>
  <c r="D4830" i="5"/>
  <c r="D4829" i="5"/>
  <c r="D4828" i="5"/>
  <c r="D4827" i="5"/>
  <c r="D4826" i="5"/>
  <c r="D4825" i="5"/>
  <c r="D4824" i="5"/>
  <c r="D4823" i="5"/>
  <c r="D4822" i="5"/>
  <c r="D4821" i="5"/>
  <c r="D4820" i="5"/>
  <c r="D4819" i="5"/>
  <c r="D4818" i="5"/>
  <c r="D4817" i="5"/>
  <c r="D4816" i="5"/>
  <c r="D4815" i="5"/>
  <c r="D4814" i="5"/>
  <c r="D4813" i="5"/>
  <c r="D4812" i="5"/>
  <c r="D4811" i="5"/>
  <c r="D4810" i="5"/>
  <c r="D4809" i="5"/>
  <c r="D4808" i="5"/>
  <c r="D4807" i="5"/>
  <c r="D4806" i="5"/>
  <c r="D4805" i="5"/>
  <c r="D4804" i="5"/>
  <c r="D4803" i="5"/>
  <c r="D4802" i="5"/>
  <c r="D4801" i="5"/>
  <c r="D4800" i="5"/>
  <c r="C4808" i="5"/>
  <c r="C4804" i="5"/>
  <c r="C4800" i="5"/>
  <c r="Q4764" i="5"/>
  <c r="Q4765" i="5" s="1"/>
  <c r="Q4766" i="5" s="1"/>
  <c r="Q4767" i="5" s="1"/>
  <c r="Q4768" i="5" s="1"/>
  <c r="Q4769" i="5" s="1"/>
  <c r="Q4770" i="5" s="1"/>
  <c r="Q4771" i="5" s="1"/>
  <c r="Q4800" i="5" s="1"/>
  <c r="Q4801" i="5" s="1"/>
  <c r="T4764" i="5"/>
  <c r="T4765" i="5" s="1"/>
  <c r="T4766" i="5" s="1"/>
  <c r="T4767" i="5" s="1"/>
  <c r="T4768" i="5" s="1"/>
  <c r="T4769" i="5" s="1"/>
  <c r="T4770" i="5" s="1"/>
  <c r="T4771" i="5" s="1"/>
  <c r="T4800" i="5" s="1"/>
  <c r="T4801" i="5" s="1"/>
  <c r="T4802" i="5" s="1"/>
  <c r="T4803" i="5" s="1"/>
  <c r="T4804" i="5" s="1"/>
  <c r="T4805" i="5" s="1"/>
  <c r="T4806" i="5" s="1"/>
  <c r="T4807" i="5" s="1"/>
  <c r="T4808" i="5" s="1"/>
  <c r="T4809" i="5" s="1"/>
  <c r="T4810" i="5" s="1"/>
  <c r="T4811" i="5" s="1"/>
  <c r="T4849" i="5" s="1"/>
  <c r="T4850" i="5" s="1"/>
  <c r="T4851" i="5" s="1"/>
  <c r="T4852" i="5" s="1"/>
  <c r="T4853" i="5" s="1"/>
  <c r="T4854" i="5" s="1"/>
  <c r="T4855" i="5" s="1"/>
  <c r="A4805" i="5"/>
  <c r="A4817" i="5"/>
  <c r="A4818" i="5" s="1"/>
  <c r="A4825" i="5"/>
  <c r="A4829" i="5"/>
  <c r="C4829" i="5" s="1"/>
  <c r="A4837" i="5"/>
  <c r="A4841" i="5"/>
  <c r="S4764" i="5"/>
  <c r="S4765" i="5" s="1"/>
  <c r="S4766" i="5" s="1"/>
  <c r="S4767" i="5" s="1"/>
  <c r="S4768" i="5" s="1"/>
  <c r="S4769" i="5" s="1"/>
  <c r="S4770" i="5" s="1"/>
  <c r="S4771" i="5" s="1"/>
  <c r="S4800" i="5" s="1"/>
  <c r="A4833" i="5"/>
  <c r="A4834" i="5" s="1"/>
  <c r="C4834" i="5" s="1"/>
  <c r="R4764" i="5"/>
  <c r="R4765" i="5" s="1"/>
  <c r="R4766" i="5" s="1"/>
  <c r="R4767" i="5" s="1"/>
  <c r="R4768" i="5" s="1"/>
  <c r="R4769" i="5" s="1"/>
  <c r="R4770" i="5" s="1"/>
  <c r="R4771" i="5" s="1"/>
  <c r="R4800" i="5" s="1"/>
  <c r="A4809" i="5"/>
  <c r="C4809" i="5" s="1"/>
  <c r="A4845" i="5"/>
  <c r="A4801" i="5"/>
  <c r="C4801" i="5" s="1"/>
  <c r="C4844" i="5"/>
  <c r="C4840" i="5"/>
  <c r="C4836" i="5"/>
  <c r="C4832" i="5"/>
  <c r="C4828" i="5"/>
  <c r="C4824" i="5"/>
  <c r="A4821" i="5"/>
  <c r="C4820" i="5"/>
  <c r="C4816" i="5"/>
  <c r="A4813" i="5"/>
  <c r="C4812" i="5"/>
  <c r="C4542" i="5"/>
  <c r="C4541" i="5"/>
  <c r="C4540" i="5"/>
  <c r="C4539" i="5"/>
  <c r="C4538" i="5"/>
  <c r="C4537" i="5"/>
  <c r="C4536" i="5"/>
  <c r="C4535" i="5"/>
  <c r="C4534" i="5"/>
  <c r="C4795" i="5"/>
  <c r="C4791" i="5"/>
  <c r="C4787" i="5"/>
  <c r="C4783" i="5"/>
  <c r="C4779" i="5"/>
  <c r="C4775" i="5"/>
  <c r="C4771" i="5"/>
  <c r="C4767" i="5"/>
  <c r="C4763" i="5"/>
  <c r="A4796" i="5"/>
  <c r="C4796" i="5" s="1"/>
  <c r="A4792" i="5"/>
  <c r="A4788" i="5"/>
  <c r="A4789" i="5" s="1"/>
  <c r="C4789" i="5" s="1"/>
  <c r="A4784" i="5"/>
  <c r="C4784" i="5" s="1"/>
  <c r="A4780" i="5"/>
  <c r="A4776" i="5"/>
  <c r="A4772" i="5"/>
  <c r="A4773" i="5" s="1"/>
  <c r="A4768" i="5"/>
  <c r="C4768" i="5" s="1"/>
  <c r="A4764" i="5"/>
  <c r="C4764" i="5" s="1"/>
  <c r="D4752" i="5"/>
  <c r="D4751" i="5"/>
  <c r="D4750" i="5"/>
  <c r="D4749" i="5"/>
  <c r="F4761" i="5"/>
  <c r="D4766" i="5"/>
  <c r="D4770" i="5" s="1"/>
  <c r="D4774" i="5" s="1"/>
  <c r="D4778" i="5" s="1"/>
  <c r="D4782" i="5" s="1"/>
  <c r="D4786" i="5" s="1"/>
  <c r="D4790" i="5" s="1"/>
  <c r="D4794" i="5" s="1"/>
  <c r="D4798" i="5" s="1"/>
  <c r="D4765" i="5"/>
  <c r="D4769" i="5" s="1"/>
  <c r="D4773" i="5" s="1"/>
  <c r="D4777" i="5" s="1"/>
  <c r="D4781" i="5" s="1"/>
  <c r="D4785" i="5" s="1"/>
  <c r="D4789" i="5" s="1"/>
  <c r="D4793" i="5" s="1"/>
  <c r="D4797" i="5" s="1"/>
  <c r="D4764" i="5"/>
  <c r="D4768" i="5" s="1"/>
  <c r="D4763" i="5"/>
  <c r="F4760" i="5"/>
  <c r="F4758" i="5"/>
  <c r="F4757" i="5"/>
  <c r="F4755" i="5"/>
  <c r="F4754" i="5"/>
  <c r="B4535" i="5"/>
  <c r="B4536" i="5" s="1"/>
  <c r="B4537" i="5" s="1"/>
  <c r="B4538" i="5" s="1"/>
  <c r="B4539" i="5" s="1"/>
  <c r="B4540" i="5" s="1"/>
  <c r="B4541" i="5" s="1"/>
  <c r="B4542" i="5" s="1"/>
  <c r="D4534" i="5"/>
  <c r="F4532" i="5"/>
  <c r="M4531" i="5"/>
  <c r="F4531" i="5" s="1"/>
  <c r="M4530" i="5"/>
  <c r="F4530" i="5" s="1"/>
  <c r="AH281" i="5"/>
  <c r="AN281" i="5"/>
  <c r="AO281" i="5"/>
  <c r="AP281" i="5"/>
  <c r="AR281" i="5"/>
  <c r="AT281" i="5" s="1"/>
  <c r="AU281" i="5"/>
  <c r="AV281" i="5" s="1"/>
  <c r="AW281" i="5"/>
  <c r="AX281" i="5" s="1"/>
  <c r="AH282" i="5"/>
  <c r="AN282" i="5"/>
  <c r="AO282" i="5"/>
  <c r="AP282" i="5"/>
  <c r="AR282" i="5"/>
  <c r="AU282" i="5"/>
  <c r="AV282" i="5" s="1"/>
  <c r="AW282" i="5"/>
  <c r="AX282" i="5" s="1"/>
  <c r="AH283" i="5"/>
  <c r="AN283" i="5"/>
  <c r="AO283" i="5"/>
  <c r="AP283" i="5"/>
  <c r="AR283" i="5"/>
  <c r="AT283" i="5" s="1"/>
  <c r="AU283" i="5"/>
  <c r="AV283" i="5" s="1"/>
  <c r="AW283" i="5"/>
  <c r="AX283" i="5" s="1"/>
  <c r="AH284" i="5"/>
  <c r="AK284" i="5" s="1"/>
  <c r="AN284" i="5"/>
  <c r="AO284" i="5"/>
  <c r="AP284" i="5"/>
  <c r="AR284" i="5"/>
  <c r="AT284" i="5" s="1"/>
  <c r="AU284" i="5"/>
  <c r="AV284" i="5" s="1"/>
  <c r="AW284" i="5"/>
  <c r="AX284" i="5" s="1"/>
  <c r="AH285" i="5"/>
  <c r="AL285" i="5" s="1"/>
  <c r="AN285" i="5"/>
  <c r="AO285" i="5"/>
  <c r="AR285" i="5"/>
  <c r="AT285" i="5" s="1"/>
  <c r="AU285" i="5"/>
  <c r="AV285" i="5" s="1"/>
  <c r="AW285" i="5"/>
  <c r="AX285" i="5" s="1"/>
  <c r="AH286" i="5"/>
  <c r="AL286" i="5" s="1"/>
  <c r="AN286" i="5"/>
  <c r="AO286" i="5"/>
  <c r="AP286" i="5"/>
  <c r="AR286" i="5"/>
  <c r="AT286" i="5" s="1"/>
  <c r="AU286" i="5"/>
  <c r="AV286" i="5" s="1"/>
  <c r="AW286" i="5"/>
  <c r="AX286" i="5" s="1"/>
  <c r="AH287" i="5"/>
  <c r="AL287" i="5" s="1"/>
  <c r="AN287" i="5"/>
  <c r="AO287" i="5"/>
  <c r="AP287" i="5"/>
  <c r="AR287" i="5"/>
  <c r="AU287" i="5"/>
  <c r="AV287" i="5" s="1"/>
  <c r="AW287" i="5"/>
  <c r="AX287" i="5" s="1"/>
  <c r="AH288" i="5"/>
  <c r="AN288" i="5"/>
  <c r="AO288" i="5"/>
  <c r="AP288" i="5"/>
  <c r="AR288" i="5"/>
  <c r="AS288" i="5" s="1"/>
  <c r="AU288" i="5"/>
  <c r="AV288" i="5" s="1"/>
  <c r="AW288" i="5"/>
  <c r="AX288" i="5" s="1"/>
  <c r="AH289" i="5"/>
  <c r="AZ289" i="5" s="1"/>
  <c r="AN289" i="5"/>
  <c r="AO289" i="5"/>
  <c r="AP289" i="5"/>
  <c r="AH290" i="5"/>
  <c r="AZ290" i="5" s="1"/>
  <c r="AN290" i="5"/>
  <c r="AO290" i="5"/>
  <c r="AP290" i="5"/>
  <c r="AJ291" i="5"/>
  <c r="AK291" i="5"/>
  <c r="AL291" i="5"/>
  <c r="AN291" i="5"/>
  <c r="AO291" i="5"/>
  <c r="AP291" i="5"/>
  <c r="AR291" i="5"/>
  <c r="AT291" i="5" s="1"/>
  <c r="AU291" i="5"/>
  <c r="AV291" i="5" s="1"/>
  <c r="AW291" i="5"/>
  <c r="AX291" i="5" s="1"/>
  <c r="AH292" i="5"/>
  <c r="AN292" i="5"/>
  <c r="AO292" i="5"/>
  <c r="AP292" i="5"/>
  <c r="AR292" i="5"/>
  <c r="AT292" i="5" s="1"/>
  <c r="AU292" i="5"/>
  <c r="AV292" i="5" s="1"/>
  <c r="AW292" i="5"/>
  <c r="AX292" i="5" s="1"/>
  <c r="AH293" i="5"/>
  <c r="AJ293" i="5" s="1"/>
  <c r="AN293" i="5"/>
  <c r="AO293" i="5"/>
  <c r="AP293" i="5"/>
  <c r="AR293" i="5"/>
  <c r="AU293" i="5"/>
  <c r="AV293" i="5" s="1"/>
  <c r="AW293" i="5"/>
  <c r="AX293" i="5" s="1"/>
  <c r="AH294" i="5"/>
  <c r="AN294" i="5"/>
  <c r="AO294" i="5"/>
  <c r="AP294" i="5"/>
  <c r="AR294" i="5"/>
  <c r="AT294" i="5" s="1"/>
  <c r="AU294" i="5"/>
  <c r="AV294" i="5" s="1"/>
  <c r="AW294" i="5"/>
  <c r="AX294" i="5" s="1"/>
  <c r="AH295" i="5"/>
  <c r="AL295" i="5" s="1"/>
  <c r="AN295" i="5"/>
  <c r="AO295" i="5"/>
  <c r="AP295" i="5"/>
  <c r="AH296" i="5"/>
  <c r="AN296" i="5"/>
  <c r="AO296" i="5"/>
  <c r="AP296" i="5"/>
  <c r="AJ297" i="5"/>
  <c r="AK297" i="5"/>
  <c r="AL297" i="5"/>
  <c r="AN297" i="5"/>
  <c r="AO297" i="5"/>
  <c r="AP297" i="5"/>
  <c r="AR297" i="5"/>
  <c r="AU297" i="5"/>
  <c r="AV297" i="5" s="1"/>
  <c r="AW297" i="5"/>
  <c r="AX297" i="5" s="1"/>
  <c r="AH298" i="5"/>
  <c r="AL298" i="5" s="1"/>
  <c r="AN298" i="5"/>
  <c r="AO298" i="5"/>
  <c r="AP298" i="5"/>
  <c r="AR298" i="5"/>
  <c r="AT298" i="5" s="1"/>
  <c r="AU298" i="5"/>
  <c r="AV298" i="5" s="1"/>
  <c r="AW298" i="5"/>
  <c r="AX298" i="5" s="1"/>
  <c r="AH299" i="5"/>
  <c r="AN299" i="5"/>
  <c r="AO299" i="5"/>
  <c r="AP299" i="5"/>
  <c r="AR299" i="5"/>
  <c r="AU299" i="5"/>
  <c r="AV299" i="5" s="1"/>
  <c r="AW299" i="5"/>
  <c r="AX299" i="5" s="1"/>
  <c r="AH300" i="5"/>
  <c r="AZ300" i="5" s="1"/>
  <c r="AN300" i="5"/>
  <c r="AO300" i="5"/>
  <c r="AP300" i="5"/>
  <c r="AR300" i="5"/>
  <c r="AU300" i="5"/>
  <c r="AV300" i="5" s="1"/>
  <c r="AW300" i="5"/>
  <c r="AX300" i="5" s="1"/>
  <c r="AH301" i="5"/>
  <c r="AZ301" i="5" s="1"/>
  <c r="AN301" i="5"/>
  <c r="AO301" i="5"/>
  <c r="AP301" i="5"/>
  <c r="AH302" i="5"/>
  <c r="AN302" i="5"/>
  <c r="AO302" i="5"/>
  <c r="AP302" i="5"/>
  <c r="AJ303" i="5"/>
  <c r="AK303" i="5"/>
  <c r="AL303" i="5"/>
  <c r="AN303" i="5"/>
  <c r="AO303" i="5"/>
  <c r="AP303" i="5"/>
  <c r="AR303" i="5"/>
  <c r="AS303" i="5" s="1"/>
  <c r="AU303" i="5"/>
  <c r="AV303" i="5" s="1"/>
  <c r="AW303" i="5"/>
  <c r="AX303" i="5" s="1"/>
  <c r="AH304" i="5"/>
  <c r="AI304" i="5" s="1"/>
  <c r="AN304" i="5"/>
  <c r="AO304" i="5"/>
  <c r="AP304" i="5"/>
  <c r="AR304" i="5"/>
  <c r="AU304" i="5"/>
  <c r="AV304" i="5" s="1"/>
  <c r="AW304" i="5"/>
  <c r="AX304" i="5" s="1"/>
  <c r="AH305" i="5"/>
  <c r="AN305" i="5"/>
  <c r="AO305" i="5"/>
  <c r="AP305" i="5"/>
  <c r="AR305" i="5"/>
  <c r="AT305" i="5" s="1"/>
  <c r="AU305" i="5"/>
  <c r="AV305" i="5" s="1"/>
  <c r="AW305" i="5"/>
  <c r="AX305" i="5" s="1"/>
  <c r="AH306" i="5"/>
  <c r="AN306" i="5"/>
  <c r="AO306" i="5"/>
  <c r="AP306" i="5"/>
  <c r="AR306" i="5"/>
  <c r="AU306" i="5"/>
  <c r="AV306" i="5" s="1"/>
  <c r="AW306" i="5"/>
  <c r="AX306" i="5" s="1"/>
  <c r="AH307" i="5"/>
  <c r="AY307" i="5" s="1"/>
  <c r="AN307" i="5"/>
  <c r="AO307" i="5"/>
  <c r="AP307" i="5"/>
  <c r="AH308" i="5"/>
  <c r="AI309" i="5" s="1"/>
  <c r="AN308" i="5"/>
  <c r="AO308" i="5"/>
  <c r="AP308" i="5"/>
  <c r="AJ309" i="5"/>
  <c r="AK309" i="5"/>
  <c r="AL309" i="5"/>
  <c r="AN309" i="5"/>
  <c r="AO309" i="5"/>
  <c r="AP309" i="5"/>
  <c r="AR309" i="5"/>
  <c r="AU309" i="5"/>
  <c r="AV309" i="5" s="1"/>
  <c r="AW309" i="5"/>
  <c r="AX309" i="5" s="1"/>
  <c r="AH310" i="5"/>
  <c r="AK310" i="5" s="1"/>
  <c r="AN310" i="5"/>
  <c r="AO310" i="5"/>
  <c r="AP310" i="5"/>
  <c r="AR310" i="5"/>
  <c r="AT310" i="5" s="1"/>
  <c r="AU310" i="5"/>
  <c r="AV310" i="5" s="1"/>
  <c r="AW310" i="5"/>
  <c r="AX310" i="5" s="1"/>
  <c r="AH311" i="5"/>
  <c r="AN311" i="5"/>
  <c r="AO311" i="5"/>
  <c r="AP311" i="5"/>
  <c r="AR311" i="5"/>
  <c r="AS311" i="5" s="1"/>
  <c r="AU311" i="5"/>
  <c r="AV311" i="5" s="1"/>
  <c r="AW311" i="5"/>
  <c r="AX311" i="5" s="1"/>
  <c r="AH312" i="5"/>
  <c r="AN312" i="5"/>
  <c r="AO312" i="5"/>
  <c r="AP312" i="5"/>
  <c r="AR312" i="5"/>
  <c r="AT312" i="5" s="1"/>
  <c r="AU312" i="5"/>
  <c r="AV312" i="5" s="1"/>
  <c r="AW312" i="5"/>
  <c r="AX312" i="5" s="1"/>
  <c r="AH313" i="5"/>
  <c r="AN313" i="5"/>
  <c r="AO313" i="5"/>
  <c r="AP313" i="5"/>
  <c r="AH314" i="5"/>
  <c r="AN314" i="5"/>
  <c r="AO314" i="5"/>
  <c r="AP314" i="5"/>
  <c r="AJ315" i="5"/>
  <c r="AK315" i="5"/>
  <c r="AL315" i="5"/>
  <c r="AN315" i="5"/>
  <c r="AO315" i="5"/>
  <c r="AP315" i="5"/>
  <c r="AR315" i="5"/>
  <c r="AU315" i="5"/>
  <c r="AV315" i="5" s="1"/>
  <c r="AW315" i="5"/>
  <c r="AX315" i="5" s="1"/>
  <c r="AH316" i="5"/>
  <c r="AN316" i="5"/>
  <c r="AO316" i="5"/>
  <c r="AP316" i="5"/>
  <c r="AR316" i="5"/>
  <c r="AS316" i="5" s="1"/>
  <c r="AU316" i="5"/>
  <c r="AV316" i="5" s="1"/>
  <c r="AW316" i="5"/>
  <c r="AX316" i="5" s="1"/>
  <c r="AH317" i="5"/>
  <c r="AN317" i="5"/>
  <c r="AO317" i="5"/>
  <c r="AP317" i="5"/>
  <c r="AR317" i="5"/>
  <c r="AU317" i="5"/>
  <c r="AV317" i="5" s="1"/>
  <c r="AW317" i="5"/>
  <c r="AX317" i="5" s="1"/>
  <c r="AH318" i="5"/>
  <c r="AN318" i="5"/>
  <c r="AO318" i="5"/>
  <c r="AP318" i="5"/>
  <c r="AR318" i="5"/>
  <c r="AT318" i="5" s="1"/>
  <c r="AU318" i="5"/>
  <c r="AV318" i="5" s="1"/>
  <c r="AW318" i="5"/>
  <c r="AX318" i="5" s="1"/>
  <c r="AH319" i="5"/>
  <c r="AL319" i="5" s="1"/>
  <c r="AN319" i="5"/>
  <c r="AO319" i="5"/>
  <c r="AP319" i="5"/>
  <c r="AH320" i="5"/>
  <c r="AN320" i="5"/>
  <c r="AO320" i="5"/>
  <c r="AP320" i="5"/>
  <c r="AJ321" i="5"/>
  <c r="AK321" i="5"/>
  <c r="AL321" i="5"/>
  <c r="AN321" i="5"/>
  <c r="AO321" i="5"/>
  <c r="AP321" i="5"/>
  <c r="AR321" i="5"/>
  <c r="AU321" i="5"/>
  <c r="AV321" i="5" s="1"/>
  <c r="AW321" i="5"/>
  <c r="AX321" i="5" s="1"/>
  <c r="AH322" i="5"/>
  <c r="AL322" i="5" s="1"/>
  <c r="AN322" i="5"/>
  <c r="AO322" i="5"/>
  <c r="AP322" i="5"/>
  <c r="AR322" i="5"/>
  <c r="AS322" i="5" s="1"/>
  <c r="AU322" i="5"/>
  <c r="AV322" i="5" s="1"/>
  <c r="AW322" i="5"/>
  <c r="AX322" i="5" s="1"/>
  <c r="AH323" i="5"/>
  <c r="AJ323" i="5" s="1"/>
  <c r="AN323" i="5"/>
  <c r="AO323" i="5"/>
  <c r="AP323" i="5"/>
  <c r="AR323" i="5"/>
  <c r="AT323" i="5" s="1"/>
  <c r="AU323" i="5"/>
  <c r="AV323" i="5" s="1"/>
  <c r="AW323" i="5"/>
  <c r="AX323" i="5" s="1"/>
  <c r="AH324" i="5"/>
  <c r="AN324" i="5"/>
  <c r="AO324" i="5"/>
  <c r="AP324" i="5"/>
  <c r="AR324" i="5"/>
  <c r="AS324" i="5" s="1"/>
  <c r="AU324" i="5"/>
  <c r="AV324" i="5" s="1"/>
  <c r="AW324" i="5"/>
  <c r="AX324" i="5" s="1"/>
  <c r="AH325" i="5"/>
  <c r="AN325" i="5"/>
  <c r="AO325" i="5"/>
  <c r="AP325" i="5"/>
  <c r="AH326" i="5"/>
  <c r="AN326" i="5"/>
  <c r="AO326" i="5"/>
  <c r="AP326" i="5"/>
  <c r="AJ327" i="5"/>
  <c r="AK327" i="5"/>
  <c r="AL327" i="5"/>
  <c r="AN327" i="5"/>
  <c r="AO327" i="5"/>
  <c r="AP327" i="5"/>
  <c r="AR327" i="5"/>
  <c r="AU327" i="5"/>
  <c r="AV327" i="5" s="1"/>
  <c r="AW327" i="5"/>
  <c r="AX327" i="5" s="1"/>
  <c r="AH328" i="5"/>
  <c r="AN328" i="5"/>
  <c r="AO328" i="5"/>
  <c r="AP328" i="5"/>
  <c r="AR328" i="5"/>
  <c r="AU328" i="5"/>
  <c r="AV328" i="5" s="1"/>
  <c r="AW328" i="5"/>
  <c r="AX328" i="5" s="1"/>
  <c r="AH329" i="5"/>
  <c r="AN329" i="5"/>
  <c r="AO329" i="5"/>
  <c r="AP329" i="5"/>
  <c r="AR329" i="5"/>
  <c r="AU329" i="5"/>
  <c r="AV329" i="5" s="1"/>
  <c r="AW329" i="5"/>
  <c r="AX329" i="5" s="1"/>
  <c r="AH330" i="5"/>
  <c r="AJ330" i="5" s="1"/>
  <c r="AN330" i="5"/>
  <c r="AO330" i="5"/>
  <c r="AP330" i="5"/>
  <c r="AR330" i="5"/>
  <c r="AT330" i="5" s="1"/>
  <c r="AU330" i="5"/>
  <c r="AV330" i="5" s="1"/>
  <c r="AW330" i="5"/>
  <c r="AX330" i="5" s="1"/>
  <c r="AH331" i="5"/>
  <c r="AN331" i="5"/>
  <c r="AO331" i="5"/>
  <c r="AP331" i="5"/>
  <c r="AH332" i="5"/>
  <c r="AW332" i="5" s="1"/>
  <c r="AX332" i="5" s="1"/>
  <c r="AN332" i="5"/>
  <c r="AO332" i="5"/>
  <c r="AP332" i="5"/>
  <c r="AJ333" i="5"/>
  <c r="AK333" i="5"/>
  <c r="AL333" i="5"/>
  <c r="AN333" i="5"/>
  <c r="AO333" i="5"/>
  <c r="AP333" i="5"/>
  <c r="AR333" i="5"/>
  <c r="AU333" i="5"/>
  <c r="AV333" i="5" s="1"/>
  <c r="AW333" i="5"/>
  <c r="AX333" i="5" s="1"/>
  <c r="AH334" i="5"/>
  <c r="AI334" i="5" s="1"/>
  <c r="AN334" i="5"/>
  <c r="AO334" i="5"/>
  <c r="AP334" i="5"/>
  <c r="AR334" i="5"/>
  <c r="AS334" i="5" s="1"/>
  <c r="AU334" i="5"/>
  <c r="AV334" i="5" s="1"/>
  <c r="AW334" i="5"/>
  <c r="AX334" i="5" s="1"/>
  <c r="AH335" i="5"/>
  <c r="AN335" i="5"/>
  <c r="AO335" i="5"/>
  <c r="AP335" i="5"/>
  <c r="AR335" i="5"/>
  <c r="AU335" i="5"/>
  <c r="AV335" i="5" s="1"/>
  <c r="AW335" i="5"/>
  <c r="AX335" i="5" s="1"/>
  <c r="AH336" i="5"/>
  <c r="AN336" i="5"/>
  <c r="AO336" i="5"/>
  <c r="AP336" i="5"/>
  <c r="AR336" i="5"/>
  <c r="AU336" i="5"/>
  <c r="AV336" i="5" s="1"/>
  <c r="AW336" i="5"/>
  <c r="AX336" i="5" s="1"/>
  <c r="AH337" i="5"/>
  <c r="AN337" i="5"/>
  <c r="AO337" i="5"/>
  <c r="AP337" i="5"/>
  <c r="AH338" i="5"/>
  <c r="AN338" i="5"/>
  <c r="AO338" i="5"/>
  <c r="AP338" i="5"/>
  <c r="AJ339" i="5"/>
  <c r="AK339" i="5"/>
  <c r="AL339" i="5"/>
  <c r="AN339" i="5"/>
  <c r="AO339" i="5"/>
  <c r="AP339" i="5"/>
  <c r="AR339" i="5"/>
  <c r="AS339" i="5" s="1"/>
  <c r="AU339" i="5"/>
  <c r="AV339" i="5" s="1"/>
  <c r="AW339" i="5"/>
  <c r="AX339" i="5" s="1"/>
  <c r="AH340" i="5"/>
  <c r="AN340" i="5"/>
  <c r="AO340" i="5"/>
  <c r="AP340" i="5"/>
  <c r="AR340" i="5"/>
  <c r="AS340" i="5" s="1"/>
  <c r="AU340" i="5"/>
  <c r="AV340" i="5" s="1"/>
  <c r="AW340" i="5"/>
  <c r="AX340" i="5" s="1"/>
  <c r="AH341" i="5"/>
  <c r="AN341" i="5"/>
  <c r="AO341" i="5"/>
  <c r="AP341" i="5"/>
  <c r="AR341" i="5"/>
  <c r="AS341" i="5" s="1"/>
  <c r="AU341" i="5"/>
  <c r="AV341" i="5" s="1"/>
  <c r="AW341" i="5"/>
  <c r="AX341" i="5" s="1"/>
  <c r="AH342" i="5"/>
  <c r="AK342" i="5" s="1"/>
  <c r="AN342" i="5"/>
  <c r="AO342" i="5"/>
  <c r="AP342" i="5"/>
  <c r="AR342" i="5"/>
  <c r="AT342" i="5" s="1"/>
  <c r="AU342" i="5"/>
  <c r="AV342" i="5" s="1"/>
  <c r="AW342" i="5"/>
  <c r="AX342" i="5" s="1"/>
  <c r="AH343" i="5"/>
  <c r="AJ343" i="5" s="1"/>
  <c r="AN343" i="5"/>
  <c r="AO343" i="5"/>
  <c r="AP343" i="5"/>
  <c r="AH344" i="5"/>
  <c r="AU344" i="5" s="1"/>
  <c r="AV344" i="5" s="1"/>
  <c r="AN344" i="5"/>
  <c r="AO344" i="5"/>
  <c r="AP344" i="5"/>
  <c r="AJ345" i="5"/>
  <c r="AK345" i="5"/>
  <c r="AL345" i="5"/>
  <c r="AN345" i="5"/>
  <c r="AO345" i="5"/>
  <c r="AP345" i="5"/>
  <c r="AR345" i="5"/>
  <c r="AU345" i="5"/>
  <c r="AV345" i="5" s="1"/>
  <c r="AW345" i="5"/>
  <c r="AX345" i="5" s="1"/>
  <c r="AH346" i="5"/>
  <c r="AN346" i="5"/>
  <c r="AO346" i="5"/>
  <c r="AP346" i="5"/>
  <c r="AR346" i="5"/>
  <c r="AS346" i="5" s="1"/>
  <c r="AU346" i="5"/>
  <c r="AV346" i="5" s="1"/>
  <c r="AW346" i="5"/>
  <c r="AX346" i="5" s="1"/>
  <c r="AH347" i="5"/>
  <c r="AJ347" i="5" s="1"/>
  <c r="AN347" i="5"/>
  <c r="AO347" i="5"/>
  <c r="AP347" i="5"/>
  <c r="AR347" i="5"/>
  <c r="AT347" i="5" s="1"/>
  <c r="AU347" i="5"/>
  <c r="AV347" i="5" s="1"/>
  <c r="AW347" i="5"/>
  <c r="AX347" i="5" s="1"/>
  <c r="AH348" i="5"/>
  <c r="AN348" i="5"/>
  <c r="AO348" i="5"/>
  <c r="AP348" i="5"/>
  <c r="AR348" i="5"/>
  <c r="AU348" i="5"/>
  <c r="AV348" i="5" s="1"/>
  <c r="AW348" i="5"/>
  <c r="AX348" i="5" s="1"/>
  <c r="AH349" i="5"/>
  <c r="AN349" i="5"/>
  <c r="AO349" i="5"/>
  <c r="AP349" i="5"/>
  <c r="AH350" i="5"/>
  <c r="AN350" i="5"/>
  <c r="AO350" i="5"/>
  <c r="AP350" i="5"/>
  <c r="AJ351" i="5"/>
  <c r="AK351" i="5"/>
  <c r="AL351" i="5"/>
  <c r="AN351" i="5"/>
  <c r="AO351" i="5"/>
  <c r="AP351" i="5"/>
  <c r="AR351" i="5"/>
  <c r="AS351" i="5" s="1"/>
  <c r="AU351" i="5"/>
  <c r="AV351" i="5" s="1"/>
  <c r="AW351" i="5"/>
  <c r="AX351" i="5" s="1"/>
  <c r="AH352" i="5"/>
  <c r="AN352" i="5"/>
  <c r="AO352" i="5"/>
  <c r="AP352" i="5"/>
  <c r="AR352" i="5"/>
  <c r="AU352" i="5"/>
  <c r="AV352" i="5" s="1"/>
  <c r="AW352" i="5"/>
  <c r="AX352" i="5" s="1"/>
  <c r="AH353" i="5"/>
  <c r="AN353" i="5"/>
  <c r="AO353" i="5"/>
  <c r="AP353" i="5"/>
  <c r="AR353" i="5"/>
  <c r="AU353" i="5"/>
  <c r="AV353" i="5" s="1"/>
  <c r="AW353" i="5"/>
  <c r="AX353" i="5" s="1"/>
  <c r="AH354" i="5"/>
  <c r="AJ354" i="5" s="1"/>
  <c r="AN354" i="5"/>
  <c r="AO354" i="5"/>
  <c r="AP354" i="5"/>
  <c r="AR354" i="5"/>
  <c r="AT354" i="5" s="1"/>
  <c r="AU354" i="5"/>
  <c r="AV354" i="5" s="1"/>
  <c r="AW354" i="5"/>
  <c r="AX354" i="5" s="1"/>
  <c r="AH355" i="5"/>
  <c r="AW355" i="5" s="1"/>
  <c r="AX355" i="5" s="1"/>
  <c r="AN355" i="5"/>
  <c r="AO355" i="5"/>
  <c r="AP355" i="5"/>
  <c r="AH356" i="5"/>
  <c r="AN356" i="5"/>
  <c r="AO356" i="5"/>
  <c r="AP356" i="5"/>
  <c r="AJ357" i="5"/>
  <c r="AK357" i="5"/>
  <c r="AL357" i="5"/>
  <c r="AN357" i="5"/>
  <c r="AO357" i="5"/>
  <c r="AP357" i="5"/>
  <c r="AR357" i="5"/>
  <c r="AT357" i="5" s="1"/>
  <c r="AU357" i="5"/>
  <c r="AV357" i="5" s="1"/>
  <c r="AW357" i="5"/>
  <c r="AX357" i="5" s="1"/>
  <c r="AH358" i="5"/>
  <c r="AL358" i="5" s="1"/>
  <c r="AN358" i="5"/>
  <c r="AO358" i="5"/>
  <c r="AP358" i="5"/>
  <c r="AR358" i="5"/>
  <c r="AS358" i="5" s="1"/>
  <c r="AU358" i="5"/>
  <c r="AV358" i="5" s="1"/>
  <c r="AW358" i="5"/>
  <c r="AX358" i="5" s="1"/>
  <c r="AH359" i="5"/>
  <c r="AN359" i="5"/>
  <c r="AO359" i="5"/>
  <c r="AP359" i="5"/>
  <c r="AR359" i="5"/>
  <c r="AT359" i="5" s="1"/>
  <c r="AU359" i="5"/>
  <c r="AV359" i="5" s="1"/>
  <c r="AW359" i="5"/>
  <c r="AX359" i="5" s="1"/>
  <c r="AH360" i="5"/>
  <c r="AN360" i="5"/>
  <c r="AO360" i="5"/>
  <c r="AP360" i="5"/>
  <c r="AR360" i="5"/>
  <c r="AU360" i="5"/>
  <c r="AV360" i="5" s="1"/>
  <c r="AW360" i="5"/>
  <c r="AX360" i="5" s="1"/>
  <c r="AH361" i="5"/>
  <c r="AN361" i="5"/>
  <c r="AO361" i="5"/>
  <c r="AP361" i="5"/>
  <c r="AH362" i="5"/>
  <c r="AN362" i="5"/>
  <c r="AO362" i="5"/>
  <c r="AP362" i="5"/>
  <c r="AJ363" i="5"/>
  <c r="AK363" i="5"/>
  <c r="AL363" i="5"/>
  <c r="AN363" i="5"/>
  <c r="AO363" i="5"/>
  <c r="AP363" i="5"/>
  <c r="AR363" i="5"/>
  <c r="AT363" i="5" s="1"/>
  <c r="AU363" i="5"/>
  <c r="AV363" i="5" s="1"/>
  <c r="AW363" i="5"/>
  <c r="AX363" i="5" s="1"/>
  <c r="AH364" i="5"/>
  <c r="AN364" i="5"/>
  <c r="AO364" i="5"/>
  <c r="AP364" i="5"/>
  <c r="AR364" i="5"/>
  <c r="AU364" i="5"/>
  <c r="AV364" i="5" s="1"/>
  <c r="AW364" i="5"/>
  <c r="AX364" i="5" s="1"/>
  <c r="AH365" i="5"/>
  <c r="AN365" i="5"/>
  <c r="AO365" i="5"/>
  <c r="AP365" i="5"/>
  <c r="AR365" i="5"/>
  <c r="AU365" i="5"/>
  <c r="AV365" i="5" s="1"/>
  <c r="AW365" i="5"/>
  <c r="AX365" i="5" s="1"/>
  <c r="AH366" i="5"/>
  <c r="AN366" i="5"/>
  <c r="AO366" i="5"/>
  <c r="AP366" i="5"/>
  <c r="AR366" i="5"/>
  <c r="AT366" i="5" s="1"/>
  <c r="AU366" i="5"/>
  <c r="AV366" i="5" s="1"/>
  <c r="AW366" i="5"/>
  <c r="AX366" i="5" s="1"/>
  <c r="AH367" i="5"/>
  <c r="AN367" i="5"/>
  <c r="AO367" i="5"/>
  <c r="AP367" i="5"/>
  <c r="AH368" i="5"/>
  <c r="AL368" i="5" s="1"/>
  <c r="AN368" i="5"/>
  <c r="AO368" i="5"/>
  <c r="AP368" i="5"/>
  <c r="AJ369" i="5"/>
  <c r="AK369" i="5"/>
  <c r="AL369" i="5"/>
  <c r="AN369" i="5"/>
  <c r="AO369" i="5"/>
  <c r="AP369" i="5"/>
  <c r="AR369" i="5"/>
  <c r="AU369" i="5"/>
  <c r="AV369" i="5" s="1"/>
  <c r="AW369" i="5"/>
  <c r="AX369" i="5" s="1"/>
  <c r="AH370" i="5"/>
  <c r="AZ370" i="5" s="1"/>
  <c r="AN370" i="5"/>
  <c r="AO370" i="5"/>
  <c r="AP370" i="5"/>
  <c r="AR370" i="5"/>
  <c r="AS370" i="5" s="1"/>
  <c r="AU370" i="5"/>
  <c r="AV370" i="5" s="1"/>
  <c r="AW370" i="5"/>
  <c r="AX370" i="5" s="1"/>
  <c r="AH371" i="5"/>
  <c r="AK371" i="5" s="1"/>
  <c r="AN371" i="5"/>
  <c r="AO371" i="5"/>
  <c r="AP371" i="5"/>
  <c r="AR371" i="5"/>
  <c r="AT371" i="5" s="1"/>
  <c r="AU371" i="5"/>
  <c r="AV371" i="5" s="1"/>
  <c r="AW371" i="5"/>
  <c r="AX371" i="5" s="1"/>
  <c r="AH372" i="5"/>
  <c r="AN372" i="5"/>
  <c r="AO372" i="5"/>
  <c r="AP372" i="5"/>
  <c r="AR372" i="5"/>
  <c r="AU372" i="5"/>
  <c r="AV372" i="5" s="1"/>
  <c r="AW372" i="5"/>
  <c r="AX372" i="5" s="1"/>
  <c r="AH373" i="5"/>
  <c r="AN373" i="5"/>
  <c r="AO373" i="5"/>
  <c r="AP373" i="5"/>
  <c r="AH374" i="5"/>
  <c r="AN374" i="5"/>
  <c r="AO374" i="5"/>
  <c r="AP374" i="5"/>
  <c r="AJ375" i="5"/>
  <c r="AK375" i="5"/>
  <c r="AL375" i="5"/>
  <c r="AN375" i="5"/>
  <c r="AO375" i="5"/>
  <c r="AP375" i="5"/>
  <c r="AR375" i="5"/>
  <c r="AU375" i="5"/>
  <c r="AV375" i="5" s="1"/>
  <c r="AW375" i="5"/>
  <c r="AX375" i="5" s="1"/>
  <c r="AH376" i="5"/>
  <c r="AN376" i="5"/>
  <c r="AO376" i="5"/>
  <c r="AP376" i="5"/>
  <c r="AR376" i="5"/>
  <c r="AU376" i="5"/>
  <c r="AV376" i="5" s="1"/>
  <c r="AW376" i="5"/>
  <c r="AX376" i="5" s="1"/>
  <c r="AH377" i="5"/>
  <c r="AN377" i="5"/>
  <c r="AO377" i="5"/>
  <c r="AP377" i="5"/>
  <c r="AR377" i="5"/>
  <c r="AU377" i="5"/>
  <c r="AV377" i="5" s="1"/>
  <c r="AW377" i="5"/>
  <c r="AX377" i="5" s="1"/>
  <c r="AH378" i="5"/>
  <c r="AK378" i="5" s="1"/>
  <c r="AN378" i="5"/>
  <c r="AO378" i="5"/>
  <c r="AP378" i="5"/>
  <c r="AR378" i="5"/>
  <c r="AS378" i="5" s="1"/>
  <c r="AU378" i="5"/>
  <c r="AV378" i="5" s="1"/>
  <c r="AW378" i="5"/>
  <c r="AX378" i="5" s="1"/>
  <c r="AH379" i="5"/>
  <c r="AN379" i="5"/>
  <c r="AO379" i="5"/>
  <c r="AP379" i="5"/>
  <c r="AH380" i="5"/>
  <c r="AI381" i="5" s="1"/>
  <c r="AN380" i="5"/>
  <c r="AO380" i="5"/>
  <c r="AP380" i="5"/>
  <c r="AJ381" i="5"/>
  <c r="AK381" i="5"/>
  <c r="AL381" i="5"/>
  <c r="AN381" i="5"/>
  <c r="AO381" i="5"/>
  <c r="AP381" i="5"/>
  <c r="AR381" i="5"/>
  <c r="AU381" i="5"/>
  <c r="AV381" i="5" s="1"/>
  <c r="AW381" i="5"/>
  <c r="AX381" i="5" s="1"/>
  <c r="AH382" i="5"/>
  <c r="AJ382" i="5" s="1"/>
  <c r="AN382" i="5"/>
  <c r="AO382" i="5"/>
  <c r="AP382" i="5"/>
  <c r="AR382" i="5"/>
  <c r="AT382" i="5" s="1"/>
  <c r="AU382" i="5"/>
  <c r="AV382" i="5" s="1"/>
  <c r="AW382" i="5"/>
  <c r="AX382" i="5" s="1"/>
  <c r="AH383" i="5"/>
  <c r="AN383" i="5"/>
  <c r="AO383" i="5"/>
  <c r="AP383" i="5"/>
  <c r="AR383" i="5"/>
  <c r="AS383" i="5" s="1"/>
  <c r="AU383" i="5"/>
  <c r="AV383" i="5" s="1"/>
  <c r="AW383" i="5"/>
  <c r="AX383" i="5" s="1"/>
  <c r="AH384" i="5"/>
  <c r="AN384" i="5"/>
  <c r="AO384" i="5"/>
  <c r="AP384" i="5"/>
  <c r="AR384" i="5"/>
  <c r="AU384" i="5"/>
  <c r="AV384" i="5" s="1"/>
  <c r="AW384" i="5"/>
  <c r="AX384" i="5" s="1"/>
  <c r="AH385" i="5"/>
  <c r="AN385" i="5"/>
  <c r="AO385" i="5"/>
  <c r="AP385" i="5"/>
  <c r="AH386" i="5"/>
  <c r="AN386" i="5"/>
  <c r="AO386" i="5"/>
  <c r="AP386" i="5"/>
  <c r="AJ387" i="5"/>
  <c r="AK387" i="5"/>
  <c r="AL387" i="5"/>
  <c r="AN387" i="5"/>
  <c r="AO387" i="5"/>
  <c r="AP387" i="5"/>
  <c r="AR387" i="5"/>
  <c r="AS387" i="5" s="1"/>
  <c r="AU387" i="5"/>
  <c r="AV387" i="5" s="1"/>
  <c r="AW387" i="5"/>
  <c r="AX387" i="5" s="1"/>
  <c r="AH388" i="5"/>
  <c r="AN388" i="5"/>
  <c r="AO388" i="5"/>
  <c r="AP388" i="5"/>
  <c r="AR388" i="5"/>
  <c r="AS388" i="5" s="1"/>
  <c r="AU388" i="5"/>
  <c r="AV388" i="5" s="1"/>
  <c r="AW388" i="5"/>
  <c r="AX388" i="5" s="1"/>
  <c r="AH389" i="5"/>
  <c r="AN389" i="5"/>
  <c r="AO389" i="5"/>
  <c r="AP389" i="5"/>
  <c r="AR389" i="5"/>
  <c r="AS389" i="5" s="1"/>
  <c r="AU389" i="5"/>
  <c r="AV389" i="5" s="1"/>
  <c r="AW389" i="5"/>
  <c r="AX389" i="5" s="1"/>
  <c r="AH390" i="5"/>
  <c r="AL390" i="5" s="1"/>
  <c r="AN390" i="5"/>
  <c r="AO390" i="5"/>
  <c r="AP390" i="5"/>
  <c r="AR390" i="5"/>
  <c r="AS390" i="5" s="1"/>
  <c r="AU390" i="5"/>
  <c r="AV390" i="5" s="1"/>
  <c r="AW390" i="5"/>
  <c r="AX390" i="5" s="1"/>
  <c r="AH391" i="5"/>
  <c r="AK391" i="5" s="1"/>
  <c r="AN391" i="5"/>
  <c r="AO391" i="5"/>
  <c r="AP391" i="5"/>
  <c r="AH392" i="5"/>
  <c r="AW392" i="5" s="1"/>
  <c r="AX392" i="5" s="1"/>
  <c r="AN392" i="5"/>
  <c r="AO392" i="5"/>
  <c r="AP392" i="5"/>
  <c r="AJ393" i="5"/>
  <c r="AK393" i="5"/>
  <c r="AL393" i="5"/>
  <c r="AN393" i="5"/>
  <c r="AO393" i="5"/>
  <c r="AP393" i="5"/>
  <c r="AR393" i="5"/>
  <c r="AU393" i="5"/>
  <c r="AV393" i="5" s="1"/>
  <c r="AW393" i="5"/>
  <c r="AX393" i="5" s="1"/>
  <c r="AH394" i="5"/>
  <c r="AI394" i="5" s="1"/>
  <c r="AN394" i="5"/>
  <c r="AO394" i="5"/>
  <c r="AP394" i="5"/>
  <c r="AR394" i="5"/>
  <c r="AT394" i="5" s="1"/>
  <c r="AU394" i="5"/>
  <c r="AV394" i="5" s="1"/>
  <c r="AW394" i="5"/>
  <c r="AX394" i="5" s="1"/>
  <c r="AH395" i="5"/>
  <c r="AK395" i="5" s="1"/>
  <c r="AN395" i="5"/>
  <c r="AO395" i="5"/>
  <c r="AP395" i="5"/>
  <c r="AR395" i="5"/>
  <c r="AS395" i="5" s="1"/>
  <c r="AU395" i="5"/>
  <c r="AV395" i="5" s="1"/>
  <c r="AW395" i="5"/>
  <c r="AX395" i="5" s="1"/>
  <c r="AH396" i="5"/>
  <c r="AK396" i="5" s="1"/>
  <c r="AN396" i="5"/>
  <c r="AO396" i="5"/>
  <c r="AP396" i="5"/>
  <c r="AR396" i="5"/>
  <c r="AT396" i="5" s="1"/>
  <c r="AU396" i="5"/>
  <c r="AV396" i="5" s="1"/>
  <c r="AW396" i="5"/>
  <c r="AX396" i="5" s="1"/>
  <c r="AH397" i="5"/>
  <c r="AN397" i="5"/>
  <c r="AO397" i="5"/>
  <c r="AP397" i="5"/>
  <c r="AH398" i="5"/>
  <c r="AN398" i="5"/>
  <c r="AO398" i="5"/>
  <c r="AP398" i="5"/>
  <c r="AJ399" i="5"/>
  <c r="AK399" i="5"/>
  <c r="AL399" i="5"/>
  <c r="AN399" i="5"/>
  <c r="AO399" i="5"/>
  <c r="AP399" i="5"/>
  <c r="AR399" i="5"/>
  <c r="AT399" i="5" s="1"/>
  <c r="AU399" i="5"/>
  <c r="AV399" i="5" s="1"/>
  <c r="AW399" i="5"/>
  <c r="AX399" i="5" s="1"/>
  <c r="AH400" i="5"/>
  <c r="AN400" i="5"/>
  <c r="AO400" i="5"/>
  <c r="AP400" i="5"/>
  <c r="AR400" i="5"/>
  <c r="AT400" i="5" s="1"/>
  <c r="AU400" i="5"/>
  <c r="AV400" i="5" s="1"/>
  <c r="AW400" i="5"/>
  <c r="AX400" i="5" s="1"/>
  <c r="AH401" i="5"/>
  <c r="AN401" i="5"/>
  <c r="AO401" i="5"/>
  <c r="AP401" i="5"/>
  <c r="AR401" i="5"/>
  <c r="AU401" i="5"/>
  <c r="AV401" i="5" s="1"/>
  <c r="AW401" i="5"/>
  <c r="AX401" i="5" s="1"/>
  <c r="AH402" i="5"/>
  <c r="AL402" i="5" s="1"/>
  <c r="AN402" i="5"/>
  <c r="AO402" i="5"/>
  <c r="AP402" i="5"/>
  <c r="AR402" i="5"/>
  <c r="AT402" i="5" s="1"/>
  <c r="AU402" i="5"/>
  <c r="AV402" i="5" s="1"/>
  <c r="AW402" i="5"/>
  <c r="AX402" i="5" s="1"/>
  <c r="AH403" i="5"/>
  <c r="AY403" i="5" s="1"/>
  <c r="AN403" i="5"/>
  <c r="AO403" i="5"/>
  <c r="AP403" i="5"/>
  <c r="AH404" i="5"/>
  <c r="AN404" i="5"/>
  <c r="AO404" i="5"/>
  <c r="AP404" i="5"/>
  <c r="AJ405" i="5"/>
  <c r="AK405" i="5"/>
  <c r="AL405" i="5"/>
  <c r="AN405" i="5"/>
  <c r="AO405" i="5"/>
  <c r="AP405" i="5"/>
  <c r="AR405" i="5"/>
  <c r="AU405" i="5"/>
  <c r="AV405" i="5" s="1"/>
  <c r="AW405" i="5"/>
  <c r="AX405" i="5" s="1"/>
  <c r="AH406" i="5"/>
  <c r="AI406" i="5" s="1"/>
  <c r="AN406" i="5"/>
  <c r="AO406" i="5"/>
  <c r="AP406" i="5"/>
  <c r="AR406" i="5"/>
  <c r="AS406" i="5" s="1"/>
  <c r="AU406" i="5"/>
  <c r="AV406" i="5" s="1"/>
  <c r="AW406" i="5"/>
  <c r="AX406" i="5" s="1"/>
  <c r="AH407" i="5"/>
  <c r="AN407" i="5"/>
  <c r="AO407" i="5"/>
  <c r="AP407" i="5"/>
  <c r="AR407" i="5"/>
  <c r="AU407" i="5"/>
  <c r="AV407" i="5" s="1"/>
  <c r="AW407" i="5"/>
  <c r="AX407" i="5" s="1"/>
  <c r="AH408" i="5"/>
  <c r="AN408" i="5"/>
  <c r="AO408" i="5"/>
  <c r="AP408" i="5"/>
  <c r="AR408" i="5"/>
  <c r="AU408" i="5"/>
  <c r="AV408" i="5" s="1"/>
  <c r="AW408" i="5"/>
  <c r="AX408" i="5" s="1"/>
  <c r="AH409" i="5"/>
  <c r="AN409" i="5"/>
  <c r="AO409" i="5"/>
  <c r="AP409" i="5"/>
  <c r="AH410" i="5"/>
  <c r="AN410" i="5"/>
  <c r="AO410" i="5"/>
  <c r="AP410" i="5"/>
  <c r="AJ411" i="5"/>
  <c r="AK411" i="5"/>
  <c r="AL411" i="5"/>
  <c r="AN411" i="5"/>
  <c r="AO411" i="5"/>
  <c r="AP411" i="5"/>
  <c r="AR411" i="5"/>
  <c r="AU411" i="5"/>
  <c r="AV411" i="5" s="1"/>
  <c r="AW411" i="5"/>
  <c r="AX411" i="5" s="1"/>
  <c r="AH412" i="5"/>
  <c r="AN412" i="5"/>
  <c r="AO412" i="5"/>
  <c r="AP412" i="5"/>
  <c r="AR412" i="5"/>
  <c r="AU412" i="5"/>
  <c r="AV412" i="5" s="1"/>
  <c r="AW412" i="5"/>
  <c r="AX412" i="5" s="1"/>
  <c r="AH413" i="5"/>
  <c r="AN413" i="5"/>
  <c r="AO413" i="5"/>
  <c r="AP413" i="5"/>
  <c r="AR413" i="5"/>
  <c r="AT413" i="5" s="1"/>
  <c r="AU413" i="5"/>
  <c r="AV413" i="5" s="1"/>
  <c r="AW413" i="5"/>
  <c r="AX413" i="5" s="1"/>
  <c r="AH414" i="5"/>
  <c r="AN414" i="5"/>
  <c r="AO414" i="5"/>
  <c r="AP414" i="5"/>
  <c r="AR414" i="5"/>
  <c r="AS414" i="5" s="1"/>
  <c r="AU414" i="5"/>
  <c r="AV414" i="5" s="1"/>
  <c r="AW414" i="5"/>
  <c r="AX414" i="5" s="1"/>
  <c r="AH415" i="5"/>
  <c r="AW415" i="5" s="1"/>
  <c r="AX415" i="5" s="1"/>
  <c r="AN415" i="5"/>
  <c r="AO415" i="5"/>
  <c r="AP415" i="5"/>
  <c r="AH416" i="5"/>
  <c r="AN416" i="5"/>
  <c r="AO416" i="5"/>
  <c r="AP416" i="5"/>
  <c r="AJ417" i="5"/>
  <c r="AK417" i="5"/>
  <c r="AL417" i="5"/>
  <c r="AN417" i="5"/>
  <c r="AO417" i="5"/>
  <c r="AP417" i="5"/>
  <c r="AR417" i="5"/>
  <c r="AU417" i="5"/>
  <c r="AV417" i="5" s="1"/>
  <c r="AW417" i="5"/>
  <c r="AX417" i="5" s="1"/>
  <c r="AH418" i="5"/>
  <c r="AJ418" i="5" s="1"/>
  <c r="AN418" i="5"/>
  <c r="AO418" i="5"/>
  <c r="AP418" i="5"/>
  <c r="AR418" i="5"/>
  <c r="AT418" i="5" s="1"/>
  <c r="AU418" i="5"/>
  <c r="AV418" i="5" s="1"/>
  <c r="AW418" i="5"/>
  <c r="AX418" i="5" s="1"/>
  <c r="AH419" i="5"/>
  <c r="AY419" i="5" s="1"/>
  <c r="AN419" i="5"/>
  <c r="AO419" i="5"/>
  <c r="AP419" i="5"/>
  <c r="AR419" i="5"/>
  <c r="AT419" i="5" s="1"/>
  <c r="AU419" i="5"/>
  <c r="AV419" i="5" s="1"/>
  <c r="AW419" i="5"/>
  <c r="AX419" i="5" s="1"/>
  <c r="AH420" i="5"/>
  <c r="AN420" i="5"/>
  <c r="AO420" i="5"/>
  <c r="AP420" i="5"/>
  <c r="AR420" i="5"/>
  <c r="AU420" i="5"/>
  <c r="AV420" i="5" s="1"/>
  <c r="AW420" i="5"/>
  <c r="AX420" i="5" s="1"/>
  <c r="AH421" i="5"/>
  <c r="AN421" i="5"/>
  <c r="AO421" i="5"/>
  <c r="AP421" i="5"/>
  <c r="AH422" i="5"/>
  <c r="AN422" i="5"/>
  <c r="AO422" i="5"/>
  <c r="AP422" i="5"/>
  <c r="AJ423" i="5"/>
  <c r="AK423" i="5"/>
  <c r="AL423" i="5"/>
  <c r="AN423" i="5"/>
  <c r="AO423" i="5"/>
  <c r="AP423" i="5"/>
  <c r="AR423" i="5"/>
  <c r="AU423" i="5"/>
  <c r="AV423" i="5" s="1"/>
  <c r="AW423" i="5"/>
  <c r="AX423" i="5" s="1"/>
  <c r="AH424" i="5"/>
  <c r="AN424" i="5"/>
  <c r="AO424" i="5"/>
  <c r="AP424" i="5"/>
  <c r="AR424" i="5"/>
  <c r="AS424" i="5" s="1"/>
  <c r="AU424" i="5"/>
  <c r="AV424" i="5" s="1"/>
  <c r="AW424" i="5"/>
  <c r="AX424" i="5" s="1"/>
  <c r="AH425" i="5"/>
  <c r="AN425" i="5"/>
  <c r="AO425" i="5"/>
  <c r="AP425" i="5"/>
  <c r="AR425" i="5"/>
  <c r="AU425" i="5"/>
  <c r="AV425" i="5" s="1"/>
  <c r="AW425" i="5"/>
  <c r="AX425" i="5" s="1"/>
  <c r="AH426" i="5"/>
  <c r="AZ426" i="5" s="1"/>
  <c r="AN426" i="5"/>
  <c r="AO426" i="5"/>
  <c r="AP426" i="5"/>
  <c r="AR426" i="5"/>
  <c r="AT426" i="5" s="1"/>
  <c r="AU426" i="5"/>
  <c r="AV426" i="5" s="1"/>
  <c r="AW426" i="5"/>
  <c r="AX426" i="5" s="1"/>
  <c r="AH427" i="5"/>
  <c r="AN427" i="5"/>
  <c r="AO427" i="5"/>
  <c r="AP427" i="5"/>
  <c r="AH428" i="5"/>
  <c r="AN428" i="5"/>
  <c r="AO428" i="5"/>
  <c r="AP428" i="5"/>
  <c r="AJ429" i="5"/>
  <c r="AK429" i="5"/>
  <c r="AL429" i="5"/>
  <c r="AN429" i="5"/>
  <c r="AO429" i="5"/>
  <c r="AP429" i="5"/>
  <c r="AR429" i="5"/>
  <c r="AU429" i="5"/>
  <c r="AV429" i="5" s="1"/>
  <c r="AW429" i="5"/>
  <c r="AX429" i="5" s="1"/>
  <c r="AH430" i="5"/>
  <c r="AI430" i="5" s="1"/>
  <c r="AN430" i="5"/>
  <c r="AO430" i="5"/>
  <c r="AP430" i="5"/>
  <c r="AR430" i="5"/>
  <c r="AS430" i="5" s="1"/>
  <c r="AU430" i="5"/>
  <c r="AV430" i="5" s="1"/>
  <c r="AW430" i="5"/>
  <c r="AX430" i="5" s="1"/>
  <c r="AH431" i="5"/>
  <c r="AN431" i="5"/>
  <c r="AO431" i="5"/>
  <c r="AP431" i="5"/>
  <c r="AR431" i="5"/>
  <c r="AU431" i="5"/>
  <c r="AV431" i="5" s="1"/>
  <c r="AW431" i="5"/>
  <c r="AX431" i="5" s="1"/>
  <c r="AH432" i="5"/>
  <c r="AN432" i="5"/>
  <c r="AO432" i="5"/>
  <c r="AP432" i="5"/>
  <c r="AH433" i="5"/>
  <c r="AN433" i="5"/>
  <c r="AO433" i="5"/>
  <c r="AP433" i="5"/>
  <c r="AJ434" i="5"/>
  <c r="AK434" i="5"/>
  <c r="AL434" i="5"/>
  <c r="AN434" i="5"/>
  <c r="AO434" i="5"/>
  <c r="AP434" i="5"/>
  <c r="AR434" i="5"/>
  <c r="AT434" i="5" s="1"/>
  <c r="AU434" i="5"/>
  <c r="AV434" i="5" s="1"/>
  <c r="AW434" i="5"/>
  <c r="AX434" i="5" s="1"/>
  <c r="AH435" i="5"/>
  <c r="AN435" i="5"/>
  <c r="AO435" i="5"/>
  <c r="AP435" i="5"/>
  <c r="AR435" i="5"/>
  <c r="AT435" i="5" s="1"/>
  <c r="AU435" i="5"/>
  <c r="AV435" i="5" s="1"/>
  <c r="AW435" i="5"/>
  <c r="AX435" i="5" s="1"/>
  <c r="AH436" i="5"/>
  <c r="AN436" i="5"/>
  <c r="AO436" i="5"/>
  <c r="AP436" i="5"/>
  <c r="AR436" i="5"/>
  <c r="AT436" i="5" s="1"/>
  <c r="AU436" i="5"/>
  <c r="AV436" i="5" s="1"/>
  <c r="AW436" i="5"/>
  <c r="AX436" i="5" s="1"/>
  <c r="AH437" i="5"/>
  <c r="AN437" i="5"/>
  <c r="AO437" i="5"/>
  <c r="AP437" i="5"/>
  <c r="AH438" i="5"/>
  <c r="AN438" i="5"/>
  <c r="AO438" i="5"/>
  <c r="AP438" i="5"/>
  <c r="AJ439" i="5"/>
  <c r="AK439" i="5"/>
  <c r="AL439" i="5"/>
  <c r="AN439" i="5"/>
  <c r="AO439" i="5"/>
  <c r="AP439" i="5"/>
  <c r="AR439" i="5"/>
  <c r="AU439" i="5"/>
  <c r="AV439" i="5" s="1"/>
  <c r="AW439" i="5"/>
  <c r="AX439" i="5" s="1"/>
  <c r="AH440" i="5"/>
  <c r="AN440" i="5"/>
  <c r="AO440" i="5"/>
  <c r="AP440" i="5"/>
  <c r="AR440" i="5"/>
  <c r="AU440" i="5"/>
  <c r="AV440" i="5" s="1"/>
  <c r="AW440" i="5"/>
  <c r="AX440" i="5" s="1"/>
  <c r="AH441" i="5"/>
  <c r="AN441" i="5"/>
  <c r="AO441" i="5"/>
  <c r="AP441" i="5"/>
  <c r="AR441" i="5"/>
  <c r="AU441" i="5"/>
  <c r="AV441" i="5" s="1"/>
  <c r="AW441" i="5"/>
  <c r="AX441" i="5" s="1"/>
  <c r="AH442" i="5"/>
  <c r="AU442" i="5" s="1"/>
  <c r="AV442" i="5" s="1"/>
  <c r="AN442" i="5"/>
  <c r="AO442" i="5"/>
  <c r="AP442" i="5"/>
  <c r="AH443" i="5"/>
  <c r="AZ443" i="5" s="1"/>
  <c r="AN443" i="5"/>
  <c r="AO443" i="5"/>
  <c r="AP443" i="5"/>
  <c r="AJ444" i="5"/>
  <c r="AK444" i="5"/>
  <c r="AL444" i="5"/>
  <c r="AN444" i="5"/>
  <c r="AO444" i="5"/>
  <c r="AP444" i="5"/>
  <c r="AR444" i="5"/>
  <c r="AU444" i="5"/>
  <c r="AV444" i="5" s="1"/>
  <c r="AW444" i="5"/>
  <c r="AX444" i="5" s="1"/>
  <c r="AH445" i="5"/>
  <c r="AN445" i="5"/>
  <c r="AO445" i="5"/>
  <c r="AP445" i="5"/>
  <c r="AR445" i="5"/>
  <c r="AU445" i="5"/>
  <c r="AV445" i="5" s="1"/>
  <c r="AW445" i="5"/>
  <c r="AX445" i="5" s="1"/>
  <c r="AH446" i="5"/>
  <c r="AK446" i="5" s="1"/>
  <c r="AN446" i="5"/>
  <c r="AO446" i="5"/>
  <c r="AP446" i="5"/>
  <c r="AR446" i="5"/>
  <c r="AS446" i="5" s="1"/>
  <c r="AU446" i="5"/>
  <c r="AV446" i="5" s="1"/>
  <c r="AW446" i="5"/>
  <c r="AX446" i="5" s="1"/>
  <c r="AH447" i="5"/>
  <c r="AR447" i="5" s="1"/>
  <c r="AN447" i="5"/>
  <c r="AO447" i="5"/>
  <c r="AP447" i="5"/>
  <c r="AH448" i="5"/>
  <c r="AN448" i="5"/>
  <c r="AO448" i="5"/>
  <c r="AP448" i="5"/>
  <c r="AJ449" i="5"/>
  <c r="AK449" i="5"/>
  <c r="AL449" i="5"/>
  <c r="AN449" i="5"/>
  <c r="AO449" i="5"/>
  <c r="AP449" i="5"/>
  <c r="AR449" i="5"/>
  <c r="AT449" i="5" s="1"/>
  <c r="AU449" i="5"/>
  <c r="AV449" i="5" s="1"/>
  <c r="AW449" i="5"/>
  <c r="AX449" i="5" s="1"/>
  <c r="AH450" i="5"/>
  <c r="AZ450" i="5" s="1"/>
  <c r="AN450" i="5"/>
  <c r="AO450" i="5"/>
  <c r="AP450" i="5"/>
  <c r="AR450" i="5"/>
  <c r="AT450" i="5" s="1"/>
  <c r="AU450" i="5"/>
  <c r="AV450" i="5" s="1"/>
  <c r="AW450" i="5"/>
  <c r="AX450" i="5" s="1"/>
  <c r="AH451" i="5"/>
  <c r="AN451" i="5"/>
  <c r="AO451" i="5"/>
  <c r="AP451" i="5"/>
  <c r="AR451" i="5"/>
  <c r="AT451" i="5" s="1"/>
  <c r="AU451" i="5"/>
  <c r="AV451" i="5" s="1"/>
  <c r="AW451" i="5"/>
  <c r="AX451" i="5" s="1"/>
  <c r="AH452" i="5"/>
  <c r="AN452" i="5"/>
  <c r="AO452" i="5"/>
  <c r="AP452" i="5"/>
  <c r="AH453" i="5"/>
  <c r="AN453" i="5"/>
  <c r="AO453" i="5"/>
  <c r="AP453" i="5"/>
  <c r="AJ454" i="5"/>
  <c r="AK454" i="5"/>
  <c r="AL454" i="5"/>
  <c r="AN454" i="5"/>
  <c r="AO454" i="5"/>
  <c r="AP454" i="5"/>
  <c r="AR454" i="5"/>
  <c r="AS454" i="5" s="1"/>
  <c r="AU454" i="5"/>
  <c r="AV454" i="5" s="1"/>
  <c r="AW454" i="5"/>
  <c r="AX454" i="5" s="1"/>
  <c r="AH474" i="5"/>
  <c r="AN474" i="5"/>
  <c r="AO474" i="5"/>
  <c r="AP474" i="5"/>
  <c r="AR474" i="5"/>
  <c r="AU474" i="5"/>
  <c r="AV474" i="5" s="1"/>
  <c r="AW474" i="5"/>
  <c r="AX474" i="5" s="1"/>
  <c r="AH475" i="5"/>
  <c r="AN475" i="5"/>
  <c r="AO475" i="5"/>
  <c r="AP475" i="5"/>
  <c r="AR475" i="5"/>
  <c r="AU475" i="5"/>
  <c r="AV475" i="5" s="1"/>
  <c r="AW475" i="5"/>
  <c r="AX475" i="5" s="1"/>
  <c r="AH476" i="5"/>
  <c r="AN476" i="5"/>
  <c r="AO476" i="5"/>
  <c r="AP476" i="5"/>
  <c r="AR476" i="5"/>
  <c r="AU476" i="5"/>
  <c r="AV476" i="5" s="1"/>
  <c r="AW476" i="5"/>
  <c r="AX476" i="5" s="1"/>
  <c r="AH477" i="5"/>
  <c r="AM477" i="5" s="1"/>
  <c r="AN477" i="5"/>
  <c r="AO477" i="5"/>
  <c r="AP477" i="5"/>
  <c r="AR477" i="5"/>
  <c r="AU477" i="5"/>
  <c r="AV477" i="5" s="1"/>
  <c r="AW477" i="5"/>
  <c r="AX477" i="5" s="1"/>
  <c r="AH478" i="5"/>
  <c r="AJ478" i="5" s="1"/>
  <c r="AN478" i="5"/>
  <c r="AO478" i="5"/>
  <c r="AR478" i="5"/>
  <c r="AU478" i="5"/>
  <c r="AV478" i="5" s="1"/>
  <c r="AW478" i="5"/>
  <c r="AX478" i="5" s="1"/>
  <c r="AH479" i="5"/>
  <c r="AY479" i="5" s="1"/>
  <c r="AN479" i="5"/>
  <c r="AO479" i="5"/>
  <c r="AP479" i="5"/>
  <c r="AR479" i="5"/>
  <c r="AU479" i="5"/>
  <c r="AV479" i="5" s="1"/>
  <c r="AW479" i="5"/>
  <c r="AX479" i="5" s="1"/>
  <c r="AH480" i="5"/>
  <c r="AN480" i="5"/>
  <c r="AO480" i="5"/>
  <c r="AP480" i="5"/>
  <c r="AR480" i="5"/>
  <c r="AT480" i="5" s="1"/>
  <c r="AU480" i="5"/>
  <c r="AV480" i="5" s="1"/>
  <c r="AW480" i="5"/>
  <c r="AX480" i="5" s="1"/>
  <c r="AH481" i="5"/>
  <c r="AZ481" i="5" s="1"/>
  <c r="AN481" i="5"/>
  <c r="AO481" i="5"/>
  <c r="AP481" i="5"/>
  <c r="AR481" i="5"/>
  <c r="AS481" i="5" s="1"/>
  <c r="AU481" i="5"/>
  <c r="AV481" i="5" s="1"/>
  <c r="AW481" i="5"/>
  <c r="AX481" i="5" s="1"/>
  <c r="AH482" i="5"/>
  <c r="AN482" i="5"/>
  <c r="AO482" i="5"/>
  <c r="AP482" i="5"/>
  <c r="AR482" i="5"/>
  <c r="AU482" i="5"/>
  <c r="AV482" i="5" s="1"/>
  <c r="AW482" i="5"/>
  <c r="AX482" i="5" s="1"/>
  <c r="AH483" i="5"/>
  <c r="AN483" i="5"/>
  <c r="AO483" i="5"/>
  <c r="AP483" i="5"/>
  <c r="AH484" i="5"/>
  <c r="AN484" i="5"/>
  <c r="AO484" i="5"/>
  <c r="AP484" i="5"/>
  <c r="AJ485" i="5"/>
  <c r="AK485" i="5"/>
  <c r="AL485" i="5"/>
  <c r="AN485" i="5"/>
  <c r="AO485" i="5"/>
  <c r="AP485" i="5"/>
  <c r="AR485" i="5"/>
  <c r="AT485" i="5" s="1"/>
  <c r="AU485" i="5"/>
  <c r="AV485" i="5" s="1"/>
  <c r="AW485" i="5"/>
  <c r="AX485" i="5" s="1"/>
  <c r="AH486" i="5"/>
  <c r="AJ486" i="5" s="1"/>
  <c r="AN486" i="5"/>
  <c r="AO486" i="5"/>
  <c r="AP486" i="5"/>
  <c r="AR486" i="5"/>
  <c r="AU486" i="5"/>
  <c r="AV486" i="5" s="1"/>
  <c r="AW486" i="5"/>
  <c r="AX486" i="5" s="1"/>
  <c r="AH487" i="5"/>
  <c r="AN487" i="5"/>
  <c r="AO487" i="5"/>
  <c r="AP487" i="5"/>
  <c r="AR487" i="5"/>
  <c r="AU487" i="5"/>
  <c r="AV487" i="5" s="1"/>
  <c r="AW487" i="5"/>
  <c r="AX487" i="5" s="1"/>
  <c r="AH488" i="5"/>
  <c r="AJ488" i="5" s="1"/>
  <c r="AN488" i="5"/>
  <c r="AO488" i="5"/>
  <c r="AP488" i="5"/>
  <c r="AR488" i="5"/>
  <c r="AS488" i="5" s="1"/>
  <c r="AU488" i="5"/>
  <c r="AV488" i="5" s="1"/>
  <c r="AW488" i="5"/>
  <c r="AX488" i="5" s="1"/>
  <c r="AH489" i="5"/>
  <c r="AN489" i="5"/>
  <c r="AO489" i="5"/>
  <c r="AP489" i="5"/>
  <c r="AR489" i="5"/>
  <c r="AT489" i="5" s="1"/>
  <c r="AU489" i="5"/>
  <c r="AV489" i="5" s="1"/>
  <c r="AW489" i="5"/>
  <c r="AX489" i="5" s="1"/>
  <c r="AH490" i="5"/>
  <c r="AN490" i="5"/>
  <c r="AO490" i="5"/>
  <c r="AP490" i="5"/>
  <c r="AH491" i="5"/>
  <c r="AN491" i="5"/>
  <c r="AO491" i="5"/>
  <c r="AP491" i="5"/>
  <c r="AJ492" i="5"/>
  <c r="AK492" i="5"/>
  <c r="AL492" i="5"/>
  <c r="AN492" i="5"/>
  <c r="AO492" i="5"/>
  <c r="AP492" i="5"/>
  <c r="AR492" i="5"/>
  <c r="AT492" i="5" s="1"/>
  <c r="AU492" i="5"/>
  <c r="AV492" i="5" s="1"/>
  <c r="AW492" i="5"/>
  <c r="AX492" i="5" s="1"/>
  <c r="AH493" i="5"/>
  <c r="AL493" i="5" s="1"/>
  <c r="AN493" i="5"/>
  <c r="AO493" i="5"/>
  <c r="AP493" i="5"/>
  <c r="AR493" i="5"/>
  <c r="AT493" i="5" s="1"/>
  <c r="AU493" i="5"/>
  <c r="AV493" i="5" s="1"/>
  <c r="AW493" i="5"/>
  <c r="AX493" i="5" s="1"/>
  <c r="AH494" i="5"/>
  <c r="AN494" i="5"/>
  <c r="AO494" i="5"/>
  <c r="AP494" i="5"/>
  <c r="AR494" i="5"/>
  <c r="AU494" i="5"/>
  <c r="AV494" i="5" s="1"/>
  <c r="AW494" i="5"/>
  <c r="AX494" i="5" s="1"/>
  <c r="AH495" i="5"/>
  <c r="AN495" i="5"/>
  <c r="AO495" i="5"/>
  <c r="AP495" i="5"/>
  <c r="AR495" i="5"/>
  <c r="AT495" i="5" s="1"/>
  <c r="AU495" i="5"/>
  <c r="AV495" i="5" s="1"/>
  <c r="AW495" i="5"/>
  <c r="AX495" i="5" s="1"/>
  <c r="AH496" i="5"/>
  <c r="AY496" i="5" s="1"/>
  <c r="AN496" i="5"/>
  <c r="AO496" i="5"/>
  <c r="AP496" i="5"/>
  <c r="AR496" i="5"/>
  <c r="AT496" i="5" s="1"/>
  <c r="AU496" i="5"/>
  <c r="AV496" i="5" s="1"/>
  <c r="AW496" i="5"/>
  <c r="AX496" i="5" s="1"/>
  <c r="AH497" i="5"/>
  <c r="AN497" i="5"/>
  <c r="AO497" i="5"/>
  <c r="AP497" i="5"/>
  <c r="AH498" i="5"/>
  <c r="AJ498" i="5" s="1"/>
  <c r="AN498" i="5"/>
  <c r="AO498" i="5"/>
  <c r="AP498" i="5"/>
  <c r="AJ499" i="5"/>
  <c r="AK499" i="5"/>
  <c r="AL499" i="5"/>
  <c r="AN499" i="5"/>
  <c r="AO499" i="5"/>
  <c r="AP499" i="5"/>
  <c r="AR499" i="5"/>
  <c r="AU499" i="5"/>
  <c r="AV499" i="5" s="1"/>
  <c r="AW499" i="5"/>
  <c r="AX499" i="5" s="1"/>
  <c r="AH500" i="5"/>
  <c r="AI500" i="5" s="1"/>
  <c r="AH501" i="5"/>
  <c r="AN500" i="5"/>
  <c r="AO500" i="5"/>
  <c r="AP500" i="5"/>
  <c r="AR500" i="5"/>
  <c r="AU500" i="5"/>
  <c r="AV500" i="5" s="1"/>
  <c r="AW500" i="5"/>
  <c r="AX500" i="5" s="1"/>
  <c r="AN501" i="5"/>
  <c r="AO501" i="5"/>
  <c r="AP501" i="5"/>
  <c r="AR501" i="5"/>
  <c r="AS501" i="5" s="1"/>
  <c r="AU501" i="5"/>
  <c r="AV501" i="5" s="1"/>
  <c r="AW501" i="5"/>
  <c r="AX501" i="5" s="1"/>
  <c r="AH502" i="5"/>
  <c r="AN502" i="5"/>
  <c r="AO502" i="5"/>
  <c r="AP502" i="5"/>
  <c r="AR502" i="5"/>
  <c r="AU502" i="5"/>
  <c r="AV502" i="5" s="1"/>
  <c r="AW502" i="5"/>
  <c r="AX502" i="5" s="1"/>
  <c r="AH503" i="5"/>
  <c r="AN503" i="5"/>
  <c r="AO503" i="5"/>
  <c r="AP503" i="5"/>
  <c r="AR503" i="5"/>
  <c r="AU503" i="5"/>
  <c r="AV503" i="5" s="1"/>
  <c r="AW503" i="5"/>
  <c r="AX503" i="5" s="1"/>
  <c r="AH504" i="5"/>
  <c r="AU504" i="5" s="1"/>
  <c r="AV504" i="5" s="1"/>
  <c r="AN504" i="5"/>
  <c r="AO504" i="5"/>
  <c r="AP504" i="5"/>
  <c r="AH505" i="5"/>
  <c r="AU505" i="5" s="1"/>
  <c r="AV505" i="5" s="1"/>
  <c r="AN505" i="5"/>
  <c r="AO505" i="5"/>
  <c r="AP505" i="5"/>
  <c r="AJ506" i="5"/>
  <c r="AK506" i="5"/>
  <c r="AL506" i="5"/>
  <c r="AN506" i="5"/>
  <c r="AO506" i="5"/>
  <c r="AP506" i="5"/>
  <c r="AR506" i="5"/>
  <c r="AU506" i="5"/>
  <c r="AV506" i="5" s="1"/>
  <c r="AW506" i="5"/>
  <c r="AX506" i="5" s="1"/>
  <c r="AH507" i="5"/>
  <c r="AN507" i="5"/>
  <c r="AO507" i="5"/>
  <c r="AP507" i="5"/>
  <c r="AR507" i="5"/>
  <c r="AU507" i="5"/>
  <c r="AV507" i="5" s="1"/>
  <c r="AW507" i="5"/>
  <c r="AX507" i="5" s="1"/>
  <c r="AH508" i="5"/>
  <c r="AZ508" i="5" s="1"/>
  <c r="AN508" i="5"/>
  <c r="AO508" i="5"/>
  <c r="AP508" i="5"/>
  <c r="AR508" i="5"/>
  <c r="AS508" i="5" s="1"/>
  <c r="AU508" i="5"/>
  <c r="AV508" i="5" s="1"/>
  <c r="AW508" i="5"/>
  <c r="AX508" i="5" s="1"/>
  <c r="AH509" i="5"/>
  <c r="AN509" i="5"/>
  <c r="AO509" i="5"/>
  <c r="AP509" i="5"/>
  <c r="AR509" i="5"/>
  <c r="AU509" i="5"/>
  <c r="AV509" i="5" s="1"/>
  <c r="AW509" i="5"/>
  <c r="AX509" i="5" s="1"/>
  <c r="AH510" i="5"/>
  <c r="AN510" i="5"/>
  <c r="AO510" i="5"/>
  <c r="AP510" i="5"/>
  <c r="AR510" i="5"/>
  <c r="AU510" i="5"/>
  <c r="AV510" i="5" s="1"/>
  <c r="AW510" i="5"/>
  <c r="AX510" i="5" s="1"/>
  <c r="AH511" i="5"/>
  <c r="AN511" i="5"/>
  <c r="AO511" i="5"/>
  <c r="AP511" i="5"/>
  <c r="AH512" i="5"/>
  <c r="AN512" i="5"/>
  <c r="AO512" i="5"/>
  <c r="AP512" i="5"/>
  <c r="AJ513" i="5"/>
  <c r="AK513" i="5"/>
  <c r="AL513" i="5"/>
  <c r="AN513" i="5"/>
  <c r="AO513" i="5"/>
  <c r="AP513" i="5"/>
  <c r="AR513" i="5"/>
  <c r="AU513" i="5"/>
  <c r="AV513" i="5" s="1"/>
  <c r="AW513" i="5"/>
  <c r="AX513" i="5" s="1"/>
  <c r="AH514" i="5"/>
  <c r="AN514" i="5"/>
  <c r="AO514" i="5"/>
  <c r="AP514" i="5"/>
  <c r="AR514" i="5"/>
  <c r="AU514" i="5"/>
  <c r="AV514" i="5" s="1"/>
  <c r="AW514" i="5"/>
  <c r="AX514" i="5" s="1"/>
  <c r="AH515" i="5"/>
  <c r="AN515" i="5"/>
  <c r="AO515" i="5"/>
  <c r="AP515" i="5"/>
  <c r="AR515" i="5"/>
  <c r="AS515" i="5" s="1"/>
  <c r="AU515" i="5"/>
  <c r="AV515" i="5" s="1"/>
  <c r="AW515" i="5"/>
  <c r="AX515" i="5" s="1"/>
  <c r="AH516" i="5"/>
  <c r="AL516" i="5" s="1"/>
  <c r="AN516" i="5"/>
  <c r="AO516" i="5"/>
  <c r="AP516" i="5"/>
  <c r="AR516" i="5"/>
  <c r="AS516" i="5" s="1"/>
  <c r="AU516" i="5"/>
  <c r="AV516" i="5" s="1"/>
  <c r="AW516" i="5"/>
  <c r="AX516" i="5" s="1"/>
  <c r="AH517" i="5"/>
  <c r="AN517" i="5"/>
  <c r="AO517" i="5"/>
  <c r="AP517" i="5"/>
  <c r="AR517" i="5"/>
  <c r="AS517" i="5" s="1"/>
  <c r="AU517" i="5"/>
  <c r="AV517" i="5" s="1"/>
  <c r="AW517" i="5"/>
  <c r="AX517" i="5" s="1"/>
  <c r="AH518" i="5"/>
  <c r="AN518" i="5"/>
  <c r="AO518" i="5"/>
  <c r="AP518" i="5"/>
  <c r="AH519" i="5"/>
  <c r="AN519" i="5"/>
  <c r="AO519" i="5"/>
  <c r="AP519" i="5"/>
  <c r="AJ520" i="5"/>
  <c r="AK520" i="5"/>
  <c r="AL520" i="5"/>
  <c r="AN520" i="5"/>
  <c r="AO520" i="5"/>
  <c r="AP520" i="5"/>
  <c r="AR520" i="5"/>
  <c r="AS520" i="5" s="1"/>
  <c r="AU520" i="5"/>
  <c r="AV520" i="5" s="1"/>
  <c r="AW520" i="5"/>
  <c r="AX520" i="5" s="1"/>
  <c r="AH521" i="5"/>
  <c r="AL521" i="5" s="1"/>
  <c r="AN521" i="5"/>
  <c r="AO521" i="5"/>
  <c r="AP521" i="5"/>
  <c r="AR521" i="5"/>
  <c r="AS521" i="5" s="1"/>
  <c r="AU521" i="5"/>
  <c r="AV521" i="5" s="1"/>
  <c r="AW521" i="5"/>
  <c r="AX521" i="5" s="1"/>
  <c r="AH522" i="5"/>
  <c r="AN522" i="5"/>
  <c r="AO522" i="5"/>
  <c r="AP522" i="5"/>
  <c r="AR522" i="5"/>
  <c r="AS522" i="5" s="1"/>
  <c r="AU522" i="5"/>
  <c r="AV522" i="5" s="1"/>
  <c r="AW522" i="5"/>
  <c r="AX522" i="5" s="1"/>
  <c r="AH523" i="5"/>
  <c r="AN523" i="5"/>
  <c r="AO523" i="5"/>
  <c r="AP523" i="5"/>
  <c r="AR523" i="5"/>
  <c r="AU523" i="5"/>
  <c r="AV523" i="5" s="1"/>
  <c r="AW523" i="5"/>
  <c r="AX523" i="5" s="1"/>
  <c r="AH524" i="5"/>
  <c r="AJ524" i="5" s="1"/>
  <c r="AN524" i="5"/>
  <c r="AO524" i="5"/>
  <c r="AP524" i="5"/>
  <c r="AR524" i="5"/>
  <c r="AS524" i="5" s="1"/>
  <c r="AU524" i="5"/>
  <c r="AV524" i="5" s="1"/>
  <c r="AW524" i="5"/>
  <c r="AX524" i="5" s="1"/>
  <c r="AH525" i="5"/>
  <c r="AN525" i="5"/>
  <c r="AO525" i="5"/>
  <c r="AP525" i="5"/>
  <c r="AH526" i="5"/>
  <c r="AN526" i="5"/>
  <c r="AO526" i="5"/>
  <c r="AP526" i="5"/>
  <c r="AJ527" i="5"/>
  <c r="AK527" i="5"/>
  <c r="AL527" i="5"/>
  <c r="AN527" i="5"/>
  <c r="AO527" i="5"/>
  <c r="AP527" i="5"/>
  <c r="AR527" i="5"/>
  <c r="AT527" i="5" s="1"/>
  <c r="AU527" i="5"/>
  <c r="AV527" i="5" s="1"/>
  <c r="AW527" i="5"/>
  <c r="AX527" i="5" s="1"/>
  <c r="AH528" i="5"/>
  <c r="AJ528" i="5" s="1"/>
  <c r="AN528" i="5"/>
  <c r="AO528" i="5"/>
  <c r="AP528" i="5"/>
  <c r="AR528" i="5"/>
  <c r="AT528" i="5" s="1"/>
  <c r="AU528" i="5"/>
  <c r="AV528" i="5" s="1"/>
  <c r="AW528" i="5"/>
  <c r="AX528" i="5" s="1"/>
  <c r="AH529" i="5"/>
  <c r="AY529" i="5" s="1"/>
  <c r="AN529" i="5"/>
  <c r="AO529" i="5"/>
  <c r="AP529" i="5"/>
  <c r="AR529" i="5"/>
  <c r="AU529" i="5"/>
  <c r="AV529" i="5" s="1"/>
  <c r="AW529" i="5"/>
  <c r="AX529" i="5" s="1"/>
  <c r="AH530" i="5"/>
  <c r="AN530" i="5"/>
  <c r="AO530" i="5"/>
  <c r="AP530" i="5"/>
  <c r="AR530" i="5"/>
  <c r="AU530" i="5"/>
  <c r="AV530" i="5" s="1"/>
  <c r="AW530" i="5"/>
  <c r="AX530" i="5" s="1"/>
  <c r="AH531" i="5"/>
  <c r="AN531" i="5"/>
  <c r="AO531" i="5"/>
  <c r="AP531" i="5"/>
  <c r="AR531" i="5"/>
  <c r="AU531" i="5"/>
  <c r="AV531" i="5" s="1"/>
  <c r="AW531" i="5"/>
  <c r="AX531" i="5" s="1"/>
  <c r="AH532" i="5"/>
  <c r="AN532" i="5"/>
  <c r="AO532" i="5"/>
  <c r="AP532" i="5"/>
  <c r="AH533" i="5"/>
  <c r="AZ533" i="5" s="1"/>
  <c r="AN533" i="5"/>
  <c r="AO533" i="5"/>
  <c r="AP533" i="5"/>
  <c r="AJ534" i="5"/>
  <c r="AK534" i="5"/>
  <c r="AL534" i="5"/>
  <c r="AN534" i="5"/>
  <c r="AO534" i="5"/>
  <c r="AP534" i="5"/>
  <c r="AR534" i="5"/>
  <c r="AU534" i="5"/>
  <c r="AV534" i="5" s="1"/>
  <c r="AW534" i="5"/>
  <c r="AX534" i="5" s="1"/>
  <c r="AH535" i="5"/>
  <c r="AN535" i="5"/>
  <c r="AO535" i="5"/>
  <c r="AP535" i="5"/>
  <c r="AR535" i="5"/>
  <c r="AU535" i="5"/>
  <c r="AV535" i="5" s="1"/>
  <c r="AW535" i="5"/>
  <c r="AX535" i="5" s="1"/>
  <c r="AH536" i="5"/>
  <c r="AK536" i="5" s="1"/>
  <c r="AN536" i="5"/>
  <c r="AO536" i="5"/>
  <c r="AP536" i="5"/>
  <c r="AR536" i="5"/>
  <c r="AT536" i="5" s="1"/>
  <c r="AU536" i="5"/>
  <c r="AV536" i="5" s="1"/>
  <c r="AW536" i="5"/>
  <c r="AX536" i="5" s="1"/>
  <c r="AH537" i="5"/>
  <c r="AN537" i="5"/>
  <c r="AO537" i="5"/>
  <c r="AP537" i="5"/>
  <c r="AR537" i="5"/>
  <c r="AS537" i="5" s="1"/>
  <c r="AU537" i="5"/>
  <c r="AV537" i="5" s="1"/>
  <c r="AW537" i="5"/>
  <c r="AX537" i="5" s="1"/>
  <c r="AH538" i="5"/>
  <c r="AN538" i="5"/>
  <c r="AO538" i="5"/>
  <c r="AP538" i="5"/>
  <c r="AR538" i="5"/>
  <c r="AU538" i="5"/>
  <c r="AV538" i="5" s="1"/>
  <c r="AW538" i="5"/>
  <c r="AX538" i="5" s="1"/>
  <c r="AH539" i="5"/>
  <c r="AN539" i="5"/>
  <c r="AO539" i="5"/>
  <c r="AP539" i="5"/>
  <c r="AH540" i="5"/>
  <c r="AN540" i="5"/>
  <c r="AO540" i="5"/>
  <c r="AP540" i="5"/>
  <c r="AJ541" i="5"/>
  <c r="AK541" i="5"/>
  <c r="AL541" i="5"/>
  <c r="AN541" i="5"/>
  <c r="AO541" i="5"/>
  <c r="AP541" i="5"/>
  <c r="AR541" i="5"/>
  <c r="AT541" i="5" s="1"/>
  <c r="AU541" i="5"/>
  <c r="AV541" i="5" s="1"/>
  <c r="AW541" i="5"/>
  <c r="AX541" i="5" s="1"/>
  <c r="AH542" i="5"/>
  <c r="AN542" i="5"/>
  <c r="AO542" i="5"/>
  <c r="AP542" i="5"/>
  <c r="AR542" i="5"/>
  <c r="AT542" i="5" s="1"/>
  <c r="AU542" i="5"/>
  <c r="AV542" i="5" s="1"/>
  <c r="AW542" i="5"/>
  <c r="AX542" i="5" s="1"/>
  <c r="AH543" i="5"/>
  <c r="AN543" i="5"/>
  <c r="AO543" i="5"/>
  <c r="AP543" i="5"/>
  <c r="AR543" i="5"/>
  <c r="AU543" i="5"/>
  <c r="AV543" i="5" s="1"/>
  <c r="AW543" i="5"/>
  <c r="AX543" i="5" s="1"/>
  <c r="AH544" i="5"/>
  <c r="AJ544" i="5" s="1"/>
  <c r="AN544" i="5"/>
  <c r="AO544" i="5"/>
  <c r="AP544" i="5"/>
  <c r="AR544" i="5"/>
  <c r="AT544" i="5" s="1"/>
  <c r="AU544" i="5"/>
  <c r="AV544" i="5" s="1"/>
  <c r="AW544" i="5"/>
  <c r="AX544" i="5" s="1"/>
  <c r="AH545" i="5"/>
  <c r="AZ545" i="5" s="1"/>
  <c r="AN545" i="5"/>
  <c r="AO545" i="5"/>
  <c r="AP545" i="5"/>
  <c r="AR545" i="5"/>
  <c r="AT545" i="5" s="1"/>
  <c r="AU545" i="5"/>
  <c r="AV545" i="5" s="1"/>
  <c r="AW545" i="5"/>
  <c r="AX545" i="5" s="1"/>
  <c r="AH546" i="5"/>
  <c r="AN546" i="5"/>
  <c r="AO546" i="5"/>
  <c r="AP546" i="5"/>
  <c r="AH547" i="5"/>
  <c r="AN547" i="5"/>
  <c r="AO547" i="5"/>
  <c r="AP547" i="5"/>
  <c r="AJ548" i="5"/>
  <c r="AK548" i="5"/>
  <c r="AL548" i="5"/>
  <c r="AN548" i="5"/>
  <c r="AO548" i="5"/>
  <c r="AP548" i="5"/>
  <c r="AR548" i="5"/>
  <c r="AU548" i="5"/>
  <c r="AV548" i="5" s="1"/>
  <c r="AW548" i="5"/>
  <c r="AX548" i="5" s="1"/>
  <c r="AH549" i="5"/>
  <c r="AY549" i="5" s="1"/>
  <c r="AN549" i="5"/>
  <c r="AO549" i="5"/>
  <c r="AP549" i="5"/>
  <c r="AR549" i="5"/>
  <c r="AT549" i="5" s="1"/>
  <c r="AU549" i="5"/>
  <c r="AV549" i="5" s="1"/>
  <c r="AW549" i="5"/>
  <c r="AX549" i="5" s="1"/>
  <c r="AH550" i="5"/>
  <c r="AN550" i="5"/>
  <c r="AO550" i="5"/>
  <c r="AP550" i="5"/>
  <c r="AR550" i="5"/>
  <c r="AU550" i="5"/>
  <c r="AV550" i="5" s="1"/>
  <c r="AW550" i="5"/>
  <c r="AX550" i="5" s="1"/>
  <c r="AH551" i="5"/>
  <c r="AN551" i="5"/>
  <c r="AO551" i="5"/>
  <c r="AP551" i="5"/>
  <c r="AR551" i="5"/>
  <c r="AT551" i="5" s="1"/>
  <c r="AU551" i="5"/>
  <c r="AV551" i="5" s="1"/>
  <c r="AW551" i="5"/>
  <c r="AX551" i="5" s="1"/>
  <c r="AH552" i="5"/>
  <c r="AJ552" i="5" s="1"/>
  <c r="AN552" i="5"/>
  <c r="AO552" i="5"/>
  <c r="AP552" i="5"/>
  <c r="AR552" i="5"/>
  <c r="AT552" i="5" s="1"/>
  <c r="AU552" i="5"/>
  <c r="AV552" i="5" s="1"/>
  <c r="AW552" i="5"/>
  <c r="AX552" i="5" s="1"/>
  <c r="AH553" i="5"/>
  <c r="AN553" i="5"/>
  <c r="AO553" i="5"/>
  <c r="AP553" i="5"/>
  <c r="AH554" i="5"/>
  <c r="AJ554" i="5" s="1"/>
  <c r="AN554" i="5"/>
  <c r="AO554" i="5"/>
  <c r="AP554" i="5"/>
  <c r="AJ555" i="5"/>
  <c r="AK555" i="5"/>
  <c r="AL555" i="5"/>
  <c r="AN555" i="5"/>
  <c r="AO555" i="5"/>
  <c r="AP555" i="5"/>
  <c r="AR555" i="5"/>
  <c r="AT555" i="5" s="1"/>
  <c r="AU555" i="5"/>
  <c r="AV555" i="5" s="1"/>
  <c r="AW555" i="5"/>
  <c r="AX555" i="5" s="1"/>
  <c r="AH556" i="5"/>
  <c r="AK556" i="5" s="1"/>
  <c r="AN556" i="5"/>
  <c r="AO556" i="5"/>
  <c r="AP556" i="5"/>
  <c r="AR556" i="5"/>
  <c r="AS556" i="5" s="1"/>
  <c r="AU556" i="5"/>
  <c r="AV556" i="5" s="1"/>
  <c r="AW556" i="5"/>
  <c r="AX556" i="5" s="1"/>
  <c r="AH557" i="5"/>
  <c r="AN557" i="5"/>
  <c r="AO557" i="5"/>
  <c r="AP557" i="5"/>
  <c r="AR557" i="5"/>
  <c r="AU557" i="5"/>
  <c r="AV557" i="5" s="1"/>
  <c r="AW557" i="5"/>
  <c r="AX557" i="5" s="1"/>
  <c r="AH558" i="5"/>
  <c r="AN558" i="5"/>
  <c r="AO558" i="5"/>
  <c r="AP558" i="5"/>
  <c r="AR558" i="5"/>
  <c r="AS558" i="5" s="1"/>
  <c r="AU558" i="5"/>
  <c r="AV558" i="5" s="1"/>
  <c r="AW558" i="5"/>
  <c r="AX558" i="5" s="1"/>
  <c r="AH559" i="5"/>
  <c r="AN559" i="5"/>
  <c r="AO559" i="5"/>
  <c r="AP559" i="5"/>
  <c r="AR559" i="5"/>
  <c r="AU559" i="5"/>
  <c r="AV559" i="5" s="1"/>
  <c r="AW559" i="5"/>
  <c r="AX559" i="5" s="1"/>
  <c r="AH560" i="5"/>
  <c r="AR560" i="5" s="1"/>
  <c r="AT560" i="5" s="1"/>
  <c r="AN560" i="5"/>
  <c r="AO560" i="5"/>
  <c r="AP560" i="5"/>
  <c r="AH561" i="5"/>
  <c r="AW561" i="5" s="1"/>
  <c r="AX561" i="5" s="1"/>
  <c r="AN561" i="5"/>
  <c r="AO561" i="5"/>
  <c r="AP561" i="5"/>
  <c r="AJ562" i="5"/>
  <c r="AK562" i="5"/>
  <c r="AL562" i="5"/>
  <c r="AN562" i="5"/>
  <c r="AO562" i="5"/>
  <c r="AP562" i="5"/>
  <c r="AR562" i="5"/>
  <c r="AU562" i="5"/>
  <c r="AV562" i="5" s="1"/>
  <c r="AW562" i="5"/>
  <c r="AX562" i="5" s="1"/>
  <c r="AH563" i="5"/>
  <c r="AK563" i="5" s="1"/>
  <c r="AN563" i="5"/>
  <c r="AO563" i="5"/>
  <c r="AP563" i="5"/>
  <c r="AR563" i="5"/>
  <c r="AU563" i="5"/>
  <c r="AV563" i="5" s="1"/>
  <c r="AW563" i="5"/>
  <c r="AX563" i="5" s="1"/>
  <c r="AH564" i="5"/>
  <c r="AY564" i="5" s="1"/>
  <c r="AN564" i="5"/>
  <c r="AO564" i="5"/>
  <c r="AP564" i="5"/>
  <c r="AR564" i="5"/>
  <c r="AS564" i="5" s="1"/>
  <c r="AU564" i="5"/>
  <c r="AV564" i="5" s="1"/>
  <c r="AW564" i="5"/>
  <c r="AX564" i="5" s="1"/>
  <c r="AH565" i="5"/>
  <c r="AJ565" i="5" s="1"/>
  <c r="AN565" i="5"/>
  <c r="AO565" i="5"/>
  <c r="AP565" i="5"/>
  <c r="AR565" i="5"/>
  <c r="AU565" i="5"/>
  <c r="AV565" i="5" s="1"/>
  <c r="AW565" i="5"/>
  <c r="AX565" i="5" s="1"/>
  <c r="AH566" i="5"/>
  <c r="AN566" i="5"/>
  <c r="AO566" i="5"/>
  <c r="AP566" i="5"/>
  <c r="AR566" i="5"/>
  <c r="AU566" i="5"/>
  <c r="AV566" i="5" s="1"/>
  <c r="AW566" i="5"/>
  <c r="AX566" i="5" s="1"/>
  <c r="AH567" i="5"/>
  <c r="AN567" i="5"/>
  <c r="AO567" i="5"/>
  <c r="AP567" i="5"/>
  <c r="AH568" i="5"/>
  <c r="AN568" i="5"/>
  <c r="AO568" i="5"/>
  <c r="AP568" i="5"/>
  <c r="AJ569" i="5"/>
  <c r="AK569" i="5"/>
  <c r="AL569" i="5"/>
  <c r="AN569" i="5"/>
  <c r="AO569" i="5"/>
  <c r="AP569" i="5"/>
  <c r="AR569" i="5"/>
  <c r="AU569" i="5"/>
  <c r="AV569" i="5" s="1"/>
  <c r="AW569" i="5"/>
  <c r="AX569" i="5" s="1"/>
  <c r="AH570" i="5"/>
  <c r="AN570" i="5"/>
  <c r="AO570" i="5"/>
  <c r="AP570" i="5"/>
  <c r="AR570" i="5"/>
  <c r="AU570" i="5"/>
  <c r="AV570" i="5" s="1"/>
  <c r="AW570" i="5"/>
  <c r="AX570" i="5" s="1"/>
  <c r="AH571" i="5"/>
  <c r="AY571" i="5" s="1"/>
  <c r="AN571" i="5"/>
  <c r="AO571" i="5"/>
  <c r="AP571" i="5"/>
  <c r="AR571" i="5"/>
  <c r="AS571" i="5" s="1"/>
  <c r="AU571" i="5"/>
  <c r="AV571" i="5" s="1"/>
  <c r="AW571" i="5"/>
  <c r="AX571" i="5" s="1"/>
  <c r="AH572" i="5"/>
  <c r="AL572" i="5" s="1"/>
  <c r="AN572" i="5"/>
  <c r="AO572" i="5"/>
  <c r="AP572" i="5"/>
  <c r="AR572" i="5"/>
  <c r="AT572" i="5" s="1"/>
  <c r="AU572" i="5"/>
  <c r="AV572" i="5" s="1"/>
  <c r="AW572" i="5"/>
  <c r="AX572" i="5" s="1"/>
  <c r="AH573" i="5"/>
  <c r="AZ573" i="5" s="1"/>
  <c r="AN573" i="5"/>
  <c r="AO573" i="5"/>
  <c r="AP573" i="5"/>
  <c r="AR573" i="5"/>
  <c r="AU573" i="5"/>
  <c r="AV573" i="5" s="1"/>
  <c r="AW573" i="5"/>
  <c r="AX573" i="5" s="1"/>
  <c r="AH574" i="5"/>
  <c r="AN574" i="5"/>
  <c r="AO574" i="5"/>
  <c r="AP574" i="5"/>
  <c r="AH575" i="5"/>
  <c r="AN575" i="5"/>
  <c r="AO575" i="5"/>
  <c r="AP575" i="5"/>
  <c r="AJ576" i="5"/>
  <c r="AK576" i="5"/>
  <c r="AL576" i="5"/>
  <c r="AN576" i="5"/>
  <c r="AO576" i="5"/>
  <c r="AP576" i="5"/>
  <c r="AR576" i="5"/>
  <c r="AT576" i="5" s="1"/>
  <c r="AU576" i="5"/>
  <c r="AV576" i="5" s="1"/>
  <c r="AW576" i="5"/>
  <c r="AX576" i="5" s="1"/>
  <c r="AH577" i="5"/>
  <c r="AN577" i="5"/>
  <c r="AO577" i="5"/>
  <c r="AP577" i="5"/>
  <c r="AR577" i="5"/>
  <c r="AU577" i="5"/>
  <c r="AV577" i="5" s="1"/>
  <c r="AW577" i="5"/>
  <c r="AX577" i="5" s="1"/>
  <c r="AH578" i="5"/>
  <c r="AN578" i="5"/>
  <c r="AO578" i="5"/>
  <c r="AP578" i="5"/>
  <c r="AR578" i="5"/>
  <c r="AU578" i="5"/>
  <c r="AV578" i="5" s="1"/>
  <c r="AW578" i="5"/>
  <c r="AX578" i="5" s="1"/>
  <c r="AH579" i="5"/>
  <c r="AN579" i="5"/>
  <c r="AO579" i="5"/>
  <c r="AP579" i="5"/>
  <c r="AR579" i="5"/>
  <c r="AU579" i="5"/>
  <c r="AV579" i="5" s="1"/>
  <c r="AW579" i="5"/>
  <c r="AX579" i="5" s="1"/>
  <c r="AH580" i="5"/>
  <c r="AZ580" i="5" s="1"/>
  <c r="AN580" i="5"/>
  <c r="AO580" i="5"/>
  <c r="AP580" i="5"/>
  <c r="AR580" i="5"/>
  <c r="AU580" i="5"/>
  <c r="AV580" i="5" s="1"/>
  <c r="AW580" i="5"/>
  <c r="AX580" i="5" s="1"/>
  <c r="AH581" i="5"/>
  <c r="AR581" i="5" s="1"/>
  <c r="AT581" i="5" s="1"/>
  <c r="AN581" i="5"/>
  <c r="AO581" i="5"/>
  <c r="AP581" i="5"/>
  <c r="AH582" i="5"/>
  <c r="AN582" i="5"/>
  <c r="AO582" i="5"/>
  <c r="AP582" i="5"/>
  <c r="AJ583" i="5"/>
  <c r="AK583" i="5"/>
  <c r="AL583" i="5"/>
  <c r="AN583" i="5"/>
  <c r="AO583" i="5"/>
  <c r="AP583" i="5"/>
  <c r="AR583" i="5"/>
  <c r="AU583" i="5"/>
  <c r="AV583" i="5" s="1"/>
  <c r="AW583" i="5"/>
  <c r="AX583" i="5" s="1"/>
  <c r="AH584" i="5"/>
  <c r="AL584" i="5" s="1"/>
  <c r="AN584" i="5"/>
  <c r="AO584" i="5"/>
  <c r="AP584" i="5"/>
  <c r="AR584" i="5"/>
  <c r="AS584" i="5" s="1"/>
  <c r="AU584" i="5"/>
  <c r="AV584" i="5" s="1"/>
  <c r="AW584" i="5"/>
  <c r="AX584" i="5" s="1"/>
  <c r="AH585" i="5"/>
  <c r="AK585" i="5" s="1"/>
  <c r="AN585" i="5"/>
  <c r="AO585" i="5"/>
  <c r="AP585" i="5"/>
  <c r="AR585" i="5"/>
  <c r="AU585" i="5"/>
  <c r="AV585" i="5" s="1"/>
  <c r="AW585" i="5"/>
  <c r="AX585" i="5" s="1"/>
  <c r="AH586" i="5"/>
  <c r="AK586" i="5" s="1"/>
  <c r="AN586" i="5"/>
  <c r="AO586" i="5"/>
  <c r="AP586" i="5"/>
  <c r="AR586" i="5"/>
  <c r="AU586" i="5"/>
  <c r="AV586" i="5" s="1"/>
  <c r="AW586" i="5"/>
  <c r="AX586" i="5" s="1"/>
  <c r="AH587" i="5"/>
  <c r="AN587" i="5"/>
  <c r="AO587" i="5"/>
  <c r="AP587" i="5"/>
  <c r="AR587" i="5"/>
  <c r="AU587" i="5"/>
  <c r="AV587" i="5" s="1"/>
  <c r="AW587" i="5"/>
  <c r="AX587" i="5" s="1"/>
  <c r="AH588" i="5"/>
  <c r="AK588" i="5" s="1"/>
  <c r="AN588" i="5"/>
  <c r="AO588" i="5"/>
  <c r="AP588" i="5"/>
  <c r="AH589" i="5"/>
  <c r="AW589" i="5" s="1"/>
  <c r="AX589" i="5" s="1"/>
  <c r="AN589" i="5"/>
  <c r="AO589" i="5"/>
  <c r="AP589" i="5"/>
  <c r="AJ590" i="5"/>
  <c r="AK590" i="5"/>
  <c r="AL590" i="5"/>
  <c r="AN590" i="5"/>
  <c r="AO590" i="5"/>
  <c r="AP590" i="5"/>
  <c r="AR590" i="5"/>
  <c r="AU590" i="5"/>
  <c r="AV590" i="5" s="1"/>
  <c r="AW590" i="5"/>
  <c r="AX590" i="5" s="1"/>
  <c r="AH591" i="5"/>
  <c r="AN591" i="5"/>
  <c r="AO591" i="5"/>
  <c r="AP591" i="5"/>
  <c r="AR591" i="5"/>
  <c r="AS591" i="5" s="1"/>
  <c r="AU591" i="5"/>
  <c r="AV591" i="5" s="1"/>
  <c r="AW591" i="5"/>
  <c r="AX591" i="5" s="1"/>
  <c r="AH592" i="5"/>
  <c r="AY592" i="5" s="1"/>
  <c r="AN592" i="5"/>
  <c r="AO592" i="5"/>
  <c r="AP592" i="5"/>
  <c r="AR592" i="5"/>
  <c r="AS592" i="5" s="1"/>
  <c r="AU592" i="5"/>
  <c r="AV592" i="5" s="1"/>
  <c r="AW592" i="5"/>
  <c r="AX592" i="5" s="1"/>
  <c r="AH593" i="5"/>
  <c r="AJ593" i="5" s="1"/>
  <c r="AN593" i="5"/>
  <c r="AO593" i="5"/>
  <c r="AP593" i="5"/>
  <c r="AR593" i="5"/>
  <c r="AS593" i="5" s="1"/>
  <c r="AU593" i="5"/>
  <c r="AV593" i="5" s="1"/>
  <c r="AW593" i="5"/>
  <c r="AX593" i="5" s="1"/>
  <c r="AH594" i="5"/>
  <c r="AN594" i="5"/>
  <c r="AO594" i="5"/>
  <c r="AP594" i="5"/>
  <c r="AR594" i="5"/>
  <c r="AU594" i="5"/>
  <c r="AV594" i="5" s="1"/>
  <c r="AW594" i="5"/>
  <c r="AX594" i="5" s="1"/>
  <c r="AH595" i="5"/>
  <c r="AN595" i="5"/>
  <c r="AO595" i="5"/>
  <c r="AP595" i="5"/>
  <c r="AH596" i="5"/>
  <c r="AI597" i="5" s="1"/>
  <c r="AN596" i="5"/>
  <c r="AO596" i="5"/>
  <c r="AP596" i="5"/>
  <c r="AJ597" i="5"/>
  <c r="AK597" i="5"/>
  <c r="AL597" i="5"/>
  <c r="AN597" i="5"/>
  <c r="AO597" i="5"/>
  <c r="AP597" i="5"/>
  <c r="AR597" i="5"/>
  <c r="AU597" i="5"/>
  <c r="AV597" i="5" s="1"/>
  <c r="AW597" i="5"/>
  <c r="AX597" i="5" s="1"/>
  <c r="AH598" i="5"/>
  <c r="AN598" i="5"/>
  <c r="AO598" i="5"/>
  <c r="AP598" i="5"/>
  <c r="AR598" i="5"/>
  <c r="AS598" i="5" s="1"/>
  <c r="AU598" i="5"/>
  <c r="AV598" i="5" s="1"/>
  <c r="AW598" i="5"/>
  <c r="AX598" i="5" s="1"/>
  <c r="AH599" i="5"/>
  <c r="AN599" i="5"/>
  <c r="AO599" i="5"/>
  <c r="AP599" i="5"/>
  <c r="AR599" i="5"/>
  <c r="AU599" i="5"/>
  <c r="AV599" i="5" s="1"/>
  <c r="AW599" i="5"/>
  <c r="AX599" i="5" s="1"/>
  <c r="AH600" i="5"/>
  <c r="AY600" i="5" s="1"/>
  <c r="AN600" i="5"/>
  <c r="AO600" i="5"/>
  <c r="AP600" i="5"/>
  <c r="AR600" i="5"/>
  <c r="AS600" i="5" s="1"/>
  <c r="AU600" i="5"/>
  <c r="AV600" i="5" s="1"/>
  <c r="AW600" i="5"/>
  <c r="AX600" i="5" s="1"/>
  <c r="AH601" i="5"/>
  <c r="AJ601" i="5" s="1"/>
  <c r="AN601" i="5"/>
  <c r="AO601" i="5"/>
  <c r="AP601" i="5"/>
  <c r="AR601" i="5"/>
  <c r="AT601" i="5" s="1"/>
  <c r="AU601" i="5"/>
  <c r="AV601" i="5" s="1"/>
  <c r="AW601" i="5"/>
  <c r="AX601" i="5" s="1"/>
  <c r="AH602" i="5"/>
  <c r="AW602" i="5" s="1"/>
  <c r="AX602" i="5" s="1"/>
  <c r="AN602" i="5"/>
  <c r="AO602" i="5"/>
  <c r="AP602" i="5"/>
  <c r="AH603" i="5"/>
  <c r="AN603" i="5"/>
  <c r="AO603" i="5"/>
  <c r="AP603" i="5"/>
  <c r="AJ604" i="5"/>
  <c r="AK604" i="5"/>
  <c r="AL604" i="5"/>
  <c r="AN604" i="5"/>
  <c r="AO604" i="5"/>
  <c r="AP604" i="5"/>
  <c r="AR604" i="5"/>
  <c r="AT604" i="5" s="1"/>
  <c r="AU604" i="5"/>
  <c r="AV604" i="5" s="1"/>
  <c r="AW604" i="5"/>
  <c r="AX604" i="5" s="1"/>
  <c r="AH605" i="5"/>
  <c r="AN605" i="5"/>
  <c r="AO605" i="5"/>
  <c r="AP605" i="5"/>
  <c r="AR605" i="5"/>
  <c r="AT605" i="5" s="1"/>
  <c r="AU605" i="5"/>
  <c r="AV605" i="5" s="1"/>
  <c r="AW605" i="5"/>
  <c r="AX605" i="5" s="1"/>
  <c r="AH606" i="5"/>
  <c r="AN606" i="5"/>
  <c r="AO606" i="5"/>
  <c r="AP606" i="5"/>
  <c r="AR606" i="5"/>
  <c r="AS606" i="5" s="1"/>
  <c r="AU606" i="5"/>
  <c r="AV606" i="5" s="1"/>
  <c r="AW606" i="5"/>
  <c r="AX606" i="5" s="1"/>
  <c r="AH607" i="5"/>
  <c r="AN607" i="5"/>
  <c r="AO607" i="5"/>
  <c r="AP607" i="5"/>
  <c r="AR607" i="5"/>
  <c r="AS607" i="5" s="1"/>
  <c r="AU607" i="5"/>
  <c r="AV607" i="5" s="1"/>
  <c r="AW607" i="5"/>
  <c r="AX607" i="5" s="1"/>
  <c r="AH608" i="5"/>
  <c r="AZ608" i="5" s="1"/>
  <c r="AN608" i="5"/>
  <c r="AO608" i="5"/>
  <c r="AP608" i="5"/>
  <c r="AR608" i="5"/>
  <c r="AT608" i="5" s="1"/>
  <c r="AU608" i="5"/>
  <c r="AV608" i="5" s="1"/>
  <c r="AW608" i="5"/>
  <c r="AX608" i="5" s="1"/>
  <c r="AH609" i="5"/>
  <c r="AY609" i="5" s="1"/>
  <c r="AN609" i="5"/>
  <c r="AO609" i="5"/>
  <c r="AP609" i="5"/>
  <c r="AH610" i="5"/>
  <c r="AK610" i="5" s="1"/>
  <c r="AN610" i="5"/>
  <c r="AO610" i="5"/>
  <c r="AP610" i="5"/>
  <c r="AJ611" i="5"/>
  <c r="AK611" i="5"/>
  <c r="AL611" i="5"/>
  <c r="AN611" i="5"/>
  <c r="AO611" i="5"/>
  <c r="AP611" i="5"/>
  <c r="AR611" i="5"/>
  <c r="AS611" i="5" s="1"/>
  <c r="AU611" i="5"/>
  <c r="AV611" i="5" s="1"/>
  <c r="AW611" i="5"/>
  <c r="AX611" i="5" s="1"/>
  <c r="AH612" i="5"/>
  <c r="AJ612" i="5" s="1"/>
  <c r="AN612" i="5"/>
  <c r="AO612" i="5"/>
  <c r="AP612" i="5"/>
  <c r="AR612" i="5"/>
  <c r="AT612" i="5" s="1"/>
  <c r="AU612" i="5"/>
  <c r="AV612" i="5" s="1"/>
  <c r="AW612" i="5"/>
  <c r="AX612" i="5" s="1"/>
  <c r="AH613" i="5"/>
  <c r="AJ613" i="5" s="1"/>
  <c r="AN613" i="5"/>
  <c r="AO613" i="5"/>
  <c r="AP613" i="5"/>
  <c r="AR613" i="5"/>
  <c r="AU613" i="5"/>
  <c r="AV613" i="5" s="1"/>
  <c r="AW613" i="5"/>
  <c r="AX613" i="5" s="1"/>
  <c r="AH614" i="5"/>
  <c r="AN614" i="5"/>
  <c r="AO614" i="5"/>
  <c r="AP614" i="5"/>
  <c r="AR614" i="5"/>
  <c r="AU614" i="5"/>
  <c r="AV614" i="5" s="1"/>
  <c r="AW614" i="5"/>
  <c r="AX614" i="5" s="1"/>
  <c r="AH615" i="5"/>
  <c r="AN615" i="5"/>
  <c r="AO615" i="5"/>
  <c r="AP615" i="5"/>
  <c r="AR615" i="5"/>
  <c r="AU615" i="5"/>
  <c r="AV615" i="5" s="1"/>
  <c r="AW615" i="5"/>
  <c r="AX615" i="5" s="1"/>
  <c r="AH616" i="5"/>
  <c r="AW616" i="5" s="1"/>
  <c r="AX616" i="5" s="1"/>
  <c r="AN616" i="5"/>
  <c r="AO616" i="5"/>
  <c r="AP616" i="5"/>
  <c r="AH617" i="5"/>
  <c r="AR617" i="5" s="1"/>
  <c r="AT617" i="5" s="1"/>
  <c r="AN617" i="5"/>
  <c r="AO617" i="5"/>
  <c r="AP617" i="5"/>
  <c r="AJ618" i="5"/>
  <c r="AK618" i="5"/>
  <c r="AL618" i="5"/>
  <c r="AN618" i="5"/>
  <c r="AO618" i="5"/>
  <c r="AP618" i="5"/>
  <c r="AR618" i="5"/>
  <c r="AU618" i="5"/>
  <c r="AV618" i="5" s="1"/>
  <c r="AW618" i="5"/>
  <c r="AX618" i="5" s="1"/>
  <c r="AH619" i="5"/>
  <c r="AN619" i="5"/>
  <c r="AO619" i="5"/>
  <c r="AP619" i="5"/>
  <c r="AR619" i="5"/>
  <c r="AU619" i="5"/>
  <c r="AV619" i="5" s="1"/>
  <c r="AW619" i="5"/>
  <c r="AX619" i="5" s="1"/>
  <c r="AH620" i="5"/>
  <c r="AK620" i="5" s="1"/>
  <c r="AN620" i="5"/>
  <c r="AO620" i="5"/>
  <c r="AP620" i="5"/>
  <c r="AR620" i="5"/>
  <c r="AT620" i="5" s="1"/>
  <c r="AU620" i="5"/>
  <c r="AV620" i="5" s="1"/>
  <c r="AW620" i="5"/>
  <c r="AX620" i="5" s="1"/>
  <c r="AH621" i="5"/>
  <c r="AN621" i="5"/>
  <c r="AO621" i="5"/>
  <c r="AP621" i="5"/>
  <c r="AR621" i="5"/>
  <c r="AS621" i="5" s="1"/>
  <c r="AU621" i="5"/>
  <c r="AV621" i="5" s="1"/>
  <c r="AW621" i="5"/>
  <c r="AX621" i="5" s="1"/>
  <c r="AH622" i="5"/>
  <c r="AZ622" i="5" s="1"/>
  <c r="AN622" i="5"/>
  <c r="AO622" i="5"/>
  <c r="AP622" i="5"/>
  <c r="AR622" i="5"/>
  <c r="AS622" i="5" s="1"/>
  <c r="AU622" i="5"/>
  <c r="AV622" i="5" s="1"/>
  <c r="AW622" i="5"/>
  <c r="AX622" i="5" s="1"/>
  <c r="AH623" i="5"/>
  <c r="AN623" i="5"/>
  <c r="AO623" i="5"/>
  <c r="AP623" i="5"/>
  <c r="AH624" i="5"/>
  <c r="AN624" i="5"/>
  <c r="AO624" i="5"/>
  <c r="AP624" i="5"/>
  <c r="AJ625" i="5"/>
  <c r="AK625" i="5"/>
  <c r="AL625" i="5"/>
  <c r="AN625" i="5"/>
  <c r="AO625" i="5"/>
  <c r="AP625" i="5"/>
  <c r="AR625" i="5"/>
  <c r="AS625" i="5" s="1"/>
  <c r="AU625" i="5"/>
  <c r="AV625" i="5" s="1"/>
  <c r="AW625" i="5"/>
  <c r="AX625" i="5" s="1"/>
  <c r="AH626" i="5"/>
  <c r="AN626" i="5"/>
  <c r="AO626" i="5"/>
  <c r="AP626" i="5"/>
  <c r="AR626" i="5"/>
  <c r="AU626" i="5"/>
  <c r="AV626" i="5" s="1"/>
  <c r="AW626" i="5"/>
  <c r="AX626" i="5" s="1"/>
  <c r="AH627" i="5"/>
  <c r="AN627" i="5"/>
  <c r="AO627" i="5"/>
  <c r="AP627" i="5"/>
  <c r="AR627" i="5"/>
  <c r="AS627" i="5" s="1"/>
  <c r="AU627" i="5"/>
  <c r="AV627" i="5" s="1"/>
  <c r="AW627" i="5"/>
  <c r="AX627" i="5" s="1"/>
  <c r="AH628" i="5"/>
  <c r="AK628" i="5" s="1"/>
  <c r="AN628" i="5"/>
  <c r="AO628" i="5"/>
  <c r="AP628" i="5"/>
  <c r="AR628" i="5"/>
  <c r="AU628" i="5"/>
  <c r="AV628" i="5" s="1"/>
  <c r="AW628" i="5"/>
  <c r="AX628" i="5" s="1"/>
  <c r="AH629" i="5"/>
  <c r="AK629" i="5" s="1"/>
  <c r="AN629" i="5"/>
  <c r="AO629" i="5"/>
  <c r="AP629" i="5"/>
  <c r="AR629" i="5"/>
  <c r="AU629" i="5"/>
  <c r="AV629" i="5" s="1"/>
  <c r="AW629" i="5"/>
  <c r="AX629" i="5" s="1"/>
  <c r="AH630" i="5"/>
  <c r="AN630" i="5"/>
  <c r="AO630" i="5"/>
  <c r="AP630" i="5"/>
  <c r="AH631" i="5"/>
  <c r="AN631" i="5"/>
  <c r="AO631" i="5"/>
  <c r="AP631" i="5"/>
  <c r="AJ632" i="5"/>
  <c r="AK632" i="5"/>
  <c r="AL632" i="5"/>
  <c r="AN632" i="5"/>
  <c r="AO632" i="5"/>
  <c r="AP632" i="5"/>
  <c r="AR632" i="5"/>
  <c r="AT632" i="5" s="1"/>
  <c r="AU632" i="5"/>
  <c r="AV632" i="5" s="1"/>
  <c r="AW632" i="5"/>
  <c r="AX632" i="5" s="1"/>
  <c r="AH633" i="5"/>
  <c r="AN633" i="5"/>
  <c r="AO633" i="5"/>
  <c r="AP633" i="5"/>
  <c r="AR633" i="5"/>
  <c r="AS633" i="5" s="1"/>
  <c r="AU633" i="5"/>
  <c r="AV633" i="5" s="1"/>
  <c r="AW633" i="5"/>
  <c r="AX633" i="5" s="1"/>
  <c r="AH634" i="5"/>
  <c r="AN634" i="5"/>
  <c r="AO634" i="5"/>
  <c r="AP634" i="5"/>
  <c r="AR634" i="5"/>
  <c r="AT634" i="5" s="1"/>
  <c r="AU634" i="5"/>
  <c r="AV634" i="5" s="1"/>
  <c r="AW634" i="5"/>
  <c r="AX634" i="5" s="1"/>
  <c r="AH635" i="5"/>
  <c r="AN635" i="5"/>
  <c r="AO635" i="5"/>
  <c r="AP635" i="5"/>
  <c r="AR635" i="5"/>
  <c r="AU635" i="5"/>
  <c r="AV635" i="5" s="1"/>
  <c r="AW635" i="5"/>
  <c r="AX635" i="5" s="1"/>
  <c r="AH636" i="5"/>
  <c r="AZ636" i="5" s="1"/>
  <c r="AN636" i="5"/>
  <c r="AO636" i="5"/>
  <c r="AP636" i="5"/>
  <c r="AR636" i="5"/>
  <c r="AS636" i="5" s="1"/>
  <c r="AU636" i="5"/>
  <c r="AV636" i="5" s="1"/>
  <c r="AW636" i="5"/>
  <c r="AX636" i="5" s="1"/>
  <c r="AH637" i="5"/>
  <c r="AK637" i="5" s="1"/>
  <c r="AN637" i="5"/>
  <c r="AO637" i="5"/>
  <c r="AP637" i="5"/>
  <c r="AH638" i="5"/>
  <c r="AN638" i="5"/>
  <c r="AO638" i="5"/>
  <c r="AP638" i="5"/>
  <c r="AJ639" i="5"/>
  <c r="AK639" i="5"/>
  <c r="AL639" i="5"/>
  <c r="AN639" i="5"/>
  <c r="AO639" i="5"/>
  <c r="AP639" i="5"/>
  <c r="AR639" i="5"/>
  <c r="AU639" i="5"/>
  <c r="AV639" i="5" s="1"/>
  <c r="AW639" i="5"/>
  <c r="AX639" i="5" s="1"/>
  <c r="AH640" i="5"/>
  <c r="AK640" i="5" s="1"/>
  <c r="AN640" i="5"/>
  <c r="AO640" i="5"/>
  <c r="AP640" i="5"/>
  <c r="AR640" i="5"/>
  <c r="AS640" i="5" s="1"/>
  <c r="AU640" i="5"/>
  <c r="AV640" i="5" s="1"/>
  <c r="AW640" i="5"/>
  <c r="AX640" i="5" s="1"/>
  <c r="AH641" i="5"/>
  <c r="AZ641" i="5" s="1"/>
  <c r="AN641" i="5"/>
  <c r="AO641" i="5"/>
  <c r="AP641" i="5"/>
  <c r="AR641" i="5"/>
  <c r="AU641" i="5"/>
  <c r="AV641" i="5" s="1"/>
  <c r="AW641" i="5"/>
  <c r="AX641" i="5" s="1"/>
  <c r="AH642" i="5"/>
  <c r="AN642" i="5"/>
  <c r="AO642" i="5"/>
  <c r="AP642" i="5"/>
  <c r="AR642" i="5"/>
  <c r="AS642" i="5" s="1"/>
  <c r="AU642" i="5"/>
  <c r="AV642" i="5" s="1"/>
  <c r="AW642" i="5"/>
  <c r="AX642" i="5" s="1"/>
  <c r="AH643" i="5"/>
  <c r="AN643" i="5"/>
  <c r="AO643" i="5"/>
  <c r="AP643" i="5"/>
  <c r="AR643" i="5"/>
  <c r="AS643" i="5" s="1"/>
  <c r="AU643" i="5"/>
  <c r="AV643" i="5" s="1"/>
  <c r="AW643" i="5"/>
  <c r="AX643" i="5" s="1"/>
  <c r="AH644" i="5"/>
  <c r="AU644" i="5" s="1"/>
  <c r="AV644" i="5" s="1"/>
  <c r="AN644" i="5"/>
  <c r="AO644" i="5"/>
  <c r="AP644" i="5"/>
  <c r="AH645" i="5"/>
  <c r="AU645" i="5" s="1"/>
  <c r="AV645" i="5" s="1"/>
  <c r="AN645" i="5"/>
  <c r="AO645" i="5"/>
  <c r="AP645" i="5"/>
  <c r="AJ646" i="5"/>
  <c r="AK646" i="5"/>
  <c r="AL646" i="5"/>
  <c r="AN646" i="5"/>
  <c r="AO646" i="5"/>
  <c r="AP646" i="5"/>
  <c r="AR646" i="5"/>
  <c r="AU646" i="5"/>
  <c r="AV646" i="5" s="1"/>
  <c r="AW646" i="5"/>
  <c r="AX646" i="5" s="1"/>
  <c r="AH647" i="5"/>
  <c r="AN647" i="5"/>
  <c r="AO647" i="5"/>
  <c r="AP647" i="5"/>
  <c r="AR647" i="5"/>
  <c r="AU647" i="5"/>
  <c r="AV647" i="5" s="1"/>
  <c r="AW647" i="5"/>
  <c r="AX647" i="5" s="1"/>
  <c r="AH648" i="5"/>
  <c r="AY648" i="5" s="1"/>
  <c r="AN648" i="5"/>
  <c r="AO648" i="5"/>
  <c r="AP648" i="5"/>
  <c r="AR648" i="5"/>
  <c r="AT648" i="5" s="1"/>
  <c r="AU648" i="5"/>
  <c r="AV648" i="5" s="1"/>
  <c r="AW648" i="5"/>
  <c r="AX648" i="5" s="1"/>
  <c r="AH649" i="5"/>
  <c r="AN649" i="5"/>
  <c r="AO649" i="5"/>
  <c r="AP649" i="5"/>
  <c r="AR649" i="5"/>
  <c r="AS649" i="5" s="1"/>
  <c r="AU649" i="5"/>
  <c r="AV649" i="5" s="1"/>
  <c r="AW649" i="5"/>
  <c r="AX649" i="5" s="1"/>
  <c r="AH650" i="5"/>
  <c r="AN650" i="5"/>
  <c r="AO650" i="5"/>
  <c r="AP650" i="5"/>
  <c r="AR650" i="5"/>
  <c r="AS650" i="5" s="1"/>
  <c r="AU650" i="5"/>
  <c r="AV650" i="5" s="1"/>
  <c r="AW650" i="5"/>
  <c r="AX650" i="5" s="1"/>
  <c r="AH651" i="5"/>
  <c r="AN651" i="5"/>
  <c r="AO651" i="5"/>
  <c r="AP651" i="5"/>
  <c r="AH652" i="5"/>
  <c r="AN652" i="5"/>
  <c r="AO652" i="5"/>
  <c r="AP652" i="5"/>
  <c r="AJ653" i="5"/>
  <c r="AK653" i="5"/>
  <c r="AL653" i="5"/>
  <c r="AN653" i="5"/>
  <c r="AO653" i="5"/>
  <c r="AP653" i="5"/>
  <c r="AR653" i="5"/>
  <c r="AS653" i="5" s="1"/>
  <c r="AU653" i="5"/>
  <c r="AV653" i="5" s="1"/>
  <c r="AW653" i="5"/>
  <c r="AX653" i="5" s="1"/>
  <c r="AH654" i="5"/>
  <c r="AN654" i="5"/>
  <c r="AO654" i="5"/>
  <c r="AP654" i="5"/>
  <c r="AR654" i="5"/>
  <c r="AU654" i="5"/>
  <c r="AV654" i="5" s="1"/>
  <c r="AW654" i="5"/>
  <c r="AX654" i="5" s="1"/>
  <c r="AH655" i="5"/>
  <c r="AK655" i="5" s="1"/>
  <c r="AN655" i="5"/>
  <c r="AO655" i="5"/>
  <c r="AP655" i="5"/>
  <c r="AR655" i="5"/>
  <c r="AU655" i="5"/>
  <c r="AV655" i="5" s="1"/>
  <c r="AW655" i="5"/>
  <c r="AX655" i="5" s="1"/>
  <c r="AH656" i="5"/>
  <c r="AK656" i="5" s="1"/>
  <c r="AN656" i="5"/>
  <c r="AO656" i="5"/>
  <c r="AP656" i="5"/>
  <c r="AR656" i="5"/>
  <c r="AT656" i="5" s="1"/>
  <c r="AU656" i="5"/>
  <c r="AV656" i="5" s="1"/>
  <c r="AW656" i="5"/>
  <c r="AX656" i="5" s="1"/>
  <c r="AH657" i="5"/>
  <c r="AZ657" i="5" s="1"/>
  <c r="AN657" i="5"/>
  <c r="AO657" i="5"/>
  <c r="AP657" i="5"/>
  <c r="AR657" i="5"/>
  <c r="AU657" i="5"/>
  <c r="AV657" i="5" s="1"/>
  <c r="AW657" i="5"/>
  <c r="AX657" i="5" s="1"/>
  <c r="AH658" i="5"/>
  <c r="AN658" i="5"/>
  <c r="AO658" i="5"/>
  <c r="AP658" i="5"/>
  <c r="AH659" i="5"/>
  <c r="AN659" i="5"/>
  <c r="AO659" i="5"/>
  <c r="AP659" i="5"/>
  <c r="AJ660" i="5"/>
  <c r="AK660" i="5"/>
  <c r="AL660" i="5"/>
  <c r="AN660" i="5"/>
  <c r="AO660" i="5"/>
  <c r="AP660" i="5"/>
  <c r="AR660" i="5"/>
  <c r="AT660" i="5" s="1"/>
  <c r="AU660" i="5"/>
  <c r="AV660" i="5" s="1"/>
  <c r="AW660" i="5"/>
  <c r="AX660" i="5" s="1"/>
  <c r="AH661" i="5"/>
  <c r="AN661" i="5"/>
  <c r="AO661" i="5"/>
  <c r="AP661" i="5"/>
  <c r="AR661" i="5"/>
  <c r="AU661" i="5"/>
  <c r="AV661" i="5" s="1"/>
  <c r="AW661" i="5"/>
  <c r="AX661" i="5" s="1"/>
  <c r="AH662" i="5"/>
  <c r="AN662" i="5"/>
  <c r="AO662" i="5"/>
  <c r="AP662" i="5"/>
  <c r="AR662" i="5"/>
  <c r="AU662" i="5"/>
  <c r="AV662" i="5" s="1"/>
  <c r="AW662" i="5"/>
  <c r="AX662" i="5" s="1"/>
  <c r="AH663" i="5"/>
  <c r="AN663" i="5"/>
  <c r="AO663" i="5"/>
  <c r="AP663" i="5"/>
  <c r="AR663" i="5"/>
  <c r="AT663" i="5" s="1"/>
  <c r="AU663" i="5"/>
  <c r="AV663" i="5" s="1"/>
  <c r="AW663" i="5"/>
  <c r="AX663" i="5" s="1"/>
  <c r="AH664" i="5"/>
  <c r="AY664" i="5" s="1"/>
  <c r="AN664" i="5"/>
  <c r="AO664" i="5"/>
  <c r="AP664" i="5"/>
  <c r="AR664" i="5"/>
  <c r="AT664" i="5" s="1"/>
  <c r="AU664" i="5"/>
  <c r="AV664" i="5" s="1"/>
  <c r="AW664" i="5"/>
  <c r="AX664" i="5" s="1"/>
  <c r="AH665" i="5"/>
  <c r="AN665" i="5"/>
  <c r="AO665" i="5"/>
  <c r="AP665" i="5"/>
  <c r="AH666" i="5"/>
  <c r="AU666" i="5" s="1"/>
  <c r="AV666" i="5" s="1"/>
  <c r="AN666" i="5"/>
  <c r="AO666" i="5"/>
  <c r="AP666" i="5"/>
  <c r="AJ667" i="5"/>
  <c r="AK667" i="5"/>
  <c r="AL667" i="5"/>
  <c r="AN667" i="5"/>
  <c r="AO667" i="5"/>
  <c r="AP667" i="5"/>
  <c r="AR667" i="5"/>
  <c r="AU667" i="5"/>
  <c r="AV667" i="5" s="1"/>
  <c r="AW667" i="5"/>
  <c r="AX667" i="5" s="1"/>
  <c r="AH668" i="5"/>
  <c r="AK668" i="5" s="1"/>
  <c r="AN668" i="5"/>
  <c r="AO668" i="5"/>
  <c r="AP668" i="5"/>
  <c r="AR668" i="5"/>
  <c r="AS668" i="5" s="1"/>
  <c r="AU668" i="5"/>
  <c r="AV668" i="5" s="1"/>
  <c r="AW668" i="5"/>
  <c r="AX668" i="5" s="1"/>
  <c r="AH669" i="5"/>
  <c r="AK669" i="5" s="1"/>
  <c r="AH670" i="5"/>
  <c r="AL670" i="5" s="1"/>
  <c r="AN669" i="5"/>
  <c r="AO669" i="5"/>
  <c r="AP669" i="5"/>
  <c r="AR669" i="5"/>
  <c r="AS669" i="5" s="1"/>
  <c r="AU669" i="5"/>
  <c r="AV669" i="5" s="1"/>
  <c r="AW669" i="5"/>
  <c r="AX669" i="5" s="1"/>
  <c r="AN670" i="5"/>
  <c r="AO670" i="5"/>
  <c r="AP670" i="5"/>
  <c r="AR670" i="5"/>
  <c r="AT670" i="5" s="1"/>
  <c r="AU670" i="5"/>
  <c r="AV670" i="5" s="1"/>
  <c r="AW670" i="5"/>
  <c r="AX670" i="5" s="1"/>
  <c r="AH671" i="5"/>
  <c r="AN671" i="5"/>
  <c r="AO671" i="5"/>
  <c r="AP671" i="5"/>
  <c r="AR671" i="5"/>
  <c r="AU671" i="5"/>
  <c r="AV671" i="5" s="1"/>
  <c r="AW671" i="5"/>
  <c r="AX671" i="5" s="1"/>
  <c r="AH672" i="5"/>
  <c r="AL672" i="5" s="1"/>
  <c r="AN672" i="5"/>
  <c r="AO672" i="5"/>
  <c r="AP672" i="5"/>
  <c r="AH673" i="5"/>
  <c r="AL673" i="5" s="1"/>
  <c r="AN673" i="5"/>
  <c r="AO673" i="5"/>
  <c r="AP673" i="5"/>
  <c r="AJ674" i="5"/>
  <c r="AK674" i="5"/>
  <c r="AL674" i="5"/>
  <c r="AN674" i="5"/>
  <c r="AO674" i="5"/>
  <c r="AP674" i="5"/>
  <c r="AR674" i="5"/>
  <c r="AU674" i="5"/>
  <c r="AV674" i="5" s="1"/>
  <c r="AW674" i="5"/>
  <c r="AX674" i="5" s="1"/>
  <c r="AH675" i="5"/>
  <c r="AN675" i="5"/>
  <c r="AO675" i="5"/>
  <c r="AP675" i="5"/>
  <c r="AR675" i="5"/>
  <c r="AU675" i="5"/>
  <c r="AV675" i="5" s="1"/>
  <c r="AW675" i="5"/>
  <c r="AX675" i="5" s="1"/>
  <c r="AH676" i="5"/>
  <c r="AL676" i="5" s="1"/>
  <c r="AN676" i="5"/>
  <c r="AO676" i="5"/>
  <c r="AP676" i="5"/>
  <c r="AR676" i="5"/>
  <c r="AS676" i="5" s="1"/>
  <c r="AU676" i="5"/>
  <c r="AV676" i="5" s="1"/>
  <c r="AW676" i="5"/>
  <c r="AX676" i="5" s="1"/>
  <c r="AH677" i="5"/>
  <c r="AN677" i="5"/>
  <c r="AO677" i="5"/>
  <c r="AP677" i="5"/>
  <c r="AR677" i="5"/>
  <c r="AU677" i="5"/>
  <c r="AV677" i="5" s="1"/>
  <c r="AW677" i="5"/>
  <c r="AX677" i="5" s="1"/>
  <c r="AH678" i="5"/>
  <c r="AK678" i="5" s="1"/>
  <c r="AN678" i="5"/>
  <c r="AO678" i="5"/>
  <c r="AP678" i="5"/>
  <c r="AR678" i="5"/>
  <c r="AU678" i="5"/>
  <c r="AV678" i="5" s="1"/>
  <c r="AW678" i="5"/>
  <c r="AX678" i="5" s="1"/>
  <c r="AH679" i="5"/>
  <c r="AN679" i="5"/>
  <c r="AO679" i="5"/>
  <c r="AP679" i="5"/>
  <c r="AH680" i="5"/>
  <c r="AN680" i="5"/>
  <c r="AO680" i="5"/>
  <c r="AP680" i="5"/>
  <c r="AJ681" i="5"/>
  <c r="AK681" i="5"/>
  <c r="AL681" i="5"/>
  <c r="AN681" i="5"/>
  <c r="AO681" i="5"/>
  <c r="AP681" i="5"/>
  <c r="AR681" i="5"/>
  <c r="AU681" i="5"/>
  <c r="AV681" i="5" s="1"/>
  <c r="AW681" i="5"/>
  <c r="AX681" i="5" s="1"/>
  <c r="AH682" i="5"/>
  <c r="AN682" i="5"/>
  <c r="AO682" i="5"/>
  <c r="AP682" i="5"/>
  <c r="AR682" i="5"/>
  <c r="AT682" i="5" s="1"/>
  <c r="AU682" i="5"/>
  <c r="AV682" i="5" s="1"/>
  <c r="AW682" i="5"/>
  <c r="AX682" i="5" s="1"/>
  <c r="AH683" i="5"/>
  <c r="AN683" i="5"/>
  <c r="AO683" i="5"/>
  <c r="AP683" i="5"/>
  <c r="AR683" i="5"/>
  <c r="AS683" i="5" s="1"/>
  <c r="AU683" i="5"/>
  <c r="AV683" i="5" s="1"/>
  <c r="AW683" i="5"/>
  <c r="AX683" i="5" s="1"/>
  <c r="AH684" i="5"/>
  <c r="AL684" i="5" s="1"/>
  <c r="AN684" i="5"/>
  <c r="AO684" i="5"/>
  <c r="AP684" i="5"/>
  <c r="AR684" i="5"/>
  <c r="AU684" i="5"/>
  <c r="AV684" i="5" s="1"/>
  <c r="AW684" i="5"/>
  <c r="AX684" i="5" s="1"/>
  <c r="AH685" i="5"/>
  <c r="AK685" i="5" s="1"/>
  <c r="AN685" i="5"/>
  <c r="AO685" i="5"/>
  <c r="AP685" i="5"/>
  <c r="AR685" i="5"/>
  <c r="AU685" i="5"/>
  <c r="AV685" i="5" s="1"/>
  <c r="AW685" i="5"/>
  <c r="AX685" i="5" s="1"/>
  <c r="AH686" i="5"/>
  <c r="AN686" i="5"/>
  <c r="AO686" i="5"/>
  <c r="AP686" i="5"/>
  <c r="AH687" i="5"/>
  <c r="AN687" i="5"/>
  <c r="AO687" i="5"/>
  <c r="AP687" i="5"/>
  <c r="AJ688" i="5"/>
  <c r="AK688" i="5"/>
  <c r="AL688" i="5"/>
  <c r="AN688" i="5"/>
  <c r="AO688" i="5"/>
  <c r="AP688" i="5"/>
  <c r="AR688" i="5"/>
  <c r="AT688" i="5" s="1"/>
  <c r="AU688" i="5"/>
  <c r="AV688" i="5" s="1"/>
  <c r="AW688" i="5"/>
  <c r="AX688" i="5" s="1"/>
  <c r="AH689" i="5"/>
  <c r="AJ689" i="5" s="1"/>
  <c r="AN689" i="5"/>
  <c r="AO689" i="5"/>
  <c r="AP689" i="5"/>
  <c r="AR689" i="5"/>
  <c r="AU689" i="5"/>
  <c r="AV689" i="5" s="1"/>
  <c r="AW689" i="5"/>
  <c r="AX689" i="5" s="1"/>
  <c r="AH690" i="5"/>
  <c r="AJ690" i="5" s="1"/>
  <c r="AN690" i="5"/>
  <c r="AO690" i="5"/>
  <c r="AP690" i="5"/>
  <c r="AR690" i="5"/>
  <c r="AS690" i="5" s="1"/>
  <c r="AU690" i="5"/>
  <c r="AV690" i="5" s="1"/>
  <c r="AW690" i="5"/>
  <c r="AX690" i="5" s="1"/>
  <c r="AH691" i="5"/>
  <c r="AN691" i="5"/>
  <c r="AO691" i="5"/>
  <c r="AP691" i="5"/>
  <c r="AR691" i="5"/>
  <c r="AU691" i="5"/>
  <c r="AV691" i="5" s="1"/>
  <c r="AW691" i="5"/>
  <c r="AX691" i="5" s="1"/>
  <c r="AH692" i="5"/>
  <c r="AN692" i="5"/>
  <c r="AO692" i="5"/>
  <c r="AP692" i="5"/>
  <c r="AR692" i="5"/>
  <c r="AS692" i="5" s="1"/>
  <c r="AU692" i="5"/>
  <c r="AV692" i="5" s="1"/>
  <c r="AW692" i="5"/>
  <c r="AX692" i="5" s="1"/>
  <c r="AH693" i="5"/>
  <c r="AN693" i="5"/>
  <c r="AO693" i="5"/>
  <c r="AP693" i="5"/>
  <c r="AH694" i="5"/>
  <c r="AN694" i="5"/>
  <c r="AO694" i="5"/>
  <c r="AP694" i="5"/>
  <c r="AJ695" i="5"/>
  <c r="AK695" i="5"/>
  <c r="AL695" i="5"/>
  <c r="AN695" i="5"/>
  <c r="AO695" i="5"/>
  <c r="AP695" i="5"/>
  <c r="AR695" i="5"/>
  <c r="AU695" i="5"/>
  <c r="AV695" i="5" s="1"/>
  <c r="AW695" i="5"/>
  <c r="AX695" i="5" s="1"/>
  <c r="AH696" i="5"/>
  <c r="AN696" i="5"/>
  <c r="AO696" i="5"/>
  <c r="AP696" i="5"/>
  <c r="AR696" i="5"/>
  <c r="AS696" i="5" s="1"/>
  <c r="AU696" i="5"/>
  <c r="AV696" i="5" s="1"/>
  <c r="AW696" i="5"/>
  <c r="AX696" i="5" s="1"/>
  <c r="AH697" i="5"/>
  <c r="AN697" i="5"/>
  <c r="AO697" i="5"/>
  <c r="AP697" i="5"/>
  <c r="AR697" i="5"/>
  <c r="AU697" i="5"/>
  <c r="AV697" i="5" s="1"/>
  <c r="AW697" i="5"/>
  <c r="AX697" i="5" s="1"/>
  <c r="AH698" i="5"/>
  <c r="AK698" i="5" s="1"/>
  <c r="AN698" i="5"/>
  <c r="AO698" i="5"/>
  <c r="AP698" i="5"/>
  <c r="AR698" i="5"/>
  <c r="AU698" i="5"/>
  <c r="AV698" i="5" s="1"/>
  <c r="AW698" i="5"/>
  <c r="AX698" i="5" s="1"/>
  <c r="AH699" i="5"/>
  <c r="AN699" i="5"/>
  <c r="AO699" i="5"/>
  <c r="AP699" i="5"/>
  <c r="AR699" i="5"/>
  <c r="AS699" i="5" s="1"/>
  <c r="AU699" i="5"/>
  <c r="AV699" i="5" s="1"/>
  <c r="AW699" i="5"/>
  <c r="AX699" i="5" s="1"/>
  <c r="AH700" i="5"/>
  <c r="AY700" i="5" s="1"/>
  <c r="AN700" i="5"/>
  <c r="AO700" i="5"/>
  <c r="AP700" i="5"/>
  <c r="AH701" i="5"/>
  <c r="AJ701" i="5" s="1"/>
  <c r="AN701" i="5"/>
  <c r="AO701" i="5"/>
  <c r="AP701" i="5"/>
  <c r="AJ702" i="5"/>
  <c r="AK702" i="5"/>
  <c r="AL702" i="5"/>
  <c r="AN702" i="5"/>
  <c r="AO702" i="5"/>
  <c r="AP702" i="5"/>
  <c r="AR702" i="5"/>
  <c r="AS702" i="5" s="1"/>
  <c r="AU702" i="5"/>
  <c r="AV702" i="5" s="1"/>
  <c r="AW702" i="5"/>
  <c r="AX702" i="5" s="1"/>
  <c r="AH703" i="5"/>
  <c r="AL703" i="5" s="1"/>
  <c r="AN703" i="5"/>
  <c r="AO703" i="5"/>
  <c r="AP703" i="5"/>
  <c r="AR703" i="5"/>
  <c r="AT703" i="5" s="1"/>
  <c r="AU703" i="5"/>
  <c r="AV703" i="5" s="1"/>
  <c r="AW703" i="5"/>
  <c r="AX703" i="5" s="1"/>
  <c r="AH704" i="5"/>
  <c r="AZ704" i="5" s="1"/>
  <c r="AN704" i="5"/>
  <c r="AO704" i="5"/>
  <c r="AP704" i="5"/>
  <c r="AR704" i="5"/>
  <c r="AU704" i="5"/>
  <c r="AV704" i="5" s="1"/>
  <c r="AW704" i="5"/>
  <c r="AX704" i="5" s="1"/>
  <c r="AH705" i="5"/>
  <c r="AN705" i="5"/>
  <c r="AO705" i="5"/>
  <c r="AP705" i="5"/>
  <c r="AR705" i="5"/>
  <c r="AU705" i="5"/>
  <c r="AV705" i="5" s="1"/>
  <c r="AW705" i="5"/>
  <c r="AX705" i="5" s="1"/>
  <c r="AH706" i="5"/>
  <c r="AH707" i="5"/>
  <c r="AN706" i="5"/>
  <c r="AO706" i="5"/>
  <c r="AP706" i="5"/>
  <c r="AR706" i="5"/>
  <c r="AU706" i="5"/>
  <c r="AV706" i="5" s="1"/>
  <c r="AW706" i="5"/>
  <c r="AX706" i="5" s="1"/>
  <c r="AN707" i="5"/>
  <c r="AO707" i="5"/>
  <c r="AP707" i="5"/>
  <c r="AH708" i="5"/>
  <c r="AK708" i="5" s="1"/>
  <c r="AN708" i="5"/>
  <c r="AO708" i="5"/>
  <c r="AP708" i="5"/>
  <c r="AJ709" i="5"/>
  <c r="AK709" i="5"/>
  <c r="AL709" i="5"/>
  <c r="AN709" i="5"/>
  <c r="AO709" i="5"/>
  <c r="AP709" i="5"/>
  <c r="AR709" i="5"/>
  <c r="AU709" i="5"/>
  <c r="AV709" i="5" s="1"/>
  <c r="AW709" i="5"/>
  <c r="AX709" i="5" s="1"/>
  <c r="AH710" i="5"/>
  <c r="AN710" i="5"/>
  <c r="AO710" i="5"/>
  <c r="AP710" i="5"/>
  <c r="AR710" i="5"/>
  <c r="AT710" i="5" s="1"/>
  <c r="AU710" i="5"/>
  <c r="AV710" i="5" s="1"/>
  <c r="AW710" i="5"/>
  <c r="AX710" i="5" s="1"/>
  <c r="AH711" i="5"/>
  <c r="AJ711" i="5" s="1"/>
  <c r="AN711" i="5"/>
  <c r="AO711" i="5"/>
  <c r="AP711" i="5"/>
  <c r="AR711" i="5"/>
  <c r="AU711" i="5"/>
  <c r="AV711" i="5" s="1"/>
  <c r="AW711" i="5"/>
  <c r="AX711" i="5" s="1"/>
  <c r="AH712" i="5"/>
  <c r="AN712" i="5"/>
  <c r="AO712" i="5"/>
  <c r="AP712" i="5"/>
  <c r="AR712" i="5"/>
  <c r="AS712" i="5" s="1"/>
  <c r="AU712" i="5"/>
  <c r="AV712" i="5" s="1"/>
  <c r="AW712" i="5"/>
  <c r="AX712" i="5" s="1"/>
  <c r="AH713" i="5"/>
  <c r="AN713" i="5"/>
  <c r="AO713" i="5"/>
  <c r="AP713" i="5"/>
  <c r="AR713" i="5"/>
  <c r="AU713" i="5"/>
  <c r="AV713" i="5" s="1"/>
  <c r="AW713" i="5"/>
  <c r="AX713" i="5" s="1"/>
  <c r="AH714" i="5"/>
  <c r="AN714" i="5"/>
  <c r="AO714" i="5"/>
  <c r="AP714" i="5"/>
  <c r="AH715" i="5"/>
  <c r="AN715" i="5"/>
  <c r="AO715" i="5"/>
  <c r="AP715" i="5"/>
  <c r="AJ716" i="5"/>
  <c r="AK716" i="5"/>
  <c r="AL716" i="5"/>
  <c r="AN716" i="5"/>
  <c r="AO716" i="5"/>
  <c r="AP716" i="5"/>
  <c r="AR716" i="5"/>
  <c r="AS716" i="5" s="1"/>
  <c r="AU716" i="5"/>
  <c r="AV716" i="5" s="1"/>
  <c r="AW716" i="5"/>
  <c r="AX716" i="5" s="1"/>
  <c r="AH717" i="5"/>
  <c r="AK717" i="5" s="1"/>
  <c r="AN717" i="5"/>
  <c r="AO717" i="5"/>
  <c r="AP717" i="5"/>
  <c r="AR717" i="5"/>
  <c r="AS717" i="5" s="1"/>
  <c r="AU717" i="5"/>
  <c r="AV717" i="5" s="1"/>
  <c r="AW717" i="5"/>
  <c r="AX717" i="5" s="1"/>
  <c r="AH718" i="5"/>
  <c r="AN718" i="5"/>
  <c r="AO718" i="5"/>
  <c r="AP718" i="5"/>
  <c r="AR718" i="5"/>
  <c r="AT718" i="5" s="1"/>
  <c r="AU718" i="5"/>
  <c r="AV718" i="5" s="1"/>
  <c r="AW718" i="5"/>
  <c r="AX718" i="5" s="1"/>
  <c r="AH719" i="5"/>
  <c r="AN719" i="5"/>
  <c r="AO719" i="5"/>
  <c r="AP719" i="5"/>
  <c r="AR719" i="5"/>
  <c r="AU719" i="5"/>
  <c r="AV719" i="5" s="1"/>
  <c r="AW719" i="5"/>
  <c r="AX719" i="5" s="1"/>
  <c r="AH720" i="5"/>
  <c r="AN720" i="5"/>
  <c r="AO720" i="5"/>
  <c r="AP720" i="5"/>
  <c r="AR720" i="5"/>
  <c r="AS720" i="5" s="1"/>
  <c r="AU720" i="5"/>
  <c r="AV720" i="5" s="1"/>
  <c r="AW720" i="5"/>
  <c r="AX720" i="5" s="1"/>
  <c r="AH721" i="5"/>
  <c r="AN721" i="5"/>
  <c r="AO721" i="5"/>
  <c r="AP721" i="5"/>
  <c r="AH722" i="5"/>
  <c r="AL722" i="5" s="1"/>
  <c r="AN722" i="5"/>
  <c r="AO722" i="5"/>
  <c r="AP722" i="5"/>
  <c r="AJ723" i="5"/>
  <c r="AK723" i="5"/>
  <c r="AL723" i="5"/>
  <c r="AN723" i="5"/>
  <c r="AO723" i="5"/>
  <c r="AP723" i="5"/>
  <c r="AR723" i="5"/>
  <c r="AU723" i="5"/>
  <c r="AV723" i="5" s="1"/>
  <c r="AW723" i="5"/>
  <c r="AX723" i="5" s="1"/>
  <c r="AH724" i="5"/>
  <c r="AJ724" i="5" s="1"/>
  <c r="AN724" i="5"/>
  <c r="AO724" i="5"/>
  <c r="AP724" i="5"/>
  <c r="AR724" i="5"/>
  <c r="AS724" i="5" s="1"/>
  <c r="AU724" i="5"/>
  <c r="AV724" i="5" s="1"/>
  <c r="AW724" i="5"/>
  <c r="AX724" i="5" s="1"/>
  <c r="AH725" i="5"/>
  <c r="AN725" i="5"/>
  <c r="AO725" i="5"/>
  <c r="AP725" i="5"/>
  <c r="AR725" i="5"/>
  <c r="AU725" i="5"/>
  <c r="AV725" i="5" s="1"/>
  <c r="AW725" i="5"/>
  <c r="AX725" i="5" s="1"/>
  <c r="AH726" i="5"/>
  <c r="AN726" i="5"/>
  <c r="AO726" i="5"/>
  <c r="AP726" i="5"/>
  <c r="AR726" i="5"/>
  <c r="AS726" i="5" s="1"/>
  <c r="AU726" i="5"/>
  <c r="AV726" i="5" s="1"/>
  <c r="AW726" i="5"/>
  <c r="AX726" i="5" s="1"/>
  <c r="AH727" i="5"/>
  <c r="AN727" i="5"/>
  <c r="AO727" i="5"/>
  <c r="AP727" i="5"/>
  <c r="AR727" i="5"/>
  <c r="AU727" i="5"/>
  <c r="AV727" i="5" s="1"/>
  <c r="AW727" i="5"/>
  <c r="AX727" i="5" s="1"/>
  <c r="AH728" i="5"/>
  <c r="AJ728" i="5" s="1"/>
  <c r="AN728" i="5"/>
  <c r="AO728" i="5"/>
  <c r="AP728" i="5"/>
  <c r="AH729" i="5"/>
  <c r="AW729" i="5" s="1"/>
  <c r="AX729" i="5" s="1"/>
  <c r="AN729" i="5"/>
  <c r="AO729" i="5"/>
  <c r="AP729" i="5"/>
  <c r="AJ730" i="5"/>
  <c r="AK730" i="5"/>
  <c r="AL730" i="5"/>
  <c r="AN730" i="5"/>
  <c r="AO730" i="5"/>
  <c r="AP730" i="5"/>
  <c r="AR730" i="5"/>
  <c r="AS730" i="5" s="1"/>
  <c r="AU730" i="5"/>
  <c r="AV730" i="5" s="1"/>
  <c r="AW730" i="5"/>
  <c r="AX730" i="5" s="1"/>
  <c r="AH731" i="5"/>
  <c r="AN731" i="5"/>
  <c r="AO731" i="5"/>
  <c r="AP731" i="5"/>
  <c r="AR731" i="5"/>
  <c r="AU731" i="5"/>
  <c r="AV731" i="5" s="1"/>
  <c r="AW731" i="5"/>
  <c r="AX731" i="5" s="1"/>
  <c r="AH732" i="5"/>
  <c r="AN732" i="5"/>
  <c r="AO732" i="5"/>
  <c r="AP732" i="5"/>
  <c r="AR732" i="5"/>
  <c r="AU732" i="5"/>
  <c r="AV732" i="5" s="1"/>
  <c r="AW732" i="5"/>
  <c r="AX732" i="5" s="1"/>
  <c r="AH733" i="5"/>
  <c r="AZ733" i="5" s="1"/>
  <c r="AN733" i="5"/>
  <c r="AO733" i="5"/>
  <c r="AP733" i="5"/>
  <c r="AR733" i="5"/>
  <c r="AU733" i="5"/>
  <c r="AV733" i="5" s="1"/>
  <c r="AW733" i="5"/>
  <c r="AX733" i="5" s="1"/>
  <c r="AH734" i="5"/>
  <c r="AN734" i="5"/>
  <c r="AO734" i="5"/>
  <c r="AP734" i="5"/>
  <c r="AR734" i="5"/>
  <c r="AU734" i="5"/>
  <c r="AV734" i="5" s="1"/>
  <c r="AW734" i="5"/>
  <c r="AX734" i="5" s="1"/>
  <c r="AH735" i="5"/>
  <c r="AN735" i="5"/>
  <c r="AO735" i="5"/>
  <c r="AP735" i="5"/>
  <c r="AH736" i="5"/>
  <c r="AN736" i="5"/>
  <c r="AO736" i="5"/>
  <c r="AP736" i="5"/>
  <c r="AJ737" i="5"/>
  <c r="AK737" i="5"/>
  <c r="AL737" i="5"/>
  <c r="AN737" i="5"/>
  <c r="AO737" i="5"/>
  <c r="AP737" i="5"/>
  <c r="AR737" i="5"/>
  <c r="AT737" i="5" s="1"/>
  <c r="AU737" i="5"/>
  <c r="AV737" i="5" s="1"/>
  <c r="AW737" i="5"/>
  <c r="AX737" i="5" s="1"/>
  <c r="AH738" i="5"/>
  <c r="AN738" i="5"/>
  <c r="AO738" i="5"/>
  <c r="AP738" i="5"/>
  <c r="AR738" i="5"/>
  <c r="AS738" i="5" s="1"/>
  <c r="AU738" i="5"/>
  <c r="AV738" i="5" s="1"/>
  <c r="AW738" i="5"/>
  <c r="AX738" i="5" s="1"/>
  <c r="AH739" i="5"/>
  <c r="AZ739" i="5" s="1"/>
  <c r="AN739" i="5"/>
  <c r="AO739" i="5"/>
  <c r="AP739" i="5"/>
  <c r="AR739" i="5"/>
  <c r="AS739" i="5" s="1"/>
  <c r="AU739" i="5"/>
  <c r="AV739" i="5" s="1"/>
  <c r="AW739" i="5"/>
  <c r="AX739" i="5" s="1"/>
  <c r="AH740" i="5"/>
  <c r="AN740" i="5"/>
  <c r="AO740" i="5"/>
  <c r="AP740" i="5"/>
  <c r="AR740" i="5"/>
  <c r="AU740" i="5"/>
  <c r="AV740" i="5" s="1"/>
  <c r="AW740" i="5"/>
  <c r="AX740" i="5" s="1"/>
  <c r="AH741" i="5"/>
  <c r="AN741" i="5"/>
  <c r="AO741" i="5"/>
  <c r="AP741" i="5"/>
  <c r="AR741" i="5"/>
  <c r="AU741" i="5"/>
  <c r="AV741" i="5" s="1"/>
  <c r="AW741" i="5"/>
  <c r="AX741" i="5" s="1"/>
  <c r="AH742" i="5"/>
  <c r="AN742" i="5"/>
  <c r="AO742" i="5"/>
  <c r="AP742" i="5"/>
  <c r="AH743" i="5"/>
  <c r="AJ743" i="5" s="1"/>
  <c r="AN743" i="5"/>
  <c r="AO743" i="5"/>
  <c r="AP743" i="5"/>
  <c r="AJ744" i="5"/>
  <c r="AK744" i="5"/>
  <c r="AL744" i="5"/>
  <c r="AN744" i="5"/>
  <c r="AO744" i="5"/>
  <c r="AP744" i="5"/>
  <c r="AR744" i="5"/>
  <c r="AT744" i="5" s="1"/>
  <c r="AU744" i="5"/>
  <c r="AV744" i="5" s="1"/>
  <c r="AW744" i="5"/>
  <c r="AX744" i="5" s="1"/>
  <c r="AH745" i="5"/>
  <c r="AN745" i="5"/>
  <c r="AO745" i="5"/>
  <c r="AP745" i="5"/>
  <c r="AR745" i="5"/>
  <c r="AU745" i="5"/>
  <c r="AV745" i="5" s="1"/>
  <c r="AW745" i="5"/>
  <c r="AX745" i="5" s="1"/>
  <c r="AH746" i="5"/>
  <c r="AN746" i="5"/>
  <c r="AO746" i="5"/>
  <c r="AP746" i="5"/>
  <c r="AR746" i="5"/>
  <c r="AT746" i="5" s="1"/>
  <c r="AU746" i="5"/>
  <c r="AV746" i="5" s="1"/>
  <c r="AW746" i="5"/>
  <c r="AX746" i="5" s="1"/>
  <c r="AH747" i="5"/>
  <c r="AN747" i="5"/>
  <c r="AO747" i="5"/>
  <c r="AP747" i="5"/>
  <c r="AR747" i="5"/>
  <c r="AU747" i="5"/>
  <c r="AV747" i="5" s="1"/>
  <c r="AW747" i="5"/>
  <c r="AX747" i="5" s="1"/>
  <c r="AH748" i="5"/>
  <c r="AN748" i="5"/>
  <c r="AO748" i="5"/>
  <c r="AP748" i="5"/>
  <c r="AR748" i="5"/>
  <c r="AU748" i="5"/>
  <c r="AV748" i="5" s="1"/>
  <c r="AW748" i="5"/>
  <c r="AX748" i="5" s="1"/>
  <c r="AH749" i="5"/>
  <c r="AN749" i="5"/>
  <c r="AO749" i="5"/>
  <c r="AP749" i="5"/>
  <c r="AH750" i="5"/>
  <c r="AN750" i="5"/>
  <c r="AO750" i="5"/>
  <c r="AP750" i="5"/>
  <c r="AJ751" i="5"/>
  <c r="AK751" i="5"/>
  <c r="AL751" i="5"/>
  <c r="AN751" i="5"/>
  <c r="AO751" i="5"/>
  <c r="AP751" i="5"/>
  <c r="AR751" i="5"/>
  <c r="AU751" i="5"/>
  <c r="AV751" i="5" s="1"/>
  <c r="AW751" i="5"/>
  <c r="AX751" i="5" s="1"/>
  <c r="AH752" i="5"/>
  <c r="AN752" i="5"/>
  <c r="AO752" i="5"/>
  <c r="AP752" i="5"/>
  <c r="AR752" i="5"/>
  <c r="AS752" i="5" s="1"/>
  <c r="AU752" i="5"/>
  <c r="AV752" i="5" s="1"/>
  <c r="AW752" i="5"/>
  <c r="AX752" i="5" s="1"/>
  <c r="AH753" i="5"/>
  <c r="AN753" i="5"/>
  <c r="AO753" i="5"/>
  <c r="AP753" i="5"/>
  <c r="AR753" i="5"/>
  <c r="AU753" i="5"/>
  <c r="AV753" i="5" s="1"/>
  <c r="AW753" i="5"/>
  <c r="AX753" i="5" s="1"/>
  <c r="AH754" i="5"/>
  <c r="AN754" i="5"/>
  <c r="AO754" i="5"/>
  <c r="AP754" i="5"/>
  <c r="AR754" i="5"/>
  <c r="AU754" i="5"/>
  <c r="AV754" i="5" s="1"/>
  <c r="AW754" i="5"/>
  <c r="AX754" i="5" s="1"/>
  <c r="AH755" i="5"/>
  <c r="AN755" i="5"/>
  <c r="AO755" i="5"/>
  <c r="AP755" i="5"/>
  <c r="AR755" i="5"/>
  <c r="AU755" i="5"/>
  <c r="AV755" i="5" s="1"/>
  <c r="AW755" i="5"/>
  <c r="AX755" i="5" s="1"/>
  <c r="AH756" i="5"/>
  <c r="AZ756" i="5" s="1"/>
  <c r="AN756" i="5"/>
  <c r="AO756" i="5"/>
  <c r="AP756" i="5"/>
  <c r="AH757" i="5"/>
  <c r="AN757" i="5"/>
  <c r="AO757" i="5"/>
  <c r="AP757" i="5"/>
  <c r="AJ758" i="5"/>
  <c r="AK758" i="5"/>
  <c r="AL758" i="5"/>
  <c r="AN758" i="5"/>
  <c r="AO758" i="5"/>
  <c r="AP758" i="5"/>
  <c r="AR758" i="5"/>
  <c r="AU758" i="5"/>
  <c r="AV758" i="5" s="1"/>
  <c r="AW758" i="5"/>
  <c r="AX758" i="5" s="1"/>
  <c r="AH759" i="5"/>
  <c r="AL759" i="5" s="1"/>
  <c r="AN759" i="5"/>
  <c r="AO759" i="5"/>
  <c r="AP759" i="5"/>
  <c r="AR759" i="5"/>
  <c r="AT759" i="5" s="1"/>
  <c r="AU759" i="5"/>
  <c r="AV759" i="5" s="1"/>
  <c r="AW759" i="5"/>
  <c r="AX759" i="5" s="1"/>
  <c r="AH760" i="5"/>
  <c r="AZ760" i="5" s="1"/>
  <c r="AH761" i="5"/>
  <c r="AN760" i="5"/>
  <c r="AO760" i="5"/>
  <c r="AP760" i="5"/>
  <c r="AR760" i="5"/>
  <c r="AU760" i="5"/>
  <c r="AV760" i="5" s="1"/>
  <c r="AW760" i="5"/>
  <c r="AX760" i="5" s="1"/>
  <c r="AN761" i="5"/>
  <c r="AO761" i="5"/>
  <c r="AP761" i="5"/>
  <c r="AR761" i="5"/>
  <c r="AU761" i="5"/>
  <c r="AV761" i="5" s="1"/>
  <c r="AW761" i="5"/>
  <c r="AX761" i="5" s="1"/>
  <c r="AH762" i="5"/>
  <c r="AN762" i="5"/>
  <c r="AO762" i="5"/>
  <c r="AP762" i="5"/>
  <c r="AR762" i="5"/>
  <c r="AS762" i="5" s="1"/>
  <c r="AU762" i="5"/>
  <c r="AV762" i="5" s="1"/>
  <c r="AW762" i="5"/>
  <c r="AX762" i="5" s="1"/>
  <c r="AH763" i="5"/>
  <c r="AN763" i="5"/>
  <c r="AO763" i="5"/>
  <c r="AP763" i="5"/>
  <c r="AH764" i="5"/>
  <c r="AN764" i="5"/>
  <c r="AO764" i="5"/>
  <c r="AP764" i="5"/>
  <c r="AJ765" i="5"/>
  <c r="AK765" i="5"/>
  <c r="AL765" i="5"/>
  <c r="AN765" i="5"/>
  <c r="AO765" i="5"/>
  <c r="AP765" i="5"/>
  <c r="AR765" i="5"/>
  <c r="AS765" i="5" s="1"/>
  <c r="AU765" i="5"/>
  <c r="AV765" i="5" s="1"/>
  <c r="AW765" i="5"/>
  <c r="AX765" i="5" s="1"/>
  <c r="AH766" i="5"/>
  <c r="AN766" i="5"/>
  <c r="AO766" i="5"/>
  <c r="AP766" i="5"/>
  <c r="AR766" i="5"/>
  <c r="AT766" i="5" s="1"/>
  <c r="AU766" i="5"/>
  <c r="AV766" i="5" s="1"/>
  <c r="AW766" i="5"/>
  <c r="AX766" i="5" s="1"/>
  <c r="AH767" i="5"/>
  <c r="AN767" i="5"/>
  <c r="AO767" i="5"/>
  <c r="AP767" i="5"/>
  <c r="AR767" i="5"/>
  <c r="AU767" i="5"/>
  <c r="AV767" i="5" s="1"/>
  <c r="AW767" i="5"/>
  <c r="AX767" i="5" s="1"/>
  <c r="AH768" i="5"/>
  <c r="AN768" i="5"/>
  <c r="AO768" i="5"/>
  <c r="AP768" i="5"/>
  <c r="AR768" i="5"/>
  <c r="AS768" i="5" s="1"/>
  <c r="AU768" i="5"/>
  <c r="AV768" i="5" s="1"/>
  <c r="AW768" i="5"/>
  <c r="AX768" i="5" s="1"/>
  <c r="AH769" i="5"/>
  <c r="AN769" i="5"/>
  <c r="AO769" i="5"/>
  <c r="AP769" i="5"/>
  <c r="AR769" i="5"/>
  <c r="AU769" i="5"/>
  <c r="AV769" i="5" s="1"/>
  <c r="AW769" i="5"/>
  <c r="AX769" i="5" s="1"/>
  <c r="AH770" i="5"/>
  <c r="AN770" i="5"/>
  <c r="AO770" i="5"/>
  <c r="AP770" i="5"/>
  <c r="AH771" i="5"/>
  <c r="AN771" i="5"/>
  <c r="AO771" i="5"/>
  <c r="AP771" i="5"/>
  <c r="AJ772" i="5"/>
  <c r="AK772" i="5"/>
  <c r="AL772" i="5"/>
  <c r="AN772" i="5"/>
  <c r="AO772" i="5"/>
  <c r="AP772" i="5"/>
  <c r="AR772" i="5"/>
  <c r="AS772" i="5" s="1"/>
  <c r="AU772" i="5"/>
  <c r="AV772" i="5" s="1"/>
  <c r="AW772" i="5"/>
  <c r="AX772" i="5" s="1"/>
  <c r="AH773" i="5"/>
  <c r="AN773" i="5"/>
  <c r="AO773" i="5"/>
  <c r="AP773" i="5"/>
  <c r="AR773" i="5"/>
  <c r="AU773" i="5"/>
  <c r="AV773" i="5" s="1"/>
  <c r="AW773" i="5"/>
  <c r="AX773" i="5" s="1"/>
  <c r="AH774" i="5"/>
  <c r="AL774" i="5" s="1"/>
  <c r="AN774" i="5"/>
  <c r="AO774" i="5"/>
  <c r="AP774" i="5"/>
  <c r="AR774" i="5"/>
  <c r="AU774" i="5"/>
  <c r="AV774" i="5" s="1"/>
  <c r="AW774" i="5"/>
  <c r="AX774" i="5" s="1"/>
  <c r="AH775" i="5"/>
  <c r="AN775" i="5"/>
  <c r="AO775" i="5"/>
  <c r="AP775" i="5"/>
  <c r="AR775" i="5"/>
  <c r="AU775" i="5"/>
  <c r="AV775" i="5" s="1"/>
  <c r="AW775" i="5"/>
  <c r="AX775" i="5" s="1"/>
  <c r="AH776" i="5"/>
  <c r="AK776" i="5" s="1"/>
  <c r="AN776" i="5"/>
  <c r="AO776" i="5"/>
  <c r="AP776" i="5"/>
  <c r="AR776" i="5"/>
  <c r="AU776" i="5"/>
  <c r="AV776" i="5" s="1"/>
  <c r="AW776" i="5"/>
  <c r="AX776" i="5" s="1"/>
  <c r="AH777" i="5"/>
  <c r="AN777" i="5"/>
  <c r="AO777" i="5"/>
  <c r="AP777" i="5"/>
  <c r="AH778" i="5"/>
  <c r="AN778" i="5"/>
  <c r="AO778" i="5"/>
  <c r="AP778" i="5"/>
  <c r="AJ779" i="5"/>
  <c r="AK779" i="5"/>
  <c r="AL779" i="5"/>
  <c r="AN779" i="5"/>
  <c r="AO779" i="5"/>
  <c r="AP779" i="5"/>
  <c r="AR779" i="5"/>
  <c r="AS779" i="5" s="1"/>
  <c r="AU779" i="5"/>
  <c r="AV779" i="5" s="1"/>
  <c r="AW779" i="5"/>
  <c r="AX779" i="5" s="1"/>
  <c r="AH780" i="5"/>
  <c r="AJ780" i="5" s="1"/>
  <c r="AN780" i="5"/>
  <c r="AO780" i="5"/>
  <c r="AP780" i="5"/>
  <c r="AR780" i="5"/>
  <c r="AU780" i="5"/>
  <c r="AV780" i="5" s="1"/>
  <c r="AW780" i="5"/>
  <c r="AX780" i="5" s="1"/>
  <c r="AH781" i="5"/>
  <c r="AN781" i="5"/>
  <c r="AO781" i="5"/>
  <c r="AP781" i="5"/>
  <c r="AR781" i="5"/>
  <c r="AT781" i="5" s="1"/>
  <c r="AU781" i="5"/>
  <c r="AV781" i="5" s="1"/>
  <c r="AW781" i="5"/>
  <c r="AX781" i="5" s="1"/>
  <c r="AH782" i="5"/>
  <c r="AK782" i="5" s="1"/>
  <c r="AN782" i="5"/>
  <c r="AO782" i="5"/>
  <c r="AP782" i="5"/>
  <c r="AR782" i="5"/>
  <c r="AT782" i="5" s="1"/>
  <c r="AU782" i="5"/>
  <c r="AV782" i="5" s="1"/>
  <c r="AW782" i="5"/>
  <c r="AX782" i="5" s="1"/>
  <c r="AH783" i="5"/>
  <c r="AN783" i="5"/>
  <c r="AO783" i="5"/>
  <c r="AP783" i="5"/>
  <c r="AR783" i="5"/>
  <c r="AU783" i="5"/>
  <c r="AV783" i="5" s="1"/>
  <c r="AW783" i="5"/>
  <c r="AX783" i="5" s="1"/>
  <c r="AH784" i="5"/>
  <c r="AN784" i="5"/>
  <c r="AO784" i="5"/>
  <c r="AP784" i="5"/>
  <c r="AH785" i="5"/>
  <c r="AY785" i="5" s="1"/>
  <c r="AN785" i="5"/>
  <c r="AO785" i="5"/>
  <c r="AP785" i="5"/>
  <c r="AJ786" i="5"/>
  <c r="AK786" i="5"/>
  <c r="AL786" i="5"/>
  <c r="AN786" i="5"/>
  <c r="AO786" i="5"/>
  <c r="AP786" i="5"/>
  <c r="AR786" i="5"/>
  <c r="AT786" i="5" s="1"/>
  <c r="AU786" i="5"/>
  <c r="AV786" i="5" s="1"/>
  <c r="AW786" i="5"/>
  <c r="AX786" i="5" s="1"/>
  <c r="AH787" i="5"/>
  <c r="AN787" i="5"/>
  <c r="AO787" i="5"/>
  <c r="AP787" i="5"/>
  <c r="AR787" i="5"/>
  <c r="AU787" i="5"/>
  <c r="AV787" i="5" s="1"/>
  <c r="AW787" i="5"/>
  <c r="AX787" i="5" s="1"/>
  <c r="AH788" i="5"/>
  <c r="AN788" i="5"/>
  <c r="AO788" i="5"/>
  <c r="AP788" i="5"/>
  <c r="AR788" i="5"/>
  <c r="AT788" i="5" s="1"/>
  <c r="AU788" i="5"/>
  <c r="AV788" i="5" s="1"/>
  <c r="AW788" i="5"/>
  <c r="AX788" i="5" s="1"/>
  <c r="AH789" i="5"/>
  <c r="AN789" i="5"/>
  <c r="AO789" i="5"/>
  <c r="AP789" i="5"/>
  <c r="AR789" i="5"/>
  <c r="AU789" i="5"/>
  <c r="AV789" i="5" s="1"/>
  <c r="AW789" i="5"/>
  <c r="AX789" i="5" s="1"/>
  <c r="AH790" i="5"/>
  <c r="AN790" i="5"/>
  <c r="AO790" i="5"/>
  <c r="AP790" i="5"/>
  <c r="AR790" i="5"/>
  <c r="AU790" i="5"/>
  <c r="AV790" i="5" s="1"/>
  <c r="AW790" i="5"/>
  <c r="AX790" i="5" s="1"/>
  <c r="AH791" i="5"/>
  <c r="AZ791" i="5" s="1"/>
  <c r="AN791" i="5"/>
  <c r="AO791" i="5"/>
  <c r="AP791" i="5"/>
  <c r="AH792" i="5"/>
  <c r="AN792" i="5"/>
  <c r="AO792" i="5"/>
  <c r="AP792" i="5"/>
  <c r="AJ793" i="5"/>
  <c r="AK793" i="5"/>
  <c r="AL793" i="5"/>
  <c r="AN793" i="5"/>
  <c r="AO793" i="5"/>
  <c r="AP793" i="5"/>
  <c r="AR793" i="5"/>
  <c r="AU793" i="5"/>
  <c r="AV793" i="5" s="1"/>
  <c r="AW793" i="5"/>
  <c r="AX793" i="5" s="1"/>
  <c r="AH794" i="5"/>
  <c r="AN794" i="5"/>
  <c r="AO794" i="5"/>
  <c r="AP794" i="5"/>
  <c r="AR794" i="5"/>
  <c r="AS794" i="5" s="1"/>
  <c r="AU794" i="5"/>
  <c r="AV794" i="5" s="1"/>
  <c r="AW794" i="5"/>
  <c r="AX794" i="5" s="1"/>
  <c r="AH795" i="5"/>
  <c r="AN795" i="5"/>
  <c r="AO795" i="5"/>
  <c r="AP795" i="5"/>
  <c r="AR795" i="5"/>
  <c r="AU795" i="5"/>
  <c r="AV795" i="5" s="1"/>
  <c r="AW795" i="5"/>
  <c r="AX795" i="5" s="1"/>
  <c r="AH796" i="5"/>
  <c r="AZ796" i="5" s="1"/>
  <c r="AN796" i="5"/>
  <c r="AO796" i="5"/>
  <c r="AP796" i="5"/>
  <c r="AR796" i="5"/>
  <c r="AT796" i="5" s="1"/>
  <c r="AU796" i="5"/>
  <c r="AV796" i="5" s="1"/>
  <c r="AW796" i="5"/>
  <c r="AX796" i="5" s="1"/>
  <c r="AH797" i="5"/>
  <c r="AN797" i="5"/>
  <c r="AO797" i="5"/>
  <c r="AP797" i="5"/>
  <c r="AR797" i="5"/>
  <c r="AU797" i="5"/>
  <c r="AV797" i="5" s="1"/>
  <c r="AW797" i="5"/>
  <c r="AX797" i="5" s="1"/>
  <c r="AH798" i="5"/>
  <c r="AY798" i="5" s="1"/>
  <c r="AN798" i="5"/>
  <c r="AO798" i="5"/>
  <c r="AP798" i="5"/>
  <c r="AH799" i="5"/>
  <c r="AU799" i="5" s="1"/>
  <c r="AV799" i="5" s="1"/>
  <c r="AN799" i="5"/>
  <c r="AO799" i="5"/>
  <c r="AP799" i="5"/>
  <c r="AJ800" i="5"/>
  <c r="AK800" i="5"/>
  <c r="AL800" i="5"/>
  <c r="AN800" i="5"/>
  <c r="AO800" i="5"/>
  <c r="AP800" i="5"/>
  <c r="AR800" i="5"/>
  <c r="AS800" i="5" s="1"/>
  <c r="AU800" i="5"/>
  <c r="AV800" i="5" s="1"/>
  <c r="AW800" i="5"/>
  <c r="AX800" i="5" s="1"/>
  <c r="AH801" i="5"/>
  <c r="AN801" i="5"/>
  <c r="AO801" i="5"/>
  <c r="AP801" i="5"/>
  <c r="AR801" i="5"/>
  <c r="AS801" i="5" s="1"/>
  <c r="AU801" i="5"/>
  <c r="AV801" i="5" s="1"/>
  <c r="AW801" i="5"/>
  <c r="AX801" i="5" s="1"/>
  <c r="AH802" i="5"/>
  <c r="AN802" i="5"/>
  <c r="AO802" i="5"/>
  <c r="AP802" i="5"/>
  <c r="AR802" i="5"/>
  <c r="AS802" i="5" s="1"/>
  <c r="AU802" i="5"/>
  <c r="AV802" i="5" s="1"/>
  <c r="AW802" i="5"/>
  <c r="AX802" i="5" s="1"/>
  <c r="AH803" i="5"/>
  <c r="AN803" i="5"/>
  <c r="AO803" i="5"/>
  <c r="AP803" i="5"/>
  <c r="AR803" i="5"/>
  <c r="AU803" i="5"/>
  <c r="AV803" i="5" s="1"/>
  <c r="AW803" i="5"/>
  <c r="AX803" i="5" s="1"/>
  <c r="AH804" i="5"/>
  <c r="AN804" i="5"/>
  <c r="AO804" i="5"/>
  <c r="AP804" i="5"/>
  <c r="AR804" i="5"/>
  <c r="AT804" i="5" s="1"/>
  <c r="AU804" i="5"/>
  <c r="AV804" i="5" s="1"/>
  <c r="AW804" i="5"/>
  <c r="AX804" i="5" s="1"/>
  <c r="AH805" i="5"/>
  <c r="AU805" i="5" s="1"/>
  <c r="AV805" i="5" s="1"/>
  <c r="AN805" i="5"/>
  <c r="AO805" i="5"/>
  <c r="AP805" i="5"/>
  <c r="AH806" i="5"/>
  <c r="AJ806" i="5" s="1"/>
  <c r="AN806" i="5"/>
  <c r="AO806" i="5"/>
  <c r="AP806" i="5"/>
  <c r="AJ807" i="5"/>
  <c r="AK807" i="5"/>
  <c r="AL807" i="5"/>
  <c r="AN807" i="5"/>
  <c r="AO807" i="5"/>
  <c r="AP807" i="5"/>
  <c r="AR807" i="5"/>
  <c r="AT807" i="5" s="1"/>
  <c r="AU807" i="5"/>
  <c r="AV807" i="5" s="1"/>
  <c r="AW807" i="5"/>
  <c r="AX807" i="5" s="1"/>
  <c r="AH808" i="5"/>
  <c r="AZ808" i="5" s="1"/>
  <c r="AN808" i="5"/>
  <c r="AO808" i="5"/>
  <c r="AP808" i="5"/>
  <c r="AR808" i="5"/>
  <c r="AT808" i="5" s="1"/>
  <c r="AU808" i="5"/>
  <c r="AV808" i="5" s="1"/>
  <c r="AW808" i="5"/>
  <c r="AX808" i="5" s="1"/>
  <c r="AH809" i="5"/>
  <c r="AN809" i="5"/>
  <c r="AO809" i="5"/>
  <c r="AP809" i="5"/>
  <c r="AR809" i="5"/>
  <c r="AU809" i="5"/>
  <c r="AV809" i="5" s="1"/>
  <c r="AW809" i="5"/>
  <c r="AX809" i="5" s="1"/>
  <c r="AH810" i="5"/>
  <c r="AN810" i="5"/>
  <c r="AO810" i="5"/>
  <c r="AP810" i="5"/>
  <c r="AR810" i="5"/>
  <c r="AS810" i="5" s="1"/>
  <c r="AU810" i="5"/>
  <c r="AV810" i="5" s="1"/>
  <c r="AW810" i="5"/>
  <c r="AX810" i="5" s="1"/>
  <c r="AH811" i="5"/>
  <c r="AK811" i="5" s="1"/>
  <c r="AN811" i="5"/>
  <c r="AO811" i="5"/>
  <c r="AP811" i="5"/>
  <c r="AR811" i="5"/>
  <c r="AT811" i="5" s="1"/>
  <c r="AU811" i="5"/>
  <c r="AV811" i="5" s="1"/>
  <c r="AW811" i="5"/>
  <c r="AX811" i="5" s="1"/>
  <c r="AH812" i="5"/>
  <c r="AW812" i="5" s="1"/>
  <c r="AX812" i="5" s="1"/>
  <c r="AN812" i="5"/>
  <c r="AO812" i="5"/>
  <c r="AP812" i="5"/>
  <c r="AH813" i="5"/>
  <c r="AN813" i="5"/>
  <c r="AO813" i="5"/>
  <c r="AP813" i="5"/>
  <c r="AJ814" i="5"/>
  <c r="AK814" i="5"/>
  <c r="AL814" i="5"/>
  <c r="AN814" i="5"/>
  <c r="AO814" i="5"/>
  <c r="AP814" i="5"/>
  <c r="AR814" i="5"/>
  <c r="AS814" i="5" s="1"/>
  <c r="AU814" i="5"/>
  <c r="AV814" i="5" s="1"/>
  <c r="AW814" i="5"/>
  <c r="AX814" i="5" s="1"/>
  <c r="AH815" i="5"/>
  <c r="AJ815" i="5" s="1"/>
  <c r="AN815" i="5"/>
  <c r="AO815" i="5"/>
  <c r="AP815" i="5"/>
  <c r="AR815" i="5"/>
  <c r="AU815" i="5"/>
  <c r="AV815" i="5" s="1"/>
  <c r="AW815" i="5"/>
  <c r="AX815" i="5" s="1"/>
  <c r="AH816" i="5"/>
  <c r="AJ816" i="5" s="1"/>
  <c r="AN816" i="5"/>
  <c r="AO816" i="5"/>
  <c r="AP816" i="5"/>
  <c r="AR816" i="5"/>
  <c r="AT816" i="5" s="1"/>
  <c r="AU816" i="5"/>
  <c r="AV816" i="5" s="1"/>
  <c r="AW816" i="5"/>
  <c r="AX816" i="5" s="1"/>
  <c r="AH817" i="5"/>
  <c r="AN817" i="5"/>
  <c r="AO817" i="5"/>
  <c r="AP817" i="5"/>
  <c r="AR817" i="5"/>
  <c r="AU817" i="5"/>
  <c r="AV817" i="5" s="1"/>
  <c r="AW817" i="5"/>
  <c r="AX817" i="5" s="1"/>
  <c r="AH818" i="5"/>
  <c r="AN818" i="5"/>
  <c r="AO818" i="5"/>
  <c r="AP818" i="5"/>
  <c r="AH819" i="5"/>
  <c r="AK819" i="5" s="1"/>
  <c r="AN819" i="5"/>
  <c r="AO819" i="5"/>
  <c r="AP819" i="5"/>
  <c r="AJ820" i="5"/>
  <c r="AK820" i="5"/>
  <c r="AL820" i="5"/>
  <c r="AN820" i="5"/>
  <c r="AO820" i="5"/>
  <c r="AP820" i="5"/>
  <c r="AR820" i="5"/>
  <c r="AT820" i="5" s="1"/>
  <c r="AU820" i="5"/>
  <c r="AV820" i="5" s="1"/>
  <c r="AW820" i="5"/>
  <c r="AX820" i="5" s="1"/>
  <c r="AH821" i="5"/>
  <c r="AN821" i="5"/>
  <c r="AO821" i="5"/>
  <c r="AP821" i="5"/>
  <c r="AR821" i="5"/>
  <c r="AU821" i="5"/>
  <c r="AV821" i="5" s="1"/>
  <c r="AW821" i="5"/>
  <c r="AX821" i="5" s="1"/>
  <c r="AH822" i="5"/>
  <c r="AN822" i="5"/>
  <c r="AO822" i="5"/>
  <c r="AP822" i="5"/>
  <c r="AR822" i="5"/>
  <c r="AT822" i="5" s="1"/>
  <c r="AU822" i="5"/>
  <c r="AV822" i="5" s="1"/>
  <c r="AW822" i="5"/>
  <c r="AX822" i="5" s="1"/>
  <c r="AH823" i="5"/>
  <c r="AN823" i="5"/>
  <c r="AO823" i="5"/>
  <c r="AP823" i="5"/>
  <c r="AR823" i="5"/>
  <c r="AU823" i="5"/>
  <c r="AV823" i="5" s="1"/>
  <c r="AW823" i="5"/>
  <c r="AX823" i="5" s="1"/>
  <c r="AH824" i="5"/>
  <c r="AU824" i="5" s="1"/>
  <c r="AV824" i="5" s="1"/>
  <c r="AN824" i="5"/>
  <c r="AO824" i="5"/>
  <c r="AP824" i="5"/>
  <c r="AH825" i="5"/>
  <c r="AI826" i="5" s="1"/>
  <c r="AN825" i="5"/>
  <c r="AO825" i="5"/>
  <c r="AP825" i="5"/>
  <c r="AJ826" i="5"/>
  <c r="AK826" i="5"/>
  <c r="AL826" i="5"/>
  <c r="AN826" i="5"/>
  <c r="AO826" i="5"/>
  <c r="AP826" i="5"/>
  <c r="AR826" i="5"/>
  <c r="AT826" i="5" s="1"/>
  <c r="AU826" i="5"/>
  <c r="AV826" i="5" s="1"/>
  <c r="AW826" i="5"/>
  <c r="AX826" i="5" s="1"/>
  <c r="AH827" i="5"/>
  <c r="AN827" i="5"/>
  <c r="AO827" i="5"/>
  <c r="AP827" i="5"/>
  <c r="AR827" i="5"/>
  <c r="AS827" i="5" s="1"/>
  <c r="AU827" i="5"/>
  <c r="AV827" i="5" s="1"/>
  <c r="AW827" i="5"/>
  <c r="AX827" i="5" s="1"/>
  <c r="AH828" i="5"/>
  <c r="AY828" i="5" s="1"/>
  <c r="AN828" i="5"/>
  <c r="AO828" i="5"/>
  <c r="AP828" i="5"/>
  <c r="AR828" i="5"/>
  <c r="AT828" i="5" s="1"/>
  <c r="AU828" i="5"/>
  <c r="AV828" i="5" s="1"/>
  <c r="AW828" i="5"/>
  <c r="AX828" i="5" s="1"/>
  <c r="AH829" i="5"/>
  <c r="AK829" i="5" s="1"/>
  <c r="AN829" i="5"/>
  <c r="AO829" i="5"/>
  <c r="AP829" i="5"/>
  <c r="AR829" i="5"/>
  <c r="AU829" i="5"/>
  <c r="AV829" i="5" s="1"/>
  <c r="AW829" i="5"/>
  <c r="AX829" i="5" s="1"/>
  <c r="AH830" i="5"/>
  <c r="AR830" i="5" s="1"/>
  <c r="AT830" i="5" s="1"/>
  <c r="AN830" i="5"/>
  <c r="AO830" i="5"/>
  <c r="AP830" i="5"/>
  <c r="AH831" i="5"/>
  <c r="AN831" i="5"/>
  <c r="AO831" i="5"/>
  <c r="AP831" i="5"/>
  <c r="AJ832" i="5"/>
  <c r="AK832" i="5"/>
  <c r="AL832" i="5"/>
  <c r="AN832" i="5"/>
  <c r="AO832" i="5"/>
  <c r="AP832" i="5"/>
  <c r="AR832" i="5"/>
  <c r="AS832" i="5" s="1"/>
  <c r="AU832" i="5"/>
  <c r="AV832" i="5" s="1"/>
  <c r="AW832" i="5"/>
  <c r="AX832" i="5" s="1"/>
  <c r="AH833" i="5"/>
  <c r="AL833" i="5" s="1"/>
  <c r="AN833" i="5"/>
  <c r="AO833" i="5"/>
  <c r="AP833" i="5"/>
  <c r="AR833" i="5"/>
  <c r="AU833" i="5"/>
  <c r="AV833" i="5" s="1"/>
  <c r="AW833" i="5"/>
  <c r="AX833" i="5" s="1"/>
  <c r="AH834" i="5"/>
  <c r="AN834" i="5"/>
  <c r="AO834" i="5"/>
  <c r="AP834" i="5"/>
  <c r="AR834" i="5"/>
  <c r="AS834" i="5" s="1"/>
  <c r="AU834" i="5"/>
  <c r="AV834" i="5" s="1"/>
  <c r="AW834" i="5"/>
  <c r="AX834" i="5" s="1"/>
  <c r="AH835" i="5"/>
  <c r="AN835" i="5"/>
  <c r="AO835" i="5"/>
  <c r="AP835" i="5"/>
  <c r="AR835" i="5"/>
  <c r="AS835" i="5" s="1"/>
  <c r="AU835" i="5"/>
  <c r="AV835" i="5" s="1"/>
  <c r="AW835" i="5"/>
  <c r="AX835" i="5" s="1"/>
  <c r="AH836" i="5"/>
  <c r="AJ836" i="5" s="1"/>
  <c r="AN836" i="5"/>
  <c r="AO836" i="5"/>
  <c r="AP836" i="5"/>
  <c r="AH837" i="5"/>
  <c r="AW837" i="5" s="1"/>
  <c r="AX837" i="5" s="1"/>
  <c r="AN837" i="5"/>
  <c r="AO837" i="5"/>
  <c r="AP837" i="5"/>
  <c r="AJ838" i="5"/>
  <c r="AK838" i="5"/>
  <c r="AL838" i="5"/>
  <c r="AN838" i="5"/>
  <c r="AO838" i="5"/>
  <c r="AP838" i="5"/>
  <c r="AR838" i="5"/>
  <c r="AT838" i="5" s="1"/>
  <c r="AU838" i="5"/>
  <c r="AV838" i="5" s="1"/>
  <c r="AW838" i="5"/>
  <c r="AX838" i="5" s="1"/>
  <c r="AH839" i="5"/>
  <c r="AN839" i="5"/>
  <c r="AO839" i="5"/>
  <c r="AP839" i="5"/>
  <c r="AR839" i="5"/>
  <c r="AU839" i="5"/>
  <c r="AV839" i="5" s="1"/>
  <c r="AW839" i="5"/>
  <c r="AX839" i="5" s="1"/>
  <c r="AH840" i="5"/>
  <c r="AL840" i="5" s="1"/>
  <c r="AN840" i="5"/>
  <c r="AO840" i="5"/>
  <c r="AP840" i="5"/>
  <c r="AR840" i="5"/>
  <c r="AT840" i="5" s="1"/>
  <c r="AU840" i="5"/>
  <c r="AV840" i="5" s="1"/>
  <c r="AW840" i="5"/>
  <c r="AX840" i="5" s="1"/>
  <c r="AH841" i="5"/>
  <c r="AN841" i="5"/>
  <c r="AO841" i="5"/>
  <c r="AP841" i="5"/>
  <c r="AR841" i="5"/>
  <c r="AS841" i="5" s="1"/>
  <c r="AU841" i="5"/>
  <c r="AV841" i="5" s="1"/>
  <c r="AW841" i="5"/>
  <c r="AX841" i="5" s="1"/>
  <c r="AH842" i="5"/>
  <c r="AN842" i="5"/>
  <c r="AO842" i="5"/>
  <c r="AP842" i="5"/>
  <c r="AH843" i="5"/>
  <c r="AW843" i="5" s="1"/>
  <c r="AX843" i="5" s="1"/>
  <c r="AN843" i="5"/>
  <c r="AO843" i="5"/>
  <c r="AP843" i="5"/>
  <c r="AJ844" i="5"/>
  <c r="AK844" i="5"/>
  <c r="AL844" i="5"/>
  <c r="AN844" i="5"/>
  <c r="AO844" i="5"/>
  <c r="AP844" i="5"/>
  <c r="AR844" i="5"/>
  <c r="AU844" i="5"/>
  <c r="AV844" i="5" s="1"/>
  <c r="AW844" i="5"/>
  <c r="AX844" i="5" s="1"/>
  <c r="AH845" i="5"/>
  <c r="AL845" i="5" s="1"/>
  <c r="AN845" i="5"/>
  <c r="AO845" i="5"/>
  <c r="AP845" i="5"/>
  <c r="AR845" i="5"/>
  <c r="AU845" i="5"/>
  <c r="AV845" i="5" s="1"/>
  <c r="AW845" i="5"/>
  <c r="AX845" i="5" s="1"/>
  <c r="AH846" i="5"/>
  <c r="AN846" i="5"/>
  <c r="AO846" i="5"/>
  <c r="AP846" i="5"/>
  <c r="AR846" i="5"/>
  <c r="AS846" i="5" s="1"/>
  <c r="AU846" i="5"/>
  <c r="AV846" i="5" s="1"/>
  <c r="AW846" i="5"/>
  <c r="AX846" i="5" s="1"/>
  <c r="AH847" i="5"/>
  <c r="AN847" i="5"/>
  <c r="AO847" i="5"/>
  <c r="AP847" i="5"/>
  <c r="AR847" i="5"/>
  <c r="AT847" i="5" s="1"/>
  <c r="AU847" i="5"/>
  <c r="AV847" i="5" s="1"/>
  <c r="AW847" i="5"/>
  <c r="AX847" i="5" s="1"/>
  <c r="AH848" i="5"/>
  <c r="AU848" i="5" s="1"/>
  <c r="AV848" i="5" s="1"/>
  <c r="AN848" i="5"/>
  <c r="AO848" i="5"/>
  <c r="AP848" i="5"/>
  <c r="AH849" i="5"/>
  <c r="AU849" i="5" s="1"/>
  <c r="AV849" i="5" s="1"/>
  <c r="AN849" i="5"/>
  <c r="AO849" i="5"/>
  <c r="AP849" i="5"/>
  <c r="AJ850" i="5"/>
  <c r="AK850" i="5"/>
  <c r="AL850" i="5"/>
  <c r="AN850" i="5"/>
  <c r="AO850" i="5"/>
  <c r="AP850" i="5"/>
  <c r="AR850" i="5"/>
  <c r="AU850" i="5"/>
  <c r="AV850" i="5" s="1"/>
  <c r="AW850" i="5"/>
  <c r="AX850" i="5" s="1"/>
  <c r="AH851" i="5"/>
  <c r="AN851" i="5"/>
  <c r="AO851" i="5"/>
  <c r="AP851" i="5"/>
  <c r="AR851" i="5"/>
  <c r="AU851" i="5"/>
  <c r="AV851" i="5" s="1"/>
  <c r="AW851" i="5"/>
  <c r="AX851" i="5" s="1"/>
  <c r="AH852" i="5"/>
  <c r="AN852" i="5"/>
  <c r="AO852" i="5"/>
  <c r="AP852" i="5"/>
  <c r="AR852" i="5"/>
  <c r="AT852" i="5" s="1"/>
  <c r="AU852" i="5"/>
  <c r="AV852" i="5" s="1"/>
  <c r="AW852" i="5"/>
  <c r="AX852" i="5" s="1"/>
  <c r="AH853" i="5"/>
  <c r="AN853" i="5"/>
  <c r="AO853" i="5"/>
  <c r="AP853" i="5"/>
  <c r="AR853" i="5"/>
  <c r="AU853" i="5"/>
  <c r="AV853" i="5" s="1"/>
  <c r="AW853" i="5"/>
  <c r="AX853" i="5" s="1"/>
  <c r="AH854" i="5"/>
  <c r="AN854" i="5"/>
  <c r="AO854" i="5"/>
  <c r="AP854" i="5"/>
  <c r="AH855" i="5"/>
  <c r="AY855" i="5" s="1"/>
  <c r="AN855" i="5"/>
  <c r="AO855" i="5"/>
  <c r="AP855" i="5"/>
  <c r="AJ856" i="5"/>
  <c r="AK856" i="5"/>
  <c r="AL856" i="5"/>
  <c r="AN856" i="5"/>
  <c r="AO856" i="5"/>
  <c r="AP856" i="5"/>
  <c r="AR856" i="5"/>
  <c r="AT856" i="5" s="1"/>
  <c r="AU856" i="5"/>
  <c r="AV856" i="5" s="1"/>
  <c r="AW856" i="5"/>
  <c r="AX856" i="5" s="1"/>
  <c r="AH857" i="5"/>
  <c r="AN857" i="5"/>
  <c r="AO857" i="5"/>
  <c r="AP857" i="5"/>
  <c r="AR857" i="5"/>
  <c r="AS857" i="5" s="1"/>
  <c r="AU857" i="5"/>
  <c r="AV857" i="5" s="1"/>
  <c r="AW857" i="5"/>
  <c r="AX857" i="5" s="1"/>
  <c r="AH858" i="5"/>
  <c r="AN858" i="5"/>
  <c r="AO858" i="5"/>
  <c r="AP858" i="5"/>
  <c r="AR858" i="5"/>
  <c r="AU858" i="5"/>
  <c r="AV858" i="5" s="1"/>
  <c r="AW858" i="5"/>
  <c r="AX858" i="5" s="1"/>
  <c r="AH859" i="5"/>
  <c r="AK859" i="5" s="1"/>
  <c r="AN859" i="5"/>
  <c r="AO859" i="5"/>
  <c r="AP859" i="5"/>
  <c r="AH860" i="5"/>
  <c r="AN860" i="5"/>
  <c r="AO860" i="5"/>
  <c r="AP860" i="5"/>
  <c r="AJ861" i="5"/>
  <c r="AK861" i="5"/>
  <c r="AL861" i="5"/>
  <c r="AN861" i="5"/>
  <c r="AO861" i="5"/>
  <c r="AP861" i="5"/>
  <c r="AR861" i="5"/>
  <c r="AU861" i="5"/>
  <c r="AV861" i="5" s="1"/>
  <c r="AW861" i="5"/>
  <c r="AX861" i="5" s="1"/>
  <c r="AH882" i="5"/>
  <c r="AN882" i="5"/>
  <c r="AO882" i="5"/>
  <c r="AP882" i="5"/>
  <c r="AR882" i="5"/>
  <c r="AU882" i="5"/>
  <c r="AV882" i="5" s="1"/>
  <c r="AW882" i="5"/>
  <c r="AX882" i="5" s="1"/>
  <c r="AH883" i="5"/>
  <c r="AZ883" i="5" s="1"/>
  <c r="AN883" i="5"/>
  <c r="AO883" i="5"/>
  <c r="AP883" i="5"/>
  <c r="AR883" i="5"/>
  <c r="AU883" i="5"/>
  <c r="AV883" i="5" s="1"/>
  <c r="AW883" i="5"/>
  <c r="AX883" i="5" s="1"/>
  <c r="AH884" i="5"/>
  <c r="AL884" i="5" s="1"/>
  <c r="AN884" i="5"/>
  <c r="AO884" i="5"/>
  <c r="AP884" i="5"/>
  <c r="AR884" i="5"/>
  <c r="AT884" i="5" s="1"/>
  <c r="AU884" i="5"/>
  <c r="AV884" i="5" s="1"/>
  <c r="AW884" i="5"/>
  <c r="AX884" i="5" s="1"/>
  <c r="AH885" i="5"/>
  <c r="AJ885" i="5" s="1"/>
  <c r="AN885" i="5"/>
  <c r="AO885" i="5"/>
  <c r="AP885" i="5"/>
  <c r="AR885" i="5"/>
  <c r="AU885" i="5"/>
  <c r="AV885" i="5" s="1"/>
  <c r="AW885" i="5"/>
  <c r="AX885" i="5" s="1"/>
  <c r="AH886" i="5"/>
  <c r="AN886" i="5"/>
  <c r="AO886" i="5"/>
  <c r="AR886" i="5"/>
  <c r="AU886" i="5"/>
  <c r="AV886" i="5" s="1"/>
  <c r="AW886" i="5"/>
  <c r="AX886" i="5" s="1"/>
  <c r="AH887" i="5"/>
  <c r="AK887" i="5" s="1"/>
  <c r="AN887" i="5"/>
  <c r="AO887" i="5"/>
  <c r="AP887" i="5"/>
  <c r="AR887" i="5"/>
  <c r="AT887" i="5" s="1"/>
  <c r="AU887" i="5"/>
  <c r="AV887" i="5" s="1"/>
  <c r="AW887" i="5"/>
  <c r="AX887" i="5" s="1"/>
  <c r="AH888" i="5"/>
  <c r="AN888" i="5"/>
  <c r="AO888" i="5"/>
  <c r="AP888" i="5"/>
  <c r="AR888" i="5"/>
  <c r="AU888" i="5"/>
  <c r="AV888" i="5" s="1"/>
  <c r="AW888" i="5"/>
  <c r="AX888" i="5" s="1"/>
  <c r="AH889" i="5"/>
  <c r="AZ889" i="5" s="1"/>
  <c r="AN889" i="5"/>
  <c r="AO889" i="5"/>
  <c r="AP889" i="5"/>
  <c r="AR889" i="5"/>
  <c r="AS889" i="5" s="1"/>
  <c r="AU889" i="5"/>
  <c r="AV889" i="5" s="1"/>
  <c r="AW889" i="5"/>
  <c r="AX889" i="5" s="1"/>
  <c r="AH890" i="5"/>
  <c r="AZ890" i="5" s="1"/>
  <c r="AN890" i="5"/>
  <c r="AO890" i="5"/>
  <c r="AP890" i="5"/>
  <c r="AR890" i="5"/>
  <c r="AU890" i="5"/>
  <c r="AV890" i="5" s="1"/>
  <c r="AW890" i="5"/>
  <c r="AX890" i="5" s="1"/>
  <c r="AH891" i="5"/>
  <c r="AK891" i="5" s="1"/>
  <c r="AN891" i="5"/>
  <c r="AO891" i="5"/>
  <c r="AP891" i="5"/>
  <c r="AH892" i="5"/>
  <c r="AZ892" i="5" s="1"/>
  <c r="AN892" i="5"/>
  <c r="AO892" i="5"/>
  <c r="AP892" i="5"/>
  <c r="AJ893" i="5"/>
  <c r="AK893" i="5"/>
  <c r="AL893" i="5"/>
  <c r="AN893" i="5"/>
  <c r="AO893" i="5"/>
  <c r="AP893" i="5"/>
  <c r="AR893" i="5"/>
  <c r="AU893" i="5"/>
  <c r="AV893" i="5" s="1"/>
  <c r="AW893" i="5"/>
  <c r="AX893" i="5" s="1"/>
  <c r="AH894" i="5"/>
  <c r="AI894" i="5" s="1"/>
  <c r="AN894" i="5"/>
  <c r="AO894" i="5"/>
  <c r="AP894" i="5"/>
  <c r="AR894" i="5"/>
  <c r="AU894" i="5"/>
  <c r="AV894" i="5" s="1"/>
  <c r="AW894" i="5"/>
  <c r="AX894" i="5" s="1"/>
  <c r="AH895" i="5"/>
  <c r="AN895" i="5"/>
  <c r="AO895" i="5"/>
  <c r="AP895" i="5"/>
  <c r="AR895" i="5"/>
  <c r="AS895" i="5" s="1"/>
  <c r="AU895" i="5"/>
  <c r="AV895" i="5" s="1"/>
  <c r="AW895" i="5"/>
  <c r="AX895" i="5" s="1"/>
  <c r="AH896" i="5"/>
  <c r="AN896" i="5"/>
  <c r="AO896" i="5"/>
  <c r="AP896" i="5"/>
  <c r="AR896" i="5"/>
  <c r="AU896" i="5"/>
  <c r="AV896" i="5" s="1"/>
  <c r="AW896" i="5"/>
  <c r="AX896" i="5" s="1"/>
  <c r="AH897" i="5"/>
  <c r="AL897" i="5" s="1"/>
  <c r="AN897" i="5"/>
  <c r="AO897" i="5"/>
  <c r="AP897" i="5"/>
  <c r="AR897" i="5"/>
  <c r="AS897" i="5" s="1"/>
  <c r="AU897" i="5"/>
  <c r="AV897" i="5" s="1"/>
  <c r="AW897" i="5"/>
  <c r="AX897" i="5" s="1"/>
  <c r="AH898" i="5"/>
  <c r="AN898" i="5"/>
  <c r="AO898" i="5"/>
  <c r="AP898" i="5"/>
  <c r="AH899" i="5"/>
  <c r="AI900" i="5" s="1"/>
  <c r="AN899" i="5"/>
  <c r="AO899" i="5"/>
  <c r="AP899" i="5"/>
  <c r="AJ900" i="5"/>
  <c r="AK900" i="5"/>
  <c r="AL900" i="5"/>
  <c r="AN900" i="5"/>
  <c r="AO900" i="5"/>
  <c r="AP900" i="5"/>
  <c r="AR900" i="5"/>
  <c r="AU900" i="5"/>
  <c r="AV900" i="5" s="1"/>
  <c r="AW900" i="5"/>
  <c r="AX900" i="5" s="1"/>
  <c r="AH901" i="5"/>
  <c r="AN901" i="5"/>
  <c r="AO901" i="5"/>
  <c r="AP901" i="5"/>
  <c r="AR901" i="5"/>
  <c r="AU901" i="5"/>
  <c r="AV901" i="5" s="1"/>
  <c r="AW901" i="5"/>
  <c r="AX901" i="5" s="1"/>
  <c r="AH902" i="5"/>
  <c r="AN902" i="5"/>
  <c r="AO902" i="5"/>
  <c r="AP902" i="5"/>
  <c r="AR902" i="5"/>
  <c r="AT902" i="5" s="1"/>
  <c r="AU902" i="5"/>
  <c r="AV902" i="5" s="1"/>
  <c r="AW902" i="5"/>
  <c r="AX902" i="5" s="1"/>
  <c r="AH903" i="5"/>
  <c r="AN903" i="5"/>
  <c r="AO903" i="5"/>
  <c r="AP903" i="5"/>
  <c r="AR903" i="5"/>
  <c r="AT903" i="5" s="1"/>
  <c r="AU903" i="5"/>
  <c r="AV903" i="5" s="1"/>
  <c r="AW903" i="5"/>
  <c r="AX903" i="5" s="1"/>
  <c r="AH904" i="5"/>
  <c r="AN904" i="5"/>
  <c r="AO904" i="5"/>
  <c r="AP904" i="5"/>
  <c r="AR904" i="5"/>
  <c r="AT904" i="5" s="1"/>
  <c r="AU904" i="5"/>
  <c r="AV904" i="5" s="1"/>
  <c r="AW904" i="5"/>
  <c r="AX904" i="5" s="1"/>
  <c r="AH905" i="5"/>
  <c r="AL905" i="5" s="1"/>
  <c r="AN905" i="5"/>
  <c r="AO905" i="5"/>
  <c r="AP905" i="5"/>
  <c r="AH906" i="5"/>
  <c r="AN906" i="5"/>
  <c r="AO906" i="5"/>
  <c r="AP906" i="5"/>
  <c r="AJ907" i="5"/>
  <c r="AK907" i="5"/>
  <c r="AL907" i="5"/>
  <c r="AN907" i="5"/>
  <c r="AO907" i="5"/>
  <c r="AP907" i="5"/>
  <c r="AR907" i="5"/>
  <c r="AS907" i="5" s="1"/>
  <c r="AU907" i="5"/>
  <c r="AV907" i="5" s="1"/>
  <c r="AW907" i="5"/>
  <c r="AX907" i="5" s="1"/>
  <c r="AH908" i="5"/>
  <c r="AN908" i="5"/>
  <c r="AO908" i="5"/>
  <c r="AP908" i="5"/>
  <c r="AR908" i="5"/>
  <c r="AU908" i="5"/>
  <c r="AV908" i="5" s="1"/>
  <c r="AW908" i="5"/>
  <c r="AX908" i="5" s="1"/>
  <c r="AH909" i="5"/>
  <c r="AY909" i="5" s="1"/>
  <c r="AN909" i="5"/>
  <c r="AO909" i="5"/>
  <c r="AP909" i="5"/>
  <c r="AR909" i="5"/>
  <c r="AU909" i="5"/>
  <c r="AV909" i="5" s="1"/>
  <c r="AW909" i="5"/>
  <c r="AX909" i="5" s="1"/>
  <c r="AH910" i="5"/>
  <c r="AL910" i="5" s="1"/>
  <c r="AN910" i="5"/>
  <c r="AO910" i="5"/>
  <c r="AP910" i="5"/>
  <c r="AR910" i="5"/>
  <c r="AU910" i="5"/>
  <c r="AV910" i="5" s="1"/>
  <c r="AW910" i="5"/>
  <c r="AX910" i="5" s="1"/>
  <c r="AH911" i="5"/>
  <c r="AL911" i="5" s="1"/>
  <c r="AN911" i="5"/>
  <c r="AO911" i="5"/>
  <c r="AP911" i="5"/>
  <c r="AR911" i="5"/>
  <c r="AU911" i="5"/>
  <c r="AV911" i="5" s="1"/>
  <c r="AW911" i="5"/>
  <c r="AX911" i="5" s="1"/>
  <c r="AH912" i="5"/>
  <c r="AR912" i="5" s="1"/>
  <c r="AT912" i="5" s="1"/>
  <c r="AN912" i="5"/>
  <c r="AO912" i="5"/>
  <c r="AP912" i="5"/>
  <c r="AH913" i="5"/>
  <c r="AW913" i="5" s="1"/>
  <c r="AX913" i="5" s="1"/>
  <c r="AN913" i="5"/>
  <c r="AO913" i="5"/>
  <c r="AP913" i="5"/>
  <c r="AJ914" i="5"/>
  <c r="AK914" i="5"/>
  <c r="AL914" i="5"/>
  <c r="AN914" i="5"/>
  <c r="AO914" i="5"/>
  <c r="AP914" i="5"/>
  <c r="AR914" i="5"/>
  <c r="AU914" i="5"/>
  <c r="AV914" i="5" s="1"/>
  <c r="AW914" i="5"/>
  <c r="AX914" i="5" s="1"/>
  <c r="AH915" i="5"/>
  <c r="AI915" i="5" s="1"/>
  <c r="AN915" i="5"/>
  <c r="AO915" i="5"/>
  <c r="AP915" i="5"/>
  <c r="AR915" i="5"/>
  <c r="AU915" i="5"/>
  <c r="AV915" i="5" s="1"/>
  <c r="AW915" i="5"/>
  <c r="AX915" i="5" s="1"/>
  <c r="AH916" i="5"/>
  <c r="AN916" i="5"/>
  <c r="AO916" i="5"/>
  <c r="AP916" i="5"/>
  <c r="AR916" i="5"/>
  <c r="AT916" i="5" s="1"/>
  <c r="AU916" i="5"/>
  <c r="AV916" i="5" s="1"/>
  <c r="AW916" i="5"/>
  <c r="AX916" i="5" s="1"/>
  <c r="AH917" i="5"/>
  <c r="AN917" i="5"/>
  <c r="AO917" i="5"/>
  <c r="AP917" i="5"/>
  <c r="AR917" i="5"/>
  <c r="AU917" i="5"/>
  <c r="AV917" i="5" s="1"/>
  <c r="AW917" i="5"/>
  <c r="AX917" i="5" s="1"/>
  <c r="AH918" i="5"/>
  <c r="AN918" i="5"/>
  <c r="AO918" i="5"/>
  <c r="AP918" i="5"/>
  <c r="AR918" i="5"/>
  <c r="AS918" i="5" s="1"/>
  <c r="AU918" i="5"/>
  <c r="AV918" i="5" s="1"/>
  <c r="AW918" i="5"/>
  <c r="AX918" i="5" s="1"/>
  <c r="AH919" i="5"/>
  <c r="AU919" i="5" s="1"/>
  <c r="AV919" i="5" s="1"/>
  <c r="AN919" i="5"/>
  <c r="AO919" i="5"/>
  <c r="AP919" i="5"/>
  <c r="AH920" i="5"/>
  <c r="AU920" i="5" s="1"/>
  <c r="AV920" i="5" s="1"/>
  <c r="AN920" i="5"/>
  <c r="AO920" i="5"/>
  <c r="AP920" i="5"/>
  <c r="AJ921" i="5"/>
  <c r="AK921" i="5"/>
  <c r="AL921" i="5"/>
  <c r="AN921" i="5"/>
  <c r="AO921" i="5"/>
  <c r="AP921" i="5"/>
  <c r="AR921" i="5"/>
  <c r="AT921" i="5" s="1"/>
  <c r="AU921" i="5"/>
  <c r="AV921" i="5" s="1"/>
  <c r="AW921" i="5"/>
  <c r="AX921" i="5" s="1"/>
  <c r="AH922" i="5"/>
  <c r="AN922" i="5"/>
  <c r="AO922" i="5"/>
  <c r="AP922" i="5"/>
  <c r="AR922" i="5"/>
  <c r="AT922" i="5" s="1"/>
  <c r="AU922" i="5"/>
  <c r="AV922" i="5" s="1"/>
  <c r="AW922" i="5"/>
  <c r="AX922" i="5" s="1"/>
  <c r="AH923" i="5"/>
  <c r="AZ923" i="5" s="1"/>
  <c r="AN923" i="5"/>
  <c r="AO923" i="5"/>
  <c r="AP923" i="5"/>
  <c r="AR923" i="5"/>
  <c r="AS923" i="5" s="1"/>
  <c r="AU923" i="5"/>
  <c r="AV923" i="5" s="1"/>
  <c r="AW923" i="5"/>
  <c r="AX923" i="5" s="1"/>
  <c r="AH924" i="5"/>
  <c r="AN924" i="5"/>
  <c r="AO924" i="5"/>
  <c r="AP924" i="5"/>
  <c r="AR924" i="5"/>
  <c r="AU924" i="5"/>
  <c r="AV924" i="5" s="1"/>
  <c r="AW924" i="5"/>
  <c r="AX924" i="5" s="1"/>
  <c r="AH925" i="5"/>
  <c r="AK925" i="5" s="1"/>
  <c r="AN925" i="5"/>
  <c r="AO925" i="5"/>
  <c r="AP925" i="5"/>
  <c r="AR925" i="5"/>
  <c r="AU925" i="5"/>
  <c r="AV925" i="5" s="1"/>
  <c r="AW925" i="5"/>
  <c r="AX925" i="5" s="1"/>
  <c r="AH926" i="5"/>
  <c r="AN926" i="5"/>
  <c r="AO926" i="5"/>
  <c r="AP926" i="5"/>
  <c r="AH927" i="5"/>
  <c r="AN927" i="5"/>
  <c r="AO927" i="5"/>
  <c r="AP927" i="5"/>
  <c r="AJ928" i="5"/>
  <c r="AK928" i="5"/>
  <c r="AL928" i="5"/>
  <c r="AN928" i="5"/>
  <c r="AO928" i="5"/>
  <c r="AP928" i="5"/>
  <c r="AR928" i="5"/>
  <c r="AT928" i="5" s="1"/>
  <c r="AU928" i="5"/>
  <c r="AV928" i="5" s="1"/>
  <c r="AW928" i="5"/>
  <c r="AX928" i="5" s="1"/>
  <c r="AH929" i="5"/>
  <c r="AN929" i="5"/>
  <c r="AO929" i="5"/>
  <c r="AP929" i="5"/>
  <c r="AR929" i="5"/>
  <c r="AU929" i="5"/>
  <c r="AV929" i="5" s="1"/>
  <c r="AW929" i="5"/>
  <c r="AX929" i="5" s="1"/>
  <c r="AH930" i="5"/>
  <c r="AK930" i="5" s="1"/>
  <c r="AN930" i="5"/>
  <c r="AO930" i="5"/>
  <c r="AP930" i="5"/>
  <c r="AR930" i="5"/>
  <c r="AS930" i="5" s="1"/>
  <c r="AU930" i="5"/>
  <c r="AV930" i="5" s="1"/>
  <c r="AW930" i="5"/>
  <c r="AX930" i="5" s="1"/>
  <c r="AH931" i="5"/>
  <c r="AY931" i="5" s="1"/>
  <c r="AN931" i="5"/>
  <c r="AO931" i="5"/>
  <c r="AP931" i="5"/>
  <c r="AR931" i="5"/>
  <c r="AU931" i="5"/>
  <c r="AV931" i="5" s="1"/>
  <c r="AW931" i="5"/>
  <c r="AX931" i="5" s="1"/>
  <c r="AH932" i="5"/>
  <c r="AN932" i="5"/>
  <c r="AO932" i="5"/>
  <c r="AP932" i="5"/>
  <c r="AR932" i="5"/>
  <c r="AU932" i="5"/>
  <c r="AV932" i="5" s="1"/>
  <c r="AW932" i="5"/>
  <c r="AX932" i="5" s="1"/>
  <c r="AH933" i="5"/>
  <c r="AR933" i="5" s="1"/>
  <c r="AN933" i="5"/>
  <c r="AO933" i="5"/>
  <c r="AP933" i="5"/>
  <c r="AH934" i="5"/>
  <c r="AL934" i="5" s="1"/>
  <c r="AN934" i="5"/>
  <c r="AO934" i="5"/>
  <c r="AP934" i="5"/>
  <c r="AJ935" i="5"/>
  <c r="AK935" i="5"/>
  <c r="AL935" i="5"/>
  <c r="AN935" i="5"/>
  <c r="AO935" i="5"/>
  <c r="AP935" i="5"/>
  <c r="AR935" i="5"/>
  <c r="AU935" i="5"/>
  <c r="AV935" i="5" s="1"/>
  <c r="AW935" i="5"/>
  <c r="AX935" i="5" s="1"/>
  <c r="AH936" i="5"/>
  <c r="AN936" i="5"/>
  <c r="AO936" i="5"/>
  <c r="AP936" i="5"/>
  <c r="AR936" i="5"/>
  <c r="AU936" i="5"/>
  <c r="AV936" i="5" s="1"/>
  <c r="AW936" i="5"/>
  <c r="AX936" i="5" s="1"/>
  <c r="AH937" i="5"/>
  <c r="AN937" i="5"/>
  <c r="AO937" i="5"/>
  <c r="AP937" i="5"/>
  <c r="AR937" i="5"/>
  <c r="AT937" i="5" s="1"/>
  <c r="AU937" i="5"/>
  <c r="AV937" i="5" s="1"/>
  <c r="AW937" i="5"/>
  <c r="AX937" i="5" s="1"/>
  <c r="AH938" i="5"/>
  <c r="AN938" i="5"/>
  <c r="AO938" i="5"/>
  <c r="AP938" i="5"/>
  <c r="AR938" i="5"/>
  <c r="AU938" i="5"/>
  <c r="AV938" i="5" s="1"/>
  <c r="AW938" i="5"/>
  <c r="AX938" i="5" s="1"/>
  <c r="AH939" i="5"/>
  <c r="AJ939" i="5" s="1"/>
  <c r="AN939" i="5"/>
  <c r="AO939" i="5"/>
  <c r="AP939" i="5"/>
  <c r="AR939" i="5"/>
  <c r="AU939" i="5"/>
  <c r="AV939" i="5" s="1"/>
  <c r="AW939" i="5"/>
  <c r="AX939" i="5" s="1"/>
  <c r="AH940" i="5"/>
  <c r="AY940" i="5" s="1"/>
  <c r="AN940" i="5"/>
  <c r="AO940" i="5"/>
  <c r="AP940" i="5"/>
  <c r="AH941" i="5"/>
  <c r="AZ941" i="5" s="1"/>
  <c r="AN941" i="5"/>
  <c r="AO941" i="5"/>
  <c r="AP941" i="5"/>
  <c r="AJ942" i="5"/>
  <c r="AK942" i="5"/>
  <c r="AL942" i="5"/>
  <c r="AN942" i="5"/>
  <c r="AO942" i="5"/>
  <c r="AP942" i="5"/>
  <c r="AR942" i="5"/>
  <c r="AT942" i="5" s="1"/>
  <c r="AU942" i="5"/>
  <c r="AV942" i="5" s="1"/>
  <c r="AW942" i="5"/>
  <c r="AX942" i="5" s="1"/>
  <c r="AH943" i="5"/>
  <c r="AI943" i="5" s="1"/>
  <c r="AN943" i="5"/>
  <c r="AO943" i="5"/>
  <c r="AP943" i="5"/>
  <c r="AR943" i="5"/>
  <c r="AT943" i="5" s="1"/>
  <c r="AU943" i="5"/>
  <c r="AV943" i="5" s="1"/>
  <c r="AW943" i="5"/>
  <c r="AX943" i="5" s="1"/>
  <c r="AH944" i="5"/>
  <c r="AK944" i="5" s="1"/>
  <c r="AN944" i="5"/>
  <c r="AO944" i="5"/>
  <c r="AP944" i="5"/>
  <c r="AR944" i="5"/>
  <c r="AU944" i="5"/>
  <c r="AV944" i="5" s="1"/>
  <c r="AW944" i="5"/>
  <c r="AX944" i="5" s="1"/>
  <c r="AH945" i="5"/>
  <c r="AY945" i="5" s="1"/>
  <c r="AN945" i="5"/>
  <c r="AO945" i="5"/>
  <c r="AP945" i="5"/>
  <c r="AR945" i="5"/>
  <c r="AU945" i="5"/>
  <c r="AV945" i="5" s="1"/>
  <c r="AW945" i="5"/>
  <c r="AX945" i="5" s="1"/>
  <c r="AH946" i="5"/>
  <c r="AN946" i="5"/>
  <c r="AO946" i="5"/>
  <c r="AP946" i="5"/>
  <c r="AR946" i="5"/>
  <c r="AU946" i="5"/>
  <c r="AV946" i="5" s="1"/>
  <c r="AW946" i="5"/>
  <c r="AX946" i="5" s="1"/>
  <c r="AH947" i="5"/>
  <c r="AN947" i="5"/>
  <c r="AO947" i="5"/>
  <c r="AP947" i="5"/>
  <c r="AH948" i="5"/>
  <c r="AW948" i="5" s="1"/>
  <c r="AX948" i="5" s="1"/>
  <c r="AN948" i="5"/>
  <c r="AO948" i="5"/>
  <c r="AP948" i="5"/>
  <c r="AJ949" i="5"/>
  <c r="AK949" i="5"/>
  <c r="AL949" i="5"/>
  <c r="AN949" i="5"/>
  <c r="AO949" i="5"/>
  <c r="AP949" i="5"/>
  <c r="AR949" i="5"/>
  <c r="AU949" i="5"/>
  <c r="AV949" i="5" s="1"/>
  <c r="AW949" i="5"/>
  <c r="AX949" i="5" s="1"/>
  <c r="AH950" i="5"/>
  <c r="AN950" i="5"/>
  <c r="AO950" i="5"/>
  <c r="AP950" i="5"/>
  <c r="AR950" i="5"/>
  <c r="AU950" i="5"/>
  <c r="AV950" i="5" s="1"/>
  <c r="AW950" i="5"/>
  <c r="AX950" i="5" s="1"/>
  <c r="AH951" i="5"/>
  <c r="AN951" i="5"/>
  <c r="AO951" i="5"/>
  <c r="AP951" i="5"/>
  <c r="AR951" i="5"/>
  <c r="AT951" i="5" s="1"/>
  <c r="AU951" i="5"/>
  <c r="AV951" i="5" s="1"/>
  <c r="AW951" i="5"/>
  <c r="AX951" i="5" s="1"/>
  <c r="AH952" i="5"/>
  <c r="AN952" i="5"/>
  <c r="AO952" i="5"/>
  <c r="AP952" i="5"/>
  <c r="AR952" i="5"/>
  <c r="AU952" i="5"/>
  <c r="AV952" i="5" s="1"/>
  <c r="AW952" i="5"/>
  <c r="AX952" i="5" s="1"/>
  <c r="AH953" i="5"/>
  <c r="AN953" i="5"/>
  <c r="AO953" i="5"/>
  <c r="AP953" i="5"/>
  <c r="AR953" i="5"/>
  <c r="AU953" i="5"/>
  <c r="AV953" i="5" s="1"/>
  <c r="AW953" i="5"/>
  <c r="AX953" i="5" s="1"/>
  <c r="AH954" i="5"/>
  <c r="AN954" i="5"/>
  <c r="AO954" i="5"/>
  <c r="AP954" i="5"/>
  <c r="AH955" i="5"/>
  <c r="AN955" i="5"/>
  <c r="AO955" i="5"/>
  <c r="AP955" i="5"/>
  <c r="AJ956" i="5"/>
  <c r="AK956" i="5"/>
  <c r="AL956" i="5"/>
  <c r="AN956" i="5"/>
  <c r="AO956" i="5"/>
  <c r="AP956" i="5"/>
  <c r="AR956" i="5"/>
  <c r="AU956" i="5"/>
  <c r="AV956" i="5" s="1"/>
  <c r="AW956" i="5"/>
  <c r="AX956" i="5" s="1"/>
  <c r="AH957" i="5"/>
  <c r="AN957" i="5"/>
  <c r="AO957" i="5"/>
  <c r="AP957" i="5"/>
  <c r="AR957" i="5"/>
  <c r="AU957" i="5"/>
  <c r="AV957" i="5" s="1"/>
  <c r="AW957" i="5"/>
  <c r="AX957" i="5" s="1"/>
  <c r="AH958" i="5"/>
  <c r="AN958" i="5"/>
  <c r="AO958" i="5"/>
  <c r="AP958" i="5"/>
  <c r="AR958" i="5"/>
  <c r="AU958" i="5"/>
  <c r="AV958" i="5" s="1"/>
  <c r="AW958" i="5"/>
  <c r="AX958" i="5" s="1"/>
  <c r="AH959" i="5"/>
  <c r="AN959" i="5"/>
  <c r="AO959" i="5"/>
  <c r="AP959" i="5"/>
  <c r="AR959" i="5"/>
  <c r="AS959" i="5" s="1"/>
  <c r="AU959" i="5"/>
  <c r="AV959" i="5" s="1"/>
  <c r="AW959" i="5"/>
  <c r="AX959" i="5" s="1"/>
  <c r="AH960" i="5"/>
  <c r="AK960" i="5" s="1"/>
  <c r="AN960" i="5"/>
  <c r="AO960" i="5"/>
  <c r="AP960" i="5"/>
  <c r="AR960" i="5"/>
  <c r="AU960" i="5"/>
  <c r="AV960" i="5" s="1"/>
  <c r="AW960" i="5"/>
  <c r="AX960" i="5" s="1"/>
  <c r="AH961" i="5"/>
  <c r="AN961" i="5"/>
  <c r="AO961" i="5"/>
  <c r="AP961" i="5"/>
  <c r="AH962" i="5"/>
  <c r="AN962" i="5"/>
  <c r="AO962" i="5"/>
  <c r="AP962" i="5"/>
  <c r="AJ963" i="5"/>
  <c r="AK963" i="5"/>
  <c r="AL963" i="5"/>
  <c r="AN963" i="5"/>
  <c r="AO963" i="5"/>
  <c r="AP963" i="5"/>
  <c r="AR963" i="5"/>
  <c r="AU963" i="5"/>
  <c r="AV963" i="5" s="1"/>
  <c r="AW963" i="5"/>
  <c r="AX963" i="5" s="1"/>
  <c r="AH964" i="5"/>
  <c r="AN964" i="5"/>
  <c r="AO964" i="5"/>
  <c r="AP964" i="5"/>
  <c r="AR964" i="5"/>
  <c r="AU964" i="5"/>
  <c r="AV964" i="5" s="1"/>
  <c r="AW964" i="5"/>
  <c r="AX964" i="5" s="1"/>
  <c r="AH965" i="5"/>
  <c r="AZ965" i="5" s="1"/>
  <c r="AN965" i="5"/>
  <c r="AO965" i="5"/>
  <c r="AP965" i="5"/>
  <c r="AR965" i="5"/>
  <c r="AU965" i="5"/>
  <c r="AV965" i="5" s="1"/>
  <c r="AW965" i="5"/>
  <c r="AX965" i="5" s="1"/>
  <c r="AH966" i="5"/>
  <c r="AN966" i="5"/>
  <c r="AO966" i="5"/>
  <c r="AP966" i="5"/>
  <c r="AR966" i="5"/>
  <c r="AT966" i="5" s="1"/>
  <c r="AU966" i="5"/>
  <c r="AV966" i="5" s="1"/>
  <c r="AW966" i="5"/>
  <c r="AX966" i="5" s="1"/>
  <c r="AH967" i="5"/>
  <c r="AY967" i="5" s="1"/>
  <c r="AN967" i="5"/>
  <c r="AO967" i="5"/>
  <c r="AP967" i="5"/>
  <c r="AR967" i="5"/>
  <c r="AS967" i="5" s="1"/>
  <c r="AU967" i="5"/>
  <c r="AV967" i="5" s="1"/>
  <c r="AW967" i="5"/>
  <c r="AX967" i="5" s="1"/>
  <c r="AH968" i="5"/>
  <c r="AN968" i="5"/>
  <c r="AO968" i="5"/>
  <c r="AP968" i="5"/>
  <c r="AH969" i="5"/>
  <c r="AN969" i="5"/>
  <c r="AO969" i="5"/>
  <c r="AP969" i="5"/>
  <c r="AJ970" i="5"/>
  <c r="AK970" i="5"/>
  <c r="AL970" i="5"/>
  <c r="AN970" i="5"/>
  <c r="AO970" i="5"/>
  <c r="AP970" i="5"/>
  <c r="AR970" i="5"/>
  <c r="AS970" i="5" s="1"/>
  <c r="AU970" i="5"/>
  <c r="AV970" i="5" s="1"/>
  <c r="AW970" i="5"/>
  <c r="AX970" i="5" s="1"/>
  <c r="AH971" i="5"/>
  <c r="AY971" i="5" s="1"/>
  <c r="AN971" i="5"/>
  <c r="AO971" i="5"/>
  <c r="AP971" i="5"/>
  <c r="AR971" i="5"/>
  <c r="AU971" i="5"/>
  <c r="AV971" i="5" s="1"/>
  <c r="AW971" i="5"/>
  <c r="AX971" i="5" s="1"/>
  <c r="AH972" i="5"/>
  <c r="AN972" i="5"/>
  <c r="AO972" i="5"/>
  <c r="AP972" i="5"/>
  <c r="AR972" i="5"/>
  <c r="AU972" i="5"/>
  <c r="AV972" i="5" s="1"/>
  <c r="AW972" i="5"/>
  <c r="AX972" i="5" s="1"/>
  <c r="AH973" i="5"/>
  <c r="AN973" i="5"/>
  <c r="AO973" i="5"/>
  <c r="AP973" i="5"/>
  <c r="AR973" i="5"/>
  <c r="AT973" i="5" s="1"/>
  <c r="AU973" i="5"/>
  <c r="AV973" i="5" s="1"/>
  <c r="AW973" i="5"/>
  <c r="AX973" i="5" s="1"/>
  <c r="AH974" i="5"/>
  <c r="AN974" i="5"/>
  <c r="AO974" i="5"/>
  <c r="AP974" i="5"/>
  <c r="AR974" i="5"/>
  <c r="AS974" i="5" s="1"/>
  <c r="AU974" i="5"/>
  <c r="AV974" i="5" s="1"/>
  <c r="AW974" i="5"/>
  <c r="AX974" i="5" s="1"/>
  <c r="AH975" i="5"/>
  <c r="AN975" i="5"/>
  <c r="AO975" i="5"/>
  <c r="AP975" i="5"/>
  <c r="AH976" i="5"/>
  <c r="AJ976" i="5" s="1"/>
  <c r="AN976" i="5"/>
  <c r="AO976" i="5"/>
  <c r="AP976" i="5"/>
  <c r="AJ977" i="5"/>
  <c r="AK977" i="5"/>
  <c r="AL977" i="5"/>
  <c r="AN977" i="5"/>
  <c r="AO977" i="5"/>
  <c r="AP977" i="5"/>
  <c r="AR977" i="5"/>
  <c r="AS977" i="5" s="1"/>
  <c r="AU977" i="5"/>
  <c r="AV977" i="5" s="1"/>
  <c r="AW977" i="5"/>
  <c r="AX977" i="5" s="1"/>
  <c r="AH978" i="5"/>
  <c r="AN978" i="5"/>
  <c r="AO978" i="5"/>
  <c r="AP978" i="5"/>
  <c r="AR978" i="5"/>
  <c r="AU978" i="5"/>
  <c r="AV978" i="5" s="1"/>
  <c r="AW978" i="5"/>
  <c r="AX978" i="5" s="1"/>
  <c r="AH979" i="5"/>
  <c r="AN979" i="5"/>
  <c r="AO979" i="5"/>
  <c r="AP979" i="5"/>
  <c r="AR979" i="5"/>
  <c r="AT979" i="5" s="1"/>
  <c r="AU979" i="5"/>
  <c r="AV979" i="5" s="1"/>
  <c r="AW979" i="5"/>
  <c r="AX979" i="5" s="1"/>
  <c r="AH980" i="5"/>
  <c r="AN980" i="5"/>
  <c r="AO980" i="5"/>
  <c r="AP980" i="5"/>
  <c r="AR980" i="5"/>
  <c r="AU980" i="5"/>
  <c r="AV980" i="5" s="1"/>
  <c r="AW980" i="5"/>
  <c r="AX980" i="5" s="1"/>
  <c r="AH981" i="5"/>
  <c r="AK981" i="5" s="1"/>
  <c r="AN981" i="5"/>
  <c r="AO981" i="5"/>
  <c r="AP981" i="5"/>
  <c r="AR981" i="5"/>
  <c r="AT981" i="5" s="1"/>
  <c r="AU981" i="5"/>
  <c r="AV981" i="5" s="1"/>
  <c r="AW981" i="5"/>
  <c r="AX981" i="5" s="1"/>
  <c r="AH982" i="5"/>
  <c r="AN982" i="5"/>
  <c r="AO982" i="5"/>
  <c r="AP982" i="5"/>
  <c r="AH983" i="5"/>
  <c r="AN983" i="5"/>
  <c r="AO983" i="5"/>
  <c r="AP983" i="5"/>
  <c r="AJ984" i="5"/>
  <c r="AK984" i="5"/>
  <c r="AL984" i="5"/>
  <c r="AN984" i="5"/>
  <c r="AO984" i="5"/>
  <c r="AP984" i="5"/>
  <c r="AR984" i="5"/>
  <c r="AU984" i="5"/>
  <c r="AV984" i="5" s="1"/>
  <c r="AW984" i="5"/>
  <c r="AX984" i="5" s="1"/>
  <c r="AH985" i="5"/>
  <c r="AL985" i="5" s="1"/>
  <c r="AN985" i="5"/>
  <c r="AO985" i="5"/>
  <c r="AP985" i="5"/>
  <c r="AR985" i="5"/>
  <c r="AS985" i="5" s="1"/>
  <c r="AU985" i="5"/>
  <c r="AV985" i="5" s="1"/>
  <c r="AW985" i="5"/>
  <c r="AX985" i="5" s="1"/>
  <c r="AH986" i="5"/>
  <c r="AK986" i="5" s="1"/>
  <c r="AN986" i="5"/>
  <c r="AO986" i="5"/>
  <c r="AP986" i="5"/>
  <c r="AR986" i="5"/>
  <c r="AT986" i="5" s="1"/>
  <c r="AU986" i="5"/>
  <c r="AV986" i="5" s="1"/>
  <c r="AW986" i="5"/>
  <c r="AX986" i="5" s="1"/>
  <c r="AH987" i="5"/>
  <c r="AZ987" i="5" s="1"/>
  <c r="AN987" i="5"/>
  <c r="AO987" i="5"/>
  <c r="AP987" i="5"/>
  <c r="AR987" i="5"/>
  <c r="AU987" i="5"/>
  <c r="AV987" i="5" s="1"/>
  <c r="AW987" i="5"/>
  <c r="AX987" i="5" s="1"/>
  <c r="AH988" i="5"/>
  <c r="AN988" i="5"/>
  <c r="AO988" i="5"/>
  <c r="AP988" i="5"/>
  <c r="AR988" i="5"/>
  <c r="AU988" i="5"/>
  <c r="AV988" i="5" s="1"/>
  <c r="AW988" i="5"/>
  <c r="AX988" i="5" s="1"/>
  <c r="AH989" i="5"/>
  <c r="AN989" i="5"/>
  <c r="AO989" i="5"/>
  <c r="AP989" i="5"/>
  <c r="AH990" i="5"/>
  <c r="AI991" i="5" s="1"/>
  <c r="AN990" i="5"/>
  <c r="AO990" i="5"/>
  <c r="AP990" i="5"/>
  <c r="AJ991" i="5"/>
  <c r="AK991" i="5"/>
  <c r="AL991" i="5"/>
  <c r="AN991" i="5"/>
  <c r="AO991" i="5"/>
  <c r="AP991" i="5"/>
  <c r="AR991" i="5"/>
  <c r="AT991" i="5" s="1"/>
  <c r="AU991" i="5"/>
  <c r="AV991" i="5" s="1"/>
  <c r="AW991" i="5"/>
  <c r="AX991" i="5" s="1"/>
  <c r="AH992" i="5"/>
  <c r="AN992" i="5"/>
  <c r="AO992" i="5"/>
  <c r="AP992" i="5"/>
  <c r="AR992" i="5"/>
  <c r="AU992" i="5"/>
  <c r="AV992" i="5" s="1"/>
  <c r="AW992" i="5"/>
  <c r="AX992" i="5" s="1"/>
  <c r="AH993" i="5"/>
  <c r="AN993" i="5"/>
  <c r="AO993" i="5"/>
  <c r="AP993" i="5"/>
  <c r="AR993" i="5"/>
  <c r="AT993" i="5" s="1"/>
  <c r="AU993" i="5"/>
  <c r="AV993" i="5" s="1"/>
  <c r="AW993" i="5"/>
  <c r="AX993" i="5" s="1"/>
  <c r="AH994" i="5"/>
  <c r="AN994" i="5"/>
  <c r="AO994" i="5"/>
  <c r="AP994" i="5"/>
  <c r="AR994" i="5"/>
  <c r="AS994" i="5" s="1"/>
  <c r="AU994" i="5"/>
  <c r="AV994" i="5" s="1"/>
  <c r="AW994" i="5"/>
  <c r="AX994" i="5" s="1"/>
  <c r="AH995" i="5"/>
  <c r="AY995" i="5" s="1"/>
  <c r="AN995" i="5"/>
  <c r="AO995" i="5"/>
  <c r="AP995" i="5"/>
  <c r="AR995" i="5"/>
  <c r="AT995" i="5" s="1"/>
  <c r="AU995" i="5"/>
  <c r="AV995" i="5" s="1"/>
  <c r="AW995" i="5"/>
  <c r="AX995" i="5" s="1"/>
  <c r="AH996" i="5"/>
  <c r="AN996" i="5"/>
  <c r="AO996" i="5"/>
  <c r="AP996" i="5"/>
  <c r="AH997" i="5"/>
  <c r="AW997" i="5" s="1"/>
  <c r="AX997" i="5" s="1"/>
  <c r="AN997" i="5"/>
  <c r="AO997" i="5"/>
  <c r="AP997" i="5"/>
  <c r="AJ998" i="5"/>
  <c r="AK998" i="5"/>
  <c r="AL998" i="5"/>
  <c r="AN998" i="5"/>
  <c r="AO998" i="5"/>
  <c r="AP998" i="5"/>
  <c r="AR998" i="5"/>
  <c r="AT998" i="5" s="1"/>
  <c r="AU998" i="5"/>
  <c r="AV998" i="5" s="1"/>
  <c r="AW998" i="5"/>
  <c r="AX998" i="5" s="1"/>
  <c r="AH999" i="5"/>
  <c r="AJ999" i="5" s="1"/>
  <c r="AN999" i="5"/>
  <c r="AO999" i="5"/>
  <c r="AP999" i="5"/>
  <c r="AR999" i="5"/>
  <c r="AU999" i="5"/>
  <c r="AV999" i="5" s="1"/>
  <c r="AW999" i="5"/>
  <c r="AX999" i="5" s="1"/>
  <c r="AH1000" i="5"/>
  <c r="AN1000" i="5"/>
  <c r="AO1000" i="5"/>
  <c r="AP1000" i="5"/>
  <c r="AR1000" i="5"/>
  <c r="AU1000" i="5"/>
  <c r="AV1000" i="5" s="1"/>
  <c r="AW1000" i="5"/>
  <c r="AX1000" i="5" s="1"/>
  <c r="AH1001" i="5"/>
  <c r="AL1001" i="5" s="1"/>
  <c r="AN1001" i="5"/>
  <c r="AO1001" i="5"/>
  <c r="AP1001" i="5"/>
  <c r="AR1001" i="5"/>
  <c r="AU1001" i="5"/>
  <c r="AV1001" i="5" s="1"/>
  <c r="AW1001" i="5"/>
  <c r="AX1001" i="5" s="1"/>
  <c r="AH1002" i="5"/>
  <c r="AN1002" i="5"/>
  <c r="AO1002" i="5"/>
  <c r="AP1002" i="5"/>
  <c r="AR1002" i="5"/>
  <c r="AS1002" i="5" s="1"/>
  <c r="AU1002" i="5"/>
  <c r="AV1002" i="5" s="1"/>
  <c r="AW1002" i="5"/>
  <c r="AX1002" i="5" s="1"/>
  <c r="AH1003" i="5"/>
  <c r="AZ1003" i="5" s="1"/>
  <c r="AN1003" i="5"/>
  <c r="AO1003" i="5"/>
  <c r="AP1003" i="5"/>
  <c r="AH1004" i="5"/>
  <c r="AL1004" i="5" s="1"/>
  <c r="AN1004" i="5"/>
  <c r="AO1004" i="5"/>
  <c r="AP1004" i="5"/>
  <c r="AJ1005" i="5"/>
  <c r="AK1005" i="5"/>
  <c r="AL1005" i="5"/>
  <c r="AN1005" i="5"/>
  <c r="AO1005" i="5"/>
  <c r="AP1005" i="5"/>
  <c r="AR1005" i="5"/>
  <c r="AU1005" i="5"/>
  <c r="AV1005" i="5" s="1"/>
  <c r="AW1005" i="5"/>
  <c r="AX1005" i="5" s="1"/>
  <c r="AH1006" i="5"/>
  <c r="AZ1006" i="5" s="1"/>
  <c r="AN1006" i="5"/>
  <c r="AO1006" i="5"/>
  <c r="AP1006" i="5"/>
  <c r="AR1006" i="5"/>
  <c r="AU1006" i="5"/>
  <c r="AV1006" i="5" s="1"/>
  <c r="AW1006" i="5"/>
  <c r="AX1006" i="5" s="1"/>
  <c r="AH1007" i="5"/>
  <c r="AJ1007" i="5" s="1"/>
  <c r="AN1007" i="5"/>
  <c r="AO1007" i="5"/>
  <c r="AP1007" i="5"/>
  <c r="AR1007" i="5"/>
  <c r="AT1007" i="5" s="1"/>
  <c r="AU1007" i="5"/>
  <c r="AV1007" i="5" s="1"/>
  <c r="AW1007" i="5"/>
  <c r="AX1007" i="5" s="1"/>
  <c r="AH1008" i="5"/>
  <c r="AN1008" i="5"/>
  <c r="AO1008" i="5"/>
  <c r="AP1008" i="5"/>
  <c r="AR1008" i="5"/>
  <c r="AT1008" i="5" s="1"/>
  <c r="AU1008" i="5"/>
  <c r="AV1008" i="5" s="1"/>
  <c r="AW1008" i="5"/>
  <c r="AX1008" i="5" s="1"/>
  <c r="AH1009" i="5"/>
  <c r="AN1009" i="5"/>
  <c r="AO1009" i="5"/>
  <c r="AP1009" i="5"/>
  <c r="AR1009" i="5"/>
  <c r="AS1009" i="5" s="1"/>
  <c r="AU1009" i="5"/>
  <c r="AV1009" i="5" s="1"/>
  <c r="AW1009" i="5"/>
  <c r="AX1009" i="5" s="1"/>
  <c r="AH1010" i="5"/>
  <c r="AN1010" i="5"/>
  <c r="AO1010" i="5"/>
  <c r="AP1010" i="5"/>
  <c r="AH1011" i="5"/>
  <c r="AY1011" i="5" s="1"/>
  <c r="AN1011" i="5"/>
  <c r="AO1011" i="5"/>
  <c r="AP1011" i="5"/>
  <c r="AJ1012" i="5"/>
  <c r="AK1012" i="5"/>
  <c r="AL1012" i="5"/>
  <c r="AN1012" i="5"/>
  <c r="AO1012" i="5"/>
  <c r="AP1012" i="5"/>
  <c r="AR1012" i="5"/>
  <c r="AU1012" i="5"/>
  <c r="AV1012" i="5" s="1"/>
  <c r="AW1012" i="5"/>
  <c r="AX1012" i="5" s="1"/>
  <c r="AH1013" i="5"/>
  <c r="AN1013" i="5"/>
  <c r="AO1013" i="5"/>
  <c r="AP1013" i="5"/>
  <c r="AR1013" i="5"/>
  <c r="AT1013" i="5" s="1"/>
  <c r="AU1013" i="5"/>
  <c r="AV1013" i="5" s="1"/>
  <c r="AW1013" i="5"/>
  <c r="AX1013" i="5" s="1"/>
  <c r="AH1014" i="5"/>
  <c r="AN1014" i="5"/>
  <c r="AO1014" i="5"/>
  <c r="AP1014" i="5"/>
  <c r="AR1014" i="5"/>
  <c r="AS1014" i="5" s="1"/>
  <c r="AU1014" i="5"/>
  <c r="AV1014" i="5" s="1"/>
  <c r="AW1014" i="5"/>
  <c r="AX1014" i="5" s="1"/>
  <c r="AH1015" i="5"/>
  <c r="AL1015" i="5" s="1"/>
  <c r="AN1015" i="5"/>
  <c r="AO1015" i="5"/>
  <c r="AP1015" i="5"/>
  <c r="AR1015" i="5"/>
  <c r="AU1015" i="5"/>
  <c r="AV1015" i="5" s="1"/>
  <c r="AW1015" i="5"/>
  <c r="AX1015" i="5" s="1"/>
  <c r="AH1016" i="5"/>
  <c r="AN1016" i="5"/>
  <c r="AO1016" i="5"/>
  <c r="AP1016" i="5"/>
  <c r="AR1016" i="5"/>
  <c r="AU1016" i="5"/>
  <c r="AV1016" i="5" s="1"/>
  <c r="AW1016" i="5"/>
  <c r="AX1016" i="5" s="1"/>
  <c r="AH1017" i="5"/>
  <c r="AJ1017" i="5" s="1"/>
  <c r="AN1017" i="5"/>
  <c r="AO1017" i="5"/>
  <c r="AP1017" i="5"/>
  <c r="AH1018" i="5"/>
  <c r="AN1018" i="5"/>
  <c r="AO1018" i="5"/>
  <c r="AP1018" i="5"/>
  <c r="AJ1019" i="5"/>
  <c r="AK1019" i="5"/>
  <c r="AL1019" i="5"/>
  <c r="AN1019" i="5"/>
  <c r="AO1019" i="5"/>
  <c r="AP1019" i="5"/>
  <c r="AR1019" i="5"/>
  <c r="AU1019" i="5"/>
  <c r="AV1019" i="5" s="1"/>
  <c r="AW1019" i="5"/>
  <c r="AX1019" i="5" s="1"/>
  <c r="AH1020" i="5"/>
  <c r="AN1020" i="5"/>
  <c r="AO1020" i="5"/>
  <c r="AP1020" i="5"/>
  <c r="AR1020" i="5"/>
  <c r="AT1020" i="5" s="1"/>
  <c r="AU1020" i="5"/>
  <c r="AV1020" i="5" s="1"/>
  <c r="AW1020" i="5"/>
  <c r="AX1020" i="5" s="1"/>
  <c r="AH1021" i="5"/>
  <c r="AN1021" i="5"/>
  <c r="AO1021" i="5"/>
  <c r="AP1021" i="5"/>
  <c r="AR1021" i="5"/>
  <c r="AU1021" i="5"/>
  <c r="AV1021" i="5" s="1"/>
  <c r="AW1021" i="5"/>
  <c r="AX1021" i="5" s="1"/>
  <c r="AH1022" i="5"/>
  <c r="AJ1022" i="5" s="1"/>
  <c r="AN1022" i="5"/>
  <c r="AO1022" i="5"/>
  <c r="AP1022" i="5"/>
  <c r="AR1022" i="5"/>
  <c r="AT1022" i="5" s="1"/>
  <c r="AU1022" i="5"/>
  <c r="AV1022" i="5" s="1"/>
  <c r="AW1022" i="5"/>
  <c r="AX1022" i="5" s="1"/>
  <c r="AH1023" i="5"/>
  <c r="AZ1023" i="5" s="1"/>
  <c r="AN1023" i="5"/>
  <c r="AO1023" i="5"/>
  <c r="AP1023" i="5"/>
  <c r="AR1023" i="5"/>
  <c r="AS1023" i="5" s="1"/>
  <c r="AU1023" i="5"/>
  <c r="AV1023" i="5" s="1"/>
  <c r="AW1023" i="5"/>
  <c r="AX1023" i="5" s="1"/>
  <c r="AH1024" i="5"/>
  <c r="AN1024" i="5"/>
  <c r="AO1024" i="5"/>
  <c r="AP1024" i="5"/>
  <c r="AH1025" i="5"/>
  <c r="AN1025" i="5"/>
  <c r="AO1025" i="5"/>
  <c r="AP1025" i="5"/>
  <c r="AJ1026" i="5"/>
  <c r="AK1026" i="5"/>
  <c r="AL1026" i="5"/>
  <c r="AN1026" i="5"/>
  <c r="AO1026" i="5"/>
  <c r="AP1026" i="5"/>
  <c r="AR1026" i="5"/>
  <c r="AS1026" i="5" s="1"/>
  <c r="AU1026" i="5"/>
  <c r="AV1026" i="5" s="1"/>
  <c r="AW1026" i="5"/>
  <c r="AX1026" i="5" s="1"/>
  <c r="AH1027" i="5"/>
  <c r="AN1027" i="5"/>
  <c r="AO1027" i="5"/>
  <c r="AP1027" i="5"/>
  <c r="AR1027" i="5"/>
  <c r="AU1027" i="5"/>
  <c r="AV1027" i="5" s="1"/>
  <c r="AW1027" i="5"/>
  <c r="AX1027" i="5" s="1"/>
  <c r="AH1028" i="5"/>
  <c r="AN1028" i="5"/>
  <c r="AO1028" i="5"/>
  <c r="AP1028" i="5"/>
  <c r="AR1028" i="5"/>
  <c r="AU1028" i="5"/>
  <c r="AV1028" i="5" s="1"/>
  <c r="AW1028" i="5"/>
  <c r="AX1028" i="5" s="1"/>
  <c r="AH1029" i="5"/>
  <c r="AN1029" i="5"/>
  <c r="AO1029" i="5"/>
  <c r="AP1029" i="5"/>
  <c r="AR1029" i="5"/>
  <c r="AU1029" i="5"/>
  <c r="AV1029" i="5" s="1"/>
  <c r="AW1029" i="5"/>
  <c r="AX1029" i="5" s="1"/>
  <c r="AH1030" i="5"/>
  <c r="AN1030" i="5"/>
  <c r="AO1030" i="5"/>
  <c r="AP1030" i="5"/>
  <c r="AR1030" i="5"/>
  <c r="AT1030" i="5" s="1"/>
  <c r="AU1030" i="5"/>
  <c r="AV1030" i="5" s="1"/>
  <c r="AW1030" i="5"/>
  <c r="AX1030" i="5" s="1"/>
  <c r="AH1031" i="5"/>
  <c r="AN1031" i="5"/>
  <c r="AO1031" i="5"/>
  <c r="AP1031" i="5"/>
  <c r="AH1032" i="5"/>
  <c r="AN1032" i="5"/>
  <c r="AO1032" i="5"/>
  <c r="AP1032" i="5"/>
  <c r="AJ1033" i="5"/>
  <c r="AK1033" i="5"/>
  <c r="AL1033" i="5"/>
  <c r="AN1033" i="5"/>
  <c r="AO1033" i="5"/>
  <c r="AP1033" i="5"/>
  <c r="AR1033" i="5"/>
  <c r="AU1033" i="5"/>
  <c r="AV1033" i="5" s="1"/>
  <c r="AW1033" i="5"/>
  <c r="AX1033" i="5" s="1"/>
  <c r="AH1034" i="5"/>
  <c r="AN1034" i="5"/>
  <c r="AO1034" i="5"/>
  <c r="AP1034" i="5"/>
  <c r="AR1034" i="5"/>
  <c r="AS1034" i="5" s="1"/>
  <c r="AU1034" i="5"/>
  <c r="AV1034" i="5" s="1"/>
  <c r="AW1034" i="5"/>
  <c r="AX1034" i="5" s="1"/>
  <c r="AH1035" i="5"/>
  <c r="AN1035" i="5"/>
  <c r="AO1035" i="5"/>
  <c r="AP1035" i="5"/>
  <c r="AR1035" i="5"/>
  <c r="AU1035" i="5"/>
  <c r="AV1035" i="5" s="1"/>
  <c r="AW1035" i="5"/>
  <c r="AX1035" i="5" s="1"/>
  <c r="AH1036" i="5"/>
  <c r="AN1036" i="5"/>
  <c r="AO1036" i="5"/>
  <c r="AP1036" i="5"/>
  <c r="AR1036" i="5"/>
  <c r="AU1036" i="5"/>
  <c r="AV1036" i="5" s="1"/>
  <c r="AW1036" i="5"/>
  <c r="AX1036" i="5" s="1"/>
  <c r="AH1037" i="5"/>
  <c r="AY1037" i="5" s="1"/>
  <c r="AH1038" i="5"/>
  <c r="AW1038" i="5" s="1"/>
  <c r="AX1038" i="5" s="1"/>
  <c r="AN1037" i="5"/>
  <c r="AO1037" i="5"/>
  <c r="AP1037" i="5"/>
  <c r="AR1037" i="5"/>
  <c r="AU1037" i="5"/>
  <c r="AV1037" i="5" s="1"/>
  <c r="AW1037" i="5"/>
  <c r="AX1037" i="5" s="1"/>
  <c r="AN1038" i="5"/>
  <c r="AO1038" i="5"/>
  <c r="AP1038" i="5"/>
  <c r="AH1039" i="5"/>
  <c r="AN1039" i="5"/>
  <c r="AO1039" i="5"/>
  <c r="AP1039" i="5"/>
  <c r="AJ1040" i="5"/>
  <c r="AK1040" i="5"/>
  <c r="AL1040" i="5"/>
  <c r="AN1040" i="5"/>
  <c r="AO1040" i="5"/>
  <c r="AP1040" i="5"/>
  <c r="AR1040" i="5"/>
  <c r="AT1040" i="5" s="1"/>
  <c r="AU1040" i="5"/>
  <c r="AV1040" i="5" s="1"/>
  <c r="AW1040" i="5"/>
  <c r="AX1040" i="5" s="1"/>
  <c r="AH1041" i="5"/>
  <c r="AK1041" i="5" s="1"/>
  <c r="AN1041" i="5"/>
  <c r="AO1041" i="5"/>
  <c r="AP1041" i="5"/>
  <c r="AR1041" i="5"/>
  <c r="AT1041" i="5" s="1"/>
  <c r="AU1041" i="5"/>
  <c r="AV1041" i="5" s="1"/>
  <c r="AW1041" i="5"/>
  <c r="AX1041" i="5" s="1"/>
  <c r="AH1042" i="5"/>
  <c r="AJ1042" i="5" s="1"/>
  <c r="AN1042" i="5"/>
  <c r="AO1042" i="5"/>
  <c r="AP1042" i="5"/>
  <c r="AR1042" i="5"/>
  <c r="AS1042" i="5" s="1"/>
  <c r="AU1042" i="5"/>
  <c r="AV1042" i="5" s="1"/>
  <c r="AW1042" i="5"/>
  <c r="AX1042" i="5" s="1"/>
  <c r="AH1043" i="5"/>
  <c r="AZ1043" i="5" s="1"/>
  <c r="AN1043" i="5"/>
  <c r="AO1043" i="5"/>
  <c r="AP1043" i="5"/>
  <c r="AR1043" i="5"/>
  <c r="AT1043" i="5" s="1"/>
  <c r="AU1043" i="5"/>
  <c r="AV1043" i="5" s="1"/>
  <c r="AW1043" i="5"/>
  <c r="AX1043" i="5" s="1"/>
  <c r="AH1044" i="5"/>
  <c r="AN1044" i="5"/>
  <c r="AO1044" i="5"/>
  <c r="AP1044" i="5"/>
  <c r="AR1044" i="5"/>
  <c r="AS1044" i="5" s="1"/>
  <c r="AU1044" i="5"/>
  <c r="AV1044" i="5" s="1"/>
  <c r="AW1044" i="5"/>
  <c r="AX1044" i="5" s="1"/>
  <c r="AH1045" i="5"/>
  <c r="AN1045" i="5"/>
  <c r="AO1045" i="5"/>
  <c r="AP1045" i="5"/>
  <c r="AH1046" i="5"/>
  <c r="AK1046" i="5" s="1"/>
  <c r="AN1046" i="5"/>
  <c r="AO1046" i="5"/>
  <c r="AP1046" i="5"/>
  <c r="AJ1047" i="5"/>
  <c r="AK1047" i="5"/>
  <c r="AL1047" i="5"/>
  <c r="AN1047" i="5"/>
  <c r="AO1047" i="5"/>
  <c r="AP1047" i="5"/>
  <c r="AR1047" i="5"/>
  <c r="AU1047" i="5"/>
  <c r="AV1047" i="5" s="1"/>
  <c r="AW1047" i="5"/>
  <c r="AX1047" i="5" s="1"/>
  <c r="AH1048" i="5"/>
  <c r="AN1048" i="5"/>
  <c r="AO1048" i="5"/>
  <c r="AP1048" i="5"/>
  <c r="AR1048" i="5"/>
  <c r="AT1048" i="5" s="1"/>
  <c r="AU1048" i="5"/>
  <c r="AV1048" i="5" s="1"/>
  <c r="AW1048" i="5"/>
  <c r="AX1048" i="5" s="1"/>
  <c r="AH1049" i="5"/>
  <c r="AN1049" i="5"/>
  <c r="AO1049" i="5"/>
  <c r="AP1049" i="5"/>
  <c r="AR1049" i="5"/>
  <c r="AS1049" i="5" s="1"/>
  <c r="AU1049" i="5"/>
  <c r="AV1049" i="5" s="1"/>
  <c r="AW1049" i="5"/>
  <c r="AX1049" i="5" s="1"/>
  <c r="AH1050" i="5"/>
  <c r="AN1050" i="5"/>
  <c r="AO1050" i="5"/>
  <c r="AP1050" i="5"/>
  <c r="AR1050" i="5"/>
  <c r="AU1050" i="5"/>
  <c r="AV1050" i="5" s="1"/>
  <c r="AW1050" i="5"/>
  <c r="AX1050" i="5" s="1"/>
  <c r="AH1051" i="5"/>
  <c r="AY1051" i="5" s="1"/>
  <c r="AN1051" i="5"/>
  <c r="AO1051" i="5"/>
  <c r="AP1051" i="5"/>
  <c r="AR1051" i="5"/>
  <c r="AU1051" i="5"/>
  <c r="AV1051" i="5" s="1"/>
  <c r="AW1051" i="5"/>
  <c r="AX1051" i="5" s="1"/>
  <c r="AH1052" i="5"/>
  <c r="AN1052" i="5"/>
  <c r="AO1052" i="5"/>
  <c r="AP1052" i="5"/>
  <c r="AH1053" i="5"/>
  <c r="AJ1053" i="5" s="1"/>
  <c r="AN1053" i="5"/>
  <c r="AO1053" i="5"/>
  <c r="AP1053" i="5"/>
  <c r="AJ1054" i="5"/>
  <c r="AK1054" i="5"/>
  <c r="AL1054" i="5"/>
  <c r="AN1054" i="5"/>
  <c r="AO1054" i="5"/>
  <c r="AP1054" i="5"/>
  <c r="AR1054" i="5"/>
  <c r="AS1054" i="5" s="1"/>
  <c r="AU1054" i="5"/>
  <c r="AV1054" i="5" s="1"/>
  <c r="AW1054" i="5"/>
  <c r="AX1054" i="5" s="1"/>
  <c r="AH1055" i="5"/>
  <c r="AZ1055" i="5" s="1"/>
  <c r="AN1055" i="5"/>
  <c r="AO1055" i="5"/>
  <c r="AP1055" i="5"/>
  <c r="AR1055" i="5"/>
  <c r="AU1055" i="5"/>
  <c r="AV1055" i="5" s="1"/>
  <c r="AW1055" i="5"/>
  <c r="AX1055" i="5" s="1"/>
  <c r="AH1056" i="5"/>
  <c r="AJ1056" i="5" s="1"/>
  <c r="AN1056" i="5"/>
  <c r="AO1056" i="5"/>
  <c r="AP1056" i="5"/>
  <c r="AR1056" i="5"/>
  <c r="AS1056" i="5" s="1"/>
  <c r="AU1056" i="5"/>
  <c r="AV1056" i="5" s="1"/>
  <c r="AW1056" i="5"/>
  <c r="AX1056" i="5" s="1"/>
  <c r="AH1057" i="5"/>
  <c r="AJ1057" i="5" s="1"/>
  <c r="AH1058" i="5"/>
  <c r="AN1057" i="5"/>
  <c r="AO1057" i="5"/>
  <c r="AP1057" i="5"/>
  <c r="AR1057" i="5"/>
  <c r="AU1057" i="5"/>
  <c r="AV1057" i="5" s="1"/>
  <c r="AW1057" i="5"/>
  <c r="AX1057" i="5" s="1"/>
  <c r="AN1058" i="5"/>
  <c r="AO1058" i="5"/>
  <c r="AP1058" i="5"/>
  <c r="AR1058" i="5"/>
  <c r="AS1058" i="5" s="1"/>
  <c r="AU1058" i="5"/>
  <c r="AV1058" i="5" s="1"/>
  <c r="AW1058" i="5"/>
  <c r="AX1058" i="5" s="1"/>
  <c r="AH1059" i="5"/>
  <c r="AY1059" i="5" s="1"/>
  <c r="AN1059" i="5"/>
  <c r="AO1059" i="5"/>
  <c r="AP1059" i="5"/>
  <c r="AH1060" i="5"/>
  <c r="AN1060" i="5"/>
  <c r="AO1060" i="5"/>
  <c r="AP1060" i="5"/>
  <c r="AJ1061" i="5"/>
  <c r="AK1061" i="5"/>
  <c r="AL1061" i="5"/>
  <c r="AN1061" i="5"/>
  <c r="AO1061" i="5"/>
  <c r="AP1061" i="5"/>
  <c r="AR1061" i="5"/>
  <c r="AU1061" i="5"/>
  <c r="AV1061" i="5" s="1"/>
  <c r="AW1061" i="5"/>
  <c r="AX1061" i="5" s="1"/>
  <c r="AH1062" i="5"/>
  <c r="AN1062" i="5"/>
  <c r="AO1062" i="5"/>
  <c r="AP1062" i="5"/>
  <c r="AR1062" i="5"/>
  <c r="AU1062" i="5"/>
  <c r="AV1062" i="5" s="1"/>
  <c r="AW1062" i="5"/>
  <c r="AX1062" i="5" s="1"/>
  <c r="AH1063" i="5"/>
  <c r="AY1063" i="5" s="1"/>
  <c r="AN1063" i="5"/>
  <c r="AO1063" i="5"/>
  <c r="AP1063" i="5"/>
  <c r="AR1063" i="5"/>
  <c r="AU1063" i="5"/>
  <c r="AV1063" i="5" s="1"/>
  <c r="AW1063" i="5"/>
  <c r="AX1063" i="5" s="1"/>
  <c r="AH1064" i="5"/>
  <c r="AL1064" i="5" s="1"/>
  <c r="AN1064" i="5"/>
  <c r="AO1064" i="5"/>
  <c r="AP1064" i="5"/>
  <c r="AR1064" i="5"/>
  <c r="AU1064" i="5"/>
  <c r="AV1064" i="5" s="1"/>
  <c r="AW1064" i="5"/>
  <c r="AX1064" i="5" s="1"/>
  <c r="AH1065" i="5"/>
  <c r="AH1066" i="5"/>
  <c r="AY1066" i="5" s="1"/>
  <c r="AN1065" i="5"/>
  <c r="AO1065" i="5"/>
  <c r="AP1065" i="5"/>
  <c r="AR1065" i="5"/>
  <c r="AU1065" i="5"/>
  <c r="AV1065" i="5" s="1"/>
  <c r="AW1065" i="5"/>
  <c r="AX1065" i="5" s="1"/>
  <c r="AN1066" i="5"/>
  <c r="AO1066" i="5"/>
  <c r="AP1066" i="5"/>
  <c r="AH1067" i="5"/>
  <c r="AN1067" i="5"/>
  <c r="AO1067" i="5"/>
  <c r="AP1067" i="5"/>
  <c r="AJ1068" i="5"/>
  <c r="AK1068" i="5"/>
  <c r="AL1068" i="5"/>
  <c r="AN1068" i="5"/>
  <c r="AO1068" i="5"/>
  <c r="AP1068" i="5"/>
  <c r="AR1068" i="5"/>
  <c r="AU1068" i="5"/>
  <c r="AV1068" i="5" s="1"/>
  <c r="AW1068" i="5"/>
  <c r="AX1068" i="5" s="1"/>
  <c r="AH1069" i="5"/>
  <c r="AN1069" i="5"/>
  <c r="AO1069" i="5"/>
  <c r="AP1069" i="5"/>
  <c r="AR1069" i="5"/>
  <c r="AT1069" i="5" s="1"/>
  <c r="AU1069" i="5"/>
  <c r="AV1069" i="5" s="1"/>
  <c r="AW1069" i="5"/>
  <c r="AX1069" i="5" s="1"/>
  <c r="AH1070" i="5"/>
  <c r="AN1070" i="5"/>
  <c r="AO1070" i="5"/>
  <c r="AP1070" i="5"/>
  <c r="AR1070" i="5"/>
  <c r="AS1070" i="5" s="1"/>
  <c r="AU1070" i="5"/>
  <c r="AV1070" i="5" s="1"/>
  <c r="AW1070" i="5"/>
  <c r="AX1070" i="5" s="1"/>
  <c r="AH1071" i="5"/>
  <c r="AN1071" i="5"/>
  <c r="AO1071" i="5"/>
  <c r="AP1071" i="5"/>
  <c r="AR1071" i="5"/>
  <c r="AT1071" i="5" s="1"/>
  <c r="AU1071" i="5"/>
  <c r="AV1071" i="5" s="1"/>
  <c r="AW1071" i="5"/>
  <c r="AX1071" i="5" s="1"/>
  <c r="AH1072" i="5"/>
  <c r="AL1072" i="5" s="1"/>
  <c r="AN1072" i="5"/>
  <c r="AO1072" i="5"/>
  <c r="AP1072" i="5"/>
  <c r="AR1072" i="5"/>
  <c r="AS1072" i="5" s="1"/>
  <c r="AU1072" i="5"/>
  <c r="AV1072" i="5" s="1"/>
  <c r="AW1072" i="5"/>
  <c r="AX1072" i="5" s="1"/>
  <c r="AH1073" i="5"/>
  <c r="AU1073" i="5" s="1"/>
  <c r="AV1073" i="5" s="1"/>
  <c r="AN1073" i="5"/>
  <c r="AO1073" i="5"/>
  <c r="AP1073" i="5"/>
  <c r="AH1074" i="5"/>
  <c r="AN1074" i="5"/>
  <c r="AO1074" i="5"/>
  <c r="AP1074" i="5"/>
  <c r="AJ1075" i="5"/>
  <c r="AK1075" i="5"/>
  <c r="AL1075" i="5"/>
  <c r="AN1075" i="5"/>
  <c r="AO1075" i="5"/>
  <c r="AP1075" i="5"/>
  <c r="AR1075" i="5"/>
  <c r="AS1075" i="5" s="1"/>
  <c r="AU1075" i="5"/>
  <c r="AV1075" i="5" s="1"/>
  <c r="AW1075" i="5"/>
  <c r="AX1075" i="5" s="1"/>
  <c r="AH1076" i="5"/>
  <c r="AN1076" i="5"/>
  <c r="AO1076" i="5"/>
  <c r="AP1076" i="5"/>
  <c r="AR1076" i="5"/>
  <c r="AU1076" i="5"/>
  <c r="AV1076" i="5" s="1"/>
  <c r="AW1076" i="5"/>
  <c r="AX1076" i="5" s="1"/>
  <c r="AH1077" i="5"/>
  <c r="AN1077" i="5"/>
  <c r="AO1077" i="5"/>
  <c r="AP1077" i="5"/>
  <c r="AR1077" i="5"/>
  <c r="AU1077" i="5"/>
  <c r="AV1077" i="5" s="1"/>
  <c r="AW1077" i="5"/>
  <c r="AX1077" i="5" s="1"/>
  <c r="AH1078" i="5"/>
  <c r="AK1078" i="5" s="1"/>
  <c r="AN1078" i="5"/>
  <c r="AO1078" i="5"/>
  <c r="AP1078" i="5"/>
  <c r="AR1078" i="5"/>
  <c r="AS1078" i="5" s="1"/>
  <c r="AU1078" i="5"/>
  <c r="AV1078" i="5" s="1"/>
  <c r="AW1078" i="5"/>
  <c r="AX1078" i="5" s="1"/>
  <c r="AH1079" i="5"/>
  <c r="AZ1079" i="5" s="1"/>
  <c r="AN1079" i="5"/>
  <c r="AO1079" i="5"/>
  <c r="AP1079" i="5"/>
  <c r="AR1079" i="5"/>
  <c r="AU1079" i="5"/>
  <c r="AV1079" i="5" s="1"/>
  <c r="AW1079" i="5"/>
  <c r="AX1079" i="5" s="1"/>
  <c r="AH1080" i="5"/>
  <c r="AU1080" i="5" s="1"/>
  <c r="AV1080" i="5" s="1"/>
  <c r="AN1080" i="5"/>
  <c r="AO1080" i="5"/>
  <c r="AP1080" i="5"/>
  <c r="AH1081" i="5"/>
  <c r="AN1081" i="5"/>
  <c r="AO1081" i="5"/>
  <c r="AP1081" i="5"/>
  <c r="AJ1082" i="5"/>
  <c r="AK1082" i="5"/>
  <c r="AL1082" i="5"/>
  <c r="AN1082" i="5"/>
  <c r="AO1082" i="5"/>
  <c r="AP1082" i="5"/>
  <c r="AR1082" i="5"/>
  <c r="AS1082" i="5" s="1"/>
  <c r="AU1082" i="5"/>
  <c r="AV1082" i="5" s="1"/>
  <c r="AW1082" i="5"/>
  <c r="AX1082" i="5" s="1"/>
  <c r="AH1083" i="5"/>
  <c r="AN1083" i="5"/>
  <c r="AO1083" i="5"/>
  <c r="AP1083" i="5"/>
  <c r="AR1083" i="5"/>
  <c r="AU1083" i="5"/>
  <c r="AV1083" i="5" s="1"/>
  <c r="AW1083" i="5"/>
  <c r="AX1083" i="5" s="1"/>
  <c r="AH1084" i="5"/>
  <c r="AN1084" i="5"/>
  <c r="AO1084" i="5"/>
  <c r="AP1084" i="5"/>
  <c r="AR1084" i="5"/>
  <c r="AU1084" i="5"/>
  <c r="AV1084" i="5" s="1"/>
  <c r="AW1084" i="5"/>
  <c r="AX1084" i="5" s="1"/>
  <c r="AH1085" i="5"/>
  <c r="AN1085" i="5"/>
  <c r="AO1085" i="5"/>
  <c r="AP1085" i="5"/>
  <c r="AR1085" i="5"/>
  <c r="AT1085" i="5" s="1"/>
  <c r="AU1085" i="5"/>
  <c r="AV1085" i="5" s="1"/>
  <c r="AW1085" i="5"/>
  <c r="AX1085" i="5" s="1"/>
  <c r="AH1086" i="5"/>
  <c r="AN1086" i="5"/>
  <c r="AO1086" i="5"/>
  <c r="AP1086" i="5"/>
  <c r="AR1086" i="5"/>
  <c r="AU1086" i="5"/>
  <c r="AV1086" i="5" s="1"/>
  <c r="AW1086" i="5"/>
  <c r="AX1086" i="5" s="1"/>
  <c r="AH1087" i="5"/>
  <c r="AN1087" i="5"/>
  <c r="AO1087" i="5"/>
  <c r="AP1087" i="5"/>
  <c r="AH1088" i="5"/>
  <c r="AN1088" i="5"/>
  <c r="AO1088" i="5"/>
  <c r="AP1088" i="5"/>
  <c r="AJ1089" i="5"/>
  <c r="AK1089" i="5"/>
  <c r="AL1089" i="5"/>
  <c r="AN1089" i="5"/>
  <c r="AO1089" i="5"/>
  <c r="AP1089" i="5"/>
  <c r="AR1089" i="5"/>
  <c r="AS1089" i="5" s="1"/>
  <c r="AU1089" i="5"/>
  <c r="AV1089" i="5" s="1"/>
  <c r="AW1089" i="5"/>
  <c r="AX1089" i="5" s="1"/>
  <c r="AH1090" i="5"/>
  <c r="AN1090" i="5"/>
  <c r="AO1090" i="5"/>
  <c r="AP1090" i="5"/>
  <c r="AR1090" i="5"/>
  <c r="AT1090" i="5" s="1"/>
  <c r="AU1090" i="5"/>
  <c r="AV1090" i="5" s="1"/>
  <c r="AW1090" i="5"/>
  <c r="AX1090" i="5" s="1"/>
  <c r="AH1091" i="5"/>
  <c r="AZ1091" i="5" s="1"/>
  <c r="AN1091" i="5"/>
  <c r="AO1091" i="5"/>
  <c r="AP1091" i="5"/>
  <c r="AR1091" i="5"/>
  <c r="AS1091" i="5" s="1"/>
  <c r="AU1091" i="5"/>
  <c r="AV1091" i="5" s="1"/>
  <c r="AW1091" i="5"/>
  <c r="AX1091" i="5" s="1"/>
  <c r="AH1092" i="5"/>
  <c r="AN1092" i="5"/>
  <c r="AO1092" i="5"/>
  <c r="AP1092" i="5"/>
  <c r="AR1092" i="5"/>
  <c r="AT1092" i="5" s="1"/>
  <c r="AU1092" i="5"/>
  <c r="AV1092" i="5" s="1"/>
  <c r="AW1092" i="5"/>
  <c r="AX1092" i="5" s="1"/>
  <c r="AH1093" i="5"/>
  <c r="AK1093" i="5" s="1"/>
  <c r="AN1093" i="5"/>
  <c r="AO1093" i="5"/>
  <c r="AP1093" i="5"/>
  <c r="AR1093" i="5"/>
  <c r="AU1093" i="5"/>
  <c r="AV1093" i="5" s="1"/>
  <c r="AW1093" i="5"/>
  <c r="AX1093" i="5" s="1"/>
  <c r="AH1094" i="5"/>
  <c r="AJ1094" i="5" s="1"/>
  <c r="AN1094" i="5"/>
  <c r="AO1094" i="5"/>
  <c r="AP1094" i="5"/>
  <c r="AH1095" i="5"/>
  <c r="AN1095" i="5"/>
  <c r="AO1095" i="5"/>
  <c r="AP1095" i="5"/>
  <c r="AJ1096" i="5"/>
  <c r="AK1096" i="5"/>
  <c r="AL1096" i="5"/>
  <c r="AN1096" i="5"/>
  <c r="AO1096" i="5"/>
  <c r="AP1096" i="5"/>
  <c r="AR1096" i="5"/>
  <c r="AU1096" i="5"/>
  <c r="AV1096" i="5" s="1"/>
  <c r="AW1096" i="5"/>
  <c r="AX1096" i="5" s="1"/>
  <c r="AH1097" i="5"/>
  <c r="AZ1097" i="5" s="1"/>
  <c r="AN1097" i="5"/>
  <c r="AO1097" i="5"/>
  <c r="AP1097" i="5"/>
  <c r="AR1097" i="5"/>
  <c r="AU1097" i="5"/>
  <c r="AV1097" i="5" s="1"/>
  <c r="AW1097" i="5"/>
  <c r="AX1097" i="5" s="1"/>
  <c r="AH1098" i="5"/>
  <c r="AL1098" i="5" s="1"/>
  <c r="AN1098" i="5"/>
  <c r="AO1098" i="5"/>
  <c r="AP1098" i="5"/>
  <c r="AR1098" i="5"/>
  <c r="AU1098" i="5"/>
  <c r="AV1098" i="5" s="1"/>
  <c r="AW1098" i="5"/>
  <c r="AX1098" i="5" s="1"/>
  <c r="AH1099" i="5"/>
  <c r="AL1099" i="5" s="1"/>
  <c r="AN1099" i="5"/>
  <c r="AO1099" i="5"/>
  <c r="AP1099" i="5"/>
  <c r="AR1099" i="5"/>
  <c r="AU1099" i="5"/>
  <c r="AV1099" i="5" s="1"/>
  <c r="AW1099" i="5"/>
  <c r="AX1099" i="5" s="1"/>
  <c r="AH1100" i="5"/>
  <c r="AZ1100" i="5" s="1"/>
  <c r="AN1100" i="5"/>
  <c r="AO1100" i="5"/>
  <c r="AP1100" i="5"/>
  <c r="AR1100" i="5"/>
  <c r="AU1100" i="5"/>
  <c r="AV1100" i="5" s="1"/>
  <c r="AW1100" i="5"/>
  <c r="AX1100" i="5" s="1"/>
  <c r="AH1101" i="5"/>
  <c r="AW1101" i="5" s="1"/>
  <c r="AX1101" i="5" s="1"/>
  <c r="AN1101" i="5"/>
  <c r="AO1101" i="5"/>
  <c r="AP1101" i="5"/>
  <c r="AH1102" i="5"/>
  <c r="AN1102" i="5"/>
  <c r="AO1102" i="5"/>
  <c r="AP1102" i="5"/>
  <c r="AJ1103" i="5"/>
  <c r="AK1103" i="5"/>
  <c r="AL1103" i="5"/>
  <c r="AN1103" i="5"/>
  <c r="AO1103" i="5"/>
  <c r="AP1103" i="5"/>
  <c r="AR1103" i="5"/>
  <c r="AU1103" i="5"/>
  <c r="AV1103" i="5" s="1"/>
  <c r="AW1103" i="5"/>
  <c r="AX1103" i="5" s="1"/>
  <c r="AH1104" i="5"/>
  <c r="AN1104" i="5"/>
  <c r="AO1104" i="5"/>
  <c r="AP1104" i="5"/>
  <c r="AR1104" i="5"/>
  <c r="AU1104" i="5"/>
  <c r="AV1104" i="5" s="1"/>
  <c r="AW1104" i="5"/>
  <c r="AX1104" i="5" s="1"/>
  <c r="AH1105" i="5"/>
  <c r="AN1105" i="5"/>
  <c r="AO1105" i="5"/>
  <c r="AP1105" i="5"/>
  <c r="AR1105" i="5"/>
  <c r="AT1105" i="5" s="1"/>
  <c r="AU1105" i="5"/>
  <c r="AV1105" i="5" s="1"/>
  <c r="AW1105" i="5"/>
  <c r="AX1105" i="5" s="1"/>
  <c r="AH1106" i="5"/>
  <c r="AN1106" i="5"/>
  <c r="AO1106" i="5"/>
  <c r="AP1106" i="5"/>
  <c r="AR1106" i="5"/>
  <c r="AT1106" i="5" s="1"/>
  <c r="AU1106" i="5"/>
  <c r="AV1106" i="5" s="1"/>
  <c r="AW1106" i="5"/>
  <c r="AX1106" i="5" s="1"/>
  <c r="AH1107" i="5"/>
  <c r="AH1108" i="5"/>
  <c r="AN1107" i="5"/>
  <c r="AO1107" i="5"/>
  <c r="AP1107" i="5"/>
  <c r="AR1107" i="5"/>
  <c r="AT1107" i="5" s="1"/>
  <c r="AU1107" i="5"/>
  <c r="AV1107" i="5" s="1"/>
  <c r="AW1107" i="5"/>
  <c r="AX1107" i="5" s="1"/>
  <c r="AN1108" i="5"/>
  <c r="AO1108" i="5"/>
  <c r="AP1108" i="5"/>
  <c r="AH1109" i="5"/>
  <c r="AY1109" i="5" s="1"/>
  <c r="AN1109" i="5"/>
  <c r="AO1109" i="5"/>
  <c r="AP1109" i="5"/>
  <c r="AJ1110" i="5"/>
  <c r="AK1110" i="5"/>
  <c r="AL1110" i="5"/>
  <c r="AN1110" i="5"/>
  <c r="AO1110" i="5"/>
  <c r="AP1110" i="5"/>
  <c r="AR1110" i="5"/>
  <c r="AS1110" i="5" s="1"/>
  <c r="AU1110" i="5"/>
  <c r="AV1110" i="5" s="1"/>
  <c r="AW1110" i="5"/>
  <c r="AX1110" i="5" s="1"/>
  <c r="AH1111" i="5"/>
  <c r="AN1111" i="5"/>
  <c r="AO1111" i="5"/>
  <c r="AP1111" i="5"/>
  <c r="AR1111" i="5"/>
  <c r="AU1111" i="5"/>
  <c r="AV1111" i="5" s="1"/>
  <c r="AW1111" i="5"/>
  <c r="AX1111" i="5" s="1"/>
  <c r="AH1112" i="5"/>
  <c r="AN1112" i="5"/>
  <c r="AO1112" i="5"/>
  <c r="AP1112" i="5"/>
  <c r="AR1112" i="5"/>
  <c r="AT1112" i="5" s="1"/>
  <c r="AU1112" i="5"/>
  <c r="AV1112" i="5" s="1"/>
  <c r="AW1112" i="5"/>
  <c r="AX1112" i="5" s="1"/>
  <c r="AH1113" i="5"/>
  <c r="AK1113" i="5" s="1"/>
  <c r="AN1113" i="5"/>
  <c r="AO1113" i="5"/>
  <c r="AP1113" i="5"/>
  <c r="AR1113" i="5"/>
  <c r="AS1113" i="5" s="1"/>
  <c r="AU1113" i="5"/>
  <c r="AV1113" i="5" s="1"/>
  <c r="AW1113" i="5"/>
  <c r="AX1113" i="5" s="1"/>
  <c r="AH1114" i="5"/>
  <c r="AJ1114" i="5" s="1"/>
  <c r="AN1114" i="5"/>
  <c r="AO1114" i="5"/>
  <c r="AP1114" i="5"/>
  <c r="AR1114" i="5"/>
  <c r="AS1114" i="5" s="1"/>
  <c r="AU1114" i="5"/>
  <c r="AV1114" i="5" s="1"/>
  <c r="AW1114" i="5"/>
  <c r="AX1114" i="5" s="1"/>
  <c r="AH1115" i="5"/>
  <c r="AL1115" i="5" s="1"/>
  <c r="AN1115" i="5"/>
  <c r="AO1115" i="5"/>
  <c r="AP1115" i="5"/>
  <c r="AH1116" i="5"/>
  <c r="AN1116" i="5"/>
  <c r="AO1116" i="5"/>
  <c r="AP1116" i="5"/>
  <c r="AJ1117" i="5"/>
  <c r="AK1117" i="5"/>
  <c r="AL1117" i="5"/>
  <c r="AN1117" i="5"/>
  <c r="AO1117" i="5"/>
  <c r="AP1117" i="5"/>
  <c r="AR1117" i="5"/>
  <c r="AT1117" i="5" s="1"/>
  <c r="AU1117" i="5"/>
  <c r="AV1117" i="5" s="1"/>
  <c r="AW1117" i="5"/>
  <c r="AX1117" i="5" s="1"/>
  <c r="AH1118" i="5"/>
  <c r="AL1118" i="5" s="1"/>
  <c r="AN1118" i="5"/>
  <c r="AO1118" i="5"/>
  <c r="AP1118" i="5"/>
  <c r="AR1118" i="5"/>
  <c r="AT1118" i="5" s="1"/>
  <c r="AU1118" i="5"/>
  <c r="AV1118" i="5" s="1"/>
  <c r="AW1118" i="5"/>
  <c r="AX1118" i="5" s="1"/>
  <c r="AH1119" i="5"/>
  <c r="AN1119" i="5"/>
  <c r="AO1119" i="5"/>
  <c r="AP1119" i="5"/>
  <c r="AR1119" i="5"/>
  <c r="AT1119" i="5" s="1"/>
  <c r="AU1119" i="5"/>
  <c r="AV1119" i="5" s="1"/>
  <c r="AW1119" i="5"/>
  <c r="AX1119" i="5" s="1"/>
  <c r="AH1120" i="5"/>
  <c r="AY1120" i="5" s="1"/>
  <c r="AN1120" i="5"/>
  <c r="AO1120" i="5"/>
  <c r="AP1120" i="5"/>
  <c r="AR1120" i="5"/>
  <c r="AU1120" i="5"/>
  <c r="AV1120" i="5" s="1"/>
  <c r="AW1120" i="5"/>
  <c r="AX1120" i="5" s="1"/>
  <c r="AH1121" i="5"/>
  <c r="AY1121" i="5" s="1"/>
  <c r="AH1122" i="5"/>
  <c r="AY1122" i="5" s="1"/>
  <c r="AN1121" i="5"/>
  <c r="AO1121" i="5"/>
  <c r="AP1121" i="5"/>
  <c r="AR1121" i="5"/>
  <c r="AU1121" i="5"/>
  <c r="AV1121" i="5" s="1"/>
  <c r="AW1121" i="5"/>
  <c r="AX1121" i="5" s="1"/>
  <c r="AN1122" i="5"/>
  <c r="AO1122" i="5"/>
  <c r="AP1122" i="5"/>
  <c r="AH1123" i="5"/>
  <c r="AZ1123" i="5" s="1"/>
  <c r="AN1123" i="5"/>
  <c r="AO1123" i="5"/>
  <c r="AP1123" i="5"/>
  <c r="AJ1124" i="5"/>
  <c r="AK1124" i="5"/>
  <c r="AL1124" i="5"/>
  <c r="AN1124" i="5"/>
  <c r="AO1124" i="5"/>
  <c r="AP1124" i="5"/>
  <c r="AR1124" i="5"/>
  <c r="AU1124" i="5"/>
  <c r="AV1124" i="5" s="1"/>
  <c r="AW1124" i="5"/>
  <c r="AX1124" i="5" s="1"/>
  <c r="AH1125" i="5"/>
  <c r="AN1125" i="5"/>
  <c r="AO1125" i="5"/>
  <c r="AP1125" i="5"/>
  <c r="AR1125" i="5"/>
  <c r="AT1125" i="5" s="1"/>
  <c r="AU1125" i="5"/>
  <c r="AV1125" i="5" s="1"/>
  <c r="AW1125" i="5"/>
  <c r="AX1125" i="5" s="1"/>
  <c r="AH1126" i="5"/>
  <c r="AN1126" i="5"/>
  <c r="AO1126" i="5"/>
  <c r="AP1126" i="5"/>
  <c r="AR1126" i="5"/>
  <c r="AT1126" i="5" s="1"/>
  <c r="AU1126" i="5"/>
  <c r="AV1126" i="5" s="1"/>
  <c r="AW1126" i="5"/>
  <c r="AX1126" i="5" s="1"/>
  <c r="AH1127" i="5"/>
  <c r="AN1127" i="5"/>
  <c r="AO1127" i="5"/>
  <c r="AP1127" i="5"/>
  <c r="AR1127" i="5"/>
  <c r="AT1127" i="5" s="1"/>
  <c r="AU1127" i="5"/>
  <c r="AV1127" i="5" s="1"/>
  <c r="AW1127" i="5"/>
  <c r="AX1127" i="5" s="1"/>
  <c r="AH1128" i="5"/>
  <c r="AN1128" i="5"/>
  <c r="AO1128" i="5"/>
  <c r="AP1128" i="5"/>
  <c r="AR1128" i="5"/>
  <c r="AU1128" i="5"/>
  <c r="AV1128" i="5" s="1"/>
  <c r="AW1128" i="5"/>
  <c r="AX1128" i="5" s="1"/>
  <c r="AH1129" i="5"/>
  <c r="AL1129" i="5" s="1"/>
  <c r="AN1129" i="5"/>
  <c r="AO1129" i="5"/>
  <c r="AP1129" i="5"/>
  <c r="AH1130" i="5"/>
  <c r="AJ1130" i="5" s="1"/>
  <c r="AN1130" i="5"/>
  <c r="AO1130" i="5"/>
  <c r="AP1130" i="5"/>
  <c r="AJ1131" i="5"/>
  <c r="AK1131" i="5"/>
  <c r="AL1131" i="5"/>
  <c r="AN1131" i="5"/>
  <c r="AO1131" i="5"/>
  <c r="AP1131" i="5"/>
  <c r="AR1131" i="5"/>
  <c r="AT1131" i="5" s="1"/>
  <c r="AU1131" i="5"/>
  <c r="AV1131" i="5" s="1"/>
  <c r="AW1131" i="5"/>
  <c r="AX1131" i="5" s="1"/>
  <c r="AH1132" i="5"/>
  <c r="AN1132" i="5"/>
  <c r="AO1132" i="5"/>
  <c r="AP1132" i="5"/>
  <c r="AR1132" i="5"/>
  <c r="AU1132" i="5"/>
  <c r="AV1132" i="5" s="1"/>
  <c r="AW1132" i="5"/>
  <c r="AX1132" i="5" s="1"/>
  <c r="AH1133" i="5"/>
  <c r="AK1133" i="5" s="1"/>
  <c r="AN1133" i="5"/>
  <c r="AO1133" i="5"/>
  <c r="AP1133" i="5"/>
  <c r="AR1133" i="5"/>
  <c r="AU1133" i="5"/>
  <c r="AV1133" i="5" s="1"/>
  <c r="AW1133" i="5"/>
  <c r="AX1133" i="5" s="1"/>
  <c r="AH1134" i="5"/>
  <c r="AJ1134" i="5" s="1"/>
  <c r="AN1134" i="5"/>
  <c r="AO1134" i="5"/>
  <c r="AP1134" i="5"/>
  <c r="AR1134" i="5"/>
  <c r="AS1134" i="5" s="1"/>
  <c r="AU1134" i="5"/>
  <c r="AV1134" i="5" s="1"/>
  <c r="AW1134" i="5"/>
  <c r="AX1134" i="5" s="1"/>
  <c r="AH1135" i="5"/>
  <c r="AY1135" i="5" s="1"/>
  <c r="AN1135" i="5"/>
  <c r="AO1135" i="5"/>
  <c r="AP1135" i="5"/>
  <c r="AR1135" i="5"/>
  <c r="AU1135" i="5"/>
  <c r="AV1135" i="5" s="1"/>
  <c r="AW1135" i="5"/>
  <c r="AX1135" i="5" s="1"/>
  <c r="AH1136" i="5"/>
  <c r="AN1136" i="5"/>
  <c r="AO1136" i="5"/>
  <c r="AP1136" i="5"/>
  <c r="AH1137" i="5"/>
  <c r="AN1137" i="5"/>
  <c r="AO1137" i="5"/>
  <c r="AP1137" i="5"/>
  <c r="AJ1138" i="5"/>
  <c r="AK1138" i="5"/>
  <c r="AL1138" i="5"/>
  <c r="AN1138" i="5"/>
  <c r="AO1138" i="5"/>
  <c r="AP1138" i="5"/>
  <c r="AR1138" i="5"/>
  <c r="AT1138" i="5" s="1"/>
  <c r="AU1138" i="5"/>
  <c r="AV1138" i="5" s="1"/>
  <c r="AW1138" i="5"/>
  <c r="AX1138" i="5" s="1"/>
  <c r="AH1139" i="5"/>
  <c r="AI1139" i="5" s="1"/>
  <c r="AN1139" i="5"/>
  <c r="AO1139" i="5"/>
  <c r="AP1139" i="5"/>
  <c r="AR1139" i="5"/>
  <c r="AU1139" i="5"/>
  <c r="AV1139" i="5" s="1"/>
  <c r="AW1139" i="5"/>
  <c r="AX1139" i="5" s="1"/>
  <c r="AH1140" i="5"/>
  <c r="AN1140" i="5"/>
  <c r="AO1140" i="5"/>
  <c r="AP1140" i="5"/>
  <c r="AR1140" i="5"/>
  <c r="AU1140" i="5"/>
  <c r="AV1140" i="5" s="1"/>
  <c r="AW1140" i="5"/>
  <c r="AX1140" i="5" s="1"/>
  <c r="AH1141" i="5"/>
  <c r="AH1142" i="5"/>
  <c r="AK1142" i="5" s="1"/>
  <c r="AN1141" i="5"/>
  <c r="AO1141" i="5"/>
  <c r="AP1141" i="5"/>
  <c r="AR1141" i="5"/>
  <c r="AU1141" i="5"/>
  <c r="AV1141" i="5" s="1"/>
  <c r="AW1141" i="5"/>
  <c r="AX1141" i="5" s="1"/>
  <c r="AN1142" i="5"/>
  <c r="AO1142" i="5"/>
  <c r="AP1142" i="5"/>
  <c r="AR1142" i="5"/>
  <c r="AS1142" i="5" s="1"/>
  <c r="AU1142" i="5"/>
  <c r="AV1142" i="5" s="1"/>
  <c r="AW1142" i="5"/>
  <c r="AX1142" i="5" s="1"/>
  <c r="AH1143" i="5"/>
  <c r="AN1143" i="5"/>
  <c r="AO1143" i="5"/>
  <c r="AP1143" i="5"/>
  <c r="AH1144" i="5"/>
  <c r="AI1145" i="5" s="1"/>
  <c r="AN1144" i="5"/>
  <c r="AO1144" i="5"/>
  <c r="AP1144" i="5"/>
  <c r="AJ1145" i="5"/>
  <c r="AK1145" i="5"/>
  <c r="AL1145" i="5"/>
  <c r="AN1145" i="5"/>
  <c r="AO1145" i="5"/>
  <c r="AP1145" i="5"/>
  <c r="AR1145" i="5"/>
  <c r="AS1145" i="5" s="1"/>
  <c r="AU1145" i="5"/>
  <c r="AV1145" i="5" s="1"/>
  <c r="AW1145" i="5"/>
  <c r="AX1145" i="5" s="1"/>
  <c r="AH1146" i="5"/>
  <c r="AN1146" i="5"/>
  <c r="AO1146" i="5"/>
  <c r="AP1146" i="5"/>
  <c r="AR1146" i="5"/>
  <c r="AS1146" i="5" s="1"/>
  <c r="AU1146" i="5"/>
  <c r="AV1146" i="5" s="1"/>
  <c r="AW1146" i="5"/>
  <c r="AX1146" i="5" s="1"/>
  <c r="AH1147" i="5"/>
  <c r="AN1147" i="5"/>
  <c r="AO1147" i="5"/>
  <c r="AP1147" i="5"/>
  <c r="AR1147" i="5"/>
  <c r="AU1147" i="5"/>
  <c r="AV1147" i="5" s="1"/>
  <c r="AW1147" i="5"/>
  <c r="AX1147" i="5" s="1"/>
  <c r="AH1148" i="5"/>
  <c r="AN1148" i="5"/>
  <c r="AO1148" i="5"/>
  <c r="AP1148" i="5"/>
  <c r="AR1148" i="5"/>
  <c r="AU1148" i="5"/>
  <c r="AV1148" i="5" s="1"/>
  <c r="AW1148" i="5"/>
  <c r="AX1148" i="5" s="1"/>
  <c r="AH1149" i="5"/>
  <c r="AK1149" i="5" s="1"/>
  <c r="AN1149" i="5"/>
  <c r="AO1149" i="5"/>
  <c r="AP1149" i="5"/>
  <c r="AR1149" i="5"/>
  <c r="AU1149" i="5"/>
  <c r="AV1149" i="5" s="1"/>
  <c r="AW1149" i="5"/>
  <c r="AX1149" i="5" s="1"/>
  <c r="AH1150" i="5"/>
  <c r="AY1150" i="5" s="1"/>
  <c r="AN1150" i="5"/>
  <c r="AO1150" i="5"/>
  <c r="AP1150" i="5"/>
  <c r="AH1151" i="5"/>
  <c r="AN1151" i="5"/>
  <c r="AO1151" i="5"/>
  <c r="AP1151" i="5"/>
  <c r="AJ1152" i="5"/>
  <c r="AK1152" i="5"/>
  <c r="AL1152" i="5"/>
  <c r="AN1152" i="5"/>
  <c r="AO1152" i="5"/>
  <c r="AP1152" i="5"/>
  <c r="AR1152" i="5"/>
  <c r="AU1152" i="5"/>
  <c r="AV1152" i="5" s="1"/>
  <c r="AW1152" i="5"/>
  <c r="AX1152" i="5" s="1"/>
  <c r="AH1153" i="5"/>
  <c r="AH1154" i="5"/>
  <c r="AN1153" i="5"/>
  <c r="AO1153" i="5"/>
  <c r="AP1153" i="5"/>
  <c r="AR1153" i="5"/>
  <c r="AU1153" i="5"/>
  <c r="AV1153" i="5" s="1"/>
  <c r="AW1153" i="5"/>
  <c r="AX1153" i="5" s="1"/>
  <c r="AN1154" i="5"/>
  <c r="AO1154" i="5"/>
  <c r="AP1154" i="5"/>
  <c r="AR1154" i="5"/>
  <c r="AS1154" i="5" s="1"/>
  <c r="AU1154" i="5"/>
  <c r="AV1154" i="5" s="1"/>
  <c r="AW1154" i="5"/>
  <c r="AX1154" i="5" s="1"/>
  <c r="AH1155" i="5"/>
  <c r="AN1155" i="5"/>
  <c r="AO1155" i="5"/>
  <c r="AP1155" i="5"/>
  <c r="AR1155" i="5"/>
  <c r="AT1155" i="5" s="1"/>
  <c r="AU1155" i="5"/>
  <c r="AV1155" i="5" s="1"/>
  <c r="AW1155" i="5"/>
  <c r="AX1155" i="5" s="1"/>
  <c r="AH1156" i="5"/>
  <c r="AY1156" i="5" s="1"/>
  <c r="AN1156" i="5"/>
  <c r="AO1156" i="5"/>
  <c r="AP1156" i="5"/>
  <c r="AR1156" i="5"/>
  <c r="AU1156" i="5"/>
  <c r="AV1156" i="5" s="1"/>
  <c r="AW1156" i="5"/>
  <c r="AX1156" i="5" s="1"/>
  <c r="AH1157" i="5"/>
  <c r="AZ1157" i="5" s="1"/>
  <c r="AN1157" i="5"/>
  <c r="AO1157" i="5"/>
  <c r="AP1157" i="5"/>
  <c r="AH1158" i="5"/>
  <c r="AI1159" i="5" s="1"/>
  <c r="AN1158" i="5"/>
  <c r="AO1158" i="5"/>
  <c r="AP1158" i="5"/>
  <c r="AJ1159" i="5"/>
  <c r="AK1159" i="5"/>
  <c r="AL1159" i="5"/>
  <c r="AN1159" i="5"/>
  <c r="AO1159" i="5"/>
  <c r="AP1159" i="5"/>
  <c r="AR1159" i="5"/>
  <c r="AS1159" i="5" s="1"/>
  <c r="AU1159" i="5"/>
  <c r="AV1159" i="5" s="1"/>
  <c r="AW1159" i="5"/>
  <c r="AX1159" i="5" s="1"/>
  <c r="AH1160" i="5"/>
  <c r="AN1160" i="5"/>
  <c r="AO1160" i="5"/>
  <c r="AP1160" i="5"/>
  <c r="AR1160" i="5"/>
  <c r="AU1160" i="5"/>
  <c r="AV1160" i="5" s="1"/>
  <c r="AW1160" i="5"/>
  <c r="AX1160" i="5" s="1"/>
  <c r="AH1161" i="5"/>
  <c r="AN1161" i="5"/>
  <c r="AO1161" i="5"/>
  <c r="AP1161" i="5"/>
  <c r="AR1161" i="5"/>
  <c r="AT1161" i="5" s="1"/>
  <c r="AU1161" i="5"/>
  <c r="AV1161" i="5" s="1"/>
  <c r="AW1161" i="5"/>
  <c r="AX1161" i="5" s="1"/>
  <c r="AH1162" i="5"/>
  <c r="AN1162" i="5"/>
  <c r="AO1162" i="5"/>
  <c r="AP1162" i="5"/>
  <c r="AR1162" i="5"/>
  <c r="AT1162" i="5" s="1"/>
  <c r="AU1162" i="5"/>
  <c r="AV1162" i="5" s="1"/>
  <c r="AW1162" i="5"/>
  <c r="AX1162" i="5" s="1"/>
  <c r="AH1163" i="5"/>
  <c r="AN1163" i="5"/>
  <c r="AO1163" i="5"/>
  <c r="AP1163" i="5"/>
  <c r="AR1163" i="5"/>
  <c r="AT1163" i="5" s="1"/>
  <c r="AU1163" i="5"/>
  <c r="AV1163" i="5" s="1"/>
  <c r="AW1163" i="5"/>
  <c r="AX1163" i="5" s="1"/>
  <c r="AH1164" i="5"/>
  <c r="AW1164" i="5" s="1"/>
  <c r="AX1164" i="5" s="1"/>
  <c r="AN1164" i="5"/>
  <c r="AO1164" i="5"/>
  <c r="AP1164" i="5"/>
  <c r="AH1165" i="5"/>
  <c r="AU1165" i="5" s="1"/>
  <c r="AV1165" i="5" s="1"/>
  <c r="AN1165" i="5"/>
  <c r="AO1165" i="5"/>
  <c r="AP1165" i="5"/>
  <c r="AJ1166" i="5"/>
  <c r="AK1166" i="5"/>
  <c r="AL1166" i="5"/>
  <c r="AN1166" i="5"/>
  <c r="AO1166" i="5"/>
  <c r="AP1166" i="5"/>
  <c r="AR1166" i="5"/>
  <c r="AU1166" i="5"/>
  <c r="AV1166" i="5" s="1"/>
  <c r="AW1166" i="5"/>
  <c r="AX1166" i="5" s="1"/>
  <c r="AH1167" i="5"/>
  <c r="AN1167" i="5"/>
  <c r="AO1167" i="5"/>
  <c r="AP1167" i="5"/>
  <c r="AR1167" i="5"/>
  <c r="AU1167" i="5"/>
  <c r="AV1167" i="5" s="1"/>
  <c r="AW1167" i="5"/>
  <c r="AX1167" i="5" s="1"/>
  <c r="AH1168" i="5"/>
  <c r="AN1168" i="5"/>
  <c r="AO1168" i="5"/>
  <c r="AP1168" i="5"/>
  <c r="AR1168" i="5"/>
  <c r="AS1168" i="5" s="1"/>
  <c r="AU1168" i="5"/>
  <c r="AV1168" i="5" s="1"/>
  <c r="AW1168" i="5"/>
  <c r="AX1168" i="5" s="1"/>
  <c r="AH1169" i="5"/>
  <c r="AK1169" i="5" s="1"/>
  <c r="AN1169" i="5"/>
  <c r="AO1169" i="5"/>
  <c r="AP1169" i="5"/>
  <c r="AR1169" i="5"/>
  <c r="AS1169" i="5" s="1"/>
  <c r="AU1169" i="5"/>
  <c r="AV1169" i="5" s="1"/>
  <c r="AW1169" i="5"/>
  <c r="AX1169" i="5" s="1"/>
  <c r="AH1170" i="5"/>
  <c r="AY1170" i="5" s="1"/>
  <c r="AN1170" i="5"/>
  <c r="AO1170" i="5"/>
  <c r="AP1170" i="5"/>
  <c r="AR1170" i="5"/>
  <c r="AU1170" i="5"/>
  <c r="AV1170" i="5" s="1"/>
  <c r="AW1170" i="5"/>
  <c r="AX1170" i="5" s="1"/>
  <c r="AH1171" i="5"/>
  <c r="AJ1171" i="5" s="1"/>
  <c r="AN1171" i="5"/>
  <c r="AO1171" i="5"/>
  <c r="AP1171" i="5"/>
  <c r="AH1172" i="5"/>
  <c r="AN1172" i="5"/>
  <c r="AO1172" i="5"/>
  <c r="AP1172" i="5"/>
  <c r="AJ1173" i="5"/>
  <c r="AK1173" i="5"/>
  <c r="AL1173" i="5"/>
  <c r="AN1173" i="5"/>
  <c r="AO1173" i="5"/>
  <c r="AP1173" i="5"/>
  <c r="AR1173" i="5"/>
  <c r="AT1173" i="5" s="1"/>
  <c r="AU1173" i="5"/>
  <c r="AV1173" i="5" s="1"/>
  <c r="AW1173" i="5"/>
  <c r="AX1173" i="5" s="1"/>
  <c r="AH1174" i="5"/>
  <c r="AI1174" i="5" s="1"/>
  <c r="AN1174" i="5"/>
  <c r="AO1174" i="5"/>
  <c r="AP1174" i="5"/>
  <c r="AR1174" i="5"/>
  <c r="AU1174" i="5"/>
  <c r="AV1174" i="5" s="1"/>
  <c r="AW1174" i="5"/>
  <c r="AX1174" i="5" s="1"/>
  <c r="AH1175" i="5"/>
  <c r="AN1175" i="5"/>
  <c r="AO1175" i="5"/>
  <c r="AP1175" i="5"/>
  <c r="AR1175" i="5"/>
  <c r="AU1175" i="5"/>
  <c r="AV1175" i="5" s="1"/>
  <c r="AW1175" i="5"/>
  <c r="AX1175" i="5" s="1"/>
  <c r="AH1176" i="5"/>
  <c r="AN1176" i="5"/>
  <c r="AO1176" i="5"/>
  <c r="AP1176" i="5"/>
  <c r="AR1176" i="5"/>
  <c r="AU1176" i="5"/>
  <c r="AV1176" i="5" s="1"/>
  <c r="AW1176" i="5"/>
  <c r="AX1176" i="5" s="1"/>
  <c r="AH1177" i="5"/>
  <c r="AK1177" i="5" s="1"/>
  <c r="AN1177" i="5"/>
  <c r="AO1177" i="5"/>
  <c r="AP1177" i="5"/>
  <c r="AR1177" i="5"/>
  <c r="AS1177" i="5" s="1"/>
  <c r="AU1177" i="5"/>
  <c r="AV1177" i="5" s="1"/>
  <c r="AW1177" i="5"/>
  <c r="AX1177" i="5" s="1"/>
  <c r="AH1178" i="5"/>
  <c r="AN1178" i="5"/>
  <c r="AO1178" i="5"/>
  <c r="AP1178" i="5"/>
  <c r="AH1179" i="5"/>
  <c r="AI1180" i="5" s="1"/>
  <c r="AN1179" i="5"/>
  <c r="AO1179" i="5"/>
  <c r="AP1179" i="5"/>
  <c r="AJ1180" i="5"/>
  <c r="AK1180" i="5"/>
  <c r="AL1180" i="5"/>
  <c r="AN1180" i="5"/>
  <c r="AO1180" i="5"/>
  <c r="AP1180" i="5"/>
  <c r="AR1180" i="5"/>
  <c r="AU1180" i="5"/>
  <c r="AV1180" i="5" s="1"/>
  <c r="AW1180" i="5"/>
  <c r="AX1180" i="5" s="1"/>
  <c r="AH1181" i="5"/>
  <c r="AL1181" i="5" s="1"/>
  <c r="AH1182" i="5"/>
  <c r="AN1181" i="5"/>
  <c r="AO1181" i="5"/>
  <c r="AP1181" i="5"/>
  <c r="AR1181" i="5"/>
  <c r="AU1181" i="5"/>
  <c r="AV1181" i="5" s="1"/>
  <c r="AW1181" i="5"/>
  <c r="AX1181" i="5" s="1"/>
  <c r="AN1182" i="5"/>
  <c r="AO1182" i="5"/>
  <c r="AP1182" i="5"/>
  <c r="AR1182" i="5"/>
  <c r="AS1182" i="5" s="1"/>
  <c r="AU1182" i="5"/>
  <c r="AV1182" i="5" s="1"/>
  <c r="AW1182" i="5"/>
  <c r="AX1182" i="5" s="1"/>
  <c r="AH1183" i="5"/>
  <c r="AN1183" i="5"/>
  <c r="AO1183" i="5"/>
  <c r="AP1183" i="5"/>
  <c r="AR1183" i="5"/>
  <c r="AU1183" i="5"/>
  <c r="AV1183" i="5" s="1"/>
  <c r="AW1183" i="5"/>
  <c r="AX1183" i="5" s="1"/>
  <c r="AH1184" i="5"/>
  <c r="AN1184" i="5"/>
  <c r="AO1184" i="5"/>
  <c r="AP1184" i="5"/>
  <c r="AR1184" i="5"/>
  <c r="AU1184" i="5"/>
  <c r="AV1184" i="5" s="1"/>
  <c r="AW1184" i="5"/>
  <c r="AX1184" i="5" s="1"/>
  <c r="AH1185" i="5"/>
  <c r="AU1185" i="5" s="1"/>
  <c r="AV1185" i="5" s="1"/>
  <c r="AN1185" i="5"/>
  <c r="AO1185" i="5"/>
  <c r="AP1185" i="5"/>
  <c r="AH1186" i="5"/>
  <c r="AL1186" i="5" s="1"/>
  <c r="AN1186" i="5"/>
  <c r="AO1186" i="5"/>
  <c r="AP1186" i="5"/>
  <c r="AJ1187" i="5"/>
  <c r="AK1187" i="5"/>
  <c r="AL1187" i="5"/>
  <c r="AN1187" i="5"/>
  <c r="AO1187" i="5"/>
  <c r="AP1187" i="5"/>
  <c r="AR1187" i="5"/>
  <c r="AT1187" i="5" s="1"/>
  <c r="AU1187" i="5"/>
  <c r="AV1187" i="5" s="1"/>
  <c r="AW1187" i="5"/>
  <c r="AX1187" i="5" s="1"/>
  <c r="AH1188" i="5"/>
  <c r="AN1188" i="5"/>
  <c r="AO1188" i="5"/>
  <c r="AP1188" i="5"/>
  <c r="AR1188" i="5"/>
  <c r="AU1188" i="5"/>
  <c r="AV1188" i="5" s="1"/>
  <c r="AW1188" i="5"/>
  <c r="AX1188" i="5" s="1"/>
  <c r="AH1189" i="5"/>
  <c r="AY1189" i="5" s="1"/>
  <c r="AN1189" i="5"/>
  <c r="AO1189" i="5"/>
  <c r="AP1189" i="5"/>
  <c r="AR1189" i="5"/>
  <c r="AU1189" i="5"/>
  <c r="AV1189" i="5" s="1"/>
  <c r="AW1189" i="5"/>
  <c r="AX1189" i="5" s="1"/>
  <c r="AH1190" i="5"/>
  <c r="AY1190" i="5" s="1"/>
  <c r="AN1190" i="5"/>
  <c r="AO1190" i="5"/>
  <c r="AP1190" i="5"/>
  <c r="AR1190" i="5"/>
  <c r="AS1190" i="5" s="1"/>
  <c r="AU1190" i="5"/>
  <c r="AV1190" i="5" s="1"/>
  <c r="AW1190" i="5"/>
  <c r="AX1190" i="5" s="1"/>
  <c r="AH1191" i="5"/>
  <c r="AK1191" i="5" s="1"/>
  <c r="AN1191" i="5"/>
  <c r="AO1191" i="5"/>
  <c r="AP1191" i="5"/>
  <c r="AR1191" i="5"/>
  <c r="AU1191" i="5"/>
  <c r="AV1191" i="5" s="1"/>
  <c r="AW1191" i="5"/>
  <c r="AX1191" i="5" s="1"/>
  <c r="AH1192" i="5"/>
  <c r="AU1192" i="5" s="1"/>
  <c r="AV1192" i="5" s="1"/>
  <c r="AN1192" i="5"/>
  <c r="AO1192" i="5"/>
  <c r="AP1192" i="5"/>
  <c r="AH1193" i="5"/>
  <c r="AN1193" i="5"/>
  <c r="AO1193" i="5"/>
  <c r="AP1193" i="5"/>
  <c r="AJ1194" i="5"/>
  <c r="AK1194" i="5"/>
  <c r="AL1194" i="5"/>
  <c r="AN1194" i="5"/>
  <c r="AO1194" i="5"/>
  <c r="AP1194" i="5"/>
  <c r="AR1194" i="5"/>
  <c r="AU1194" i="5"/>
  <c r="AV1194" i="5" s="1"/>
  <c r="AW1194" i="5"/>
  <c r="AX1194" i="5" s="1"/>
  <c r="AH1195" i="5"/>
  <c r="AY1195" i="5" s="1"/>
  <c r="AN1195" i="5"/>
  <c r="AO1195" i="5"/>
  <c r="AP1195" i="5"/>
  <c r="AR1195" i="5"/>
  <c r="AU1195" i="5"/>
  <c r="AV1195" i="5" s="1"/>
  <c r="AW1195" i="5"/>
  <c r="AX1195" i="5" s="1"/>
  <c r="AH1196" i="5"/>
  <c r="AN1196" i="5"/>
  <c r="AO1196" i="5"/>
  <c r="AP1196" i="5"/>
  <c r="AR1196" i="5"/>
  <c r="AU1196" i="5"/>
  <c r="AV1196" i="5" s="1"/>
  <c r="AW1196" i="5"/>
  <c r="AX1196" i="5" s="1"/>
  <c r="AH1197" i="5"/>
  <c r="AN1197" i="5"/>
  <c r="AO1197" i="5"/>
  <c r="AP1197" i="5"/>
  <c r="AR1197" i="5"/>
  <c r="AU1197" i="5"/>
  <c r="AV1197" i="5" s="1"/>
  <c r="AW1197" i="5"/>
  <c r="AX1197" i="5" s="1"/>
  <c r="AH1198" i="5"/>
  <c r="AL1198" i="5" s="1"/>
  <c r="AN1198" i="5"/>
  <c r="AO1198" i="5"/>
  <c r="AP1198" i="5"/>
  <c r="AR1198" i="5"/>
  <c r="AT1198" i="5" s="1"/>
  <c r="AU1198" i="5"/>
  <c r="AV1198" i="5" s="1"/>
  <c r="AW1198" i="5"/>
  <c r="AX1198" i="5" s="1"/>
  <c r="AH1199" i="5"/>
  <c r="AN1199" i="5"/>
  <c r="AO1199" i="5"/>
  <c r="AP1199" i="5"/>
  <c r="AH1200" i="5"/>
  <c r="AN1200" i="5"/>
  <c r="AO1200" i="5"/>
  <c r="AP1200" i="5"/>
  <c r="AJ1201" i="5"/>
  <c r="AK1201" i="5"/>
  <c r="AL1201" i="5"/>
  <c r="AN1201" i="5"/>
  <c r="AO1201" i="5"/>
  <c r="AP1201" i="5"/>
  <c r="AR1201" i="5"/>
  <c r="AU1201" i="5"/>
  <c r="AV1201" i="5" s="1"/>
  <c r="AW1201" i="5"/>
  <c r="AX1201" i="5" s="1"/>
  <c r="AH1202" i="5"/>
  <c r="AJ1202" i="5" s="1"/>
  <c r="AH1203" i="5"/>
  <c r="AL1203" i="5" s="1"/>
  <c r="AN1202" i="5"/>
  <c r="AO1202" i="5"/>
  <c r="AP1202" i="5"/>
  <c r="AR1202" i="5"/>
  <c r="AT1202" i="5" s="1"/>
  <c r="AU1202" i="5"/>
  <c r="AV1202" i="5" s="1"/>
  <c r="AW1202" i="5"/>
  <c r="AX1202" i="5" s="1"/>
  <c r="AN1203" i="5"/>
  <c r="AO1203" i="5"/>
  <c r="AP1203" i="5"/>
  <c r="AR1203" i="5"/>
  <c r="AT1203" i="5" s="1"/>
  <c r="AU1203" i="5"/>
  <c r="AV1203" i="5" s="1"/>
  <c r="AW1203" i="5"/>
  <c r="AX1203" i="5" s="1"/>
  <c r="AH1204" i="5"/>
  <c r="AH1205" i="5"/>
  <c r="AN1204" i="5"/>
  <c r="AO1204" i="5"/>
  <c r="AP1204" i="5"/>
  <c r="AR1204" i="5"/>
  <c r="AT1204" i="5" s="1"/>
  <c r="AU1204" i="5"/>
  <c r="AV1204" i="5" s="1"/>
  <c r="AW1204" i="5"/>
  <c r="AX1204" i="5" s="1"/>
  <c r="AN1205" i="5"/>
  <c r="AO1205" i="5"/>
  <c r="AP1205" i="5"/>
  <c r="AR1205" i="5"/>
  <c r="AT1205" i="5" s="1"/>
  <c r="AU1205" i="5"/>
  <c r="AV1205" i="5" s="1"/>
  <c r="AW1205" i="5"/>
  <c r="AX1205" i="5" s="1"/>
  <c r="AH1206" i="5"/>
  <c r="AZ1206" i="5" s="1"/>
  <c r="AN1206" i="5"/>
  <c r="AO1206" i="5"/>
  <c r="AP1206" i="5"/>
  <c r="AH1207" i="5"/>
  <c r="AN1207" i="5"/>
  <c r="AO1207" i="5"/>
  <c r="AP1207" i="5"/>
  <c r="AJ1208" i="5"/>
  <c r="AK1208" i="5"/>
  <c r="AL1208" i="5"/>
  <c r="AN1208" i="5"/>
  <c r="AO1208" i="5"/>
  <c r="AP1208" i="5"/>
  <c r="AR1208" i="5"/>
  <c r="AU1208" i="5"/>
  <c r="AV1208" i="5" s="1"/>
  <c r="AW1208" i="5"/>
  <c r="AX1208" i="5" s="1"/>
  <c r="AH1209" i="5"/>
  <c r="AL1209" i="5" s="1"/>
  <c r="AN1209" i="5"/>
  <c r="AO1209" i="5"/>
  <c r="AP1209" i="5"/>
  <c r="AR1209" i="5"/>
  <c r="AS1209" i="5" s="1"/>
  <c r="AU1209" i="5"/>
  <c r="AV1209" i="5" s="1"/>
  <c r="AW1209" i="5"/>
  <c r="AX1209" i="5" s="1"/>
  <c r="AH1210" i="5"/>
  <c r="AZ1210" i="5" s="1"/>
  <c r="AN1210" i="5"/>
  <c r="AO1210" i="5"/>
  <c r="AP1210" i="5"/>
  <c r="AR1210" i="5"/>
  <c r="AS1210" i="5" s="1"/>
  <c r="AU1210" i="5"/>
  <c r="AV1210" i="5" s="1"/>
  <c r="AW1210" i="5"/>
  <c r="AX1210" i="5" s="1"/>
  <c r="AH1211" i="5"/>
  <c r="AN1211" i="5"/>
  <c r="AO1211" i="5"/>
  <c r="AP1211" i="5"/>
  <c r="AR1211" i="5"/>
  <c r="AU1211" i="5"/>
  <c r="AV1211" i="5" s="1"/>
  <c r="AW1211" i="5"/>
  <c r="AX1211" i="5" s="1"/>
  <c r="AH1212" i="5"/>
  <c r="AY1212" i="5" s="1"/>
  <c r="AN1212" i="5"/>
  <c r="AO1212" i="5"/>
  <c r="AP1212" i="5"/>
  <c r="AR1212" i="5"/>
  <c r="AU1212" i="5"/>
  <c r="AV1212" i="5" s="1"/>
  <c r="AW1212" i="5"/>
  <c r="AX1212" i="5" s="1"/>
  <c r="AH1213" i="5"/>
  <c r="AU1213" i="5" s="1"/>
  <c r="AV1213" i="5" s="1"/>
  <c r="AN1213" i="5"/>
  <c r="AO1213" i="5"/>
  <c r="AP1213" i="5"/>
  <c r="AH1214" i="5"/>
  <c r="AN1214" i="5"/>
  <c r="AO1214" i="5"/>
  <c r="AP1214" i="5"/>
  <c r="AJ1215" i="5"/>
  <c r="AK1215" i="5"/>
  <c r="AL1215" i="5"/>
  <c r="AN1215" i="5"/>
  <c r="AO1215" i="5"/>
  <c r="AP1215" i="5"/>
  <c r="AR1215" i="5"/>
  <c r="AU1215" i="5"/>
  <c r="AV1215" i="5" s="1"/>
  <c r="AW1215" i="5"/>
  <c r="AX1215" i="5" s="1"/>
  <c r="AH1216" i="5"/>
  <c r="AN1216" i="5"/>
  <c r="AO1216" i="5"/>
  <c r="AP1216" i="5"/>
  <c r="AR1216" i="5"/>
  <c r="AT1216" i="5" s="1"/>
  <c r="AU1216" i="5"/>
  <c r="AV1216" i="5" s="1"/>
  <c r="AW1216" i="5"/>
  <c r="AX1216" i="5" s="1"/>
  <c r="AH1217" i="5"/>
  <c r="AK1217" i="5" s="1"/>
  <c r="AN1217" i="5"/>
  <c r="AO1217" i="5"/>
  <c r="AP1217" i="5"/>
  <c r="AR1217" i="5"/>
  <c r="AT1217" i="5" s="1"/>
  <c r="AU1217" i="5"/>
  <c r="AV1217" i="5" s="1"/>
  <c r="AW1217" i="5"/>
  <c r="AX1217" i="5" s="1"/>
  <c r="AH1218" i="5"/>
  <c r="AN1218" i="5"/>
  <c r="AO1218" i="5"/>
  <c r="AP1218" i="5"/>
  <c r="AR1218" i="5"/>
  <c r="AT1218" i="5" s="1"/>
  <c r="AU1218" i="5"/>
  <c r="AV1218" i="5" s="1"/>
  <c r="AW1218" i="5"/>
  <c r="AX1218" i="5" s="1"/>
  <c r="AH1219" i="5"/>
  <c r="AN1219" i="5"/>
  <c r="AO1219" i="5"/>
  <c r="AP1219" i="5"/>
  <c r="AR1219" i="5"/>
  <c r="AS1219" i="5" s="1"/>
  <c r="AU1219" i="5"/>
  <c r="AV1219" i="5" s="1"/>
  <c r="AW1219" i="5"/>
  <c r="AX1219" i="5" s="1"/>
  <c r="AH1220" i="5"/>
  <c r="AN1220" i="5"/>
  <c r="AO1220" i="5"/>
  <c r="AP1220" i="5"/>
  <c r="AH1221" i="5"/>
  <c r="AN1221" i="5"/>
  <c r="AO1221" i="5"/>
  <c r="AP1221" i="5"/>
  <c r="AJ1222" i="5"/>
  <c r="AK1222" i="5"/>
  <c r="AL1222" i="5"/>
  <c r="AN1222" i="5"/>
  <c r="AO1222" i="5"/>
  <c r="AP1222" i="5"/>
  <c r="AR1222" i="5"/>
  <c r="AT1222" i="5" s="1"/>
  <c r="AU1222" i="5"/>
  <c r="AV1222" i="5" s="1"/>
  <c r="AW1222" i="5"/>
  <c r="AX1222" i="5" s="1"/>
  <c r="AH1223" i="5"/>
  <c r="AL1223" i="5" s="1"/>
  <c r="AN1223" i="5"/>
  <c r="AO1223" i="5"/>
  <c r="AP1223" i="5"/>
  <c r="AR1223" i="5"/>
  <c r="AU1223" i="5"/>
  <c r="AV1223" i="5" s="1"/>
  <c r="AW1223" i="5"/>
  <c r="AX1223" i="5" s="1"/>
  <c r="AH1224" i="5"/>
  <c r="AN1224" i="5"/>
  <c r="AO1224" i="5"/>
  <c r="AP1224" i="5"/>
  <c r="AR1224" i="5"/>
  <c r="AU1224" i="5"/>
  <c r="AV1224" i="5" s="1"/>
  <c r="AW1224" i="5"/>
  <c r="AX1224" i="5" s="1"/>
  <c r="AH1225" i="5"/>
  <c r="AJ1225" i="5" s="1"/>
  <c r="AN1225" i="5"/>
  <c r="AO1225" i="5"/>
  <c r="AP1225" i="5"/>
  <c r="AR1225" i="5"/>
  <c r="AS1225" i="5" s="1"/>
  <c r="AU1225" i="5"/>
  <c r="AV1225" i="5" s="1"/>
  <c r="AW1225" i="5"/>
  <c r="AX1225" i="5" s="1"/>
  <c r="AH1226" i="5"/>
  <c r="AY1226" i="5" s="1"/>
  <c r="AN1226" i="5"/>
  <c r="AO1226" i="5"/>
  <c r="AP1226" i="5"/>
  <c r="AH1227" i="5"/>
  <c r="AL1227" i="5" s="1"/>
  <c r="AN1227" i="5"/>
  <c r="AO1227" i="5"/>
  <c r="AP1227" i="5"/>
  <c r="AJ1228" i="5"/>
  <c r="AK1228" i="5"/>
  <c r="AL1228" i="5"/>
  <c r="AN1228" i="5"/>
  <c r="AO1228" i="5"/>
  <c r="AP1228" i="5"/>
  <c r="AR1228" i="5"/>
  <c r="AU1228" i="5"/>
  <c r="AV1228" i="5" s="1"/>
  <c r="AW1228" i="5"/>
  <c r="AX1228" i="5" s="1"/>
  <c r="AH1229" i="5"/>
  <c r="AY1229" i="5" s="1"/>
  <c r="AN1229" i="5"/>
  <c r="AO1229" i="5"/>
  <c r="AP1229" i="5"/>
  <c r="AR1229" i="5"/>
  <c r="AU1229" i="5"/>
  <c r="AV1229" i="5" s="1"/>
  <c r="AW1229" i="5"/>
  <c r="AX1229" i="5" s="1"/>
  <c r="AH1230" i="5"/>
  <c r="AK1230" i="5" s="1"/>
  <c r="AN1230" i="5"/>
  <c r="AO1230" i="5"/>
  <c r="AP1230" i="5"/>
  <c r="AR1230" i="5"/>
  <c r="AS1230" i="5" s="1"/>
  <c r="AU1230" i="5"/>
  <c r="AV1230" i="5" s="1"/>
  <c r="AW1230" i="5"/>
  <c r="AX1230" i="5" s="1"/>
  <c r="AH1231" i="5"/>
  <c r="AY1231" i="5" s="1"/>
  <c r="AN1231" i="5"/>
  <c r="AO1231" i="5"/>
  <c r="AP1231" i="5"/>
  <c r="AR1231" i="5"/>
  <c r="AU1231" i="5"/>
  <c r="AV1231" i="5" s="1"/>
  <c r="AW1231" i="5"/>
  <c r="AX1231" i="5" s="1"/>
  <c r="AH1232" i="5"/>
  <c r="AN1232" i="5"/>
  <c r="AO1232" i="5"/>
  <c r="AP1232" i="5"/>
  <c r="AH1233" i="5"/>
  <c r="AN1233" i="5"/>
  <c r="AO1233" i="5"/>
  <c r="AP1233" i="5"/>
  <c r="AJ1234" i="5"/>
  <c r="AK1234" i="5"/>
  <c r="AL1234" i="5"/>
  <c r="AN1234" i="5"/>
  <c r="AO1234" i="5"/>
  <c r="AP1234" i="5"/>
  <c r="AR1234" i="5"/>
  <c r="AU1234" i="5"/>
  <c r="AV1234" i="5" s="1"/>
  <c r="AW1234" i="5"/>
  <c r="AX1234" i="5" s="1"/>
  <c r="AH1235" i="5"/>
  <c r="AZ1235" i="5" s="1"/>
  <c r="AN1235" i="5"/>
  <c r="AO1235" i="5"/>
  <c r="AP1235" i="5"/>
  <c r="AR1235" i="5"/>
  <c r="AU1235" i="5"/>
  <c r="AV1235" i="5" s="1"/>
  <c r="AW1235" i="5"/>
  <c r="AX1235" i="5" s="1"/>
  <c r="AH1236" i="5"/>
  <c r="AN1236" i="5"/>
  <c r="AO1236" i="5"/>
  <c r="AP1236" i="5"/>
  <c r="AR1236" i="5"/>
  <c r="AU1236" i="5"/>
  <c r="AV1236" i="5" s="1"/>
  <c r="AW1236" i="5"/>
  <c r="AX1236" i="5" s="1"/>
  <c r="AH1237" i="5"/>
  <c r="AJ1237" i="5" s="1"/>
  <c r="AN1237" i="5"/>
  <c r="AO1237" i="5"/>
  <c r="AP1237" i="5"/>
  <c r="AR1237" i="5"/>
  <c r="AU1237" i="5"/>
  <c r="AV1237" i="5" s="1"/>
  <c r="AW1237" i="5"/>
  <c r="AX1237" i="5" s="1"/>
  <c r="AH1238" i="5"/>
  <c r="AL1238" i="5" s="1"/>
  <c r="AN1238" i="5"/>
  <c r="AO1238" i="5"/>
  <c r="AP1238" i="5"/>
  <c r="AH1239" i="5"/>
  <c r="AI1240" i="5" s="1"/>
  <c r="AN1239" i="5"/>
  <c r="AO1239" i="5"/>
  <c r="AP1239" i="5"/>
  <c r="AJ1240" i="5"/>
  <c r="AK1240" i="5"/>
  <c r="AL1240" i="5"/>
  <c r="AN1240" i="5"/>
  <c r="AO1240" i="5"/>
  <c r="AP1240" i="5"/>
  <c r="AR1240" i="5"/>
  <c r="AS1240" i="5" s="1"/>
  <c r="AU1240" i="5"/>
  <c r="AV1240" i="5" s="1"/>
  <c r="AW1240" i="5"/>
  <c r="AX1240" i="5" s="1"/>
  <c r="AH1241" i="5"/>
  <c r="AN1241" i="5"/>
  <c r="AO1241" i="5"/>
  <c r="AP1241" i="5"/>
  <c r="AR1241" i="5"/>
  <c r="AS1241" i="5" s="1"/>
  <c r="AU1241" i="5"/>
  <c r="AV1241" i="5" s="1"/>
  <c r="AW1241" i="5"/>
  <c r="AX1241" i="5" s="1"/>
  <c r="AH1242" i="5"/>
  <c r="AN1242" i="5"/>
  <c r="AO1242" i="5"/>
  <c r="AP1242" i="5"/>
  <c r="AR1242" i="5"/>
  <c r="AS1242" i="5" s="1"/>
  <c r="AU1242" i="5"/>
  <c r="AV1242" i="5" s="1"/>
  <c r="AW1242" i="5"/>
  <c r="AX1242" i="5" s="1"/>
  <c r="AH1243" i="5"/>
  <c r="AK1243" i="5" s="1"/>
  <c r="AN1243" i="5"/>
  <c r="AO1243" i="5"/>
  <c r="AP1243" i="5"/>
  <c r="AR1243" i="5"/>
  <c r="AU1243" i="5"/>
  <c r="AV1243" i="5" s="1"/>
  <c r="AW1243" i="5"/>
  <c r="AX1243" i="5" s="1"/>
  <c r="AH1244" i="5"/>
  <c r="AU1244" i="5" s="1"/>
  <c r="AV1244" i="5" s="1"/>
  <c r="AN1244" i="5"/>
  <c r="AO1244" i="5"/>
  <c r="AP1244" i="5"/>
  <c r="AH1245" i="5"/>
  <c r="AR1245" i="5" s="1"/>
  <c r="AN1245" i="5"/>
  <c r="AO1245" i="5"/>
  <c r="AP1245" i="5"/>
  <c r="AJ1246" i="5"/>
  <c r="AK1246" i="5"/>
  <c r="AL1246" i="5"/>
  <c r="AN1246" i="5"/>
  <c r="AO1246" i="5"/>
  <c r="AP1246" i="5"/>
  <c r="AR1246" i="5"/>
  <c r="AT1246" i="5" s="1"/>
  <c r="AU1246" i="5"/>
  <c r="AV1246" i="5" s="1"/>
  <c r="AW1246" i="5"/>
  <c r="AX1246" i="5" s="1"/>
  <c r="AH1247" i="5"/>
  <c r="AZ1247" i="5" s="1"/>
  <c r="AN1247" i="5"/>
  <c r="AO1247" i="5"/>
  <c r="AP1247" i="5"/>
  <c r="AR1247" i="5"/>
  <c r="AT1247" i="5" s="1"/>
  <c r="AU1247" i="5"/>
  <c r="AV1247" i="5" s="1"/>
  <c r="AW1247" i="5"/>
  <c r="AX1247" i="5" s="1"/>
  <c r="AH1248" i="5"/>
  <c r="AL1248" i="5" s="1"/>
  <c r="AN1248" i="5"/>
  <c r="AO1248" i="5"/>
  <c r="AP1248" i="5"/>
  <c r="AR1248" i="5"/>
  <c r="AS1248" i="5" s="1"/>
  <c r="AU1248" i="5"/>
  <c r="AV1248" i="5" s="1"/>
  <c r="AW1248" i="5"/>
  <c r="AX1248" i="5" s="1"/>
  <c r="AH1249" i="5"/>
  <c r="AN1249" i="5"/>
  <c r="AO1249" i="5"/>
  <c r="AP1249" i="5"/>
  <c r="AR1249" i="5"/>
  <c r="AU1249" i="5"/>
  <c r="AV1249" i="5" s="1"/>
  <c r="AW1249" i="5"/>
  <c r="AX1249" i="5" s="1"/>
  <c r="AH1250" i="5"/>
  <c r="AY1250" i="5" s="1"/>
  <c r="AN1250" i="5"/>
  <c r="AO1250" i="5"/>
  <c r="AP1250" i="5"/>
  <c r="AH1251" i="5"/>
  <c r="AY1251" i="5" s="1"/>
  <c r="AN1251" i="5"/>
  <c r="AO1251" i="5"/>
  <c r="AP1251" i="5"/>
  <c r="AJ1252" i="5"/>
  <c r="AK1252" i="5"/>
  <c r="AL1252" i="5"/>
  <c r="AN1252" i="5"/>
  <c r="AO1252" i="5"/>
  <c r="AP1252" i="5"/>
  <c r="AR1252" i="5"/>
  <c r="AT1252" i="5" s="1"/>
  <c r="AU1252" i="5"/>
  <c r="AV1252" i="5" s="1"/>
  <c r="AW1252" i="5"/>
  <c r="AX1252" i="5" s="1"/>
  <c r="AH1253" i="5"/>
  <c r="AK1253" i="5" s="1"/>
  <c r="AN1253" i="5"/>
  <c r="AO1253" i="5"/>
  <c r="AP1253" i="5"/>
  <c r="AR1253" i="5"/>
  <c r="AT1253" i="5" s="1"/>
  <c r="AU1253" i="5"/>
  <c r="AV1253" i="5" s="1"/>
  <c r="AW1253" i="5"/>
  <c r="AX1253" i="5" s="1"/>
  <c r="AH1254" i="5"/>
  <c r="AJ1254" i="5" s="1"/>
  <c r="AN1254" i="5"/>
  <c r="AO1254" i="5"/>
  <c r="AP1254" i="5"/>
  <c r="AR1254" i="5"/>
  <c r="AS1254" i="5" s="1"/>
  <c r="AU1254" i="5"/>
  <c r="AV1254" i="5" s="1"/>
  <c r="AW1254" i="5"/>
  <c r="AX1254" i="5" s="1"/>
  <c r="AH1255" i="5"/>
  <c r="AN1255" i="5"/>
  <c r="AO1255" i="5"/>
  <c r="AP1255" i="5"/>
  <c r="AR1255" i="5"/>
  <c r="AU1255" i="5"/>
  <c r="AV1255" i="5" s="1"/>
  <c r="AW1255" i="5"/>
  <c r="AX1255" i="5" s="1"/>
  <c r="AH1256" i="5"/>
  <c r="AN1256" i="5"/>
  <c r="AO1256" i="5"/>
  <c r="AP1256" i="5"/>
  <c r="AH1257" i="5"/>
  <c r="AI1258" i="5" s="1"/>
  <c r="AN1257" i="5"/>
  <c r="AO1257" i="5"/>
  <c r="AP1257" i="5"/>
  <c r="AJ1258" i="5"/>
  <c r="AK1258" i="5"/>
  <c r="AL1258" i="5"/>
  <c r="AN1258" i="5"/>
  <c r="AO1258" i="5"/>
  <c r="AP1258" i="5"/>
  <c r="AR1258" i="5"/>
  <c r="AS1258" i="5" s="1"/>
  <c r="AU1258" i="5"/>
  <c r="AV1258" i="5" s="1"/>
  <c r="AW1258" i="5"/>
  <c r="AX1258" i="5" s="1"/>
  <c r="AH1259" i="5"/>
  <c r="AI1259" i="5" s="1"/>
  <c r="AN1259" i="5"/>
  <c r="AO1259" i="5"/>
  <c r="AP1259" i="5"/>
  <c r="AR1259" i="5"/>
  <c r="AU1259" i="5"/>
  <c r="AV1259" i="5" s="1"/>
  <c r="AW1259" i="5"/>
  <c r="AX1259" i="5" s="1"/>
  <c r="AN1260" i="5"/>
  <c r="AO1260" i="5"/>
  <c r="AP1260" i="5"/>
  <c r="AR1260" i="5"/>
  <c r="AU1260" i="5"/>
  <c r="AV1260" i="5" s="1"/>
  <c r="AW1260" i="5"/>
  <c r="AX1260" i="5" s="1"/>
  <c r="AH1261" i="5"/>
  <c r="AL1261" i="5" s="1"/>
  <c r="AN1261" i="5"/>
  <c r="AO1261" i="5"/>
  <c r="AP1261" i="5"/>
  <c r="AR1261" i="5"/>
  <c r="AU1261" i="5"/>
  <c r="AV1261" i="5" s="1"/>
  <c r="AW1261" i="5"/>
  <c r="AX1261" i="5" s="1"/>
  <c r="AH1262" i="5"/>
  <c r="AU1262" i="5" s="1"/>
  <c r="AV1262" i="5" s="1"/>
  <c r="AN1262" i="5"/>
  <c r="AO1262" i="5"/>
  <c r="AP1262" i="5"/>
  <c r="AH1263" i="5"/>
  <c r="AR1263" i="5" s="1"/>
  <c r="AT1263" i="5" s="1"/>
  <c r="AN1263" i="5"/>
  <c r="AO1263" i="5"/>
  <c r="AP1263" i="5"/>
  <c r="AJ1264" i="5"/>
  <c r="AK1264" i="5"/>
  <c r="AL1264" i="5"/>
  <c r="AN1264" i="5"/>
  <c r="AO1264" i="5"/>
  <c r="AP1264" i="5"/>
  <c r="AR1264" i="5"/>
  <c r="AU1264" i="5"/>
  <c r="AV1264" i="5" s="1"/>
  <c r="AW1264" i="5"/>
  <c r="AX1264" i="5" s="1"/>
  <c r="AH1306" i="5"/>
  <c r="AM1306" i="5" s="1"/>
  <c r="AN1306" i="5"/>
  <c r="AO1306" i="5"/>
  <c r="AP1306" i="5"/>
  <c r="AR1306" i="5"/>
  <c r="AU1306" i="5"/>
  <c r="AV1306" i="5" s="1"/>
  <c r="AW1306" i="5"/>
  <c r="AX1306" i="5" s="1"/>
  <c r="AH1307" i="5"/>
  <c r="AN1307" i="5"/>
  <c r="AO1307" i="5"/>
  <c r="AP1307" i="5"/>
  <c r="AR1307" i="5"/>
  <c r="AT1307" i="5" s="1"/>
  <c r="AU1307" i="5"/>
  <c r="AV1307" i="5" s="1"/>
  <c r="AW1307" i="5"/>
  <c r="AX1307" i="5" s="1"/>
  <c r="AN1308" i="5"/>
  <c r="AO1308" i="5"/>
  <c r="AP1308" i="5"/>
  <c r="AR1308" i="5"/>
  <c r="AT1308" i="5" s="1"/>
  <c r="AU1308" i="5"/>
  <c r="AV1308" i="5" s="1"/>
  <c r="AW1308" i="5"/>
  <c r="AX1308" i="5" s="1"/>
  <c r="AH1309" i="5"/>
  <c r="AK1309" i="5" s="1"/>
  <c r="AN1309" i="5"/>
  <c r="AO1309" i="5"/>
  <c r="AP1309" i="5"/>
  <c r="AR1309" i="5"/>
  <c r="AU1309" i="5"/>
  <c r="AV1309" i="5" s="1"/>
  <c r="AW1309" i="5"/>
  <c r="AX1309" i="5" s="1"/>
  <c r="AH1310" i="5"/>
  <c r="AN1310" i="5"/>
  <c r="AO1310" i="5"/>
  <c r="AR1310" i="5"/>
  <c r="AU1310" i="5"/>
  <c r="AV1310" i="5" s="1"/>
  <c r="AW1310" i="5"/>
  <c r="AX1310" i="5" s="1"/>
  <c r="AH1311" i="5"/>
  <c r="AY1311" i="5" s="1"/>
  <c r="AN1311" i="5"/>
  <c r="AO1311" i="5"/>
  <c r="AP1311" i="5"/>
  <c r="AR1311" i="5"/>
  <c r="AS1311" i="5" s="1"/>
  <c r="AU1311" i="5"/>
  <c r="AV1311" i="5" s="1"/>
  <c r="AW1311" i="5"/>
  <c r="AX1311" i="5" s="1"/>
  <c r="AH1312" i="5"/>
  <c r="AL1312" i="5" s="1"/>
  <c r="AN1312" i="5"/>
  <c r="AO1312" i="5"/>
  <c r="AP1312" i="5"/>
  <c r="AR1312" i="5"/>
  <c r="AT1312" i="5" s="1"/>
  <c r="AU1312" i="5"/>
  <c r="AV1312" i="5" s="1"/>
  <c r="AW1312" i="5"/>
  <c r="AX1312" i="5" s="1"/>
  <c r="AH1313" i="5"/>
  <c r="AN1313" i="5"/>
  <c r="AO1313" i="5"/>
  <c r="AP1313" i="5"/>
  <c r="AR1313" i="5"/>
  <c r="AS1313" i="5" s="1"/>
  <c r="AU1313" i="5"/>
  <c r="AV1313" i="5" s="1"/>
  <c r="AW1313" i="5"/>
  <c r="AX1313" i="5" s="1"/>
  <c r="AH1314" i="5"/>
  <c r="AN1314" i="5"/>
  <c r="AO1314" i="5"/>
  <c r="AP1314" i="5"/>
  <c r="AR1314" i="5"/>
  <c r="AU1314" i="5"/>
  <c r="AV1314" i="5" s="1"/>
  <c r="AW1314" i="5"/>
  <c r="AX1314" i="5" s="1"/>
  <c r="AH1315" i="5"/>
  <c r="AN1315" i="5"/>
  <c r="AO1315" i="5"/>
  <c r="AP1315" i="5"/>
  <c r="AH1316" i="5"/>
  <c r="AL1316" i="5" s="1"/>
  <c r="AN1316" i="5"/>
  <c r="AO1316" i="5"/>
  <c r="AP1316" i="5"/>
  <c r="AJ1317" i="5"/>
  <c r="AK1317" i="5"/>
  <c r="AL1317" i="5"/>
  <c r="AN1317" i="5"/>
  <c r="AO1317" i="5"/>
  <c r="AP1317" i="5"/>
  <c r="AR1317" i="5"/>
  <c r="AT1317" i="5" s="1"/>
  <c r="AU1317" i="5"/>
  <c r="AV1317" i="5" s="1"/>
  <c r="AW1317" i="5"/>
  <c r="AX1317" i="5" s="1"/>
  <c r="AH1318" i="5"/>
  <c r="AN1318" i="5"/>
  <c r="AO1318" i="5"/>
  <c r="AP1318" i="5"/>
  <c r="AR1318" i="5"/>
  <c r="AU1318" i="5"/>
  <c r="AV1318" i="5" s="1"/>
  <c r="AW1318" i="5"/>
  <c r="AX1318" i="5" s="1"/>
  <c r="AH1319" i="5"/>
  <c r="AK1319" i="5" s="1"/>
  <c r="AN1319" i="5"/>
  <c r="AO1319" i="5"/>
  <c r="AP1319" i="5"/>
  <c r="AR1319" i="5"/>
  <c r="AU1319" i="5"/>
  <c r="AV1319" i="5" s="1"/>
  <c r="AW1319" i="5"/>
  <c r="AX1319" i="5" s="1"/>
  <c r="AH1320" i="5"/>
  <c r="AL1320" i="5" s="1"/>
  <c r="AN1320" i="5"/>
  <c r="AO1320" i="5"/>
  <c r="AP1320" i="5"/>
  <c r="AR1320" i="5"/>
  <c r="AS1320" i="5" s="1"/>
  <c r="AU1320" i="5"/>
  <c r="AV1320" i="5" s="1"/>
  <c r="AW1320" i="5"/>
  <c r="AX1320" i="5" s="1"/>
  <c r="AH1321" i="5"/>
  <c r="AJ1321" i="5" s="1"/>
  <c r="AN1321" i="5"/>
  <c r="AO1321" i="5"/>
  <c r="AP1321" i="5"/>
  <c r="AR1321" i="5"/>
  <c r="AU1321" i="5"/>
  <c r="AV1321" i="5" s="1"/>
  <c r="AW1321" i="5"/>
  <c r="AX1321" i="5" s="1"/>
  <c r="AH1322" i="5"/>
  <c r="AW1322" i="5" s="1"/>
  <c r="AX1322" i="5" s="1"/>
  <c r="AN1322" i="5"/>
  <c r="AO1322" i="5"/>
  <c r="AP1322" i="5"/>
  <c r="AH1323" i="5"/>
  <c r="AZ1323" i="5" s="1"/>
  <c r="AN1323" i="5"/>
  <c r="AO1323" i="5"/>
  <c r="AP1323" i="5"/>
  <c r="AJ1324" i="5"/>
  <c r="AK1324" i="5"/>
  <c r="AL1324" i="5"/>
  <c r="AN1324" i="5"/>
  <c r="AO1324" i="5"/>
  <c r="AP1324" i="5"/>
  <c r="AR1324" i="5"/>
  <c r="AU1324" i="5"/>
  <c r="AV1324" i="5" s="1"/>
  <c r="AW1324" i="5"/>
  <c r="AX1324" i="5" s="1"/>
  <c r="AH1325" i="5"/>
  <c r="AN1325" i="5"/>
  <c r="AO1325" i="5"/>
  <c r="AP1325" i="5"/>
  <c r="AR1325" i="5"/>
  <c r="AU1325" i="5"/>
  <c r="AV1325" i="5" s="1"/>
  <c r="AW1325" i="5"/>
  <c r="AX1325" i="5" s="1"/>
  <c r="AH1326" i="5"/>
  <c r="AN1326" i="5"/>
  <c r="AO1326" i="5"/>
  <c r="AP1326" i="5"/>
  <c r="AR1326" i="5"/>
  <c r="AU1326" i="5"/>
  <c r="AV1326" i="5" s="1"/>
  <c r="AW1326" i="5"/>
  <c r="AX1326" i="5" s="1"/>
  <c r="AH1327" i="5"/>
  <c r="AY1327" i="5" s="1"/>
  <c r="AN1327" i="5"/>
  <c r="AO1327" i="5"/>
  <c r="AP1327" i="5"/>
  <c r="AR1327" i="5"/>
  <c r="AS1327" i="5" s="1"/>
  <c r="AU1327" i="5"/>
  <c r="AV1327" i="5" s="1"/>
  <c r="AW1327" i="5"/>
  <c r="AX1327" i="5" s="1"/>
  <c r="AH1328" i="5"/>
  <c r="AN1328" i="5"/>
  <c r="AO1328" i="5"/>
  <c r="AP1328" i="5"/>
  <c r="AR1328" i="5"/>
  <c r="AU1328" i="5"/>
  <c r="AV1328" i="5" s="1"/>
  <c r="AW1328" i="5"/>
  <c r="AX1328" i="5" s="1"/>
  <c r="AH1329" i="5"/>
  <c r="AN1329" i="5"/>
  <c r="AO1329" i="5"/>
  <c r="AP1329" i="5"/>
  <c r="AH1330" i="5"/>
  <c r="AN1330" i="5"/>
  <c r="AO1330" i="5"/>
  <c r="AP1330" i="5"/>
  <c r="AJ1331" i="5"/>
  <c r="AK1331" i="5"/>
  <c r="AL1331" i="5"/>
  <c r="AN1331" i="5"/>
  <c r="AO1331" i="5"/>
  <c r="AP1331" i="5"/>
  <c r="AR1331" i="5"/>
  <c r="AU1331" i="5"/>
  <c r="AV1331" i="5" s="1"/>
  <c r="AW1331" i="5"/>
  <c r="AX1331" i="5" s="1"/>
  <c r="AH1332" i="5"/>
  <c r="AY1332" i="5" s="1"/>
  <c r="AN1332" i="5"/>
  <c r="AO1332" i="5"/>
  <c r="AP1332" i="5"/>
  <c r="AR1332" i="5"/>
  <c r="AS1332" i="5" s="1"/>
  <c r="AU1332" i="5"/>
  <c r="AV1332" i="5" s="1"/>
  <c r="AW1332" i="5"/>
  <c r="AX1332" i="5" s="1"/>
  <c r="AH1333" i="5"/>
  <c r="AN1333" i="5"/>
  <c r="AO1333" i="5"/>
  <c r="AP1333" i="5"/>
  <c r="AR1333" i="5"/>
  <c r="AS1333" i="5" s="1"/>
  <c r="AU1333" i="5"/>
  <c r="AV1333" i="5" s="1"/>
  <c r="AW1333" i="5"/>
  <c r="AX1333" i="5" s="1"/>
  <c r="AH1334" i="5"/>
  <c r="AN1334" i="5"/>
  <c r="AO1334" i="5"/>
  <c r="AP1334" i="5"/>
  <c r="AR1334" i="5"/>
  <c r="AU1334" i="5"/>
  <c r="AV1334" i="5" s="1"/>
  <c r="AW1334" i="5"/>
  <c r="AX1334" i="5" s="1"/>
  <c r="AH1335" i="5"/>
  <c r="AJ1335" i="5" s="1"/>
  <c r="AN1335" i="5"/>
  <c r="AO1335" i="5"/>
  <c r="AP1335" i="5"/>
  <c r="AR1335" i="5"/>
  <c r="AS1335" i="5" s="1"/>
  <c r="AU1335" i="5"/>
  <c r="AV1335" i="5" s="1"/>
  <c r="AW1335" i="5"/>
  <c r="AX1335" i="5" s="1"/>
  <c r="AH1336" i="5"/>
  <c r="AL1336" i="5" s="1"/>
  <c r="AN1336" i="5"/>
  <c r="AO1336" i="5"/>
  <c r="AP1336" i="5"/>
  <c r="AH1337" i="5"/>
  <c r="AW1337" i="5" s="1"/>
  <c r="AX1337" i="5" s="1"/>
  <c r="AN1337" i="5"/>
  <c r="AO1337" i="5"/>
  <c r="AP1337" i="5"/>
  <c r="AJ1338" i="5"/>
  <c r="AK1338" i="5"/>
  <c r="AL1338" i="5"/>
  <c r="AN1338" i="5"/>
  <c r="AO1338" i="5"/>
  <c r="AP1338" i="5"/>
  <c r="AR1338" i="5"/>
  <c r="AT1338" i="5" s="1"/>
  <c r="AU1338" i="5"/>
  <c r="AV1338" i="5" s="1"/>
  <c r="AW1338" i="5"/>
  <c r="AX1338" i="5" s="1"/>
  <c r="AH1339" i="5"/>
  <c r="AJ1339" i="5" s="1"/>
  <c r="AN1339" i="5"/>
  <c r="AO1339" i="5"/>
  <c r="AP1339" i="5"/>
  <c r="AR1339" i="5"/>
  <c r="AS1339" i="5" s="1"/>
  <c r="AU1339" i="5"/>
  <c r="AV1339" i="5" s="1"/>
  <c r="AW1339" i="5"/>
  <c r="AX1339" i="5" s="1"/>
  <c r="AH1340" i="5"/>
  <c r="AN1340" i="5"/>
  <c r="AO1340" i="5"/>
  <c r="AP1340" i="5"/>
  <c r="AR1340" i="5"/>
  <c r="AU1340" i="5"/>
  <c r="AV1340" i="5" s="1"/>
  <c r="AW1340" i="5"/>
  <c r="AX1340" i="5" s="1"/>
  <c r="AH1341" i="5"/>
  <c r="AL1341" i="5" s="1"/>
  <c r="AN1341" i="5"/>
  <c r="AO1341" i="5"/>
  <c r="AP1341" i="5"/>
  <c r="AR1341" i="5"/>
  <c r="AU1341" i="5"/>
  <c r="AV1341" i="5" s="1"/>
  <c r="AW1341" i="5"/>
  <c r="AX1341" i="5" s="1"/>
  <c r="AH1342" i="5"/>
  <c r="AK1342" i="5" s="1"/>
  <c r="AN1342" i="5"/>
  <c r="AO1342" i="5"/>
  <c r="AP1342" i="5"/>
  <c r="AR1342" i="5"/>
  <c r="AU1342" i="5"/>
  <c r="AV1342" i="5" s="1"/>
  <c r="AW1342" i="5"/>
  <c r="AX1342" i="5" s="1"/>
  <c r="AH1343" i="5"/>
  <c r="AU1343" i="5" s="1"/>
  <c r="AV1343" i="5" s="1"/>
  <c r="AN1343" i="5"/>
  <c r="AO1343" i="5"/>
  <c r="AP1343" i="5"/>
  <c r="AH1344" i="5"/>
  <c r="AZ1344" i="5" s="1"/>
  <c r="AN1344" i="5"/>
  <c r="AO1344" i="5"/>
  <c r="AP1344" i="5"/>
  <c r="AJ1345" i="5"/>
  <c r="AK1345" i="5"/>
  <c r="AL1345" i="5"/>
  <c r="AN1345" i="5"/>
  <c r="AO1345" i="5"/>
  <c r="AP1345" i="5"/>
  <c r="AR1345" i="5"/>
  <c r="AU1345" i="5"/>
  <c r="AV1345" i="5" s="1"/>
  <c r="AW1345" i="5"/>
  <c r="AX1345" i="5" s="1"/>
  <c r="AH1346" i="5"/>
  <c r="AN1346" i="5"/>
  <c r="AO1346" i="5"/>
  <c r="AP1346" i="5"/>
  <c r="AR1346" i="5"/>
  <c r="AU1346" i="5"/>
  <c r="AV1346" i="5" s="1"/>
  <c r="AW1346" i="5"/>
  <c r="AX1346" i="5" s="1"/>
  <c r="AH1347" i="5"/>
  <c r="AZ1347" i="5" s="1"/>
  <c r="AN1347" i="5"/>
  <c r="AO1347" i="5"/>
  <c r="AP1347" i="5"/>
  <c r="AR1347" i="5"/>
  <c r="AS1347" i="5" s="1"/>
  <c r="AU1347" i="5"/>
  <c r="AV1347" i="5" s="1"/>
  <c r="AW1347" i="5"/>
  <c r="AX1347" i="5" s="1"/>
  <c r="AH1348" i="5"/>
  <c r="AK1348" i="5" s="1"/>
  <c r="AN1348" i="5"/>
  <c r="AO1348" i="5"/>
  <c r="AP1348" i="5"/>
  <c r="AR1348" i="5"/>
  <c r="AS1348" i="5" s="1"/>
  <c r="AU1348" i="5"/>
  <c r="AV1348" i="5" s="1"/>
  <c r="AW1348" i="5"/>
  <c r="AX1348" i="5" s="1"/>
  <c r="AH1349" i="5"/>
  <c r="AJ1349" i="5" s="1"/>
  <c r="AN1349" i="5"/>
  <c r="AO1349" i="5"/>
  <c r="AP1349" i="5"/>
  <c r="AR1349" i="5"/>
  <c r="AS1349" i="5" s="1"/>
  <c r="AU1349" i="5"/>
  <c r="AV1349" i="5" s="1"/>
  <c r="AW1349" i="5"/>
  <c r="AX1349" i="5" s="1"/>
  <c r="AH1350" i="5"/>
  <c r="AN1350" i="5"/>
  <c r="AO1350" i="5"/>
  <c r="AP1350" i="5"/>
  <c r="AH1351" i="5"/>
  <c r="AN1351" i="5"/>
  <c r="AO1351" i="5"/>
  <c r="AP1351" i="5"/>
  <c r="AJ1352" i="5"/>
  <c r="AK1352" i="5"/>
  <c r="AL1352" i="5"/>
  <c r="AN1352" i="5"/>
  <c r="AO1352" i="5"/>
  <c r="AP1352" i="5"/>
  <c r="AR1352" i="5"/>
  <c r="AS1352" i="5" s="1"/>
  <c r="AU1352" i="5"/>
  <c r="AV1352" i="5" s="1"/>
  <c r="AW1352" i="5"/>
  <c r="AX1352" i="5" s="1"/>
  <c r="AH1353" i="5"/>
  <c r="AN1353" i="5"/>
  <c r="AO1353" i="5"/>
  <c r="AP1353" i="5"/>
  <c r="AR1353" i="5"/>
  <c r="AT1353" i="5" s="1"/>
  <c r="AU1353" i="5"/>
  <c r="AV1353" i="5" s="1"/>
  <c r="AW1353" i="5"/>
  <c r="AX1353" i="5" s="1"/>
  <c r="AH1354" i="5"/>
  <c r="AN1354" i="5"/>
  <c r="AO1354" i="5"/>
  <c r="AP1354" i="5"/>
  <c r="AR1354" i="5"/>
  <c r="AU1354" i="5"/>
  <c r="AV1354" i="5" s="1"/>
  <c r="AW1354" i="5"/>
  <c r="AX1354" i="5" s="1"/>
  <c r="AH1355" i="5"/>
  <c r="AZ1355" i="5" s="1"/>
  <c r="AN1355" i="5"/>
  <c r="AO1355" i="5"/>
  <c r="AP1355" i="5"/>
  <c r="AR1355" i="5"/>
  <c r="AS1355" i="5" s="1"/>
  <c r="AU1355" i="5"/>
  <c r="AV1355" i="5" s="1"/>
  <c r="AW1355" i="5"/>
  <c r="AX1355" i="5" s="1"/>
  <c r="AH1356" i="5"/>
  <c r="AN1356" i="5"/>
  <c r="AO1356" i="5"/>
  <c r="AP1356" i="5"/>
  <c r="AR1356" i="5"/>
  <c r="AS1356" i="5" s="1"/>
  <c r="AU1356" i="5"/>
  <c r="AV1356" i="5" s="1"/>
  <c r="AW1356" i="5"/>
  <c r="AX1356" i="5" s="1"/>
  <c r="AH1357" i="5"/>
  <c r="AR1357" i="5" s="1"/>
  <c r="AT1357" i="5" s="1"/>
  <c r="AN1357" i="5"/>
  <c r="AO1357" i="5"/>
  <c r="AP1357" i="5"/>
  <c r="AH1358" i="5"/>
  <c r="AN1358" i="5"/>
  <c r="AO1358" i="5"/>
  <c r="AP1358" i="5"/>
  <c r="AJ1359" i="5"/>
  <c r="AK1359" i="5"/>
  <c r="AL1359" i="5"/>
  <c r="AN1359" i="5"/>
  <c r="AO1359" i="5"/>
  <c r="AP1359" i="5"/>
  <c r="AR1359" i="5"/>
  <c r="AS1359" i="5" s="1"/>
  <c r="AU1359" i="5"/>
  <c r="AV1359" i="5" s="1"/>
  <c r="AW1359" i="5"/>
  <c r="AX1359" i="5" s="1"/>
  <c r="AH1360" i="5"/>
  <c r="AL1360" i="5" s="1"/>
  <c r="AN1360" i="5"/>
  <c r="AO1360" i="5"/>
  <c r="AP1360" i="5"/>
  <c r="AR1360" i="5"/>
  <c r="AT1360" i="5" s="1"/>
  <c r="AU1360" i="5"/>
  <c r="AV1360" i="5" s="1"/>
  <c r="AW1360" i="5"/>
  <c r="AX1360" i="5" s="1"/>
  <c r="AH1361" i="5"/>
  <c r="AJ1361" i="5" s="1"/>
  <c r="AN1361" i="5"/>
  <c r="AO1361" i="5"/>
  <c r="AP1361" i="5"/>
  <c r="AR1361" i="5"/>
  <c r="AU1361" i="5"/>
  <c r="AV1361" i="5" s="1"/>
  <c r="AW1361" i="5"/>
  <c r="AX1361" i="5" s="1"/>
  <c r="AH1362" i="5"/>
  <c r="AJ1362" i="5" s="1"/>
  <c r="AN1362" i="5"/>
  <c r="AO1362" i="5"/>
  <c r="AP1362" i="5"/>
  <c r="AR1362" i="5"/>
  <c r="AU1362" i="5"/>
  <c r="AV1362" i="5" s="1"/>
  <c r="AW1362" i="5"/>
  <c r="AX1362" i="5" s="1"/>
  <c r="AH1363" i="5"/>
  <c r="AZ1363" i="5" s="1"/>
  <c r="AN1363" i="5"/>
  <c r="AO1363" i="5"/>
  <c r="AP1363" i="5"/>
  <c r="AR1363" i="5"/>
  <c r="AU1363" i="5"/>
  <c r="AV1363" i="5" s="1"/>
  <c r="AW1363" i="5"/>
  <c r="AX1363" i="5" s="1"/>
  <c r="AH1364" i="5"/>
  <c r="AN1364" i="5"/>
  <c r="AO1364" i="5"/>
  <c r="AP1364" i="5"/>
  <c r="AH1365" i="5"/>
  <c r="AZ1365" i="5" s="1"/>
  <c r="AN1365" i="5"/>
  <c r="AO1365" i="5"/>
  <c r="AP1365" i="5"/>
  <c r="AJ1366" i="5"/>
  <c r="AK1366" i="5"/>
  <c r="AL1366" i="5"/>
  <c r="AN1366" i="5"/>
  <c r="AO1366" i="5"/>
  <c r="AP1366" i="5"/>
  <c r="AR1366" i="5"/>
  <c r="AU1366" i="5"/>
  <c r="AV1366" i="5" s="1"/>
  <c r="AW1366" i="5"/>
  <c r="AX1366" i="5" s="1"/>
  <c r="AH1367" i="5"/>
  <c r="AI1367" i="5" s="1"/>
  <c r="AN1367" i="5"/>
  <c r="AO1367" i="5"/>
  <c r="AP1367" i="5"/>
  <c r="AR1367" i="5"/>
  <c r="AU1367" i="5"/>
  <c r="AV1367" i="5" s="1"/>
  <c r="AW1367" i="5"/>
  <c r="AX1367" i="5" s="1"/>
  <c r="AH1368" i="5"/>
  <c r="AN1368" i="5"/>
  <c r="AO1368" i="5"/>
  <c r="AP1368" i="5"/>
  <c r="AR1368" i="5"/>
  <c r="AT1368" i="5" s="1"/>
  <c r="AU1368" i="5"/>
  <c r="AV1368" i="5" s="1"/>
  <c r="AW1368" i="5"/>
  <c r="AX1368" i="5" s="1"/>
  <c r="AH1369" i="5"/>
  <c r="AN1369" i="5"/>
  <c r="AO1369" i="5"/>
  <c r="AP1369" i="5"/>
  <c r="AR1369" i="5"/>
  <c r="AT1369" i="5" s="1"/>
  <c r="AU1369" i="5"/>
  <c r="AV1369" i="5" s="1"/>
  <c r="AW1369" i="5"/>
  <c r="AX1369" i="5" s="1"/>
  <c r="AH1370" i="5"/>
  <c r="AN1370" i="5"/>
  <c r="AO1370" i="5"/>
  <c r="AP1370" i="5"/>
  <c r="AR1370" i="5"/>
  <c r="AU1370" i="5"/>
  <c r="AV1370" i="5" s="1"/>
  <c r="AW1370" i="5"/>
  <c r="AX1370" i="5" s="1"/>
  <c r="AH1371" i="5"/>
  <c r="AZ1371" i="5" s="1"/>
  <c r="AN1371" i="5"/>
  <c r="AO1371" i="5"/>
  <c r="AP1371" i="5"/>
  <c r="AH1372" i="5"/>
  <c r="AL1372" i="5" s="1"/>
  <c r="AN1372" i="5"/>
  <c r="AO1372" i="5"/>
  <c r="AP1372" i="5"/>
  <c r="AJ1373" i="5"/>
  <c r="AK1373" i="5"/>
  <c r="AL1373" i="5"/>
  <c r="AN1373" i="5"/>
  <c r="AO1373" i="5"/>
  <c r="AP1373" i="5"/>
  <c r="AR1373" i="5"/>
  <c r="AT1373" i="5" s="1"/>
  <c r="AU1373" i="5"/>
  <c r="AV1373" i="5" s="1"/>
  <c r="AW1373" i="5"/>
  <c r="AX1373" i="5" s="1"/>
  <c r="AH1374" i="5"/>
  <c r="AN1374" i="5"/>
  <c r="AO1374" i="5"/>
  <c r="AP1374" i="5"/>
  <c r="AR1374" i="5"/>
  <c r="AU1374" i="5"/>
  <c r="AV1374" i="5" s="1"/>
  <c r="AW1374" i="5"/>
  <c r="AX1374" i="5" s="1"/>
  <c r="AH1375" i="5"/>
  <c r="AK1375" i="5" s="1"/>
  <c r="AN1375" i="5"/>
  <c r="AO1375" i="5"/>
  <c r="AP1375" i="5"/>
  <c r="AR1375" i="5"/>
  <c r="AU1375" i="5"/>
  <c r="AV1375" i="5" s="1"/>
  <c r="AW1375" i="5"/>
  <c r="AX1375" i="5" s="1"/>
  <c r="AH1376" i="5"/>
  <c r="AY1376" i="5" s="1"/>
  <c r="AN1376" i="5"/>
  <c r="AO1376" i="5"/>
  <c r="AP1376" i="5"/>
  <c r="AR1376" i="5"/>
  <c r="AU1376" i="5"/>
  <c r="AV1376" i="5" s="1"/>
  <c r="AW1376" i="5"/>
  <c r="AX1376" i="5" s="1"/>
  <c r="AH1377" i="5"/>
  <c r="AZ1377" i="5" s="1"/>
  <c r="AN1377" i="5"/>
  <c r="AO1377" i="5"/>
  <c r="AP1377" i="5"/>
  <c r="AR1377" i="5"/>
  <c r="AU1377" i="5"/>
  <c r="AV1377" i="5" s="1"/>
  <c r="AW1377" i="5"/>
  <c r="AX1377" i="5" s="1"/>
  <c r="AH1378" i="5"/>
  <c r="AN1378" i="5"/>
  <c r="AO1378" i="5"/>
  <c r="AP1378" i="5"/>
  <c r="AH1379" i="5"/>
  <c r="AN1379" i="5"/>
  <c r="AO1379" i="5"/>
  <c r="AP1379" i="5"/>
  <c r="AJ1380" i="5"/>
  <c r="AK1380" i="5"/>
  <c r="AL1380" i="5"/>
  <c r="AN1380" i="5"/>
  <c r="AO1380" i="5"/>
  <c r="AP1380" i="5"/>
  <c r="AR1380" i="5"/>
  <c r="AU1380" i="5"/>
  <c r="AV1380" i="5" s="1"/>
  <c r="AW1380" i="5"/>
  <c r="AX1380" i="5" s="1"/>
  <c r="AH1381" i="5"/>
  <c r="AN1381" i="5"/>
  <c r="AO1381" i="5"/>
  <c r="AP1381" i="5"/>
  <c r="AR1381" i="5"/>
  <c r="AU1381" i="5"/>
  <c r="AV1381" i="5" s="1"/>
  <c r="AW1381" i="5"/>
  <c r="AX1381" i="5" s="1"/>
  <c r="AH1382" i="5"/>
  <c r="AZ1382" i="5" s="1"/>
  <c r="AN1382" i="5"/>
  <c r="AO1382" i="5"/>
  <c r="AP1382" i="5"/>
  <c r="AR1382" i="5"/>
  <c r="AS1382" i="5" s="1"/>
  <c r="AU1382" i="5"/>
  <c r="AV1382" i="5" s="1"/>
  <c r="AW1382" i="5"/>
  <c r="AX1382" i="5" s="1"/>
  <c r="AH1383" i="5"/>
  <c r="AL1383" i="5" s="1"/>
  <c r="AN1383" i="5"/>
  <c r="AO1383" i="5"/>
  <c r="AP1383" i="5"/>
  <c r="AR1383" i="5"/>
  <c r="AT1383" i="5" s="1"/>
  <c r="AU1383" i="5"/>
  <c r="AV1383" i="5" s="1"/>
  <c r="AW1383" i="5"/>
  <c r="AX1383" i="5" s="1"/>
  <c r="AH1384" i="5"/>
  <c r="AN1384" i="5"/>
  <c r="AO1384" i="5"/>
  <c r="AP1384" i="5"/>
  <c r="AR1384" i="5"/>
  <c r="AS1384" i="5" s="1"/>
  <c r="AU1384" i="5"/>
  <c r="AV1384" i="5" s="1"/>
  <c r="AW1384" i="5"/>
  <c r="AX1384" i="5" s="1"/>
  <c r="AH1385" i="5"/>
  <c r="AN1385" i="5"/>
  <c r="AO1385" i="5"/>
  <c r="AP1385" i="5"/>
  <c r="AH1386" i="5"/>
  <c r="AK1386" i="5" s="1"/>
  <c r="AN1386" i="5"/>
  <c r="AO1386" i="5"/>
  <c r="AP1386" i="5"/>
  <c r="AJ1387" i="5"/>
  <c r="AK1387" i="5"/>
  <c r="AL1387" i="5"/>
  <c r="AN1387" i="5"/>
  <c r="AO1387" i="5"/>
  <c r="AP1387" i="5"/>
  <c r="AR1387" i="5"/>
  <c r="AT1387" i="5" s="1"/>
  <c r="AU1387" i="5"/>
  <c r="AV1387" i="5" s="1"/>
  <c r="AW1387" i="5"/>
  <c r="AX1387" i="5" s="1"/>
  <c r="AH1388" i="5"/>
  <c r="AK1388" i="5" s="1"/>
  <c r="AN1388" i="5"/>
  <c r="AO1388" i="5"/>
  <c r="AP1388" i="5"/>
  <c r="AR1388" i="5"/>
  <c r="AT1388" i="5" s="1"/>
  <c r="AU1388" i="5"/>
  <c r="AV1388" i="5" s="1"/>
  <c r="AW1388" i="5"/>
  <c r="AX1388" i="5" s="1"/>
  <c r="AH1389" i="5"/>
  <c r="AN1389" i="5"/>
  <c r="AO1389" i="5"/>
  <c r="AP1389" i="5"/>
  <c r="AR1389" i="5"/>
  <c r="AT1389" i="5" s="1"/>
  <c r="AU1389" i="5"/>
  <c r="AV1389" i="5" s="1"/>
  <c r="AW1389" i="5"/>
  <c r="AX1389" i="5" s="1"/>
  <c r="AH1390" i="5"/>
  <c r="AN1390" i="5"/>
  <c r="AO1390" i="5"/>
  <c r="AP1390" i="5"/>
  <c r="AR1390" i="5"/>
  <c r="AT1390" i="5" s="1"/>
  <c r="AU1390" i="5"/>
  <c r="AV1390" i="5" s="1"/>
  <c r="AW1390" i="5"/>
  <c r="AX1390" i="5" s="1"/>
  <c r="AH1391" i="5"/>
  <c r="AN1391" i="5"/>
  <c r="AO1391" i="5"/>
  <c r="AP1391" i="5"/>
  <c r="AR1391" i="5"/>
  <c r="AU1391" i="5"/>
  <c r="AV1391" i="5" s="1"/>
  <c r="AW1391" i="5"/>
  <c r="AX1391" i="5" s="1"/>
  <c r="AH1392" i="5"/>
  <c r="AJ1392" i="5" s="1"/>
  <c r="AN1392" i="5"/>
  <c r="AO1392" i="5"/>
  <c r="AP1392" i="5"/>
  <c r="AH1393" i="5"/>
  <c r="AN1393" i="5"/>
  <c r="AO1393" i="5"/>
  <c r="AP1393" i="5"/>
  <c r="AJ1394" i="5"/>
  <c r="AK1394" i="5"/>
  <c r="AL1394" i="5"/>
  <c r="AN1394" i="5"/>
  <c r="AO1394" i="5"/>
  <c r="AP1394" i="5"/>
  <c r="AR1394" i="5"/>
  <c r="AS1394" i="5" s="1"/>
  <c r="AU1394" i="5"/>
  <c r="AV1394" i="5" s="1"/>
  <c r="AW1394" i="5"/>
  <c r="AX1394" i="5" s="1"/>
  <c r="AH1395" i="5"/>
  <c r="AZ1395" i="5" s="1"/>
  <c r="AN1395" i="5"/>
  <c r="AO1395" i="5"/>
  <c r="AP1395" i="5"/>
  <c r="AR1395" i="5"/>
  <c r="AU1395" i="5"/>
  <c r="AV1395" i="5" s="1"/>
  <c r="AW1395" i="5"/>
  <c r="AX1395" i="5" s="1"/>
  <c r="AH1396" i="5"/>
  <c r="AN1396" i="5"/>
  <c r="AO1396" i="5"/>
  <c r="AP1396" i="5"/>
  <c r="AR1396" i="5"/>
  <c r="AT1396" i="5" s="1"/>
  <c r="AU1396" i="5"/>
  <c r="AV1396" i="5" s="1"/>
  <c r="AW1396" i="5"/>
  <c r="AX1396" i="5" s="1"/>
  <c r="AH1397" i="5"/>
  <c r="AK1397" i="5" s="1"/>
  <c r="AN1397" i="5"/>
  <c r="AO1397" i="5"/>
  <c r="AP1397" i="5"/>
  <c r="AR1397" i="5"/>
  <c r="AU1397" i="5"/>
  <c r="AV1397" i="5" s="1"/>
  <c r="AW1397" i="5"/>
  <c r="AX1397" i="5" s="1"/>
  <c r="AH1398" i="5"/>
  <c r="AJ1398" i="5" s="1"/>
  <c r="AN1398" i="5"/>
  <c r="AO1398" i="5"/>
  <c r="AP1398" i="5"/>
  <c r="AR1398" i="5"/>
  <c r="AU1398" i="5"/>
  <c r="AV1398" i="5" s="1"/>
  <c r="AW1398" i="5"/>
  <c r="AX1398" i="5" s="1"/>
  <c r="AH1399" i="5"/>
  <c r="AN1399" i="5"/>
  <c r="AO1399" i="5"/>
  <c r="AP1399" i="5"/>
  <c r="AH1400" i="5"/>
  <c r="AW1400" i="5" s="1"/>
  <c r="AX1400" i="5" s="1"/>
  <c r="AN1400" i="5"/>
  <c r="AO1400" i="5"/>
  <c r="AP1400" i="5"/>
  <c r="AJ1401" i="5"/>
  <c r="AK1401" i="5"/>
  <c r="AL1401" i="5"/>
  <c r="AN1401" i="5"/>
  <c r="AO1401" i="5"/>
  <c r="AP1401" i="5"/>
  <c r="AR1401" i="5"/>
  <c r="AU1401" i="5"/>
  <c r="AV1401" i="5" s="1"/>
  <c r="AW1401" i="5"/>
  <c r="AX1401" i="5" s="1"/>
  <c r="AH1402" i="5"/>
  <c r="AN1402" i="5"/>
  <c r="AO1402" i="5"/>
  <c r="AP1402" i="5"/>
  <c r="AR1402" i="5"/>
  <c r="AU1402" i="5"/>
  <c r="AV1402" i="5" s="1"/>
  <c r="AW1402" i="5"/>
  <c r="AX1402" i="5" s="1"/>
  <c r="AH1403" i="5"/>
  <c r="AJ1403" i="5" s="1"/>
  <c r="AN1403" i="5"/>
  <c r="AO1403" i="5"/>
  <c r="AP1403" i="5"/>
  <c r="AR1403" i="5"/>
  <c r="AT1403" i="5" s="1"/>
  <c r="AU1403" i="5"/>
  <c r="AV1403" i="5" s="1"/>
  <c r="AW1403" i="5"/>
  <c r="AX1403" i="5" s="1"/>
  <c r="AH1404" i="5"/>
  <c r="AN1404" i="5"/>
  <c r="AO1404" i="5"/>
  <c r="AP1404" i="5"/>
  <c r="AR1404" i="5"/>
  <c r="AS1404" i="5" s="1"/>
  <c r="AU1404" i="5"/>
  <c r="AV1404" i="5" s="1"/>
  <c r="AW1404" i="5"/>
  <c r="AX1404" i="5" s="1"/>
  <c r="AH1405" i="5"/>
  <c r="AN1405" i="5"/>
  <c r="AO1405" i="5"/>
  <c r="AP1405" i="5"/>
  <c r="AR1405" i="5"/>
  <c r="AS1405" i="5" s="1"/>
  <c r="AU1405" i="5"/>
  <c r="AV1405" i="5" s="1"/>
  <c r="AW1405" i="5"/>
  <c r="AX1405" i="5" s="1"/>
  <c r="AH1406" i="5"/>
  <c r="AN1406" i="5"/>
  <c r="AO1406" i="5"/>
  <c r="AP1406" i="5"/>
  <c r="AH1407" i="5"/>
  <c r="AN1407" i="5"/>
  <c r="AO1407" i="5"/>
  <c r="AP1407" i="5"/>
  <c r="AJ1408" i="5"/>
  <c r="AK1408" i="5"/>
  <c r="AL1408" i="5"/>
  <c r="AN1408" i="5"/>
  <c r="AO1408" i="5"/>
  <c r="AP1408" i="5"/>
  <c r="AR1408" i="5"/>
  <c r="AT1408" i="5" s="1"/>
  <c r="AU1408" i="5"/>
  <c r="AV1408" i="5" s="1"/>
  <c r="AW1408" i="5"/>
  <c r="AX1408" i="5" s="1"/>
  <c r="AH1409" i="5"/>
  <c r="AN1409" i="5"/>
  <c r="AO1409" i="5"/>
  <c r="AP1409" i="5"/>
  <c r="AR1409" i="5"/>
  <c r="AU1409" i="5"/>
  <c r="AV1409" i="5" s="1"/>
  <c r="AW1409" i="5"/>
  <c r="AX1409" i="5" s="1"/>
  <c r="AH1410" i="5"/>
  <c r="AL1410" i="5" s="1"/>
  <c r="AN1410" i="5"/>
  <c r="AO1410" i="5"/>
  <c r="AP1410" i="5"/>
  <c r="AR1410" i="5"/>
  <c r="AU1410" i="5"/>
  <c r="AV1410" i="5" s="1"/>
  <c r="AW1410" i="5"/>
  <c r="AX1410" i="5" s="1"/>
  <c r="AH1411" i="5"/>
  <c r="AN1411" i="5"/>
  <c r="AO1411" i="5"/>
  <c r="AP1411" i="5"/>
  <c r="AR1411" i="5"/>
  <c r="AU1411" i="5"/>
  <c r="AV1411" i="5" s="1"/>
  <c r="AW1411" i="5"/>
  <c r="AX1411" i="5" s="1"/>
  <c r="AH1412" i="5"/>
  <c r="AJ1412" i="5" s="1"/>
  <c r="AN1412" i="5"/>
  <c r="AO1412" i="5"/>
  <c r="AP1412" i="5"/>
  <c r="AR1412" i="5"/>
  <c r="AU1412" i="5"/>
  <c r="AV1412" i="5" s="1"/>
  <c r="AW1412" i="5"/>
  <c r="AX1412" i="5" s="1"/>
  <c r="AH1413" i="5"/>
  <c r="AN1413" i="5"/>
  <c r="AO1413" i="5"/>
  <c r="AP1413" i="5"/>
  <c r="AH1414" i="5"/>
  <c r="AJ1414" i="5" s="1"/>
  <c r="AN1414" i="5"/>
  <c r="AO1414" i="5"/>
  <c r="AP1414" i="5"/>
  <c r="AJ1415" i="5"/>
  <c r="AK1415" i="5"/>
  <c r="AL1415" i="5"/>
  <c r="AN1415" i="5"/>
  <c r="AO1415" i="5"/>
  <c r="AP1415" i="5"/>
  <c r="AR1415" i="5"/>
  <c r="AT1415" i="5" s="1"/>
  <c r="AU1415" i="5"/>
  <c r="AV1415" i="5" s="1"/>
  <c r="AW1415" i="5"/>
  <c r="AX1415" i="5" s="1"/>
  <c r="AH1416" i="5"/>
  <c r="AJ1416" i="5" s="1"/>
  <c r="AN1416" i="5"/>
  <c r="AO1416" i="5"/>
  <c r="AP1416" i="5"/>
  <c r="AR1416" i="5"/>
  <c r="AT1416" i="5" s="1"/>
  <c r="AU1416" i="5"/>
  <c r="AV1416" i="5" s="1"/>
  <c r="AW1416" i="5"/>
  <c r="AX1416" i="5" s="1"/>
  <c r="AH1417" i="5"/>
  <c r="AN1417" i="5"/>
  <c r="AO1417" i="5"/>
  <c r="AP1417" i="5"/>
  <c r="AR1417" i="5"/>
  <c r="AU1417" i="5"/>
  <c r="AV1417" i="5" s="1"/>
  <c r="AW1417" i="5"/>
  <c r="AX1417" i="5" s="1"/>
  <c r="AH1418" i="5"/>
  <c r="AN1418" i="5"/>
  <c r="AO1418" i="5"/>
  <c r="AP1418" i="5"/>
  <c r="AR1418" i="5"/>
  <c r="AU1418" i="5"/>
  <c r="AV1418" i="5" s="1"/>
  <c r="AW1418" i="5"/>
  <c r="AX1418" i="5" s="1"/>
  <c r="AH1419" i="5"/>
  <c r="AK1419" i="5" s="1"/>
  <c r="AN1419" i="5"/>
  <c r="AO1419" i="5"/>
  <c r="AP1419" i="5"/>
  <c r="AR1419" i="5"/>
  <c r="AU1419" i="5"/>
  <c r="AV1419" i="5" s="1"/>
  <c r="AW1419" i="5"/>
  <c r="AX1419" i="5" s="1"/>
  <c r="AH1420" i="5"/>
  <c r="AR1420" i="5" s="1"/>
  <c r="AS1420" i="5" s="1"/>
  <c r="AN1420" i="5"/>
  <c r="AO1420" i="5"/>
  <c r="AP1420" i="5"/>
  <c r="AH1421" i="5"/>
  <c r="AL1421" i="5" s="1"/>
  <c r="AN1421" i="5"/>
  <c r="AO1421" i="5"/>
  <c r="AP1421" i="5"/>
  <c r="AJ1422" i="5"/>
  <c r="AK1422" i="5"/>
  <c r="AL1422" i="5"/>
  <c r="AN1422" i="5"/>
  <c r="AO1422" i="5"/>
  <c r="AP1422" i="5"/>
  <c r="AR1422" i="5"/>
  <c r="AU1422" i="5"/>
  <c r="AV1422" i="5" s="1"/>
  <c r="AW1422" i="5"/>
  <c r="AX1422" i="5" s="1"/>
  <c r="AH1423" i="5"/>
  <c r="AI1423" i="5" s="1"/>
  <c r="AN1423" i="5"/>
  <c r="AO1423" i="5"/>
  <c r="AP1423" i="5"/>
  <c r="AR1423" i="5"/>
  <c r="AT1423" i="5" s="1"/>
  <c r="AU1423" i="5"/>
  <c r="AV1423" i="5" s="1"/>
  <c r="AW1423" i="5"/>
  <c r="AX1423" i="5" s="1"/>
  <c r="AH1424" i="5"/>
  <c r="AK1424" i="5" s="1"/>
  <c r="AN1424" i="5"/>
  <c r="AO1424" i="5"/>
  <c r="AP1424" i="5"/>
  <c r="AR1424" i="5"/>
  <c r="AU1424" i="5"/>
  <c r="AV1424" i="5" s="1"/>
  <c r="AW1424" i="5"/>
  <c r="AX1424" i="5" s="1"/>
  <c r="AH1425" i="5"/>
  <c r="AN1425" i="5"/>
  <c r="AO1425" i="5"/>
  <c r="AP1425" i="5"/>
  <c r="AR1425" i="5"/>
  <c r="AT1425" i="5" s="1"/>
  <c r="AU1425" i="5"/>
  <c r="AV1425" i="5" s="1"/>
  <c r="AW1425" i="5"/>
  <c r="AX1425" i="5" s="1"/>
  <c r="AH1426" i="5"/>
  <c r="AK1426" i="5" s="1"/>
  <c r="AN1426" i="5"/>
  <c r="AO1426" i="5"/>
  <c r="AP1426" i="5"/>
  <c r="AR1426" i="5"/>
  <c r="AS1426" i="5" s="1"/>
  <c r="AU1426" i="5"/>
  <c r="AV1426" i="5" s="1"/>
  <c r="AW1426" i="5"/>
  <c r="AX1426" i="5" s="1"/>
  <c r="AH1427" i="5"/>
  <c r="AL1427" i="5" s="1"/>
  <c r="AN1427" i="5"/>
  <c r="AO1427" i="5"/>
  <c r="AP1427" i="5"/>
  <c r="AH1428" i="5"/>
  <c r="AI1429" i="5" s="1"/>
  <c r="AN1428" i="5"/>
  <c r="AO1428" i="5"/>
  <c r="AP1428" i="5"/>
  <c r="AJ1429" i="5"/>
  <c r="AK1429" i="5"/>
  <c r="AL1429" i="5"/>
  <c r="AN1429" i="5"/>
  <c r="AO1429" i="5"/>
  <c r="AP1429" i="5"/>
  <c r="AR1429" i="5"/>
  <c r="AS1429" i="5" s="1"/>
  <c r="AU1429" i="5"/>
  <c r="AV1429" i="5" s="1"/>
  <c r="AW1429" i="5"/>
  <c r="AX1429" i="5" s="1"/>
  <c r="AH1430" i="5"/>
  <c r="AY1430" i="5" s="1"/>
  <c r="AN1430" i="5"/>
  <c r="AO1430" i="5"/>
  <c r="AP1430" i="5"/>
  <c r="AR1430" i="5"/>
  <c r="AT1430" i="5" s="1"/>
  <c r="AU1430" i="5"/>
  <c r="AV1430" i="5" s="1"/>
  <c r="AW1430" i="5"/>
  <c r="AX1430" i="5" s="1"/>
  <c r="AH1431" i="5"/>
  <c r="AL1431" i="5" s="1"/>
  <c r="AN1431" i="5"/>
  <c r="AO1431" i="5"/>
  <c r="AP1431" i="5"/>
  <c r="AR1431" i="5"/>
  <c r="AS1431" i="5" s="1"/>
  <c r="AU1431" i="5"/>
  <c r="AV1431" i="5" s="1"/>
  <c r="AW1431" i="5"/>
  <c r="AX1431" i="5" s="1"/>
  <c r="AH1432" i="5"/>
  <c r="AL1432" i="5" s="1"/>
  <c r="AN1432" i="5"/>
  <c r="AO1432" i="5"/>
  <c r="AP1432" i="5"/>
  <c r="AR1432" i="5"/>
  <c r="AT1432" i="5" s="1"/>
  <c r="AU1432" i="5"/>
  <c r="AV1432" i="5" s="1"/>
  <c r="AW1432" i="5"/>
  <c r="AX1432" i="5" s="1"/>
  <c r="AH1433" i="5"/>
  <c r="AK1433" i="5" s="1"/>
  <c r="AN1433" i="5"/>
  <c r="AO1433" i="5"/>
  <c r="AP1433" i="5"/>
  <c r="AR1433" i="5"/>
  <c r="AT1433" i="5" s="1"/>
  <c r="AU1433" i="5"/>
  <c r="AV1433" i="5" s="1"/>
  <c r="AW1433" i="5"/>
  <c r="AX1433" i="5" s="1"/>
  <c r="AH1434" i="5"/>
  <c r="AK1434" i="5" s="1"/>
  <c r="AN1434" i="5"/>
  <c r="AO1434" i="5"/>
  <c r="AP1434" i="5"/>
  <c r="AH1435" i="5"/>
  <c r="AI1436" i="5" s="1"/>
  <c r="AN1435" i="5"/>
  <c r="AO1435" i="5"/>
  <c r="AP1435" i="5"/>
  <c r="AJ1436" i="5"/>
  <c r="AK1436" i="5"/>
  <c r="AL1436" i="5"/>
  <c r="AN1436" i="5"/>
  <c r="AO1436" i="5"/>
  <c r="AP1436" i="5"/>
  <c r="AR1436" i="5"/>
  <c r="AU1436" i="5"/>
  <c r="AV1436" i="5" s="1"/>
  <c r="AW1436" i="5"/>
  <c r="AX1436" i="5" s="1"/>
  <c r="AH1437" i="5"/>
  <c r="AN1437" i="5"/>
  <c r="AO1437" i="5"/>
  <c r="AP1437" i="5"/>
  <c r="AR1437" i="5"/>
  <c r="AS1437" i="5" s="1"/>
  <c r="AU1437" i="5"/>
  <c r="AV1437" i="5" s="1"/>
  <c r="AW1437" i="5"/>
  <c r="AX1437" i="5" s="1"/>
  <c r="AH1438" i="5"/>
  <c r="AN1438" i="5"/>
  <c r="AO1438" i="5"/>
  <c r="AP1438" i="5"/>
  <c r="AR1438" i="5"/>
  <c r="AU1438" i="5"/>
  <c r="AV1438" i="5" s="1"/>
  <c r="AW1438" i="5"/>
  <c r="AX1438" i="5" s="1"/>
  <c r="AH1439" i="5"/>
  <c r="AK1439" i="5" s="1"/>
  <c r="AN1439" i="5"/>
  <c r="AO1439" i="5"/>
  <c r="AP1439" i="5"/>
  <c r="AR1439" i="5"/>
  <c r="AT1439" i="5" s="1"/>
  <c r="AU1439" i="5"/>
  <c r="AV1439" i="5" s="1"/>
  <c r="AW1439" i="5"/>
  <c r="AX1439" i="5" s="1"/>
  <c r="AH1440" i="5"/>
  <c r="AN1440" i="5"/>
  <c r="AO1440" i="5"/>
  <c r="AP1440" i="5"/>
  <c r="AR1440" i="5"/>
  <c r="AU1440" i="5"/>
  <c r="AV1440" i="5" s="1"/>
  <c r="AW1440" i="5"/>
  <c r="AX1440" i="5" s="1"/>
  <c r="AH1441" i="5"/>
  <c r="AN1441" i="5"/>
  <c r="AO1441" i="5"/>
  <c r="AP1441" i="5"/>
  <c r="AH1442" i="5"/>
  <c r="AN1442" i="5"/>
  <c r="AO1442" i="5"/>
  <c r="AP1442" i="5"/>
  <c r="AJ1443" i="5"/>
  <c r="AK1443" i="5"/>
  <c r="AL1443" i="5"/>
  <c r="AN1443" i="5"/>
  <c r="AO1443" i="5"/>
  <c r="AP1443" i="5"/>
  <c r="AR1443" i="5"/>
  <c r="AU1443" i="5"/>
  <c r="AV1443" i="5" s="1"/>
  <c r="AW1443" i="5"/>
  <c r="AX1443" i="5" s="1"/>
  <c r="AH1444" i="5"/>
  <c r="AN1444" i="5"/>
  <c r="AO1444" i="5"/>
  <c r="AP1444" i="5"/>
  <c r="AR1444" i="5"/>
  <c r="AT1444" i="5" s="1"/>
  <c r="AU1444" i="5"/>
  <c r="AV1444" i="5" s="1"/>
  <c r="AW1444" i="5"/>
  <c r="AX1444" i="5" s="1"/>
  <c r="AH1445" i="5"/>
  <c r="AJ1445" i="5" s="1"/>
  <c r="AN1445" i="5"/>
  <c r="AO1445" i="5"/>
  <c r="AP1445" i="5"/>
  <c r="AR1445" i="5"/>
  <c r="AT1445" i="5" s="1"/>
  <c r="AU1445" i="5"/>
  <c r="AV1445" i="5" s="1"/>
  <c r="AW1445" i="5"/>
  <c r="AX1445" i="5" s="1"/>
  <c r="AH1446" i="5"/>
  <c r="AK1446" i="5" s="1"/>
  <c r="AN1446" i="5"/>
  <c r="AO1446" i="5"/>
  <c r="AP1446" i="5"/>
  <c r="AR1446" i="5"/>
  <c r="AS1446" i="5" s="1"/>
  <c r="AU1446" i="5"/>
  <c r="AV1446" i="5" s="1"/>
  <c r="AW1446" i="5"/>
  <c r="AX1446" i="5" s="1"/>
  <c r="AH1447" i="5"/>
  <c r="AZ1447" i="5" s="1"/>
  <c r="AN1447" i="5"/>
  <c r="AO1447" i="5"/>
  <c r="AP1447" i="5"/>
  <c r="AR1447" i="5"/>
  <c r="AU1447" i="5"/>
  <c r="AV1447" i="5" s="1"/>
  <c r="AW1447" i="5"/>
  <c r="AX1447" i="5" s="1"/>
  <c r="AH1448" i="5"/>
  <c r="AY1448" i="5" s="1"/>
  <c r="AN1448" i="5"/>
  <c r="AO1448" i="5"/>
  <c r="AP1448" i="5"/>
  <c r="AH1449" i="5"/>
  <c r="AJ1449" i="5" s="1"/>
  <c r="AN1449" i="5"/>
  <c r="AO1449" i="5"/>
  <c r="AP1449" i="5"/>
  <c r="AJ1450" i="5"/>
  <c r="AK1450" i="5"/>
  <c r="AL1450" i="5"/>
  <c r="AN1450" i="5"/>
  <c r="AO1450" i="5"/>
  <c r="AP1450" i="5"/>
  <c r="AR1450" i="5"/>
  <c r="AU1450" i="5"/>
  <c r="AV1450" i="5" s="1"/>
  <c r="AW1450" i="5"/>
  <c r="AX1450" i="5" s="1"/>
  <c r="AH1451" i="5"/>
  <c r="AN1451" i="5"/>
  <c r="AO1451" i="5"/>
  <c r="AP1451" i="5"/>
  <c r="AR1451" i="5"/>
  <c r="AS1451" i="5" s="1"/>
  <c r="AU1451" i="5"/>
  <c r="AV1451" i="5" s="1"/>
  <c r="AW1451" i="5"/>
  <c r="AX1451" i="5" s="1"/>
  <c r="AH1452" i="5"/>
  <c r="AN1452" i="5"/>
  <c r="AO1452" i="5"/>
  <c r="AP1452" i="5"/>
  <c r="AR1452" i="5"/>
  <c r="AU1452" i="5"/>
  <c r="AV1452" i="5" s="1"/>
  <c r="AW1452" i="5"/>
  <c r="AX1452" i="5" s="1"/>
  <c r="AH1453" i="5"/>
  <c r="AN1453" i="5"/>
  <c r="AO1453" i="5"/>
  <c r="AP1453" i="5"/>
  <c r="AR1453" i="5"/>
  <c r="AU1453" i="5"/>
  <c r="AV1453" i="5" s="1"/>
  <c r="AW1453" i="5"/>
  <c r="AX1453" i="5" s="1"/>
  <c r="AH1454" i="5"/>
  <c r="AK1454" i="5" s="1"/>
  <c r="AN1454" i="5"/>
  <c r="AO1454" i="5"/>
  <c r="AP1454" i="5"/>
  <c r="AR1454" i="5"/>
  <c r="AT1454" i="5" s="1"/>
  <c r="AU1454" i="5"/>
  <c r="AV1454" i="5" s="1"/>
  <c r="AW1454" i="5"/>
  <c r="AX1454" i="5" s="1"/>
  <c r="AH1455" i="5"/>
  <c r="AJ1455" i="5" s="1"/>
  <c r="AN1455" i="5"/>
  <c r="AO1455" i="5"/>
  <c r="AP1455" i="5"/>
  <c r="AH1456" i="5"/>
  <c r="AZ1456" i="5" s="1"/>
  <c r="AN1456" i="5"/>
  <c r="AO1456" i="5"/>
  <c r="AP1456" i="5"/>
  <c r="AJ1457" i="5"/>
  <c r="AK1457" i="5"/>
  <c r="AL1457" i="5"/>
  <c r="AN1457" i="5"/>
  <c r="AO1457" i="5"/>
  <c r="AP1457" i="5"/>
  <c r="AR1457" i="5"/>
  <c r="AU1457" i="5"/>
  <c r="AV1457" i="5" s="1"/>
  <c r="AW1457" i="5"/>
  <c r="AX1457" i="5" s="1"/>
  <c r="AH1458" i="5"/>
  <c r="AN1458" i="5"/>
  <c r="AO1458" i="5"/>
  <c r="AP1458" i="5"/>
  <c r="AR1458" i="5"/>
  <c r="AU1458" i="5"/>
  <c r="AV1458" i="5" s="1"/>
  <c r="AW1458" i="5"/>
  <c r="AX1458" i="5" s="1"/>
  <c r="AH1459" i="5"/>
  <c r="AY1459" i="5" s="1"/>
  <c r="AN1459" i="5"/>
  <c r="AO1459" i="5"/>
  <c r="AP1459" i="5"/>
  <c r="AR1459" i="5"/>
  <c r="AS1459" i="5" s="1"/>
  <c r="AU1459" i="5"/>
  <c r="AV1459" i="5" s="1"/>
  <c r="AW1459" i="5"/>
  <c r="AX1459" i="5" s="1"/>
  <c r="AH1460" i="5"/>
  <c r="AN1460" i="5"/>
  <c r="AO1460" i="5"/>
  <c r="AP1460" i="5"/>
  <c r="AR1460" i="5"/>
  <c r="AT1460" i="5" s="1"/>
  <c r="AU1460" i="5"/>
  <c r="AV1460" i="5" s="1"/>
  <c r="AW1460" i="5"/>
  <c r="AX1460" i="5" s="1"/>
  <c r="AH1461" i="5"/>
  <c r="AY1461" i="5" s="1"/>
  <c r="AN1461" i="5"/>
  <c r="AO1461" i="5"/>
  <c r="AP1461" i="5"/>
  <c r="AR1461" i="5"/>
  <c r="AS1461" i="5" s="1"/>
  <c r="AU1461" i="5"/>
  <c r="AV1461" i="5" s="1"/>
  <c r="AW1461" i="5"/>
  <c r="AX1461" i="5" s="1"/>
  <c r="AH1462" i="5"/>
  <c r="AN1462" i="5"/>
  <c r="AO1462" i="5"/>
  <c r="AP1462" i="5"/>
  <c r="AH1463" i="5"/>
  <c r="AZ1463" i="5" s="1"/>
  <c r="AN1463" i="5"/>
  <c r="AO1463" i="5"/>
  <c r="AP1463" i="5"/>
  <c r="AJ1464" i="5"/>
  <c r="AK1464" i="5"/>
  <c r="AL1464" i="5"/>
  <c r="AN1464" i="5"/>
  <c r="AO1464" i="5"/>
  <c r="AP1464" i="5"/>
  <c r="AR1464" i="5"/>
  <c r="AU1464" i="5"/>
  <c r="AV1464" i="5" s="1"/>
  <c r="AW1464" i="5"/>
  <c r="AX1464" i="5" s="1"/>
  <c r="AH1465" i="5"/>
  <c r="AN1465" i="5"/>
  <c r="AO1465" i="5"/>
  <c r="AP1465" i="5"/>
  <c r="AR1465" i="5"/>
  <c r="AS1465" i="5" s="1"/>
  <c r="AU1465" i="5"/>
  <c r="AV1465" i="5" s="1"/>
  <c r="AW1465" i="5"/>
  <c r="AX1465" i="5" s="1"/>
  <c r="AH1466" i="5"/>
  <c r="AK1466" i="5" s="1"/>
  <c r="AN1466" i="5"/>
  <c r="AO1466" i="5"/>
  <c r="AP1466" i="5"/>
  <c r="AR1466" i="5"/>
  <c r="AS1466" i="5" s="1"/>
  <c r="AU1466" i="5"/>
  <c r="AV1466" i="5" s="1"/>
  <c r="AW1466" i="5"/>
  <c r="AX1466" i="5" s="1"/>
  <c r="AH1467" i="5"/>
  <c r="AY1467" i="5" s="1"/>
  <c r="AN1467" i="5"/>
  <c r="AO1467" i="5"/>
  <c r="AP1467" i="5"/>
  <c r="AR1467" i="5"/>
  <c r="AU1467" i="5"/>
  <c r="AV1467" i="5" s="1"/>
  <c r="AW1467" i="5"/>
  <c r="AX1467" i="5" s="1"/>
  <c r="AH1468" i="5"/>
  <c r="AJ1468" i="5" s="1"/>
  <c r="AN1468" i="5"/>
  <c r="AO1468" i="5"/>
  <c r="AP1468" i="5"/>
  <c r="AR1468" i="5"/>
  <c r="AS1468" i="5" s="1"/>
  <c r="AU1468" i="5"/>
  <c r="AV1468" i="5" s="1"/>
  <c r="AW1468" i="5"/>
  <c r="AX1468" i="5" s="1"/>
  <c r="AH1469" i="5"/>
  <c r="AL1469" i="5" s="1"/>
  <c r="AN1469" i="5"/>
  <c r="AO1469" i="5"/>
  <c r="AP1469" i="5"/>
  <c r="AH1470" i="5"/>
  <c r="AN1470" i="5"/>
  <c r="AO1470" i="5"/>
  <c r="AP1470" i="5"/>
  <c r="AJ1471" i="5"/>
  <c r="AK1471" i="5"/>
  <c r="AL1471" i="5"/>
  <c r="AN1471" i="5"/>
  <c r="AO1471" i="5"/>
  <c r="AP1471" i="5"/>
  <c r="AR1471" i="5"/>
  <c r="AS1471" i="5" s="1"/>
  <c r="AU1471" i="5"/>
  <c r="AV1471" i="5" s="1"/>
  <c r="AW1471" i="5"/>
  <c r="AX1471" i="5" s="1"/>
  <c r="AH1472" i="5"/>
  <c r="AY1472" i="5" s="1"/>
  <c r="AN1472" i="5"/>
  <c r="AO1472" i="5"/>
  <c r="AP1472" i="5"/>
  <c r="AR1472" i="5"/>
  <c r="AT1472" i="5" s="1"/>
  <c r="AU1472" i="5"/>
  <c r="AV1472" i="5" s="1"/>
  <c r="AW1472" i="5"/>
  <c r="AX1472" i="5" s="1"/>
  <c r="AH1473" i="5"/>
  <c r="AJ1473" i="5" s="1"/>
  <c r="AN1473" i="5"/>
  <c r="AO1473" i="5"/>
  <c r="AP1473" i="5"/>
  <c r="AR1473" i="5"/>
  <c r="AT1473" i="5" s="1"/>
  <c r="AU1473" i="5"/>
  <c r="AV1473" i="5" s="1"/>
  <c r="AW1473" i="5"/>
  <c r="AX1473" i="5" s="1"/>
  <c r="AH1474" i="5"/>
  <c r="AN1474" i="5"/>
  <c r="AO1474" i="5"/>
  <c r="AP1474" i="5"/>
  <c r="AR1474" i="5"/>
  <c r="AU1474" i="5"/>
  <c r="AV1474" i="5" s="1"/>
  <c r="AW1474" i="5"/>
  <c r="AX1474" i="5" s="1"/>
  <c r="AH1475" i="5"/>
  <c r="AJ1475" i="5" s="1"/>
  <c r="AN1475" i="5"/>
  <c r="AO1475" i="5"/>
  <c r="AP1475" i="5"/>
  <c r="AR1475" i="5"/>
  <c r="AS1475" i="5" s="1"/>
  <c r="AU1475" i="5"/>
  <c r="AV1475" i="5" s="1"/>
  <c r="AW1475" i="5"/>
  <c r="AX1475" i="5" s="1"/>
  <c r="AH1476" i="5"/>
  <c r="AZ1476" i="5" s="1"/>
  <c r="AN1476" i="5"/>
  <c r="AO1476" i="5"/>
  <c r="AP1476" i="5"/>
  <c r="AH1477" i="5"/>
  <c r="AY1477" i="5" s="1"/>
  <c r="AN1477" i="5"/>
  <c r="AO1477" i="5"/>
  <c r="AP1477" i="5"/>
  <c r="AJ1478" i="5"/>
  <c r="AK1478" i="5"/>
  <c r="AL1478" i="5"/>
  <c r="AN1478" i="5"/>
  <c r="AO1478" i="5"/>
  <c r="AP1478" i="5"/>
  <c r="AR1478" i="5"/>
  <c r="AT1478" i="5" s="1"/>
  <c r="AU1478" i="5"/>
  <c r="AV1478" i="5" s="1"/>
  <c r="AW1478" i="5"/>
  <c r="AX1478" i="5" s="1"/>
  <c r="AH1479" i="5"/>
  <c r="AZ1479" i="5" s="1"/>
  <c r="AN1479" i="5"/>
  <c r="AO1479" i="5"/>
  <c r="AP1479" i="5"/>
  <c r="AR1479" i="5"/>
  <c r="AT1479" i="5" s="1"/>
  <c r="AU1479" i="5"/>
  <c r="AV1479" i="5" s="1"/>
  <c r="AW1479" i="5"/>
  <c r="AX1479" i="5" s="1"/>
  <c r="AH1480" i="5"/>
  <c r="AN1480" i="5"/>
  <c r="AO1480" i="5"/>
  <c r="AP1480" i="5"/>
  <c r="AR1480" i="5"/>
  <c r="AU1480" i="5"/>
  <c r="AV1480" i="5" s="1"/>
  <c r="AW1480" i="5"/>
  <c r="AX1480" i="5" s="1"/>
  <c r="AH1481" i="5"/>
  <c r="AL1481" i="5" s="1"/>
  <c r="AN1481" i="5"/>
  <c r="AO1481" i="5"/>
  <c r="AP1481" i="5"/>
  <c r="AR1481" i="5"/>
  <c r="AT1481" i="5" s="1"/>
  <c r="AU1481" i="5"/>
  <c r="AV1481" i="5" s="1"/>
  <c r="AW1481" i="5"/>
  <c r="AX1481" i="5" s="1"/>
  <c r="AH1482" i="5"/>
  <c r="AN1482" i="5"/>
  <c r="AO1482" i="5"/>
  <c r="AP1482" i="5"/>
  <c r="AR1482" i="5"/>
  <c r="AT1482" i="5" s="1"/>
  <c r="AU1482" i="5"/>
  <c r="AV1482" i="5" s="1"/>
  <c r="AW1482" i="5"/>
  <c r="AX1482" i="5" s="1"/>
  <c r="AH1483" i="5"/>
  <c r="AK1483" i="5" s="1"/>
  <c r="AN1483" i="5"/>
  <c r="AO1483" i="5"/>
  <c r="AP1483" i="5"/>
  <c r="AH1484" i="5"/>
  <c r="AU1484" i="5" s="1"/>
  <c r="AV1484" i="5" s="1"/>
  <c r="AN1484" i="5"/>
  <c r="AO1484" i="5"/>
  <c r="AP1484" i="5"/>
  <c r="AJ1485" i="5"/>
  <c r="AK1485" i="5"/>
  <c r="AL1485" i="5"/>
  <c r="AN1485" i="5"/>
  <c r="AO1485" i="5"/>
  <c r="AP1485" i="5"/>
  <c r="AR1485" i="5"/>
  <c r="AS1485" i="5" s="1"/>
  <c r="AU1485" i="5"/>
  <c r="AV1485" i="5" s="1"/>
  <c r="AW1485" i="5"/>
  <c r="AX1485" i="5" s="1"/>
  <c r="AH1486" i="5"/>
  <c r="AK1486" i="5" s="1"/>
  <c r="AN1486" i="5"/>
  <c r="AO1486" i="5"/>
  <c r="AP1486" i="5"/>
  <c r="AR1486" i="5"/>
  <c r="AT1486" i="5" s="1"/>
  <c r="AU1486" i="5"/>
  <c r="AV1486" i="5" s="1"/>
  <c r="AW1486" i="5"/>
  <c r="AX1486" i="5" s="1"/>
  <c r="AH1487" i="5"/>
  <c r="AZ1487" i="5" s="1"/>
  <c r="AN1487" i="5"/>
  <c r="AO1487" i="5"/>
  <c r="AP1487" i="5"/>
  <c r="AR1487" i="5"/>
  <c r="AT1487" i="5" s="1"/>
  <c r="AU1487" i="5"/>
  <c r="AV1487" i="5" s="1"/>
  <c r="AW1487" i="5"/>
  <c r="AX1487" i="5" s="1"/>
  <c r="AH1488" i="5"/>
  <c r="AK1488" i="5" s="1"/>
  <c r="AN1488" i="5"/>
  <c r="AO1488" i="5"/>
  <c r="AP1488" i="5"/>
  <c r="AR1488" i="5"/>
  <c r="AT1488" i="5" s="1"/>
  <c r="AU1488" i="5"/>
  <c r="AV1488" i="5" s="1"/>
  <c r="AW1488" i="5"/>
  <c r="AX1488" i="5" s="1"/>
  <c r="AH1489" i="5"/>
  <c r="AZ1489" i="5" s="1"/>
  <c r="AN1489" i="5"/>
  <c r="AO1489" i="5"/>
  <c r="AP1489" i="5"/>
  <c r="AR1489" i="5"/>
  <c r="AU1489" i="5"/>
  <c r="AV1489" i="5" s="1"/>
  <c r="AW1489" i="5"/>
  <c r="AX1489" i="5" s="1"/>
  <c r="AH1490" i="5"/>
  <c r="AN1490" i="5"/>
  <c r="AO1490" i="5"/>
  <c r="AP1490" i="5"/>
  <c r="AH1491" i="5"/>
  <c r="AY1491" i="5" s="1"/>
  <c r="AN1491" i="5"/>
  <c r="AO1491" i="5"/>
  <c r="AP1491" i="5"/>
  <c r="AJ1492" i="5"/>
  <c r="AK1492" i="5"/>
  <c r="AL1492" i="5"/>
  <c r="AN1492" i="5"/>
  <c r="AO1492" i="5"/>
  <c r="AP1492" i="5"/>
  <c r="AR1492" i="5"/>
  <c r="AT1492" i="5" s="1"/>
  <c r="AU1492" i="5"/>
  <c r="AV1492" i="5" s="1"/>
  <c r="AW1492" i="5"/>
  <c r="AX1492" i="5" s="1"/>
  <c r="AH1493" i="5"/>
  <c r="AN1493" i="5"/>
  <c r="AO1493" i="5"/>
  <c r="AP1493" i="5"/>
  <c r="AR1493" i="5"/>
  <c r="AU1493" i="5"/>
  <c r="AV1493" i="5" s="1"/>
  <c r="AW1493" i="5"/>
  <c r="AX1493" i="5" s="1"/>
  <c r="AH1494" i="5"/>
  <c r="AZ1494" i="5" s="1"/>
  <c r="AN1494" i="5"/>
  <c r="AO1494" i="5"/>
  <c r="AP1494" i="5"/>
  <c r="AR1494" i="5"/>
  <c r="AS1494" i="5" s="1"/>
  <c r="AU1494" i="5"/>
  <c r="AV1494" i="5" s="1"/>
  <c r="AW1494" i="5"/>
  <c r="AX1494" i="5" s="1"/>
  <c r="AH1495" i="5"/>
  <c r="AZ1495" i="5" s="1"/>
  <c r="AN1495" i="5"/>
  <c r="AO1495" i="5"/>
  <c r="AP1495" i="5"/>
  <c r="AR1495" i="5"/>
  <c r="AS1495" i="5" s="1"/>
  <c r="AU1495" i="5"/>
  <c r="AV1495" i="5" s="1"/>
  <c r="AW1495" i="5"/>
  <c r="AX1495" i="5" s="1"/>
  <c r="AH1496" i="5"/>
  <c r="AY1496" i="5" s="1"/>
  <c r="AN1496" i="5"/>
  <c r="AO1496" i="5"/>
  <c r="AP1496" i="5"/>
  <c r="AR1496" i="5"/>
  <c r="AS1496" i="5" s="1"/>
  <c r="AU1496" i="5"/>
  <c r="AV1496" i="5" s="1"/>
  <c r="AW1496" i="5"/>
  <c r="AX1496" i="5" s="1"/>
  <c r="AH1497" i="5"/>
  <c r="AY1497" i="5" s="1"/>
  <c r="AN1497" i="5"/>
  <c r="AO1497" i="5"/>
  <c r="AP1497" i="5"/>
  <c r="AH1498" i="5"/>
  <c r="AI1499" i="5" s="1"/>
  <c r="AN1498" i="5"/>
  <c r="AO1498" i="5"/>
  <c r="AP1498" i="5"/>
  <c r="AJ1499" i="5"/>
  <c r="AK1499" i="5"/>
  <c r="AL1499" i="5"/>
  <c r="AN1499" i="5"/>
  <c r="AO1499" i="5"/>
  <c r="AP1499" i="5"/>
  <c r="AR1499" i="5"/>
  <c r="AT1499" i="5" s="1"/>
  <c r="AU1499" i="5"/>
  <c r="AV1499" i="5" s="1"/>
  <c r="AW1499" i="5"/>
  <c r="AX1499" i="5" s="1"/>
  <c r="AH1500" i="5"/>
  <c r="AZ1500" i="5" s="1"/>
  <c r="AN1500" i="5"/>
  <c r="AO1500" i="5"/>
  <c r="AP1500" i="5"/>
  <c r="AR1500" i="5"/>
  <c r="AT1500" i="5" s="1"/>
  <c r="AU1500" i="5"/>
  <c r="AV1500" i="5" s="1"/>
  <c r="AW1500" i="5"/>
  <c r="AX1500" i="5" s="1"/>
  <c r="AH1501" i="5"/>
  <c r="AN1501" i="5"/>
  <c r="AO1501" i="5"/>
  <c r="AP1501" i="5"/>
  <c r="AR1501" i="5"/>
  <c r="AT1501" i="5" s="1"/>
  <c r="AU1501" i="5"/>
  <c r="AV1501" i="5" s="1"/>
  <c r="AW1501" i="5"/>
  <c r="AX1501" i="5" s="1"/>
  <c r="AH1502" i="5"/>
  <c r="AN1502" i="5"/>
  <c r="AO1502" i="5"/>
  <c r="AP1502" i="5"/>
  <c r="AR1502" i="5"/>
  <c r="AU1502" i="5"/>
  <c r="AV1502" i="5" s="1"/>
  <c r="AW1502" i="5"/>
  <c r="AX1502" i="5" s="1"/>
  <c r="AH1503" i="5"/>
  <c r="AZ1503" i="5" s="1"/>
  <c r="AN1503" i="5"/>
  <c r="AO1503" i="5"/>
  <c r="AP1503" i="5"/>
  <c r="AR1503" i="5"/>
  <c r="AU1503" i="5"/>
  <c r="AV1503" i="5" s="1"/>
  <c r="AW1503" i="5"/>
  <c r="AX1503" i="5" s="1"/>
  <c r="AH1504" i="5"/>
  <c r="AJ1504" i="5" s="1"/>
  <c r="AN1504" i="5"/>
  <c r="AO1504" i="5"/>
  <c r="AP1504" i="5"/>
  <c r="AH1505" i="5"/>
  <c r="AJ1505" i="5" s="1"/>
  <c r="AN1505" i="5"/>
  <c r="AO1505" i="5"/>
  <c r="AP1505" i="5"/>
  <c r="AJ1506" i="5"/>
  <c r="AK1506" i="5"/>
  <c r="AL1506" i="5"/>
  <c r="AN1506" i="5"/>
  <c r="AO1506" i="5"/>
  <c r="AP1506" i="5"/>
  <c r="AR1506" i="5"/>
  <c r="AU1506" i="5"/>
  <c r="AV1506" i="5" s="1"/>
  <c r="AW1506" i="5"/>
  <c r="AX1506" i="5" s="1"/>
  <c r="AH1507" i="5"/>
  <c r="AL1507" i="5" s="1"/>
  <c r="AN1507" i="5"/>
  <c r="AO1507" i="5"/>
  <c r="AP1507" i="5"/>
  <c r="AR1507" i="5"/>
  <c r="AT1507" i="5" s="1"/>
  <c r="AU1507" i="5"/>
  <c r="AV1507" i="5" s="1"/>
  <c r="AW1507" i="5"/>
  <c r="AX1507" i="5" s="1"/>
  <c r="AH1508" i="5"/>
  <c r="AJ1508" i="5" s="1"/>
  <c r="AN1508" i="5"/>
  <c r="AO1508" i="5"/>
  <c r="AP1508" i="5"/>
  <c r="AR1508" i="5"/>
  <c r="AS1508" i="5" s="1"/>
  <c r="AU1508" i="5"/>
  <c r="AV1508" i="5" s="1"/>
  <c r="AW1508" i="5"/>
  <c r="AX1508" i="5" s="1"/>
  <c r="AH1509" i="5"/>
  <c r="AK1509" i="5" s="1"/>
  <c r="AN1509" i="5"/>
  <c r="AO1509" i="5"/>
  <c r="AP1509" i="5"/>
  <c r="AR1509" i="5"/>
  <c r="AS1509" i="5" s="1"/>
  <c r="AU1509" i="5"/>
  <c r="AV1509" i="5" s="1"/>
  <c r="AW1509" i="5"/>
  <c r="AX1509" i="5" s="1"/>
  <c r="AH1510" i="5"/>
  <c r="AN1510" i="5"/>
  <c r="AO1510" i="5"/>
  <c r="AP1510" i="5"/>
  <c r="AR1510" i="5"/>
  <c r="AU1510" i="5"/>
  <c r="AV1510" i="5" s="1"/>
  <c r="AW1510" i="5"/>
  <c r="AX1510" i="5" s="1"/>
  <c r="AH1511" i="5"/>
  <c r="AJ1511" i="5" s="1"/>
  <c r="AN1511" i="5"/>
  <c r="AO1511" i="5"/>
  <c r="AP1511" i="5"/>
  <c r="AH1512" i="5"/>
  <c r="AZ1512" i="5" s="1"/>
  <c r="AN1512" i="5"/>
  <c r="AO1512" i="5"/>
  <c r="AP1512" i="5"/>
  <c r="AJ1513" i="5"/>
  <c r="AK1513" i="5"/>
  <c r="AL1513" i="5"/>
  <c r="AN1513" i="5"/>
  <c r="AO1513" i="5"/>
  <c r="AP1513" i="5"/>
  <c r="AR1513" i="5"/>
  <c r="AS1513" i="5" s="1"/>
  <c r="AU1513" i="5"/>
  <c r="AV1513" i="5" s="1"/>
  <c r="AW1513" i="5"/>
  <c r="AX1513" i="5" s="1"/>
  <c r="AH1514" i="5"/>
  <c r="AI1514" i="5" s="1"/>
  <c r="AN1514" i="5"/>
  <c r="AO1514" i="5"/>
  <c r="AP1514" i="5"/>
  <c r="AR1514" i="5"/>
  <c r="AU1514" i="5"/>
  <c r="AV1514" i="5" s="1"/>
  <c r="AW1514" i="5"/>
  <c r="AX1514" i="5" s="1"/>
  <c r="AH1515" i="5"/>
  <c r="AL1515" i="5" s="1"/>
  <c r="AN1515" i="5"/>
  <c r="AO1515" i="5"/>
  <c r="AP1515" i="5"/>
  <c r="AR1515" i="5"/>
  <c r="AU1515" i="5"/>
  <c r="AV1515" i="5" s="1"/>
  <c r="AW1515" i="5"/>
  <c r="AX1515" i="5" s="1"/>
  <c r="AH1516" i="5"/>
  <c r="AJ1516" i="5" s="1"/>
  <c r="AN1516" i="5"/>
  <c r="AO1516" i="5"/>
  <c r="AP1516" i="5"/>
  <c r="AR1516" i="5"/>
  <c r="AT1516" i="5" s="1"/>
  <c r="AU1516" i="5"/>
  <c r="AV1516" i="5" s="1"/>
  <c r="AW1516" i="5"/>
  <c r="AX1516" i="5" s="1"/>
  <c r="AH1517" i="5"/>
  <c r="AK1517" i="5" s="1"/>
  <c r="AN1517" i="5"/>
  <c r="AO1517" i="5"/>
  <c r="AP1517" i="5"/>
  <c r="AR1517" i="5"/>
  <c r="AT1517" i="5" s="1"/>
  <c r="AU1517" i="5"/>
  <c r="AV1517" i="5" s="1"/>
  <c r="AW1517" i="5"/>
  <c r="AX1517" i="5" s="1"/>
  <c r="AH1518" i="5"/>
  <c r="AN1518" i="5"/>
  <c r="AO1518" i="5"/>
  <c r="AP1518" i="5"/>
  <c r="AH1519" i="5"/>
  <c r="AJ1519" i="5" s="1"/>
  <c r="AN1519" i="5"/>
  <c r="AO1519" i="5"/>
  <c r="AP1519" i="5"/>
  <c r="AJ1520" i="5"/>
  <c r="AK1520" i="5"/>
  <c r="AL1520" i="5"/>
  <c r="AN1520" i="5"/>
  <c r="AO1520" i="5"/>
  <c r="AP1520" i="5"/>
  <c r="AR1520" i="5"/>
  <c r="AS1520" i="5" s="1"/>
  <c r="AU1520" i="5"/>
  <c r="AV1520" i="5" s="1"/>
  <c r="AW1520" i="5"/>
  <c r="AX1520" i="5" s="1"/>
  <c r="AH1521" i="5"/>
  <c r="AK1521" i="5" s="1"/>
  <c r="AN1521" i="5"/>
  <c r="AO1521" i="5"/>
  <c r="AP1521" i="5"/>
  <c r="AR1521" i="5"/>
  <c r="AS1521" i="5" s="1"/>
  <c r="AU1521" i="5"/>
  <c r="AV1521" i="5" s="1"/>
  <c r="AW1521" i="5"/>
  <c r="AX1521" i="5" s="1"/>
  <c r="AH1522" i="5"/>
  <c r="AN1522" i="5"/>
  <c r="AO1522" i="5"/>
  <c r="AP1522" i="5"/>
  <c r="AR1522" i="5"/>
  <c r="AU1522" i="5"/>
  <c r="AV1522" i="5" s="1"/>
  <c r="AW1522" i="5"/>
  <c r="AX1522" i="5" s="1"/>
  <c r="AH1523" i="5"/>
  <c r="AL1523" i="5" s="1"/>
  <c r="AN1523" i="5"/>
  <c r="AO1523" i="5"/>
  <c r="AP1523" i="5"/>
  <c r="AR1523" i="5"/>
  <c r="AT1523" i="5" s="1"/>
  <c r="AU1523" i="5"/>
  <c r="AV1523" i="5" s="1"/>
  <c r="AW1523" i="5"/>
  <c r="AX1523" i="5" s="1"/>
  <c r="AH1524" i="5"/>
  <c r="AJ1524" i="5" s="1"/>
  <c r="AN1524" i="5"/>
  <c r="AO1524" i="5"/>
  <c r="AP1524" i="5"/>
  <c r="AR1524" i="5"/>
  <c r="AU1524" i="5"/>
  <c r="AV1524" i="5" s="1"/>
  <c r="AW1524" i="5"/>
  <c r="AX1524" i="5" s="1"/>
  <c r="AH1525" i="5"/>
  <c r="AZ1525" i="5" s="1"/>
  <c r="AN1525" i="5"/>
  <c r="AO1525" i="5"/>
  <c r="AP1525" i="5"/>
  <c r="AH1526" i="5"/>
  <c r="AJ1526" i="5" s="1"/>
  <c r="AN1526" i="5"/>
  <c r="AO1526" i="5"/>
  <c r="AP1526" i="5"/>
  <c r="AJ1527" i="5"/>
  <c r="AK1527" i="5"/>
  <c r="AL1527" i="5"/>
  <c r="AN1527" i="5"/>
  <c r="AO1527" i="5"/>
  <c r="AP1527" i="5"/>
  <c r="AR1527" i="5"/>
  <c r="AT1527" i="5" s="1"/>
  <c r="AU1527" i="5"/>
  <c r="AV1527" i="5" s="1"/>
  <c r="AW1527" i="5"/>
  <c r="AX1527" i="5" s="1"/>
  <c r="AH1528" i="5"/>
  <c r="AL1528" i="5" s="1"/>
  <c r="AN1528" i="5"/>
  <c r="AO1528" i="5"/>
  <c r="AP1528" i="5"/>
  <c r="AR1528" i="5"/>
  <c r="AU1528" i="5"/>
  <c r="AV1528" i="5" s="1"/>
  <c r="AW1528" i="5"/>
  <c r="AX1528" i="5" s="1"/>
  <c r="AH1529" i="5"/>
  <c r="AN1529" i="5"/>
  <c r="AO1529" i="5"/>
  <c r="AP1529" i="5"/>
  <c r="AR1529" i="5"/>
  <c r="AU1529" i="5"/>
  <c r="AV1529" i="5" s="1"/>
  <c r="AW1529" i="5"/>
  <c r="AX1529" i="5" s="1"/>
  <c r="AH1530" i="5"/>
  <c r="AL1530" i="5" s="1"/>
  <c r="AN1530" i="5"/>
  <c r="AO1530" i="5"/>
  <c r="AP1530" i="5"/>
  <c r="AR1530" i="5"/>
  <c r="AS1530" i="5" s="1"/>
  <c r="AU1530" i="5"/>
  <c r="AV1530" i="5" s="1"/>
  <c r="AW1530" i="5"/>
  <c r="AX1530" i="5" s="1"/>
  <c r="AH1531" i="5"/>
  <c r="AY1531" i="5" s="1"/>
  <c r="AN1531" i="5"/>
  <c r="AO1531" i="5"/>
  <c r="AP1531" i="5"/>
  <c r="AR1531" i="5"/>
  <c r="AU1531" i="5"/>
  <c r="AV1531" i="5" s="1"/>
  <c r="AW1531" i="5"/>
  <c r="AX1531" i="5" s="1"/>
  <c r="AH1532" i="5"/>
  <c r="AU1532" i="5" s="1"/>
  <c r="AV1532" i="5" s="1"/>
  <c r="AN1532" i="5"/>
  <c r="AO1532" i="5"/>
  <c r="AP1532" i="5"/>
  <c r="AH1533" i="5"/>
  <c r="AJ1533" i="5" s="1"/>
  <c r="AN1533" i="5"/>
  <c r="AO1533" i="5"/>
  <c r="AP1533" i="5"/>
  <c r="AJ1534" i="5"/>
  <c r="AK1534" i="5"/>
  <c r="AL1534" i="5"/>
  <c r="AN1534" i="5"/>
  <c r="AO1534" i="5"/>
  <c r="AP1534" i="5"/>
  <c r="AR1534" i="5"/>
  <c r="AS1534" i="5" s="1"/>
  <c r="AU1534" i="5"/>
  <c r="AV1534" i="5" s="1"/>
  <c r="AW1534" i="5"/>
  <c r="AX1534" i="5" s="1"/>
  <c r="AH1535" i="5"/>
  <c r="AZ1535" i="5" s="1"/>
  <c r="AN1535" i="5"/>
  <c r="AO1535" i="5"/>
  <c r="AP1535" i="5"/>
  <c r="AR1535" i="5"/>
  <c r="AT1535" i="5" s="1"/>
  <c r="AU1535" i="5"/>
  <c r="AV1535" i="5" s="1"/>
  <c r="AW1535" i="5"/>
  <c r="AX1535" i="5" s="1"/>
  <c r="AH1536" i="5"/>
  <c r="AY1536" i="5" s="1"/>
  <c r="AN1536" i="5"/>
  <c r="AO1536" i="5"/>
  <c r="AP1536" i="5"/>
  <c r="AR1536" i="5"/>
  <c r="AS1536" i="5" s="1"/>
  <c r="AU1536" i="5"/>
  <c r="AV1536" i="5" s="1"/>
  <c r="AW1536" i="5"/>
  <c r="AX1536" i="5" s="1"/>
  <c r="AH1537" i="5"/>
  <c r="AY1537" i="5" s="1"/>
  <c r="AN1537" i="5"/>
  <c r="AO1537" i="5"/>
  <c r="AP1537" i="5"/>
  <c r="AR1537" i="5"/>
  <c r="AS1537" i="5" s="1"/>
  <c r="AU1537" i="5"/>
  <c r="AV1537" i="5" s="1"/>
  <c r="AW1537" i="5"/>
  <c r="AX1537" i="5" s="1"/>
  <c r="AH1538" i="5"/>
  <c r="AH1539" i="5"/>
  <c r="AN1538" i="5"/>
  <c r="AO1538" i="5"/>
  <c r="AP1538" i="5"/>
  <c r="AR1538" i="5"/>
  <c r="AS1538" i="5" s="1"/>
  <c r="AU1538" i="5"/>
  <c r="AV1538" i="5" s="1"/>
  <c r="AW1538" i="5"/>
  <c r="AX1538" i="5" s="1"/>
  <c r="AN1539" i="5"/>
  <c r="AO1539" i="5"/>
  <c r="AP1539" i="5"/>
  <c r="AH1540" i="5"/>
  <c r="AW1540" i="5" s="1"/>
  <c r="AX1540" i="5" s="1"/>
  <c r="AN1540" i="5"/>
  <c r="AO1540" i="5"/>
  <c r="AP1540" i="5"/>
  <c r="AJ1541" i="5"/>
  <c r="AK1541" i="5"/>
  <c r="AL1541" i="5"/>
  <c r="AN1541" i="5"/>
  <c r="AO1541" i="5"/>
  <c r="AP1541" i="5"/>
  <c r="AR1541" i="5"/>
  <c r="AU1541" i="5"/>
  <c r="AV1541" i="5" s="1"/>
  <c r="AW1541" i="5"/>
  <c r="AX1541" i="5" s="1"/>
  <c r="AH1542" i="5"/>
  <c r="AN1542" i="5"/>
  <c r="AO1542" i="5"/>
  <c r="AP1542" i="5"/>
  <c r="AR1542" i="5"/>
  <c r="AS1542" i="5" s="1"/>
  <c r="AU1542" i="5"/>
  <c r="AV1542" i="5" s="1"/>
  <c r="AW1542" i="5"/>
  <c r="AX1542" i="5" s="1"/>
  <c r="AH1543" i="5"/>
  <c r="AL1543" i="5" s="1"/>
  <c r="AN1543" i="5"/>
  <c r="AO1543" i="5"/>
  <c r="AP1543" i="5"/>
  <c r="AR1543" i="5"/>
  <c r="AS1543" i="5" s="1"/>
  <c r="AU1543" i="5"/>
  <c r="AV1543" i="5" s="1"/>
  <c r="AW1543" i="5"/>
  <c r="AX1543" i="5" s="1"/>
  <c r="AH1544" i="5"/>
  <c r="AY1544" i="5" s="1"/>
  <c r="AN1544" i="5"/>
  <c r="AO1544" i="5"/>
  <c r="AP1544" i="5"/>
  <c r="AR1544" i="5"/>
  <c r="AU1544" i="5"/>
  <c r="AV1544" i="5" s="1"/>
  <c r="AW1544" i="5"/>
  <c r="AX1544" i="5" s="1"/>
  <c r="AH1545" i="5"/>
  <c r="AL1545" i="5" s="1"/>
  <c r="AN1545" i="5"/>
  <c r="AO1545" i="5"/>
  <c r="AP1545" i="5"/>
  <c r="AR1545" i="5"/>
  <c r="AS1545" i="5" s="1"/>
  <c r="AU1545" i="5"/>
  <c r="AV1545" i="5" s="1"/>
  <c r="AW1545" i="5"/>
  <c r="AX1545" i="5" s="1"/>
  <c r="AH1546" i="5"/>
  <c r="AN1546" i="5"/>
  <c r="AO1546" i="5"/>
  <c r="AP1546" i="5"/>
  <c r="AH1547" i="5"/>
  <c r="AW1547" i="5" s="1"/>
  <c r="AX1547" i="5" s="1"/>
  <c r="AN1547" i="5"/>
  <c r="AO1547" i="5"/>
  <c r="AP1547" i="5"/>
  <c r="AJ1548" i="5"/>
  <c r="AK1548" i="5"/>
  <c r="AL1548" i="5"/>
  <c r="AN1548" i="5"/>
  <c r="AO1548" i="5"/>
  <c r="AP1548" i="5"/>
  <c r="AR1548" i="5"/>
  <c r="AS1548" i="5" s="1"/>
  <c r="AU1548" i="5"/>
  <c r="AV1548" i="5" s="1"/>
  <c r="AW1548" i="5"/>
  <c r="AX1548" i="5" s="1"/>
  <c r="AH1549" i="5"/>
  <c r="AJ1549" i="5" s="1"/>
  <c r="AN1549" i="5"/>
  <c r="AO1549" i="5"/>
  <c r="AP1549" i="5"/>
  <c r="AR1549" i="5"/>
  <c r="AU1549" i="5"/>
  <c r="AV1549" i="5" s="1"/>
  <c r="AW1549" i="5"/>
  <c r="AX1549" i="5" s="1"/>
  <c r="AH1550" i="5"/>
  <c r="AN1550" i="5"/>
  <c r="AO1550" i="5"/>
  <c r="AP1550" i="5"/>
  <c r="AR1550" i="5"/>
  <c r="AT1550" i="5" s="1"/>
  <c r="AU1550" i="5"/>
  <c r="AV1550" i="5" s="1"/>
  <c r="AW1550" i="5"/>
  <c r="AX1550" i="5" s="1"/>
  <c r="AH1551" i="5"/>
  <c r="AK1551" i="5" s="1"/>
  <c r="AN1551" i="5"/>
  <c r="AO1551" i="5"/>
  <c r="AP1551" i="5"/>
  <c r="AR1551" i="5"/>
  <c r="AS1551" i="5" s="1"/>
  <c r="AU1551" i="5"/>
  <c r="AV1551" i="5" s="1"/>
  <c r="AW1551" i="5"/>
  <c r="AX1551" i="5" s="1"/>
  <c r="AH1552" i="5"/>
  <c r="AL1552" i="5" s="1"/>
  <c r="AN1552" i="5"/>
  <c r="AO1552" i="5"/>
  <c r="AP1552" i="5"/>
  <c r="AR1552" i="5"/>
  <c r="AT1552" i="5" s="1"/>
  <c r="AU1552" i="5"/>
  <c r="AV1552" i="5" s="1"/>
  <c r="AW1552" i="5"/>
  <c r="AX1552" i="5" s="1"/>
  <c r="AH1553" i="5"/>
  <c r="AY1553" i="5" s="1"/>
  <c r="AN1553" i="5"/>
  <c r="AO1553" i="5"/>
  <c r="AP1553" i="5"/>
  <c r="AH1554" i="5"/>
  <c r="AN1554" i="5"/>
  <c r="AO1554" i="5"/>
  <c r="AP1554" i="5"/>
  <c r="AJ1555" i="5"/>
  <c r="AK1555" i="5"/>
  <c r="AL1555" i="5"/>
  <c r="AN1555" i="5"/>
  <c r="AO1555" i="5"/>
  <c r="AP1555" i="5"/>
  <c r="AR1555" i="5"/>
  <c r="AT1555" i="5" s="1"/>
  <c r="AU1555" i="5"/>
  <c r="AV1555" i="5" s="1"/>
  <c r="AW1555" i="5"/>
  <c r="AX1555" i="5" s="1"/>
  <c r="AH1556" i="5"/>
  <c r="AN1556" i="5"/>
  <c r="AO1556" i="5"/>
  <c r="AP1556" i="5"/>
  <c r="AR1556" i="5"/>
  <c r="AT1556" i="5" s="1"/>
  <c r="AU1556" i="5"/>
  <c r="AV1556" i="5" s="1"/>
  <c r="AW1556" i="5"/>
  <c r="AX1556" i="5" s="1"/>
  <c r="AH1557" i="5"/>
  <c r="AN1557" i="5"/>
  <c r="AO1557" i="5"/>
  <c r="AP1557" i="5"/>
  <c r="AR1557" i="5"/>
  <c r="AS1557" i="5" s="1"/>
  <c r="AU1557" i="5"/>
  <c r="AV1557" i="5" s="1"/>
  <c r="AW1557" i="5"/>
  <c r="AX1557" i="5" s="1"/>
  <c r="AH1558" i="5"/>
  <c r="AL1558" i="5" s="1"/>
  <c r="AN1558" i="5"/>
  <c r="AO1558" i="5"/>
  <c r="AP1558" i="5"/>
  <c r="AR1558" i="5"/>
  <c r="AT1558" i="5" s="1"/>
  <c r="AU1558" i="5"/>
  <c r="AV1558" i="5" s="1"/>
  <c r="AW1558" i="5"/>
  <c r="AX1558" i="5" s="1"/>
  <c r="AH1559" i="5"/>
  <c r="AY1559" i="5" s="1"/>
  <c r="AN1559" i="5"/>
  <c r="AO1559" i="5"/>
  <c r="AP1559" i="5"/>
  <c r="AR1559" i="5"/>
  <c r="AT1559" i="5" s="1"/>
  <c r="AU1559" i="5"/>
  <c r="AV1559" i="5" s="1"/>
  <c r="AW1559" i="5"/>
  <c r="AX1559" i="5" s="1"/>
  <c r="AH1560" i="5"/>
  <c r="AY1560" i="5" s="1"/>
  <c r="AN1560" i="5"/>
  <c r="AO1560" i="5"/>
  <c r="AP1560" i="5"/>
  <c r="AH1561" i="5"/>
  <c r="AN1561" i="5"/>
  <c r="AO1561" i="5"/>
  <c r="AP1561" i="5"/>
  <c r="AJ1562" i="5"/>
  <c r="AK1562" i="5"/>
  <c r="AL1562" i="5"/>
  <c r="AN1562" i="5"/>
  <c r="AO1562" i="5"/>
  <c r="AP1562" i="5"/>
  <c r="AR1562" i="5"/>
  <c r="AU1562" i="5"/>
  <c r="AV1562" i="5" s="1"/>
  <c r="AW1562" i="5"/>
  <c r="AX1562" i="5" s="1"/>
  <c r="AH1563" i="5"/>
  <c r="AJ1563" i="5" s="1"/>
  <c r="AN1563" i="5"/>
  <c r="AO1563" i="5"/>
  <c r="AP1563" i="5"/>
  <c r="AR1563" i="5"/>
  <c r="AS1563" i="5" s="1"/>
  <c r="AU1563" i="5"/>
  <c r="AV1563" i="5" s="1"/>
  <c r="AW1563" i="5"/>
  <c r="AX1563" i="5" s="1"/>
  <c r="AH1564" i="5"/>
  <c r="AY1564" i="5" s="1"/>
  <c r="AN1564" i="5"/>
  <c r="AO1564" i="5"/>
  <c r="AP1564" i="5"/>
  <c r="AR1564" i="5"/>
  <c r="AT1564" i="5" s="1"/>
  <c r="AU1564" i="5"/>
  <c r="AV1564" i="5" s="1"/>
  <c r="AW1564" i="5"/>
  <c r="AX1564" i="5" s="1"/>
  <c r="AH1565" i="5"/>
  <c r="AY1565" i="5" s="1"/>
  <c r="AN1565" i="5"/>
  <c r="AO1565" i="5"/>
  <c r="AP1565" i="5"/>
  <c r="AR1565" i="5"/>
  <c r="AU1565" i="5"/>
  <c r="AV1565" i="5" s="1"/>
  <c r="AW1565" i="5"/>
  <c r="AX1565" i="5" s="1"/>
  <c r="AH1566" i="5"/>
  <c r="AY1566" i="5" s="1"/>
  <c r="M1566" i="5"/>
  <c r="F1566" i="5" s="1"/>
  <c r="M1565" i="5"/>
  <c r="F1565" i="5" s="1"/>
  <c r="AN1566" i="5"/>
  <c r="AO1566" i="5"/>
  <c r="AP1566" i="5"/>
  <c r="AR1566" i="5"/>
  <c r="AS1566" i="5" s="1"/>
  <c r="AU1566" i="5"/>
  <c r="AV1566" i="5" s="1"/>
  <c r="AW1566" i="5"/>
  <c r="AX1566" i="5" s="1"/>
  <c r="AH1567" i="5"/>
  <c r="AN1567" i="5"/>
  <c r="AO1567" i="5"/>
  <c r="AP1567" i="5"/>
  <c r="AH1568" i="5"/>
  <c r="AN1568" i="5"/>
  <c r="AO1568" i="5"/>
  <c r="AP1568" i="5"/>
  <c r="AJ1569" i="5"/>
  <c r="AK1569" i="5"/>
  <c r="AL1569" i="5"/>
  <c r="AN1569" i="5"/>
  <c r="AO1569" i="5"/>
  <c r="AP1569" i="5"/>
  <c r="AR1569" i="5"/>
  <c r="AS1569" i="5" s="1"/>
  <c r="AU1569" i="5"/>
  <c r="AV1569" i="5" s="1"/>
  <c r="AW1569" i="5"/>
  <c r="AX1569" i="5" s="1"/>
  <c r="AH1570" i="5"/>
  <c r="AY1570" i="5" s="1"/>
  <c r="M1570" i="5"/>
  <c r="F1570" i="5" s="1"/>
  <c r="AN1570" i="5"/>
  <c r="AO1570" i="5"/>
  <c r="AP1570" i="5"/>
  <c r="AR1570" i="5"/>
  <c r="AT1570" i="5" s="1"/>
  <c r="AU1570" i="5"/>
  <c r="AV1570" i="5" s="1"/>
  <c r="AW1570" i="5"/>
  <c r="AX1570" i="5" s="1"/>
  <c r="AH1571" i="5"/>
  <c r="AI1571" i="5" s="1"/>
  <c r="AN1571" i="5"/>
  <c r="AO1571" i="5"/>
  <c r="AP1571" i="5"/>
  <c r="AR1571" i="5"/>
  <c r="AU1571" i="5"/>
  <c r="AV1571" i="5" s="1"/>
  <c r="AW1571" i="5"/>
  <c r="AX1571" i="5" s="1"/>
  <c r="AH1572" i="5"/>
  <c r="AN1572" i="5"/>
  <c r="AO1572" i="5"/>
  <c r="AP1572" i="5"/>
  <c r="AR1572" i="5"/>
  <c r="AS1572" i="5" s="1"/>
  <c r="AU1572" i="5"/>
  <c r="AV1572" i="5" s="1"/>
  <c r="AW1572" i="5"/>
  <c r="AX1572" i="5" s="1"/>
  <c r="AH1573" i="5"/>
  <c r="AL1573" i="5" s="1"/>
  <c r="AN1573" i="5"/>
  <c r="AO1573" i="5"/>
  <c r="AP1573" i="5"/>
  <c r="AR1573" i="5"/>
  <c r="AU1573" i="5"/>
  <c r="AV1573" i="5" s="1"/>
  <c r="AW1573" i="5"/>
  <c r="AX1573" i="5" s="1"/>
  <c r="AH1574" i="5"/>
  <c r="AN1574" i="5"/>
  <c r="AO1574" i="5"/>
  <c r="AP1574" i="5"/>
  <c r="AH1575" i="5"/>
  <c r="AR1575" i="5" s="1"/>
  <c r="AN1575" i="5"/>
  <c r="AO1575" i="5"/>
  <c r="AP1575" i="5"/>
  <c r="AJ1576" i="5"/>
  <c r="AK1576" i="5"/>
  <c r="AL1576" i="5"/>
  <c r="AN1576" i="5"/>
  <c r="AO1576" i="5"/>
  <c r="AP1576" i="5"/>
  <c r="AR1576" i="5"/>
  <c r="AU1576" i="5"/>
  <c r="AV1576" i="5" s="1"/>
  <c r="AW1576" i="5"/>
  <c r="AX1576" i="5" s="1"/>
  <c r="AH1577" i="5"/>
  <c r="AY1577" i="5" s="1"/>
  <c r="AN1577" i="5"/>
  <c r="AO1577" i="5"/>
  <c r="AP1577" i="5"/>
  <c r="AR1577" i="5"/>
  <c r="AU1577" i="5"/>
  <c r="AV1577" i="5" s="1"/>
  <c r="AW1577" i="5"/>
  <c r="AX1577" i="5" s="1"/>
  <c r="AH1578" i="5"/>
  <c r="AN1578" i="5"/>
  <c r="AO1578" i="5"/>
  <c r="AP1578" i="5"/>
  <c r="AR1578" i="5"/>
  <c r="AU1578" i="5"/>
  <c r="AV1578" i="5" s="1"/>
  <c r="AW1578" i="5"/>
  <c r="AX1578" i="5" s="1"/>
  <c r="AH1579" i="5"/>
  <c r="AZ1579" i="5" s="1"/>
  <c r="AN1579" i="5"/>
  <c r="AO1579" i="5"/>
  <c r="AP1579" i="5"/>
  <c r="AR1579" i="5"/>
  <c r="AT1579" i="5" s="1"/>
  <c r="AU1579" i="5"/>
  <c r="AV1579" i="5" s="1"/>
  <c r="AW1579" i="5"/>
  <c r="AX1579" i="5" s="1"/>
  <c r="AH1580" i="5"/>
  <c r="AN1580" i="5"/>
  <c r="AO1580" i="5"/>
  <c r="AP1580" i="5"/>
  <c r="AR1580" i="5"/>
  <c r="AT1580" i="5" s="1"/>
  <c r="AU1580" i="5"/>
  <c r="AV1580" i="5" s="1"/>
  <c r="AW1580" i="5"/>
  <c r="AX1580" i="5" s="1"/>
  <c r="AH1581" i="5"/>
  <c r="AN1581" i="5"/>
  <c r="AO1581" i="5"/>
  <c r="AP1581" i="5"/>
  <c r="AH1582" i="5"/>
  <c r="AK1582" i="5" s="1"/>
  <c r="AN1582" i="5"/>
  <c r="AO1582" i="5"/>
  <c r="AP1582" i="5"/>
  <c r="AJ1583" i="5"/>
  <c r="AK1583" i="5"/>
  <c r="AL1583" i="5"/>
  <c r="AN1583" i="5"/>
  <c r="AO1583" i="5"/>
  <c r="AP1583" i="5"/>
  <c r="AR1583" i="5"/>
  <c r="AT1583" i="5" s="1"/>
  <c r="AU1583" i="5"/>
  <c r="AV1583" i="5" s="1"/>
  <c r="AW1583" i="5"/>
  <c r="AX1583" i="5" s="1"/>
  <c r="AH1584" i="5"/>
  <c r="AN1584" i="5"/>
  <c r="AO1584" i="5"/>
  <c r="AP1584" i="5"/>
  <c r="AR1584" i="5"/>
  <c r="AS1584" i="5" s="1"/>
  <c r="AU1584" i="5"/>
  <c r="AV1584" i="5" s="1"/>
  <c r="AW1584" i="5"/>
  <c r="AX1584" i="5" s="1"/>
  <c r="AH1585" i="5"/>
  <c r="AN1585" i="5"/>
  <c r="AO1585" i="5"/>
  <c r="AP1585" i="5"/>
  <c r="AR1585" i="5"/>
  <c r="AT1585" i="5" s="1"/>
  <c r="AU1585" i="5"/>
  <c r="AV1585" i="5" s="1"/>
  <c r="AW1585" i="5"/>
  <c r="AX1585" i="5" s="1"/>
  <c r="AH1586" i="5"/>
  <c r="AZ1586" i="5" s="1"/>
  <c r="AN1586" i="5"/>
  <c r="AO1586" i="5"/>
  <c r="AP1586" i="5"/>
  <c r="AR1586" i="5"/>
  <c r="AU1586" i="5"/>
  <c r="AV1586" i="5" s="1"/>
  <c r="AW1586" i="5"/>
  <c r="AX1586" i="5" s="1"/>
  <c r="AH1587" i="5"/>
  <c r="AN1587" i="5"/>
  <c r="AO1587" i="5"/>
  <c r="AP1587" i="5"/>
  <c r="AR1587" i="5"/>
  <c r="AT1587" i="5" s="1"/>
  <c r="AU1587" i="5"/>
  <c r="AV1587" i="5" s="1"/>
  <c r="AW1587" i="5"/>
  <c r="AX1587" i="5" s="1"/>
  <c r="AH1588" i="5"/>
  <c r="AN1588" i="5"/>
  <c r="AO1588" i="5"/>
  <c r="AP1588" i="5"/>
  <c r="AH1589" i="5"/>
  <c r="AN1589" i="5"/>
  <c r="AO1589" i="5"/>
  <c r="AP1589" i="5"/>
  <c r="AJ1590" i="5"/>
  <c r="AK1590" i="5"/>
  <c r="AL1590" i="5"/>
  <c r="AN1590" i="5"/>
  <c r="AO1590" i="5"/>
  <c r="AP1590" i="5"/>
  <c r="AR1590" i="5"/>
  <c r="AT1590" i="5" s="1"/>
  <c r="AU1590" i="5"/>
  <c r="AV1590" i="5" s="1"/>
  <c r="AW1590" i="5"/>
  <c r="AX1590" i="5" s="1"/>
  <c r="AH1591" i="5"/>
  <c r="AI1591" i="5" s="1"/>
  <c r="AN1591" i="5"/>
  <c r="AO1591" i="5"/>
  <c r="AP1591" i="5"/>
  <c r="AR1591" i="5"/>
  <c r="AU1591" i="5"/>
  <c r="AV1591" i="5" s="1"/>
  <c r="AW1591" i="5"/>
  <c r="AX1591" i="5" s="1"/>
  <c r="AH1592" i="5"/>
  <c r="AN1592" i="5"/>
  <c r="AO1592" i="5"/>
  <c r="AP1592" i="5"/>
  <c r="AR1592" i="5"/>
  <c r="AT1592" i="5" s="1"/>
  <c r="AU1592" i="5"/>
  <c r="AV1592" i="5" s="1"/>
  <c r="AW1592" i="5"/>
  <c r="AX1592" i="5" s="1"/>
  <c r="AH1593" i="5"/>
  <c r="AN1593" i="5"/>
  <c r="AO1593" i="5"/>
  <c r="AP1593" i="5"/>
  <c r="AR1593" i="5"/>
  <c r="AU1593" i="5"/>
  <c r="AV1593" i="5" s="1"/>
  <c r="AW1593" i="5"/>
  <c r="AX1593" i="5" s="1"/>
  <c r="AH1594" i="5"/>
  <c r="AZ1594" i="5" s="1"/>
  <c r="AN1594" i="5"/>
  <c r="AO1594" i="5"/>
  <c r="AP1594" i="5"/>
  <c r="AR1594" i="5"/>
  <c r="AT1594" i="5" s="1"/>
  <c r="AU1594" i="5"/>
  <c r="AV1594" i="5" s="1"/>
  <c r="AW1594" i="5"/>
  <c r="AX1594" i="5" s="1"/>
  <c r="AH1595" i="5"/>
  <c r="AR1595" i="5" s="1"/>
  <c r="AT1595" i="5" s="1"/>
  <c r="AN1595" i="5"/>
  <c r="AO1595" i="5"/>
  <c r="AP1595" i="5"/>
  <c r="AH1596" i="5"/>
  <c r="AW1596" i="5" s="1"/>
  <c r="AX1596" i="5" s="1"/>
  <c r="AN1596" i="5"/>
  <c r="AO1596" i="5"/>
  <c r="AP1596" i="5"/>
  <c r="AJ1597" i="5"/>
  <c r="AK1597" i="5"/>
  <c r="AL1597" i="5"/>
  <c r="AN1597" i="5"/>
  <c r="AO1597" i="5"/>
  <c r="AP1597" i="5"/>
  <c r="AR1597" i="5"/>
  <c r="AT1597" i="5" s="1"/>
  <c r="AU1597" i="5"/>
  <c r="AV1597" i="5" s="1"/>
  <c r="AW1597" i="5"/>
  <c r="AX1597" i="5" s="1"/>
  <c r="AH1598" i="5"/>
  <c r="AJ1598" i="5" s="1"/>
  <c r="AN1598" i="5"/>
  <c r="AO1598" i="5"/>
  <c r="AP1598" i="5"/>
  <c r="AR1598" i="5"/>
  <c r="AU1598" i="5"/>
  <c r="AV1598" i="5" s="1"/>
  <c r="AW1598" i="5"/>
  <c r="AX1598" i="5" s="1"/>
  <c r="AH1599" i="5"/>
  <c r="AZ1599" i="5" s="1"/>
  <c r="AN1599" i="5"/>
  <c r="AO1599" i="5"/>
  <c r="AP1599" i="5"/>
  <c r="AR1599" i="5"/>
  <c r="AT1599" i="5" s="1"/>
  <c r="AU1599" i="5"/>
  <c r="AV1599" i="5" s="1"/>
  <c r="AW1599" i="5"/>
  <c r="AX1599" i="5" s="1"/>
  <c r="AH1600" i="5"/>
  <c r="AN1600" i="5"/>
  <c r="AO1600" i="5"/>
  <c r="AP1600" i="5"/>
  <c r="AR1600" i="5"/>
  <c r="AU1600" i="5"/>
  <c r="AV1600" i="5" s="1"/>
  <c r="AW1600" i="5"/>
  <c r="AX1600" i="5" s="1"/>
  <c r="AH1601" i="5"/>
  <c r="AN1601" i="5"/>
  <c r="AO1601" i="5"/>
  <c r="AP1601" i="5"/>
  <c r="AR1601" i="5"/>
  <c r="AU1601" i="5"/>
  <c r="AV1601" i="5" s="1"/>
  <c r="AW1601" i="5"/>
  <c r="AX1601" i="5" s="1"/>
  <c r="AH1602" i="5"/>
  <c r="AY1602" i="5" s="1"/>
  <c r="AN1602" i="5"/>
  <c r="AO1602" i="5"/>
  <c r="AP1602" i="5"/>
  <c r="AH1603" i="5"/>
  <c r="AY1603" i="5" s="1"/>
  <c r="AN1603" i="5"/>
  <c r="AO1603" i="5"/>
  <c r="AP1603" i="5"/>
  <c r="AJ1604" i="5"/>
  <c r="AK1604" i="5"/>
  <c r="AL1604" i="5"/>
  <c r="AN1604" i="5"/>
  <c r="AO1604" i="5"/>
  <c r="AP1604" i="5"/>
  <c r="AR1604" i="5"/>
  <c r="AU1604" i="5"/>
  <c r="AV1604" i="5" s="1"/>
  <c r="AW1604" i="5"/>
  <c r="AX1604" i="5" s="1"/>
  <c r="AH1605" i="5"/>
  <c r="AJ1605" i="5" s="1"/>
  <c r="AN1605" i="5"/>
  <c r="AO1605" i="5"/>
  <c r="AP1605" i="5"/>
  <c r="AR1605" i="5"/>
  <c r="AT1605" i="5" s="1"/>
  <c r="AU1605" i="5"/>
  <c r="AV1605" i="5" s="1"/>
  <c r="AW1605" i="5"/>
  <c r="AX1605" i="5" s="1"/>
  <c r="AH1606" i="5"/>
  <c r="AL1606" i="5" s="1"/>
  <c r="AN1606" i="5"/>
  <c r="AO1606" i="5"/>
  <c r="AP1606" i="5"/>
  <c r="AR1606" i="5"/>
  <c r="AS1606" i="5" s="1"/>
  <c r="AU1606" i="5"/>
  <c r="AV1606" i="5" s="1"/>
  <c r="AW1606" i="5"/>
  <c r="AX1606" i="5" s="1"/>
  <c r="AH1607" i="5"/>
  <c r="AL1607" i="5" s="1"/>
  <c r="AN1607" i="5"/>
  <c r="AO1607" i="5"/>
  <c r="AP1607" i="5"/>
  <c r="AR1607" i="5"/>
  <c r="AT1607" i="5" s="1"/>
  <c r="AU1607" i="5"/>
  <c r="AV1607" i="5" s="1"/>
  <c r="AW1607" i="5"/>
  <c r="AX1607" i="5" s="1"/>
  <c r="AH1608" i="5"/>
  <c r="AL1608" i="5" s="1"/>
  <c r="AN1608" i="5"/>
  <c r="AO1608" i="5"/>
  <c r="AP1608" i="5"/>
  <c r="AR1608" i="5"/>
  <c r="AU1608" i="5"/>
  <c r="AV1608" i="5" s="1"/>
  <c r="AW1608" i="5"/>
  <c r="AX1608" i="5" s="1"/>
  <c r="AH1609" i="5"/>
  <c r="AU1609" i="5" s="1"/>
  <c r="AV1609" i="5" s="1"/>
  <c r="AN1609" i="5"/>
  <c r="AO1609" i="5"/>
  <c r="AP1609" i="5"/>
  <c r="AH1610" i="5"/>
  <c r="AL1610" i="5" s="1"/>
  <c r="AN1610" i="5"/>
  <c r="AO1610" i="5"/>
  <c r="AP1610" i="5"/>
  <c r="AJ1611" i="5"/>
  <c r="AK1611" i="5"/>
  <c r="AL1611" i="5"/>
  <c r="AN1611" i="5"/>
  <c r="AO1611" i="5"/>
  <c r="AP1611" i="5"/>
  <c r="AR1611" i="5"/>
  <c r="AU1611" i="5"/>
  <c r="AV1611" i="5" s="1"/>
  <c r="AW1611" i="5"/>
  <c r="AX1611" i="5" s="1"/>
  <c r="AH1612" i="5"/>
  <c r="AI1612" i="5" s="1"/>
  <c r="AN1612" i="5"/>
  <c r="AO1612" i="5"/>
  <c r="AP1612" i="5"/>
  <c r="AR1612" i="5"/>
  <c r="AS1612" i="5" s="1"/>
  <c r="AU1612" i="5"/>
  <c r="AV1612" i="5" s="1"/>
  <c r="AW1612" i="5"/>
  <c r="AX1612" i="5" s="1"/>
  <c r="AH1613" i="5"/>
  <c r="AL1613" i="5" s="1"/>
  <c r="AN1613" i="5"/>
  <c r="AO1613" i="5"/>
  <c r="AP1613" i="5"/>
  <c r="AR1613" i="5"/>
  <c r="AU1613" i="5"/>
  <c r="AV1613" i="5" s="1"/>
  <c r="AW1613" i="5"/>
  <c r="AX1613" i="5" s="1"/>
  <c r="AH1614" i="5"/>
  <c r="AZ1614" i="5" s="1"/>
  <c r="AN1614" i="5"/>
  <c r="AO1614" i="5"/>
  <c r="AP1614" i="5"/>
  <c r="AR1614" i="5"/>
  <c r="AT1614" i="5" s="1"/>
  <c r="AU1614" i="5"/>
  <c r="AV1614" i="5" s="1"/>
  <c r="AW1614" i="5"/>
  <c r="AX1614" i="5" s="1"/>
  <c r="AH1615" i="5"/>
  <c r="AY1615" i="5" s="1"/>
  <c r="AN1615" i="5"/>
  <c r="AO1615" i="5"/>
  <c r="AP1615" i="5"/>
  <c r="AR1615" i="5"/>
  <c r="AS1615" i="5" s="1"/>
  <c r="AU1615" i="5"/>
  <c r="AV1615" i="5" s="1"/>
  <c r="AW1615" i="5"/>
  <c r="AX1615" i="5" s="1"/>
  <c r="AH1616" i="5"/>
  <c r="AJ1616" i="5" s="1"/>
  <c r="AN1616" i="5"/>
  <c r="AO1616" i="5"/>
  <c r="AP1616" i="5"/>
  <c r="AH1617" i="5"/>
  <c r="AN1617" i="5"/>
  <c r="AO1617" i="5"/>
  <c r="AP1617" i="5"/>
  <c r="AJ1618" i="5"/>
  <c r="AK1618" i="5"/>
  <c r="AL1618" i="5"/>
  <c r="AN1618" i="5"/>
  <c r="AO1618" i="5"/>
  <c r="AP1618" i="5"/>
  <c r="AR1618" i="5"/>
  <c r="AS1618" i="5" s="1"/>
  <c r="AU1618" i="5"/>
  <c r="AV1618" i="5" s="1"/>
  <c r="AW1618" i="5"/>
  <c r="AX1618" i="5" s="1"/>
  <c r="AH1619" i="5"/>
  <c r="AY1619" i="5" s="1"/>
  <c r="AN1619" i="5"/>
  <c r="AO1619" i="5"/>
  <c r="AP1619" i="5"/>
  <c r="AR1619" i="5"/>
  <c r="AT1619" i="5" s="1"/>
  <c r="AU1619" i="5"/>
  <c r="AV1619" i="5" s="1"/>
  <c r="AW1619" i="5"/>
  <c r="AX1619" i="5" s="1"/>
  <c r="AH1620" i="5"/>
  <c r="AN1620" i="5"/>
  <c r="AO1620" i="5"/>
  <c r="AP1620" i="5"/>
  <c r="AR1620" i="5"/>
  <c r="AU1620" i="5"/>
  <c r="AV1620" i="5" s="1"/>
  <c r="AW1620" i="5"/>
  <c r="AX1620" i="5" s="1"/>
  <c r="AH1621" i="5"/>
  <c r="AL1621" i="5" s="1"/>
  <c r="AN1621" i="5"/>
  <c r="AO1621" i="5"/>
  <c r="AP1621" i="5"/>
  <c r="AR1621" i="5"/>
  <c r="AS1621" i="5" s="1"/>
  <c r="AU1621" i="5"/>
  <c r="AV1621" i="5" s="1"/>
  <c r="AW1621" i="5"/>
  <c r="AX1621" i="5" s="1"/>
  <c r="AH1622" i="5"/>
  <c r="AN1622" i="5"/>
  <c r="AO1622" i="5"/>
  <c r="AP1622" i="5"/>
  <c r="AR1622" i="5"/>
  <c r="AS1622" i="5" s="1"/>
  <c r="AU1622" i="5"/>
  <c r="AV1622" i="5" s="1"/>
  <c r="AW1622" i="5"/>
  <c r="AX1622" i="5" s="1"/>
  <c r="AH1623" i="5"/>
  <c r="AZ1623" i="5" s="1"/>
  <c r="AN1623" i="5"/>
  <c r="AO1623" i="5"/>
  <c r="AP1623" i="5"/>
  <c r="AH1624" i="5"/>
  <c r="AZ1624" i="5" s="1"/>
  <c r="AN1624" i="5"/>
  <c r="AO1624" i="5"/>
  <c r="AP1624" i="5"/>
  <c r="AJ1625" i="5"/>
  <c r="AK1625" i="5"/>
  <c r="AL1625" i="5"/>
  <c r="AN1625" i="5"/>
  <c r="AO1625" i="5"/>
  <c r="AP1625" i="5"/>
  <c r="AR1625" i="5"/>
  <c r="AU1625" i="5"/>
  <c r="AV1625" i="5" s="1"/>
  <c r="AW1625" i="5"/>
  <c r="AX1625" i="5" s="1"/>
  <c r="AH1626" i="5"/>
  <c r="AJ1626" i="5" s="1"/>
  <c r="AN1626" i="5"/>
  <c r="AO1626" i="5"/>
  <c r="AP1626" i="5"/>
  <c r="AR1626" i="5"/>
  <c r="AU1626" i="5"/>
  <c r="AV1626" i="5" s="1"/>
  <c r="AW1626" i="5"/>
  <c r="AX1626" i="5" s="1"/>
  <c r="AH1627" i="5"/>
  <c r="AJ1627" i="5" s="1"/>
  <c r="AN1627" i="5"/>
  <c r="AO1627" i="5"/>
  <c r="AP1627" i="5"/>
  <c r="AR1627" i="5"/>
  <c r="AS1627" i="5" s="1"/>
  <c r="AU1627" i="5"/>
  <c r="AV1627" i="5" s="1"/>
  <c r="AW1627" i="5"/>
  <c r="AX1627" i="5" s="1"/>
  <c r="AH1628" i="5"/>
  <c r="AN1628" i="5"/>
  <c r="AO1628" i="5"/>
  <c r="AP1628" i="5"/>
  <c r="AR1628" i="5"/>
  <c r="AU1628" i="5"/>
  <c r="AV1628" i="5" s="1"/>
  <c r="AW1628" i="5"/>
  <c r="AX1628" i="5" s="1"/>
  <c r="AH1629" i="5"/>
  <c r="AY1629" i="5" s="1"/>
  <c r="AN1629" i="5"/>
  <c r="AO1629" i="5"/>
  <c r="AP1629" i="5"/>
  <c r="AR1629" i="5"/>
  <c r="AU1629" i="5"/>
  <c r="AV1629" i="5" s="1"/>
  <c r="AW1629" i="5"/>
  <c r="AX1629" i="5" s="1"/>
  <c r="AH1630" i="5"/>
  <c r="AW1630" i="5" s="1"/>
  <c r="AX1630" i="5" s="1"/>
  <c r="AN1630" i="5"/>
  <c r="AO1630" i="5"/>
  <c r="AP1630" i="5"/>
  <c r="AH1631" i="5"/>
  <c r="AZ1631" i="5" s="1"/>
  <c r="AN1631" i="5"/>
  <c r="AO1631" i="5"/>
  <c r="AP1631" i="5"/>
  <c r="AJ1632" i="5"/>
  <c r="AK1632" i="5"/>
  <c r="AL1632" i="5"/>
  <c r="AN1632" i="5"/>
  <c r="AO1632" i="5"/>
  <c r="AP1632" i="5"/>
  <c r="AR1632" i="5"/>
  <c r="AU1632" i="5"/>
  <c r="AV1632" i="5" s="1"/>
  <c r="AW1632" i="5"/>
  <c r="AX1632" i="5" s="1"/>
  <c r="AH1633" i="5"/>
  <c r="AK1633" i="5" s="1"/>
  <c r="AN1633" i="5"/>
  <c r="AO1633" i="5"/>
  <c r="AP1633" i="5"/>
  <c r="AR1633" i="5"/>
  <c r="AU1633" i="5"/>
  <c r="AV1633" i="5" s="1"/>
  <c r="AW1633" i="5"/>
  <c r="AX1633" i="5" s="1"/>
  <c r="AH1634" i="5"/>
  <c r="AL1634" i="5" s="1"/>
  <c r="AN1634" i="5"/>
  <c r="AO1634" i="5"/>
  <c r="AP1634" i="5"/>
  <c r="AR1634" i="5"/>
  <c r="AT1634" i="5" s="1"/>
  <c r="AU1634" i="5"/>
  <c r="AV1634" i="5" s="1"/>
  <c r="AW1634" i="5"/>
  <c r="AX1634" i="5" s="1"/>
  <c r="AH1635" i="5"/>
  <c r="AL1635" i="5" s="1"/>
  <c r="AN1635" i="5"/>
  <c r="AO1635" i="5"/>
  <c r="AP1635" i="5"/>
  <c r="AR1635" i="5"/>
  <c r="AS1635" i="5" s="1"/>
  <c r="AU1635" i="5"/>
  <c r="AV1635" i="5" s="1"/>
  <c r="AW1635" i="5"/>
  <c r="AX1635" i="5" s="1"/>
  <c r="AH1636" i="5"/>
  <c r="AN1636" i="5"/>
  <c r="AO1636" i="5"/>
  <c r="AP1636" i="5"/>
  <c r="AR1636" i="5"/>
  <c r="AU1636" i="5"/>
  <c r="AV1636" i="5" s="1"/>
  <c r="AW1636" i="5"/>
  <c r="AX1636" i="5" s="1"/>
  <c r="AH1637" i="5"/>
  <c r="AJ1637" i="5" s="1"/>
  <c r="AN1637" i="5"/>
  <c r="AO1637" i="5"/>
  <c r="AP1637" i="5"/>
  <c r="AH1638" i="5"/>
  <c r="AU1638" i="5" s="1"/>
  <c r="AV1638" i="5" s="1"/>
  <c r="AN1638" i="5"/>
  <c r="AO1638" i="5"/>
  <c r="AP1638" i="5"/>
  <c r="AJ1639" i="5"/>
  <c r="AK1639" i="5"/>
  <c r="AL1639" i="5"/>
  <c r="AN1639" i="5"/>
  <c r="AO1639" i="5"/>
  <c r="AP1639" i="5"/>
  <c r="AR1639" i="5"/>
  <c r="AT1639" i="5" s="1"/>
  <c r="AU1639" i="5"/>
  <c r="AV1639" i="5" s="1"/>
  <c r="AW1639" i="5"/>
  <c r="AX1639" i="5" s="1"/>
  <c r="AH1640" i="5"/>
  <c r="AN1640" i="5"/>
  <c r="AO1640" i="5"/>
  <c r="AP1640" i="5"/>
  <c r="AR1640" i="5"/>
  <c r="AU1640" i="5"/>
  <c r="AV1640" i="5" s="1"/>
  <c r="AW1640" i="5"/>
  <c r="AX1640" i="5" s="1"/>
  <c r="AH1641" i="5"/>
  <c r="AN1641" i="5"/>
  <c r="AO1641" i="5"/>
  <c r="AP1641" i="5"/>
  <c r="AR1641" i="5"/>
  <c r="AT1641" i="5" s="1"/>
  <c r="AU1641" i="5"/>
  <c r="AV1641" i="5" s="1"/>
  <c r="AW1641" i="5"/>
  <c r="AX1641" i="5" s="1"/>
  <c r="AH1642" i="5"/>
  <c r="AZ1642" i="5" s="1"/>
  <c r="AN1642" i="5"/>
  <c r="AO1642" i="5"/>
  <c r="AP1642" i="5"/>
  <c r="AR1642" i="5"/>
  <c r="AT1642" i="5" s="1"/>
  <c r="AU1642" i="5"/>
  <c r="AV1642" i="5" s="1"/>
  <c r="AW1642" i="5"/>
  <c r="AX1642" i="5" s="1"/>
  <c r="AH1643" i="5"/>
  <c r="AN1643" i="5"/>
  <c r="AO1643" i="5"/>
  <c r="AP1643" i="5"/>
  <c r="AR1643" i="5"/>
  <c r="AU1643" i="5"/>
  <c r="AV1643" i="5" s="1"/>
  <c r="AW1643" i="5"/>
  <c r="AX1643" i="5" s="1"/>
  <c r="AH1644" i="5"/>
  <c r="AN1644" i="5"/>
  <c r="AO1644" i="5"/>
  <c r="AP1644" i="5"/>
  <c r="AH1645" i="5"/>
  <c r="AN1645" i="5"/>
  <c r="AO1645" i="5"/>
  <c r="AP1645" i="5"/>
  <c r="AJ1646" i="5"/>
  <c r="AK1646" i="5"/>
  <c r="AL1646" i="5"/>
  <c r="AN1646" i="5"/>
  <c r="AO1646" i="5"/>
  <c r="AP1646" i="5"/>
  <c r="AR1646" i="5"/>
  <c r="AT1646" i="5" s="1"/>
  <c r="AU1646" i="5"/>
  <c r="AV1646" i="5" s="1"/>
  <c r="AW1646" i="5"/>
  <c r="AX1646" i="5" s="1"/>
  <c r="AH1647" i="5"/>
  <c r="AN1647" i="5"/>
  <c r="AO1647" i="5"/>
  <c r="AP1647" i="5"/>
  <c r="AR1647" i="5"/>
  <c r="AT1647" i="5" s="1"/>
  <c r="AU1647" i="5"/>
  <c r="AV1647" i="5" s="1"/>
  <c r="AW1647" i="5"/>
  <c r="AX1647" i="5" s="1"/>
  <c r="AH1648" i="5"/>
  <c r="AN1648" i="5"/>
  <c r="AO1648" i="5"/>
  <c r="AP1648" i="5"/>
  <c r="AR1648" i="5"/>
  <c r="AU1648" i="5"/>
  <c r="AV1648" i="5" s="1"/>
  <c r="AW1648" i="5"/>
  <c r="AX1648" i="5" s="1"/>
  <c r="AH1649" i="5"/>
  <c r="AL1649" i="5" s="1"/>
  <c r="AN1649" i="5"/>
  <c r="AO1649" i="5"/>
  <c r="AP1649" i="5"/>
  <c r="AR1649" i="5"/>
  <c r="AU1649" i="5"/>
  <c r="AV1649" i="5" s="1"/>
  <c r="AW1649" i="5"/>
  <c r="AX1649" i="5" s="1"/>
  <c r="AH1650" i="5"/>
  <c r="AR1650" i="5" s="1"/>
  <c r="AN1650" i="5"/>
  <c r="AO1650" i="5"/>
  <c r="AP1650" i="5"/>
  <c r="AH1651" i="5"/>
  <c r="AI1652" i="5" s="1"/>
  <c r="AN1651" i="5"/>
  <c r="AO1651" i="5"/>
  <c r="AP1651" i="5"/>
  <c r="AJ1652" i="5"/>
  <c r="AK1652" i="5"/>
  <c r="AL1652" i="5"/>
  <c r="AN1652" i="5"/>
  <c r="AO1652" i="5"/>
  <c r="AP1652" i="5"/>
  <c r="AR1652" i="5"/>
  <c r="AU1652" i="5"/>
  <c r="AV1652" i="5" s="1"/>
  <c r="AW1652" i="5"/>
  <c r="AX1652" i="5" s="1"/>
  <c r="AH1653" i="5"/>
  <c r="AK1653" i="5" s="1"/>
  <c r="AN1653" i="5"/>
  <c r="AO1653" i="5"/>
  <c r="AP1653" i="5"/>
  <c r="AR1653" i="5"/>
  <c r="AU1653" i="5"/>
  <c r="AV1653" i="5" s="1"/>
  <c r="AW1653" i="5"/>
  <c r="AX1653" i="5" s="1"/>
  <c r="AH1654" i="5"/>
  <c r="AY1654" i="5" s="1"/>
  <c r="AN1654" i="5"/>
  <c r="AO1654" i="5"/>
  <c r="AP1654" i="5"/>
  <c r="AR1654" i="5"/>
  <c r="AU1654" i="5"/>
  <c r="AV1654" i="5" s="1"/>
  <c r="AW1654" i="5"/>
  <c r="AX1654" i="5" s="1"/>
  <c r="AH1655" i="5"/>
  <c r="AN1655" i="5"/>
  <c r="AO1655" i="5"/>
  <c r="AP1655" i="5"/>
  <c r="AR1655" i="5"/>
  <c r="AS1655" i="5" s="1"/>
  <c r="AU1655" i="5"/>
  <c r="AV1655" i="5" s="1"/>
  <c r="AW1655" i="5"/>
  <c r="AX1655" i="5" s="1"/>
  <c r="AH1656" i="5"/>
  <c r="AU1656" i="5" s="1"/>
  <c r="AV1656" i="5" s="1"/>
  <c r="AN1656" i="5"/>
  <c r="AO1656" i="5"/>
  <c r="AP1656" i="5"/>
  <c r="AH1657" i="5"/>
  <c r="AN1657" i="5"/>
  <c r="AO1657" i="5"/>
  <c r="AP1657" i="5"/>
  <c r="AJ1658" i="5"/>
  <c r="AK1658" i="5"/>
  <c r="AL1658" i="5"/>
  <c r="AN1658" i="5"/>
  <c r="AO1658" i="5"/>
  <c r="AP1658" i="5"/>
  <c r="AR1658" i="5"/>
  <c r="AU1658" i="5"/>
  <c r="AV1658" i="5" s="1"/>
  <c r="AW1658" i="5"/>
  <c r="AX1658" i="5" s="1"/>
  <c r="AH1659" i="5"/>
  <c r="AZ1659" i="5" s="1"/>
  <c r="AN1659" i="5"/>
  <c r="AO1659" i="5"/>
  <c r="AP1659" i="5"/>
  <c r="AR1659" i="5"/>
  <c r="AS1659" i="5" s="1"/>
  <c r="AU1659" i="5"/>
  <c r="AV1659" i="5" s="1"/>
  <c r="AW1659" i="5"/>
  <c r="AX1659" i="5" s="1"/>
  <c r="AH1660" i="5"/>
  <c r="AY1660" i="5" s="1"/>
  <c r="AN1660" i="5"/>
  <c r="AO1660" i="5"/>
  <c r="AP1660" i="5"/>
  <c r="AR1660" i="5"/>
  <c r="AU1660" i="5"/>
  <c r="AV1660" i="5" s="1"/>
  <c r="AW1660" i="5"/>
  <c r="AX1660" i="5" s="1"/>
  <c r="AH1661" i="5"/>
  <c r="AZ1661" i="5" s="1"/>
  <c r="AN1661" i="5"/>
  <c r="AO1661" i="5"/>
  <c r="AP1661" i="5"/>
  <c r="AR1661" i="5"/>
  <c r="AU1661" i="5"/>
  <c r="AV1661" i="5" s="1"/>
  <c r="AW1661" i="5"/>
  <c r="AX1661" i="5" s="1"/>
  <c r="AH1662" i="5"/>
  <c r="AN1662" i="5"/>
  <c r="AO1662" i="5"/>
  <c r="AP1662" i="5"/>
  <c r="AH1663" i="5"/>
  <c r="AK1663" i="5" s="1"/>
  <c r="AN1663" i="5"/>
  <c r="AO1663" i="5"/>
  <c r="AP1663" i="5"/>
  <c r="AJ1664" i="5"/>
  <c r="AK1664" i="5"/>
  <c r="AL1664" i="5"/>
  <c r="AN1664" i="5"/>
  <c r="AO1664" i="5"/>
  <c r="AP1664" i="5"/>
  <c r="AR1664" i="5"/>
  <c r="AU1664" i="5"/>
  <c r="AV1664" i="5" s="1"/>
  <c r="AW1664" i="5"/>
  <c r="AX1664" i="5" s="1"/>
  <c r="AH1665" i="5"/>
  <c r="AL1665" i="5" s="1"/>
  <c r="AN1665" i="5"/>
  <c r="AO1665" i="5"/>
  <c r="AP1665" i="5"/>
  <c r="AR1665" i="5"/>
  <c r="AT1665" i="5" s="1"/>
  <c r="AU1665" i="5"/>
  <c r="AV1665" i="5" s="1"/>
  <c r="AW1665" i="5"/>
  <c r="AX1665" i="5" s="1"/>
  <c r="AH1666" i="5"/>
  <c r="AL1666" i="5" s="1"/>
  <c r="AN1666" i="5"/>
  <c r="AO1666" i="5"/>
  <c r="AP1666" i="5"/>
  <c r="AR1666" i="5"/>
  <c r="AS1666" i="5" s="1"/>
  <c r="AU1666" i="5"/>
  <c r="AV1666" i="5" s="1"/>
  <c r="AW1666" i="5"/>
  <c r="AX1666" i="5" s="1"/>
  <c r="AH1667" i="5"/>
  <c r="AL1667" i="5" s="1"/>
  <c r="AN1667" i="5"/>
  <c r="AO1667" i="5"/>
  <c r="AP1667" i="5"/>
  <c r="AR1667" i="5"/>
  <c r="AT1667" i="5" s="1"/>
  <c r="AU1667" i="5"/>
  <c r="AV1667" i="5" s="1"/>
  <c r="AW1667" i="5"/>
  <c r="AX1667" i="5" s="1"/>
  <c r="AH1668" i="5"/>
  <c r="AN1668" i="5"/>
  <c r="AO1668" i="5"/>
  <c r="AP1668" i="5"/>
  <c r="AH1669" i="5"/>
  <c r="AL1669" i="5" s="1"/>
  <c r="AN1669" i="5"/>
  <c r="AO1669" i="5"/>
  <c r="AP1669" i="5"/>
  <c r="AJ1670" i="5"/>
  <c r="AK1670" i="5"/>
  <c r="AL1670" i="5"/>
  <c r="AN1670" i="5"/>
  <c r="AO1670" i="5"/>
  <c r="AP1670" i="5"/>
  <c r="AR1670" i="5"/>
  <c r="AT1670" i="5" s="1"/>
  <c r="AU1670" i="5"/>
  <c r="AV1670" i="5" s="1"/>
  <c r="AW1670" i="5"/>
  <c r="AX1670" i="5" s="1"/>
  <c r="AH1671" i="5"/>
  <c r="AK1671" i="5" s="1"/>
  <c r="AN1671" i="5"/>
  <c r="AO1671" i="5"/>
  <c r="AP1671" i="5"/>
  <c r="AR1671" i="5"/>
  <c r="AT1671" i="5" s="1"/>
  <c r="AU1671" i="5"/>
  <c r="AV1671" i="5" s="1"/>
  <c r="AW1671" i="5"/>
  <c r="AX1671" i="5" s="1"/>
  <c r="AH1672" i="5"/>
  <c r="AN1672" i="5"/>
  <c r="AO1672" i="5"/>
  <c r="AP1672" i="5"/>
  <c r="AR1672" i="5"/>
  <c r="AU1672" i="5"/>
  <c r="AV1672" i="5" s="1"/>
  <c r="AW1672" i="5"/>
  <c r="AX1672" i="5" s="1"/>
  <c r="AH1673" i="5"/>
  <c r="AN1673" i="5"/>
  <c r="AO1673" i="5"/>
  <c r="AP1673" i="5"/>
  <c r="AR1673" i="5"/>
  <c r="AU1673" i="5"/>
  <c r="AV1673" i="5" s="1"/>
  <c r="AW1673" i="5"/>
  <c r="AX1673" i="5" s="1"/>
  <c r="AH1674" i="5"/>
  <c r="AY1674" i="5" s="1"/>
  <c r="AN1674" i="5"/>
  <c r="AO1674" i="5"/>
  <c r="AP1674" i="5"/>
  <c r="AH1675" i="5"/>
  <c r="AL1675" i="5" s="1"/>
  <c r="AN1675" i="5"/>
  <c r="AO1675" i="5"/>
  <c r="AP1675" i="5"/>
  <c r="AJ1676" i="5"/>
  <c r="AK1676" i="5"/>
  <c r="AL1676" i="5"/>
  <c r="AN1676" i="5"/>
  <c r="AO1676" i="5"/>
  <c r="AP1676" i="5"/>
  <c r="AR1676" i="5"/>
  <c r="AS1676" i="5" s="1"/>
  <c r="AU1676" i="5"/>
  <c r="AV1676" i="5" s="1"/>
  <c r="AW1676" i="5"/>
  <c r="AX1676" i="5" s="1"/>
  <c r="AH1677" i="5"/>
  <c r="AI1677" i="5" s="1"/>
  <c r="AN1677" i="5"/>
  <c r="AO1677" i="5"/>
  <c r="AP1677" i="5"/>
  <c r="AR1677" i="5"/>
  <c r="AU1677" i="5"/>
  <c r="AV1677" i="5" s="1"/>
  <c r="AW1677" i="5"/>
  <c r="AX1677" i="5" s="1"/>
  <c r="AH1678" i="5"/>
  <c r="AJ1678" i="5" s="1"/>
  <c r="AN1678" i="5"/>
  <c r="AO1678" i="5"/>
  <c r="AP1678" i="5"/>
  <c r="AR1678" i="5"/>
  <c r="AS1678" i="5" s="1"/>
  <c r="AU1678" i="5"/>
  <c r="AV1678" i="5" s="1"/>
  <c r="AW1678" i="5"/>
  <c r="AX1678" i="5" s="1"/>
  <c r="AH1679" i="5"/>
  <c r="AN1679" i="5"/>
  <c r="AO1679" i="5"/>
  <c r="AP1679" i="5"/>
  <c r="AR1679" i="5"/>
  <c r="AT1679" i="5" s="1"/>
  <c r="AU1679" i="5"/>
  <c r="AV1679" i="5" s="1"/>
  <c r="AW1679" i="5"/>
  <c r="AX1679" i="5" s="1"/>
  <c r="AH1680" i="5"/>
  <c r="AY1680" i="5" s="1"/>
  <c r="AN1680" i="5"/>
  <c r="AO1680" i="5"/>
  <c r="AP1680" i="5"/>
  <c r="AH1681" i="5"/>
  <c r="AN1681" i="5"/>
  <c r="AO1681" i="5"/>
  <c r="AP1681" i="5"/>
  <c r="AJ1682" i="5"/>
  <c r="AK1682" i="5"/>
  <c r="AL1682" i="5"/>
  <c r="AN1682" i="5"/>
  <c r="AO1682" i="5"/>
  <c r="AP1682" i="5"/>
  <c r="AR1682" i="5"/>
  <c r="AU1682" i="5"/>
  <c r="AV1682" i="5" s="1"/>
  <c r="AW1682" i="5"/>
  <c r="AX1682" i="5" s="1"/>
  <c r="AH1683" i="5"/>
  <c r="AZ1683" i="5" s="1"/>
  <c r="AN1683" i="5"/>
  <c r="AO1683" i="5"/>
  <c r="AP1683" i="5"/>
  <c r="AR1683" i="5"/>
  <c r="AU1683" i="5"/>
  <c r="AV1683" i="5" s="1"/>
  <c r="AW1683" i="5"/>
  <c r="AX1683" i="5" s="1"/>
  <c r="AH1684" i="5"/>
  <c r="AK1684" i="5" s="1"/>
  <c r="AN1684" i="5"/>
  <c r="AO1684" i="5"/>
  <c r="AP1684" i="5"/>
  <c r="AR1684" i="5"/>
  <c r="AU1684" i="5"/>
  <c r="AV1684" i="5" s="1"/>
  <c r="AW1684" i="5"/>
  <c r="AX1684" i="5" s="1"/>
  <c r="AH1685" i="5"/>
  <c r="AL1685" i="5" s="1"/>
  <c r="AN1685" i="5"/>
  <c r="AO1685" i="5"/>
  <c r="AP1685" i="5"/>
  <c r="AR1685" i="5"/>
  <c r="AU1685" i="5"/>
  <c r="AV1685" i="5" s="1"/>
  <c r="AW1685" i="5"/>
  <c r="AX1685" i="5" s="1"/>
  <c r="AH1686" i="5"/>
  <c r="AL1686" i="5" s="1"/>
  <c r="AN1686" i="5"/>
  <c r="AO1686" i="5"/>
  <c r="AP1686" i="5"/>
  <c r="AH1687" i="5"/>
  <c r="AK1687" i="5" s="1"/>
  <c r="AN1687" i="5"/>
  <c r="AO1687" i="5"/>
  <c r="AP1687" i="5"/>
  <c r="AJ1688" i="5"/>
  <c r="AK1688" i="5"/>
  <c r="AL1688" i="5"/>
  <c r="AN1688" i="5"/>
  <c r="AO1688" i="5"/>
  <c r="AP1688" i="5"/>
  <c r="AR1688" i="5"/>
  <c r="AS1688" i="5" s="1"/>
  <c r="AU1688" i="5"/>
  <c r="AV1688" i="5" s="1"/>
  <c r="AW1688" i="5"/>
  <c r="AX1688" i="5" s="1"/>
  <c r="AN1689" i="5"/>
  <c r="AO1689" i="5"/>
  <c r="AP1689" i="5"/>
  <c r="AR1689" i="5"/>
  <c r="AS1689" i="5" s="1"/>
  <c r="AU1689" i="5"/>
  <c r="AV1689" i="5" s="1"/>
  <c r="AW1689" i="5"/>
  <c r="AX1689" i="5" s="1"/>
  <c r="AH1690" i="5"/>
  <c r="AY1690" i="5" s="1"/>
  <c r="AN1690" i="5"/>
  <c r="AO1690" i="5"/>
  <c r="AP1690" i="5"/>
  <c r="AR1690" i="5"/>
  <c r="AS1690" i="5" s="1"/>
  <c r="AU1690" i="5"/>
  <c r="AV1690" i="5" s="1"/>
  <c r="AW1690" i="5"/>
  <c r="AX1690" i="5" s="1"/>
  <c r="AH1691" i="5"/>
  <c r="AN1691" i="5"/>
  <c r="AO1691" i="5"/>
  <c r="AP1691" i="5"/>
  <c r="AH1692" i="5"/>
  <c r="AZ1692" i="5" s="1"/>
  <c r="AN1692" i="5"/>
  <c r="AO1692" i="5"/>
  <c r="AP1692" i="5"/>
  <c r="AJ1693" i="5"/>
  <c r="AK1693" i="5"/>
  <c r="AL1693" i="5"/>
  <c r="AN1693" i="5"/>
  <c r="AO1693" i="5"/>
  <c r="AP1693" i="5"/>
  <c r="AR1693" i="5"/>
  <c r="AT1693" i="5" s="1"/>
  <c r="AU1693" i="5"/>
  <c r="AV1693" i="5" s="1"/>
  <c r="AW1693" i="5"/>
  <c r="AX1693" i="5" s="1"/>
  <c r="AH1736" i="5"/>
  <c r="AK1736" i="5" s="1"/>
  <c r="AN1736" i="5"/>
  <c r="AO1736" i="5"/>
  <c r="AP1736" i="5"/>
  <c r="AR1736" i="5"/>
  <c r="AT1736" i="5" s="1"/>
  <c r="AU1736" i="5"/>
  <c r="AV1736" i="5" s="1"/>
  <c r="AW1736" i="5"/>
  <c r="AX1736" i="5" s="1"/>
  <c r="AH1737" i="5"/>
  <c r="AN1737" i="5"/>
  <c r="AO1737" i="5"/>
  <c r="AP1737" i="5"/>
  <c r="AR1737" i="5"/>
  <c r="AS1737" i="5" s="1"/>
  <c r="AU1737" i="5"/>
  <c r="AV1737" i="5" s="1"/>
  <c r="AW1737" i="5"/>
  <c r="AX1737" i="5" s="1"/>
  <c r="AH1738" i="5"/>
  <c r="AM1738" i="5" s="1"/>
  <c r="AN1738" i="5"/>
  <c r="AO1738" i="5"/>
  <c r="AP1738" i="5"/>
  <c r="AR1738" i="5"/>
  <c r="AU1738" i="5"/>
  <c r="AV1738" i="5" s="1"/>
  <c r="AW1738" i="5"/>
  <c r="AX1738" i="5" s="1"/>
  <c r="AH1739" i="5"/>
  <c r="AM1739" i="5" s="1"/>
  <c r="AN1739" i="5"/>
  <c r="AO1739" i="5"/>
  <c r="AP1739" i="5"/>
  <c r="AR1739" i="5"/>
  <c r="AU1739" i="5"/>
  <c r="AV1739" i="5" s="1"/>
  <c r="AW1739" i="5"/>
  <c r="AX1739" i="5" s="1"/>
  <c r="AH1740" i="5"/>
  <c r="AN1740" i="5"/>
  <c r="AO1740" i="5"/>
  <c r="AP1740" i="5"/>
  <c r="AR1740" i="5"/>
  <c r="AS1740" i="5" s="1"/>
  <c r="AU1740" i="5"/>
  <c r="AV1740" i="5" s="1"/>
  <c r="AW1740" i="5"/>
  <c r="AX1740" i="5" s="1"/>
  <c r="AH1741" i="5"/>
  <c r="AN1741" i="5"/>
  <c r="AO1741" i="5"/>
  <c r="AR1741" i="5"/>
  <c r="AU1741" i="5"/>
  <c r="AV1741" i="5" s="1"/>
  <c r="AW1741" i="5"/>
  <c r="AX1741" i="5" s="1"/>
  <c r="AH1742" i="5"/>
  <c r="AK1742" i="5" s="1"/>
  <c r="AN1742" i="5"/>
  <c r="AO1742" i="5"/>
  <c r="AP1742" i="5"/>
  <c r="AR1742" i="5"/>
  <c r="AT1742" i="5" s="1"/>
  <c r="AU1742" i="5"/>
  <c r="AV1742" i="5" s="1"/>
  <c r="AW1742" i="5"/>
  <c r="AX1742" i="5" s="1"/>
  <c r="AH1743" i="5"/>
  <c r="AK1743" i="5" s="1"/>
  <c r="AN1743" i="5"/>
  <c r="AO1743" i="5"/>
  <c r="AP1743" i="5"/>
  <c r="AR1743" i="5"/>
  <c r="AS1743" i="5" s="1"/>
  <c r="AU1743" i="5"/>
  <c r="AV1743" i="5" s="1"/>
  <c r="AW1743" i="5"/>
  <c r="AX1743" i="5" s="1"/>
  <c r="AH1744" i="5"/>
  <c r="AN1744" i="5"/>
  <c r="AO1744" i="5"/>
  <c r="AP1744" i="5"/>
  <c r="AR1744" i="5"/>
  <c r="AT1744" i="5" s="1"/>
  <c r="AU1744" i="5"/>
  <c r="AV1744" i="5" s="1"/>
  <c r="AW1744" i="5"/>
  <c r="AX1744" i="5" s="1"/>
  <c r="AH1745" i="5"/>
  <c r="AY1745" i="5" s="1"/>
  <c r="AN1745" i="5"/>
  <c r="AO1745" i="5"/>
  <c r="AP1745" i="5"/>
  <c r="AR1745" i="5"/>
  <c r="AU1745" i="5"/>
  <c r="AV1745" i="5" s="1"/>
  <c r="AW1745" i="5"/>
  <c r="AX1745" i="5" s="1"/>
  <c r="AH1746" i="5"/>
  <c r="AU1746" i="5" s="1"/>
  <c r="AV1746" i="5" s="1"/>
  <c r="AN1746" i="5"/>
  <c r="AO1746" i="5"/>
  <c r="AP1746" i="5"/>
  <c r="AH1747" i="5"/>
  <c r="AL1747" i="5" s="1"/>
  <c r="AN1747" i="5"/>
  <c r="AO1747" i="5"/>
  <c r="AP1747" i="5"/>
  <c r="AJ1748" i="5"/>
  <c r="AK1748" i="5"/>
  <c r="AL1748" i="5"/>
  <c r="AN1748" i="5"/>
  <c r="AO1748" i="5"/>
  <c r="AP1748" i="5"/>
  <c r="AR1748" i="5"/>
  <c r="AS1748" i="5" s="1"/>
  <c r="AU1748" i="5"/>
  <c r="AV1748" i="5" s="1"/>
  <c r="AW1748" i="5"/>
  <c r="AX1748" i="5" s="1"/>
  <c r="AH1749" i="5"/>
  <c r="AL1749" i="5" s="1"/>
  <c r="AN1749" i="5"/>
  <c r="AO1749" i="5"/>
  <c r="AP1749" i="5"/>
  <c r="AR1749" i="5"/>
  <c r="AU1749" i="5"/>
  <c r="AV1749" i="5" s="1"/>
  <c r="AW1749" i="5"/>
  <c r="AX1749" i="5" s="1"/>
  <c r="AH1750" i="5"/>
  <c r="AJ1750" i="5" s="1"/>
  <c r="AN1750" i="5"/>
  <c r="AO1750" i="5"/>
  <c r="AP1750" i="5"/>
  <c r="AR1750" i="5"/>
  <c r="AU1750" i="5"/>
  <c r="AV1750" i="5" s="1"/>
  <c r="AW1750" i="5"/>
  <c r="AX1750" i="5" s="1"/>
  <c r="AH1751" i="5"/>
  <c r="AK1751" i="5" s="1"/>
  <c r="AN1751" i="5"/>
  <c r="AO1751" i="5"/>
  <c r="AP1751" i="5"/>
  <c r="AR1751" i="5"/>
  <c r="AU1751" i="5"/>
  <c r="AV1751" i="5" s="1"/>
  <c r="AW1751" i="5"/>
  <c r="AX1751" i="5" s="1"/>
  <c r="AH1752" i="5"/>
  <c r="AN1752" i="5"/>
  <c r="AO1752" i="5"/>
  <c r="AP1752" i="5"/>
  <c r="AR1752" i="5"/>
  <c r="AU1752" i="5"/>
  <c r="AV1752" i="5" s="1"/>
  <c r="AW1752" i="5"/>
  <c r="AX1752" i="5" s="1"/>
  <c r="AH1753" i="5"/>
  <c r="AN1753" i="5"/>
  <c r="AO1753" i="5"/>
  <c r="AP1753" i="5"/>
  <c r="AN1755" i="5"/>
  <c r="AO1755" i="5"/>
  <c r="AP1755" i="5"/>
  <c r="AR1755" i="5"/>
  <c r="AU1755" i="5"/>
  <c r="AV1755" i="5" s="1"/>
  <c r="AW1755" i="5"/>
  <c r="AX1755" i="5" s="1"/>
  <c r="AH1756" i="5"/>
  <c r="AK1756" i="5" s="1"/>
  <c r="AN1756" i="5"/>
  <c r="AO1756" i="5"/>
  <c r="AP1756" i="5"/>
  <c r="AR1756" i="5"/>
  <c r="AS1756" i="5" s="1"/>
  <c r="AU1756" i="5"/>
  <c r="AV1756" i="5" s="1"/>
  <c r="AW1756" i="5"/>
  <c r="AX1756" i="5" s="1"/>
  <c r="AH1757" i="5"/>
  <c r="AN1757" i="5"/>
  <c r="AO1757" i="5"/>
  <c r="AP1757" i="5"/>
  <c r="AR1757" i="5"/>
  <c r="AU1757" i="5"/>
  <c r="AV1757" i="5" s="1"/>
  <c r="AW1757" i="5"/>
  <c r="AX1757" i="5" s="1"/>
  <c r="AH1758" i="5"/>
  <c r="AY1758" i="5" s="1"/>
  <c r="AN1758" i="5"/>
  <c r="AO1758" i="5"/>
  <c r="AP1758" i="5"/>
  <c r="AR1758" i="5"/>
  <c r="AU1758" i="5"/>
  <c r="AV1758" i="5" s="1"/>
  <c r="AW1758" i="5"/>
  <c r="AX1758" i="5" s="1"/>
  <c r="AH1759" i="5"/>
  <c r="AN1759" i="5"/>
  <c r="AO1759" i="5"/>
  <c r="AP1759" i="5"/>
  <c r="AR1759" i="5"/>
  <c r="AS1759" i="5" s="1"/>
  <c r="AU1759" i="5"/>
  <c r="AV1759" i="5" s="1"/>
  <c r="AW1759" i="5"/>
  <c r="AX1759" i="5" s="1"/>
  <c r="AH1760" i="5"/>
  <c r="AL1760" i="5" s="1"/>
  <c r="AN1760" i="5"/>
  <c r="AO1760" i="5"/>
  <c r="AP1760" i="5"/>
  <c r="AH1761" i="5"/>
  <c r="AN1761" i="5"/>
  <c r="AO1761" i="5"/>
  <c r="AP1761" i="5"/>
  <c r="AJ1762" i="5"/>
  <c r="AK1762" i="5"/>
  <c r="AL1762" i="5"/>
  <c r="AN1762" i="5"/>
  <c r="AO1762" i="5"/>
  <c r="AP1762" i="5"/>
  <c r="AR1762" i="5"/>
  <c r="AT1762" i="5" s="1"/>
  <c r="AU1762" i="5"/>
  <c r="AV1762" i="5" s="1"/>
  <c r="AW1762" i="5"/>
  <c r="AX1762" i="5" s="1"/>
  <c r="AH1763" i="5"/>
  <c r="AL1763" i="5" s="1"/>
  <c r="AN1763" i="5"/>
  <c r="AO1763" i="5"/>
  <c r="AP1763" i="5"/>
  <c r="AR1763" i="5"/>
  <c r="AS1763" i="5" s="1"/>
  <c r="AU1763" i="5"/>
  <c r="AV1763" i="5" s="1"/>
  <c r="AW1763" i="5"/>
  <c r="AX1763" i="5" s="1"/>
  <c r="AH1764" i="5"/>
  <c r="AK1764" i="5" s="1"/>
  <c r="AN1764" i="5"/>
  <c r="AO1764" i="5"/>
  <c r="AP1764" i="5"/>
  <c r="AR1764" i="5"/>
  <c r="AS1764" i="5" s="1"/>
  <c r="AU1764" i="5"/>
  <c r="AV1764" i="5" s="1"/>
  <c r="AW1764" i="5"/>
  <c r="AX1764" i="5" s="1"/>
  <c r="AH1765" i="5"/>
  <c r="AN1765" i="5"/>
  <c r="AO1765" i="5"/>
  <c r="AP1765" i="5"/>
  <c r="AR1765" i="5"/>
  <c r="AS1765" i="5" s="1"/>
  <c r="AU1765" i="5"/>
  <c r="AV1765" i="5" s="1"/>
  <c r="AW1765" i="5"/>
  <c r="AX1765" i="5" s="1"/>
  <c r="AH1766" i="5"/>
  <c r="AJ1766" i="5" s="1"/>
  <c r="AN1766" i="5"/>
  <c r="AO1766" i="5"/>
  <c r="AP1766" i="5"/>
  <c r="AR1766" i="5"/>
  <c r="AT1766" i="5" s="1"/>
  <c r="AU1766" i="5"/>
  <c r="AV1766" i="5" s="1"/>
  <c r="AW1766" i="5"/>
  <c r="AX1766" i="5" s="1"/>
  <c r="AH1767" i="5"/>
  <c r="AR1767" i="5" s="1"/>
  <c r="AT1767" i="5" s="1"/>
  <c r="AN1767" i="5"/>
  <c r="AO1767" i="5"/>
  <c r="AP1767" i="5"/>
  <c r="AH1768" i="5"/>
  <c r="AI1769" i="5" s="1"/>
  <c r="AN1768" i="5"/>
  <c r="AO1768" i="5"/>
  <c r="AP1768" i="5"/>
  <c r="AJ1769" i="5"/>
  <c r="AK1769" i="5"/>
  <c r="AL1769" i="5"/>
  <c r="AN1769" i="5"/>
  <c r="AO1769" i="5"/>
  <c r="AP1769" i="5"/>
  <c r="AR1769" i="5"/>
  <c r="AT1769" i="5" s="1"/>
  <c r="AU1769" i="5"/>
  <c r="AV1769" i="5" s="1"/>
  <c r="AW1769" i="5"/>
  <c r="AX1769" i="5" s="1"/>
  <c r="AH1770" i="5"/>
  <c r="AL1770" i="5" s="1"/>
  <c r="AN1770" i="5"/>
  <c r="AO1770" i="5"/>
  <c r="AP1770" i="5"/>
  <c r="AR1770" i="5"/>
  <c r="AT1770" i="5" s="1"/>
  <c r="AU1770" i="5"/>
  <c r="AV1770" i="5" s="1"/>
  <c r="AW1770" i="5"/>
  <c r="AX1770" i="5" s="1"/>
  <c r="AH1771" i="5"/>
  <c r="AJ1771" i="5" s="1"/>
  <c r="AN1771" i="5"/>
  <c r="AO1771" i="5"/>
  <c r="AP1771" i="5"/>
  <c r="AR1771" i="5"/>
  <c r="AU1771" i="5"/>
  <c r="AV1771" i="5" s="1"/>
  <c r="AW1771" i="5"/>
  <c r="AX1771" i="5" s="1"/>
  <c r="AH1772" i="5"/>
  <c r="AN1772" i="5"/>
  <c r="AO1772" i="5"/>
  <c r="AP1772" i="5"/>
  <c r="AR1772" i="5"/>
  <c r="AT1772" i="5" s="1"/>
  <c r="AU1772" i="5"/>
  <c r="AV1772" i="5" s="1"/>
  <c r="AW1772" i="5"/>
  <c r="AX1772" i="5" s="1"/>
  <c r="AH1773" i="5"/>
  <c r="AN1773" i="5"/>
  <c r="AO1773" i="5"/>
  <c r="AP1773" i="5"/>
  <c r="AR1773" i="5"/>
  <c r="AU1773" i="5"/>
  <c r="AV1773" i="5" s="1"/>
  <c r="AW1773" i="5"/>
  <c r="AX1773" i="5" s="1"/>
  <c r="AH1774" i="5"/>
  <c r="AN1774" i="5"/>
  <c r="AO1774" i="5"/>
  <c r="AP1774" i="5"/>
  <c r="AH1775" i="5"/>
  <c r="AR1775" i="5" s="1"/>
  <c r="AS1775" i="5" s="1"/>
  <c r="AN1775" i="5"/>
  <c r="AO1775" i="5"/>
  <c r="AP1775" i="5"/>
  <c r="AJ1776" i="5"/>
  <c r="AK1776" i="5"/>
  <c r="AL1776" i="5"/>
  <c r="AN1776" i="5"/>
  <c r="AO1776" i="5"/>
  <c r="AP1776" i="5"/>
  <c r="AR1776" i="5"/>
  <c r="AT1776" i="5" s="1"/>
  <c r="AU1776" i="5"/>
  <c r="AV1776" i="5" s="1"/>
  <c r="AW1776" i="5"/>
  <c r="AX1776" i="5" s="1"/>
  <c r="AH1777" i="5"/>
  <c r="AN1777" i="5"/>
  <c r="AO1777" i="5"/>
  <c r="AP1777" i="5"/>
  <c r="AR1777" i="5"/>
  <c r="AU1777" i="5"/>
  <c r="AV1777" i="5" s="1"/>
  <c r="AW1777" i="5"/>
  <c r="AX1777" i="5" s="1"/>
  <c r="AH1778" i="5"/>
  <c r="AJ1778" i="5" s="1"/>
  <c r="AN1778" i="5"/>
  <c r="AO1778" i="5"/>
  <c r="AP1778" i="5"/>
  <c r="AR1778" i="5"/>
  <c r="AU1778" i="5"/>
  <c r="AV1778" i="5" s="1"/>
  <c r="AW1778" i="5"/>
  <c r="AX1778" i="5" s="1"/>
  <c r="AH1779" i="5"/>
  <c r="AN1779" i="5"/>
  <c r="AO1779" i="5"/>
  <c r="AP1779" i="5"/>
  <c r="AR1779" i="5"/>
  <c r="AS1779" i="5" s="1"/>
  <c r="AU1779" i="5"/>
  <c r="AV1779" i="5" s="1"/>
  <c r="AW1779" i="5"/>
  <c r="AX1779" i="5" s="1"/>
  <c r="AH1780" i="5"/>
  <c r="AN1780" i="5"/>
  <c r="AO1780" i="5"/>
  <c r="AP1780" i="5"/>
  <c r="AR1780" i="5"/>
  <c r="AT1780" i="5" s="1"/>
  <c r="AU1780" i="5"/>
  <c r="AV1780" i="5" s="1"/>
  <c r="AW1780" i="5"/>
  <c r="AX1780" i="5" s="1"/>
  <c r="AH1781" i="5"/>
  <c r="AN1781" i="5"/>
  <c r="AO1781" i="5"/>
  <c r="AP1781" i="5"/>
  <c r="AH1782" i="5"/>
  <c r="AU1782" i="5" s="1"/>
  <c r="AV1782" i="5" s="1"/>
  <c r="AN1782" i="5"/>
  <c r="AO1782" i="5"/>
  <c r="AP1782" i="5"/>
  <c r="AJ1783" i="5"/>
  <c r="AK1783" i="5"/>
  <c r="AL1783" i="5"/>
  <c r="AN1783" i="5"/>
  <c r="AO1783" i="5"/>
  <c r="AP1783" i="5"/>
  <c r="AR1783" i="5"/>
  <c r="AS1783" i="5" s="1"/>
  <c r="AU1783" i="5"/>
  <c r="AV1783" i="5" s="1"/>
  <c r="AW1783" i="5"/>
  <c r="AX1783" i="5" s="1"/>
  <c r="AH1784" i="5"/>
  <c r="AN1784" i="5"/>
  <c r="AO1784" i="5"/>
  <c r="AP1784" i="5"/>
  <c r="AR1784" i="5"/>
  <c r="AS1784" i="5" s="1"/>
  <c r="AU1784" i="5"/>
  <c r="AV1784" i="5" s="1"/>
  <c r="AW1784" i="5"/>
  <c r="AX1784" i="5" s="1"/>
  <c r="AH1785" i="5"/>
  <c r="AN1785" i="5"/>
  <c r="AO1785" i="5"/>
  <c r="AP1785" i="5"/>
  <c r="AR1785" i="5"/>
  <c r="AS1785" i="5" s="1"/>
  <c r="AU1785" i="5"/>
  <c r="AV1785" i="5" s="1"/>
  <c r="AW1785" i="5"/>
  <c r="AX1785" i="5" s="1"/>
  <c r="AH1786" i="5"/>
  <c r="AK1786" i="5" s="1"/>
  <c r="AN1786" i="5"/>
  <c r="AO1786" i="5"/>
  <c r="AP1786" i="5"/>
  <c r="AR1786" i="5"/>
  <c r="AU1786" i="5"/>
  <c r="AV1786" i="5" s="1"/>
  <c r="AW1786" i="5"/>
  <c r="AX1786" i="5" s="1"/>
  <c r="AH1787" i="5"/>
  <c r="AK1787" i="5" s="1"/>
  <c r="AN1787" i="5"/>
  <c r="AO1787" i="5"/>
  <c r="AP1787" i="5"/>
  <c r="AR1787" i="5"/>
  <c r="AT1787" i="5" s="1"/>
  <c r="AU1787" i="5"/>
  <c r="AV1787" i="5" s="1"/>
  <c r="AW1787" i="5"/>
  <c r="AX1787" i="5" s="1"/>
  <c r="AH1788" i="5"/>
  <c r="AZ1788" i="5" s="1"/>
  <c r="AN1788" i="5"/>
  <c r="AO1788" i="5"/>
  <c r="AP1788" i="5"/>
  <c r="AH1789" i="5"/>
  <c r="AU1789" i="5" s="1"/>
  <c r="AV1789" i="5" s="1"/>
  <c r="AN1789" i="5"/>
  <c r="AO1789" i="5"/>
  <c r="AP1789" i="5"/>
  <c r="AJ1790" i="5"/>
  <c r="AK1790" i="5"/>
  <c r="AL1790" i="5"/>
  <c r="AN1790" i="5"/>
  <c r="AO1790" i="5"/>
  <c r="AP1790" i="5"/>
  <c r="AR1790" i="5"/>
  <c r="AU1790" i="5"/>
  <c r="AV1790" i="5" s="1"/>
  <c r="AW1790" i="5"/>
  <c r="AX1790" i="5" s="1"/>
  <c r="AH1791" i="5"/>
  <c r="AL1791" i="5" s="1"/>
  <c r="AN1791" i="5"/>
  <c r="AO1791" i="5"/>
  <c r="AP1791" i="5"/>
  <c r="AR1791" i="5"/>
  <c r="AS1791" i="5" s="1"/>
  <c r="AU1791" i="5"/>
  <c r="AV1791" i="5" s="1"/>
  <c r="AW1791" i="5"/>
  <c r="AX1791" i="5" s="1"/>
  <c r="AH1792" i="5"/>
  <c r="AJ1792" i="5" s="1"/>
  <c r="AN1792" i="5"/>
  <c r="AO1792" i="5"/>
  <c r="AP1792" i="5"/>
  <c r="AR1792" i="5"/>
  <c r="AT1792" i="5" s="1"/>
  <c r="AU1792" i="5"/>
  <c r="AV1792" i="5" s="1"/>
  <c r="AW1792" i="5"/>
  <c r="AX1792" i="5" s="1"/>
  <c r="AH1793" i="5"/>
  <c r="AN1793" i="5"/>
  <c r="AO1793" i="5"/>
  <c r="AP1793" i="5"/>
  <c r="AR1793" i="5"/>
  <c r="AS1793" i="5" s="1"/>
  <c r="AU1793" i="5"/>
  <c r="AV1793" i="5" s="1"/>
  <c r="AW1793" i="5"/>
  <c r="AX1793" i="5" s="1"/>
  <c r="AH1794" i="5"/>
  <c r="AN1794" i="5"/>
  <c r="AO1794" i="5"/>
  <c r="AP1794" i="5"/>
  <c r="AR1794" i="5"/>
  <c r="AU1794" i="5"/>
  <c r="AV1794" i="5" s="1"/>
  <c r="AW1794" i="5"/>
  <c r="AX1794" i="5" s="1"/>
  <c r="AH1795" i="5"/>
  <c r="AN1795" i="5"/>
  <c r="AO1795" i="5"/>
  <c r="AP1795" i="5"/>
  <c r="AH1796" i="5"/>
  <c r="AN1796" i="5"/>
  <c r="AO1796" i="5"/>
  <c r="AP1796" i="5"/>
  <c r="AJ1797" i="5"/>
  <c r="AK1797" i="5"/>
  <c r="AL1797" i="5"/>
  <c r="AN1797" i="5"/>
  <c r="AO1797" i="5"/>
  <c r="AP1797" i="5"/>
  <c r="AR1797" i="5"/>
  <c r="AU1797" i="5"/>
  <c r="AV1797" i="5" s="1"/>
  <c r="AW1797" i="5"/>
  <c r="AX1797" i="5" s="1"/>
  <c r="AH1798" i="5"/>
  <c r="AZ1798" i="5" s="1"/>
  <c r="AN1798" i="5"/>
  <c r="AO1798" i="5"/>
  <c r="AP1798" i="5"/>
  <c r="AR1798" i="5"/>
  <c r="AT1798" i="5" s="1"/>
  <c r="AU1798" i="5"/>
  <c r="AV1798" i="5" s="1"/>
  <c r="AW1798" i="5"/>
  <c r="AX1798" i="5" s="1"/>
  <c r="AH1799" i="5"/>
  <c r="AZ1799" i="5" s="1"/>
  <c r="AN1799" i="5"/>
  <c r="AO1799" i="5"/>
  <c r="AP1799" i="5"/>
  <c r="AR1799" i="5"/>
  <c r="AS1799" i="5" s="1"/>
  <c r="AU1799" i="5"/>
  <c r="AV1799" i="5" s="1"/>
  <c r="AW1799" i="5"/>
  <c r="AX1799" i="5" s="1"/>
  <c r="AH1800" i="5"/>
  <c r="AZ1800" i="5" s="1"/>
  <c r="AN1800" i="5"/>
  <c r="AO1800" i="5"/>
  <c r="AP1800" i="5"/>
  <c r="AR1800" i="5"/>
  <c r="AS1800" i="5" s="1"/>
  <c r="AU1800" i="5"/>
  <c r="AV1800" i="5" s="1"/>
  <c r="AW1800" i="5"/>
  <c r="AX1800" i="5" s="1"/>
  <c r="AH1801" i="5"/>
  <c r="AN1801" i="5"/>
  <c r="AO1801" i="5"/>
  <c r="AP1801" i="5"/>
  <c r="AR1801" i="5"/>
  <c r="AU1801" i="5"/>
  <c r="AV1801" i="5" s="1"/>
  <c r="AW1801" i="5"/>
  <c r="AX1801" i="5" s="1"/>
  <c r="AH1802" i="5"/>
  <c r="AR1802" i="5" s="1"/>
  <c r="AN1802" i="5"/>
  <c r="AO1802" i="5"/>
  <c r="AP1802" i="5"/>
  <c r="AH1803" i="5"/>
  <c r="AN1803" i="5"/>
  <c r="AO1803" i="5"/>
  <c r="AP1803" i="5"/>
  <c r="AJ1804" i="5"/>
  <c r="AK1804" i="5"/>
  <c r="AL1804" i="5"/>
  <c r="AN1804" i="5"/>
  <c r="AO1804" i="5"/>
  <c r="AP1804" i="5"/>
  <c r="AR1804" i="5"/>
  <c r="AU1804" i="5"/>
  <c r="AV1804" i="5" s="1"/>
  <c r="AW1804" i="5"/>
  <c r="AX1804" i="5" s="1"/>
  <c r="AH1805" i="5"/>
  <c r="AN1805" i="5"/>
  <c r="AO1805" i="5"/>
  <c r="AP1805" i="5"/>
  <c r="AR1805" i="5"/>
  <c r="AS1805" i="5" s="1"/>
  <c r="AU1805" i="5"/>
  <c r="AV1805" i="5" s="1"/>
  <c r="AW1805" i="5"/>
  <c r="AX1805" i="5" s="1"/>
  <c r="AH1806" i="5"/>
  <c r="AL1806" i="5" s="1"/>
  <c r="AN1806" i="5"/>
  <c r="AO1806" i="5"/>
  <c r="AP1806" i="5"/>
  <c r="AR1806" i="5"/>
  <c r="AU1806" i="5"/>
  <c r="AV1806" i="5" s="1"/>
  <c r="AW1806" i="5"/>
  <c r="AX1806" i="5" s="1"/>
  <c r="AH1807" i="5"/>
  <c r="AJ1807" i="5" s="1"/>
  <c r="AN1807" i="5"/>
  <c r="AO1807" i="5"/>
  <c r="AP1807" i="5"/>
  <c r="AR1807" i="5"/>
  <c r="AS1807" i="5" s="1"/>
  <c r="AU1807" i="5"/>
  <c r="AV1807" i="5" s="1"/>
  <c r="AW1807" i="5"/>
  <c r="AX1807" i="5" s="1"/>
  <c r="AH1808" i="5"/>
  <c r="AN1808" i="5"/>
  <c r="AO1808" i="5"/>
  <c r="AP1808" i="5"/>
  <c r="AR1808" i="5"/>
  <c r="AT1808" i="5" s="1"/>
  <c r="AU1808" i="5"/>
  <c r="AV1808" i="5" s="1"/>
  <c r="AW1808" i="5"/>
  <c r="AX1808" i="5" s="1"/>
  <c r="AH1809" i="5"/>
  <c r="AW1809" i="5" s="1"/>
  <c r="AX1809" i="5" s="1"/>
  <c r="AN1809" i="5"/>
  <c r="AO1809" i="5"/>
  <c r="AP1809" i="5"/>
  <c r="AH1810" i="5"/>
  <c r="AN1810" i="5"/>
  <c r="AO1810" i="5"/>
  <c r="AP1810" i="5"/>
  <c r="AJ1811" i="5"/>
  <c r="AK1811" i="5"/>
  <c r="AL1811" i="5"/>
  <c r="AN1811" i="5"/>
  <c r="AO1811" i="5"/>
  <c r="AP1811" i="5"/>
  <c r="AR1811" i="5"/>
  <c r="AU1811" i="5"/>
  <c r="AV1811" i="5" s="1"/>
  <c r="AW1811" i="5"/>
  <c r="AX1811" i="5" s="1"/>
  <c r="AH1812" i="5"/>
  <c r="AN1812" i="5"/>
  <c r="AO1812" i="5"/>
  <c r="AP1812" i="5"/>
  <c r="AR1812" i="5"/>
  <c r="AU1812" i="5"/>
  <c r="AV1812" i="5" s="1"/>
  <c r="AW1812" i="5"/>
  <c r="AX1812" i="5" s="1"/>
  <c r="AH1813" i="5"/>
  <c r="AN1813" i="5"/>
  <c r="AO1813" i="5"/>
  <c r="AP1813" i="5"/>
  <c r="AR1813" i="5"/>
  <c r="AU1813" i="5"/>
  <c r="AV1813" i="5" s="1"/>
  <c r="AW1813" i="5"/>
  <c r="AX1813" i="5" s="1"/>
  <c r="AH1814" i="5"/>
  <c r="AN1814" i="5"/>
  <c r="AO1814" i="5"/>
  <c r="AP1814" i="5"/>
  <c r="AR1814" i="5"/>
  <c r="AS1814" i="5" s="1"/>
  <c r="AU1814" i="5"/>
  <c r="AV1814" i="5" s="1"/>
  <c r="AW1814" i="5"/>
  <c r="AX1814" i="5" s="1"/>
  <c r="AH1815" i="5"/>
  <c r="AY1815" i="5" s="1"/>
  <c r="AN1815" i="5"/>
  <c r="AO1815" i="5"/>
  <c r="AP1815" i="5"/>
  <c r="AR1815" i="5"/>
  <c r="AU1815" i="5"/>
  <c r="AV1815" i="5" s="1"/>
  <c r="AW1815" i="5"/>
  <c r="AX1815" i="5" s="1"/>
  <c r="AH1816" i="5"/>
  <c r="AN1816" i="5"/>
  <c r="AO1816" i="5"/>
  <c r="AP1816" i="5"/>
  <c r="AH1817" i="5"/>
  <c r="AN1817" i="5"/>
  <c r="AO1817" i="5"/>
  <c r="AP1817" i="5"/>
  <c r="AJ1818" i="5"/>
  <c r="AK1818" i="5"/>
  <c r="AL1818" i="5"/>
  <c r="AN1818" i="5"/>
  <c r="AO1818" i="5"/>
  <c r="AP1818" i="5"/>
  <c r="AR1818" i="5"/>
  <c r="AS1818" i="5" s="1"/>
  <c r="AU1818" i="5"/>
  <c r="AV1818" i="5" s="1"/>
  <c r="AW1818" i="5"/>
  <c r="AX1818" i="5" s="1"/>
  <c r="AH1819" i="5"/>
  <c r="AN1819" i="5"/>
  <c r="AO1819" i="5"/>
  <c r="AP1819" i="5"/>
  <c r="AR1819" i="5"/>
  <c r="AU1819" i="5"/>
  <c r="AV1819" i="5" s="1"/>
  <c r="AW1819" i="5"/>
  <c r="AX1819" i="5" s="1"/>
  <c r="AH1820" i="5"/>
  <c r="AY1820" i="5" s="1"/>
  <c r="AN1820" i="5"/>
  <c r="AO1820" i="5"/>
  <c r="AP1820" i="5"/>
  <c r="AR1820" i="5"/>
  <c r="AS1820" i="5" s="1"/>
  <c r="AU1820" i="5"/>
  <c r="AV1820" i="5" s="1"/>
  <c r="AW1820" i="5"/>
  <c r="AX1820" i="5" s="1"/>
  <c r="AH1821" i="5"/>
  <c r="AN1821" i="5"/>
  <c r="AO1821" i="5"/>
  <c r="AP1821" i="5"/>
  <c r="AR1821" i="5"/>
  <c r="AU1821" i="5"/>
  <c r="AV1821" i="5" s="1"/>
  <c r="AW1821" i="5"/>
  <c r="AX1821" i="5" s="1"/>
  <c r="AH1822" i="5"/>
  <c r="AL1822" i="5" s="1"/>
  <c r="AN1822" i="5"/>
  <c r="AO1822" i="5"/>
  <c r="AP1822" i="5"/>
  <c r="AR1822" i="5"/>
  <c r="AU1822" i="5"/>
  <c r="AV1822" i="5" s="1"/>
  <c r="AW1822" i="5"/>
  <c r="AX1822" i="5" s="1"/>
  <c r="AH1823" i="5"/>
  <c r="AR1823" i="5" s="1"/>
  <c r="AT1823" i="5" s="1"/>
  <c r="AN1823" i="5"/>
  <c r="AO1823" i="5"/>
  <c r="AP1823" i="5"/>
  <c r="AH1824" i="5"/>
  <c r="AN1824" i="5"/>
  <c r="AO1824" i="5"/>
  <c r="AP1824" i="5"/>
  <c r="AJ1825" i="5"/>
  <c r="AK1825" i="5"/>
  <c r="AL1825" i="5"/>
  <c r="AN1825" i="5"/>
  <c r="AO1825" i="5"/>
  <c r="AP1825" i="5"/>
  <c r="AR1825" i="5"/>
  <c r="AT1825" i="5" s="1"/>
  <c r="AU1825" i="5"/>
  <c r="AV1825" i="5" s="1"/>
  <c r="AW1825" i="5"/>
  <c r="AX1825" i="5" s="1"/>
  <c r="AH1826" i="5"/>
  <c r="AL1826" i="5" s="1"/>
  <c r="AN1826" i="5"/>
  <c r="AO1826" i="5"/>
  <c r="AP1826" i="5"/>
  <c r="AR1826" i="5"/>
  <c r="AU1826" i="5"/>
  <c r="AV1826" i="5" s="1"/>
  <c r="AW1826" i="5"/>
  <c r="AX1826" i="5" s="1"/>
  <c r="AH1827" i="5"/>
  <c r="AN1827" i="5"/>
  <c r="AO1827" i="5"/>
  <c r="AP1827" i="5"/>
  <c r="AR1827" i="5"/>
  <c r="AU1827" i="5"/>
  <c r="AV1827" i="5" s="1"/>
  <c r="AW1827" i="5"/>
  <c r="AX1827" i="5" s="1"/>
  <c r="AH1828" i="5"/>
  <c r="AY1828" i="5" s="1"/>
  <c r="AN1828" i="5"/>
  <c r="AO1828" i="5"/>
  <c r="AP1828" i="5"/>
  <c r="AR1828" i="5"/>
  <c r="AS1828" i="5" s="1"/>
  <c r="AU1828" i="5"/>
  <c r="AV1828" i="5" s="1"/>
  <c r="AW1828" i="5"/>
  <c r="AX1828" i="5" s="1"/>
  <c r="AH1829" i="5"/>
  <c r="AK1829" i="5" s="1"/>
  <c r="AN1829" i="5"/>
  <c r="AO1829" i="5"/>
  <c r="AP1829" i="5"/>
  <c r="AR1829" i="5"/>
  <c r="AS1829" i="5" s="1"/>
  <c r="AU1829" i="5"/>
  <c r="AV1829" i="5" s="1"/>
  <c r="AW1829" i="5"/>
  <c r="AX1829" i="5" s="1"/>
  <c r="AH1830" i="5"/>
  <c r="AN1830" i="5"/>
  <c r="AO1830" i="5"/>
  <c r="AP1830" i="5"/>
  <c r="AH1831" i="5"/>
  <c r="AN1831" i="5"/>
  <c r="AO1831" i="5"/>
  <c r="AP1831" i="5"/>
  <c r="AJ1832" i="5"/>
  <c r="AK1832" i="5"/>
  <c r="AL1832" i="5"/>
  <c r="AN1832" i="5"/>
  <c r="AO1832" i="5"/>
  <c r="AP1832" i="5"/>
  <c r="AR1832" i="5"/>
  <c r="AS1832" i="5" s="1"/>
  <c r="AU1832" i="5"/>
  <c r="AV1832" i="5" s="1"/>
  <c r="AW1832" i="5"/>
  <c r="AX1832" i="5" s="1"/>
  <c r="AH1833" i="5"/>
  <c r="AL1833" i="5" s="1"/>
  <c r="AN1833" i="5"/>
  <c r="AO1833" i="5"/>
  <c r="AP1833" i="5"/>
  <c r="AR1833" i="5"/>
  <c r="AT1833" i="5" s="1"/>
  <c r="AU1833" i="5"/>
  <c r="AV1833" i="5" s="1"/>
  <c r="AW1833" i="5"/>
  <c r="AX1833" i="5" s="1"/>
  <c r="AH1834" i="5"/>
  <c r="AN1834" i="5"/>
  <c r="AO1834" i="5"/>
  <c r="AP1834" i="5"/>
  <c r="AR1834" i="5"/>
  <c r="AT1834" i="5" s="1"/>
  <c r="AU1834" i="5"/>
  <c r="AV1834" i="5" s="1"/>
  <c r="AW1834" i="5"/>
  <c r="AX1834" i="5" s="1"/>
  <c r="AH1835" i="5"/>
  <c r="AN1835" i="5"/>
  <c r="AO1835" i="5"/>
  <c r="AP1835" i="5"/>
  <c r="AR1835" i="5"/>
  <c r="AT1835" i="5" s="1"/>
  <c r="AU1835" i="5"/>
  <c r="AV1835" i="5" s="1"/>
  <c r="AW1835" i="5"/>
  <c r="AX1835" i="5" s="1"/>
  <c r="AH1836" i="5"/>
  <c r="AN1836" i="5"/>
  <c r="AO1836" i="5"/>
  <c r="AP1836" i="5"/>
  <c r="AR1836" i="5"/>
  <c r="AU1836" i="5"/>
  <c r="AV1836" i="5" s="1"/>
  <c r="AW1836" i="5"/>
  <c r="AX1836" i="5" s="1"/>
  <c r="AH1837" i="5"/>
  <c r="AY1837" i="5" s="1"/>
  <c r="AN1837" i="5"/>
  <c r="AO1837" i="5"/>
  <c r="AP1837" i="5"/>
  <c r="AH1838" i="5"/>
  <c r="AW1838" i="5" s="1"/>
  <c r="AX1838" i="5" s="1"/>
  <c r="AN1838" i="5"/>
  <c r="AO1838" i="5"/>
  <c r="AP1838" i="5"/>
  <c r="AJ1839" i="5"/>
  <c r="AK1839" i="5"/>
  <c r="AL1839" i="5"/>
  <c r="AN1839" i="5"/>
  <c r="AO1839" i="5"/>
  <c r="AP1839" i="5"/>
  <c r="AR1839" i="5"/>
  <c r="AU1839" i="5"/>
  <c r="AV1839" i="5" s="1"/>
  <c r="AW1839" i="5"/>
  <c r="AX1839" i="5" s="1"/>
  <c r="AH1840" i="5"/>
  <c r="AI1840" i="5" s="1"/>
  <c r="AN1840" i="5"/>
  <c r="AO1840" i="5"/>
  <c r="AP1840" i="5"/>
  <c r="AR1840" i="5"/>
  <c r="AS1840" i="5" s="1"/>
  <c r="AU1840" i="5"/>
  <c r="AV1840" i="5" s="1"/>
  <c r="AW1840" i="5"/>
  <c r="AX1840" i="5" s="1"/>
  <c r="AH1841" i="5"/>
  <c r="AN1841" i="5"/>
  <c r="AO1841" i="5"/>
  <c r="AP1841" i="5"/>
  <c r="AR1841" i="5"/>
  <c r="AU1841" i="5"/>
  <c r="AV1841" i="5" s="1"/>
  <c r="AW1841" i="5"/>
  <c r="AX1841" i="5" s="1"/>
  <c r="AH1842" i="5"/>
  <c r="AK1842" i="5" s="1"/>
  <c r="AN1842" i="5"/>
  <c r="AO1842" i="5"/>
  <c r="AP1842" i="5"/>
  <c r="AR1842" i="5"/>
  <c r="AU1842" i="5"/>
  <c r="AV1842" i="5" s="1"/>
  <c r="AW1842" i="5"/>
  <c r="AX1842" i="5" s="1"/>
  <c r="AH1843" i="5"/>
  <c r="AN1843" i="5"/>
  <c r="AO1843" i="5"/>
  <c r="AP1843" i="5"/>
  <c r="AR1843" i="5"/>
  <c r="AU1843" i="5"/>
  <c r="AV1843" i="5" s="1"/>
  <c r="AW1843" i="5"/>
  <c r="AX1843" i="5" s="1"/>
  <c r="AH1844" i="5"/>
  <c r="AU1844" i="5" s="1"/>
  <c r="AV1844" i="5" s="1"/>
  <c r="AN1844" i="5"/>
  <c r="AO1844" i="5"/>
  <c r="AP1844" i="5"/>
  <c r="AH1845" i="5"/>
  <c r="AI1846" i="5" s="1"/>
  <c r="AN1845" i="5"/>
  <c r="AO1845" i="5"/>
  <c r="AP1845" i="5"/>
  <c r="AJ1846" i="5"/>
  <c r="AK1846" i="5"/>
  <c r="AL1846" i="5"/>
  <c r="AN1846" i="5"/>
  <c r="AO1846" i="5"/>
  <c r="AP1846" i="5"/>
  <c r="AR1846" i="5"/>
  <c r="AU1846" i="5"/>
  <c r="AV1846" i="5" s="1"/>
  <c r="AW1846" i="5"/>
  <c r="AX1846" i="5" s="1"/>
  <c r="AH1847" i="5"/>
  <c r="AN1847" i="5"/>
  <c r="AO1847" i="5"/>
  <c r="AP1847" i="5"/>
  <c r="AR1847" i="5"/>
  <c r="AU1847" i="5"/>
  <c r="AV1847" i="5" s="1"/>
  <c r="AW1847" i="5"/>
  <c r="AX1847" i="5" s="1"/>
  <c r="AH1848" i="5"/>
  <c r="AZ1848" i="5" s="1"/>
  <c r="AN1848" i="5"/>
  <c r="AO1848" i="5"/>
  <c r="AP1848" i="5"/>
  <c r="AR1848" i="5"/>
  <c r="AS1848" i="5" s="1"/>
  <c r="AU1848" i="5"/>
  <c r="AV1848" i="5" s="1"/>
  <c r="AW1848" i="5"/>
  <c r="AX1848" i="5" s="1"/>
  <c r="AH1849" i="5"/>
  <c r="AN1849" i="5"/>
  <c r="AO1849" i="5"/>
  <c r="AP1849" i="5"/>
  <c r="AR1849" i="5"/>
  <c r="AT1849" i="5" s="1"/>
  <c r="AU1849" i="5"/>
  <c r="AV1849" i="5" s="1"/>
  <c r="AW1849" i="5"/>
  <c r="AX1849" i="5" s="1"/>
  <c r="AH1850" i="5"/>
  <c r="AK1850" i="5" s="1"/>
  <c r="AN1850" i="5"/>
  <c r="AO1850" i="5"/>
  <c r="AP1850" i="5"/>
  <c r="AR1850" i="5"/>
  <c r="AT1850" i="5" s="1"/>
  <c r="AU1850" i="5"/>
  <c r="AV1850" i="5" s="1"/>
  <c r="AW1850" i="5"/>
  <c r="AX1850" i="5" s="1"/>
  <c r="AH1851" i="5"/>
  <c r="AR1851" i="5" s="1"/>
  <c r="AS1851" i="5" s="1"/>
  <c r="AN1851" i="5"/>
  <c r="AO1851" i="5"/>
  <c r="AP1851" i="5"/>
  <c r="AH1852" i="5"/>
  <c r="AW1852" i="5" s="1"/>
  <c r="AX1852" i="5" s="1"/>
  <c r="AN1852" i="5"/>
  <c r="AO1852" i="5"/>
  <c r="AP1852" i="5"/>
  <c r="AJ1853" i="5"/>
  <c r="AK1853" i="5"/>
  <c r="AL1853" i="5"/>
  <c r="AN1853" i="5"/>
  <c r="AO1853" i="5"/>
  <c r="AP1853" i="5"/>
  <c r="AR1853" i="5"/>
  <c r="AS1853" i="5" s="1"/>
  <c r="AU1853" i="5"/>
  <c r="AV1853" i="5" s="1"/>
  <c r="AW1853" i="5"/>
  <c r="AX1853" i="5" s="1"/>
  <c r="AH1854" i="5"/>
  <c r="AJ1854" i="5" s="1"/>
  <c r="AN1854" i="5"/>
  <c r="AO1854" i="5"/>
  <c r="AP1854" i="5"/>
  <c r="AR1854" i="5"/>
  <c r="AS1854" i="5" s="1"/>
  <c r="AU1854" i="5"/>
  <c r="AV1854" i="5" s="1"/>
  <c r="AW1854" i="5"/>
  <c r="AX1854" i="5" s="1"/>
  <c r="AH1855" i="5"/>
  <c r="AN1855" i="5"/>
  <c r="AO1855" i="5"/>
  <c r="AP1855" i="5"/>
  <c r="AR1855" i="5"/>
  <c r="AU1855" i="5"/>
  <c r="AV1855" i="5" s="1"/>
  <c r="AW1855" i="5"/>
  <c r="AX1855" i="5" s="1"/>
  <c r="AH1856" i="5"/>
  <c r="AK1856" i="5" s="1"/>
  <c r="AN1856" i="5"/>
  <c r="AO1856" i="5"/>
  <c r="AP1856" i="5"/>
  <c r="AR1856" i="5"/>
  <c r="AS1856" i="5" s="1"/>
  <c r="AU1856" i="5"/>
  <c r="AV1856" i="5" s="1"/>
  <c r="AW1856" i="5"/>
  <c r="AX1856" i="5" s="1"/>
  <c r="AH1857" i="5"/>
  <c r="AN1857" i="5"/>
  <c r="AO1857" i="5"/>
  <c r="AP1857" i="5"/>
  <c r="AR1857" i="5"/>
  <c r="AU1857" i="5"/>
  <c r="AV1857" i="5" s="1"/>
  <c r="AW1857" i="5"/>
  <c r="AX1857" i="5" s="1"/>
  <c r="AH1858" i="5"/>
  <c r="AU1858" i="5" s="1"/>
  <c r="AV1858" i="5" s="1"/>
  <c r="AN1858" i="5"/>
  <c r="AO1858" i="5"/>
  <c r="AP1858" i="5"/>
  <c r="AH1859" i="5"/>
  <c r="AN1859" i="5"/>
  <c r="AO1859" i="5"/>
  <c r="AP1859" i="5"/>
  <c r="AJ1860" i="5"/>
  <c r="AK1860" i="5"/>
  <c r="AL1860" i="5"/>
  <c r="AN1860" i="5"/>
  <c r="AO1860" i="5"/>
  <c r="AP1860" i="5"/>
  <c r="AR1860" i="5"/>
  <c r="AU1860" i="5"/>
  <c r="AV1860" i="5" s="1"/>
  <c r="AW1860" i="5"/>
  <c r="AX1860" i="5" s="1"/>
  <c r="AH1861" i="5"/>
  <c r="AN1861" i="5"/>
  <c r="AO1861" i="5"/>
  <c r="AP1861" i="5"/>
  <c r="AR1861" i="5"/>
  <c r="AU1861" i="5"/>
  <c r="AV1861" i="5" s="1"/>
  <c r="AW1861" i="5"/>
  <c r="AX1861" i="5" s="1"/>
  <c r="AH1862" i="5"/>
  <c r="AL1862" i="5" s="1"/>
  <c r="AN1862" i="5"/>
  <c r="AO1862" i="5"/>
  <c r="AP1862" i="5"/>
  <c r="AR1862" i="5"/>
  <c r="AU1862" i="5"/>
  <c r="AV1862" i="5" s="1"/>
  <c r="AW1862" i="5"/>
  <c r="AX1862" i="5" s="1"/>
  <c r="AH1863" i="5"/>
  <c r="AJ1863" i="5" s="1"/>
  <c r="AN1863" i="5"/>
  <c r="AO1863" i="5"/>
  <c r="AP1863" i="5"/>
  <c r="AR1863" i="5"/>
  <c r="AU1863" i="5"/>
  <c r="AV1863" i="5" s="1"/>
  <c r="AW1863" i="5"/>
  <c r="AX1863" i="5" s="1"/>
  <c r="AH1864" i="5"/>
  <c r="AN1864" i="5"/>
  <c r="AO1864" i="5"/>
  <c r="AP1864" i="5"/>
  <c r="AR1864" i="5"/>
  <c r="AU1864" i="5"/>
  <c r="AV1864" i="5" s="1"/>
  <c r="AW1864" i="5"/>
  <c r="AX1864" i="5" s="1"/>
  <c r="AH1865" i="5"/>
  <c r="AW1865" i="5" s="1"/>
  <c r="AX1865" i="5" s="1"/>
  <c r="AN1865" i="5"/>
  <c r="AO1865" i="5"/>
  <c r="AP1865" i="5"/>
  <c r="AH1866" i="5"/>
  <c r="AN1866" i="5"/>
  <c r="AO1866" i="5"/>
  <c r="AP1866" i="5"/>
  <c r="AJ1867" i="5"/>
  <c r="AK1867" i="5"/>
  <c r="AL1867" i="5"/>
  <c r="AN1867" i="5"/>
  <c r="AO1867" i="5"/>
  <c r="AP1867" i="5"/>
  <c r="AR1867" i="5"/>
  <c r="AS1867" i="5" s="1"/>
  <c r="AU1867" i="5"/>
  <c r="AV1867" i="5" s="1"/>
  <c r="AW1867" i="5"/>
  <c r="AX1867" i="5" s="1"/>
  <c r="AH1868" i="5"/>
  <c r="AL1868" i="5" s="1"/>
  <c r="AN1868" i="5"/>
  <c r="AO1868" i="5"/>
  <c r="AP1868" i="5"/>
  <c r="AR1868" i="5"/>
  <c r="AS1868" i="5" s="1"/>
  <c r="AU1868" i="5"/>
  <c r="AV1868" i="5" s="1"/>
  <c r="AW1868" i="5"/>
  <c r="AX1868" i="5" s="1"/>
  <c r="AH1869" i="5"/>
  <c r="AN1869" i="5"/>
  <c r="AO1869" i="5"/>
  <c r="AP1869" i="5"/>
  <c r="AR1869" i="5"/>
  <c r="AT1869" i="5" s="1"/>
  <c r="AU1869" i="5"/>
  <c r="AV1869" i="5" s="1"/>
  <c r="AW1869" i="5"/>
  <c r="AX1869" i="5" s="1"/>
  <c r="AH1870" i="5"/>
  <c r="AN1870" i="5"/>
  <c r="AO1870" i="5"/>
  <c r="AP1870" i="5"/>
  <c r="AR1870" i="5"/>
  <c r="AU1870" i="5"/>
  <c r="AV1870" i="5" s="1"/>
  <c r="AW1870" i="5"/>
  <c r="AX1870" i="5" s="1"/>
  <c r="AH1871" i="5"/>
  <c r="AN1871" i="5"/>
  <c r="AO1871" i="5"/>
  <c r="AP1871" i="5"/>
  <c r="AR1871" i="5"/>
  <c r="AS1871" i="5" s="1"/>
  <c r="AU1871" i="5"/>
  <c r="AV1871" i="5" s="1"/>
  <c r="AW1871" i="5"/>
  <c r="AX1871" i="5" s="1"/>
  <c r="AH1872" i="5"/>
  <c r="AU1872" i="5" s="1"/>
  <c r="AV1872" i="5" s="1"/>
  <c r="AN1872" i="5"/>
  <c r="AO1872" i="5"/>
  <c r="AP1872" i="5"/>
  <c r="AH1873" i="5"/>
  <c r="AN1873" i="5"/>
  <c r="AO1873" i="5"/>
  <c r="AP1873" i="5"/>
  <c r="AJ1874" i="5"/>
  <c r="AK1874" i="5"/>
  <c r="AL1874" i="5"/>
  <c r="AN1874" i="5"/>
  <c r="AO1874" i="5"/>
  <c r="AP1874" i="5"/>
  <c r="AR1874" i="5"/>
  <c r="AT1874" i="5" s="1"/>
  <c r="AU1874" i="5"/>
  <c r="AV1874" i="5" s="1"/>
  <c r="AW1874" i="5"/>
  <c r="AX1874" i="5" s="1"/>
  <c r="AH1875" i="5"/>
  <c r="AN1875" i="5"/>
  <c r="AO1875" i="5"/>
  <c r="AP1875" i="5"/>
  <c r="AR1875" i="5"/>
  <c r="AU1875" i="5"/>
  <c r="AV1875" i="5" s="1"/>
  <c r="AW1875" i="5"/>
  <c r="AX1875" i="5" s="1"/>
  <c r="AH1876" i="5"/>
  <c r="AZ1876" i="5" s="1"/>
  <c r="AN1876" i="5"/>
  <c r="AO1876" i="5"/>
  <c r="AP1876" i="5"/>
  <c r="AR1876" i="5"/>
  <c r="AT1876" i="5" s="1"/>
  <c r="AU1876" i="5"/>
  <c r="AV1876" i="5" s="1"/>
  <c r="AW1876" i="5"/>
  <c r="AX1876" i="5" s="1"/>
  <c r="AH1877" i="5"/>
  <c r="AY1877" i="5" s="1"/>
  <c r="AN1877" i="5"/>
  <c r="AO1877" i="5"/>
  <c r="AP1877" i="5"/>
  <c r="AR1877" i="5"/>
  <c r="AU1877" i="5"/>
  <c r="AV1877" i="5" s="1"/>
  <c r="AW1877" i="5"/>
  <c r="AX1877" i="5" s="1"/>
  <c r="AH1878" i="5"/>
  <c r="AN1878" i="5"/>
  <c r="AO1878" i="5"/>
  <c r="AP1878" i="5"/>
  <c r="AR1878" i="5"/>
  <c r="AU1878" i="5"/>
  <c r="AV1878" i="5" s="1"/>
  <c r="AW1878" i="5"/>
  <c r="AX1878" i="5" s="1"/>
  <c r="AH1879" i="5"/>
  <c r="AW1879" i="5" s="1"/>
  <c r="AX1879" i="5" s="1"/>
  <c r="AN1879" i="5"/>
  <c r="AO1879" i="5"/>
  <c r="AP1879" i="5"/>
  <c r="AH1880" i="5"/>
  <c r="AN1880" i="5"/>
  <c r="AO1880" i="5"/>
  <c r="AP1880" i="5"/>
  <c r="AJ1881" i="5"/>
  <c r="AK1881" i="5"/>
  <c r="AL1881" i="5"/>
  <c r="AN1881" i="5"/>
  <c r="AO1881" i="5"/>
  <c r="AP1881" i="5"/>
  <c r="AR1881" i="5"/>
  <c r="AU1881" i="5"/>
  <c r="AV1881" i="5" s="1"/>
  <c r="AW1881" i="5"/>
  <c r="AX1881" i="5" s="1"/>
  <c r="AH1882" i="5"/>
  <c r="AN1882" i="5"/>
  <c r="AO1882" i="5"/>
  <c r="AP1882" i="5"/>
  <c r="AR1882" i="5"/>
  <c r="AU1882" i="5"/>
  <c r="AV1882" i="5" s="1"/>
  <c r="AW1882" i="5"/>
  <c r="AX1882" i="5" s="1"/>
  <c r="AH1883" i="5"/>
  <c r="AN1883" i="5"/>
  <c r="AO1883" i="5"/>
  <c r="AP1883" i="5"/>
  <c r="AR1883" i="5"/>
  <c r="AU1883" i="5"/>
  <c r="AV1883" i="5" s="1"/>
  <c r="AW1883" i="5"/>
  <c r="AX1883" i="5" s="1"/>
  <c r="AH1884" i="5"/>
  <c r="AN1884" i="5"/>
  <c r="AO1884" i="5"/>
  <c r="AP1884" i="5"/>
  <c r="AR1884" i="5"/>
  <c r="AU1884" i="5"/>
  <c r="AV1884" i="5" s="1"/>
  <c r="AW1884" i="5"/>
  <c r="AX1884" i="5" s="1"/>
  <c r="AH1885" i="5"/>
  <c r="AK1885" i="5" s="1"/>
  <c r="AN1885" i="5"/>
  <c r="AO1885" i="5"/>
  <c r="AP1885" i="5"/>
  <c r="AR1885" i="5"/>
  <c r="AU1885" i="5"/>
  <c r="AV1885" i="5" s="1"/>
  <c r="AW1885" i="5"/>
  <c r="AX1885" i="5" s="1"/>
  <c r="AH1886" i="5"/>
  <c r="AN1886" i="5"/>
  <c r="AO1886" i="5"/>
  <c r="AP1886" i="5"/>
  <c r="AH1887" i="5"/>
  <c r="AZ1887" i="5" s="1"/>
  <c r="AN1887" i="5"/>
  <c r="AO1887" i="5"/>
  <c r="AP1887" i="5"/>
  <c r="AJ1888" i="5"/>
  <c r="AK1888" i="5"/>
  <c r="AL1888" i="5"/>
  <c r="AN1888" i="5"/>
  <c r="AO1888" i="5"/>
  <c r="AP1888" i="5"/>
  <c r="AR1888" i="5"/>
  <c r="AT1888" i="5" s="1"/>
  <c r="AU1888" i="5"/>
  <c r="AV1888" i="5" s="1"/>
  <c r="AW1888" i="5"/>
  <c r="AX1888" i="5" s="1"/>
  <c r="AH1889" i="5"/>
  <c r="AN1889" i="5"/>
  <c r="AO1889" i="5"/>
  <c r="AP1889" i="5"/>
  <c r="AR1889" i="5"/>
  <c r="AU1889" i="5"/>
  <c r="AV1889" i="5" s="1"/>
  <c r="AW1889" i="5"/>
  <c r="AX1889" i="5" s="1"/>
  <c r="AH1890" i="5"/>
  <c r="AK1890" i="5" s="1"/>
  <c r="AN1890" i="5"/>
  <c r="AO1890" i="5"/>
  <c r="AP1890" i="5"/>
  <c r="AR1890" i="5"/>
  <c r="AS1890" i="5" s="1"/>
  <c r="AU1890" i="5"/>
  <c r="AV1890" i="5" s="1"/>
  <c r="AW1890" i="5"/>
  <c r="AX1890" i="5" s="1"/>
  <c r="AH1891" i="5"/>
  <c r="AJ1891" i="5" s="1"/>
  <c r="AN1891" i="5"/>
  <c r="AO1891" i="5"/>
  <c r="AP1891" i="5"/>
  <c r="AR1891" i="5"/>
  <c r="AT1891" i="5" s="1"/>
  <c r="AU1891" i="5"/>
  <c r="AV1891" i="5" s="1"/>
  <c r="AW1891" i="5"/>
  <c r="AX1891" i="5" s="1"/>
  <c r="AH1892" i="5"/>
  <c r="AJ1892" i="5" s="1"/>
  <c r="AN1892" i="5"/>
  <c r="AO1892" i="5"/>
  <c r="AP1892" i="5"/>
  <c r="AR1892" i="5"/>
  <c r="AT1892" i="5" s="1"/>
  <c r="AU1892" i="5"/>
  <c r="AV1892" i="5" s="1"/>
  <c r="AW1892" i="5"/>
  <c r="AX1892" i="5" s="1"/>
  <c r="AH1893" i="5"/>
  <c r="AR1893" i="5" s="1"/>
  <c r="AS1893" i="5" s="1"/>
  <c r="AN1893" i="5"/>
  <c r="AO1893" i="5"/>
  <c r="AP1893" i="5"/>
  <c r="AH1894" i="5"/>
  <c r="AY1894" i="5" s="1"/>
  <c r="AN1894" i="5"/>
  <c r="AO1894" i="5"/>
  <c r="AP1894" i="5"/>
  <c r="AJ1895" i="5"/>
  <c r="AK1895" i="5"/>
  <c r="AL1895" i="5"/>
  <c r="AN1895" i="5"/>
  <c r="AO1895" i="5"/>
  <c r="AP1895" i="5"/>
  <c r="AR1895" i="5"/>
  <c r="AS1895" i="5" s="1"/>
  <c r="AU1895" i="5"/>
  <c r="AV1895" i="5" s="1"/>
  <c r="AW1895" i="5"/>
  <c r="AX1895" i="5" s="1"/>
  <c r="AH1896" i="5"/>
  <c r="AK1896" i="5" s="1"/>
  <c r="AN1896" i="5"/>
  <c r="AO1896" i="5"/>
  <c r="AP1896" i="5"/>
  <c r="AR1896" i="5"/>
  <c r="AS1896" i="5" s="1"/>
  <c r="AU1896" i="5"/>
  <c r="AV1896" i="5" s="1"/>
  <c r="AW1896" i="5"/>
  <c r="AX1896" i="5" s="1"/>
  <c r="AH1897" i="5"/>
  <c r="AH1898" i="5"/>
  <c r="AY1898" i="5" s="1"/>
  <c r="AN1897" i="5"/>
  <c r="AO1897" i="5"/>
  <c r="AP1897" i="5"/>
  <c r="AR1897" i="5"/>
  <c r="AS1897" i="5" s="1"/>
  <c r="AU1897" i="5"/>
  <c r="AV1897" i="5" s="1"/>
  <c r="AW1897" i="5"/>
  <c r="AX1897" i="5" s="1"/>
  <c r="AN1898" i="5"/>
  <c r="AO1898" i="5"/>
  <c r="AP1898" i="5"/>
  <c r="AR1898" i="5"/>
  <c r="AU1898" i="5"/>
  <c r="AV1898" i="5" s="1"/>
  <c r="AW1898" i="5"/>
  <c r="AX1898" i="5" s="1"/>
  <c r="AH1899" i="5"/>
  <c r="AN1899" i="5"/>
  <c r="AO1899" i="5"/>
  <c r="AP1899" i="5"/>
  <c r="AR1899" i="5"/>
  <c r="AU1899" i="5"/>
  <c r="AV1899" i="5" s="1"/>
  <c r="AW1899" i="5"/>
  <c r="AX1899" i="5" s="1"/>
  <c r="AH1900" i="5"/>
  <c r="AU1900" i="5" s="1"/>
  <c r="AV1900" i="5" s="1"/>
  <c r="AN1900" i="5"/>
  <c r="AO1900" i="5"/>
  <c r="AP1900" i="5"/>
  <c r="AH1901" i="5"/>
  <c r="AY1901" i="5" s="1"/>
  <c r="AN1901" i="5"/>
  <c r="AO1901" i="5"/>
  <c r="AP1901" i="5"/>
  <c r="AJ1902" i="5"/>
  <c r="AK1902" i="5"/>
  <c r="AL1902" i="5"/>
  <c r="AN1902" i="5"/>
  <c r="AO1902" i="5"/>
  <c r="AP1902" i="5"/>
  <c r="AR1902" i="5"/>
  <c r="AU1902" i="5"/>
  <c r="AV1902" i="5" s="1"/>
  <c r="AW1902" i="5"/>
  <c r="AX1902" i="5" s="1"/>
  <c r="AH1903" i="5"/>
  <c r="AN1903" i="5"/>
  <c r="AO1903" i="5"/>
  <c r="AP1903" i="5"/>
  <c r="AR1903" i="5"/>
  <c r="AU1903" i="5"/>
  <c r="AV1903" i="5" s="1"/>
  <c r="AW1903" i="5"/>
  <c r="AX1903" i="5" s="1"/>
  <c r="AH1904" i="5"/>
  <c r="AN1904" i="5"/>
  <c r="AO1904" i="5"/>
  <c r="AP1904" i="5"/>
  <c r="AR1904" i="5"/>
  <c r="AU1904" i="5"/>
  <c r="AV1904" i="5" s="1"/>
  <c r="AW1904" i="5"/>
  <c r="AX1904" i="5" s="1"/>
  <c r="AH1905" i="5"/>
  <c r="AL1905" i="5" s="1"/>
  <c r="AH1906" i="5"/>
  <c r="AK1906" i="5" s="1"/>
  <c r="AN1905" i="5"/>
  <c r="AO1905" i="5"/>
  <c r="AP1905" i="5"/>
  <c r="AR1905" i="5"/>
  <c r="AS1905" i="5" s="1"/>
  <c r="AU1905" i="5"/>
  <c r="AV1905" i="5" s="1"/>
  <c r="AW1905" i="5"/>
  <c r="AX1905" i="5" s="1"/>
  <c r="AN1906" i="5"/>
  <c r="AO1906" i="5"/>
  <c r="AP1906" i="5"/>
  <c r="AR1906" i="5"/>
  <c r="AS1906" i="5" s="1"/>
  <c r="AU1906" i="5"/>
  <c r="AV1906" i="5" s="1"/>
  <c r="AW1906" i="5"/>
  <c r="AX1906" i="5" s="1"/>
  <c r="AH1907" i="5"/>
  <c r="AN1907" i="5"/>
  <c r="AO1907" i="5"/>
  <c r="AP1907" i="5"/>
  <c r="AH1908" i="5"/>
  <c r="AN1908" i="5"/>
  <c r="AO1908" i="5"/>
  <c r="AP1908" i="5"/>
  <c r="AJ1909" i="5"/>
  <c r="AK1909" i="5"/>
  <c r="AL1909" i="5"/>
  <c r="AN1909" i="5"/>
  <c r="AO1909" i="5"/>
  <c r="AP1909" i="5"/>
  <c r="AR1909" i="5"/>
  <c r="AT1909" i="5" s="1"/>
  <c r="AU1909" i="5"/>
  <c r="AV1909" i="5" s="1"/>
  <c r="AW1909" i="5"/>
  <c r="AX1909" i="5" s="1"/>
  <c r="AH1910" i="5"/>
  <c r="AN1910" i="5"/>
  <c r="AO1910" i="5"/>
  <c r="AP1910" i="5"/>
  <c r="AR1910" i="5"/>
  <c r="AT1910" i="5" s="1"/>
  <c r="AU1910" i="5"/>
  <c r="AV1910" i="5" s="1"/>
  <c r="AW1910" i="5"/>
  <c r="AX1910" i="5" s="1"/>
  <c r="AH1911" i="5"/>
  <c r="AN1911" i="5"/>
  <c r="AO1911" i="5"/>
  <c r="AP1911" i="5"/>
  <c r="AR1911" i="5"/>
  <c r="AS1911" i="5" s="1"/>
  <c r="AU1911" i="5"/>
  <c r="AV1911" i="5" s="1"/>
  <c r="AW1911" i="5"/>
  <c r="AX1911" i="5" s="1"/>
  <c r="AH1912" i="5"/>
  <c r="AK1912" i="5" s="1"/>
  <c r="AN1912" i="5"/>
  <c r="AO1912" i="5"/>
  <c r="AP1912" i="5"/>
  <c r="AR1912" i="5"/>
  <c r="AU1912" i="5"/>
  <c r="AV1912" i="5" s="1"/>
  <c r="AW1912" i="5"/>
  <c r="AX1912" i="5" s="1"/>
  <c r="AH1913" i="5"/>
  <c r="AJ1913" i="5" s="1"/>
  <c r="AN1913" i="5"/>
  <c r="AO1913" i="5"/>
  <c r="AP1913" i="5"/>
  <c r="AR1913" i="5"/>
  <c r="AU1913" i="5"/>
  <c r="AV1913" i="5" s="1"/>
  <c r="AW1913" i="5"/>
  <c r="AX1913" i="5" s="1"/>
  <c r="AH1914" i="5"/>
  <c r="AN1914" i="5"/>
  <c r="AO1914" i="5"/>
  <c r="AP1914" i="5"/>
  <c r="AH1915" i="5"/>
  <c r="AN1915" i="5"/>
  <c r="AO1915" i="5"/>
  <c r="AP1915" i="5"/>
  <c r="AJ1916" i="5"/>
  <c r="AK1916" i="5"/>
  <c r="AL1916" i="5"/>
  <c r="AN1916" i="5"/>
  <c r="AO1916" i="5"/>
  <c r="AP1916" i="5"/>
  <c r="AR1916" i="5"/>
  <c r="AU1916" i="5"/>
  <c r="AV1916" i="5" s="1"/>
  <c r="AW1916" i="5"/>
  <c r="AX1916" i="5" s="1"/>
  <c r="AH1917" i="5"/>
  <c r="AN1917" i="5"/>
  <c r="AO1917" i="5"/>
  <c r="AP1917" i="5"/>
  <c r="AR1917" i="5"/>
  <c r="AS1917" i="5" s="1"/>
  <c r="AU1917" i="5"/>
  <c r="AV1917" i="5" s="1"/>
  <c r="AW1917" i="5"/>
  <c r="AX1917" i="5" s="1"/>
  <c r="AH1918" i="5"/>
  <c r="AN1918" i="5"/>
  <c r="AO1918" i="5"/>
  <c r="AP1918" i="5"/>
  <c r="AR1918" i="5"/>
  <c r="AU1918" i="5"/>
  <c r="AV1918" i="5" s="1"/>
  <c r="AW1918" i="5"/>
  <c r="AX1918" i="5" s="1"/>
  <c r="AH1919" i="5"/>
  <c r="AY1919" i="5" s="1"/>
  <c r="AN1919" i="5"/>
  <c r="AO1919" i="5"/>
  <c r="AP1919" i="5"/>
  <c r="AR1919" i="5"/>
  <c r="AU1919" i="5"/>
  <c r="AV1919" i="5" s="1"/>
  <c r="AW1919" i="5"/>
  <c r="AX1919" i="5" s="1"/>
  <c r="AH1920" i="5"/>
  <c r="AN1920" i="5"/>
  <c r="AO1920" i="5"/>
  <c r="AP1920" i="5"/>
  <c r="AR1920" i="5"/>
  <c r="AT1920" i="5" s="1"/>
  <c r="AU1920" i="5"/>
  <c r="AV1920" i="5" s="1"/>
  <c r="AW1920" i="5"/>
  <c r="AX1920" i="5" s="1"/>
  <c r="AH1921" i="5"/>
  <c r="AN1921" i="5"/>
  <c r="AO1921" i="5"/>
  <c r="AP1921" i="5"/>
  <c r="AH1922" i="5"/>
  <c r="AN1922" i="5"/>
  <c r="AO1922" i="5"/>
  <c r="AP1922" i="5"/>
  <c r="AJ1923" i="5"/>
  <c r="AK1923" i="5"/>
  <c r="AL1923" i="5"/>
  <c r="AN1923" i="5"/>
  <c r="AO1923" i="5"/>
  <c r="AP1923" i="5"/>
  <c r="AR1923" i="5"/>
  <c r="AU1923" i="5"/>
  <c r="AV1923" i="5" s="1"/>
  <c r="AW1923" i="5"/>
  <c r="AX1923" i="5" s="1"/>
  <c r="AH1924" i="5"/>
  <c r="AL1924" i="5" s="1"/>
  <c r="AN1924" i="5"/>
  <c r="AO1924" i="5"/>
  <c r="AP1924" i="5"/>
  <c r="AR1924" i="5"/>
  <c r="AS1924" i="5" s="1"/>
  <c r="AU1924" i="5"/>
  <c r="AV1924" i="5" s="1"/>
  <c r="AW1924" i="5"/>
  <c r="AX1924" i="5" s="1"/>
  <c r="AH1925" i="5"/>
  <c r="AN1925" i="5"/>
  <c r="AO1925" i="5"/>
  <c r="AP1925" i="5"/>
  <c r="AR1925" i="5"/>
  <c r="AU1925" i="5"/>
  <c r="AV1925" i="5" s="1"/>
  <c r="AW1925" i="5"/>
  <c r="AX1925" i="5" s="1"/>
  <c r="AH1926" i="5"/>
  <c r="AN1926" i="5"/>
  <c r="AO1926" i="5"/>
  <c r="AP1926" i="5"/>
  <c r="AR1926" i="5"/>
  <c r="AS1926" i="5" s="1"/>
  <c r="AU1926" i="5"/>
  <c r="AV1926" i="5" s="1"/>
  <c r="AW1926" i="5"/>
  <c r="AX1926" i="5" s="1"/>
  <c r="AH1927" i="5"/>
  <c r="AN1927" i="5"/>
  <c r="AO1927" i="5"/>
  <c r="AP1927" i="5"/>
  <c r="AR1927" i="5"/>
  <c r="AS1927" i="5" s="1"/>
  <c r="AU1927" i="5"/>
  <c r="AV1927" i="5" s="1"/>
  <c r="AW1927" i="5"/>
  <c r="AX1927" i="5" s="1"/>
  <c r="AH1928" i="5"/>
  <c r="AY1928" i="5" s="1"/>
  <c r="AN1928" i="5"/>
  <c r="AO1928" i="5"/>
  <c r="AP1928" i="5"/>
  <c r="AH1929" i="5"/>
  <c r="AN1929" i="5"/>
  <c r="AO1929" i="5"/>
  <c r="AP1929" i="5"/>
  <c r="AJ1930" i="5"/>
  <c r="AK1930" i="5"/>
  <c r="AL1930" i="5"/>
  <c r="AN1930" i="5"/>
  <c r="AO1930" i="5"/>
  <c r="AP1930" i="5"/>
  <c r="AR1930" i="5"/>
  <c r="AT1930" i="5" s="1"/>
  <c r="AU1930" i="5"/>
  <c r="AV1930" i="5" s="1"/>
  <c r="AW1930" i="5"/>
  <c r="AX1930" i="5" s="1"/>
  <c r="AH1931" i="5"/>
  <c r="AN1931" i="5"/>
  <c r="AO1931" i="5"/>
  <c r="AP1931" i="5"/>
  <c r="AR1931" i="5"/>
  <c r="AU1931" i="5"/>
  <c r="AV1931" i="5" s="1"/>
  <c r="AW1931" i="5"/>
  <c r="AX1931" i="5" s="1"/>
  <c r="AH1932" i="5"/>
  <c r="AJ1932" i="5" s="1"/>
  <c r="AN1932" i="5"/>
  <c r="AO1932" i="5"/>
  <c r="AP1932" i="5"/>
  <c r="AR1932" i="5"/>
  <c r="AU1932" i="5"/>
  <c r="AV1932" i="5" s="1"/>
  <c r="AW1932" i="5"/>
  <c r="AX1932" i="5" s="1"/>
  <c r="AH1933" i="5"/>
  <c r="AH1934" i="5"/>
  <c r="AY1934" i="5" s="1"/>
  <c r="AN1933" i="5"/>
  <c r="AO1933" i="5"/>
  <c r="AP1933" i="5"/>
  <c r="AR1933" i="5"/>
  <c r="AU1933" i="5"/>
  <c r="AV1933" i="5" s="1"/>
  <c r="AW1933" i="5"/>
  <c r="AX1933" i="5" s="1"/>
  <c r="AN1934" i="5"/>
  <c r="AO1934" i="5"/>
  <c r="AP1934" i="5"/>
  <c r="AR1934" i="5"/>
  <c r="AU1934" i="5"/>
  <c r="AV1934" i="5" s="1"/>
  <c r="AW1934" i="5"/>
  <c r="AX1934" i="5" s="1"/>
  <c r="AH1935" i="5"/>
  <c r="AN1935" i="5"/>
  <c r="AO1935" i="5"/>
  <c r="AP1935" i="5"/>
  <c r="AH1936" i="5"/>
  <c r="AN1936" i="5"/>
  <c r="AO1936" i="5"/>
  <c r="AP1936" i="5"/>
  <c r="AJ1937" i="5"/>
  <c r="AK1937" i="5"/>
  <c r="AL1937" i="5"/>
  <c r="AN1937" i="5"/>
  <c r="AO1937" i="5"/>
  <c r="AP1937" i="5"/>
  <c r="AR1937" i="5"/>
  <c r="AU1937" i="5"/>
  <c r="AV1937" i="5" s="1"/>
  <c r="AW1937" i="5"/>
  <c r="AX1937" i="5" s="1"/>
  <c r="AH1938" i="5"/>
  <c r="AJ1938" i="5" s="1"/>
  <c r="AN1938" i="5"/>
  <c r="AO1938" i="5"/>
  <c r="AP1938" i="5"/>
  <c r="AR1938" i="5"/>
  <c r="AU1938" i="5"/>
  <c r="AV1938" i="5" s="1"/>
  <c r="AW1938" i="5"/>
  <c r="AX1938" i="5" s="1"/>
  <c r="AH1939" i="5"/>
  <c r="AN1939" i="5"/>
  <c r="AO1939" i="5"/>
  <c r="AP1939" i="5"/>
  <c r="AR1939" i="5"/>
  <c r="AU1939" i="5"/>
  <c r="AV1939" i="5" s="1"/>
  <c r="AW1939" i="5"/>
  <c r="AX1939" i="5" s="1"/>
  <c r="AH1940" i="5"/>
  <c r="AN1940" i="5"/>
  <c r="AO1940" i="5"/>
  <c r="AP1940" i="5"/>
  <c r="AR1940" i="5"/>
  <c r="AT1940" i="5" s="1"/>
  <c r="AU1940" i="5"/>
  <c r="AV1940" i="5" s="1"/>
  <c r="AW1940" i="5"/>
  <c r="AX1940" i="5" s="1"/>
  <c r="AH1941" i="5"/>
  <c r="AN1941" i="5"/>
  <c r="AO1941" i="5"/>
  <c r="AP1941" i="5"/>
  <c r="AR1941" i="5"/>
  <c r="AU1941" i="5"/>
  <c r="AV1941" i="5" s="1"/>
  <c r="AW1941" i="5"/>
  <c r="AX1941" i="5" s="1"/>
  <c r="AH1942" i="5"/>
  <c r="AN1942" i="5"/>
  <c r="AO1942" i="5"/>
  <c r="AP1942" i="5"/>
  <c r="AH1943" i="5"/>
  <c r="AN1943" i="5"/>
  <c r="AO1943" i="5"/>
  <c r="AP1943" i="5"/>
  <c r="AJ1944" i="5"/>
  <c r="AK1944" i="5"/>
  <c r="AL1944" i="5"/>
  <c r="AN1944" i="5"/>
  <c r="AO1944" i="5"/>
  <c r="AP1944" i="5"/>
  <c r="AR1944" i="5"/>
  <c r="AT1944" i="5" s="1"/>
  <c r="AU1944" i="5"/>
  <c r="AV1944" i="5" s="1"/>
  <c r="AW1944" i="5"/>
  <c r="AX1944" i="5" s="1"/>
  <c r="AH1945" i="5"/>
  <c r="AN1945" i="5"/>
  <c r="AO1945" i="5"/>
  <c r="AP1945" i="5"/>
  <c r="AR1945" i="5"/>
  <c r="AT1945" i="5" s="1"/>
  <c r="AU1945" i="5"/>
  <c r="AV1945" i="5" s="1"/>
  <c r="AW1945" i="5"/>
  <c r="AX1945" i="5" s="1"/>
  <c r="AH1946" i="5"/>
  <c r="AN1946" i="5"/>
  <c r="AO1946" i="5"/>
  <c r="AP1946" i="5"/>
  <c r="AR1946" i="5"/>
  <c r="AT1946" i="5" s="1"/>
  <c r="AU1946" i="5"/>
  <c r="AV1946" i="5" s="1"/>
  <c r="AW1946" i="5"/>
  <c r="AX1946" i="5" s="1"/>
  <c r="AH1947" i="5"/>
  <c r="AN1947" i="5"/>
  <c r="AO1947" i="5"/>
  <c r="AP1947" i="5"/>
  <c r="AR1947" i="5"/>
  <c r="AS1947" i="5" s="1"/>
  <c r="AU1947" i="5"/>
  <c r="AV1947" i="5" s="1"/>
  <c r="AW1947" i="5"/>
  <c r="AX1947" i="5" s="1"/>
  <c r="AH1948" i="5"/>
  <c r="AK1948" i="5" s="1"/>
  <c r="AN1948" i="5"/>
  <c r="AO1948" i="5"/>
  <c r="AP1948" i="5"/>
  <c r="AR1948" i="5"/>
  <c r="AU1948" i="5"/>
  <c r="AV1948" i="5" s="1"/>
  <c r="AW1948" i="5"/>
  <c r="AX1948" i="5" s="1"/>
  <c r="AH1949" i="5"/>
  <c r="AN1949" i="5"/>
  <c r="AO1949" i="5"/>
  <c r="AP1949" i="5"/>
  <c r="AH1950" i="5"/>
  <c r="AL1950" i="5" s="1"/>
  <c r="AN1950" i="5"/>
  <c r="AO1950" i="5"/>
  <c r="AP1950" i="5"/>
  <c r="AJ1951" i="5"/>
  <c r="AK1951" i="5"/>
  <c r="AL1951" i="5"/>
  <c r="AN1951" i="5"/>
  <c r="AO1951" i="5"/>
  <c r="AP1951" i="5"/>
  <c r="AR1951" i="5"/>
  <c r="AT1951" i="5" s="1"/>
  <c r="AU1951" i="5"/>
  <c r="AV1951" i="5" s="1"/>
  <c r="AW1951" i="5"/>
  <c r="AX1951" i="5" s="1"/>
  <c r="AH1952" i="5"/>
  <c r="AJ1952" i="5" s="1"/>
  <c r="AN1952" i="5"/>
  <c r="AO1952" i="5"/>
  <c r="AP1952" i="5"/>
  <c r="AR1952" i="5"/>
  <c r="AS1952" i="5" s="1"/>
  <c r="AU1952" i="5"/>
  <c r="AV1952" i="5" s="1"/>
  <c r="AW1952" i="5"/>
  <c r="AX1952" i="5" s="1"/>
  <c r="AH1953" i="5"/>
  <c r="AN1953" i="5"/>
  <c r="AO1953" i="5"/>
  <c r="AP1953" i="5"/>
  <c r="AR1953" i="5"/>
  <c r="AU1953" i="5"/>
  <c r="AV1953" i="5" s="1"/>
  <c r="AW1953" i="5"/>
  <c r="AX1953" i="5" s="1"/>
  <c r="AH1954" i="5"/>
  <c r="AY1954" i="5" s="1"/>
  <c r="AN1954" i="5"/>
  <c r="AO1954" i="5"/>
  <c r="AP1954" i="5"/>
  <c r="AR1954" i="5"/>
  <c r="AU1954" i="5"/>
  <c r="AV1954" i="5" s="1"/>
  <c r="AW1954" i="5"/>
  <c r="AX1954" i="5" s="1"/>
  <c r="AH1955" i="5"/>
  <c r="AK1955" i="5" s="1"/>
  <c r="AN1955" i="5"/>
  <c r="AO1955" i="5"/>
  <c r="AP1955" i="5"/>
  <c r="AR1955" i="5"/>
  <c r="AT1955" i="5" s="1"/>
  <c r="AU1955" i="5"/>
  <c r="AV1955" i="5" s="1"/>
  <c r="AW1955" i="5"/>
  <c r="AX1955" i="5" s="1"/>
  <c r="AH1956" i="5"/>
  <c r="AN1956" i="5"/>
  <c r="AO1956" i="5"/>
  <c r="AP1956" i="5"/>
  <c r="AH1957" i="5"/>
  <c r="AY1957" i="5" s="1"/>
  <c r="AN1957" i="5"/>
  <c r="AO1957" i="5"/>
  <c r="AP1957" i="5"/>
  <c r="AJ1958" i="5"/>
  <c r="AK1958" i="5"/>
  <c r="AL1958" i="5"/>
  <c r="AN1958" i="5"/>
  <c r="AO1958" i="5"/>
  <c r="AP1958" i="5"/>
  <c r="AR1958" i="5"/>
  <c r="AU1958" i="5"/>
  <c r="AV1958" i="5" s="1"/>
  <c r="AW1958" i="5"/>
  <c r="AX1958" i="5" s="1"/>
  <c r="AH1959" i="5"/>
  <c r="AN1959" i="5"/>
  <c r="AO1959" i="5"/>
  <c r="AP1959" i="5"/>
  <c r="AR1959" i="5"/>
  <c r="AS1959" i="5" s="1"/>
  <c r="AU1959" i="5"/>
  <c r="AV1959" i="5" s="1"/>
  <c r="AW1959" i="5"/>
  <c r="AX1959" i="5" s="1"/>
  <c r="AH1960" i="5"/>
  <c r="AL1960" i="5" s="1"/>
  <c r="AN1960" i="5"/>
  <c r="AO1960" i="5"/>
  <c r="AP1960" i="5"/>
  <c r="AR1960" i="5"/>
  <c r="AT1960" i="5" s="1"/>
  <c r="AU1960" i="5"/>
  <c r="AV1960" i="5" s="1"/>
  <c r="AW1960" i="5"/>
  <c r="AX1960" i="5" s="1"/>
  <c r="AH1961" i="5"/>
  <c r="AN1961" i="5"/>
  <c r="AO1961" i="5"/>
  <c r="AP1961" i="5"/>
  <c r="AR1961" i="5"/>
  <c r="AU1961" i="5"/>
  <c r="AV1961" i="5" s="1"/>
  <c r="AW1961" i="5"/>
  <c r="AX1961" i="5" s="1"/>
  <c r="AH1962" i="5"/>
  <c r="AY1962" i="5" s="1"/>
  <c r="AN1962" i="5"/>
  <c r="AO1962" i="5"/>
  <c r="AP1962" i="5"/>
  <c r="AR1962" i="5"/>
  <c r="AS1962" i="5" s="1"/>
  <c r="AU1962" i="5"/>
  <c r="AV1962" i="5" s="1"/>
  <c r="AW1962" i="5"/>
  <c r="AX1962" i="5" s="1"/>
  <c r="AH1963" i="5"/>
  <c r="AN1963" i="5"/>
  <c r="AO1963" i="5"/>
  <c r="AP1963" i="5"/>
  <c r="AH1964" i="5"/>
  <c r="AN1964" i="5"/>
  <c r="AO1964" i="5"/>
  <c r="AP1964" i="5"/>
  <c r="AJ1965" i="5"/>
  <c r="AK1965" i="5"/>
  <c r="AL1965" i="5"/>
  <c r="AN1965" i="5"/>
  <c r="AO1965" i="5"/>
  <c r="AP1965" i="5"/>
  <c r="AR1965" i="5"/>
  <c r="AU1965" i="5"/>
  <c r="AV1965" i="5" s="1"/>
  <c r="AW1965" i="5"/>
  <c r="AX1965" i="5" s="1"/>
  <c r="AH1966" i="5"/>
  <c r="AN1966" i="5"/>
  <c r="AO1966" i="5"/>
  <c r="AP1966" i="5"/>
  <c r="AR1966" i="5"/>
  <c r="AS1966" i="5" s="1"/>
  <c r="AU1966" i="5"/>
  <c r="AV1966" i="5" s="1"/>
  <c r="AW1966" i="5"/>
  <c r="AX1966" i="5" s="1"/>
  <c r="AH1967" i="5"/>
  <c r="AN1967" i="5"/>
  <c r="AO1967" i="5"/>
  <c r="AP1967" i="5"/>
  <c r="AR1967" i="5"/>
  <c r="AT1967" i="5" s="1"/>
  <c r="AU1967" i="5"/>
  <c r="AV1967" i="5" s="1"/>
  <c r="AW1967" i="5"/>
  <c r="AX1967" i="5" s="1"/>
  <c r="AH1968" i="5"/>
  <c r="AK1968" i="5" s="1"/>
  <c r="AN1968" i="5"/>
  <c r="AO1968" i="5"/>
  <c r="AP1968" i="5"/>
  <c r="AR1968" i="5"/>
  <c r="AT1968" i="5" s="1"/>
  <c r="AU1968" i="5"/>
  <c r="AV1968" i="5" s="1"/>
  <c r="AW1968" i="5"/>
  <c r="AX1968" i="5" s="1"/>
  <c r="AH1969" i="5"/>
  <c r="AZ1969" i="5" s="1"/>
  <c r="AN1969" i="5"/>
  <c r="AO1969" i="5"/>
  <c r="AP1969" i="5"/>
  <c r="AR1969" i="5"/>
  <c r="AT1969" i="5" s="1"/>
  <c r="AU1969" i="5"/>
  <c r="AV1969" i="5" s="1"/>
  <c r="AW1969" i="5"/>
  <c r="AX1969" i="5" s="1"/>
  <c r="AH1970" i="5"/>
  <c r="AN1970" i="5"/>
  <c r="AO1970" i="5"/>
  <c r="AP1970" i="5"/>
  <c r="AH1971" i="5"/>
  <c r="AK1971" i="5" s="1"/>
  <c r="AN1971" i="5"/>
  <c r="AO1971" i="5"/>
  <c r="AP1971" i="5"/>
  <c r="AJ1972" i="5"/>
  <c r="AK1972" i="5"/>
  <c r="AL1972" i="5"/>
  <c r="AN1972" i="5"/>
  <c r="AO1972" i="5"/>
  <c r="AP1972" i="5"/>
  <c r="AR1972" i="5"/>
  <c r="AT1972" i="5" s="1"/>
  <c r="AU1972" i="5"/>
  <c r="AV1972" i="5" s="1"/>
  <c r="AW1972" i="5"/>
  <c r="AX1972" i="5" s="1"/>
  <c r="AH1973" i="5"/>
  <c r="AN1973" i="5"/>
  <c r="AO1973" i="5"/>
  <c r="AP1973" i="5"/>
  <c r="AR1973" i="5"/>
  <c r="AU1973" i="5"/>
  <c r="AV1973" i="5" s="1"/>
  <c r="AW1973" i="5"/>
  <c r="AX1973" i="5" s="1"/>
  <c r="AH1974" i="5"/>
  <c r="AJ1974" i="5" s="1"/>
  <c r="AN1974" i="5"/>
  <c r="AO1974" i="5"/>
  <c r="AP1974" i="5"/>
  <c r="AR1974" i="5"/>
  <c r="AU1974" i="5"/>
  <c r="AV1974" i="5" s="1"/>
  <c r="AW1974" i="5"/>
  <c r="AX1974" i="5" s="1"/>
  <c r="AH1975" i="5"/>
  <c r="AL1975" i="5" s="1"/>
  <c r="AN1975" i="5"/>
  <c r="AO1975" i="5"/>
  <c r="AP1975" i="5"/>
  <c r="AR1975" i="5"/>
  <c r="AU1975" i="5"/>
  <c r="AV1975" i="5" s="1"/>
  <c r="AW1975" i="5"/>
  <c r="AX1975" i="5" s="1"/>
  <c r="AH1976" i="5"/>
  <c r="AZ1976" i="5" s="1"/>
  <c r="AN1976" i="5"/>
  <c r="AO1976" i="5"/>
  <c r="AP1976" i="5"/>
  <c r="AR1976" i="5"/>
  <c r="AS1976" i="5" s="1"/>
  <c r="AU1976" i="5"/>
  <c r="AV1976" i="5" s="1"/>
  <c r="AW1976" i="5"/>
  <c r="AX1976" i="5" s="1"/>
  <c r="AH1977" i="5"/>
  <c r="AN1977" i="5"/>
  <c r="AO1977" i="5"/>
  <c r="AP1977" i="5"/>
  <c r="AH1978" i="5"/>
  <c r="AN1978" i="5"/>
  <c r="AO1978" i="5"/>
  <c r="AP1978" i="5"/>
  <c r="AJ1979" i="5"/>
  <c r="AK1979" i="5"/>
  <c r="AL1979" i="5"/>
  <c r="AN1979" i="5"/>
  <c r="AO1979" i="5"/>
  <c r="AP1979" i="5"/>
  <c r="AR1979" i="5"/>
  <c r="AU1979" i="5"/>
  <c r="AV1979" i="5" s="1"/>
  <c r="AW1979" i="5"/>
  <c r="AX1979" i="5" s="1"/>
  <c r="AH1980" i="5"/>
  <c r="AK1980" i="5" s="1"/>
  <c r="AN1980" i="5"/>
  <c r="AO1980" i="5"/>
  <c r="AP1980" i="5"/>
  <c r="AR1980" i="5"/>
  <c r="AS1980" i="5" s="1"/>
  <c r="AU1980" i="5"/>
  <c r="AV1980" i="5" s="1"/>
  <c r="AW1980" i="5"/>
  <c r="AX1980" i="5" s="1"/>
  <c r="AH1981" i="5"/>
  <c r="AZ1981" i="5" s="1"/>
  <c r="AN1981" i="5"/>
  <c r="AO1981" i="5"/>
  <c r="AP1981" i="5"/>
  <c r="AR1981" i="5"/>
  <c r="AU1981" i="5"/>
  <c r="AV1981" i="5" s="1"/>
  <c r="AW1981" i="5"/>
  <c r="AX1981" i="5" s="1"/>
  <c r="AH1982" i="5"/>
  <c r="AK1982" i="5" s="1"/>
  <c r="AN1982" i="5"/>
  <c r="AO1982" i="5"/>
  <c r="AP1982" i="5"/>
  <c r="AR1982" i="5"/>
  <c r="AS1982" i="5" s="1"/>
  <c r="AU1982" i="5"/>
  <c r="AV1982" i="5" s="1"/>
  <c r="AW1982" i="5"/>
  <c r="AX1982" i="5" s="1"/>
  <c r="AH1983" i="5"/>
  <c r="AN1983" i="5"/>
  <c r="AO1983" i="5"/>
  <c r="AP1983" i="5"/>
  <c r="AR1983" i="5"/>
  <c r="AT1983" i="5" s="1"/>
  <c r="AU1983" i="5"/>
  <c r="AV1983" i="5" s="1"/>
  <c r="AW1983" i="5"/>
  <c r="AX1983" i="5" s="1"/>
  <c r="AH1984" i="5"/>
  <c r="AW1984" i="5" s="1"/>
  <c r="AX1984" i="5" s="1"/>
  <c r="AN1984" i="5"/>
  <c r="AO1984" i="5"/>
  <c r="AP1984" i="5"/>
  <c r="AH1985" i="5"/>
  <c r="AI1986" i="5" s="1"/>
  <c r="AN1985" i="5"/>
  <c r="AO1985" i="5"/>
  <c r="AP1985" i="5"/>
  <c r="AJ1986" i="5"/>
  <c r="AK1986" i="5"/>
  <c r="AL1986" i="5"/>
  <c r="AN1986" i="5"/>
  <c r="AO1986" i="5"/>
  <c r="AP1986" i="5"/>
  <c r="AR1986" i="5"/>
  <c r="AT1986" i="5" s="1"/>
  <c r="AU1986" i="5"/>
  <c r="AV1986" i="5" s="1"/>
  <c r="AW1986" i="5"/>
  <c r="AX1986" i="5" s="1"/>
  <c r="AH1987" i="5"/>
  <c r="AN1987" i="5"/>
  <c r="AO1987" i="5"/>
  <c r="AP1987" i="5"/>
  <c r="AR1987" i="5"/>
  <c r="AS1987" i="5" s="1"/>
  <c r="AU1987" i="5"/>
  <c r="AV1987" i="5" s="1"/>
  <c r="AW1987" i="5"/>
  <c r="AX1987" i="5" s="1"/>
  <c r="AH1988" i="5"/>
  <c r="AL1988" i="5" s="1"/>
  <c r="AN1988" i="5"/>
  <c r="AO1988" i="5"/>
  <c r="AP1988" i="5"/>
  <c r="AR1988" i="5"/>
  <c r="AS1988" i="5" s="1"/>
  <c r="AU1988" i="5"/>
  <c r="AV1988" i="5" s="1"/>
  <c r="AW1988" i="5"/>
  <c r="AX1988" i="5" s="1"/>
  <c r="AH1989" i="5"/>
  <c r="AN1989" i="5"/>
  <c r="AO1989" i="5"/>
  <c r="AP1989" i="5"/>
  <c r="AR1989" i="5"/>
  <c r="AU1989" i="5"/>
  <c r="AV1989" i="5" s="1"/>
  <c r="AW1989" i="5"/>
  <c r="AX1989" i="5" s="1"/>
  <c r="AH1990" i="5"/>
  <c r="AL1990" i="5" s="1"/>
  <c r="AN1990" i="5"/>
  <c r="AO1990" i="5"/>
  <c r="AP1990" i="5"/>
  <c r="AR1990" i="5"/>
  <c r="AU1990" i="5"/>
  <c r="AV1990" i="5" s="1"/>
  <c r="AW1990" i="5"/>
  <c r="AX1990" i="5" s="1"/>
  <c r="AH1991" i="5"/>
  <c r="AN1991" i="5"/>
  <c r="AO1991" i="5"/>
  <c r="AP1991" i="5"/>
  <c r="AH1992" i="5"/>
  <c r="AN1992" i="5"/>
  <c r="AO1992" i="5"/>
  <c r="AP1992" i="5"/>
  <c r="AJ1993" i="5"/>
  <c r="AK1993" i="5"/>
  <c r="AL1993" i="5"/>
  <c r="AN1993" i="5"/>
  <c r="AO1993" i="5"/>
  <c r="AP1993" i="5"/>
  <c r="AR1993" i="5"/>
  <c r="AS1993" i="5" s="1"/>
  <c r="AU1993" i="5"/>
  <c r="AV1993" i="5" s="1"/>
  <c r="AW1993" i="5"/>
  <c r="AX1993" i="5" s="1"/>
  <c r="AH1994" i="5"/>
  <c r="AL1994" i="5" s="1"/>
  <c r="AN1994" i="5"/>
  <c r="AO1994" i="5"/>
  <c r="AP1994" i="5"/>
  <c r="AR1994" i="5"/>
  <c r="AU1994" i="5"/>
  <c r="AV1994" i="5" s="1"/>
  <c r="AW1994" i="5"/>
  <c r="AX1994" i="5" s="1"/>
  <c r="AH1995" i="5"/>
  <c r="AN1995" i="5"/>
  <c r="AO1995" i="5"/>
  <c r="AP1995" i="5"/>
  <c r="AR1995" i="5"/>
  <c r="AS1995" i="5" s="1"/>
  <c r="AU1995" i="5"/>
  <c r="AV1995" i="5" s="1"/>
  <c r="AW1995" i="5"/>
  <c r="AX1995" i="5" s="1"/>
  <c r="AH1996" i="5"/>
  <c r="AZ1996" i="5" s="1"/>
  <c r="AN1996" i="5"/>
  <c r="AO1996" i="5"/>
  <c r="AP1996" i="5"/>
  <c r="AR1996" i="5"/>
  <c r="AT1996" i="5" s="1"/>
  <c r="AU1996" i="5"/>
  <c r="AV1996" i="5" s="1"/>
  <c r="AW1996" i="5"/>
  <c r="AX1996" i="5" s="1"/>
  <c r="AH1997" i="5"/>
  <c r="AN1997" i="5"/>
  <c r="AO1997" i="5"/>
  <c r="AP1997" i="5"/>
  <c r="AR1997" i="5"/>
  <c r="AT1997" i="5" s="1"/>
  <c r="AU1997" i="5"/>
  <c r="AV1997" i="5" s="1"/>
  <c r="AW1997" i="5"/>
  <c r="AX1997" i="5" s="1"/>
  <c r="AH1998" i="5"/>
  <c r="AK1998" i="5" s="1"/>
  <c r="AN1998" i="5"/>
  <c r="AO1998" i="5"/>
  <c r="AP1998" i="5"/>
  <c r="AH1999" i="5"/>
  <c r="AI2000" i="5" s="1"/>
  <c r="AN1999" i="5"/>
  <c r="AO1999" i="5"/>
  <c r="AP1999" i="5"/>
  <c r="AJ2000" i="5"/>
  <c r="AK2000" i="5"/>
  <c r="AL2000" i="5"/>
  <c r="AN2000" i="5"/>
  <c r="AO2000" i="5"/>
  <c r="AP2000" i="5"/>
  <c r="AR2000" i="5"/>
  <c r="AT2000" i="5" s="1"/>
  <c r="AU2000" i="5"/>
  <c r="AV2000" i="5" s="1"/>
  <c r="AW2000" i="5"/>
  <c r="AX2000" i="5" s="1"/>
  <c r="AH2001" i="5"/>
  <c r="AN2001" i="5"/>
  <c r="AO2001" i="5"/>
  <c r="AP2001" i="5"/>
  <c r="AR2001" i="5"/>
  <c r="AU2001" i="5"/>
  <c r="AV2001" i="5" s="1"/>
  <c r="AW2001" i="5"/>
  <c r="AX2001" i="5" s="1"/>
  <c r="AH2002" i="5"/>
  <c r="AY2002" i="5" s="1"/>
  <c r="AN2002" i="5"/>
  <c r="AO2002" i="5"/>
  <c r="AP2002" i="5"/>
  <c r="AR2002" i="5"/>
  <c r="AT2002" i="5" s="1"/>
  <c r="AU2002" i="5"/>
  <c r="AV2002" i="5" s="1"/>
  <c r="AW2002" i="5"/>
  <c r="AX2002" i="5" s="1"/>
  <c r="AH2003" i="5"/>
  <c r="AY2003" i="5" s="1"/>
  <c r="AN2003" i="5"/>
  <c r="AO2003" i="5"/>
  <c r="AP2003" i="5"/>
  <c r="AR2003" i="5"/>
  <c r="AT2003" i="5" s="1"/>
  <c r="AU2003" i="5"/>
  <c r="AV2003" i="5" s="1"/>
  <c r="AW2003" i="5"/>
  <c r="AX2003" i="5" s="1"/>
  <c r="AH2004" i="5"/>
  <c r="AZ2004" i="5" s="1"/>
  <c r="AN2004" i="5"/>
  <c r="AO2004" i="5"/>
  <c r="AP2004" i="5"/>
  <c r="AR2004" i="5"/>
  <c r="AU2004" i="5"/>
  <c r="AV2004" i="5" s="1"/>
  <c r="AW2004" i="5"/>
  <c r="AX2004" i="5" s="1"/>
  <c r="AH2005" i="5"/>
  <c r="AZ2005" i="5" s="1"/>
  <c r="AN2005" i="5"/>
  <c r="AO2005" i="5"/>
  <c r="AP2005" i="5"/>
  <c r="AH2006" i="5"/>
  <c r="AR2006" i="5" s="1"/>
  <c r="AN2006" i="5"/>
  <c r="AO2006" i="5"/>
  <c r="AP2006" i="5"/>
  <c r="AJ2007" i="5"/>
  <c r="AK2007" i="5"/>
  <c r="AL2007" i="5"/>
  <c r="AN2007" i="5"/>
  <c r="AO2007" i="5"/>
  <c r="AP2007" i="5"/>
  <c r="AR2007" i="5"/>
  <c r="AS2007" i="5" s="1"/>
  <c r="AU2007" i="5"/>
  <c r="AV2007" i="5" s="1"/>
  <c r="AW2007" i="5"/>
  <c r="AX2007" i="5" s="1"/>
  <c r="AH2008" i="5"/>
  <c r="AL2008" i="5" s="1"/>
  <c r="AN2008" i="5"/>
  <c r="AO2008" i="5"/>
  <c r="AP2008" i="5"/>
  <c r="AR2008" i="5"/>
  <c r="AU2008" i="5"/>
  <c r="AV2008" i="5" s="1"/>
  <c r="AW2008" i="5"/>
  <c r="AX2008" i="5" s="1"/>
  <c r="AH2009" i="5"/>
  <c r="AZ2009" i="5" s="1"/>
  <c r="AN2009" i="5"/>
  <c r="AO2009" i="5"/>
  <c r="AP2009" i="5"/>
  <c r="AR2009" i="5"/>
  <c r="AS2009" i="5" s="1"/>
  <c r="AU2009" i="5"/>
  <c r="AV2009" i="5" s="1"/>
  <c r="AW2009" i="5"/>
  <c r="AX2009" i="5" s="1"/>
  <c r="AH2010" i="5"/>
  <c r="AY2010" i="5" s="1"/>
  <c r="AN2010" i="5"/>
  <c r="AO2010" i="5"/>
  <c r="AP2010" i="5"/>
  <c r="AR2010" i="5"/>
  <c r="AU2010" i="5"/>
  <c r="AV2010" i="5" s="1"/>
  <c r="AW2010" i="5"/>
  <c r="AX2010" i="5" s="1"/>
  <c r="AH2011" i="5"/>
  <c r="AN2011" i="5"/>
  <c r="AO2011" i="5"/>
  <c r="AP2011" i="5"/>
  <c r="AR2011" i="5"/>
  <c r="AU2011" i="5"/>
  <c r="AV2011" i="5" s="1"/>
  <c r="AW2011" i="5"/>
  <c r="AX2011" i="5" s="1"/>
  <c r="AH2012" i="5"/>
  <c r="AU2012" i="5" s="1"/>
  <c r="AV2012" i="5" s="1"/>
  <c r="AN2012" i="5"/>
  <c r="AO2012" i="5"/>
  <c r="AP2012" i="5"/>
  <c r="AH2013" i="5"/>
  <c r="AK2013" i="5" s="1"/>
  <c r="AN2013" i="5"/>
  <c r="AO2013" i="5"/>
  <c r="AP2013" i="5"/>
  <c r="AJ2014" i="5"/>
  <c r="AK2014" i="5"/>
  <c r="AL2014" i="5"/>
  <c r="AN2014" i="5"/>
  <c r="AO2014" i="5"/>
  <c r="AP2014" i="5"/>
  <c r="AR2014" i="5"/>
  <c r="AT2014" i="5" s="1"/>
  <c r="AU2014" i="5"/>
  <c r="AV2014" i="5" s="1"/>
  <c r="AW2014" i="5"/>
  <c r="AX2014" i="5" s="1"/>
  <c r="AH2015" i="5"/>
  <c r="AY2015" i="5" s="1"/>
  <c r="AN2015" i="5"/>
  <c r="AO2015" i="5"/>
  <c r="AP2015" i="5"/>
  <c r="AR2015" i="5"/>
  <c r="AU2015" i="5"/>
  <c r="AV2015" i="5" s="1"/>
  <c r="AW2015" i="5"/>
  <c r="AX2015" i="5" s="1"/>
  <c r="AH2016" i="5"/>
  <c r="AN2016" i="5"/>
  <c r="AO2016" i="5"/>
  <c r="AP2016" i="5"/>
  <c r="AR2016" i="5"/>
  <c r="AS2016" i="5" s="1"/>
  <c r="AU2016" i="5"/>
  <c r="AV2016" i="5" s="1"/>
  <c r="AW2016" i="5"/>
  <c r="AX2016" i="5" s="1"/>
  <c r="AH2017" i="5"/>
  <c r="AN2017" i="5"/>
  <c r="AO2017" i="5"/>
  <c r="AP2017" i="5"/>
  <c r="AR2017" i="5"/>
  <c r="AU2017" i="5"/>
  <c r="AV2017" i="5" s="1"/>
  <c r="AW2017" i="5"/>
  <c r="AX2017" i="5" s="1"/>
  <c r="AH2018" i="5"/>
  <c r="AK2018" i="5" s="1"/>
  <c r="AN2018" i="5"/>
  <c r="AO2018" i="5"/>
  <c r="AP2018" i="5"/>
  <c r="AR2018" i="5"/>
  <c r="AT2018" i="5" s="1"/>
  <c r="AU2018" i="5"/>
  <c r="AV2018" i="5" s="1"/>
  <c r="AW2018" i="5"/>
  <c r="AX2018" i="5" s="1"/>
  <c r="AH2019" i="5"/>
  <c r="AN2019" i="5"/>
  <c r="AO2019" i="5"/>
  <c r="AP2019" i="5"/>
  <c r="AH2020" i="5"/>
  <c r="AZ2020" i="5" s="1"/>
  <c r="AN2020" i="5"/>
  <c r="AO2020" i="5"/>
  <c r="AP2020" i="5"/>
  <c r="AJ2021" i="5"/>
  <c r="AK2021" i="5"/>
  <c r="AL2021" i="5"/>
  <c r="AN2021" i="5"/>
  <c r="AO2021" i="5"/>
  <c r="AP2021" i="5"/>
  <c r="AR2021" i="5"/>
  <c r="AU2021" i="5"/>
  <c r="AV2021" i="5" s="1"/>
  <c r="AW2021" i="5"/>
  <c r="AX2021" i="5" s="1"/>
  <c r="AH2022" i="5"/>
  <c r="AN2022" i="5"/>
  <c r="AO2022" i="5"/>
  <c r="AP2022" i="5"/>
  <c r="AR2022" i="5"/>
  <c r="AU2022" i="5"/>
  <c r="AV2022" i="5" s="1"/>
  <c r="AW2022" i="5"/>
  <c r="AX2022" i="5" s="1"/>
  <c r="AH2023" i="5"/>
  <c r="AN2023" i="5"/>
  <c r="AO2023" i="5"/>
  <c r="AP2023" i="5"/>
  <c r="AR2023" i="5"/>
  <c r="AS2023" i="5" s="1"/>
  <c r="AU2023" i="5"/>
  <c r="AV2023" i="5" s="1"/>
  <c r="AW2023" i="5"/>
  <c r="AX2023" i="5" s="1"/>
  <c r="AH2024" i="5"/>
  <c r="AL2024" i="5" s="1"/>
  <c r="AN2024" i="5"/>
  <c r="AO2024" i="5"/>
  <c r="AP2024" i="5"/>
  <c r="AR2024" i="5"/>
  <c r="AU2024" i="5"/>
  <c r="AV2024" i="5" s="1"/>
  <c r="AW2024" i="5"/>
  <c r="AX2024" i="5" s="1"/>
  <c r="AH2025" i="5"/>
  <c r="AN2025" i="5"/>
  <c r="AO2025" i="5"/>
  <c r="AP2025" i="5"/>
  <c r="AR2025" i="5"/>
  <c r="AU2025" i="5"/>
  <c r="AV2025" i="5" s="1"/>
  <c r="AW2025" i="5"/>
  <c r="AX2025" i="5" s="1"/>
  <c r="AH2026" i="5"/>
  <c r="AJ2026" i="5" s="1"/>
  <c r="AN2026" i="5"/>
  <c r="AO2026" i="5"/>
  <c r="AP2026" i="5"/>
  <c r="AH2027" i="5"/>
  <c r="AK2027" i="5" s="1"/>
  <c r="AN2027" i="5"/>
  <c r="AO2027" i="5"/>
  <c r="AP2027" i="5"/>
  <c r="AJ2028" i="5"/>
  <c r="AK2028" i="5"/>
  <c r="AL2028" i="5"/>
  <c r="AN2028" i="5"/>
  <c r="AO2028" i="5"/>
  <c r="AP2028" i="5"/>
  <c r="AR2028" i="5"/>
  <c r="AU2028" i="5"/>
  <c r="AV2028" i="5" s="1"/>
  <c r="AW2028" i="5"/>
  <c r="AX2028" i="5" s="1"/>
  <c r="AH2029" i="5"/>
  <c r="AN2029" i="5"/>
  <c r="AO2029" i="5"/>
  <c r="AP2029" i="5"/>
  <c r="AR2029" i="5"/>
  <c r="AS2029" i="5" s="1"/>
  <c r="AU2029" i="5"/>
  <c r="AV2029" i="5" s="1"/>
  <c r="AW2029" i="5"/>
  <c r="AX2029" i="5" s="1"/>
  <c r="AH2030" i="5"/>
  <c r="AJ2030" i="5" s="1"/>
  <c r="AN2030" i="5"/>
  <c r="AO2030" i="5"/>
  <c r="AP2030" i="5"/>
  <c r="AR2030" i="5"/>
  <c r="AT2030" i="5" s="1"/>
  <c r="AU2030" i="5"/>
  <c r="AV2030" i="5" s="1"/>
  <c r="AW2030" i="5"/>
  <c r="AX2030" i="5" s="1"/>
  <c r="AH2031" i="5"/>
  <c r="AL2031" i="5" s="1"/>
  <c r="AN2031" i="5"/>
  <c r="AO2031" i="5"/>
  <c r="AP2031" i="5"/>
  <c r="AR2031" i="5"/>
  <c r="AU2031" i="5"/>
  <c r="AV2031" i="5" s="1"/>
  <c r="AW2031" i="5"/>
  <c r="AX2031" i="5" s="1"/>
  <c r="AH2032" i="5"/>
  <c r="AN2032" i="5"/>
  <c r="AO2032" i="5"/>
  <c r="AP2032" i="5"/>
  <c r="AR2032" i="5"/>
  <c r="AS2032" i="5" s="1"/>
  <c r="AU2032" i="5"/>
  <c r="AV2032" i="5" s="1"/>
  <c r="AW2032" i="5"/>
  <c r="AX2032" i="5" s="1"/>
  <c r="AH2033" i="5"/>
  <c r="AN2033" i="5"/>
  <c r="AO2033" i="5"/>
  <c r="AP2033" i="5"/>
  <c r="AH2034" i="5"/>
  <c r="AL2034" i="5" s="1"/>
  <c r="AN2034" i="5"/>
  <c r="AO2034" i="5"/>
  <c r="AP2034" i="5"/>
  <c r="AJ2035" i="5"/>
  <c r="AK2035" i="5"/>
  <c r="AL2035" i="5"/>
  <c r="AN2035" i="5"/>
  <c r="AO2035" i="5"/>
  <c r="AP2035" i="5"/>
  <c r="AR2035" i="5"/>
  <c r="AT2035" i="5" s="1"/>
  <c r="AU2035" i="5"/>
  <c r="AV2035" i="5" s="1"/>
  <c r="AW2035" i="5"/>
  <c r="AX2035" i="5" s="1"/>
  <c r="AH2036" i="5"/>
  <c r="AI2036" i="5" s="1"/>
  <c r="AN2036" i="5"/>
  <c r="AO2036" i="5"/>
  <c r="AP2036" i="5"/>
  <c r="AR2036" i="5"/>
  <c r="AT2036" i="5" s="1"/>
  <c r="AU2036" i="5"/>
  <c r="AV2036" i="5" s="1"/>
  <c r="AW2036" i="5"/>
  <c r="AX2036" i="5" s="1"/>
  <c r="AH2037" i="5"/>
  <c r="AN2037" i="5"/>
  <c r="AO2037" i="5"/>
  <c r="AP2037" i="5"/>
  <c r="AR2037" i="5"/>
  <c r="AU2037" i="5"/>
  <c r="AV2037" i="5" s="1"/>
  <c r="AW2037" i="5"/>
  <c r="AX2037" i="5" s="1"/>
  <c r="AH2038" i="5"/>
  <c r="AN2038" i="5"/>
  <c r="AO2038" i="5"/>
  <c r="AP2038" i="5"/>
  <c r="AR2038" i="5"/>
  <c r="AT2038" i="5" s="1"/>
  <c r="AU2038" i="5"/>
  <c r="AV2038" i="5" s="1"/>
  <c r="AW2038" i="5"/>
  <c r="AX2038" i="5" s="1"/>
  <c r="AH2039" i="5"/>
  <c r="AN2039" i="5"/>
  <c r="AO2039" i="5"/>
  <c r="AP2039" i="5"/>
  <c r="AR2039" i="5"/>
  <c r="AT2039" i="5" s="1"/>
  <c r="AU2039" i="5"/>
  <c r="AV2039" i="5" s="1"/>
  <c r="AW2039" i="5"/>
  <c r="AX2039" i="5" s="1"/>
  <c r="AH2040" i="5"/>
  <c r="AK2040" i="5" s="1"/>
  <c r="AN2040" i="5"/>
  <c r="AO2040" i="5"/>
  <c r="AP2040" i="5"/>
  <c r="AH2041" i="5"/>
  <c r="AY2041" i="5" s="1"/>
  <c r="AN2041" i="5"/>
  <c r="AO2041" i="5"/>
  <c r="AP2041" i="5"/>
  <c r="AJ2042" i="5"/>
  <c r="AK2042" i="5"/>
  <c r="AL2042" i="5"/>
  <c r="AN2042" i="5"/>
  <c r="AO2042" i="5"/>
  <c r="AP2042" i="5"/>
  <c r="AR2042" i="5"/>
  <c r="AS2042" i="5" s="1"/>
  <c r="AU2042" i="5"/>
  <c r="AV2042" i="5" s="1"/>
  <c r="AW2042" i="5"/>
  <c r="AX2042" i="5" s="1"/>
  <c r="AH2043" i="5"/>
  <c r="AN2043" i="5"/>
  <c r="AO2043" i="5"/>
  <c r="AP2043" i="5"/>
  <c r="AR2043" i="5"/>
  <c r="AS2043" i="5" s="1"/>
  <c r="AU2043" i="5"/>
  <c r="AV2043" i="5" s="1"/>
  <c r="AW2043" i="5"/>
  <c r="AX2043" i="5" s="1"/>
  <c r="AH2044" i="5"/>
  <c r="AK2044" i="5" s="1"/>
  <c r="AN2044" i="5"/>
  <c r="AO2044" i="5"/>
  <c r="AP2044" i="5"/>
  <c r="AR2044" i="5"/>
  <c r="AU2044" i="5"/>
  <c r="AV2044" i="5" s="1"/>
  <c r="AW2044" i="5"/>
  <c r="AX2044" i="5" s="1"/>
  <c r="AH2045" i="5"/>
  <c r="AN2045" i="5"/>
  <c r="AO2045" i="5"/>
  <c r="AP2045" i="5"/>
  <c r="AR2045" i="5"/>
  <c r="AT2045" i="5" s="1"/>
  <c r="AU2045" i="5"/>
  <c r="AV2045" i="5" s="1"/>
  <c r="AW2045" i="5"/>
  <c r="AX2045" i="5" s="1"/>
  <c r="AH2046" i="5"/>
  <c r="AZ2046" i="5" s="1"/>
  <c r="AN2046" i="5"/>
  <c r="AO2046" i="5"/>
  <c r="AP2046" i="5"/>
  <c r="AR2046" i="5"/>
  <c r="AU2046" i="5"/>
  <c r="AV2046" i="5" s="1"/>
  <c r="AW2046" i="5"/>
  <c r="AX2046" i="5" s="1"/>
  <c r="AH2047" i="5"/>
  <c r="AN2047" i="5"/>
  <c r="AO2047" i="5"/>
  <c r="AP2047" i="5"/>
  <c r="AH2048" i="5"/>
  <c r="AI2049" i="5" s="1"/>
  <c r="AN2048" i="5"/>
  <c r="AO2048" i="5"/>
  <c r="AP2048" i="5"/>
  <c r="AJ2049" i="5"/>
  <c r="AK2049" i="5"/>
  <c r="AL2049" i="5"/>
  <c r="AN2049" i="5"/>
  <c r="AO2049" i="5"/>
  <c r="AP2049" i="5"/>
  <c r="AR2049" i="5"/>
  <c r="AT2049" i="5" s="1"/>
  <c r="AU2049" i="5"/>
  <c r="AV2049" i="5" s="1"/>
  <c r="AW2049" i="5"/>
  <c r="AX2049" i="5" s="1"/>
  <c r="AH2050" i="5"/>
  <c r="AZ2050" i="5" s="1"/>
  <c r="AN2050" i="5"/>
  <c r="AO2050" i="5"/>
  <c r="AP2050" i="5"/>
  <c r="AR2050" i="5"/>
  <c r="AS2050" i="5" s="1"/>
  <c r="AU2050" i="5"/>
  <c r="AV2050" i="5" s="1"/>
  <c r="AW2050" i="5"/>
  <c r="AX2050" i="5" s="1"/>
  <c r="AH2051" i="5"/>
  <c r="AY2051" i="5" s="1"/>
  <c r="AN2051" i="5"/>
  <c r="AO2051" i="5"/>
  <c r="AP2051" i="5"/>
  <c r="AR2051" i="5"/>
  <c r="AU2051" i="5"/>
  <c r="AV2051" i="5" s="1"/>
  <c r="AW2051" i="5"/>
  <c r="AX2051" i="5" s="1"/>
  <c r="AH2052" i="5"/>
  <c r="AN2052" i="5"/>
  <c r="AO2052" i="5"/>
  <c r="AP2052" i="5"/>
  <c r="AR2052" i="5"/>
  <c r="AS2052" i="5" s="1"/>
  <c r="AU2052" i="5"/>
  <c r="AV2052" i="5" s="1"/>
  <c r="AW2052" i="5"/>
  <c r="AX2052" i="5" s="1"/>
  <c r="AH2053" i="5"/>
  <c r="AN2053" i="5"/>
  <c r="AO2053" i="5"/>
  <c r="AP2053" i="5"/>
  <c r="AR2053" i="5"/>
  <c r="AU2053" i="5"/>
  <c r="AV2053" i="5" s="1"/>
  <c r="AW2053" i="5"/>
  <c r="AX2053" i="5" s="1"/>
  <c r="AH2054" i="5"/>
  <c r="AN2054" i="5"/>
  <c r="AO2054" i="5"/>
  <c r="AP2054" i="5"/>
  <c r="AH2055" i="5"/>
  <c r="AZ2055" i="5" s="1"/>
  <c r="AN2055" i="5"/>
  <c r="AO2055" i="5"/>
  <c r="AP2055" i="5"/>
  <c r="AJ2056" i="5"/>
  <c r="AK2056" i="5"/>
  <c r="AL2056" i="5"/>
  <c r="AN2056" i="5"/>
  <c r="AO2056" i="5"/>
  <c r="AP2056" i="5"/>
  <c r="AR2056" i="5"/>
  <c r="AS2056" i="5" s="1"/>
  <c r="AU2056" i="5"/>
  <c r="AV2056" i="5" s="1"/>
  <c r="AW2056" i="5"/>
  <c r="AX2056" i="5" s="1"/>
  <c r="AH2057" i="5"/>
  <c r="AI2057" i="5" s="1"/>
  <c r="AN2057" i="5"/>
  <c r="AO2057" i="5"/>
  <c r="AP2057" i="5"/>
  <c r="AR2057" i="5"/>
  <c r="AU2057" i="5"/>
  <c r="AV2057" i="5" s="1"/>
  <c r="AW2057" i="5"/>
  <c r="AX2057" i="5" s="1"/>
  <c r="AH2058" i="5"/>
  <c r="AN2058" i="5"/>
  <c r="AO2058" i="5"/>
  <c r="AP2058" i="5"/>
  <c r="AR2058" i="5"/>
  <c r="AU2058" i="5"/>
  <c r="AV2058" i="5" s="1"/>
  <c r="AW2058" i="5"/>
  <c r="AX2058" i="5" s="1"/>
  <c r="AH2059" i="5"/>
  <c r="AN2059" i="5"/>
  <c r="AO2059" i="5"/>
  <c r="AP2059" i="5"/>
  <c r="AR2059" i="5"/>
  <c r="AS2059" i="5" s="1"/>
  <c r="AU2059" i="5"/>
  <c r="AV2059" i="5" s="1"/>
  <c r="AW2059" i="5"/>
  <c r="AX2059" i="5" s="1"/>
  <c r="AH2060" i="5"/>
  <c r="AY2060" i="5" s="1"/>
  <c r="AN2060" i="5"/>
  <c r="AO2060" i="5"/>
  <c r="AP2060" i="5"/>
  <c r="AR2060" i="5"/>
  <c r="AT2060" i="5" s="1"/>
  <c r="AU2060" i="5"/>
  <c r="AV2060" i="5" s="1"/>
  <c r="AW2060" i="5"/>
  <c r="AX2060" i="5" s="1"/>
  <c r="AH2061" i="5"/>
  <c r="AK2061" i="5" s="1"/>
  <c r="AN2061" i="5"/>
  <c r="AO2061" i="5"/>
  <c r="AP2061" i="5"/>
  <c r="AH2062" i="5"/>
  <c r="AN2062" i="5"/>
  <c r="AO2062" i="5"/>
  <c r="AP2062" i="5"/>
  <c r="AJ2063" i="5"/>
  <c r="AK2063" i="5"/>
  <c r="AL2063" i="5"/>
  <c r="AN2063" i="5"/>
  <c r="AO2063" i="5"/>
  <c r="AP2063" i="5"/>
  <c r="AR2063" i="5"/>
  <c r="AS2063" i="5" s="1"/>
  <c r="AU2063" i="5"/>
  <c r="AV2063" i="5" s="1"/>
  <c r="AW2063" i="5"/>
  <c r="AX2063" i="5" s="1"/>
  <c r="AH2064" i="5"/>
  <c r="AY2064" i="5" s="1"/>
  <c r="AN2064" i="5"/>
  <c r="AO2064" i="5"/>
  <c r="AP2064" i="5"/>
  <c r="AR2064" i="5"/>
  <c r="AT2064" i="5" s="1"/>
  <c r="AU2064" i="5"/>
  <c r="AV2064" i="5" s="1"/>
  <c r="AW2064" i="5"/>
  <c r="AX2064" i="5" s="1"/>
  <c r="AH2065" i="5"/>
  <c r="AN2065" i="5"/>
  <c r="AO2065" i="5"/>
  <c r="AP2065" i="5"/>
  <c r="AR2065" i="5"/>
  <c r="AS2065" i="5" s="1"/>
  <c r="AU2065" i="5"/>
  <c r="AV2065" i="5" s="1"/>
  <c r="AW2065" i="5"/>
  <c r="AX2065" i="5" s="1"/>
  <c r="AH2066" i="5"/>
  <c r="AK2066" i="5" s="1"/>
  <c r="AN2066" i="5"/>
  <c r="AO2066" i="5"/>
  <c r="AP2066" i="5"/>
  <c r="AR2066" i="5"/>
  <c r="AU2066" i="5"/>
  <c r="AV2066" i="5" s="1"/>
  <c r="AW2066" i="5"/>
  <c r="AX2066" i="5" s="1"/>
  <c r="AH2067" i="5"/>
  <c r="AK2067" i="5" s="1"/>
  <c r="AN2067" i="5"/>
  <c r="AO2067" i="5"/>
  <c r="AP2067" i="5"/>
  <c r="AR2067" i="5"/>
  <c r="AT2067" i="5" s="1"/>
  <c r="AU2067" i="5"/>
  <c r="AV2067" i="5" s="1"/>
  <c r="AW2067" i="5"/>
  <c r="AX2067" i="5" s="1"/>
  <c r="AH2068" i="5"/>
  <c r="AN2068" i="5"/>
  <c r="AO2068" i="5"/>
  <c r="AP2068" i="5"/>
  <c r="AH2069" i="5"/>
  <c r="AU2069" i="5" s="1"/>
  <c r="AV2069" i="5" s="1"/>
  <c r="AN2069" i="5"/>
  <c r="AO2069" i="5"/>
  <c r="AP2069" i="5"/>
  <c r="AJ2070" i="5"/>
  <c r="AK2070" i="5"/>
  <c r="AL2070" i="5"/>
  <c r="AN2070" i="5"/>
  <c r="AO2070" i="5"/>
  <c r="AP2070" i="5"/>
  <c r="AR2070" i="5"/>
  <c r="AS2070" i="5" s="1"/>
  <c r="AU2070" i="5"/>
  <c r="AV2070" i="5" s="1"/>
  <c r="AW2070" i="5"/>
  <c r="AX2070" i="5" s="1"/>
  <c r="AH2071" i="5"/>
  <c r="AY2071" i="5" s="1"/>
  <c r="AN2071" i="5"/>
  <c r="AO2071" i="5"/>
  <c r="AP2071" i="5"/>
  <c r="AR2071" i="5"/>
  <c r="AU2071" i="5"/>
  <c r="AV2071" i="5" s="1"/>
  <c r="AW2071" i="5"/>
  <c r="AX2071" i="5" s="1"/>
  <c r="AH2072" i="5"/>
  <c r="AK2072" i="5" s="1"/>
  <c r="AN2072" i="5"/>
  <c r="AO2072" i="5"/>
  <c r="AP2072" i="5"/>
  <c r="AR2072" i="5"/>
  <c r="AS2072" i="5" s="1"/>
  <c r="AU2072" i="5"/>
  <c r="AV2072" i="5" s="1"/>
  <c r="AW2072" i="5"/>
  <c r="AX2072" i="5" s="1"/>
  <c r="AH2073" i="5"/>
  <c r="AN2073" i="5"/>
  <c r="AO2073" i="5"/>
  <c r="AP2073" i="5"/>
  <c r="AR2073" i="5"/>
  <c r="AS2073" i="5" s="1"/>
  <c r="AU2073" i="5"/>
  <c r="AV2073" i="5" s="1"/>
  <c r="AW2073" i="5"/>
  <c r="AX2073" i="5" s="1"/>
  <c r="AH2074" i="5"/>
  <c r="AN2074" i="5"/>
  <c r="AO2074" i="5"/>
  <c r="AP2074" i="5"/>
  <c r="AR2074" i="5"/>
  <c r="AT2074" i="5" s="1"/>
  <c r="AU2074" i="5"/>
  <c r="AV2074" i="5" s="1"/>
  <c r="AW2074" i="5"/>
  <c r="AX2074" i="5" s="1"/>
  <c r="AH2075" i="5"/>
  <c r="AK2075" i="5" s="1"/>
  <c r="AN2075" i="5"/>
  <c r="AO2075" i="5"/>
  <c r="AP2075" i="5"/>
  <c r="AH2076" i="5"/>
  <c r="AN2076" i="5"/>
  <c r="AO2076" i="5"/>
  <c r="AP2076" i="5"/>
  <c r="AJ2077" i="5"/>
  <c r="AK2077" i="5"/>
  <c r="AL2077" i="5"/>
  <c r="AN2077" i="5"/>
  <c r="AO2077" i="5"/>
  <c r="AP2077" i="5"/>
  <c r="AR2077" i="5"/>
  <c r="AU2077" i="5"/>
  <c r="AV2077" i="5" s="1"/>
  <c r="AW2077" i="5"/>
  <c r="AX2077" i="5" s="1"/>
  <c r="AH2078" i="5"/>
  <c r="AJ2078" i="5" s="1"/>
  <c r="AN2078" i="5"/>
  <c r="AO2078" i="5"/>
  <c r="AP2078" i="5"/>
  <c r="AR2078" i="5"/>
  <c r="AT2078" i="5" s="1"/>
  <c r="AU2078" i="5"/>
  <c r="AV2078" i="5" s="1"/>
  <c r="AW2078" i="5"/>
  <c r="AX2078" i="5" s="1"/>
  <c r="AH2079" i="5"/>
  <c r="AN2079" i="5"/>
  <c r="AO2079" i="5"/>
  <c r="AP2079" i="5"/>
  <c r="AR2079" i="5"/>
  <c r="AS2079" i="5" s="1"/>
  <c r="AU2079" i="5"/>
  <c r="AV2079" i="5" s="1"/>
  <c r="AW2079" i="5"/>
  <c r="AX2079" i="5" s="1"/>
  <c r="AH2080" i="5"/>
  <c r="AL2080" i="5" s="1"/>
  <c r="AN2080" i="5"/>
  <c r="AO2080" i="5"/>
  <c r="AP2080" i="5"/>
  <c r="AR2080" i="5"/>
  <c r="AT2080" i="5" s="1"/>
  <c r="AU2080" i="5"/>
  <c r="AV2080" i="5" s="1"/>
  <c r="AW2080" i="5"/>
  <c r="AX2080" i="5" s="1"/>
  <c r="AH2081" i="5"/>
  <c r="AY2081" i="5" s="1"/>
  <c r="AN2081" i="5"/>
  <c r="AO2081" i="5"/>
  <c r="AP2081" i="5"/>
  <c r="AH2082" i="5"/>
  <c r="AY2082" i="5" s="1"/>
  <c r="AN2082" i="5"/>
  <c r="AO2082" i="5"/>
  <c r="AP2082" i="5"/>
  <c r="AJ2083" i="5"/>
  <c r="AK2083" i="5"/>
  <c r="AL2083" i="5"/>
  <c r="AN2083" i="5"/>
  <c r="AO2083" i="5"/>
  <c r="AP2083" i="5"/>
  <c r="AR2083" i="5"/>
  <c r="AS2083" i="5" s="1"/>
  <c r="AU2083" i="5"/>
  <c r="AV2083" i="5" s="1"/>
  <c r="AW2083" i="5"/>
  <c r="AX2083" i="5" s="1"/>
  <c r="AH2084" i="5"/>
  <c r="AJ2084" i="5" s="1"/>
  <c r="AN2084" i="5"/>
  <c r="AO2084" i="5"/>
  <c r="AP2084" i="5"/>
  <c r="AR2084" i="5"/>
  <c r="AT2084" i="5" s="1"/>
  <c r="AU2084" i="5"/>
  <c r="AV2084" i="5" s="1"/>
  <c r="AW2084" i="5"/>
  <c r="AX2084" i="5" s="1"/>
  <c r="AH2085" i="5"/>
  <c r="AK2085" i="5" s="1"/>
  <c r="AN2085" i="5"/>
  <c r="AO2085" i="5"/>
  <c r="AP2085" i="5"/>
  <c r="AR2085" i="5"/>
  <c r="AU2085" i="5"/>
  <c r="AV2085" i="5" s="1"/>
  <c r="AW2085" i="5"/>
  <c r="AX2085" i="5" s="1"/>
  <c r="AH2086" i="5"/>
  <c r="AN2086" i="5"/>
  <c r="AO2086" i="5"/>
  <c r="AP2086" i="5"/>
  <c r="AR2086" i="5"/>
  <c r="AS2086" i="5" s="1"/>
  <c r="AU2086" i="5"/>
  <c r="AV2086" i="5" s="1"/>
  <c r="AW2086" i="5"/>
  <c r="AX2086" i="5" s="1"/>
  <c r="AH2087" i="5"/>
  <c r="AN2087" i="5"/>
  <c r="AO2087" i="5"/>
  <c r="AP2087" i="5"/>
  <c r="AH2088" i="5"/>
  <c r="AN2088" i="5"/>
  <c r="AO2088" i="5"/>
  <c r="AP2088" i="5"/>
  <c r="AN2089" i="5"/>
  <c r="AO2089" i="5"/>
  <c r="AP2089" i="5"/>
  <c r="AH2090" i="5"/>
  <c r="AY2090" i="5" s="1"/>
  <c r="AN2090" i="5"/>
  <c r="AO2090" i="5"/>
  <c r="AP2090" i="5"/>
  <c r="AR2090" i="5"/>
  <c r="AU2090" i="5"/>
  <c r="AV2090" i="5" s="1"/>
  <c r="AW2090" i="5"/>
  <c r="AX2090" i="5" s="1"/>
  <c r="AH2091" i="5"/>
  <c r="AK2091" i="5" s="1"/>
  <c r="AH2092" i="5"/>
  <c r="AK2092" i="5" s="1"/>
  <c r="AN2091" i="5"/>
  <c r="AO2091" i="5"/>
  <c r="AP2091" i="5"/>
  <c r="AR2091" i="5"/>
  <c r="AT2091" i="5" s="1"/>
  <c r="AU2091" i="5"/>
  <c r="AV2091" i="5" s="1"/>
  <c r="AW2091" i="5"/>
  <c r="AX2091" i="5" s="1"/>
  <c r="AN2092" i="5"/>
  <c r="AO2092" i="5"/>
  <c r="AP2092" i="5"/>
  <c r="AR2092" i="5"/>
  <c r="AU2092" i="5"/>
  <c r="AV2092" i="5" s="1"/>
  <c r="AW2092" i="5"/>
  <c r="AX2092" i="5" s="1"/>
  <c r="AH2093" i="5"/>
  <c r="AN2093" i="5"/>
  <c r="AO2093" i="5"/>
  <c r="AP2093" i="5"/>
  <c r="AH2094" i="5"/>
  <c r="AN2094" i="5"/>
  <c r="AO2094" i="5"/>
  <c r="AP2094" i="5"/>
  <c r="AJ2095" i="5"/>
  <c r="AK2095" i="5"/>
  <c r="AL2095" i="5"/>
  <c r="AN2095" i="5"/>
  <c r="AO2095" i="5"/>
  <c r="AP2095" i="5"/>
  <c r="AR2095" i="5"/>
  <c r="AT2095" i="5" s="1"/>
  <c r="AU2095" i="5"/>
  <c r="AV2095" i="5" s="1"/>
  <c r="AW2095" i="5"/>
  <c r="AX2095" i="5" s="1"/>
  <c r="AH2096" i="5"/>
  <c r="AL2096" i="5" s="1"/>
  <c r="AN2096" i="5"/>
  <c r="AO2096" i="5"/>
  <c r="AP2096" i="5"/>
  <c r="AR2096" i="5"/>
  <c r="AU2096" i="5"/>
  <c r="AV2096" i="5" s="1"/>
  <c r="AW2096" i="5"/>
  <c r="AX2096" i="5" s="1"/>
  <c r="AH2097" i="5"/>
  <c r="AZ2097" i="5" s="1"/>
  <c r="AN2097" i="5"/>
  <c r="AO2097" i="5"/>
  <c r="AP2097" i="5"/>
  <c r="AR2097" i="5"/>
  <c r="AU2097" i="5"/>
  <c r="AV2097" i="5" s="1"/>
  <c r="AW2097" i="5"/>
  <c r="AX2097" i="5" s="1"/>
  <c r="AH2098" i="5"/>
  <c r="AY2098" i="5" s="1"/>
  <c r="AN2098" i="5"/>
  <c r="AO2098" i="5"/>
  <c r="AP2098" i="5"/>
  <c r="AR2098" i="5"/>
  <c r="AT2098" i="5" s="1"/>
  <c r="AU2098" i="5"/>
  <c r="AV2098" i="5" s="1"/>
  <c r="AW2098" i="5"/>
  <c r="AX2098" i="5" s="1"/>
  <c r="AH2099" i="5"/>
  <c r="AR2099" i="5" s="1"/>
  <c r="AT2099" i="5" s="1"/>
  <c r="AN2099" i="5"/>
  <c r="AO2099" i="5"/>
  <c r="AP2099" i="5"/>
  <c r="AH2100" i="5"/>
  <c r="AN2100" i="5"/>
  <c r="AO2100" i="5"/>
  <c r="AP2100" i="5"/>
  <c r="AJ2101" i="5"/>
  <c r="AK2101" i="5"/>
  <c r="AL2101" i="5"/>
  <c r="AN2101" i="5"/>
  <c r="AO2101" i="5"/>
  <c r="AP2101" i="5"/>
  <c r="AR2101" i="5"/>
  <c r="AT2101" i="5" s="1"/>
  <c r="AU2101" i="5"/>
  <c r="AV2101" i="5" s="1"/>
  <c r="AW2101" i="5"/>
  <c r="AX2101" i="5" s="1"/>
  <c r="AH2102" i="5"/>
  <c r="AL2102" i="5" s="1"/>
  <c r="AN2102" i="5"/>
  <c r="AO2102" i="5"/>
  <c r="AP2102" i="5"/>
  <c r="AR2102" i="5"/>
  <c r="AS2102" i="5" s="1"/>
  <c r="AU2102" i="5"/>
  <c r="AV2102" i="5" s="1"/>
  <c r="AW2102" i="5"/>
  <c r="AX2102" i="5" s="1"/>
  <c r="AH2103" i="5"/>
  <c r="AL2103" i="5" s="1"/>
  <c r="AN2103" i="5"/>
  <c r="AO2103" i="5"/>
  <c r="AP2103" i="5"/>
  <c r="AR2103" i="5"/>
  <c r="AS2103" i="5" s="1"/>
  <c r="AU2103" i="5"/>
  <c r="AV2103" i="5" s="1"/>
  <c r="AW2103" i="5"/>
  <c r="AX2103" i="5" s="1"/>
  <c r="AH2104" i="5"/>
  <c r="AL2104" i="5" s="1"/>
  <c r="AN2104" i="5"/>
  <c r="AO2104" i="5"/>
  <c r="AP2104" i="5"/>
  <c r="AR2104" i="5"/>
  <c r="AT2104" i="5" s="1"/>
  <c r="AU2104" i="5"/>
  <c r="AV2104" i="5" s="1"/>
  <c r="AW2104" i="5"/>
  <c r="AX2104" i="5" s="1"/>
  <c r="AH2105" i="5"/>
  <c r="AN2105" i="5"/>
  <c r="AO2105" i="5"/>
  <c r="AP2105" i="5"/>
  <c r="AH2106" i="5"/>
  <c r="AN2106" i="5"/>
  <c r="AO2106" i="5"/>
  <c r="AP2106" i="5"/>
  <c r="AJ2107" i="5"/>
  <c r="AK2107" i="5"/>
  <c r="AL2107" i="5"/>
  <c r="AN2107" i="5"/>
  <c r="AO2107" i="5"/>
  <c r="AP2107" i="5"/>
  <c r="AR2107" i="5"/>
  <c r="AT2107" i="5" s="1"/>
  <c r="AU2107" i="5"/>
  <c r="AV2107" i="5" s="1"/>
  <c r="AW2107" i="5"/>
  <c r="AX2107" i="5" s="1"/>
  <c r="AH2108" i="5"/>
  <c r="AY2108" i="5" s="1"/>
  <c r="AN2108" i="5"/>
  <c r="AO2108" i="5"/>
  <c r="AP2108" i="5"/>
  <c r="AR2108" i="5"/>
  <c r="AT2108" i="5" s="1"/>
  <c r="AU2108" i="5"/>
  <c r="AV2108" i="5" s="1"/>
  <c r="AW2108" i="5"/>
  <c r="AX2108" i="5" s="1"/>
  <c r="AH2109" i="5"/>
  <c r="AY2109" i="5" s="1"/>
  <c r="AN2109" i="5"/>
  <c r="AO2109" i="5"/>
  <c r="AP2109" i="5"/>
  <c r="AR2109" i="5"/>
  <c r="AT2109" i="5" s="1"/>
  <c r="AU2109" i="5"/>
  <c r="AV2109" i="5" s="1"/>
  <c r="AW2109" i="5"/>
  <c r="AX2109" i="5" s="1"/>
  <c r="AH2110" i="5"/>
  <c r="AK2110" i="5" s="1"/>
  <c r="AN2110" i="5"/>
  <c r="AO2110" i="5"/>
  <c r="AP2110" i="5"/>
  <c r="AR2110" i="5"/>
  <c r="AU2110" i="5"/>
  <c r="AV2110" i="5" s="1"/>
  <c r="AW2110" i="5"/>
  <c r="AX2110" i="5" s="1"/>
  <c r="AH2111" i="5"/>
  <c r="AN2111" i="5"/>
  <c r="AO2111" i="5"/>
  <c r="AP2111" i="5"/>
  <c r="AH2112" i="5"/>
  <c r="AR2112" i="5" s="1"/>
  <c r="AT2112" i="5" s="1"/>
  <c r="AN2112" i="5"/>
  <c r="AO2112" i="5"/>
  <c r="AP2112" i="5"/>
  <c r="AJ2113" i="5"/>
  <c r="AK2113" i="5"/>
  <c r="AL2113" i="5"/>
  <c r="AN2113" i="5"/>
  <c r="AO2113" i="5"/>
  <c r="AP2113" i="5"/>
  <c r="AR2113" i="5"/>
  <c r="AS2113" i="5" s="1"/>
  <c r="AU2113" i="5"/>
  <c r="AV2113" i="5" s="1"/>
  <c r="AW2113" i="5"/>
  <c r="AX2113" i="5" s="1"/>
  <c r="AH2114" i="5"/>
  <c r="AI2114" i="5" s="1"/>
  <c r="AN2114" i="5"/>
  <c r="AO2114" i="5"/>
  <c r="AP2114" i="5"/>
  <c r="AR2114" i="5"/>
  <c r="AU2114" i="5"/>
  <c r="AV2114" i="5" s="1"/>
  <c r="AW2114" i="5"/>
  <c r="AX2114" i="5" s="1"/>
  <c r="AH2115" i="5"/>
  <c r="AN2115" i="5"/>
  <c r="AO2115" i="5"/>
  <c r="AP2115" i="5"/>
  <c r="AR2115" i="5"/>
  <c r="AS2115" i="5" s="1"/>
  <c r="AU2115" i="5"/>
  <c r="AV2115" i="5" s="1"/>
  <c r="AW2115" i="5"/>
  <c r="AX2115" i="5" s="1"/>
  <c r="AH2116" i="5"/>
  <c r="AK2116" i="5" s="1"/>
  <c r="AN2116" i="5"/>
  <c r="AO2116" i="5"/>
  <c r="AP2116" i="5"/>
  <c r="AR2116" i="5"/>
  <c r="AT2116" i="5" s="1"/>
  <c r="AU2116" i="5"/>
  <c r="AV2116" i="5" s="1"/>
  <c r="AW2116" i="5"/>
  <c r="AX2116" i="5" s="1"/>
  <c r="AH2117" i="5"/>
  <c r="AZ2117" i="5" s="1"/>
  <c r="AN2117" i="5"/>
  <c r="AO2117" i="5"/>
  <c r="AP2117" i="5"/>
  <c r="AH2118" i="5"/>
  <c r="AN2118" i="5"/>
  <c r="AO2118" i="5"/>
  <c r="AP2118" i="5"/>
  <c r="AJ2119" i="5"/>
  <c r="AK2119" i="5"/>
  <c r="AL2119" i="5"/>
  <c r="AN2119" i="5"/>
  <c r="AO2119" i="5"/>
  <c r="AP2119" i="5"/>
  <c r="AR2119" i="5"/>
  <c r="AT2119" i="5" s="1"/>
  <c r="AU2119" i="5"/>
  <c r="AV2119" i="5" s="1"/>
  <c r="AW2119" i="5"/>
  <c r="AX2119" i="5" s="1"/>
  <c r="AN2120" i="5"/>
  <c r="AO2120" i="5"/>
  <c r="AP2120" i="5"/>
  <c r="AR2120" i="5"/>
  <c r="AT2120" i="5" s="1"/>
  <c r="AU2120" i="5"/>
  <c r="AV2120" i="5" s="1"/>
  <c r="AW2120" i="5"/>
  <c r="AX2120" i="5" s="1"/>
  <c r="AH2121" i="5"/>
  <c r="AN2121" i="5"/>
  <c r="AO2121" i="5"/>
  <c r="AP2121" i="5"/>
  <c r="AR2121" i="5"/>
  <c r="AT2121" i="5" s="1"/>
  <c r="AU2121" i="5"/>
  <c r="AV2121" i="5" s="1"/>
  <c r="AW2121" i="5"/>
  <c r="AX2121" i="5" s="1"/>
  <c r="AH2122" i="5"/>
  <c r="AL2122" i="5" s="1"/>
  <c r="AN2122" i="5"/>
  <c r="AO2122" i="5"/>
  <c r="AP2122" i="5"/>
  <c r="AH2123" i="5"/>
  <c r="AN2123" i="5"/>
  <c r="AO2123" i="5"/>
  <c r="AP2123" i="5"/>
  <c r="AJ2124" i="5"/>
  <c r="AK2124" i="5"/>
  <c r="AL2124" i="5"/>
  <c r="AN2124" i="5"/>
  <c r="AO2124" i="5"/>
  <c r="AP2124" i="5"/>
  <c r="AR2124" i="5"/>
  <c r="AU2124" i="5"/>
  <c r="AV2124" i="5" s="1"/>
  <c r="AW2124" i="5"/>
  <c r="AX2124" i="5" s="1"/>
  <c r="AH2168" i="5"/>
  <c r="AN2168" i="5"/>
  <c r="AO2168" i="5"/>
  <c r="AP2168" i="5"/>
  <c r="AR2168" i="5"/>
  <c r="AS2168" i="5" s="1"/>
  <c r="AU2168" i="5"/>
  <c r="AV2168" i="5" s="1"/>
  <c r="AW2168" i="5"/>
  <c r="AX2168" i="5" s="1"/>
  <c r="AH2169" i="5"/>
  <c r="AK2169" i="5" s="1"/>
  <c r="AN2169" i="5"/>
  <c r="AO2169" i="5"/>
  <c r="AP2169" i="5"/>
  <c r="AR2169" i="5"/>
  <c r="AS2169" i="5" s="1"/>
  <c r="AU2169" i="5"/>
  <c r="AV2169" i="5" s="1"/>
  <c r="AW2169" i="5"/>
  <c r="AX2169" i="5" s="1"/>
  <c r="AH2170" i="5"/>
  <c r="AN2170" i="5"/>
  <c r="AO2170" i="5"/>
  <c r="AR2170" i="5"/>
  <c r="AT2170" i="5" s="1"/>
  <c r="AU2170" i="5"/>
  <c r="AV2170" i="5" s="1"/>
  <c r="AW2170" i="5"/>
  <c r="AX2170" i="5" s="1"/>
  <c r="AH2171" i="5"/>
  <c r="AJ2171" i="5" s="1"/>
  <c r="M2171" i="5"/>
  <c r="F2171" i="5" s="1"/>
  <c r="AN2171" i="5"/>
  <c r="AO2171" i="5"/>
  <c r="AP2171" i="5"/>
  <c r="AR2171" i="5"/>
  <c r="AU2171" i="5"/>
  <c r="AV2171" i="5" s="1"/>
  <c r="AW2171" i="5"/>
  <c r="AX2171" i="5" s="1"/>
  <c r="AH2172" i="5"/>
  <c r="AK2172" i="5" s="1"/>
  <c r="AN2172" i="5"/>
  <c r="AO2172" i="5"/>
  <c r="AP2172" i="5"/>
  <c r="AR2172" i="5"/>
  <c r="AU2172" i="5"/>
  <c r="AV2172" i="5" s="1"/>
  <c r="AW2172" i="5"/>
  <c r="AX2172" i="5" s="1"/>
  <c r="AH2173" i="5"/>
  <c r="AN2173" i="5"/>
  <c r="AO2173" i="5"/>
  <c r="AP2173" i="5"/>
  <c r="AR2173" i="5"/>
  <c r="AU2173" i="5"/>
  <c r="AV2173" i="5" s="1"/>
  <c r="AW2173" i="5"/>
  <c r="AX2173" i="5" s="1"/>
  <c r="AH2174" i="5"/>
  <c r="AZ2174" i="5" s="1"/>
  <c r="AN2174" i="5"/>
  <c r="AO2174" i="5"/>
  <c r="AP2174" i="5"/>
  <c r="AR2174" i="5"/>
  <c r="AU2174" i="5"/>
  <c r="AV2174" i="5" s="1"/>
  <c r="AW2174" i="5"/>
  <c r="AX2174" i="5" s="1"/>
  <c r="AH2175" i="5"/>
  <c r="AN2175" i="5"/>
  <c r="AO2175" i="5"/>
  <c r="AP2175" i="5"/>
  <c r="AH2176" i="5"/>
  <c r="AN2176" i="5"/>
  <c r="AO2176" i="5"/>
  <c r="AP2176" i="5"/>
  <c r="AJ2177" i="5"/>
  <c r="AK2177" i="5"/>
  <c r="AL2177" i="5"/>
  <c r="AN2177" i="5"/>
  <c r="AO2177" i="5"/>
  <c r="AP2177" i="5"/>
  <c r="AR2177" i="5"/>
  <c r="AT2177" i="5" s="1"/>
  <c r="AU2177" i="5"/>
  <c r="AV2177" i="5" s="1"/>
  <c r="AW2177" i="5"/>
  <c r="AX2177" i="5" s="1"/>
  <c r="AH2178" i="5"/>
  <c r="AJ2178" i="5" s="1"/>
  <c r="AN2178" i="5"/>
  <c r="AO2178" i="5"/>
  <c r="AP2178" i="5"/>
  <c r="AR2178" i="5"/>
  <c r="AU2178" i="5"/>
  <c r="AV2178" i="5" s="1"/>
  <c r="AW2178" i="5"/>
  <c r="AX2178" i="5" s="1"/>
  <c r="AH2179" i="5"/>
  <c r="AL2179" i="5" s="1"/>
  <c r="AN2179" i="5"/>
  <c r="AO2179" i="5"/>
  <c r="AP2179" i="5"/>
  <c r="AR2179" i="5"/>
  <c r="AU2179" i="5"/>
  <c r="AV2179" i="5" s="1"/>
  <c r="AW2179" i="5"/>
  <c r="AX2179" i="5" s="1"/>
  <c r="AH2180" i="5"/>
  <c r="AZ2180" i="5" s="1"/>
  <c r="AN2180" i="5"/>
  <c r="AO2180" i="5"/>
  <c r="AP2180" i="5"/>
  <c r="AR2180" i="5"/>
  <c r="AS2180" i="5" s="1"/>
  <c r="AU2180" i="5"/>
  <c r="AV2180" i="5" s="1"/>
  <c r="AW2180" i="5"/>
  <c r="AX2180" i="5" s="1"/>
  <c r="AH2181" i="5"/>
  <c r="AL2181" i="5" s="1"/>
  <c r="AN2181" i="5"/>
  <c r="AO2181" i="5"/>
  <c r="AP2181" i="5"/>
  <c r="AR2181" i="5"/>
  <c r="AU2181" i="5"/>
  <c r="AV2181" i="5" s="1"/>
  <c r="AW2181" i="5"/>
  <c r="AX2181" i="5" s="1"/>
  <c r="AH2182" i="5"/>
  <c r="AN2182" i="5"/>
  <c r="AO2182" i="5"/>
  <c r="AP2182" i="5"/>
  <c r="AH2183" i="5"/>
  <c r="AZ2183" i="5" s="1"/>
  <c r="AN2183" i="5"/>
  <c r="AO2183" i="5"/>
  <c r="AP2183" i="5"/>
  <c r="AJ2184" i="5"/>
  <c r="AK2184" i="5"/>
  <c r="AL2184" i="5"/>
  <c r="AN2184" i="5"/>
  <c r="AO2184" i="5"/>
  <c r="AP2184" i="5"/>
  <c r="AR2184" i="5"/>
  <c r="AS2184" i="5" s="1"/>
  <c r="AU2184" i="5"/>
  <c r="AV2184" i="5" s="1"/>
  <c r="AW2184" i="5"/>
  <c r="AX2184" i="5" s="1"/>
  <c r="AH2185" i="5"/>
  <c r="AI2185" i="5" s="1"/>
  <c r="AN2185" i="5"/>
  <c r="AO2185" i="5"/>
  <c r="AP2185" i="5"/>
  <c r="AR2185" i="5"/>
  <c r="AU2185" i="5"/>
  <c r="AV2185" i="5" s="1"/>
  <c r="AW2185" i="5"/>
  <c r="AX2185" i="5" s="1"/>
  <c r="AH2186" i="5"/>
  <c r="AN2186" i="5"/>
  <c r="AO2186" i="5"/>
  <c r="AP2186" i="5"/>
  <c r="AR2186" i="5"/>
  <c r="AT2186" i="5" s="1"/>
  <c r="AU2186" i="5"/>
  <c r="AV2186" i="5" s="1"/>
  <c r="AW2186" i="5"/>
  <c r="AX2186" i="5" s="1"/>
  <c r="AH2187" i="5"/>
  <c r="AN2187" i="5"/>
  <c r="AO2187" i="5"/>
  <c r="AP2187" i="5"/>
  <c r="AR2187" i="5"/>
  <c r="AT2187" i="5" s="1"/>
  <c r="AU2187" i="5"/>
  <c r="AV2187" i="5" s="1"/>
  <c r="AW2187" i="5"/>
  <c r="AX2187" i="5" s="1"/>
  <c r="AH2188" i="5"/>
  <c r="AZ2188" i="5" s="1"/>
  <c r="AN2188" i="5"/>
  <c r="AO2188" i="5"/>
  <c r="AP2188" i="5"/>
  <c r="AR2188" i="5"/>
  <c r="AT2188" i="5" s="1"/>
  <c r="AU2188" i="5"/>
  <c r="AV2188" i="5" s="1"/>
  <c r="AW2188" i="5"/>
  <c r="AX2188" i="5" s="1"/>
  <c r="AH2189" i="5"/>
  <c r="AN2189" i="5"/>
  <c r="AO2189" i="5"/>
  <c r="AP2189" i="5"/>
  <c r="AH2190" i="5"/>
  <c r="AY2190" i="5" s="1"/>
  <c r="AN2190" i="5"/>
  <c r="AO2190" i="5"/>
  <c r="AP2190" i="5"/>
  <c r="AJ2191" i="5"/>
  <c r="AK2191" i="5"/>
  <c r="AL2191" i="5"/>
  <c r="AN2191" i="5"/>
  <c r="AO2191" i="5"/>
  <c r="AP2191" i="5"/>
  <c r="AR2191" i="5"/>
  <c r="AT2191" i="5" s="1"/>
  <c r="AU2191" i="5"/>
  <c r="AV2191" i="5" s="1"/>
  <c r="AW2191" i="5"/>
  <c r="AX2191" i="5" s="1"/>
  <c r="AH2192" i="5"/>
  <c r="AY2192" i="5" s="1"/>
  <c r="AN2192" i="5"/>
  <c r="AO2192" i="5"/>
  <c r="AP2192" i="5"/>
  <c r="AR2192" i="5"/>
  <c r="AU2192" i="5"/>
  <c r="AV2192" i="5" s="1"/>
  <c r="AW2192" i="5"/>
  <c r="AX2192" i="5" s="1"/>
  <c r="AH2193" i="5"/>
  <c r="AJ2193" i="5" s="1"/>
  <c r="AN2193" i="5"/>
  <c r="AO2193" i="5"/>
  <c r="AP2193" i="5"/>
  <c r="AR2193" i="5"/>
  <c r="AT2193" i="5" s="1"/>
  <c r="AU2193" i="5"/>
  <c r="AV2193" i="5" s="1"/>
  <c r="AW2193" i="5"/>
  <c r="AX2193" i="5" s="1"/>
  <c r="AH2194" i="5"/>
  <c r="AL2194" i="5" s="1"/>
  <c r="AN2194" i="5"/>
  <c r="AO2194" i="5"/>
  <c r="AP2194" i="5"/>
  <c r="AR2194" i="5"/>
  <c r="AU2194" i="5"/>
  <c r="AV2194" i="5" s="1"/>
  <c r="AW2194" i="5"/>
  <c r="AX2194" i="5" s="1"/>
  <c r="AH2195" i="5"/>
  <c r="AJ2195" i="5" s="1"/>
  <c r="AN2195" i="5"/>
  <c r="AO2195" i="5"/>
  <c r="AP2195" i="5"/>
  <c r="AR2195" i="5"/>
  <c r="AU2195" i="5"/>
  <c r="AV2195" i="5" s="1"/>
  <c r="AW2195" i="5"/>
  <c r="AX2195" i="5" s="1"/>
  <c r="AH2196" i="5"/>
  <c r="AU2196" i="5" s="1"/>
  <c r="AV2196" i="5" s="1"/>
  <c r="AN2196" i="5"/>
  <c r="AO2196" i="5"/>
  <c r="AP2196" i="5"/>
  <c r="AH2197" i="5"/>
  <c r="AK2197" i="5" s="1"/>
  <c r="AN2197" i="5"/>
  <c r="AO2197" i="5"/>
  <c r="AP2197" i="5"/>
  <c r="AJ2198" i="5"/>
  <c r="AK2198" i="5"/>
  <c r="AL2198" i="5"/>
  <c r="AN2198" i="5"/>
  <c r="AO2198" i="5"/>
  <c r="AP2198" i="5"/>
  <c r="AR2198" i="5"/>
  <c r="AT2198" i="5" s="1"/>
  <c r="AU2198" i="5"/>
  <c r="AV2198" i="5" s="1"/>
  <c r="AW2198" i="5"/>
  <c r="AX2198" i="5" s="1"/>
  <c r="AH2199" i="5"/>
  <c r="AJ2199" i="5" s="1"/>
  <c r="AN2199" i="5"/>
  <c r="AO2199" i="5"/>
  <c r="AP2199" i="5"/>
  <c r="AR2199" i="5"/>
  <c r="AT2199" i="5" s="1"/>
  <c r="AU2199" i="5"/>
  <c r="AV2199" i="5" s="1"/>
  <c r="AW2199" i="5"/>
  <c r="AX2199" i="5" s="1"/>
  <c r="AH2200" i="5"/>
  <c r="AY2200" i="5" s="1"/>
  <c r="AN2200" i="5"/>
  <c r="AO2200" i="5"/>
  <c r="AP2200" i="5"/>
  <c r="AR2200" i="5"/>
  <c r="AT2200" i="5" s="1"/>
  <c r="AU2200" i="5"/>
  <c r="AV2200" i="5" s="1"/>
  <c r="AW2200" i="5"/>
  <c r="AX2200" i="5" s="1"/>
  <c r="AH2201" i="5"/>
  <c r="AN2201" i="5"/>
  <c r="AO2201" i="5"/>
  <c r="AP2201" i="5"/>
  <c r="AR2201" i="5"/>
  <c r="AS2201" i="5" s="1"/>
  <c r="AU2201" i="5"/>
  <c r="AV2201" i="5" s="1"/>
  <c r="AW2201" i="5"/>
  <c r="AX2201" i="5" s="1"/>
  <c r="AH2202" i="5"/>
  <c r="AN2202" i="5"/>
  <c r="AO2202" i="5"/>
  <c r="AP2202" i="5"/>
  <c r="AR2202" i="5"/>
  <c r="AS2202" i="5" s="1"/>
  <c r="AU2202" i="5"/>
  <c r="AV2202" i="5" s="1"/>
  <c r="AW2202" i="5"/>
  <c r="AX2202" i="5" s="1"/>
  <c r="AH2203" i="5"/>
  <c r="AU2203" i="5" s="1"/>
  <c r="AV2203" i="5" s="1"/>
  <c r="AN2203" i="5"/>
  <c r="AO2203" i="5"/>
  <c r="AP2203" i="5"/>
  <c r="AH2204" i="5"/>
  <c r="AN2204" i="5"/>
  <c r="AO2204" i="5"/>
  <c r="AP2204" i="5"/>
  <c r="AJ2205" i="5"/>
  <c r="AK2205" i="5"/>
  <c r="AL2205" i="5"/>
  <c r="AN2205" i="5"/>
  <c r="AO2205" i="5"/>
  <c r="AP2205" i="5"/>
  <c r="AR2205" i="5"/>
  <c r="AU2205" i="5"/>
  <c r="AV2205" i="5" s="1"/>
  <c r="AW2205" i="5"/>
  <c r="AX2205" i="5" s="1"/>
  <c r="AH2206" i="5"/>
  <c r="AN2206" i="5"/>
  <c r="AO2206" i="5"/>
  <c r="AP2206" i="5"/>
  <c r="AR2206" i="5"/>
  <c r="AS2206" i="5" s="1"/>
  <c r="AU2206" i="5"/>
  <c r="AV2206" i="5" s="1"/>
  <c r="AW2206" i="5"/>
  <c r="AX2206" i="5" s="1"/>
  <c r="AH2207" i="5"/>
  <c r="AL2207" i="5" s="1"/>
  <c r="AN2207" i="5"/>
  <c r="AO2207" i="5"/>
  <c r="AP2207" i="5"/>
  <c r="AR2207" i="5"/>
  <c r="AU2207" i="5"/>
  <c r="AV2207" i="5" s="1"/>
  <c r="AW2207" i="5"/>
  <c r="AX2207" i="5" s="1"/>
  <c r="AH2208" i="5"/>
  <c r="AZ2208" i="5" s="1"/>
  <c r="AN2208" i="5"/>
  <c r="AO2208" i="5"/>
  <c r="AP2208" i="5"/>
  <c r="AR2208" i="5"/>
  <c r="AU2208" i="5"/>
  <c r="AV2208" i="5" s="1"/>
  <c r="AW2208" i="5"/>
  <c r="AX2208" i="5" s="1"/>
  <c r="AH2209" i="5"/>
  <c r="AN2209" i="5"/>
  <c r="AO2209" i="5"/>
  <c r="AP2209" i="5"/>
  <c r="AR2209" i="5"/>
  <c r="AS2209" i="5" s="1"/>
  <c r="AU2209" i="5"/>
  <c r="AV2209" i="5" s="1"/>
  <c r="AW2209" i="5"/>
  <c r="AX2209" i="5" s="1"/>
  <c r="AH2210" i="5"/>
  <c r="AU2210" i="5" s="1"/>
  <c r="AV2210" i="5" s="1"/>
  <c r="AN2210" i="5"/>
  <c r="AO2210" i="5"/>
  <c r="AP2210" i="5"/>
  <c r="AH2211" i="5"/>
  <c r="AY2211" i="5" s="1"/>
  <c r="AN2211" i="5"/>
  <c r="AO2211" i="5"/>
  <c r="AP2211" i="5"/>
  <c r="AJ2212" i="5"/>
  <c r="AK2212" i="5"/>
  <c r="AL2212" i="5"/>
  <c r="AN2212" i="5"/>
  <c r="AO2212" i="5"/>
  <c r="AP2212" i="5"/>
  <c r="AR2212" i="5"/>
  <c r="AU2212" i="5"/>
  <c r="AV2212" i="5" s="1"/>
  <c r="AW2212" i="5"/>
  <c r="AX2212" i="5" s="1"/>
  <c r="AH2213" i="5"/>
  <c r="AN2213" i="5"/>
  <c r="AO2213" i="5"/>
  <c r="AP2213" i="5"/>
  <c r="AR2213" i="5"/>
  <c r="AU2213" i="5"/>
  <c r="AV2213" i="5" s="1"/>
  <c r="AW2213" i="5"/>
  <c r="AX2213" i="5" s="1"/>
  <c r="AH2214" i="5"/>
  <c r="AL2214" i="5" s="1"/>
  <c r="AN2214" i="5"/>
  <c r="AO2214" i="5"/>
  <c r="AP2214" i="5"/>
  <c r="AR2214" i="5"/>
  <c r="AS2214" i="5" s="1"/>
  <c r="AU2214" i="5"/>
  <c r="AV2214" i="5" s="1"/>
  <c r="AW2214" i="5"/>
  <c r="AX2214" i="5" s="1"/>
  <c r="AH2215" i="5"/>
  <c r="AN2215" i="5"/>
  <c r="AO2215" i="5"/>
  <c r="AP2215" i="5"/>
  <c r="AR2215" i="5"/>
  <c r="AU2215" i="5"/>
  <c r="AV2215" i="5" s="1"/>
  <c r="AW2215" i="5"/>
  <c r="AX2215" i="5" s="1"/>
  <c r="AH2216" i="5"/>
  <c r="AL2216" i="5" s="1"/>
  <c r="AN2216" i="5"/>
  <c r="AO2216" i="5"/>
  <c r="AP2216" i="5"/>
  <c r="AR2216" i="5"/>
  <c r="AS2216" i="5" s="1"/>
  <c r="AU2216" i="5"/>
  <c r="AV2216" i="5" s="1"/>
  <c r="AW2216" i="5"/>
  <c r="AX2216" i="5" s="1"/>
  <c r="AH2217" i="5"/>
  <c r="AW2217" i="5" s="1"/>
  <c r="AX2217" i="5" s="1"/>
  <c r="AN2217" i="5"/>
  <c r="AO2217" i="5"/>
  <c r="AP2217" i="5"/>
  <c r="AH2218" i="5"/>
  <c r="AN2218" i="5"/>
  <c r="AO2218" i="5"/>
  <c r="AP2218" i="5"/>
  <c r="AJ2219" i="5"/>
  <c r="AK2219" i="5"/>
  <c r="AL2219" i="5"/>
  <c r="AN2219" i="5"/>
  <c r="AO2219" i="5"/>
  <c r="AP2219" i="5"/>
  <c r="AR2219" i="5"/>
  <c r="AU2219" i="5"/>
  <c r="AV2219" i="5" s="1"/>
  <c r="AW2219" i="5"/>
  <c r="AX2219" i="5" s="1"/>
  <c r="AH2220" i="5"/>
  <c r="AK2220" i="5" s="1"/>
  <c r="AN2220" i="5"/>
  <c r="AO2220" i="5"/>
  <c r="AP2220" i="5"/>
  <c r="AR2220" i="5"/>
  <c r="AS2220" i="5" s="1"/>
  <c r="AU2220" i="5"/>
  <c r="AV2220" i="5" s="1"/>
  <c r="AW2220" i="5"/>
  <c r="AX2220" i="5" s="1"/>
  <c r="AH2221" i="5"/>
  <c r="AY2221" i="5" s="1"/>
  <c r="AN2221" i="5"/>
  <c r="AO2221" i="5"/>
  <c r="AP2221" i="5"/>
  <c r="AR2221" i="5"/>
  <c r="AT2221" i="5" s="1"/>
  <c r="AU2221" i="5"/>
  <c r="AV2221" i="5" s="1"/>
  <c r="AW2221" i="5"/>
  <c r="AX2221" i="5" s="1"/>
  <c r="AH2222" i="5"/>
  <c r="AN2222" i="5"/>
  <c r="AO2222" i="5"/>
  <c r="AP2222" i="5"/>
  <c r="AR2222" i="5"/>
  <c r="AT2222" i="5" s="1"/>
  <c r="AU2222" i="5"/>
  <c r="AV2222" i="5" s="1"/>
  <c r="AW2222" i="5"/>
  <c r="AX2222" i="5" s="1"/>
  <c r="AH2223" i="5"/>
  <c r="AN2223" i="5"/>
  <c r="AO2223" i="5"/>
  <c r="AP2223" i="5"/>
  <c r="AR2223" i="5"/>
  <c r="AU2223" i="5"/>
  <c r="AV2223" i="5" s="1"/>
  <c r="AW2223" i="5"/>
  <c r="AX2223" i="5" s="1"/>
  <c r="AH2224" i="5"/>
  <c r="AZ2224" i="5" s="1"/>
  <c r="AN2224" i="5"/>
  <c r="AO2224" i="5"/>
  <c r="AP2224" i="5"/>
  <c r="AH2225" i="5"/>
  <c r="AN2225" i="5"/>
  <c r="AO2225" i="5"/>
  <c r="AP2225" i="5"/>
  <c r="AJ2226" i="5"/>
  <c r="AK2226" i="5"/>
  <c r="AL2226" i="5"/>
  <c r="AN2226" i="5"/>
  <c r="AO2226" i="5"/>
  <c r="AP2226" i="5"/>
  <c r="AR2226" i="5"/>
  <c r="AT2226" i="5" s="1"/>
  <c r="AU2226" i="5"/>
  <c r="AV2226" i="5" s="1"/>
  <c r="AW2226" i="5"/>
  <c r="AX2226" i="5" s="1"/>
  <c r="AH2227" i="5"/>
  <c r="AJ2227" i="5" s="1"/>
  <c r="AN2227" i="5"/>
  <c r="AO2227" i="5"/>
  <c r="AP2227" i="5"/>
  <c r="AR2227" i="5"/>
  <c r="AU2227" i="5"/>
  <c r="AV2227" i="5" s="1"/>
  <c r="AW2227" i="5"/>
  <c r="AX2227" i="5" s="1"/>
  <c r="AH2228" i="5"/>
  <c r="AJ2228" i="5" s="1"/>
  <c r="AN2228" i="5"/>
  <c r="AO2228" i="5"/>
  <c r="AP2228" i="5"/>
  <c r="AR2228" i="5"/>
  <c r="AT2228" i="5" s="1"/>
  <c r="AU2228" i="5"/>
  <c r="AV2228" i="5" s="1"/>
  <c r="AW2228" i="5"/>
  <c r="AX2228" i="5" s="1"/>
  <c r="AH2229" i="5"/>
  <c r="AL2229" i="5" s="1"/>
  <c r="AN2229" i="5"/>
  <c r="AO2229" i="5"/>
  <c r="AP2229" i="5"/>
  <c r="AR2229" i="5"/>
  <c r="AT2229" i="5" s="1"/>
  <c r="AU2229" i="5"/>
  <c r="AV2229" i="5" s="1"/>
  <c r="AW2229" i="5"/>
  <c r="AX2229" i="5" s="1"/>
  <c r="AH2230" i="5"/>
  <c r="AZ2230" i="5" s="1"/>
  <c r="AN2230" i="5"/>
  <c r="AO2230" i="5"/>
  <c r="AP2230" i="5"/>
  <c r="AR2230" i="5"/>
  <c r="AT2230" i="5" s="1"/>
  <c r="AU2230" i="5"/>
  <c r="AV2230" i="5" s="1"/>
  <c r="AW2230" i="5"/>
  <c r="AX2230" i="5" s="1"/>
  <c r="AH2231" i="5"/>
  <c r="AZ2231" i="5" s="1"/>
  <c r="AN2231" i="5"/>
  <c r="AO2231" i="5"/>
  <c r="AP2231" i="5"/>
  <c r="AH2232" i="5"/>
  <c r="AN2232" i="5"/>
  <c r="AO2232" i="5"/>
  <c r="AP2232" i="5"/>
  <c r="AJ2233" i="5"/>
  <c r="AK2233" i="5"/>
  <c r="AL2233" i="5"/>
  <c r="AN2233" i="5"/>
  <c r="AO2233" i="5"/>
  <c r="AP2233" i="5"/>
  <c r="AR2233" i="5"/>
  <c r="AT2233" i="5" s="1"/>
  <c r="AU2233" i="5"/>
  <c r="AV2233" i="5" s="1"/>
  <c r="AW2233" i="5"/>
  <c r="AX2233" i="5" s="1"/>
  <c r="AH2234" i="5"/>
  <c r="AJ2234" i="5" s="1"/>
  <c r="AN2234" i="5"/>
  <c r="AO2234" i="5"/>
  <c r="AP2234" i="5"/>
  <c r="AR2234" i="5"/>
  <c r="AS2234" i="5" s="1"/>
  <c r="AU2234" i="5"/>
  <c r="AV2234" i="5" s="1"/>
  <c r="AW2234" i="5"/>
  <c r="AX2234" i="5" s="1"/>
  <c r="AH2235" i="5"/>
  <c r="AL2235" i="5" s="1"/>
  <c r="AN2235" i="5"/>
  <c r="AO2235" i="5"/>
  <c r="AP2235" i="5"/>
  <c r="AR2235" i="5"/>
  <c r="AS2235" i="5" s="1"/>
  <c r="AU2235" i="5"/>
  <c r="AV2235" i="5" s="1"/>
  <c r="AW2235" i="5"/>
  <c r="AX2235" i="5" s="1"/>
  <c r="AH2236" i="5"/>
  <c r="AZ2236" i="5" s="1"/>
  <c r="AN2236" i="5"/>
  <c r="AO2236" i="5"/>
  <c r="AP2236" i="5"/>
  <c r="AR2236" i="5"/>
  <c r="AS2236" i="5" s="1"/>
  <c r="AU2236" i="5"/>
  <c r="AV2236" i="5" s="1"/>
  <c r="AW2236" i="5"/>
  <c r="AX2236" i="5" s="1"/>
  <c r="AH2237" i="5"/>
  <c r="AJ2237" i="5" s="1"/>
  <c r="AN2237" i="5"/>
  <c r="AO2237" i="5"/>
  <c r="AP2237" i="5"/>
  <c r="AR2237" i="5"/>
  <c r="AT2237" i="5" s="1"/>
  <c r="AU2237" i="5"/>
  <c r="AV2237" i="5" s="1"/>
  <c r="AW2237" i="5"/>
  <c r="AX2237" i="5" s="1"/>
  <c r="AH2238" i="5"/>
  <c r="AL2238" i="5" s="1"/>
  <c r="AN2238" i="5"/>
  <c r="AO2238" i="5"/>
  <c r="AP2238" i="5"/>
  <c r="AH2239" i="5"/>
  <c r="AL2239" i="5" s="1"/>
  <c r="AN2239" i="5"/>
  <c r="AO2239" i="5"/>
  <c r="AP2239" i="5"/>
  <c r="AJ2240" i="5"/>
  <c r="AK2240" i="5"/>
  <c r="AL2240" i="5"/>
  <c r="AN2240" i="5"/>
  <c r="AO2240" i="5"/>
  <c r="AP2240" i="5"/>
  <c r="AR2240" i="5"/>
  <c r="AT2240" i="5" s="1"/>
  <c r="AU2240" i="5"/>
  <c r="AV2240" i="5" s="1"/>
  <c r="AW2240" i="5"/>
  <c r="AX2240" i="5" s="1"/>
  <c r="AH2241" i="5"/>
  <c r="AY2241" i="5" s="1"/>
  <c r="AN2241" i="5"/>
  <c r="AO2241" i="5"/>
  <c r="AP2241" i="5"/>
  <c r="AR2241" i="5"/>
  <c r="AU2241" i="5"/>
  <c r="AV2241" i="5" s="1"/>
  <c r="AW2241" i="5"/>
  <c r="AX2241" i="5" s="1"/>
  <c r="AH2242" i="5"/>
  <c r="AJ2242" i="5" s="1"/>
  <c r="AN2242" i="5"/>
  <c r="AO2242" i="5"/>
  <c r="AP2242" i="5"/>
  <c r="AR2242" i="5"/>
  <c r="AS2242" i="5" s="1"/>
  <c r="AU2242" i="5"/>
  <c r="AV2242" i="5" s="1"/>
  <c r="AW2242" i="5"/>
  <c r="AX2242" i="5" s="1"/>
  <c r="AH2243" i="5"/>
  <c r="AN2243" i="5"/>
  <c r="AO2243" i="5"/>
  <c r="AP2243" i="5"/>
  <c r="AR2243" i="5"/>
  <c r="AU2243" i="5"/>
  <c r="AV2243" i="5" s="1"/>
  <c r="AW2243" i="5"/>
  <c r="AX2243" i="5" s="1"/>
  <c r="AH2244" i="5"/>
  <c r="AL2244" i="5" s="1"/>
  <c r="AN2244" i="5"/>
  <c r="AO2244" i="5"/>
  <c r="AP2244" i="5"/>
  <c r="AR2244" i="5"/>
  <c r="AS2244" i="5" s="1"/>
  <c r="AU2244" i="5"/>
  <c r="AV2244" i="5" s="1"/>
  <c r="AW2244" i="5"/>
  <c r="AX2244" i="5" s="1"/>
  <c r="AH2245" i="5"/>
  <c r="AW2245" i="5" s="1"/>
  <c r="AX2245" i="5" s="1"/>
  <c r="AN2245" i="5"/>
  <c r="AO2245" i="5"/>
  <c r="AP2245" i="5"/>
  <c r="AH2246" i="5"/>
  <c r="AN2246" i="5"/>
  <c r="AO2246" i="5"/>
  <c r="AP2246" i="5"/>
  <c r="AJ2247" i="5"/>
  <c r="AK2247" i="5"/>
  <c r="AL2247" i="5"/>
  <c r="AN2247" i="5"/>
  <c r="AO2247" i="5"/>
  <c r="AP2247" i="5"/>
  <c r="AR2247" i="5"/>
  <c r="AU2247" i="5"/>
  <c r="AV2247" i="5" s="1"/>
  <c r="AW2247" i="5"/>
  <c r="AX2247" i="5" s="1"/>
  <c r="AH2248" i="5"/>
  <c r="AY2248" i="5" s="1"/>
  <c r="AH2249" i="5"/>
  <c r="AK2249" i="5" s="1"/>
  <c r="AN2248" i="5"/>
  <c r="AO2248" i="5"/>
  <c r="AP2248" i="5"/>
  <c r="AR2248" i="5"/>
  <c r="AS2248" i="5" s="1"/>
  <c r="AU2248" i="5"/>
  <c r="AV2248" i="5" s="1"/>
  <c r="AW2248" i="5"/>
  <c r="AX2248" i="5" s="1"/>
  <c r="AN2249" i="5"/>
  <c r="AO2249" i="5"/>
  <c r="AP2249" i="5"/>
  <c r="AR2249" i="5"/>
  <c r="AS2249" i="5" s="1"/>
  <c r="AU2249" i="5"/>
  <c r="AV2249" i="5" s="1"/>
  <c r="AW2249" i="5"/>
  <c r="AX2249" i="5" s="1"/>
  <c r="AH2250" i="5"/>
  <c r="AZ2250" i="5" s="1"/>
  <c r="AN2250" i="5"/>
  <c r="AO2250" i="5"/>
  <c r="AP2250" i="5"/>
  <c r="AR2250" i="5"/>
  <c r="AT2250" i="5" s="1"/>
  <c r="AU2250" i="5"/>
  <c r="AV2250" i="5" s="1"/>
  <c r="AW2250" i="5"/>
  <c r="AX2250" i="5" s="1"/>
  <c r="AH2251" i="5"/>
  <c r="AJ2251" i="5" s="1"/>
  <c r="AN2251" i="5"/>
  <c r="AO2251" i="5"/>
  <c r="AP2251" i="5"/>
  <c r="AR2251" i="5"/>
  <c r="AU2251" i="5"/>
  <c r="AV2251" i="5" s="1"/>
  <c r="AW2251" i="5"/>
  <c r="AX2251" i="5" s="1"/>
  <c r="AH2252" i="5"/>
  <c r="AW2252" i="5" s="1"/>
  <c r="AX2252" i="5" s="1"/>
  <c r="AN2252" i="5"/>
  <c r="AO2252" i="5"/>
  <c r="AP2252" i="5"/>
  <c r="AH2253" i="5"/>
  <c r="AJ2253" i="5" s="1"/>
  <c r="AN2253" i="5"/>
  <c r="AO2253" i="5"/>
  <c r="AP2253" i="5"/>
  <c r="AJ2254" i="5"/>
  <c r="AK2254" i="5"/>
  <c r="AL2254" i="5"/>
  <c r="AN2254" i="5"/>
  <c r="AO2254" i="5"/>
  <c r="AP2254" i="5"/>
  <c r="AR2254" i="5"/>
  <c r="AU2254" i="5"/>
  <c r="AV2254" i="5" s="1"/>
  <c r="AW2254" i="5"/>
  <c r="AX2254" i="5" s="1"/>
  <c r="AH2255" i="5"/>
  <c r="AN2255" i="5"/>
  <c r="AO2255" i="5"/>
  <c r="AP2255" i="5"/>
  <c r="AR2255" i="5"/>
  <c r="AT2255" i="5" s="1"/>
  <c r="AU2255" i="5"/>
  <c r="AV2255" i="5" s="1"/>
  <c r="AW2255" i="5"/>
  <c r="AX2255" i="5" s="1"/>
  <c r="AH2256" i="5"/>
  <c r="AN2256" i="5"/>
  <c r="AO2256" i="5"/>
  <c r="AP2256" i="5"/>
  <c r="AR2256" i="5"/>
  <c r="AT2256" i="5" s="1"/>
  <c r="AU2256" i="5"/>
  <c r="AV2256" i="5" s="1"/>
  <c r="AW2256" i="5"/>
  <c r="AX2256" i="5" s="1"/>
  <c r="AH2257" i="5"/>
  <c r="AJ2257" i="5" s="1"/>
  <c r="AN2257" i="5"/>
  <c r="AO2257" i="5"/>
  <c r="AP2257" i="5"/>
  <c r="AR2257" i="5"/>
  <c r="AU2257" i="5"/>
  <c r="AV2257" i="5" s="1"/>
  <c r="AW2257" i="5"/>
  <c r="AX2257" i="5" s="1"/>
  <c r="AH2258" i="5"/>
  <c r="AN2258" i="5"/>
  <c r="AO2258" i="5"/>
  <c r="AP2258" i="5"/>
  <c r="AR2258" i="5"/>
  <c r="AT2258" i="5" s="1"/>
  <c r="AU2258" i="5"/>
  <c r="AV2258" i="5" s="1"/>
  <c r="AW2258" i="5"/>
  <c r="AX2258" i="5" s="1"/>
  <c r="AH2259" i="5"/>
  <c r="AU2259" i="5" s="1"/>
  <c r="AV2259" i="5" s="1"/>
  <c r="AN2259" i="5"/>
  <c r="AO2259" i="5"/>
  <c r="AP2259" i="5"/>
  <c r="AH2260" i="5"/>
  <c r="AJ2260" i="5" s="1"/>
  <c r="AN2260" i="5"/>
  <c r="AO2260" i="5"/>
  <c r="AP2260" i="5"/>
  <c r="AJ2261" i="5"/>
  <c r="AK2261" i="5"/>
  <c r="AL2261" i="5"/>
  <c r="AN2261" i="5"/>
  <c r="AO2261" i="5"/>
  <c r="AP2261" i="5"/>
  <c r="AR2261" i="5"/>
  <c r="AU2261" i="5"/>
  <c r="AV2261" i="5" s="1"/>
  <c r="AW2261" i="5"/>
  <c r="AX2261" i="5" s="1"/>
  <c r="AH2262" i="5"/>
  <c r="AN2262" i="5"/>
  <c r="AO2262" i="5"/>
  <c r="AP2262" i="5"/>
  <c r="AR2262" i="5"/>
  <c r="AS2262" i="5" s="1"/>
  <c r="AU2262" i="5"/>
  <c r="AV2262" i="5" s="1"/>
  <c r="AW2262" i="5"/>
  <c r="AX2262" i="5" s="1"/>
  <c r="AH2263" i="5"/>
  <c r="AN2263" i="5"/>
  <c r="AO2263" i="5"/>
  <c r="AP2263" i="5"/>
  <c r="AR2263" i="5"/>
  <c r="AU2263" i="5"/>
  <c r="AV2263" i="5" s="1"/>
  <c r="AW2263" i="5"/>
  <c r="AX2263" i="5" s="1"/>
  <c r="AH2264" i="5"/>
  <c r="AY2264" i="5" s="1"/>
  <c r="AH2265" i="5"/>
  <c r="AN2264" i="5"/>
  <c r="AO2264" i="5"/>
  <c r="AP2264" i="5"/>
  <c r="AR2264" i="5"/>
  <c r="AT2264" i="5" s="1"/>
  <c r="AU2264" i="5"/>
  <c r="AV2264" i="5" s="1"/>
  <c r="AW2264" i="5"/>
  <c r="AX2264" i="5" s="1"/>
  <c r="AN2265" i="5"/>
  <c r="AO2265" i="5"/>
  <c r="AP2265" i="5"/>
  <c r="AR2265" i="5"/>
  <c r="AS2265" i="5" s="1"/>
  <c r="AU2265" i="5"/>
  <c r="AV2265" i="5" s="1"/>
  <c r="AW2265" i="5"/>
  <c r="AX2265" i="5" s="1"/>
  <c r="AH2266" i="5"/>
  <c r="AU2266" i="5" s="1"/>
  <c r="AV2266" i="5" s="1"/>
  <c r="AN2266" i="5"/>
  <c r="AO2266" i="5"/>
  <c r="AP2266" i="5"/>
  <c r="AH2267" i="5"/>
  <c r="AN2267" i="5"/>
  <c r="AO2267" i="5"/>
  <c r="AP2267" i="5"/>
  <c r="AJ2268" i="5"/>
  <c r="AK2268" i="5"/>
  <c r="AL2268" i="5"/>
  <c r="AN2268" i="5"/>
  <c r="AO2268" i="5"/>
  <c r="AP2268" i="5"/>
  <c r="AR2268" i="5"/>
  <c r="AT2268" i="5" s="1"/>
  <c r="AU2268" i="5"/>
  <c r="AV2268" i="5" s="1"/>
  <c r="AW2268" i="5"/>
  <c r="AX2268" i="5" s="1"/>
  <c r="AH2269" i="5"/>
  <c r="AN2269" i="5"/>
  <c r="AO2269" i="5"/>
  <c r="AP2269" i="5"/>
  <c r="AR2269" i="5"/>
  <c r="AS2269" i="5" s="1"/>
  <c r="AU2269" i="5"/>
  <c r="AV2269" i="5" s="1"/>
  <c r="AW2269" i="5"/>
  <c r="AX2269" i="5" s="1"/>
  <c r="AH2270" i="5"/>
  <c r="AN2270" i="5"/>
  <c r="AO2270" i="5"/>
  <c r="AP2270" i="5"/>
  <c r="AR2270" i="5"/>
  <c r="AT2270" i="5" s="1"/>
  <c r="AU2270" i="5"/>
  <c r="AV2270" i="5" s="1"/>
  <c r="AW2270" i="5"/>
  <c r="AX2270" i="5" s="1"/>
  <c r="AH2271" i="5"/>
  <c r="AY2271" i="5" s="1"/>
  <c r="AN2271" i="5"/>
  <c r="AO2271" i="5"/>
  <c r="AP2271" i="5"/>
  <c r="AR2271" i="5"/>
  <c r="AS2271" i="5" s="1"/>
  <c r="AU2271" i="5"/>
  <c r="AV2271" i="5" s="1"/>
  <c r="AW2271" i="5"/>
  <c r="AX2271" i="5" s="1"/>
  <c r="AH2272" i="5"/>
  <c r="AL2272" i="5" s="1"/>
  <c r="AN2272" i="5"/>
  <c r="AO2272" i="5"/>
  <c r="AP2272" i="5"/>
  <c r="AR2272" i="5"/>
  <c r="AT2272" i="5" s="1"/>
  <c r="AU2272" i="5"/>
  <c r="AV2272" i="5" s="1"/>
  <c r="AW2272" i="5"/>
  <c r="AX2272" i="5" s="1"/>
  <c r="AH2273" i="5"/>
  <c r="AZ2273" i="5" s="1"/>
  <c r="AN2273" i="5"/>
  <c r="AO2273" i="5"/>
  <c r="AP2273" i="5"/>
  <c r="AH2274" i="5"/>
  <c r="AN2274" i="5"/>
  <c r="AO2274" i="5"/>
  <c r="AP2274" i="5"/>
  <c r="AJ2275" i="5"/>
  <c r="AK2275" i="5"/>
  <c r="AL2275" i="5"/>
  <c r="AN2275" i="5"/>
  <c r="AO2275" i="5"/>
  <c r="AP2275" i="5"/>
  <c r="AR2275" i="5"/>
  <c r="AU2275" i="5"/>
  <c r="AV2275" i="5" s="1"/>
  <c r="AW2275" i="5"/>
  <c r="AX2275" i="5" s="1"/>
  <c r="AH2276" i="5"/>
  <c r="AH2277" i="5"/>
  <c r="AJ2277" i="5" s="1"/>
  <c r="AN2276" i="5"/>
  <c r="AO2276" i="5"/>
  <c r="AP2276" i="5"/>
  <c r="AR2276" i="5"/>
  <c r="AT2276" i="5" s="1"/>
  <c r="AU2276" i="5"/>
  <c r="AV2276" i="5" s="1"/>
  <c r="AW2276" i="5"/>
  <c r="AX2276" i="5" s="1"/>
  <c r="AN2277" i="5"/>
  <c r="AO2277" i="5"/>
  <c r="AP2277" i="5"/>
  <c r="AR2277" i="5"/>
  <c r="AT2277" i="5" s="1"/>
  <c r="AU2277" i="5"/>
  <c r="AV2277" i="5" s="1"/>
  <c r="AW2277" i="5"/>
  <c r="AX2277" i="5" s="1"/>
  <c r="AH2278" i="5"/>
  <c r="AJ2278" i="5" s="1"/>
  <c r="AN2278" i="5"/>
  <c r="AO2278" i="5"/>
  <c r="AP2278" i="5"/>
  <c r="AR2278" i="5"/>
  <c r="AT2278" i="5" s="1"/>
  <c r="AU2278" i="5"/>
  <c r="AV2278" i="5" s="1"/>
  <c r="AW2278" i="5"/>
  <c r="AX2278" i="5" s="1"/>
  <c r="AH2279" i="5"/>
  <c r="AZ2279" i="5" s="1"/>
  <c r="AN2279" i="5"/>
  <c r="AO2279" i="5"/>
  <c r="AP2279" i="5"/>
  <c r="AR2279" i="5"/>
  <c r="AT2279" i="5" s="1"/>
  <c r="AU2279" i="5"/>
  <c r="AV2279" i="5" s="1"/>
  <c r="AW2279" i="5"/>
  <c r="AX2279" i="5" s="1"/>
  <c r="AH2280" i="5"/>
  <c r="AY2280" i="5" s="1"/>
  <c r="AN2280" i="5"/>
  <c r="AO2280" i="5"/>
  <c r="AP2280" i="5"/>
  <c r="AH2281" i="5"/>
  <c r="AN2281" i="5"/>
  <c r="AO2281" i="5"/>
  <c r="AP2281" i="5"/>
  <c r="AJ2282" i="5"/>
  <c r="AK2282" i="5"/>
  <c r="AL2282" i="5"/>
  <c r="AN2282" i="5"/>
  <c r="AO2282" i="5"/>
  <c r="AP2282" i="5"/>
  <c r="AR2282" i="5"/>
  <c r="AT2282" i="5" s="1"/>
  <c r="AU2282" i="5"/>
  <c r="AV2282" i="5" s="1"/>
  <c r="AW2282" i="5"/>
  <c r="AX2282" i="5" s="1"/>
  <c r="AH2283" i="5"/>
  <c r="AN2283" i="5"/>
  <c r="AO2283" i="5"/>
  <c r="AP2283" i="5"/>
  <c r="AR2283" i="5"/>
  <c r="AS2283" i="5" s="1"/>
  <c r="AU2283" i="5"/>
  <c r="AV2283" i="5" s="1"/>
  <c r="AW2283" i="5"/>
  <c r="AX2283" i="5" s="1"/>
  <c r="AH2284" i="5"/>
  <c r="AJ2284" i="5" s="1"/>
  <c r="AN2284" i="5"/>
  <c r="AO2284" i="5"/>
  <c r="AP2284" i="5"/>
  <c r="AR2284" i="5"/>
  <c r="AS2284" i="5" s="1"/>
  <c r="AU2284" i="5"/>
  <c r="AV2284" i="5" s="1"/>
  <c r="AW2284" i="5"/>
  <c r="AX2284" i="5" s="1"/>
  <c r="AH2285" i="5"/>
  <c r="AN2285" i="5"/>
  <c r="AO2285" i="5"/>
  <c r="AP2285" i="5"/>
  <c r="AR2285" i="5"/>
  <c r="AT2285" i="5" s="1"/>
  <c r="AU2285" i="5"/>
  <c r="AV2285" i="5" s="1"/>
  <c r="AW2285" i="5"/>
  <c r="AX2285" i="5" s="1"/>
  <c r="AH2286" i="5"/>
  <c r="AL2286" i="5" s="1"/>
  <c r="AN2286" i="5"/>
  <c r="AO2286" i="5"/>
  <c r="AP2286" i="5"/>
  <c r="AR2286" i="5"/>
  <c r="AU2286" i="5"/>
  <c r="AV2286" i="5" s="1"/>
  <c r="AW2286" i="5"/>
  <c r="AX2286" i="5" s="1"/>
  <c r="AH2287" i="5"/>
  <c r="AN2287" i="5"/>
  <c r="AO2287" i="5"/>
  <c r="AP2287" i="5"/>
  <c r="AH2288" i="5"/>
  <c r="AN2288" i="5"/>
  <c r="AO2288" i="5"/>
  <c r="AP2288" i="5"/>
  <c r="AJ2289" i="5"/>
  <c r="AK2289" i="5"/>
  <c r="AL2289" i="5"/>
  <c r="AN2289" i="5"/>
  <c r="AO2289" i="5"/>
  <c r="AP2289" i="5"/>
  <c r="AR2289" i="5"/>
  <c r="AT2289" i="5" s="1"/>
  <c r="AU2289" i="5"/>
  <c r="AV2289" i="5" s="1"/>
  <c r="AW2289" i="5"/>
  <c r="AX2289" i="5" s="1"/>
  <c r="AH2290" i="5"/>
  <c r="AI2290" i="5" s="1"/>
  <c r="AN2290" i="5"/>
  <c r="AO2290" i="5"/>
  <c r="AP2290" i="5"/>
  <c r="AR2290" i="5"/>
  <c r="AS2290" i="5" s="1"/>
  <c r="AU2290" i="5"/>
  <c r="AV2290" i="5" s="1"/>
  <c r="AW2290" i="5"/>
  <c r="AX2290" i="5" s="1"/>
  <c r="AH2291" i="5"/>
  <c r="AZ2291" i="5" s="1"/>
  <c r="AN2291" i="5"/>
  <c r="AO2291" i="5"/>
  <c r="AP2291" i="5"/>
  <c r="AR2291" i="5"/>
  <c r="AT2291" i="5" s="1"/>
  <c r="AU2291" i="5"/>
  <c r="AV2291" i="5" s="1"/>
  <c r="AW2291" i="5"/>
  <c r="AX2291" i="5" s="1"/>
  <c r="AH2292" i="5"/>
  <c r="AZ2292" i="5" s="1"/>
  <c r="AN2292" i="5"/>
  <c r="AO2292" i="5"/>
  <c r="AP2292" i="5"/>
  <c r="AR2292" i="5"/>
  <c r="AS2292" i="5" s="1"/>
  <c r="AU2292" i="5"/>
  <c r="AV2292" i="5" s="1"/>
  <c r="AW2292" i="5"/>
  <c r="AX2292" i="5" s="1"/>
  <c r="AH2293" i="5"/>
  <c r="AJ2293" i="5" s="1"/>
  <c r="AN2293" i="5"/>
  <c r="AO2293" i="5"/>
  <c r="AP2293" i="5"/>
  <c r="AR2293" i="5"/>
  <c r="AS2293" i="5" s="1"/>
  <c r="AU2293" i="5"/>
  <c r="AV2293" i="5" s="1"/>
  <c r="AW2293" i="5"/>
  <c r="AX2293" i="5" s="1"/>
  <c r="AH2294" i="5"/>
  <c r="AL2294" i="5" s="1"/>
  <c r="AN2294" i="5"/>
  <c r="AO2294" i="5"/>
  <c r="AP2294" i="5"/>
  <c r="AH2295" i="5"/>
  <c r="AI2296" i="5" s="1"/>
  <c r="AN2295" i="5"/>
  <c r="AO2295" i="5"/>
  <c r="AP2295" i="5"/>
  <c r="AJ2296" i="5"/>
  <c r="AK2296" i="5"/>
  <c r="AL2296" i="5"/>
  <c r="AN2296" i="5"/>
  <c r="AO2296" i="5"/>
  <c r="AP2296" i="5"/>
  <c r="AR2296" i="5"/>
  <c r="AT2296" i="5" s="1"/>
  <c r="AU2296" i="5"/>
  <c r="AV2296" i="5" s="1"/>
  <c r="AW2296" i="5"/>
  <c r="AX2296" i="5" s="1"/>
  <c r="AH2297" i="5"/>
  <c r="AN2297" i="5"/>
  <c r="AO2297" i="5"/>
  <c r="AP2297" i="5"/>
  <c r="AR2297" i="5"/>
  <c r="AT2297" i="5" s="1"/>
  <c r="AU2297" i="5"/>
  <c r="AV2297" i="5" s="1"/>
  <c r="AW2297" i="5"/>
  <c r="AX2297" i="5" s="1"/>
  <c r="AH2298" i="5"/>
  <c r="AY2298" i="5" s="1"/>
  <c r="AN2298" i="5"/>
  <c r="AO2298" i="5"/>
  <c r="AP2298" i="5"/>
  <c r="AR2298" i="5"/>
  <c r="AS2298" i="5" s="1"/>
  <c r="AU2298" i="5"/>
  <c r="AV2298" i="5" s="1"/>
  <c r="AW2298" i="5"/>
  <c r="AX2298" i="5" s="1"/>
  <c r="AH2299" i="5"/>
  <c r="AY2299" i="5" s="1"/>
  <c r="AH2300" i="5"/>
  <c r="AK2300" i="5" s="1"/>
  <c r="AN2299" i="5"/>
  <c r="AO2299" i="5"/>
  <c r="AP2299" i="5"/>
  <c r="AR2299" i="5"/>
  <c r="AT2299" i="5" s="1"/>
  <c r="AU2299" i="5"/>
  <c r="AV2299" i="5" s="1"/>
  <c r="AW2299" i="5"/>
  <c r="AX2299" i="5" s="1"/>
  <c r="AH2301" i="5"/>
  <c r="AN2300" i="5"/>
  <c r="AO2300" i="5"/>
  <c r="AP2300" i="5"/>
  <c r="AR2300" i="5"/>
  <c r="AS2300" i="5" s="1"/>
  <c r="AU2300" i="5"/>
  <c r="AV2300" i="5" s="1"/>
  <c r="AW2300" i="5"/>
  <c r="AX2300" i="5" s="1"/>
  <c r="AN2301" i="5"/>
  <c r="AO2301" i="5"/>
  <c r="AP2301" i="5"/>
  <c r="AH2302" i="5"/>
  <c r="AR2302" i="5" s="1"/>
  <c r="AS2302" i="5" s="1"/>
  <c r="AN2302" i="5"/>
  <c r="AO2302" i="5"/>
  <c r="AP2302" i="5"/>
  <c r="AJ2303" i="5"/>
  <c r="AK2303" i="5"/>
  <c r="AL2303" i="5"/>
  <c r="AN2303" i="5"/>
  <c r="AO2303" i="5"/>
  <c r="AP2303" i="5"/>
  <c r="AR2303" i="5"/>
  <c r="AU2303" i="5"/>
  <c r="AV2303" i="5" s="1"/>
  <c r="AW2303" i="5"/>
  <c r="AX2303" i="5" s="1"/>
  <c r="AH2304" i="5"/>
  <c r="AY2304" i="5" s="1"/>
  <c r="AN2304" i="5"/>
  <c r="AO2304" i="5"/>
  <c r="AP2304" i="5"/>
  <c r="AR2304" i="5"/>
  <c r="AU2304" i="5"/>
  <c r="AV2304" i="5" s="1"/>
  <c r="AW2304" i="5"/>
  <c r="AX2304" i="5" s="1"/>
  <c r="AH2305" i="5"/>
  <c r="AN2305" i="5"/>
  <c r="AO2305" i="5"/>
  <c r="AP2305" i="5"/>
  <c r="AR2305" i="5"/>
  <c r="AT2305" i="5" s="1"/>
  <c r="AU2305" i="5"/>
  <c r="AV2305" i="5" s="1"/>
  <c r="AW2305" i="5"/>
  <c r="AX2305" i="5" s="1"/>
  <c r="AH2306" i="5"/>
  <c r="AL2306" i="5" s="1"/>
  <c r="AN2306" i="5"/>
  <c r="AO2306" i="5"/>
  <c r="AP2306" i="5"/>
  <c r="AR2306" i="5"/>
  <c r="AS2306" i="5" s="1"/>
  <c r="AU2306" i="5"/>
  <c r="AV2306" i="5" s="1"/>
  <c r="AW2306" i="5"/>
  <c r="AX2306" i="5" s="1"/>
  <c r="AH2307" i="5"/>
  <c r="AZ2307" i="5" s="1"/>
  <c r="AN2307" i="5"/>
  <c r="AO2307" i="5"/>
  <c r="AP2307" i="5"/>
  <c r="AR2307" i="5"/>
  <c r="AT2307" i="5" s="1"/>
  <c r="AU2307" i="5"/>
  <c r="AV2307" i="5" s="1"/>
  <c r="AW2307" i="5"/>
  <c r="AX2307" i="5" s="1"/>
  <c r="AH2308" i="5"/>
  <c r="AW2308" i="5" s="1"/>
  <c r="AX2308" i="5" s="1"/>
  <c r="AN2308" i="5"/>
  <c r="AO2308" i="5"/>
  <c r="AP2308" i="5"/>
  <c r="AH2309" i="5"/>
  <c r="AI2310" i="5" s="1"/>
  <c r="AN2309" i="5"/>
  <c r="AO2309" i="5"/>
  <c r="AP2309" i="5"/>
  <c r="AJ2310" i="5"/>
  <c r="AK2310" i="5"/>
  <c r="AL2310" i="5"/>
  <c r="AN2310" i="5"/>
  <c r="AO2310" i="5"/>
  <c r="AP2310" i="5"/>
  <c r="AR2310" i="5"/>
  <c r="AT2310" i="5" s="1"/>
  <c r="AU2310" i="5"/>
  <c r="AV2310" i="5" s="1"/>
  <c r="AW2310" i="5"/>
  <c r="AX2310" i="5" s="1"/>
  <c r="AH2311" i="5"/>
  <c r="AY2311" i="5" s="1"/>
  <c r="AN2311" i="5"/>
  <c r="AO2311" i="5"/>
  <c r="AP2311" i="5"/>
  <c r="AR2311" i="5"/>
  <c r="AT2311" i="5" s="1"/>
  <c r="AU2311" i="5"/>
  <c r="AV2311" i="5" s="1"/>
  <c r="AW2311" i="5"/>
  <c r="AX2311" i="5" s="1"/>
  <c r="AH2312" i="5"/>
  <c r="AN2312" i="5"/>
  <c r="AO2312" i="5"/>
  <c r="AP2312" i="5"/>
  <c r="AR2312" i="5"/>
  <c r="AS2312" i="5" s="1"/>
  <c r="AU2312" i="5"/>
  <c r="AV2312" i="5" s="1"/>
  <c r="AW2312" i="5"/>
  <c r="AX2312" i="5" s="1"/>
  <c r="AH2313" i="5"/>
  <c r="AY2313" i="5" s="1"/>
  <c r="AN2313" i="5"/>
  <c r="AO2313" i="5"/>
  <c r="AP2313" i="5"/>
  <c r="AR2313" i="5"/>
  <c r="AT2313" i="5" s="1"/>
  <c r="AU2313" i="5"/>
  <c r="AV2313" i="5" s="1"/>
  <c r="AW2313" i="5"/>
  <c r="AX2313" i="5" s="1"/>
  <c r="AH2314" i="5"/>
  <c r="AN2314" i="5"/>
  <c r="AO2314" i="5"/>
  <c r="AP2314" i="5"/>
  <c r="AR2314" i="5"/>
  <c r="AT2314" i="5" s="1"/>
  <c r="AU2314" i="5"/>
  <c r="AV2314" i="5" s="1"/>
  <c r="AW2314" i="5"/>
  <c r="AX2314" i="5" s="1"/>
  <c r="AH2315" i="5"/>
  <c r="AW2315" i="5" s="1"/>
  <c r="AX2315" i="5" s="1"/>
  <c r="AN2315" i="5"/>
  <c r="AO2315" i="5"/>
  <c r="AP2315" i="5"/>
  <c r="AH2316" i="5"/>
  <c r="AJ2316" i="5" s="1"/>
  <c r="AN2316" i="5"/>
  <c r="AO2316" i="5"/>
  <c r="AP2316" i="5"/>
  <c r="AJ2317" i="5"/>
  <c r="AK2317" i="5"/>
  <c r="AL2317" i="5"/>
  <c r="AN2317" i="5"/>
  <c r="AO2317" i="5"/>
  <c r="AP2317" i="5"/>
  <c r="AR2317" i="5"/>
  <c r="AS2317" i="5" s="1"/>
  <c r="AU2317" i="5"/>
  <c r="AV2317" i="5" s="1"/>
  <c r="AW2317" i="5"/>
  <c r="AX2317" i="5" s="1"/>
  <c r="AH2318" i="5"/>
  <c r="AN2318" i="5"/>
  <c r="AO2318" i="5"/>
  <c r="AP2318" i="5"/>
  <c r="AR2318" i="5"/>
  <c r="AS2318" i="5" s="1"/>
  <c r="AU2318" i="5"/>
  <c r="AV2318" i="5" s="1"/>
  <c r="AW2318" i="5"/>
  <c r="AX2318" i="5" s="1"/>
  <c r="AH2319" i="5"/>
  <c r="AH2320" i="5"/>
  <c r="AY2320" i="5" s="1"/>
  <c r="AN2319" i="5"/>
  <c r="AO2319" i="5"/>
  <c r="AP2319" i="5"/>
  <c r="AR2319" i="5"/>
  <c r="AT2319" i="5" s="1"/>
  <c r="AU2319" i="5"/>
  <c r="AV2319" i="5" s="1"/>
  <c r="AW2319" i="5"/>
  <c r="AX2319" i="5" s="1"/>
  <c r="AN2320" i="5"/>
  <c r="AO2320" i="5"/>
  <c r="AP2320" i="5"/>
  <c r="AR2320" i="5"/>
  <c r="AU2320" i="5"/>
  <c r="AV2320" i="5" s="1"/>
  <c r="AW2320" i="5"/>
  <c r="AX2320" i="5" s="1"/>
  <c r="AH2321" i="5"/>
  <c r="AN2321" i="5"/>
  <c r="AO2321" i="5"/>
  <c r="AP2321" i="5"/>
  <c r="AR2321" i="5"/>
  <c r="AU2321" i="5"/>
  <c r="AV2321" i="5" s="1"/>
  <c r="AW2321" i="5"/>
  <c r="AX2321" i="5" s="1"/>
  <c r="AH2322" i="5"/>
  <c r="AW2322" i="5" s="1"/>
  <c r="AX2322" i="5" s="1"/>
  <c r="AN2322" i="5"/>
  <c r="AO2322" i="5"/>
  <c r="AP2322" i="5"/>
  <c r="AH2323" i="5"/>
  <c r="AR2323" i="5" s="1"/>
  <c r="AT2323" i="5" s="1"/>
  <c r="AN2323" i="5"/>
  <c r="AO2323" i="5"/>
  <c r="AP2323" i="5"/>
  <c r="AJ2324" i="5"/>
  <c r="AK2324" i="5"/>
  <c r="AL2324" i="5"/>
  <c r="AN2324" i="5"/>
  <c r="AO2324" i="5"/>
  <c r="AP2324" i="5"/>
  <c r="AR2324" i="5"/>
  <c r="AS2324" i="5" s="1"/>
  <c r="AU2324" i="5"/>
  <c r="AV2324" i="5" s="1"/>
  <c r="AW2324" i="5"/>
  <c r="AX2324" i="5" s="1"/>
  <c r="AH2325" i="5"/>
  <c r="AN2325" i="5"/>
  <c r="AO2325" i="5"/>
  <c r="AP2325" i="5"/>
  <c r="AR2325" i="5"/>
  <c r="AU2325" i="5"/>
  <c r="AV2325" i="5" s="1"/>
  <c r="AW2325" i="5"/>
  <c r="AX2325" i="5" s="1"/>
  <c r="AH2326" i="5"/>
  <c r="AN2326" i="5"/>
  <c r="AO2326" i="5"/>
  <c r="AP2326" i="5"/>
  <c r="AR2326" i="5"/>
  <c r="AS2326" i="5" s="1"/>
  <c r="AU2326" i="5"/>
  <c r="AV2326" i="5" s="1"/>
  <c r="AW2326" i="5"/>
  <c r="AX2326" i="5" s="1"/>
  <c r="AH2327" i="5"/>
  <c r="AK2327" i="5" s="1"/>
  <c r="AN2327" i="5"/>
  <c r="AO2327" i="5"/>
  <c r="AP2327" i="5"/>
  <c r="AR2327" i="5"/>
  <c r="AU2327" i="5"/>
  <c r="AV2327" i="5" s="1"/>
  <c r="AW2327" i="5"/>
  <c r="AX2327" i="5" s="1"/>
  <c r="AH2328" i="5"/>
  <c r="AH2329" i="5"/>
  <c r="AK2329" i="5" s="1"/>
  <c r="AN2328" i="5"/>
  <c r="AO2328" i="5"/>
  <c r="AP2328" i="5"/>
  <c r="AR2328" i="5"/>
  <c r="AS2328" i="5" s="1"/>
  <c r="AU2328" i="5"/>
  <c r="AV2328" i="5" s="1"/>
  <c r="AW2328" i="5"/>
  <c r="AX2328" i="5" s="1"/>
  <c r="AN2329" i="5"/>
  <c r="AO2329" i="5"/>
  <c r="AP2329" i="5"/>
  <c r="AH2330" i="5"/>
  <c r="AW2330" i="5" s="1"/>
  <c r="AX2330" i="5" s="1"/>
  <c r="AN2330" i="5"/>
  <c r="AO2330" i="5"/>
  <c r="AP2330" i="5"/>
  <c r="AJ2331" i="5"/>
  <c r="AK2331" i="5"/>
  <c r="AL2331" i="5"/>
  <c r="AN2331" i="5"/>
  <c r="AO2331" i="5"/>
  <c r="AP2331" i="5"/>
  <c r="AR2331" i="5"/>
  <c r="AS2331" i="5" s="1"/>
  <c r="AU2331" i="5"/>
  <c r="AV2331" i="5" s="1"/>
  <c r="AW2331" i="5"/>
  <c r="AX2331" i="5" s="1"/>
  <c r="AH2332" i="5"/>
  <c r="AI2332" i="5" s="1"/>
  <c r="AN2332" i="5"/>
  <c r="AO2332" i="5"/>
  <c r="AP2332" i="5"/>
  <c r="AR2332" i="5"/>
  <c r="AU2332" i="5"/>
  <c r="AV2332" i="5" s="1"/>
  <c r="AW2332" i="5"/>
  <c r="AX2332" i="5" s="1"/>
  <c r="AH2333" i="5"/>
  <c r="AN2333" i="5"/>
  <c r="AO2333" i="5"/>
  <c r="AP2333" i="5"/>
  <c r="AR2333" i="5"/>
  <c r="AT2333" i="5" s="1"/>
  <c r="AU2333" i="5"/>
  <c r="AV2333" i="5" s="1"/>
  <c r="AW2333" i="5"/>
  <c r="AX2333" i="5" s="1"/>
  <c r="AH2334" i="5"/>
  <c r="AN2334" i="5"/>
  <c r="AO2334" i="5"/>
  <c r="AP2334" i="5"/>
  <c r="AR2334" i="5"/>
  <c r="AT2334" i="5" s="1"/>
  <c r="AU2334" i="5"/>
  <c r="AV2334" i="5" s="1"/>
  <c r="AW2334" i="5"/>
  <c r="AX2334" i="5" s="1"/>
  <c r="AH2335" i="5"/>
  <c r="AN2335" i="5"/>
  <c r="AO2335" i="5"/>
  <c r="AP2335" i="5"/>
  <c r="AR2335" i="5"/>
  <c r="AT2335" i="5" s="1"/>
  <c r="AU2335" i="5"/>
  <c r="AV2335" i="5" s="1"/>
  <c r="AW2335" i="5"/>
  <c r="AX2335" i="5" s="1"/>
  <c r="AH2336" i="5"/>
  <c r="AL2336" i="5" s="1"/>
  <c r="AN2336" i="5"/>
  <c r="AO2336" i="5"/>
  <c r="AP2336" i="5"/>
  <c r="AH2337" i="5"/>
  <c r="AI2338" i="5" s="1"/>
  <c r="AN2337" i="5"/>
  <c r="AO2337" i="5"/>
  <c r="AP2337" i="5"/>
  <c r="AJ2338" i="5"/>
  <c r="AK2338" i="5"/>
  <c r="AL2338" i="5"/>
  <c r="AN2338" i="5"/>
  <c r="AO2338" i="5"/>
  <c r="AP2338" i="5"/>
  <c r="AR2338" i="5"/>
  <c r="AT2338" i="5" s="1"/>
  <c r="AU2338" i="5"/>
  <c r="AV2338" i="5" s="1"/>
  <c r="AW2338" i="5"/>
  <c r="AX2338" i="5" s="1"/>
  <c r="AH2339" i="5"/>
  <c r="AN2339" i="5"/>
  <c r="AO2339" i="5"/>
  <c r="AP2339" i="5"/>
  <c r="AR2339" i="5"/>
  <c r="AS2339" i="5" s="1"/>
  <c r="AU2339" i="5"/>
  <c r="AV2339" i="5" s="1"/>
  <c r="AW2339" i="5"/>
  <c r="AX2339" i="5" s="1"/>
  <c r="AH2340" i="5"/>
  <c r="AK2340" i="5" s="1"/>
  <c r="AN2340" i="5"/>
  <c r="AO2340" i="5"/>
  <c r="AP2340" i="5"/>
  <c r="AR2340" i="5"/>
  <c r="AU2340" i="5"/>
  <c r="AV2340" i="5" s="1"/>
  <c r="AW2340" i="5"/>
  <c r="AX2340" i="5" s="1"/>
  <c r="AH2341" i="5"/>
  <c r="AN2341" i="5"/>
  <c r="AO2341" i="5"/>
  <c r="AP2341" i="5"/>
  <c r="AR2341" i="5"/>
  <c r="AU2341" i="5"/>
  <c r="AV2341" i="5" s="1"/>
  <c r="AW2341" i="5"/>
  <c r="AX2341" i="5" s="1"/>
  <c r="AH2342" i="5"/>
  <c r="AZ2342" i="5" s="1"/>
  <c r="AN2342" i="5"/>
  <c r="AO2342" i="5"/>
  <c r="AP2342" i="5"/>
  <c r="AR2342" i="5"/>
  <c r="AU2342" i="5"/>
  <c r="AV2342" i="5" s="1"/>
  <c r="AW2342" i="5"/>
  <c r="AX2342" i="5" s="1"/>
  <c r="AH2343" i="5"/>
  <c r="AZ2343" i="5" s="1"/>
  <c r="AN2343" i="5"/>
  <c r="AO2343" i="5"/>
  <c r="AP2343" i="5"/>
  <c r="AH2344" i="5"/>
  <c r="AN2344" i="5"/>
  <c r="AO2344" i="5"/>
  <c r="AP2344" i="5"/>
  <c r="AJ2345" i="5"/>
  <c r="AK2345" i="5"/>
  <c r="AL2345" i="5"/>
  <c r="AN2345" i="5"/>
  <c r="AO2345" i="5"/>
  <c r="AP2345" i="5"/>
  <c r="AR2345" i="5"/>
  <c r="AS2345" i="5" s="1"/>
  <c r="AU2345" i="5"/>
  <c r="AV2345" i="5" s="1"/>
  <c r="AW2345" i="5"/>
  <c r="AX2345" i="5" s="1"/>
  <c r="AH2346" i="5"/>
  <c r="AJ2346" i="5" s="1"/>
  <c r="AN2346" i="5"/>
  <c r="AO2346" i="5"/>
  <c r="AP2346" i="5"/>
  <c r="AR2346" i="5"/>
  <c r="AT2346" i="5" s="1"/>
  <c r="AU2346" i="5"/>
  <c r="AV2346" i="5" s="1"/>
  <c r="AW2346" i="5"/>
  <c r="AX2346" i="5" s="1"/>
  <c r="AH2347" i="5"/>
  <c r="AY2347" i="5" s="1"/>
  <c r="AN2347" i="5"/>
  <c r="AO2347" i="5"/>
  <c r="AP2347" i="5"/>
  <c r="AR2347" i="5"/>
  <c r="AU2347" i="5"/>
  <c r="AV2347" i="5" s="1"/>
  <c r="AW2347" i="5"/>
  <c r="AX2347" i="5" s="1"/>
  <c r="AH2348" i="5"/>
  <c r="AN2348" i="5"/>
  <c r="AO2348" i="5"/>
  <c r="AP2348" i="5"/>
  <c r="AR2348" i="5"/>
  <c r="AS2348" i="5" s="1"/>
  <c r="AU2348" i="5"/>
  <c r="AV2348" i="5" s="1"/>
  <c r="AW2348" i="5"/>
  <c r="AX2348" i="5" s="1"/>
  <c r="AH2349" i="5"/>
  <c r="AZ2349" i="5" s="1"/>
  <c r="AN2349" i="5"/>
  <c r="AO2349" i="5"/>
  <c r="AP2349" i="5"/>
  <c r="AR2349" i="5"/>
  <c r="AU2349" i="5"/>
  <c r="AV2349" i="5" s="1"/>
  <c r="AW2349" i="5"/>
  <c r="AX2349" i="5" s="1"/>
  <c r="AH2350" i="5"/>
  <c r="AY2350" i="5" s="1"/>
  <c r="AN2350" i="5"/>
  <c r="AO2350" i="5"/>
  <c r="AP2350" i="5"/>
  <c r="AH2351" i="5"/>
  <c r="AK2351" i="5" s="1"/>
  <c r="AN2351" i="5"/>
  <c r="AO2351" i="5"/>
  <c r="AP2351" i="5"/>
  <c r="AJ2352" i="5"/>
  <c r="AK2352" i="5"/>
  <c r="AL2352" i="5"/>
  <c r="AN2352" i="5"/>
  <c r="AO2352" i="5"/>
  <c r="AP2352" i="5"/>
  <c r="AR2352" i="5"/>
  <c r="AU2352" i="5"/>
  <c r="AV2352" i="5" s="1"/>
  <c r="AW2352" i="5"/>
  <c r="AX2352" i="5" s="1"/>
  <c r="AH2353" i="5"/>
  <c r="AY2353" i="5" s="1"/>
  <c r="AN2353" i="5"/>
  <c r="AO2353" i="5"/>
  <c r="AP2353" i="5"/>
  <c r="AR2353" i="5"/>
  <c r="AU2353" i="5"/>
  <c r="AV2353" i="5" s="1"/>
  <c r="AW2353" i="5"/>
  <c r="AX2353" i="5" s="1"/>
  <c r="AH2354" i="5"/>
  <c r="AN2354" i="5"/>
  <c r="AO2354" i="5"/>
  <c r="AP2354" i="5"/>
  <c r="AR2354" i="5"/>
  <c r="AS2354" i="5" s="1"/>
  <c r="AU2354" i="5"/>
  <c r="AV2354" i="5" s="1"/>
  <c r="AW2354" i="5"/>
  <c r="AX2354" i="5" s="1"/>
  <c r="AH2355" i="5"/>
  <c r="AJ2355" i="5" s="1"/>
  <c r="AN2355" i="5"/>
  <c r="AO2355" i="5"/>
  <c r="AP2355" i="5"/>
  <c r="AR2355" i="5"/>
  <c r="AU2355" i="5"/>
  <c r="AV2355" i="5" s="1"/>
  <c r="AW2355" i="5"/>
  <c r="AX2355" i="5" s="1"/>
  <c r="AH2356" i="5"/>
  <c r="AJ2356" i="5" s="1"/>
  <c r="AN2356" i="5"/>
  <c r="AO2356" i="5"/>
  <c r="AP2356" i="5"/>
  <c r="AR2356" i="5"/>
  <c r="AU2356" i="5"/>
  <c r="AV2356" i="5" s="1"/>
  <c r="AW2356" i="5"/>
  <c r="AX2356" i="5" s="1"/>
  <c r="AH2357" i="5"/>
  <c r="AK2357" i="5" s="1"/>
  <c r="AN2357" i="5"/>
  <c r="AO2357" i="5"/>
  <c r="AP2357" i="5"/>
  <c r="AH2358" i="5"/>
  <c r="AL2358" i="5" s="1"/>
  <c r="AN2358" i="5"/>
  <c r="AO2358" i="5"/>
  <c r="AP2358" i="5"/>
  <c r="AJ2359" i="5"/>
  <c r="AK2359" i="5"/>
  <c r="AL2359" i="5"/>
  <c r="AN2359" i="5"/>
  <c r="AO2359" i="5"/>
  <c r="AP2359" i="5"/>
  <c r="AR2359" i="5"/>
  <c r="AU2359" i="5"/>
  <c r="AV2359" i="5" s="1"/>
  <c r="AW2359" i="5"/>
  <c r="AX2359" i="5" s="1"/>
  <c r="AH2360" i="5"/>
  <c r="AZ2360" i="5" s="1"/>
  <c r="AN2360" i="5"/>
  <c r="AO2360" i="5"/>
  <c r="AP2360" i="5"/>
  <c r="AR2360" i="5"/>
  <c r="AS2360" i="5" s="1"/>
  <c r="AU2360" i="5"/>
  <c r="AV2360" i="5" s="1"/>
  <c r="AW2360" i="5"/>
  <c r="AX2360" i="5" s="1"/>
  <c r="AH2361" i="5"/>
  <c r="AN2361" i="5"/>
  <c r="AO2361" i="5"/>
  <c r="AP2361" i="5"/>
  <c r="AR2361" i="5"/>
  <c r="AT2361" i="5" s="1"/>
  <c r="AU2361" i="5"/>
  <c r="AV2361" i="5" s="1"/>
  <c r="AW2361" i="5"/>
  <c r="AX2361" i="5" s="1"/>
  <c r="AH2362" i="5"/>
  <c r="AJ2362" i="5" s="1"/>
  <c r="AN2362" i="5"/>
  <c r="AO2362" i="5"/>
  <c r="AP2362" i="5"/>
  <c r="AR2362" i="5"/>
  <c r="AU2362" i="5"/>
  <c r="AV2362" i="5" s="1"/>
  <c r="AW2362" i="5"/>
  <c r="AX2362" i="5" s="1"/>
  <c r="AH2363" i="5"/>
  <c r="AZ2363" i="5" s="1"/>
  <c r="AN2363" i="5"/>
  <c r="AO2363" i="5"/>
  <c r="AP2363" i="5"/>
  <c r="AR2363" i="5"/>
  <c r="AS2363" i="5" s="1"/>
  <c r="AU2363" i="5"/>
  <c r="AV2363" i="5" s="1"/>
  <c r="AW2363" i="5"/>
  <c r="AX2363" i="5" s="1"/>
  <c r="AH2364" i="5"/>
  <c r="AW2364" i="5" s="1"/>
  <c r="AX2364" i="5" s="1"/>
  <c r="AN2364" i="5"/>
  <c r="AO2364" i="5"/>
  <c r="AP2364" i="5"/>
  <c r="AH2365" i="5"/>
  <c r="AW2365" i="5" s="1"/>
  <c r="AX2365" i="5" s="1"/>
  <c r="AN2365" i="5"/>
  <c r="AO2365" i="5"/>
  <c r="AP2365" i="5"/>
  <c r="AJ2366" i="5"/>
  <c r="AK2366" i="5"/>
  <c r="AL2366" i="5"/>
  <c r="AN2366" i="5"/>
  <c r="AO2366" i="5"/>
  <c r="AP2366" i="5"/>
  <c r="AR2366" i="5"/>
  <c r="AT2366" i="5" s="1"/>
  <c r="AU2366" i="5"/>
  <c r="AV2366" i="5" s="1"/>
  <c r="AW2366" i="5"/>
  <c r="AX2366" i="5" s="1"/>
  <c r="AH2367" i="5"/>
  <c r="AJ2367" i="5" s="1"/>
  <c r="AN2367" i="5"/>
  <c r="AO2367" i="5"/>
  <c r="AP2367" i="5"/>
  <c r="AR2367" i="5"/>
  <c r="AT2367" i="5" s="1"/>
  <c r="AU2367" i="5"/>
  <c r="AV2367" i="5" s="1"/>
  <c r="AW2367" i="5"/>
  <c r="AX2367" i="5" s="1"/>
  <c r="AH2368" i="5"/>
  <c r="AK2368" i="5" s="1"/>
  <c r="M2368" i="5"/>
  <c r="F2368" i="5" s="1"/>
  <c r="M2367" i="5"/>
  <c r="F2367" i="5" s="1"/>
  <c r="AN2368" i="5"/>
  <c r="AO2368" i="5"/>
  <c r="AP2368" i="5"/>
  <c r="AR2368" i="5"/>
  <c r="AT2368" i="5" s="1"/>
  <c r="AU2368" i="5"/>
  <c r="AV2368" i="5" s="1"/>
  <c r="AW2368" i="5"/>
  <c r="AX2368" i="5" s="1"/>
  <c r="AH2369" i="5"/>
  <c r="AY2369" i="5" s="1"/>
  <c r="AN2369" i="5"/>
  <c r="AO2369" i="5"/>
  <c r="AP2369" i="5"/>
  <c r="AR2369" i="5"/>
  <c r="AT2369" i="5" s="1"/>
  <c r="AU2369" i="5"/>
  <c r="AV2369" i="5" s="1"/>
  <c r="AW2369" i="5"/>
  <c r="AX2369" i="5" s="1"/>
  <c r="AH2370" i="5"/>
  <c r="AZ2370" i="5" s="1"/>
  <c r="AN2370" i="5"/>
  <c r="AO2370" i="5"/>
  <c r="AP2370" i="5"/>
  <c r="AR2370" i="5"/>
  <c r="AT2370" i="5" s="1"/>
  <c r="AU2370" i="5"/>
  <c r="AV2370" i="5" s="1"/>
  <c r="AW2370" i="5"/>
  <c r="AX2370" i="5" s="1"/>
  <c r="AH2371" i="5"/>
  <c r="AK2371" i="5" s="1"/>
  <c r="AN2371" i="5"/>
  <c r="AO2371" i="5"/>
  <c r="AP2371" i="5"/>
  <c r="AH2372" i="5"/>
  <c r="AN2372" i="5"/>
  <c r="AO2372" i="5"/>
  <c r="AP2372" i="5"/>
  <c r="AJ2373" i="5"/>
  <c r="AK2373" i="5"/>
  <c r="AL2373" i="5"/>
  <c r="AN2373" i="5"/>
  <c r="AO2373" i="5"/>
  <c r="AP2373" i="5"/>
  <c r="AR2373" i="5"/>
  <c r="AT2373" i="5" s="1"/>
  <c r="AU2373" i="5"/>
  <c r="AV2373" i="5" s="1"/>
  <c r="AW2373" i="5"/>
  <c r="AX2373" i="5" s="1"/>
  <c r="AH2374" i="5"/>
  <c r="AN2374" i="5"/>
  <c r="AO2374" i="5"/>
  <c r="AP2374" i="5"/>
  <c r="AR2374" i="5"/>
  <c r="AT2374" i="5" s="1"/>
  <c r="AU2374" i="5"/>
  <c r="AV2374" i="5" s="1"/>
  <c r="AW2374" i="5"/>
  <c r="AX2374" i="5" s="1"/>
  <c r="AH2375" i="5"/>
  <c r="AJ2375" i="5" s="1"/>
  <c r="AN2375" i="5"/>
  <c r="AO2375" i="5"/>
  <c r="AP2375" i="5"/>
  <c r="AR2375" i="5"/>
  <c r="AT2375" i="5" s="1"/>
  <c r="AU2375" i="5"/>
  <c r="AV2375" i="5" s="1"/>
  <c r="AW2375" i="5"/>
  <c r="AX2375" i="5" s="1"/>
  <c r="AH2376" i="5"/>
  <c r="AK2376" i="5" s="1"/>
  <c r="AN2376" i="5"/>
  <c r="AO2376" i="5"/>
  <c r="AP2376" i="5"/>
  <c r="AR2376" i="5"/>
  <c r="AT2376" i="5" s="1"/>
  <c r="AU2376" i="5"/>
  <c r="AV2376" i="5" s="1"/>
  <c r="AW2376" i="5"/>
  <c r="AX2376" i="5" s="1"/>
  <c r="AH2377" i="5"/>
  <c r="AL2377" i="5" s="1"/>
  <c r="AN2377" i="5"/>
  <c r="AO2377" i="5"/>
  <c r="AP2377" i="5"/>
  <c r="AR2377" i="5"/>
  <c r="AU2377" i="5"/>
  <c r="AV2377" i="5" s="1"/>
  <c r="AW2377" i="5"/>
  <c r="AX2377" i="5" s="1"/>
  <c r="AH2378" i="5"/>
  <c r="AJ2378" i="5" s="1"/>
  <c r="AN2378" i="5"/>
  <c r="AO2378" i="5"/>
  <c r="AP2378" i="5"/>
  <c r="AH2379" i="5"/>
  <c r="AL2379" i="5" s="1"/>
  <c r="AN2379" i="5"/>
  <c r="AO2379" i="5"/>
  <c r="AP2379" i="5"/>
  <c r="AJ2380" i="5"/>
  <c r="AK2380" i="5"/>
  <c r="AL2380" i="5"/>
  <c r="AN2380" i="5"/>
  <c r="AO2380" i="5"/>
  <c r="AP2380" i="5"/>
  <c r="AR2380" i="5"/>
  <c r="AS2380" i="5" s="1"/>
  <c r="AU2380" i="5"/>
  <c r="AV2380" i="5" s="1"/>
  <c r="AW2380" i="5"/>
  <c r="AX2380" i="5" s="1"/>
  <c r="AH2381" i="5"/>
  <c r="AN2381" i="5"/>
  <c r="AO2381" i="5"/>
  <c r="AP2381" i="5"/>
  <c r="AR2381" i="5"/>
  <c r="AS2381" i="5" s="1"/>
  <c r="AU2381" i="5"/>
  <c r="AV2381" i="5" s="1"/>
  <c r="AW2381" i="5"/>
  <c r="AX2381" i="5" s="1"/>
  <c r="AH2382" i="5"/>
  <c r="AK2382" i="5" s="1"/>
  <c r="AN2382" i="5"/>
  <c r="AO2382" i="5"/>
  <c r="AP2382" i="5"/>
  <c r="AR2382" i="5"/>
  <c r="AU2382" i="5"/>
  <c r="AV2382" i="5" s="1"/>
  <c r="AW2382" i="5"/>
  <c r="AX2382" i="5" s="1"/>
  <c r="AH2383" i="5"/>
  <c r="AH2384" i="5"/>
  <c r="AY2384" i="5" s="1"/>
  <c r="AN2383" i="5"/>
  <c r="AO2383" i="5"/>
  <c r="AP2383" i="5"/>
  <c r="AR2383" i="5"/>
  <c r="AU2383" i="5"/>
  <c r="AV2383" i="5" s="1"/>
  <c r="AW2383" i="5"/>
  <c r="AX2383" i="5" s="1"/>
  <c r="AN2384" i="5"/>
  <c r="AO2384" i="5"/>
  <c r="AP2384" i="5"/>
  <c r="AR2384" i="5"/>
  <c r="AS2384" i="5" s="1"/>
  <c r="AU2384" i="5"/>
  <c r="AV2384" i="5" s="1"/>
  <c r="AW2384" i="5"/>
  <c r="AX2384" i="5" s="1"/>
  <c r="AH2385" i="5"/>
  <c r="AL2385" i="5" s="1"/>
  <c r="AN2385" i="5"/>
  <c r="AO2385" i="5"/>
  <c r="AP2385" i="5"/>
  <c r="AH2386" i="5"/>
  <c r="AY2386" i="5" s="1"/>
  <c r="AN2386" i="5"/>
  <c r="AO2386" i="5"/>
  <c r="AP2386" i="5"/>
  <c r="AJ2387" i="5"/>
  <c r="AK2387" i="5"/>
  <c r="AL2387" i="5"/>
  <c r="AN2387" i="5"/>
  <c r="AO2387" i="5"/>
  <c r="AP2387" i="5"/>
  <c r="AR2387" i="5"/>
  <c r="AS2387" i="5" s="1"/>
  <c r="AU2387" i="5"/>
  <c r="AV2387" i="5" s="1"/>
  <c r="AW2387" i="5"/>
  <c r="AX2387" i="5" s="1"/>
  <c r="AH2388" i="5"/>
  <c r="AK2388" i="5" s="1"/>
  <c r="AN2388" i="5"/>
  <c r="AO2388" i="5"/>
  <c r="AP2388" i="5"/>
  <c r="AR2388" i="5"/>
  <c r="AS2388" i="5" s="1"/>
  <c r="AU2388" i="5"/>
  <c r="AV2388" i="5" s="1"/>
  <c r="AW2388" i="5"/>
  <c r="AX2388" i="5" s="1"/>
  <c r="AH2389" i="5"/>
  <c r="AZ2389" i="5" s="1"/>
  <c r="AN2389" i="5"/>
  <c r="AO2389" i="5"/>
  <c r="AP2389" i="5"/>
  <c r="AR2389" i="5"/>
  <c r="AT2389" i="5" s="1"/>
  <c r="AU2389" i="5"/>
  <c r="AV2389" i="5" s="1"/>
  <c r="AW2389" i="5"/>
  <c r="AX2389" i="5" s="1"/>
  <c r="AH2390" i="5"/>
  <c r="AN2390" i="5"/>
  <c r="AO2390" i="5"/>
  <c r="AP2390" i="5"/>
  <c r="AR2390" i="5"/>
  <c r="AU2390" i="5"/>
  <c r="AV2390" i="5" s="1"/>
  <c r="AW2390" i="5"/>
  <c r="AX2390" i="5" s="1"/>
  <c r="AH2391" i="5"/>
  <c r="AZ2391" i="5" s="1"/>
  <c r="AN2391" i="5"/>
  <c r="AO2391" i="5"/>
  <c r="AP2391" i="5"/>
  <c r="AR2391" i="5"/>
  <c r="AU2391" i="5"/>
  <c r="AV2391" i="5" s="1"/>
  <c r="AW2391" i="5"/>
  <c r="AX2391" i="5" s="1"/>
  <c r="AH2392" i="5"/>
  <c r="AN2392" i="5"/>
  <c r="AO2392" i="5"/>
  <c r="AP2392" i="5"/>
  <c r="AH2393" i="5"/>
  <c r="AI2394" i="5" s="1"/>
  <c r="AN2393" i="5"/>
  <c r="AO2393" i="5"/>
  <c r="AP2393" i="5"/>
  <c r="AJ2394" i="5"/>
  <c r="AK2394" i="5"/>
  <c r="AL2394" i="5"/>
  <c r="AN2394" i="5"/>
  <c r="AO2394" i="5"/>
  <c r="AP2394" i="5"/>
  <c r="AR2394" i="5"/>
  <c r="AS2394" i="5" s="1"/>
  <c r="AU2394" i="5"/>
  <c r="AV2394" i="5" s="1"/>
  <c r="AW2394" i="5"/>
  <c r="AX2394" i="5" s="1"/>
  <c r="AH2395" i="5"/>
  <c r="AI2395" i="5" s="1"/>
  <c r="AN2395" i="5"/>
  <c r="AO2395" i="5"/>
  <c r="AP2395" i="5"/>
  <c r="AR2395" i="5"/>
  <c r="AT2395" i="5" s="1"/>
  <c r="AU2395" i="5"/>
  <c r="AV2395" i="5" s="1"/>
  <c r="AW2395" i="5"/>
  <c r="AX2395" i="5" s="1"/>
  <c r="AH2396" i="5"/>
  <c r="AH2397" i="5"/>
  <c r="AJ2397" i="5" s="1"/>
  <c r="AN2396" i="5"/>
  <c r="AO2396" i="5"/>
  <c r="AP2396" i="5"/>
  <c r="AR2396" i="5"/>
  <c r="AU2396" i="5"/>
  <c r="AV2396" i="5" s="1"/>
  <c r="AW2396" i="5"/>
  <c r="AX2396" i="5" s="1"/>
  <c r="AN2397" i="5"/>
  <c r="AO2397" i="5"/>
  <c r="AP2397" i="5"/>
  <c r="AR2397" i="5"/>
  <c r="AS2397" i="5" s="1"/>
  <c r="AU2397" i="5"/>
  <c r="AV2397" i="5" s="1"/>
  <c r="AW2397" i="5"/>
  <c r="AX2397" i="5" s="1"/>
  <c r="AH2398" i="5"/>
  <c r="AN2398" i="5"/>
  <c r="AO2398" i="5"/>
  <c r="AP2398" i="5"/>
  <c r="AR2398" i="5"/>
  <c r="AT2398" i="5" s="1"/>
  <c r="AU2398" i="5"/>
  <c r="AV2398" i="5" s="1"/>
  <c r="AW2398" i="5"/>
  <c r="AX2398" i="5" s="1"/>
  <c r="AH2399" i="5"/>
  <c r="AN2399" i="5"/>
  <c r="AO2399" i="5"/>
  <c r="AP2399" i="5"/>
  <c r="AH2400" i="5"/>
  <c r="AY2400" i="5" s="1"/>
  <c r="AN2400" i="5"/>
  <c r="AO2400" i="5"/>
  <c r="AP2400" i="5"/>
  <c r="AJ2401" i="5"/>
  <c r="AK2401" i="5"/>
  <c r="AL2401" i="5"/>
  <c r="AN2401" i="5"/>
  <c r="AO2401" i="5"/>
  <c r="AP2401" i="5"/>
  <c r="AR2401" i="5"/>
  <c r="AS2401" i="5" s="1"/>
  <c r="AU2401" i="5"/>
  <c r="AV2401" i="5" s="1"/>
  <c r="AW2401" i="5"/>
  <c r="AX2401" i="5" s="1"/>
  <c r="AH2402" i="5"/>
  <c r="AL2402" i="5" s="1"/>
  <c r="AN2402" i="5"/>
  <c r="AO2402" i="5"/>
  <c r="AP2402" i="5"/>
  <c r="AR2402" i="5"/>
  <c r="AU2402" i="5"/>
  <c r="AV2402" i="5" s="1"/>
  <c r="AW2402" i="5"/>
  <c r="AX2402" i="5" s="1"/>
  <c r="AH2403" i="5"/>
  <c r="AN2403" i="5"/>
  <c r="AO2403" i="5"/>
  <c r="AP2403" i="5"/>
  <c r="AR2403" i="5"/>
  <c r="AT2403" i="5" s="1"/>
  <c r="AU2403" i="5"/>
  <c r="AV2403" i="5" s="1"/>
  <c r="AW2403" i="5"/>
  <c r="AX2403" i="5" s="1"/>
  <c r="AH2404" i="5"/>
  <c r="AY2404" i="5" s="1"/>
  <c r="AN2404" i="5"/>
  <c r="AO2404" i="5"/>
  <c r="AP2404" i="5"/>
  <c r="AR2404" i="5"/>
  <c r="AS2404" i="5" s="1"/>
  <c r="AU2404" i="5"/>
  <c r="AV2404" i="5" s="1"/>
  <c r="AW2404" i="5"/>
  <c r="AX2404" i="5" s="1"/>
  <c r="AH2405" i="5"/>
  <c r="AY2405" i="5" s="1"/>
  <c r="AN2405" i="5"/>
  <c r="AO2405" i="5"/>
  <c r="AP2405" i="5"/>
  <c r="AR2405" i="5"/>
  <c r="AU2405" i="5"/>
  <c r="AV2405" i="5" s="1"/>
  <c r="AW2405" i="5"/>
  <c r="AX2405" i="5" s="1"/>
  <c r="AH2406" i="5"/>
  <c r="AN2406" i="5"/>
  <c r="AO2406" i="5"/>
  <c r="AP2406" i="5"/>
  <c r="AH2407" i="5"/>
  <c r="AK2407" i="5" s="1"/>
  <c r="AN2407" i="5"/>
  <c r="AO2407" i="5"/>
  <c r="AP2407" i="5"/>
  <c r="AJ2408" i="5"/>
  <c r="AK2408" i="5"/>
  <c r="AL2408" i="5"/>
  <c r="AN2408" i="5"/>
  <c r="AO2408" i="5"/>
  <c r="AP2408" i="5"/>
  <c r="AR2408" i="5"/>
  <c r="AU2408" i="5"/>
  <c r="AV2408" i="5" s="1"/>
  <c r="AW2408" i="5"/>
  <c r="AX2408" i="5" s="1"/>
  <c r="AH2409" i="5"/>
  <c r="AZ2409" i="5" s="1"/>
  <c r="AN2409" i="5"/>
  <c r="AO2409" i="5"/>
  <c r="AP2409" i="5"/>
  <c r="AR2409" i="5"/>
  <c r="AT2409" i="5" s="1"/>
  <c r="AU2409" i="5"/>
  <c r="AV2409" i="5" s="1"/>
  <c r="AW2409" i="5"/>
  <c r="AX2409" i="5" s="1"/>
  <c r="AH2410" i="5"/>
  <c r="AJ2410" i="5" s="1"/>
  <c r="AN2410" i="5"/>
  <c r="AO2410" i="5"/>
  <c r="AP2410" i="5"/>
  <c r="AR2410" i="5"/>
  <c r="AT2410" i="5" s="1"/>
  <c r="AU2410" i="5"/>
  <c r="AV2410" i="5" s="1"/>
  <c r="AW2410" i="5"/>
  <c r="AX2410" i="5" s="1"/>
  <c r="AH2411" i="5"/>
  <c r="AZ2411" i="5" s="1"/>
  <c r="AN2411" i="5"/>
  <c r="AO2411" i="5"/>
  <c r="AP2411" i="5"/>
  <c r="AR2411" i="5"/>
  <c r="AU2411" i="5"/>
  <c r="AV2411" i="5" s="1"/>
  <c r="AW2411" i="5"/>
  <c r="AX2411" i="5" s="1"/>
  <c r="AH2412" i="5"/>
  <c r="AK2412" i="5" s="1"/>
  <c r="AN2412" i="5"/>
  <c r="AO2412" i="5"/>
  <c r="AP2412" i="5"/>
  <c r="AR2412" i="5"/>
  <c r="AS2412" i="5" s="1"/>
  <c r="AU2412" i="5"/>
  <c r="AV2412" i="5" s="1"/>
  <c r="AW2412" i="5"/>
  <c r="AX2412" i="5" s="1"/>
  <c r="AH2413" i="5"/>
  <c r="AZ2413" i="5" s="1"/>
  <c r="AN2413" i="5"/>
  <c r="AO2413" i="5"/>
  <c r="AP2413" i="5"/>
  <c r="AH2414" i="5"/>
  <c r="AN2414" i="5"/>
  <c r="AO2414" i="5"/>
  <c r="AP2414" i="5"/>
  <c r="AJ2415" i="5"/>
  <c r="AK2415" i="5"/>
  <c r="AL2415" i="5"/>
  <c r="AN2415" i="5"/>
  <c r="AO2415" i="5"/>
  <c r="AP2415" i="5"/>
  <c r="AR2415" i="5"/>
  <c r="AS2415" i="5" s="1"/>
  <c r="AU2415" i="5"/>
  <c r="AV2415" i="5" s="1"/>
  <c r="AW2415" i="5"/>
  <c r="AX2415" i="5" s="1"/>
  <c r="AH2416" i="5"/>
  <c r="AI2416" i="5" s="1"/>
  <c r="AN2416" i="5"/>
  <c r="AO2416" i="5"/>
  <c r="AP2416" i="5"/>
  <c r="AR2416" i="5"/>
  <c r="AS2416" i="5" s="1"/>
  <c r="AU2416" i="5"/>
  <c r="AV2416" i="5" s="1"/>
  <c r="AW2416" i="5"/>
  <c r="AX2416" i="5" s="1"/>
  <c r="AH2417" i="5"/>
  <c r="AN2417" i="5"/>
  <c r="AO2417" i="5"/>
  <c r="AP2417" i="5"/>
  <c r="AR2417" i="5"/>
  <c r="AT2417" i="5" s="1"/>
  <c r="AU2417" i="5"/>
  <c r="AV2417" i="5" s="1"/>
  <c r="AW2417" i="5"/>
  <c r="AX2417" i="5" s="1"/>
  <c r="AH2418" i="5"/>
  <c r="AY2418" i="5" s="1"/>
  <c r="AN2418" i="5"/>
  <c r="AO2418" i="5"/>
  <c r="AP2418" i="5"/>
  <c r="AR2418" i="5"/>
  <c r="AU2418" i="5"/>
  <c r="AV2418" i="5" s="1"/>
  <c r="AW2418" i="5"/>
  <c r="AX2418" i="5" s="1"/>
  <c r="AH2419" i="5"/>
  <c r="AZ2419" i="5" s="1"/>
  <c r="AN2419" i="5"/>
  <c r="AO2419" i="5"/>
  <c r="AP2419" i="5"/>
  <c r="AR2419" i="5"/>
  <c r="AS2419" i="5" s="1"/>
  <c r="AU2419" i="5"/>
  <c r="AV2419" i="5" s="1"/>
  <c r="AW2419" i="5"/>
  <c r="AX2419" i="5" s="1"/>
  <c r="AH2420" i="5"/>
  <c r="AU2420" i="5" s="1"/>
  <c r="AV2420" i="5" s="1"/>
  <c r="AN2420" i="5"/>
  <c r="AO2420" i="5"/>
  <c r="AP2420" i="5"/>
  <c r="AH2421" i="5"/>
  <c r="AN2421" i="5"/>
  <c r="AO2421" i="5"/>
  <c r="AP2421" i="5"/>
  <c r="AJ2422" i="5"/>
  <c r="AK2422" i="5"/>
  <c r="AL2422" i="5"/>
  <c r="AN2422" i="5"/>
  <c r="AO2422" i="5"/>
  <c r="AP2422" i="5"/>
  <c r="AR2422" i="5"/>
  <c r="AS2422" i="5" s="1"/>
  <c r="AU2422" i="5"/>
  <c r="AV2422" i="5" s="1"/>
  <c r="AW2422" i="5"/>
  <c r="AX2422" i="5" s="1"/>
  <c r="AH2423" i="5"/>
  <c r="AN2423" i="5"/>
  <c r="AO2423" i="5"/>
  <c r="AP2423" i="5"/>
  <c r="AR2423" i="5"/>
  <c r="AS2423" i="5" s="1"/>
  <c r="AU2423" i="5"/>
  <c r="AV2423" i="5" s="1"/>
  <c r="AW2423" i="5"/>
  <c r="AX2423" i="5" s="1"/>
  <c r="AH2424" i="5"/>
  <c r="AK2424" i="5" s="1"/>
  <c r="AN2424" i="5"/>
  <c r="AO2424" i="5"/>
  <c r="AP2424" i="5"/>
  <c r="AR2424" i="5"/>
  <c r="AS2424" i="5" s="1"/>
  <c r="AU2424" i="5"/>
  <c r="AV2424" i="5" s="1"/>
  <c r="AW2424" i="5"/>
  <c r="AX2424" i="5" s="1"/>
  <c r="AH2425" i="5"/>
  <c r="AY2425" i="5" s="1"/>
  <c r="AN2425" i="5"/>
  <c r="AO2425" i="5"/>
  <c r="AP2425" i="5"/>
  <c r="AR2425" i="5"/>
  <c r="AU2425" i="5"/>
  <c r="AV2425" i="5" s="1"/>
  <c r="AW2425" i="5"/>
  <c r="AX2425" i="5" s="1"/>
  <c r="AH2426" i="5"/>
  <c r="AN2426" i="5"/>
  <c r="AO2426" i="5"/>
  <c r="AP2426" i="5"/>
  <c r="AR2426" i="5"/>
  <c r="AU2426" i="5"/>
  <c r="AV2426" i="5" s="1"/>
  <c r="AW2426" i="5"/>
  <c r="AX2426" i="5" s="1"/>
  <c r="AH2427" i="5"/>
  <c r="AJ2427" i="5" s="1"/>
  <c r="AN2427" i="5"/>
  <c r="AO2427" i="5"/>
  <c r="AP2427" i="5"/>
  <c r="AH2428" i="5"/>
  <c r="AK2428" i="5" s="1"/>
  <c r="AN2428" i="5"/>
  <c r="AO2428" i="5"/>
  <c r="AP2428" i="5"/>
  <c r="AJ2429" i="5"/>
  <c r="AK2429" i="5"/>
  <c r="AL2429" i="5"/>
  <c r="AN2429" i="5"/>
  <c r="AO2429" i="5"/>
  <c r="AP2429" i="5"/>
  <c r="AR2429" i="5"/>
  <c r="AS2429" i="5" s="1"/>
  <c r="AU2429" i="5"/>
  <c r="AV2429" i="5" s="1"/>
  <c r="AW2429" i="5"/>
  <c r="AX2429" i="5" s="1"/>
  <c r="AH2430" i="5"/>
  <c r="AN2430" i="5"/>
  <c r="AO2430" i="5"/>
  <c r="AP2430" i="5"/>
  <c r="AR2430" i="5"/>
  <c r="AT2430" i="5" s="1"/>
  <c r="AU2430" i="5"/>
  <c r="AV2430" i="5" s="1"/>
  <c r="AW2430" i="5"/>
  <c r="AX2430" i="5" s="1"/>
  <c r="AH2431" i="5"/>
  <c r="AN2431" i="5"/>
  <c r="AO2431" i="5"/>
  <c r="AP2431" i="5"/>
  <c r="AR2431" i="5"/>
  <c r="AU2431" i="5"/>
  <c r="AV2431" i="5" s="1"/>
  <c r="AW2431" i="5"/>
  <c r="AX2431" i="5" s="1"/>
  <c r="AH2432" i="5"/>
  <c r="AN2432" i="5"/>
  <c r="AO2432" i="5"/>
  <c r="AP2432" i="5"/>
  <c r="AR2432" i="5"/>
  <c r="AT2432" i="5" s="1"/>
  <c r="AU2432" i="5"/>
  <c r="AV2432" i="5" s="1"/>
  <c r="AW2432" i="5"/>
  <c r="AX2432" i="5" s="1"/>
  <c r="AH2433" i="5"/>
  <c r="AZ2433" i="5" s="1"/>
  <c r="AN2433" i="5"/>
  <c r="AO2433" i="5"/>
  <c r="AP2433" i="5"/>
  <c r="AR2433" i="5"/>
  <c r="AU2433" i="5"/>
  <c r="AV2433" i="5" s="1"/>
  <c r="AW2433" i="5"/>
  <c r="AX2433" i="5" s="1"/>
  <c r="AH2434" i="5"/>
  <c r="AN2434" i="5"/>
  <c r="AO2434" i="5"/>
  <c r="AP2434" i="5"/>
  <c r="AH2435" i="5"/>
  <c r="AN2435" i="5"/>
  <c r="AO2435" i="5"/>
  <c r="AP2435" i="5"/>
  <c r="AJ2436" i="5"/>
  <c r="AK2436" i="5"/>
  <c r="AL2436" i="5"/>
  <c r="AN2436" i="5"/>
  <c r="AO2436" i="5"/>
  <c r="AP2436" i="5"/>
  <c r="AR2436" i="5"/>
  <c r="AS2436" i="5" s="1"/>
  <c r="AU2436" i="5"/>
  <c r="AV2436" i="5" s="1"/>
  <c r="AW2436" i="5"/>
  <c r="AX2436" i="5" s="1"/>
  <c r="AH2437" i="5"/>
  <c r="AN2437" i="5"/>
  <c r="AO2437" i="5"/>
  <c r="AP2437" i="5"/>
  <c r="AR2437" i="5"/>
  <c r="AU2437" i="5"/>
  <c r="AV2437" i="5" s="1"/>
  <c r="AW2437" i="5"/>
  <c r="AX2437" i="5" s="1"/>
  <c r="AH2438" i="5"/>
  <c r="AZ2438" i="5" s="1"/>
  <c r="AN2438" i="5"/>
  <c r="AO2438" i="5"/>
  <c r="AP2438" i="5"/>
  <c r="AR2438" i="5"/>
  <c r="AU2438" i="5"/>
  <c r="AV2438" i="5" s="1"/>
  <c r="AW2438" i="5"/>
  <c r="AX2438" i="5" s="1"/>
  <c r="AH2439" i="5"/>
  <c r="AN2439" i="5"/>
  <c r="AO2439" i="5"/>
  <c r="AP2439" i="5"/>
  <c r="AR2439" i="5"/>
  <c r="AT2439" i="5" s="1"/>
  <c r="AU2439" i="5"/>
  <c r="AV2439" i="5" s="1"/>
  <c r="AW2439" i="5"/>
  <c r="AX2439" i="5" s="1"/>
  <c r="AH2440" i="5"/>
  <c r="AL2440" i="5" s="1"/>
  <c r="AN2440" i="5"/>
  <c r="AO2440" i="5"/>
  <c r="AP2440" i="5"/>
  <c r="AR2440" i="5"/>
  <c r="AS2440" i="5" s="1"/>
  <c r="AU2440" i="5"/>
  <c r="AV2440" i="5" s="1"/>
  <c r="AW2440" i="5"/>
  <c r="AX2440" i="5" s="1"/>
  <c r="AH2441" i="5"/>
  <c r="AN2441" i="5"/>
  <c r="AO2441" i="5"/>
  <c r="AP2441" i="5"/>
  <c r="AH2442" i="5"/>
  <c r="AW2442" i="5" s="1"/>
  <c r="AX2442" i="5" s="1"/>
  <c r="AN2442" i="5"/>
  <c r="AO2442" i="5"/>
  <c r="AP2442" i="5"/>
  <c r="AJ2443" i="5"/>
  <c r="AK2443" i="5"/>
  <c r="AL2443" i="5"/>
  <c r="AN2443" i="5"/>
  <c r="AO2443" i="5"/>
  <c r="AP2443" i="5"/>
  <c r="AR2443" i="5"/>
  <c r="AU2443" i="5"/>
  <c r="AV2443" i="5" s="1"/>
  <c r="AW2443" i="5"/>
  <c r="AX2443" i="5" s="1"/>
  <c r="AH2444" i="5"/>
  <c r="AJ2444" i="5" s="1"/>
  <c r="AN2444" i="5"/>
  <c r="AO2444" i="5"/>
  <c r="AP2444" i="5"/>
  <c r="AR2444" i="5"/>
  <c r="AS2444" i="5" s="1"/>
  <c r="AU2444" i="5"/>
  <c r="AV2444" i="5" s="1"/>
  <c r="AW2444" i="5"/>
  <c r="AX2444" i="5" s="1"/>
  <c r="AH2445" i="5"/>
  <c r="AJ2445" i="5" s="1"/>
  <c r="AN2445" i="5"/>
  <c r="AO2445" i="5"/>
  <c r="AP2445" i="5"/>
  <c r="AR2445" i="5"/>
  <c r="AU2445" i="5"/>
  <c r="AV2445" i="5" s="1"/>
  <c r="AW2445" i="5"/>
  <c r="AX2445" i="5" s="1"/>
  <c r="AH2446" i="5"/>
  <c r="AJ2446" i="5" s="1"/>
  <c r="AN2446" i="5"/>
  <c r="AO2446" i="5"/>
  <c r="AP2446" i="5"/>
  <c r="AR2446" i="5"/>
  <c r="AT2446" i="5" s="1"/>
  <c r="AU2446" i="5"/>
  <c r="AV2446" i="5" s="1"/>
  <c r="AW2446" i="5"/>
  <c r="AX2446" i="5" s="1"/>
  <c r="AH2447" i="5"/>
  <c r="AY2447" i="5" s="1"/>
  <c r="AN2447" i="5"/>
  <c r="AO2447" i="5"/>
  <c r="AP2447" i="5"/>
  <c r="AR2447" i="5"/>
  <c r="AU2447" i="5"/>
  <c r="AV2447" i="5" s="1"/>
  <c r="AW2447" i="5"/>
  <c r="AX2447" i="5" s="1"/>
  <c r="AH2448" i="5"/>
  <c r="AW2448" i="5" s="1"/>
  <c r="AX2448" i="5" s="1"/>
  <c r="AN2448" i="5"/>
  <c r="AO2448" i="5"/>
  <c r="AP2448" i="5"/>
  <c r="AH2449" i="5"/>
  <c r="AU2449" i="5" s="1"/>
  <c r="AV2449" i="5" s="1"/>
  <c r="AN2449" i="5"/>
  <c r="AO2449" i="5"/>
  <c r="AP2449" i="5"/>
  <c r="AJ2450" i="5"/>
  <c r="AK2450" i="5"/>
  <c r="AL2450" i="5"/>
  <c r="AN2450" i="5"/>
  <c r="AO2450" i="5"/>
  <c r="AP2450" i="5"/>
  <c r="AR2450" i="5"/>
  <c r="AU2450" i="5"/>
  <c r="AV2450" i="5" s="1"/>
  <c r="AW2450" i="5"/>
  <c r="AX2450" i="5" s="1"/>
  <c r="AH2451" i="5"/>
  <c r="AN2451" i="5"/>
  <c r="AO2451" i="5"/>
  <c r="AP2451" i="5"/>
  <c r="AR2451" i="5"/>
  <c r="AU2451" i="5"/>
  <c r="AV2451" i="5" s="1"/>
  <c r="AW2451" i="5"/>
  <c r="AX2451" i="5" s="1"/>
  <c r="AH2452" i="5"/>
  <c r="AK2452" i="5" s="1"/>
  <c r="AN2452" i="5"/>
  <c r="AO2452" i="5"/>
  <c r="AP2452" i="5"/>
  <c r="AR2452" i="5"/>
  <c r="AT2452" i="5" s="1"/>
  <c r="AU2452" i="5"/>
  <c r="AV2452" i="5" s="1"/>
  <c r="AW2452" i="5"/>
  <c r="AX2452" i="5" s="1"/>
  <c r="AH2453" i="5"/>
  <c r="AN2453" i="5"/>
  <c r="AO2453" i="5"/>
  <c r="AP2453" i="5"/>
  <c r="AR2453" i="5"/>
  <c r="AU2453" i="5"/>
  <c r="AV2453" i="5" s="1"/>
  <c r="AW2453" i="5"/>
  <c r="AX2453" i="5" s="1"/>
  <c r="AH2454" i="5"/>
  <c r="AJ2454" i="5" s="1"/>
  <c r="AN2454" i="5"/>
  <c r="AO2454" i="5"/>
  <c r="AP2454" i="5"/>
  <c r="AR2454" i="5"/>
  <c r="AS2454" i="5" s="1"/>
  <c r="AU2454" i="5"/>
  <c r="AV2454" i="5" s="1"/>
  <c r="AW2454" i="5"/>
  <c r="AX2454" i="5" s="1"/>
  <c r="AH2455" i="5"/>
  <c r="AN2455" i="5"/>
  <c r="AO2455" i="5"/>
  <c r="AP2455" i="5"/>
  <c r="AH2456" i="5"/>
  <c r="AU2456" i="5" s="1"/>
  <c r="AV2456" i="5" s="1"/>
  <c r="AN2456" i="5"/>
  <c r="AO2456" i="5"/>
  <c r="AP2456" i="5"/>
  <c r="AJ2457" i="5"/>
  <c r="AK2457" i="5"/>
  <c r="AL2457" i="5"/>
  <c r="AN2457" i="5"/>
  <c r="AO2457" i="5"/>
  <c r="AP2457" i="5"/>
  <c r="AR2457" i="5"/>
  <c r="AT2457" i="5" s="1"/>
  <c r="AU2457" i="5"/>
  <c r="AV2457" i="5" s="1"/>
  <c r="AW2457" i="5"/>
  <c r="AX2457" i="5" s="1"/>
  <c r="AH2458" i="5"/>
  <c r="AK2458" i="5" s="1"/>
  <c r="AN2458" i="5"/>
  <c r="AO2458" i="5"/>
  <c r="AP2458" i="5"/>
  <c r="AR2458" i="5"/>
  <c r="AS2458" i="5" s="1"/>
  <c r="AU2458" i="5"/>
  <c r="AV2458" i="5" s="1"/>
  <c r="AW2458" i="5"/>
  <c r="AX2458" i="5" s="1"/>
  <c r="AH2459" i="5"/>
  <c r="AN2459" i="5"/>
  <c r="AO2459" i="5"/>
  <c r="AP2459" i="5"/>
  <c r="AR2459" i="5"/>
  <c r="AU2459" i="5"/>
  <c r="AV2459" i="5" s="1"/>
  <c r="AW2459" i="5"/>
  <c r="AX2459" i="5" s="1"/>
  <c r="AH2460" i="5"/>
  <c r="AK2460" i="5" s="1"/>
  <c r="AN2460" i="5"/>
  <c r="AO2460" i="5"/>
  <c r="AP2460" i="5"/>
  <c r="AR2460" i="5"/>
  <c r="AS2460" i="5" s="1"/>
  <c r="AU2460" i="5"/>
  <c r="AV2460" i="5" s="1"/>
  <c r="AW2460" i="5"/>
  <c r="AX2460" i="5" s="1"/>
  <c r="AH2461" i="5"/>
  <c r="AY2461" i="5" s="1"/>
  <c r="AN2461" i="5"/>
  <c r="AO2461" i="5"/>
  <c r="AP2461" i="5"/>
  <c r="AR2461" i="5"/>
  <c r="AT2461" i="5" s="1"/>
  <c r="AU2461" i="5"/>
  <c r="AV2461" i="5" s="1"/>
  <c r="AW2461" i="5"/>
  <c r="AX2461" i="5" s="1"/>
  <c r="AH2462" i="5"/>
  <c r="AW2462" i="5" s="1"/>
  <c r="AX2462" i="5" s="1"/>
  <c r="AN2462" i="5"/>
  <c r="AO2462" i="5"/>
  <c r="AP2462" i="5"/>
  <c r="AH2463" i="5"/>
  <c r="AR2463" i="5" s="1"/>
  <c r="AS2463" i="5" s="1"/>
  <c r="AN2463" i="5"/>
  <c r="AO2463" i="5"/>
  <c r="AP2463" i="5"/>
  <c r="AJ2464" i="5"/>
  <c r="AK2464" i="5"/>
  <c r="AL2464" i="5"/>
  <c r="AN2464" i="5"/>
  <c r="AO2464" i="5"/>
  <c r="AP2464" i="5"/>
  <c r="AR2464" i="5"/>
  <c r="AS2464" i="5" s="1"/>
  <c r="AU2464" i="5"/>
  <c r="AV2464" i="5" s="1"/>
  <c r="AW2464" i="5"/>
  <c r="AX2464" i="5" s="1"/>
  <c r="AH2465" i="5"/>
  <c r="AK2465" i="5" s="1"/>
  <c r="AN2465" i="5"/>
  <c r="AO2465" i="5"/>
  <c r="AP2465" i="5"/>
  <c r="AR2465" i="5"/>
  <c r="AS2465" i="5" s="1"/>
  <c r="AU2465" i="5"/>
  <c r="AV2465" i="5" s="1"/>
  <c r="AW2465" i="5"/>
  <c r="AX2465" i="5" s="1"/>
  <c r="AH2466" i="5"/>
  <c r="AK2466" i="5" s="1"/>
  <c r="AN2466" i="5"/>
  <c r="AO2466" i="5"/>
  <c r="AP2466" i="5"/>
  <c r="AR2466" i="5"/>
  <c r="AT2466" i="5" s="1"/>
  <c r="AU2466" i="5"/>
  <c r="AV2466" i="5" s="1"/>
  <c r="AW2466" i="5"/>
  <c r="AX2466" i="5" s="1"/>
  <c r="AH2467" i="5"/>
  <c r="AZ2467" i="5" s="1"/>
  <c r="AN2467" i="5"/>
  <c r="AO2467" i="5"/>
  <c r="AP2467" i="5"/>
  <c r="AR2467" i="5"/>
  <c r="AU2467" i="5"/>
  <c r="AV2467" i="5" s="1"/>
  <c r="AW2467" i="5"/>
  <c r="AX2467" i="5" s="1"/>
  <c r="AH2468" i="5"/>
  <c r="AZ2468" i="5" s="1"/>
  <c r="AN2468" i="5"/>
  <c r="AO2468" i="5"/>
  <c r="AP2468" i="5"/>
  <c r="AR2468" i="5"/>
  <c r="AT2468" i="5" s="1"/>
  <c r="AU2468" i="5"/>
  <c r="AV2468" i="5" s="1"/>
  <c r="AW2468" i="5"/>
  <c r="AX2468" i="5" s="1"/>
  <c r="AH2469" i="5"/>
  <c r="AN2469" i="5"/>
  <c r="AO2469" i="5"/>
  <c r="AP2469" i="5"/>
  <c r="AH2470" i="5"/>
  <c r="AL2470" i="5" s="1"/>
  <c r="AN2470" i="5"/>
  <c r="AO2470" i="5"/>
  <c r="AP2470" i="5"/>
  <c r="AJ2471" i="5"/>
  <c r="AK2471" i="5"/>
  <c r="AL2471" i="5"/>
  <c r="AN2471" i="5"/>
  <c r="AO2471" i="5"/>
  <c r="AP2471" i="5"/>
  <c r="AR2471" i="5"/>
  <c r="AU2471" i="5"/>
  <c r="AV2471" i="5" s="1"/>
  <c r="AW2471" i="5"/>
  <c r="AX2471" i="5" s="1"/>
  <c r="AH2472" i="5"/>
  <c r="AN2472" i="5"/>
  <c r="AO2472" i="5"/>
  <c r="AP2472" i="5"/>
  <c r="AR2472" i="5"/>
  <c r="AT2472" i="5" s="1"/>
  <c r="AU2472" i="5"/>
  <c r="AV2472" i="5" s="1"/>
  <c r="AW2472" i="5"/>
  <c r="AX2472" i="5" s="1"/>
  <c r="AH2473" i="5"/>
  <c r="AZ2473" i="5" s="1"/>
  <c r="AN2473" i="5"/>
  <c r="AO2473" i="5"/>
  <c r="AP2473" i="5"/>
  <c r="AR2473" i="5"/>
  <c r="AU2473" i="5"/>
  <c r="AV2473" i="5" s="1"/>
  <c r="AW2473" i="5"/>
  <c r="AX2473" i="5" s="1"/>
  <c r="AH2474" i="5"/>
  <c r="AK2474" i="5" s="1"/>
  <c r="AN2474" i="5"/>
  <c r="AO2474" i="5"/>
  <c r="AP2474" i="5"/>
  <c r="AR2474" i="5"/>
  <c r="AS2474" i="5" s="1"/>
  <c r="AU2474" i="5"/>
  <c r="AV2474" i="5" s="1"/>
  <c r="AW2474" i="5"/>
  <c r="AX2474" i="5" s="1"/>
  <c r="AH2475" i="5"/>
  <c r="AN2475" i="5"/>
  <c r="AO2475" i="5"/>
  <c r="AP2475" i="5"/>
  <c r="AR2475" i="5"/>
  <c r="AS2475" i="5" s="1"/>
  <c r="AU2475" i="5"/>
  <c r="AV2475" i="5" s="1"/>
  <c r="AW2475" i="5"/>
  <c r="AX2475" i="5" s="1"/>
  <c r="AH2476" i="5"/>
  <c r="AJ2476" i="5" s="1"/>
  <c r="AN2476" i="5"/>
  <c r="AO2476" i="5"/>
  <c r="AP2476" i="5"/>
  <c r="AH2477" i="5"/>
  <c r="AN2477" i="5"/>
  <c r="AO2477" i="5"/>
  <c r="AP2477" i="5"/>
  <c r="AJ2478" i="5"/>
  <c r="AK2478" i="5"/>
  <c r="AL2478" i="5"/>
  <c r="AN2478" i="5"/>
  <c r="AO2478" i="5"/>
  <c r="AP2478" i="5"/>
  <c r="AR2478" i="5"/>
  <c r="AS2478" i="5" s="1"/>
  <c r="AU2478" i="5"/>
  <c r="AV2478" i="5" s="1"/>
  <c r="AW2478" i="5"/>
  <c r="AX2478" i="5" s="1"/>
  <c r="AH2479" i="5"/>
  <c r="AN2479" i="5"/>
  <c r="AO2479" i="5"/>
  <c r="AP2479" i="5"/>
  <c r="AR2479" i="5"/>
  <c r="AU2479" i="5"/>
  <c r="AV2479" i="5" s="1"/>
  <c r="AW2479" i="5"/>
  <c r="AX2479" i="5" s="1"/>
  <c r="AH2480" i="5"/>
  <c r="AZ2480" i="5" s="1"/>
  <c r="AN2480" i="5"/>
  <c r="AO2480" i="5"/>
  <c r="AP2480" i="5"/>
  <c r="AR2480" i="5"/>
  <c r="AU2480" i="5"/>
  <c r="AV2480" i="5" s="1"/>
  <c r="AW2480" i="5"/>
  <c r="AX2480" i="5" s="1"/>
  <c r="AH2481" i="5"/>
  <c r="AN2481" i="5"/>
  <c r="AO2481" i="5"/>
  <c r="AP2481" i="5"/>
  <c r="AR2481" i="5"/>
  <c r="AT2481" i="5" s="1"/>
  <c r="AU2481" i="5"/>
  <c r="AV2481" i="5" s="1"/>
  <c r="AW2481" i="5"/>
  <c r="AX2481" i="5" s="1"/>
  <c r="AH2482" i="5"/>
  <c r="AZ2482" i="5" s="1"/>
  <c r="AN2482" i="5"/>
  <c r="AO2482" i="5"/>
  <c r="AP2482" i="5"/>
  <c r="AR2482" i="5"/>
  <c r="AS2482" i="5" s="1"/>
  <c r="AU2482" i="5"/>
  <c r="AV2482" i="5" s="1"/>
  <c r="AW2482" i="5"/>
  <c r="AX2482" i="5" s="1"/>
  <c r="AH2483" i="5"/>
  <c r="AZ2483" i="5" s="1"/>
  <c r="AN2483" i="5"/>
  <c r="AO2483" i="5"/>
  <c r="AP2483" i="5"/>
  <c r="AH2484" i="5"/>
  <c r="AN2484" i="5"/>
  <c r="AO2484" i="5"/>
  <c r="AP2484" i="5"/>
  <c r="AJ2485" i="5"/>
  <c r="AK2485" i="5"/>
  <c r="AL2485" i="5"/>
  <c r="AN2485" i="5"/>
  <c r="AO2485" i="5"/>
  <c r="AP2485" i="5"/>
  <c r="AR2485" i="5"/>
  <c r="AT2485" i="5" s="1"/>
  <c r="AU2485" i="5"/>
  <c r="AV2485" i="5" s="1"/>
  <c r="AW2485" i="5"/>
  <c r="AX2485" i="5" s="1"/>
  <c r="AH2486" i="5"/>
  <c r="AK2486" i="5" s="1"/>
  <c r="AN2486" i="5"/>
  <c r="AO2486" i="5"/>
  <c r="AP2486" i="5"/>
  <c r="AR2486" i="5"/>
  <c r="AS2486" i="5" s="1"/>
  <c r="AU2486" i="5"/>
  <c r="AV2486" i="5" s="1"/>
  <c r="AW2486" i="5"/>
  <c r="AX2486" i="5" s="1"/>
  <c r="AH2487" i="5"/>
  <c r="AK2487" i="5" s="1"/>
  <c r="AN2487" i="5"/>
  <c r="AO2487" i="5"/>
  <c r="AP2487" i="5"/>
  <c r="AR2487" i="5"/>
  <c r="AU2487" i="5"/>
  <c r="AV2487" i="5" s="1"/>
  <c r="AW2487" i="5"/>
  <c r="AX2487" i="5" s="1"/>
  <c r="AH2488" i="5"/>
  <c r="AK2488" i="5" s="1"/>
  <c r="AN2488" i="5"/>
  <c r="AO2488" i="5"/>
  <c r="AP2488" i="5"/>
  <c r="AR2488" i="5"/>
  <c r="AS2488" i="5" s="1"/>
  <c r="AU2488" i="5"/>
  <c r="AV2488" i="5" s="1"/>
  <c r="AW2488" i="5"/>
  <c r="AX2488" i="5" s="1"/>
  <c r="AH2489" i="5"/>
  <c r="AJ2489" i="5" s="1"/>
  <c r="AN2489" i="5"/>
  <c r="AO2489" i="5"/>
  <c r="AP2489" i="5"/>
  <c r="AR2489" i="5"/>
  <c r="AU2489" i="5"/>
  <c r="AV2489" i="5" s="1"/>
  <c r="AW2489" i="5"/>
  <c r="AX2489" i="5" s="1"/>
  <c r="AH2490" i="5"/>
  <c r="AN2490" i="5"/>
  <c r="AO2490" i="5"/>
  <c r="AP2490" i="5"/>
  <c r="AH2491" i="5"/>
  <c r="AW2491" i="5" s="1"/>
  <c r="AX2491" i="5" s="1"/>
  <c r="AN2491" i="5"/>
  <c r="AO2491" i="5"/>
  <c r="AP2491" i="5"/>
  <c r="AJ2492" i="5"/>
  <c r="AK2492" i="5"/>
  <c r="AL2492" i="5"/>
  <c r="AN2492" i="5"/>
  <c r="AO2492" i="5"/>
  <c r="AP2492" i="5"/>
  <c r="AR2492" i="5"/>
  <c r="AS2492" i="5" s="1"/>
  <c r="AU2492" i="5"/>
  <c r="AV2492" i="5" s="1"/>
  <c r="AW2492" i="5"/>
  <c r="AX2492" i="5" s="1"/>
  <c r="AH2493" i="5"/>
  <c r="AN2493" i="5"/>
  <c r="AO2493" i="5"/>
  <c r="AP2493" i="5"/>
  <c r="AR2493" i="5"/>
  <c r="AS2493" i="5" s="1"/>
  <c r="AU2493" i="5"/>
  <c r="AV2493" i="5" s="1"/>
  <c r="AW2493" i="5"/>
  <c r="AX2493" i="5" s="1"/>
  <c r="AH2494" i="5"/>
  <c r="AK2494" i="5" s="1"/>
  <c r="AN2494" i="5"/>
  <c r="AO2494" i="5"/>
  <c r="AP2494" i="5"/>
  <c r="AR2494" i="5"/>
  <c r="AS2494" i="5" s="1"/>
  <c r="AU2494" i="5"/>
  <c r="AV2494" i="5" s="1"/>
  <c r="AW2494" i="5"/>
  <c r="AX2494" i="5" s="1"/>
  <c r="AH2495" i="5"/>
  <c r="AN2495" i="5"/>
  <c r="AO2495" i="5"/>
  <c r="AP2495" i="5"/>
  <c r="AR2495" i="5"/>
  <c r="AS2495" i="5" s="1"/>
  <c r="AU2495" i="5"/>
  <c r="AV2495" i="5" s="1"/>
  <c r="AW2495" i="5"/>
  <c r="AX2495" i="5" s="1"/>
  <c r="AH2496" i="5"/>
  <c r="AL2496" i="5" s="1"/>
  <c r="AN2496" i="5"/>
  <c r="AO2496" i="5"/>
  <c r="AP2496" i="5"/>
  <c r="AR2496" i="5"/>
  <c r="AU2496" i="5"/>
  <c r="AV2496" i="5" s="1"/>
  <c r="AW2496" i="5"/>
  <c r="AX2496" i="5" s="1"/>
  <c r="AH2497" i="5"/>
  <c r="AW2497" i="5" s="1"/>
  <c r="AX2497" i="5" s="1"/>
  <c r="AN2497" i="5"/>
  <c r="AO2497" i="5"/>
  <c r="AP2497" i="5"/>
  <c r="AH2498" i="5"/>
  <c r="AN2498" i="5"/>
  <c r="AO2498" i="5"/>
  <c r="AP2498" i="5"/>
  <c r="AJ2499" i="5"/>
  <c r="AK2499" i="5"/>
  <c r="AL2499" i="5"/>
  <c r="AN2499" i="5"/>
  <c r="AO2499" i="5"/>
  <c r="AP2499" i="5"/>
  <c r="AR2499" i="5"/>
  <c r="AU2499" i="5"/>
  <c r="AV2499" i="5" s="1"/>
  <c r="AW2499" i="5"/>
  <c r="AX2499" i="5" s="1"/>
  <c r="AH2500" i="5"/>
  <c r="AL2500" i="5" s="1"/>
  <c r="AH2501" i="5"/>
  <c r="AN2500" i="5"/>
  <c r="AO2500" i="5"/>
  <c r="AP2500" i="5"/>
  <c r="AR2500" i="5"/>
  <c r="AU2500" i="5"/>
  <c r="AV2500" i="5" s="1"/>
  <c r="AW2500" i="5"/>
  <c r="AX2500" i="5" s="1"/>
  <c r="AN2501" i="5"/>
  <c r="AO2501" i="5"/>
  <c r="AP2501" i="5"/>
  <c r="AR2501" i="5"/>
  <c r="AS2501" i="5" s="1"/>
  <c r="AU2501" i="5"/>
  <c r="AV2501" i="5" s="1"/>
  <c r="AW2501" i="5"/>
  <c r="AX2501" i="5" s="1"/>
  <c r="AH2502" i="5"/>
  <c r="AY2502" i="5" s="1"/>
  <c r="AN2502" i="5"/>
  <c r="AO2502" i="5"/>
  <c r="AP2502" i="5"/>
  <c r="AR2502" i="5"/>
  <c r="AT2502" i="5" s="1"/>
  <c r="AU2502" i="5"/>
  <c r="AV2502" i="5" s="1"/>
  <c r="AW2502" i="5"/>
  <c r="AX2502" i="5" s="1"/>
  <c r="AH2503" i="5"/>
  <c r="AJ2503" i="5" s="1"/>
  <c r="AN2503" i="5"/>
  <c r="AO2503" i="5"/>
  <c r="AP2503" i="5"/>
  <c r="AR2503" i="5"/>
  <c r="AU2503" i="5"/>
  <c r="AV2503" i="5" s="1"/>
  <c r="AW2503" i="5"/>
  <c r="AX2503" i="5" s="1"/>
  <c r="AH2504" i="5"/>
  <c r="AN2504" i="5"/>
  <c r="AO2504" i="5"/>
  <c r="AP2504" i="5"/>
  <c r="AH2505" i="5"/>
  <c r="AI2506" i="5" s="1"/>
  <c r="AN2505" i="5"/>
  <c r="AO2505" i="5"/>
  <c r="AP2505" i="5"/>
  <c r="AJ2506" i="5"/>
  <c r="AK2506" i="5"/>
  <c r="AL2506" i="5"/>
  <c r="AN2506" i="5"/>
  <c r="AO2506" i="5"/>
  <c r="AP2506" i="5"/>
  <c r="AR2506" i="5"/>
  <c r="AS2506" i="5" s="1"/>
  <c r="AU2506" i="5"/>
  <c r="AV2506" i="5" s="1"/>
  <c r="AW2506" i="5"/>
  <c r="AX2506" i="5" s="1"/>
  <c r="AH2507" i="5"/>
  <c r="AN2507" i="5"/>
  <c r="AO2507" i="5"/>
  <c r="AP2507" i="5"/>
  <c r="AR2507" i="5"/>
  <c r="AU2507" i="5"/>
  <c r="AV2507" i="5" s="1"/>
  <c r="AW2507" i="5"/>
  <c r="AX2507" i="5" s="1"/>
  <c r="AH2508" i="5"/>
  <c r="AZ2508" i="5" s="1"/>
  <c r="AN2508" i="5"/>
  <c r="AO2508" i="5"/>
  <c r="AP2508" i="5"/>
  <c r="AR2508" i="5"/>
  <c r="AT2508" i="5" s="1"/>
  <c r="AU2508" i="5"/>
  <c r="AV2508" i="5" s="1"/>
  <c r="AW2508" i="5"/>
  <c r="AX2508" i="5" s="1"/>
  <c r="AH2509" i="5"/>
  <c r="AN2509" i="5"/>
  <c r="AO2509" i="5"/>
  <c r="AP2509" i="5"/>
  <c r="AR2509" i="5"/>
  <c r="AU2509" i="5"/>
  <c r="AV2509" i="5" s="1"/>
  <c r="AW2509" i="5"/>
  <c r="AX2509" i="5" s="1"/>
  <c r="AH2510" i="5"/>
  <c r="AN2510" i="5"/>
  <c r="AO2510" i="5"/>
  <c r="AP2510" i="5"/>
  <c r="AH2511" i="5"/>
  <c r="AY2511" i="5" s="1"/>
  <c r="AN2511" i="5"/>
  <c r="AO2511" i="5"/>
  <c r="AP2511" i="5"/>
  <c r="AJ2512" i="5"/>
  <c r="AK2512" i="5"/>
  <c r="AL2512" i="5"/>
  <c r="AN2512" i="5"/>
  <c r="AO2512" i="5"/>
  <c r="AP2512" i="5"/>
  <c r="AR2512" i="5"/>
  <c r="AT2512" i="5" s="1"/>
  <c r="AU2512" i="5"/>
  <c r="AV2512" i="5" s="1"/>
  <c r="AW2512" i="5"/>
  <c r="AX2512" i="5" s="1"/>
  <c r="AH2513" i="5"/>
  <c r="AN2513" i="5"/>
  <c r="AO2513" i="5"/>
  <c r="AP2513" i="5"/>
  <c r="AR2513" i="5"/>
  <c r="AT2513" i="5" s="1"/>
  <c r="AU2513" i="5"/>
  <c r="AV2513" i="5" s="1"/>
  <c r="AW2513" i="5"/>
  <c r="AX2513" i="5" s="1"/>
  <c r="AH2514" i="5"/>
  <c r="AL2514" i="5" s="1"/>
  <c r="AN2514" i="5"/>
  <c r="AO2514" i="5"/>
  <c r="AP2514" i="5"/>
  <c r="AR2514" i="5"/>
  <c r="AT2514" i="5" s="1"/>
  <c r="AU2514" i="5"/>
  <c r="AV2514" i="5" s="1"/>
  <c r="AW2514" i="5"/>
  <c r="AX2514" i="5" s="1"/>
  <c r="AH2515" i="5"/>
  <c r="AN2515" i="5"/>
  <c r="AO2515" i="5"/>
  <c r="AP2515" i="5"/>
  <c r="AR2515" i="5"/>
  <c r="AU2515" i="5"/>
  <c r="AV2515" i="5" s="1"/>
  <c r="AW2515" i="5"/>
  <c r="AX2515" i="5" s="1"/>
  <c r="AH2516" i="5"/>
  <c r="AL2516" i="5" s="1"/>
  <c r="AN2516" i="5"/>
  <c r="AO2516" i="5"/>
  <c r="AP2516" i="5"/>
  <c r="AH2517" i="5"/>
  <c r="AY2517" i="5" s="1"/>
  <c r="AN2517" i="5"/>
  <c r="AO2517" i="5"/>
  <c r="AP2517" i="5"/>
  <c r="AJ2518" i="5"/>
  <c r="AK2518" i="5"/>
  <c r="AL2518" i="5"/>
  <c r="AN2518" i="5"/>
  <c r="AO2518" i="5"/>
  <c r="AP2518" i="5"/>
  <c r="AR2518" i="5"/>
  <c r="AS2518" i="5" s="1"/>
  <c r="AU2518" i="5"/>
  <c r="AV2518" i="5" s="1"/>
  <c r="AW2518" i="5"/>
  <c r="AX2518" i="5" s="1"/>
  <c r="AH2519" i="5"/>
  <c r="AN2519" i="5"/>
  <c r="AO2519" i="5"/>
  <c r="AP2519" i="5"/>
  <c r="AR2519" i="5"/>
  <c r="AU2519" i="5"/>
  <c r="AV2519" i="5" s="1"/>
  <c r="AW2519" i="5"/>
  <c r="AX2519" i="5" s="1"/>
  <c r="AH2520" i="5"/>
  <c r="AZ2520" i="5" s="1"/>
  <c r="AN2520" i="5"/>
  <c r="AO2520" i="5"/>
  <c r="AP2520" i="5"/>
  <c r="AR2520" i="5"/>
  <c r="AS2520" i="5" s="1"/>
  <c r="AU2520" i="5"/>
  <c r="AV2520" i="5" s="1"/>
  <c r="AW2520" i="5"/>
  <c r="AX2520" i="5" s="1"/>
  <c r="AH2521" i="5"/>
  <c r="AJ2521" i="5" s="1"/>
  <c r="AN2521" i="5"/>
  <c r="AO2521" i="5"/>
  <c r="AP2521" i="5"/>
  <c r="AR2521" i="5"/>
  <c r="AS2521" i="5" s="1"/>
  <c r="AU2521" i="5"/>
  <c r="AV2521" i="5" s="1"/>
  <c r="AW2521" i="5"/>
  <c r="AX2521" i="5" s="1"/>
  <c r="AH2522" i="5"/>
  <c r="AR2522" i="5" s="1"/>
  <c r="AN2522" i="5"/>
  <c r="AO2522" i="5"/>
  <c r="AP2522" i="5"/>
  <c r="AH2523" i="5"/>
  <c r="AK2523" i="5" s="1"/>
  <c r="AN2523" i="5"/>
  <c r="AO2523" i="5"/>
  <c r="AP2523" i="5"/>
  <c r="AJ2524" i="5"/>
  <c r="AK2524" i="5"/>
  <c r="AL2524" i="5"/>
  <c r="AN2524" i="5"/>
  <c r="AO2524" i="5"/>
  <c r="AP2524" i="5"/>
  <c r="AR2524" i="5"/>
  <c r="AU2524" i="5"/>
  <c r="AV2524" i="5" s="1"/>
  <c r="AW2524" i="5"/>
  <c r="AX2524" i="5" s="1"/>
  <c r="AH2525" i="5"/>
  <c r="AY2525" i="5" s="1"/>
  <c r="AN2525" i="5"/>
  <c r="AO2525" i="5"/>
  <c r="AP2525" i="5"/>
  <c r="AR2525" i="5"/>
  <c r="AU2525" i="5"/>
  <c r="AV2525" i="5" s="1"/>
  <c r="AW2525" i="5"/>
  <c r="AX2525" i="5" s="1"/>
  <c r="AH2526" i="5"/>
  <c r="AJ2526" i="5" s="1"/>
  <c r="AN2526" i="5"/>
  <c r="AO2526" i="5"/>
  <c r="AP2526" i="5"/>
  <c r="AR2526" i="5"/>
  <c r="AU2526" i="5"/>
  <c r="AV2526" i="5" s="1"/>
  <c r="AW2526" i="5"/>
  <c r="AX2526" i="5" s="1"/>
  <c r="AH2527" i="5"/>
  <c r="AN2527" i="5"/>
  <c r="AO2527" i="5"/>
  <c r="AP2527" i="5"/>
  <c r="AR2527" i="5"/>
  <c r="AS2527" i="5" s="1"/>
  <c r="AU2527" i="5"/>
  <c r="AV2527" i="5" s="1"/>
  <c r="AW2527" i="5"/>
  <c r="AX2527" i="5" s="1"/>
  <c r="AH2528" i="5"/>
  <c r="AK2528" i="5" s="1"/>
  <c r="AN2528" i="5"/>
  <c r="AO2528" i="5"/>
  <c r="AP2528" i="5"/>
  <c r="AH2529" i="5"/>
  <c r="AN2529" i="5"/>
  <c r="AO2529" i="5"/>
  <c r="AP2529" i="5"/>
  <c r="AJ2530" i="5"/>
  <c r="AK2530" i="5"/>
  <c r="AL2530" i="5"/>
  <c r="AN2530" i="5"/>
  <c r="AO2530" i="5"/>
  <c r="AP2530" i="5"/>
  <c r="AR2530" i="5"/>
  <c r="AS2530" i="5" s="1"/>
  <c r="AU2530" i="5"/>
  <c r="AV2530" i="5" s="1"/>
  <c r="AW2530" i="5"/>
  <c r="AX2530" i="5" s="1"/>
  <c r="AH2531" i="5"/>
  <c r="AN2531" i="5"/>
  <c r="AO2531" i="5"/>
  <c r="AP2531" i="5"/>
  <c r="AR2531" i="5"/>
  <c r="AU2531" i="5"/>
  <c r="AV2531" i="5" s="1"/>
  <c r="AW2531" i="5"/>
  <c r="AX2531" i="5" s="1"/>
  <c r="AH2532" i="5"/>
  <c r="AL2532" i="5" s="1"/>
  <c r="AH2533" i="5"/>
  <c r="AN2532" i="5"/>
  <c r="AO2532" i="5"/>
  <c r="AP2532" i="5"/>
  <c r="AR2532" i="5"/>
  <c r="AU2532" i="5"/>
  <c r="AV2532" i="5" s="1"/>
  <c r="AW2532" i="5"/>
  <c r="AX2532" i="5" s="1"/>
  <c r="AN2533" i="5"/>
  <c r="AO2533" i="5"/>
  <c r="AP2533" i="5"/>
  <c r="AR2533" i="5"/>
  <c r="AU2533" i="5"/>
  <c r="AV2533" i="5" s="1"/>
  <c r="AW2533" i="5"/>
  <c r="AX2533" i="5" s="1"/>
  <c r="AH2534" i="5"/>
  <c r="AZ2534" i="5" s="1"/>
  <c r="AN2534" i="5"/>
  <c r="AO2534" i="5"/>
  <c r="AP2534" i="5"/>
  <c r="AH2535" i="5"/>
  <c r="AK2535" i="5" s="1"/>
  <c r="AN2535" i="5"/>
  <c r="AO2535" i="5"/>
  <c r="AP2535" i="5"/>
  <c r="AJ2536" i="5"/>
  <c r="AK2536" i="5"/>
  <c r="AL2536" i="5"/>
  <c r="AN2536" i="5"/>
  <c r="AO2536" i="5"/>
  <c r="AP2536" i="5"/>
  <c r="AR2536" i="5"/>
  <c r="AS2536" i="5" s="1"/>
  <c r="AU2536" i="5"/>
  <c r="AV2536" i="5" s="1"/>
  <c r="AW2536" i="5"/>
  <c r="AX2536" i="5" s="1"/>
  <c r="AH2537" i="5"/>
  <c r="AJ2537" i="5" s="1"/>
  <c r="AN2537" i="5"/>
  <c r="AO2537" i="5"/>
  <c r="AP2537" i="5"/>
  <c r="AR2537" i="5"/>
  <c r="AT2537" i="5" s="1"/>
  <c r="AU2537" i="5"/>
  <c r="AV2537" i="5" s="1"/>
  <c r="AW2537" i="5"/>
  <c r="AX2537" i="5" s="1"/>
  <c r="AH2538" i="5"/>
  <c r="AL2538" i="5" s="1"/>
  <c r="AN2538" i="5"/>
  <c r="AO2538" i="5"/>
  <c r="AP2538" i="5"/>
  <c r="AR2538" i="5"/>
  <c r="AS2538" i="5" s="1"/>
  <c r="AU2538" i="5"/>
  <c r="AV2538" i="5" s="1"/>
  <c r="AW2538" i="5"/>
  <c r="AX2538" i="5" s="1"/>
  <c r="AH2539" i="5"/>
  <c r="AN2539" i="5"/>
  <c r="AO2539" i="5"/>
  <c r="AP2539" i="5"/>
  <c r="AR2539" i="5"/>
  <c r="AT2539" i="5" s="1"/>
  <c r="AU2539" i="5"/>
  <c r="AV2539" i="5" s="1"/>
  <c r="AW2539" i="5"/>
  <c r="AX2539" i="5" s="1"/>
  <c r="AH2540" i="5"/>
  <c r="AR2540" i="5" s="1"/>
  <c r="AT2540" i="5" s="1"/>
  <c r="AN2540" i="5"/>
  <c r="AO2540" i="5"/>
  <c r="AP2540" i="5"/>
  <c r="AH2541" i="5"/>
  <c r="AI2542" i="5" s="1"/>
  <c r="AN2541" i="5"/>
  <c r="AO2541" i="5"/>
  <c r="AP2541" i="5"/>
  <c r="AJ2542" i="5"/>
  <c r="AK2542" i="5"/>
  <c r="AL2542" i="5"/>
  <c r="AN2542" i="5"/>
  <c r="AO2542" i="5"/>
  <c r="AP2542" i="5"/>
  <c r="AR2542" i="5"/>
  <c r="AT2542" i="5" s="1"/>
  <c r="AU2542" i="5"/>
  <c r="AV2542" i="5" s="1"/>
  <c r="AW2542" i="5"/>
  <c r="AX2542" i="5" s="1"/>
  <c r="AH2543" i="5"/>
  <c r="AN2543" i="5"/>
  <c r="AO2543" i="5"/>
  <c r="AP2543" i="5"/>
  <c r="AR2543" i="5"/>
  <c r="AT2543" i="5" s="1"/>
  <c r="AU2543" i="5"/>
  <c r="AV2543" i="5" s="1"/>
  <c r="AW2543" i="5"/>
  <c r="AX2543" i="5" s="1"/>
  <c r="AH2544" i="5"/>
  <c r="AJ2544" i="5" s="1"/>
  <c r="AH2545" i="5"/>
  <c r="AN2544" i="5"/>
  <c r="AO2544" i="5"/>
  <c r="AP2544" i="5"/>
  <c r="AR2544" i="5"/>
  <c r="AU2544" i="5"/>
  <c r="AV2544" i="5" s="1"/>
  <c r="AW2544" i="5"/>
  <c r="AX2544" i="5" s="1"/>
  <c r="AN2545" i="5"/>
  <c r="AO2545" i="5"/>
  <c r="AP2545" i="5"/>
  <c r="AR2545" i="5"/>
  <c r="AT2545" i="5" s="1"/>
  <c r="AU2545" i="5"/>
  <c r="AV2545" i="5" s="1"/>
  <c r="AW2545" i="5"/>
  <c r="AX2545" i="5" s="1"/>
  <c r="AH2546" i="5"/>
  <c r="AL2546" i="5" s="1"/>
  <c r="AN2546" i="5"/>
  <c r="AO2546" i="5"/>
  <c r="AP2546" i="5"/>
  <c r="AH2547" i="5"/>
  <c r="AL2547" i="5" s="1"/>
  <c r="AN2547" i="5"/>
  <c r="AO2547" i="5"/>
  <c r="AP2547" i="5"/>
  <c r="AJ2548" i="5"/>
  <c r="AK2548" i="5"/>
  <c r="AL2548" i="5"/>
  <c r="AN2548" i="5"/>
  <c r="AO2548" i="5"/>
  <c r="AP2548" i="5"/>
  <c r="AR2548" i="5"/>
  <c r="AT2548" i="5" s="1"/>
  <c r="AU2548" i="5"/>
  <c r="AV2548" i="5" s="1"/>
  <c r="AW2548" i="5"/>
  <c r="AX2548" i="5" s="1"/>
  <c r="AH2549" i="5"/>
  <c r="AJ2549" i="5" s="1"/>
  <c r="AN2549" i="5"/>
  <c r="AO2549" i="5"/>
  <c r="AP2549" i="5"/>
  <c r="AR2549" i="5"/>
  <c r="AT2549" i="5" s="1"/>
  <c r="AU2549" i="5"/>
  <c r="AV2549" i="5" s="1"/>
  <c r="AW2549" i="5"/>
  <c r="AX2549" i="5" s="1"/>
  <c r="AH2550" i="5"/>
  <c r="AJ2550" i="5" s="1"/>
  <c r="AN2550" i="5"/>
  <c r="AO2550" i="5"/>
  <c r="AP2550" i="5"/>
  <c r="AR2550" i="5"/>
  <c r="AS2550" i="5" s="1"/>
  <c r="AU2550" i="5"/>
  <c r="AV2550" i="5" s="1"/>
  <c r="AW2550" i="5"/>
  <c r="AX2550" i="5" s="1"/>
  <c r="AH2551" i="5"/>
  <c r="AN2551" i="5"/>
  <c r="AO2551" i="5"/>
  <c r="AP2551" i="5"/>
  <c r="AH2552" i="5"/>
  <c r="AN2552" i="5"/>
  <c r="AO2552" i="5"/>
  <c r="AP2552" i="5"/>
  <c r="AJ2553" i="5"/>
  <c r="AK2553" i="5"/>
  <c r="AL2553" i="5"/>
  <c r="AN2553" i="5"/>
  <c r="AO2553" i="5"/>
  <c r="AP2553" i="5"/>
  <c r="AR2553" i="5"/>
  <c r="AT2553" i="5" s="1"/>
  <c r="AU2553" i="5"/>
  <c r="AV2553" i="5" s="1"/>
  <c r="AW2553" i="5"/>
  <c r="AX2553" i="5" s="1"/>
  <c r="AK3282" i="5"/>
  <c r="AL3282" i="5"/>
  <c r="AM3282" i="5"/>
  <c r="AN3282" i="5"/>
  <c r="AO3282" i="5"/>
  <c r="AP3282" i="5"/>
  <c r="AQ3282" i="5"/>
  <c r="AR3282" i="5"/>
  <c r="AS3282" i="5"/>
  <c r="AT3282" i="5"/>
  <c r="AX3282" i="5"/>
  <c r="AK3283" i="5"/>
  <c r="AL3283" i="5"/>
  <c r="AM3283" i="5"/>
  <c r="AN3283" i="5"/>
  <c r="AO3283" i="5"/>
  <c r="AP3283" i="5"/>
  <c r="AQ3283" i="5"/>
  <c r="AR3283" i="5"/>
  <c r="AS3283" i="5"/>
  <c r="AT3283" i="5"/>
  <c r="AK3284" i="5"/>
  <c r="AL3284" i="5"/>
  <c r="AM3284" i="5"/>
  <c r="AN3284" i="5"/>
  <c r="AO3284" i="5"/>
  <c r="AP3284" i="5"/>
  <c r="AQ3284" i="5"/>
  <c r="AR3284" i="5"/>
  <c r="AS3284" i="5"/>
  <c r="AT3284" i="5"/>
  <c r="AK3285" i="5"/>
  <c r="AL3285" i="5"/>
  <c r="AM3285" i="5"/>
  <c r="AN3285" i="5"/>
  <c r="AO3285" i="5"/>
  <c r="AP3285" i="5"/>
  <c r="AQ3285" i="5"/>
  <c r="AR3285" i="5"/>
  <c r="AS3285" i="5"/>
  <c r="AT3285" i="5"/>
  <c r="AK3286" i="5"/>
  <c r="AL3286" i="5"/>
  <c r="AM3286" i="5"/>
  <c r="AN3286" i="5"/>
  <c r="AO3286" i="5"/>
  <c r="AP3286" i="5"/>
  <c r="AQ3286" i="5"/>
  <c r="AR3286" i="5"/>
  <c r="AS3286" i="5"/>
  <c r="AT3286" i="5"/>
  <c r="AK3287" i="5"/>
  <c r="AL3287" i="5"/>
  <c r="AM3287" i="5"/>
  <c r="AN3287" i="5"/>
  <c r="AO3287" i="5"/>
  <c r="AP3287" i="5"/>
  <c r="AQ3287" i="5"/>
  <c r="AR3287" i="5"/>
  <c r="AS3287" i="5"/>
  <c r="AT3287" i="5"/>
  <c r="AK3288" i="5"/>
  <c r="AL3288" i="5"/>
  <c r="AM3288" i="5"/>
  <c r="AN3288" i="5"/>
  <c r="AO3288" i="5"/>
  <c r="AP3288" i="5"/>
  <c r="AQ3288" i="5"/>
  <c r="AR3288" i="5"/>
  <c r="AS3288" i="5"/>
  <c r="AT3288" i="5"/>
  <c r="AK3289" i="5"/>
  <c r="AL3289" i="5"/>
  <c r="AM3289" i="5"/>
  <c r="AN3289" i="5"/>
  <c r="AO3289" i="5"/>
  <c r="AP3289" i="5"/>
  <c r="AQ3289" i="5"/>
  <c r="AR3289" i="5"/>
  <c r="AS3289" i="5"/>
  <c r="AT3289" i="5"/>
  <c r="AK3290" i="5"/>
  <c r="AL3290" i="5"/>
  <c r="AM3290" i="5"/>
  <c r="AN3290" i="5"/>
  <c r="AO3290" i="5"/>
  <c r="AP3290" i="5"/>
  <c r="AQ3290" i="5"/>
  <c r="AR3290" i="5"/>
  <c r="AS3290" i="5"/>
  <c r="AT3290" i="5"/>
  <c r="AK3291" i="5"/>
  <c r="AL3291" i="5"/>
  <c r="AM3291" i="5"/>
  <c r="AN3291" i="5"/>
  <c r="AO3291" i="5"/>
  <c r="AP3291" i="5"/>
  <c r="AQ3291" i="5"/>
  <c r="AR3291" i="5"/>
  <c r="AS3291" i="5"/>
  <c r="AT3291" i="5"/>
  <c r="AK3292" i="5"/>
  <c r="AL3292" i="5"/>
  <c r="AM3292" i="5"/>
  <c r="AN3292" i="5"/>
  <c r="AO3292" i="5"/>
  <c r="AP3292" i="5"/>
  <c r="AQ3292" i="5"/>
  <c r="AR3292" i="5"/>
  <c r="AS3292" i="5"/>
  <c r="AT3292" i="5"/>
  <c r="AK3293" i="5"/>
  <c r="AL3293" i="5"/>
  <c r="AM3293" i="5"/>
  <c r="AN3293" i="5"/>
  <c r="AO3293" i="5"/>
  <c r="AP3293" i="5"/>
  <c r="AQ3293" i="5"/>
  <c r="AR3293" i="5"/>
  <c r="AS3293" i="5"/>
  <c r="AT3293" i="5"/>
  <c r="AK3294" i="5"/>
  <c r="AL3294" i="5"/>
  <c r="AM3294" i="5"/>
  <c r="AN3294" i="5"/>
  <c r="AO3294" i="5"/>
  <c r="AP3294" i="5"/>
  <c r="AQ3294" i="5"/>
  <c r="AR3294" i="5"/>
  <c r="AS3294" i="5"/>
  <c r="AT3294" i="5"/>
  <c r="AK3295" i="5"/>
  <c r="AL3295" i="5"/>
  <c r="AM3295" i="5"/>
  <c r="AN3295" i="5"/>
  <c r="AO3295" i="5"/>
  <c r="AP3295" i="5"/>
  <c r="AQ3295" i="5"/>
  <c r="AR3295" i="5"/>
  <c r="AS3295" i="5"/>
  <c r="AT3295" i="5"/>
  <c r="AK3296" i="5"/>
  <c r="AL3296" i="5"/>
  <c r="AM3296" i="5"/>
  <c r="AN3296" i="5"/>
  <c r="AO3296" i="5"/>
  <c r="AP3296" i="5"/>
  <c r="AQ3296" i="5"/>
  <c r="AR3296" i="5"/>
  <c r="AS3296" i="5"/>
  <c r="AT3296" i="5"/>
  <c r="AK3297" i="5"/>
  <c r="AL3297" i="5"/>
  <c r="AM3297" i="5"/>
  <c r="AN3297" i="5"/>
  <c r="AO3297" i="5"/>
  <c r="AP3297" i="5"/>
  <c r="AQ3297" i="5"/>
  <c r="AR3297" i="5"/>
  <c r="AS3297" i="5"/>
  <c r="AT3297" i="5"/>
  <c r="AK3298" i="5"/>
  <c r="AL3298" i="5"/>
  <c r="AM3298" i="5"/>
  <c r="AN3298" i="5"/>
  <c r="AO3298" i="5"/>
  <c r="AP3298" i="5"/>
  <c r="AQ3298" i="5"/>
  <c r="AR3298" i="5"/>
  <c r="AS3298" i="5"/>
  <c r="AT3298" i="5"/>
  <c r="AX3298" i="5"/>
  <c r="AK3299" i="5"/>
  <c r="AL3299" i="5"/>
  <c r="AM3299" i="5"/>
  <c r="AN3299" i="5"/>
  <c r="AO3299" i="5"/>
  <c r="AP3299" i="5"/>
  <c r="AQ3299" i="5"/>
  <c r="AR3299" i="5"/>
  <c r="AS3299" i="5"/>
  <c r="AT3299" i="5"/>
  <c r="AK3300" i="5"/>
  <c r="AL3300" i="5"/>
  <c r="AM3300" i="5"/>
  <c r="AN3300" i="5"/>
  <c r="AO3300" i="5"/>
  <c r="AP3300" i="5"/>
  <c r="AQ3300" i="5"/>
  <c r="AR3300" i="5"/>
  <c r="AS3300" i="5"/>
  <c r="AT3300" i="5"/>
  <c r="AK3301" i="5"/>
  <c r="AL3301" i="5"/>
  <c r="AM3301" i="5"/>
  <c r="AN3301" i="5"/>
  <c r="AO3301" i="5"/>
  <c r="AP3301" i="5"/>
  <c r="AQ3301" i="5"/>
  <c r="AR3301" i="5"/>
  <c r="AS3301" i="5"/>
  <c r="AT3301" i="5"/>
  <c r="AK3302" i="5"/>
  <c r="AL3302" i="5"/>
  <c r="AM3302" i="5"/>
  <c r="AN3302" i="5"/>
  <c r="AO3302" i="5"/>
  <c r="AP3302" i="5"/>
  <c r="AQ3302" i="5"/>
  <c r="AR3302" i="5"/>
  <c r="AS3302" i="5"/>
  <c r="AT3302" i="5"/>
  <c r="AK3303" i="5"/>
  <c r="AL3303" i="5"/>
  <c r="AM3303" i="5"/>
  <c r="AN3303" i="5"/>
  <c r="AO3303" i="5"/>
  <c r="AP3303" i="5"/>
  <c r="AQ3303" i="5"/>
  <c r="AR3303" i="5"/>
  <c r="AS3303" i="5"/>
  <c r="AT3303" i="5"/>
  <c r="AK3304" i="5"/>
  <c r="AL3304" i="5"/>
  <c r="AM3304" i="5"/>
  <c r="AN3304" i="5"/>
  <c r="AO3304" i="5"/>
  <c r="AP3304" i="5"/>
  <c r="AQ3304" i="5"/>
  <c r="AR3304" i="5"/>
  <c r="AS3304" i="5"/>
  <c r="AT3304" i="5"/>
  <c r="AK3305" i="5"/>
  <c r="AL3305" i="5"/>
  <c r="AM3305" i="5"/>
  <c r="AN3305" i="5"/>
  <c r="AO3305" i="5"/>
  <c r="AP3305" i="5"/>
  <c r="AQ3305" i="5"/>
  <c r="AR3305" i="5"/>
  <c r="AS3305" i="5"/>
  <c r="AT3305" i="5"/>
  <c r="AK3306" i="5"/>
  <c r="AL3306" i="5"/>
  <c r="AM3306" i="5"/>
  <c r="AN3306" i="5"/>
  <c r="AO3306" i="5"/>
  <c r="AP3306" i="5"/>
  <c r="AQ3306" i="5"/>
  <c r="AR3306" i="5"/>
  <c r="AS3306" i="5"/>
  <c r="AT3306" i="5"/>
  <c r="AK3307" i="5"/>
  <c r="AL3307" i="5"/>
  <c r="AM3307" i="5"/>
  <c r="AN3307" i="5"/>
  <c r="AO3307" i="5"/>
  <c r="AP3307" i="5"/>
  <c r="AQ3307" i="5"/>
  <c r="AR3307" i="5"/>
  <c r="AS3307" i="5"/>
  <c r="AT3307" i="5"/>
  <c r="AK3308" i="5"/>
  <c r="AL3308" i="5"/>
  <c r="AM3308" i="5"/>
  <c r="AN3308" i="5"/>
  <c r="AO3308" i="5"/>
  <c r="AP3308" i="5"/>
  <c r="AQ3308" i="5"/>
  <c r="AR3308" i="5"/>
  <c r="AS3308" i="5"/>
  <c r="AT3308" i="5"/>
  <c r="AK3309" i="5"/>
  <c r="AL3309" i="5"/>
  <c r="AM3309" i="5"/>
  <c r="AN3309" i="5"/>
  <c r="AO3309" i="5"/>
  <c r="AP3309" i="5"/>
  <c r="AQ3309" i="5"/>
  <c r="AR3309" i="5"/>
  <c r="AS3309" i="5"/>
  <c r="AT3309" i="5"/>
  <c r="AK3310" i="5"/>
  <c r="AL3310" i="5"/>
  <c r="AM3310" i="5"/>
  <c r="AN3310" i="5"/>
  <c r="AO3310" i="5"/>
  <c r="AP3310" i="5"/>
  <c r="AQ3310" i="5"/>
  <c r="AR3310" i="5"/>
  <c r="AS3310" i="5"/>
  <c r="AT3310" i="5"/>
  <c r="AK3311" i="5"/>
  <c r="AL3311" i="5"/>
  <c r="AM3311" i="5"/>
  <c r="AN3311" i="5"/>
  <c r="AO3311" i="5"/>
  <c r="AP3311" i="5"/>
  <c r="AQ3311" i="5"/>
  <c r="AR3311" i="5"/>
  <c r="AS3311" i="5"/>
  <c r="AT3311" i="5"/>
  <c r="AK3312" i="5"/>
  <c r="AL3312" i="5"/>
  <c r="AM3312" i="5"/>
  <c r="AN3312" i="5"/>
  <c r="AO3312" i="5"/>
  <c r="AP3312" i="5"/>
  <c r="AQ3312" i="5"/>
  <c r="AR3312" i="5"/>
  <c r="AS3312" i="5"/>
  <c r="AT3312" i="5"/>
  <c r="AK3313" i="5"/>
  <c r="AL3313" i="5"/>
  <c r="AM3313" i="5"/>
  <c r="AN3313" i="5"/>
  <c r="AO3313" i="5"/>
  <c r="AP3313" i="5"/>
  <c r="AQ3313" i="5"/>
  <c r="AR3313" i="5"/>
  <c r="AS3313" i="5"/>
  <c r="AT3313" i="5"/>
  <c r="AK3314" i="5"/>
  <c r="AL3314" i="5"/>
  <c r="AM3314" i="5"/>
  <c r="AN3314" i="5"/>
  <c r="AO3314" i="5"/>
  <c r="AP3314" i="5"/>
  <c r="AQ3314" i="5"/>
  <c r="AR3314" i="5"/>
  <c r="AS3314" i="5"/>
  <c r="AT3314" i="5"/>
  <c r="AX3314" i="5"/>
  <c r="AK3315" i="5"/>
  <c r="AL3315" i="5"/>
  <c r="AM3315" i="5"/>
  <c r="AN3315" i="5"/>
  <c r="AO3315" i="5"/>
  <c r="AP3315" i="5"/>
  <c r="AQ3315" i="5"/>
  <c r="AR3315" i="5"/>
  <c r="AS3315" i="5"/>
  <c r="AT3315" i="5"/>
  <c r="AK3316" i="5"/>
  <c r="AL3316" i="5"/>
  <c r="AM3316" i="5"/>
  <c r="AN3316" i="5"/>
  <c r="AO3316" i="5"/>
  <c r="AP3316" i="5"/>
  <c r="AQ3316" i="5"/>
  <c r="AR3316" i="5"/>
  <c r="AS3316" i="5"/>
  <c r="AT3316" i="5"/>
  <c r="AK3317" i="5"/>
  <c r="AL3317" i="5"/>
  <c r="AM3317" i="5"/>
  <c r="AN3317" i="5"/>
  <c r="AO3317" i="5"/>
  <c r="AP3317" i="5"/>
  <c r="AQ3317" i="5"/>
  <c r="AR3317" i="5"/>
  <c r="AS3317" i="5"/>
  <c r="AT3317" i="5"/>
  <c r="AK3318" i="5"/>
  <c r="AL3318" i="5"/>
  <c r="AM3318" i="5"/>
  <c r="AN3318" i="5"/>
  <c r="AO3318" i="5"/>
  <c r="AP3318" i="5"/>
  <c r="AQ3318" i="5"/>
  <c r="AR3318" i="5"/>
  <c r="AS3318" i="5"/>
  <c r="AT3318" i="5"/>
  <c r="AK3319" i="5"/>
  <c r="AL3319" i="5"/>
  <c r="AM3319" i="5"/>
  <c r="AN3319" i="5"/>
  <c r="AO3319" i="5"/>
  <c r="AP3319" i="5"/>
  <c r="AQ3319" i="5"/>
  <c r="AR3319" i="5"/>
  <c r="AS3319" i="5"/>
  <c r="AT3319" i="5"/>
  <c r="AK3320" i="5"/>
  <c r="AL3320" i="5"/>
  <c r="AM3320" i="5"/>
  <c r="AN3320" i="5"/>
  <c r="AO3320" i="5"/>
  <c r="AP3320" i="5"/>
  <c r="AQ3320" i="5"/>
  <c r="AR3320" i="5"/>
  <c r="AS3320" i="5"/>
  <c r="AT3320" i="5"/>
  <c r="AK3321" i="5"/>
  <c r="AL3321" i="5"/>
  <c r="AM3321" i="5"/>
  <c r="AN3321" i="5"/>
  <c r="AO3321" i="5"/>
  <c r="AP3321" i="5"/>
  <c r="AQ3321" i="5"/>
  <c r="AR3321" i="5"/>
  <c r="AS3321" i="5"/>
  <c r="AT3321" i="5"/>
  <c r="AK3322" i="5"/>
  <c r="AL3322" i="5"/>
  <c r="AM3322" i="5"/>
  <c r="AN3322" i="5"/>
  <c r="AO3322" i="5"/>
  <c r="AP3322" i="5"/>
  <c r="AQ3322" i="5"/>
  <c r="AR3322" i="5"/>
  <c r="AS3322" i="5"/>
  <c r="AT3322" i="5"/>
  <c r="AK3323" i="5"/>
  <c r="AL3323" i="5"/>
  <c r="AM3323" i="5"/>
  <c r="AN3323" i="5"/>
  <c r="AO3323" i="5"/>
  <c r="AP3323" i="5"/>
  <c r="AQ3323" i="5"/>
  <c r="AR3323" i="5"/>
  <c r="AS3323" i="5"/>
  <c r="AT3323" i="5"/>
  <c r="AK3324" i="5"/>
  <c r="AL3324" i="5"/>
  <c r="AM3324" i="5"/>
  <c r="AN3324" i="5"/>
  <c r="AO3324" i="5"/>
  <c r="AP3324" i="5"/>
  <c r="AQ3324" i="5"/>
  <c r="AR3324" i="5"/>
  <c r="AS3324" i="5"/>
  <c r="AT3324" i="5"/>
  <c r="AK3325" i="5"/>
  <c r="AL3325" i="5"/>
  <c r="AM3325" i="5"/>
  <c r="AN3325" i="5"/>
  <c r="AO3325" i="5"/>
  <c r="AP3325" i="5"/>
  <c r="AQ3325" i="5"/>
  <c r="AR3325" i="5"/>
  <c r="AS3325" i="5"/>
  <c r="AT3325" i="5"/>
  <c r="AK3326" i="5"/>
  <c r="AL3326" i="5"/>
  <c r="AM3326" i="5"/>
  <c r="AN3326" i="5"/>
  <c r="AO3326" i="5"/>
  <c r="AP3326" i="5"/>
  <c r="AQ3326" i="5"/>
  <c r="AR3326" i="5"/>
  <c r="AS3326" i="5"/>
  <c r="AT3326" i="5"/>
  <c r="AK3327" i="5"/>
  <c r="AL3327" i="5"/>
  <c r="AM3327" i="5"/>
  <c r="AN3327" i="5"/>
  <c r="AO3327" i="5"/>
  <c r="AP3327" i="5"/>
  <c r="AQ3327" i="5"/>
  <c r="AR3327" i="5"/>
  <c r="AS3327" i="5"/>
  <c r="AT3327" i="5"/>
  <c r="AK3328" i="5"/>
  <c r="AL3328" i="5"/>
  <c r="AM3328" i="5"/>
  <c r="AN3328" i="5"/>
  <c r="AO3328" i="5"/>
  <c r="AP3328" i="5"/>
  <c r="AQ3328" i="5"/>
  <c r="AR3328" i="5"/>
  <c r="AS3328" i="5"/>
  <c r="AT3328" i="5"/>
  <c r="AK3329" i="5"/>
  <c r="AL3329" i="5"/>
  <c r="AM3329" i="5"/>
  <c r="AN3329" i="5"/>
  <c r="AO3329" i="5"/>
  <c r="AP3329" i="5"/>
  <c r="AQ3329" i="5"/>
  <c r="AR3329" i="5"/>
  <c r="AS3329" i="5"/>
  <c r="AT3329" i="5"/>
  <c r="AK3330" i="5"/>
  <c r="AL3330" i="5"/>
  <c r="AM3330" i="5"/>
  <c r="AN3330" i="5"/>
  <c r="AO3330" i="5"/>
  <c r="AP3330" i="5"/>
  <c r="AQ3330" i="5"/>
  <c r="AR3330" i="5"/>
  <c r="AS3330" i="5"/>
  <c r="AT3330" i="5"/>
  <c r="AK3331" i="5"/>
  <c r="AL3331" i="5"/>
  <c r="AM3331" i="5"/>
  <c r="AN3331" i="5"/>
  <c r="AO3331" i="5"/>
  <c r="AP3331" i="5"/>
  <c r="AQ3331" i="5"/>
  <c r="AR3331" i="5"/>
  <c r="AS3331" i="5"/>
  <c r="AT3331" i="5"/>
  <c r="AK3332" i="5"/>
  <c r="AL3332" i="5"/>
  <c r="AM3332" i="5"/>
  <c r="AN3332" i="5"/>
  <c r="AO3332" i="5"/>
  <c r="AP3332" i="5"/>
  <c r="AQ3332" i="5"/>
  <c r="AR3332" i="5"/>
  <c r="AS3332" i="5"/>
  <c r="AT3332" i="5"/>
  <c r="AK3333" i="5"/>
  <c r="AL3333" i="5"/>
  <c r="AM3333" i="5"/>
  <c r="AN3333" i="5"/>
  <c r="AO3333" i="5"/>
  <c r="AP3333" i="5"/>
  <c r="AQ3333" i="5"/>
  <c r="AR3333" i="5"/>
  <c r="AS3333" i="5"/>
  <c r="AT3333" i="5"/>
  <c r="AK3334" i="5"/>
  <c r="AL3334" i="5"/>
  <c r="AM3334" i="5"/>
  <c r="AN3334" i="5"/>
  <c r="AO3334" i="5"/>
  <c r="AP3334" i="5"/>
  <c r="AQ3334" i="5"/>
  <c r="AR3334" i="5"/>
  <c r="AS3334" i="5"/>
  <c r="AT3334" i="5"/>
  <c r="AX3334" i="5"/>
  <c r="AK3335" i="5"/>
  <c r="AL3335" i="5"/>
  <c r="AM3335" i="5"/>
  <c r="AN3335" i="5"/>
  <c r="AO3335" i="5"/>
  <c r="AP3335" i="5"/>
  <c r="AQ3335" i="5"/>
  <c r="AR3335" i="5"/>
  <c r="AS3335" i="5"/>
  <c r="AT3335" i="5"/>
  <c r="AK3336" i="5"/>
  <c r="AL3336" i="5"/>
  <c r="AM3336" i="5"/>
  <c r="AN3336" i="5"/>
  <c r="AO3336" i="5"/>
  <c r="AP3336" i="5"/>
  <c r="AQ3336" i="5"/>
  <c r="AR3336" i="5"/>
  <c r="AS3336" i="5"/>
  <c r="AT3336" i="5"/>
  <c r="AK3337" i="5"/>
  <c r="AL3337" i="5"/>
  <c r="AM3337" i="5"/>
  <c r="AN3337" i="5"/>
  <c r="AO3337" i="5"/>
  <c r="AP3337" i="5"/>
  <c r="AQ3337" i="5"/>
  <c r="AR3337" i="5"/>
  <c r="AS3337" i="5"/>
  <c r="AT3337" i="5"/>
  <c r="AK3338" i="5"/>
  <c r="AL3338" i="5"/>
  <c r="AM3338" i="5"/>
  <c r="AN3338" i="5"/>
  <c r="AO3338" i="5"/>
  <c r="AP3338" i="5"/>
  <c r="AQ3338" i="5"/>
  <c r="AR3338" i="5"/>
  <c r="AS3338" i="5"/>
  <c r="AT3338" i="5"/>
  <c r="AK3339" i="5"/>
  <c r="AL3339" i="5"/>
  <c r="AM3339" i="5"/>
  <c r="AN3339" i="5"/>
  <c r="AO3339" i="5"/>
  <c r="AP3339" i="5"/>
  <c r="AQ3339" i="5"/>
  <c r="AR3339" i="5"/>
  <c r="AS3339" i="5"/>
  <c r="AT3339" i="5"/>
  <c r="AK3340" i="5"/>
  <c r="AL3340" i="5"/>
  <c r="AM3340" i="5"/>
  <c r="AN3340" i="5"/>
  <c r="AO3340" i="5"/>
  <c r="AP3340" i="5"/>
  <c r="AQ3340" i="5"/>
  <c r="AR3340" i="5"/>
  <c r="AS3340" i="5"/>
  <c r="AT3340" i="5"/>
  <c r="AK3341" i="5"/>
  <c r="AL3341" i="5"/>
  <c r="AM3341" i="5"/>
  <c r="AN3341" i="5"/>
  <c r="AO3341" i="5"/>
  <c r="AP3341" i="5"/>
  <c r="AQ3341" i="5"/>
  <c r="AR3341" i="5"/>
  <c r="AS3341" i="5"/>
  <c r="AT3341" i="5"/>
  <c r="AK3342" i="5"/>
  <c r="AL3342" i="5"/>
  <c r="AM3342" i="5"/>
  <c r="AN3342" i="5"/>
  <c r="AO3342" i="5"/>
  <c r="AP3342" i="5"/>
  <c r="AQ3342" i="5"/>
  <c r="AR3342" i="5"/>
  <c r="AS3342" i="5"/>
  <c r="AT3342" i="5"/>
  <c r="AK3343" i="5"/>
  <c r="AL3343" i="5"/>
  <c r="AM3343" i="5"/>
  <c r="AN3343" i="5"/>
  <c r="AO3343" i="5"/>
  <c r="AP3343" i="5"/>
  <c r="AQ3343" i="5"/>
  <c r="AR3343" i="5"/>
  <c r="AS3343" i="5"/>
  <c r="AT3343" i="5"/>
  <c r="AK3344" i="5"/>
  <c r="AL3344" i="5"/>
  <c r="AM3344" i="5"/>
  <c r="AN3344" i="5"/>
  <c r="AO3344" i="5"/>
  <c r="AP3344" i="5"/>
  <c r="AQ3344" i="5"/>
  <c r="AR3344" i="5"/>
  <c r="AS3344" i="5"/>
  <c r="AT3344" i="5"/>
  <c r="AK3345" i="5"/>
  <c r="AL3345" i="5"/>
  <c r="AM3345" i="5"/>
  <c r="AN3345" i="5"/>
  <c r="AO3345" i="5"/>
  <c r="AP3345" i="5"/>
  <c r="AQ3345" i="5"/>
  <c r="AR3345" i="5"/>
  <c r="AS3345" i="5"/>
  <c r="AT3345" i="5"/>
  <c r="AK3346" i="5"/>
  <c r="AL3346" i="5"/>
  <c r="AM3346" i="5"/>
  <c r="AN3346" i="5"/>
  <c r="AO3346" i="5"/>
  <c r="AP3346" i="5"/>
  <c r="AQ3346" i="5"/>
  <c r="AR3346" i="5"/>
  <c r="AS3346" i="5"/>
  <c r="AT3346" i="5"/>
  <c r="AK3347" i="5"/>
  <c r="AL3347" i="5"/>
  <c r="AM3347" i="5"/>
  <c r="AN3347" i="5"/>
  <c r="AO3347" i="5"/>
  <c r="AP3347" i="5"/>
  <c r="AQ3347" i="5"/>
  <c r="AR3347" i="5"/>
  <c r="AS3347" i="5"/>
  <c r="AT3347" i="5"/>
  <c r="AK3348" i="5"/>
  <c r="AL3348" i="5"/>
  <c r="AM3348" i="5"/>
  <c r="AN3348" i="5"/>
  <c r="AO3348" i="5"/>
  <c r="AP3348" i="5"/>
  <c r="AQ3348" i="5"/>
  <c r="AR3348" i="5"/>
  <c r="AS3348" i="5"/>
  <c r="AT3348" i="5"/>
  <c r="AK3349" i="5"/>
  <c r="AL3349" i="5"/>
  <c r="AM3349" i="5"/>
  <c r="AN3349" i="5"/>
  <c r="AO3349" i="5"/>
  <c r="AP3349" i="5"/>
  <c r="AQ3349" i="5"/>
  <c r="AR3349" i="5"/>
  <c r="AS3349" i="5"/>
  <c r="AT3349" i="5"/>
  <c r="AK3350" i="5"/>
  <c r="AL3350" i="5"/>
  <c r="AM3350" i="5"/>
  <c r="AN3350" i="5"/>
  <c r="AO3350" i="5"/>
  <c r="AP3350" i="5"/>
  <c r="AQ3350" i="5"/>
  <c r="AR3350" i="5"/>
  <c r="AS3350" i="5"/>
  <c r="AT3350" i="5"/>
  <c r="AK3351" i="5"/>
  <c r="AL3351" i="5"/>
  <c r="AM3351" i="5"/>
  <c r="AN3351" i="5"/>
  <c r="AO3351" i="5"/>
  <c r="AP3351" i="5"/>
  <c r="AQ3351" i="5"/>
  <c r="AR3351" i="5"/>
  <c r="AS3351" i="5"/>
  <c r="AT3351" i="5"/>
  <c r="AK3352" i="5"/>
  <c r="AL3352" i="5"/>
  <c r="AM3352" i="5"/>
  <c r="AN3352" i="5"/>
  <c r="AO3352" i="5"/>
  <c r="AP3352" i="5"/>
  <c r="AQ3352" i="5"/>
  <c r="AR3352" i="5"/>
  <c r="AS3352" i="5"/>
  <c r="AT3352" i="5"/>
  <c r="AK3353" i="5"/>
  <c r="AL3353" i="5"/>
  <c r="AM3353" i="5"/>
  <c r="AN3353" i="5"/>
  <c r="AO3353" i="5"/>
  <c r="AP3353" i="5"/>
  <c r="AQ3353" i="5"/>
  <c r="AR3353" i="5"/>
  <c r="AS3353" i="5"/>
  <c r="AT3353" i="5"/>
  <c r="AK3354" i="5"/>
  <c r="AL3354" i="5"/>
  <c r="AM3354" i="5"/>
  <c r="AN3354" i="5"/>
  <c r="AO3354" i="5"/>
  <c r="AP3354" i="5"/>
  <c r="AQ3354" i="5"/>
  <c r="AR3354" i="5"/>
  <c r="AS3354" i="5"/>
  <c r="AT3354" i="5"/>
  <c r="AX3354" i="5"/>
  <c r="AK3626" i="5"/>
  <c r="AL3626" i="5"/>
  <c r="AM3626" i="5"/>
  <c r="AQ3626" i="5"/>
  <c r="AK3627" i="5"/>
  <c r="AL3627" i="5"/>
  <c r="AM3627" i="5"/>
  <c r="AK3628" i="5"/>
  <c r="AL3628" i="5"/>
  <c r="AM3628" i="5"/>
  <c r="AK3629" i="5"/>
  <c r="AL3629" i="5"/>
  <c r="AM3629" i="5"/>
  <c r="AK3630" i="5"/>
  <c r="AL3630" i="5"/>
  <c r="AM3630" i="5"/>
  <c r="AQ3630" i="5"/>
  <c r="AK3631" i="5"/>
  <c r="AL3631" i="5"/>
  <c r="AM3631" i="5"/>
  <c r="AK3632" i="5"/>
  <c r="AL3632" i="5"/>
  <c r="AM3632" i="5"/>
  <c r="AK3633" i="5"/>
  <c r="AL3633" i="5"/>
  <c r="AM3633" i="5"/>
  <c r="AK3634" i="5"/>
  <c r="AL3634" i="5"/>
  <c r="AM3634" i="5"/>
  <c r="AQ3634" i="5"/>
  <c r="AK3854" i="5"/>
  <c r="AL3854" i="5"/>
  <c r="AM3854" i="5"/>
  <c r="AQ3854" i="5"/>
  <c r="AK3855" i="5"/>
  <c r="AL3855" i="5"/>
  <c r="AM3855" i="5"/>
  <c r="AK3856" i="5"/>
  <c r="AL3856" i="5"/>
  <c r="AM3856" i="5"/>
  <c r="AK3857" i="5"/>
  <c r="AL3857" i="5"/>
  <c r="AM3857" i="5"/>
  <c r="AK3858" i="5"/>
  <c r="AL3858" i="5"/>
  <c r="AM3858" i="5"/>
  <c r="AQ3858" i="5"/>
  <c r="AK3859" i="5"/>
  <c r="AL3859" i="5"/>
  <c r="AM3859" i="5"/>
  <c r="AK3860" i="5"/>
  <c r="AL3860" i="5"/>
  <c r="AM3860" i="5"/>
  <c r="AK3861" i="5"/>
  <c r="AL3861" i="5"/>
  <c r="AM3861" i="5"/>
  <c r="AK3950" i="5"/>
  <c r="AL3950" i="5"/>
  <c r="AM3950" i="5"/>
  <c r="AQ3950" i="5"/>
  <c r="AK3951" i="5"/>
  <c r="AL3951" i="5"/>
  <c r="AM3951" i="5"/>
  <c r="AK3952" i="5"/>
  <c r="AL3952" i="5"/>
  <c r="AM3952" i="5"/>
  <c r="AK3953" i="5"/>
  <c r="AL3953" i="5"/>
  <c r="AM3953" i="5"/>
  <c r="AK3954" i="5"/>
  <c r="AL3954" i="5"/>
  <c r="AM3954" i="5"/>
  <c r="AQ3954" i="5"/>
  <c r="AK3955" i="5"/>
  <c r="AL3955" i="5"/>
  <c r="AM3955" i="5"/>
  <c r="AK3956" i="5"/>
  <c r="AL3956" i="5"/>
  <c r="AM3956" i="5"/>
  <c r="AK3957" i="5"/>
  <c r="AL3957" i="5"/>
  <c r="AM3957" i="5"/>
  <c r="M3621" i="5"/>
  <c r="T2170" i="5"/>
  <c r="M2415" i="5" s="1"/>
  <c r="F2415" i="5" s="1"/>
  <c r="M2507" i="5"/>
  <c r="F2507" i="5" s="1"/>
  <c r="S2170" i="5"/>
  <c r="M2232" i="5" s="1"/>
  <c r="F2232" i="5" s="1"/>
  <c r="R2170" i="5"/>
  <c r="S1741" i="5"/>
  <c r="M1964" i="5" s="1"/>
  <c r="F1964" i="5" s="1"/>
  <c r="R1741" i="5"/>
  <c r="M1802" i="5" s="1"/>
  <c r="F1802" i="5" s="1"/>
  <c r="S1310" i="5"/>
  <c r="M1561" i="5" s="1"/>
  <c r="F1561" i="5" s="1"/>
  <c r="R1310" i="5"/>
  <c r="M1476" i="5" s="1"/>
  <c r="F1476" i="5" s="1"/>
  <c r="M1223" i="5"/>
  <c r="F1223" i="5" s="1"/>
  <c r="S886" i="5"/>
  <c r="M1251" i="5" s="1"/>
  <c r="F1251" i="5" s="1"/>
  <c r="R886" i="5"/>
  <c r="M968" i="5" s="1"/>
  <c r="F968" i="5" s="1"/>
  <c r="M1255" i="5"/>
  <c r="F1255" i="5" s="1"/>
  <c r="M1254" i="5"/>
  <c r="F1254" i="5" s="1"/>
  <c r="T478" i="5"/>
  <c r="M667" i="5" s="1"/>
  <c r="F667" i="5" s="1"/>
  <c r="S478" i="5"/>
  <c r="M554" i="5" s="1"/>
  <c r="F554" i="5" s="1"/>
  <c r="R478" i="5"/>
  <c r="M497" i="5" s="1"/>
  <c r="F497" i="5" s="1"/>
  <c r="M587" i="5"/>
  <c r="F587" i="5" s="1"/>
  <c r="T285" i="5"/>
  <c r="M381" i="5" s="1"/>
  <c r="F381" i="5" s="1"/>
  <c r="S285" i="5"/>
  <c r="M368" i="5" s="1"/>
  <c r="F368" i="5" s="1"/>
  <c r="R285" i="5"/>
  <c r="M318" i="5"/>
  <c r="F318" i="5" s="1"/>
  <c r="N3247" i="5"/>
  <c r="M3247" i="5" s="1"/>
  <c r="F3247" i="5" s="1"/>
  <c r="L3247" i="5" s="1"/>
  <c r="C3248" i="5"/>
  <c r="C3249" i="5"/>
  <c r="C3250" i="5"/>
  <c r="C3251" i="5"/>
  <c r="C3252" i="5"/>
  <c r="C3253" i="5"/>
  <c r="C3254" i="5"/>
  <c r="C3255" i="5"/>
  <c r="C3256" i="5"/>
  <c r="C3257" i="5"/>
  <c r="C3258" i="5"/>
  <c r="C3259" i="5"/>
  <c r="C3260" i="5"/>
  <c r="C3261" i="5"/>
  <c r="C3262" i="5"/>
  <c r="C3263" i="5"/>
  <c r="C3264" i="5"/>
  <c r="C3265" i="5"/>
  <c r="C3266" i="5"/>
  <c r="C3267" i="5"/>
  <c r="C3268" i="5"/>
  <c r="C3269" i="5"/>
  <c r="C3270" i="5"/>
  <c r="C3271" i="5"/>
  <c r="C3272" i="5"/>
  <c r="C3273" i="5"/>
  <c r="C3274" i="5"/>
  <c r="C3275" i="5"/>
  <c r="C3247" i="5"/>
  <c r="N4379" i="5"/>
  <c r="M4738" i="5"/>
  <c r="F4738" i="5" s="1"/>
  <c r="F4752" i="5" s="1"/>
  <c r="M4737" i="5"/>
  <c r="F4737" i="5" s="1"/>
  <c r="F4745" i="5" s="1"/>
  <c r="W4746" i="5" s="1"/>
  <c r="M4736" i="5"/>
  <c r="F4736" i="5" s="1"/>
  <c r="F4742" i="5" s="1"/>
  <c r="W4743" i="5" s="1"/>
  <c r="M4735" i="5"/>
  <c r="F4735" i="5" s="1"/>
  <c r="M4528" i="5"/>
  <c r="F4528" i="5" s="1"/>
  <c r="M4527" i="5"/>
  <c r="F4527" i="5" s="1"/>
  <c r="M4390" i="5"/>
  <c r="F4391" i="5" s="1"/>
  <c r="L4390" i="5" s="1"/>
  <c r="M4389" i="5"/>
  <c r="F4390" i="5" s="1"/>
  <c r="L4389" i="5" s="1"/>
  <c r="M4388" i="5"/>
  <c r="F4389" i="5" s="1"/>
  <c r="L4388" i="5" s="1"/>
  <c r="C4391" i="5"/>
  <c r="C4390" i="5"/>
  <c r="C4389" i="5"/>
  <c r="R4387" i="5"/>
  <c r="M4274" i="5"/>
  <c r="F4274" i="5" s="1"/>
  <c r="L4274" i="5" s="1"/>
  <c r="C4275" i="5"/>
  <c r="C4274" i="5"/>
  <c r="C4273" i="5"/>
  <c r="T4272" i="5"/>
  <c r="M4037" i="5"/>
  <c r="L4037" i="5" s="1"/>
  <c r="M4036" i="5"/>
  <c r="L4036" i="5" s="1"/>
  <c r="M4035" i="5"/>
  <c r="L4035" i="5" s="1"/>
  <c r="C4037" i="5"/>
  <c r="C4036" i="5"/>
  <c r="C4035" i="5"/>
  <c r="R4183" i="5"/>
  <c r="M3354" i="5"/>
  <c r="F3354" i="5" s="1"/>
  <c r="L3354" i="5" s="1"/>
  <c r="M3314" i="5"/>
  <c r="F3314" i="5" s="1"/>
  <c r="L3314" i="5" s="1"/>
  <c r="M3298" i="5"/>
  <c r="F3298" i="5" s="1"/>
  <c r="L3298" i="5" s="1"/>
  <c r="M3282" i="5"/>
  <c r="F3282" i="5" s="1"/>
  <c r="L3282" i="5" s="1"/>
  <c r="M3630" i="5"/>
  <c r="F3630" i="5" s="1"/>
  <c r="L3630" i="5" s="1"/>
  <c r="M3626" i="5"/>
  <c r="F3626" i="5" s="1"/>
  <c r="L3626" i="5" s="1"/>
  <c r="M3858" i="5"/>
  <c r="F3858" i="5" s="1"/>
  <c r="L3858" i="5" s="1"/>
  <c r="M3854" i="5"/>
  <c r="F3854" i="5" s="1"/>
  <c r="L3854" i="5" s="1"/>
  <c r="M3954" i="5"/>
  <c r="F3954" i="5" s="1"/>
  <c r="L3954" i="5" s="1"/>
  <c r="M3950" i="5"/>
  <c r="F3950" i="5" s="1"/>
  <c r="L3950" i="5" s="1"/>
  <c r="N3955" i="5"/>
  <c r="D3954" i="5"/>
  <c r="N3951" i="5"/>
  <c r="D3950" i="5"/>
  <c r="N3859" i="5"/>
  <c r="N3860" i="5" s="1"/>
  <c r="N3869" i="5" s="1"/>
  <c r="N3878" i="5" s="1"/>
  <c r="D3858" i="5"/>
  <c r="N3855" i="5"/>
  <c r="D3854" i="5"/>
  <c r="D3634" i="5"/>
  <c r="D3630" i="5"/>
  <c r="D3626" i="5"/>
  <c r="N3627" i="5"/>
  <c r="V3625" i="5"/>
  <c r="D3354" i="5"/>
  <c r="C3354" i="5"/>
  <c r="C3353" i="5"/>
  <c r="C3352" i="5"/>
  <c r="C3351" i="5"/>
  <c r="C3350" i="5"/>
  <c r="C3349" i="5"/>
  <c r="C3348" i="5"/>
  <c r="C3347" i="5"/>
  <c r="C3346" i="5"/>
  <c r="C3345" i="5"/>
  <c r="C3344" i="5"/>
  <c r="C3343" i="5"/>
  <c r="C3342" i="5"/>
  <c r="C3341" i="5"/>
  <c r="C3340" i="5"/>
  <c r="C3339" i="5"/>
  <c r="C3338" i="5"/>
  <c r="C3337" i="5"/>
  <c r="C3336" i="5"/>
  <c r="C3335" i="5"/>
  <c r="D3334" i="5"/>
  <c r="C3334" i="5"/>
  <c r="C3333" i="5"/>
  <c r="C3332" i="5"/>
  <c r="C3331" i="5"/>
  <c r="C3330" i="5"/>
  <c r="C3329" i="5"/>
  <c r="C3328" i="5"/>
  <c r="C3327" i="5"/>
  <c r="C3326" i="5"/>
  <c r="C3325" i="5"/>
  <c r="C3324" i="5"/>
  <c r="C3323" i="5"/>
  <c r="C3322" i="5"/>
  <c r="C3321" i="5"/>
  <c r="C3320" i="5"/>
  <c r="C3319" i="5"/>
  <c r="C3318" i="5"/>
  <c r="C3317" i="5"/>
  <c r="C3316" i="5"/>
  <c r="C3315" i="5"/>
  <c r="D3314" i="5"/>
  <c r="C3314" i="5"/>
  <c r="C3313" i="5"/>
  <c r="C3312" i="5"/>
  <c r="C3311" i="5"/>
  <c r="C3310" i="5"/>
  <c r="C3309" i="5"/>
  <c r="C3308" i="5"/>
  <c r="C3307" i="5"/>
  <c r="C3306" i="5"/>
  <c r="C3305" i="5"/>
  <c r="C3304" i="5"/>
  <c r="C3303" i="5"/>
  <c r="C3302" i="5"/>
  <c r="C3301" i="5"/>
  <c r="C3300" i="5"/>
  <c r="C3299" i="5"/>
  <c r="D3298" i="5"/>
  <c r="C3298" i="5"/>
  <c r="C3297" i="5"/>
  <c r="C3296" i="5"/>
  <c r="C3295" i="5"/>
  <c r="C3294" i="5"/>
  <c r="C3293" i="5"/>
  <c r="C3292" i="5"/>
  <c r="C3291" i="5"/>
  <c r="C3290" i="5"/>
  <c r="C3289" i="5"/>
  <c r="D3282" i="5"/>
  <c r="C3288" i="5"/>
  <c r="C3287" i="5"/>
  <c r="C3286" i="5"/>
  <c r="C3285" i="5"/>
  <c r="C3284" i="5"/>
  <c r="C3283" i="5"/>
  <c r="C3282" i="5"/>
  <c r="N3283" i="5"/>
  <c r="M3283" i="5" s="1"/>
  <c r="F3283" i="5" s="1"/>
  <c r="L3283" i="5" s="1"/>
  <c r="M3277" i="5"/>
  <c r="Y3281" i="5"/>
  <c r="M3240" i="5"/>
  <c r="AF3275" i="5"/>
  <c r="AE3275" i="5"/>
  <c r="AF3274" i="5"/>
  <c r="AE3274" i="5"/>
  <c r="AF3273" i="5"/>
  <c r="AE3273" i="5"/>
  <c r="AF3272" i="5"/>
  <c r="AE3272" i="5"/>
  <c r="AF3271" i="5"/>
  <c r="AE3271" i="5"/>
  <c r="AF3270" i="5"/>
  <c r="AE3270" i="5"/>
  <c r="AF3269" i="5"/>
  <c r="AE3269" i="5"/>
  <c r="AF3268" i="5"/>
  <c r="AE3268" i="5"/>
  <c r="AF3267" i="5"/>
  <c r="AE3267" i="5"/>
  <c r="AF3266" i="5"/>
  <c r="AE3266" i="5"/>
  <c r="AF3265" i="5"/>
  <c r="AE3265" i="5"/>
  <c r="AF3264" i="5"/>
  <c r="AE3264" i="5"/>
  <c r="AF3263" i="5"/>
  <c r="AE3263" i="5"/>
  <c r="AF3262" i="5"/>
  <c r="AE3262" i="5"/>
  <c r="AF3261" i="5"/>
  <c r="AE3261" i="5"/>
  <c r="AF3260" i="5"/>
  <c r="AE3260" i="5"/>
  <c r="AF3259" i="5"/>
  <c r="AE3259" i="5"/>
  <c r="AF3258" i="5"/>
  <c r="AE3258" i="5"/>
  <c r="AF3257" i="5"/>
  <c r="AE3257" i="5"/>
  <c r="AF3256" i="5"/>
  <c r="AE3256" i="5"/>
  <c r="AF3255" i="5"/>
  <c r="AE3255" i="5"/>
  <c r="AF3254" i="5"/>
  <c r="AE3254" i="5"/>
  <c r="AF3253" i="5"/>
  <c r="AE3253" i="5"/>
  <c r="AF3252" i="5"/>
  <c r="AE3252" i="5"/>
  <c r="AF3251" i="5"/>
  <c r="AE3251" i="5"/>
  <c r="AF3250" i="5"/>
  <c r="AE3250" i="5"/>
  <c r="AF3249" i="5"/>
  <c r="AE3249" i="5"/>
  <c r="AF3248" i="5"/>
  <c r="AE3248" i="5"/>
  <c r="AF3247" i="5"/>
  <c r="AE3247" i="5"/>
  <c r="N3275" i="5"/>
  <c r="N3274" i="5"/>
  <c r="N3273" i="5"/>
  <c r="N3272" i="5"/>
  <c r="N3271" i="5"/>
  <c r="N3270" i="5"/>
  <c r="N3269" i="5"/>
  <c r="N3268" i="5"/>
  <c r="N3267" i="5"/>
  <c r="N3266" i="5"/>
  <c r="N3265" i="5"/>
  <c r="N3264" i="5"/>
  <c r="N3263" i="5"/>
  <c r="M3263" i="5" s="1"/>
  <c r="F3263" i="5" s="1"/>
  <c r="L3263" i="5" s="1"/>
  <c r="N3262" i="5"/>
  <c r="N3261" i="5"/>
  <c r="N3260" i="5"/>
  <c r="N3259" i="5"/>
  <c r="N3258" i="5"/>
  <c r="N3257" i="5"/>
  <c r="N3256" i="5"/>
  <c r="N3255" i="5"/>
  <c r="M3255" i="5" s="1"/>
  <c r="F3255" i="5" s="1"/>
  <c r="L3255" i="5" s="1"/>
  <c r="N3254" i="5"/>
  <c r="N3253" i="5"/>
  <c r="N3252" i="5"/>
  <c r="N3251" i="5"/>
  <c r="N3250" i="5"/>
  <c r="N3249" i="5"/>
  <c r="N3248" i="5"/>
  <c r="AD3246" i="5"/>
  <c r="AC3246" i="5"/>
  <c r="AB3246" i="5"/>
  <c r="V3246" i="5"/>
  <c r="U3246" i="5"/>
  <c r="T3246" i="5"/>
  <c r="S3246" i="5"/>
  <c r="R3246" i="5"/>
  <c r="O3246" i="5"/>
  <c r="AD3021" i="5"/>
  <c r="AC3021" i="5"/>
  <c r="N3074" i="5"/>
  <c r="S3021" i="5"/>
  <c r="AB3021" i="5"/>
  <c r="V3021" i="5"/>
  <c r="W3021" i="5" s="1"/>
  <c r="Z3021" i="5" s="1"/>
  <c r="U3021" i="5"/>
  <c r="T3021" i="5"/>
  <c r="R3021" i="5"/>
  <c r="O3021" i="5"/>
  <c r="AD2798" i="5"/>
  <c r="N2881" i="5"/>
  <c r="R2798" i="5"/>
  <c r="V2798" i="5"/>
  <c r="X2798" i="5" s="1"/>
  <c r="AC2798" i="5"/>
  <c r="AB2798" i="5"/>
  <c r="U2798" i="5"/>
  <c r="T2798" i="5"/>
  <c r="S2798" i="5"/>
  <c r="O2798" i="5"/>
  <c r="M3015" i="5" s="1"/>
  <c r="L3015" i="5" s="1"/>
  <c r="N3008" i="5"/>
  <c r="AZ2553" i="5"/>
  <c r="AY2553" i="5"/>
  <c r="AZ2548" i="5"/>
  <c r="AY2548" i="5"/>
  <c r="AZ2542" i="5"/>
  <c r="AY2542" i="5"/>
  <c r="AZ2536" i="5"/>
  <c r="AY2536" i="5"/>
  <c r="AZ2530" i="5"/>
  <c r="AY2530" i="5"/>
  <c r="AZ2524" i="5"/>
  <c r="AY2524" i="5"/>
  <c r="AZ2518" i="5"/>
  <c r="AY2518" i="5"/>
  <c r="AZ2512" i="5"/>
  <c r="AY2512" i="5"/>
  <c r="AZ2506" i="5"/>
  <c r="AY2506" i="5"/>
  <c r="AZ2499" i="5"/>
  <c r="AY2499" i="5"/>
  <c r="AZ2492" i="5"/>
  <c r="AY2492" i="5"/>
  <c r="AZ2485" i="5"/>
  <c r="AY2485" i="5"/>
  <c r="AZ2478" i="5"/>
  <c r="AY2478" i="5"/>
  <c r="AZ2471" i="5"/>
  <c r="AY2471" i="5"/>
  <c r="AZ2464" i="5"/>
  <c r="AY2464" i="5"/>
  <c r="AZ2457" i="5"/>
  <c r="AY2457" i="5"/>
  <c r="AZ2450" i="5"/>
  <c r="AY2450" i="5"/>
  <c r="AZ2443" i="5"/>
  <c r="AY2443" i="5"/>
  <c r="AZ2436" i="5"/>
  <c r="AY2436" i="5"/>
  <c r="AZ2429" i="5"/>
  <c r="AY2429" i="5"/>
  <c r="AZ2422" i="5"/>
  <c r="AY2422" i="5"/>
  <c r="AZ2415" i="5"/>
  <c r="AY2415" i="5"/>
  <c r="AZ2408" i="5"/>
  <c r="AY2408" i="5"/>
  <c r="AZ2401" i="5"/>
  <c r="AY2401" i="5"/>
  <c r="AZ2394" i="5"/>
  <c r="AY2394" i="5"/>
  <c r="AZ2387" i="5"/>
  <c r="AY2387" i="5"/>
  <c r="AZ2380" i="5"/>
  <c r="AY2380" i="5"/>
  <c r="AZ2373" i="5"/>
  <c r="AY2373" i="5"/>
  <c r="AZ2366" i="5"/>
  <c r="AY2366" i="5"/>
  <c r="AZ2359" i="5"/>
  <c r="AY2359" i="5"/>
  <c r="AZ2352" i="5"/>
  <c r="AY2352" i="5"/>
  <c r="AZ2345" i="5"/>
  <c r="AY2345" i="5"/>
  <c r="AZ2338" i="5"/>
  <c r="AY2338" i="5"/>
  <c r="AZ2331" i="5"/>
  <c r="AY2331" i="5"/>
  <c r="AZ2324" i="5"/>
  <c r="AY2324" i="5"/>
  <c r="AZ2317" i="5"/>
  <c r="AY2317" i="5"/>
  <c r="AZ2310" i="5"/>
  <c r="AY2310" i="5"/>
  <c r="AZ2303" i="5"/>
  <c r="AY2303" i="5"/>
  <c r="AZ2296" i="5"/>
  <c r="AY2296" i="5"/>
  <c r="AZ2289" i="5"/>
  <c r="AY2289" i="5"/>
  <c r="AZ2282" i="5"/>
  <c r="AY2282" i="5"/>
  <c r="AZ2275" i="5"/>
  <c r="AY2275" i="5"/>
  <c r="AZ2268" i="5"/>
  <c r="AY2268" i="5"/>
  <c r="AZ2261" i="5"/>
  <c r="AY2261" i="5"/>
  <c r="AZ2254" i="5"/>
  <c r="AY2254" i="5"/>
  <c r="AZ2247" i="5"/>
  <c r="AY2247" i="5"/>
  <c r="AZ2240" i="5"/>
  <c r="AY2240" i="5"/>
  <c r="AZ2233" i="5"/>
  <c r="AY2233" i="5"/>
  <c r="AZ2226" i="5"/>
  <c r="AY2226" i="5"/>
  <c r="AZ2219" i="5"/>
  <c r="AY2219" i="5"/>
  <c r="AZ2212" i="5"/>
  <c r="AY2212" i="5"/>
  <c r="AZ2205" i="5"/>
  <c r="AY2205" i="5"/>
  <c r="AZ2198" i="5"/>
  <c r="AY2198" i="5"/>
  <c r="AZ2191" i="5"/>
  <c r="AY2191" i="5"/>
  <c r="AZ2184" i="5"/>
  <c r="AY2184" i="5"/>
  <c r="AZ2177" i="5"/>
  <c r="AY2177" i="5"/>
  <c r="AZ2124" i="5"/>
  <c r="AY2124" i="5"/>
  <c r="AZ2119" i="5"/>
  <c r="AY2119" i="5"/>
  <c r="AZ2113" i="5"/>
  <c r="AY2113" i="5"/>
  <c r="AZ2107" i="5"/>
  <c r="AY2107" i="5"/>
  <c r="AZ2101" i="5"/>
  <c r="AY2101" i="5"/>
  <c r="AZ2095" i="5"/>
  <c r="AY2095" i="5"/>
  <c r="AZ2083" i="5"/>
  <c r="AY2083" i="5"/>
  <c r="AZ2077" i="5"/>
  <c r="AY2077" i="5"/>
  <c r="AZ2070" i="5"/>
  <c r="AY2070" i="5"/>
  <c r="AZ2063" i="5"/>
  <c r="AY2063" i="5"/>
  <c r="AZ2056" i="5"/>
  <c r="AY2056" i="5"/>
  <c r="AZ2049" i="5"/>
  <c r="AY2049" i="5"/>
  <c r="AZ2042" i="5"/>
  <c r="AY2042" i="5"/>
  <c r="AZ2035" i="5"/>
  <c r="AY2035" i="5"/>
  <c r="AZ2028" i="5"/>
  <c r="AY2028" i="5"/>
  <c r="AZ2021" i="5"/>
  <c r="AY2021" i="5"/>
  <c r="AZ2014" i="5"/>
  <c r="AY2014" i="5"/>
  <c r="AZ2007" i="5"/>
  <c r="AY2007" i="5"/>
  <c r="AZ2000" i="5"/>
  <c r="AY2000" i="5"/>
  <c r="AZ1993" i="5"/>
  <c r="AY1993" i="5"/>
  <c r="AZ1986" i="5"/>
  <c r="AY1986" i="5"/>
  <c r="AZ1979" i="5"/>
  <c r="AY1979" i="5"/>
  <c r="AZ1972" i="5"/>
  <c r="AY1972" i="5"/>
  <c r="AZ1965" i="5"/>
  <c r="AY1965" i="5"/>
  <c r="AZ1958" i="5"/>
  <c r="AY1958" i="5"/>
  <c r="AZ1951" i="5"/>
  <c r="AY1951" i="5"/>
  <c r="AZ1944" i="5"/>
  <c r="AY1944" i="5"/>
  <c r="AZ1937" i="5"/>
  <c r="AY1937" i="5"/>
  <c r="AZ1930" i="5"/>
  <c r="AY1930" i="5"/>
  <c r="AZ1923" i="5"/>
  <c r="AY1923" i="5"/>
  <c r="AZ1916" i="5"/>
  <c r="AY1916" i="5"/>
  <c r="AZ1909" i="5"/>
  <c r="AY1909" i="5"/>
  <c r="AZ1902" i="5"/>
  <c r="AY1902" i="5"/>
  <c r="AZ1895" i="5"/>
  <c r="AY1895" i="5"/>
  <c r="AZ1888" i="5"/>
  <c r="AY1888" i="5"/>
  <c r="AZ1881" i="5"/>
  <c r="AY1881" i="5"/>
  <c r="AZ1874" i="5"/>
  <c r="AY1874" i="5"/>
  <c r="AZ1867" i="5"/>
  <c r="AY1867" i="5"/>
  <c r="AZ1860" i="5"/>
  <c r="AY1860" i="5"/>
  <c r="AZ1853" i="5"/>
  <c r="AY1853" i="5"/>
  <c r="AZ1846" i="5"/>
  <c r="AY1846" i="5"/>
  <c r="AZ1839" i="5"/>
  <c r="AY1839" i="5"/>
  <c r="AZ1832" i="5"/>
  <c r="AY1832" i="5"/>
  <c r="AZ1825" i="5"/>
  <c r="AY1825" i="5"/>
  <c r="AZ1818" i="5"/>
  <c r="AY1818" i="5"/>
  <c r="AZ1811" i="5"/>
  <c r="AY1811" i="5"/>
  <c r="AZ1804" i="5"/>
  <c r="AY1804" i="5"/>
  <c r="AZ1797" i="5"/>
  <c r="AY1797" i="5"/>
  <c r="AZ1790" i="5"/>
  <c r="AY1790" i="5"/>
  <c r="AZ1783" i="5"/>
  <c r="AY1783" i="5"/>
  <c r="AZ1776" i="5"/>
  <c r="AY1776" i="5"/>
  <c r="AZ1769" i="5"/>
  <c r="AY1769" i="5"/>
  <c r="AZ1762" i="5"/>
  <c r="AY1762" i="5"/>
  <c r="AZ1755" i="5"/>
  <c r="AY1755" i="5"/>
  <c r="AZ1748" i="5"/>
  <c r="AY1748" i="5"/>
  <c r="AZ1693" i="5"/>
  <c r="AY1693" i="5"/>
  <c r="AZ1688" i="5"/>
  <c r="AY1688" i="5"/>
  <c r="AZ1682" i="5"/>
  <c r="AY1682" i="5"/>
  <c r="AZ1676" i="5"/>
  <c r="AY1676" i="5"/>
  <c r="AZ1670" i="5"/>
  <c r="AY1670" i="5"/>
  <c r="AZ1664" i="5"/>
  <c r="AY1664" i="5"/>
  <c r="AZ1658" i="5"/>
  <c r="AY1658" i="5"/>
  <c r="AZ1652" i="5"/>
  <c r="AY1652" i="5"/>
  <c r="AZ1646" i="5"/>
  <c r="AY1646" i="5"/>
  <c r="AZ1639" i="5"/>
  <c r="AY1639" i="5"/>
  <c r="AZ1632" i="5"/>
  <c r="AY1632" i="5"/>
  <c r="AZ1625" i="5"/>
  <c r="AY1625" i="5"/>
  <c r="AZ1618" i="5"/>
  <c r="AY1618" i="5"/>
  <c r="AZ1611" i="5"/>
  <c r="AY1611" i="5"/>
  <c r="AZ1604" i="5"/>
  <c r="AY1604" i="5"/>
  <c r="AZ1597" i="5"/>
  <c r="AY1597" i="5"/>
  <c r="AZ1590" i="5"/>
  <c r="AY1590" i="5"/>
  <c r="AZ1583" i="5"/>
  <c r="AY1583" i="5"/>
  <c r="AZ1576" i="5"/>
  <c r="AY1576" i="5"/>
  <c r="AZ1569" i="5"/>
  <c r="AY1569" i="5"/>
  <c r="AZ1562" i="5"/>
  <c r="AY1562" i="5"/>
  <c r="AZ1555" i="5"/>
  <c r="AY1555" i="5"/>
  <c r="AZ1548" i="5"/>
  <c r="AY1548" i="5"/>
  <c r="AZ1541" i="5"/>
  <c r="AY1541" i="5"/>
  <c r="AZ1534" i="5"/>
  <c r="AY1534" i="5"/>
  <c r="AZ1527" i="5"/>
  <c r="AY1527" i="5"/>
  <c r="AZ1520" i="5"/>
  <c r="AY1520" i="5"/>
  <c r="AZ1513" i="5"/>
  <c r="AY1513" i="5"/>
  <c r="AZ1506" i="5"/>
  <c r="AY1506" i="5"/>
  <c r="AZ1499" i="5"/>
  <c r="AY1499" i="5"/>
  <c r="AZ1492" i="5"/>
  <c r="AY1492" i="5"/>
  <c r="AZ1485" i="5"/>
  <c r="AY1485" i="5"/>
  <c r="AZ1478" i="5"/>
  <c r="AY1478" i="5"/>
  <c r="AZ1471" i="5"/>
  <c r="AY1471" i="5"/>
  <c r="AZ1464" i="5"/>
  <c r="AY1464" i="5"/>
  <c r="AZ1457" i="5"/>
  <c r="AY1457" i="5"/>
  <c r="AZ1450" i="5"/>
  <c r="AY1450" i="5"/>
  <c r="AZ1443" i="5"/>
  <c r="AY1443" i="5"/>
  <c r="AZ1436" i="5"/>
  <c r="AY1436" i="5"/>
  <c r="AZ1429" i="5"/>
  <c r="AY1429" i="5"/>
  <c r="AZ1422" i="5"/>
  <c r="AY1422" i="5"/>
  <c r="AZ1415" i="5"/>
  <c r="AY1415" i="5"/>
  <c r="AZ1408" i="5"/>
  <c r="AY1408" i="5"/>
  <c r="AZ1401" i="5"/>
  <c r="AY1401" i="5"/>
  <c r="AZ1394" i="5"/>
  <c r="AY1394" i="5"/>
  <c r="AZ1387" i="5"/>
  <c r="AY1387" i="5"/>
  <c r="AZ1380" i="5"/>
  <c r="AY1380" i="5"/>
  <c r="AZ1373" i="5"/>
  <c r="AY1373" i="5"/>
  <c r="AZ1366" i="5"/>
  <c r="AY1366" i="5"/>
  <c r="AZ1359" i="5"/>
  <c r="AY1359" i="5"/>
  <c r="AZ1352" i="5"/>
  <c r="AY1352" i="5"/>
  <c r="AZ1345" i="5"/>
  <c r="AY1345" i="5"/>
  <c r="AZ1338" i="5"/>
  <c r="AY1338" i="5"/>
  <c r="AZ1331" i="5"/>
  <c r="AY1331" i="5"/>
  <c r="AZ1324" i="5"/>
  <c r="AY1324" i="5"/>
  <c r="AZ1317" i="5"/>
  <c r="AY1317" i="5"/>
  <c r="AZ1264" i="5"/>
  <c r="AY1264" i="5"/>
  <c r="AZ1258" i="5"/>
  <c r="AY1258" i="5"/>
  <c r="AZ1252" i="5"/>
  <c r="AY1252" i="5"/>
  <c r="AZ1246" i="5"/>
  <c r="AY1246" i="5"/>
  <c r="AZ1240" i="5"/>
  <c r="AY1240" i="5"/>
  <c r="AZ1234" i="5"/>
  <c r="AY1234" i="5"/>
  <c r="AZ1228" i="5"/>
  <c r="AY1228" i="5"/>
  <c r="AZ1222" i="5"/>
  <c r="AY1222" i="5"/>
  <c r="AZ1215" i="5"/>
  <c r="AY1215" i="5"/>
  <c r="AZ1208" i="5"/>
  <c r="AY1208" i="5"/>
  <c r="AZ1201" i="5"/>
  <c r="AY1201" i="5"/>
  <c r="AZ1194" i="5"/>
  <c r="AY1194" i="5"/>
  <c r="AZ1187" i="5"/>
  <c r="AY1187" i="5"/>
  <c r="AZ1180" i="5"/>
  <c r="AY1180" i="5"/>
  <c r="AZ1173" i="5"/>
  <c r="AY1173" i="5"/>
  <c r="AZ1166" i="5"/>
  <c r="AY1166" i="5"/>
  <c r="AZ1159" i="5"/>
  <c r="AY1159" i="5"/>
  <c r="AZ1152" i="5"/>
  <c r="AY1152" i="5"/>
  <c r="AZ1145" i="5"/>
  <c r="AY1145" i="5"/>
  <c r="AZ1138" i="5"/>
  <c r="AY1138" i="5"/>
  <c r="AZ1131" i="5"/>
  <c r="AY1131" i="5"/>
  <c r="AZ1124" i="5"/>
  <c r="AY1124" i="5"/>
  <c r="AZ1117" i="5"/>
  <c r="AY1117" i="5"/>
  <c r="AZ1110" i="5"/>
  <c r="AY1110" i="5"/>
  <c r="AZ1103" i="5"/>
  <c r="AY1103" i="5"/>
  <c r="AZ1096" i="5"/>
  <c r="AY1096" i="5"/>
  <c r="AZ1089" i="5"/>
  <c r="AY1089" i="5"/>
  <c r="AZ1082" i="5"/>
  <c r="AY1082" i="5"/>
  <c r="AZ1075" i="5"/>
  <c r="AY1075" i="5"/>
  <c r="AZ1068" i="5"/>
  <c r="AY1068" i="5"/>
  <c r="AZ1061" i="5"/>
  <c r="AY1061" i="5"/>
  <c r="AZ1054" i="5"/>
  <c r="AY1054" i="5"/>
  <c r="AZ1047" i="5"/>
  <c r="AY1047" i="5"/>
  <c r="AZ1040" i="5"/>
  <c r="AY1040" i="5"/>
  <c r="AZ1033" i="5"/>
  <c r="AY1033" i="5"/>
  <c r="AZ1026" i="5"/>
  <c r="AY1026" i="5"/>
  <c r="AZ1019" i="5"/>
  <c r="AY1019" i="5"/>
  <c r="AZ1012" i="5"/>
  <c r="AY1012" i="5"/>
  <c r="AZ1005" i="5"/>
  <c r="AY1005" i="5"/>
  <c r="AZ998" i="5"/>
  <c r="AY998" i="5"/>
  <c r="AZ991" i="5"/>
  <c r="AY991" i="5"/>
  <c r="AZ984" i="5"/>
  <c r="AY984" i="5"/>
  <c r="AZ977" i="5"/>
  <c r="AY977" i="5"/>
  <c r="AZ970" i="5"/>
  <c r="AY970" i="5"/>
  <c r="AZ963" i="5"/>
  <c r="AY963" i="5"/>
  <c r="AZ956" i="5"/>
  <c r="AY956" i="5"/>
  <c r="AZ949" i="5"/>
  <c r="AY949" i="5"/>
  <c r="AZ942" i="5"/>
  <c r="AY942" i="5"/>
  <c r="AZ935" i="5"/>
  <c r="AY935" i="5"/>
  <c r="AZ928" i="5"/>
  <c r="AY928" i="5"/>
  <c r="AZ921" i="5"/>
  <c r="AY921" i="5"/>
  <c r="AZ914" i="5"/>
  <c r="AY914" i="5"/>
  <c r="AZ907" i="5"/>
  <c r="AY907" i="5"/>
  <c r="AZ900" i="5"/>
  <c r="AY900" i="5"/>
  <c r="AZ893" i="5"/>
  <c r="AY893" i="5"/>
  <c r="AZ861" i="5"/>
  <c r="AY861" i="5"/>
  <c r="AZ856" i="5"/>
  <c r="AY856" i="5"/>
  <c r="AZ850" i="5"/>
  <c r="AY850" i="5"/>
  <c r="AZ844" i="5"/>
  <c r="AY844" i="5"/>
  <c r="AZ838" i="5"/>
  <c r="AY838" i="5"/>
  <c r="AZ832" i="5"/>
  <c r="AY832" i="5"/>
  <c r="AZ826" i="5"/>
  <c r="AY826" i="5"/>
  <c r="AZ820" i="5"/>
  <c r="AY820" i="5"/>
  <c r="AZ814" i="5"/>
  <c r="AY814" i="5"/>
  <c r="AZ807" i="5"/>
  <c r="AY807" i="5"/>
  <c r="AZ800" i="5"/>
  <c r="AY800" i="5"/>
  <c r="AZ793" i="5"/>
  <c r="AY793" i="5"/>
  <c r="AZ786" i="5"/>
  <c r="AY786" i="5"/>
  <c r="AZ779" i="5"/>
  <c r="AY779" i="5"/>
  <c r="AZ772" i="5"/>
  <c r="AY772" i="5"/>
  <c r="AZ765" i="5"/>
  <c r="AY765" i="5"/>
  <c r="AZ758" i="5"/>
  <c r="AY758" i="5"/>
  <c r="AZ751" i="5"/>
  <c r="AY751" i="5"/>
  <c r="AZ744" i="5"/>
  <c r="AY744" i="5"/>
  <c r="AZ737" i="5"/>
  <c r="AY737" i="5"/>
  <c r="AZ730" i="5"/>
  <c r="AY730" i="5"/>
  <c r="AZ723" i="5"/>
  <c r="AY723" i="5"/>
  <c r="AZ716" i="5"/>
  <c r="AY716" i="5"/>
  <c r="AZ709" i="5"/>
  <c r="AY709" i="5"/>
  <c r="AZ702" i="5"/>
  <c r="AY702" i="5"/>
  <c r="AZ695" i="5"/>
  <c r="AY695" i="5"/>
  <c r="AZ688" i="5"/>
  <c r="AY688" i="5"/>
  <c r="AZ681" i="5"/>
  <c r="AY681" i="5"/>
  <c r="AZ674" i="5"/>
  <c r="AY674" i="5"/>
  <c r="AZ667" i="5"/>
  <c r="AY667" i="5"/>
  <c r="AZ660" i="5"/>
  <c r="AY660" i="5"/>
  <c r="AZ653" i="5"/>
  <c r="AY653" i="5"/>
  <c r="AZ646" i="5"/>
  <c r="AY646" i="5"/>
  <c r="AZ639" i="5"/>
  <c r="AY639" i="5"/>
  <c r="AZ632" i="5"/>
  <c r="AY632" i="5"/>
  <c r="AZ625" i="5"/>
  <c r="AY625" i="5"/>
  <c r="AZ618" i="5"/>
  <c r="AY618" i="5"/>
  <c r="AZ611" i="5"/>
  <c r="AY611" i="5"/>
  <c r="AZ604" i="5"/>
  <c r="AY604" i="5"/>
  <c r="AZ597" i="5"/>
  <c r="AY597" i="5"/>
  <c r="AZ590" i="5"/>
  <c r="AY590" i="5"/>
  <c r="AZ583" i="5"/>
  <c r="AY583" i="5"/>
  <c r="AZ576" i="5"/>
  <c r="AY576" i="5"/>
  <c r="AZ569" i="5"/>
  <c r="AY569" i="5"/>
  <c r="AZ562" i="5"/>
  <c r="AY562" i="5"/>
  <c r="AZ555" i="5"/>
  <c r="AY555" i="5"/>
  <c r="AZ548" i="5"/>
  <c r="AY548" i="5"/>
  <c r="AZ541" i="5"/>
  <c r="AY541" i="5"/>
  <c r="AZ534" i="5"/>
  <c r="AY534" i="5"/>
  <c r="AZ527" i="5"/>
  <c r="AY527" i="5"/>
  <c r="AZ520" i="5"/>
  <c r="AY520" i="5"/>
  <c r="AZ513" i="5"/>
  <c r="AY513" i="5"/>
  <c r="AZ506" i="5"/>
  <c r="AY506" i="5"/>
  <c r="AZ499" i="5"/>
  <c r="AY499" i="5"/>
  <c r="AZ492" i="5"/>
  <c r="AY492" i="5"/>
  <c r="AZ485" i="5"/>
  <c r="AY485" i="5"/>
  <c r="AZ454" i="5"/>
  <c r="AY454" i="5"/>
  <c r="AZ449" i="5"/>
  <c r="AY449" i="5"/>
  <c r="AZ444" i="5"/>
  <c r="AY444" i="5"/>
  <c r="AZ439" i="5"/>
  <c r="AY439" i="5"/>
  <c r="AZ434" i="5"/>
  <c r="AY434" i="5"/>
  <c r="AZ429" i="5"/>
  <c r="AY429" i="5"/>
  <c r="AZ423" i="5"/>
  <c r="AY423" i="5"/>
  <c r="AZ417" i="5"/>
  <c r="AY417" i="5"/>
  <c r="AZ411" i="5"/>
  <c r="AY411" i="5"/>
  <c r="AZ405" i="5"/>
  <c r="AY405" i="5"/>
  <c r="AZ399" i="5"/>
  <c r="AY399" i="5"/>
  <c r="AZ393" i="5"/>
  <c r="AY393" i="5"/>
  <c r="AZ387" i="5"/>
  <c r="AY387" i="5"/>
  <c r="AZ381" i="5"/>
  <c r="AY381" i="5"/>
  <c r="AZ375" i="5"/>
  <c r="AY375" i="5"/>
  <c r="AZ369" i="5"/>
  <c r="AY369" i="5"/>
  <c r="AZ363" i="5"/>
  <c r="AY363" i="5"/>
  <c r="AZ357" i="5"/>
  <c r="AY357" i="5"/>
  <c r="AZ351" i="5"/>
  <c r="AY351" i="5"/>
  <c r="AZ345" i="5"/>
  <c r="AY345" i="5"/>
  <c r="AZ339" i="5"/>
  <c r="AY339" i="5"/>
  <c r="AZ333" i="5"/>
  <c r="AY333" i="5"/>
  <c r="AZ327" i="5"/>
  <c r="AY327" i="5"/>
  <c r="AZ321" i="5"/>
  <c r="AY321" i="5"/>
  <c r="AZ315" i="5"/>
  <c r="AY315" i="5"/>
  <c r="AZ309" i="5"/>
  <c r="AY309" i="5"/>
  <c r="AZ303" i="5"/>
  <c r="AY303" i="5"/>
  <c r="AZ297" i="5"/>
  <c r="AY297" i="5"/>
  <c r="AZ291" i="5"/>
  <c r="AY291" i="5"/>
  <c r="F4684" i="5"/>
  <c r="F4690" i="5" s="1"/>
  <c r="M2172" i="5"/>
  <c r="F2172" i="5" s="1"/>
  <c r="M2173" i="5"/>
  <c r="F2173" i="5" s="1"/>
  <c r="M2174" i="5"/>
  <c r="F2174" i="5" s="1"/>
  <c r="M2178" i="5"/>
  <c r="F2178" i="5" s="1"/>
  <c r="M2179" i="5"/>
  <c r="F2179" i="5" s="1"/>
  <c r="M2180" i="5"/>
  <c r="F2180" i="5" s="1"/>
  <c r="M2181" i="5"/>
  <c r="F2181" i="5" s="1"/>
  <c r="M2185" i="5"/>
  <c r="F2185" i="5" s="1"/>
  <c r="M2186" i="5"/>
  <c r="F2186" i="5" s="1"/>
  <c r="M2187" i="5"/>
  <c r="F2187" i="5" s="1"/>
  <c r="M2188" i="5"/>
  <c r="F2188" i="5" s="1"/>
  <c r="M2192" i="5"/>
  <c r="F2192" i="5" s="1"/>
  <c r="M2193" i="5"/>
  <c r="F2193" i="5" s="1"/>
  <c r="M2194" i="5"/>
  <c r="F2194" i="5" s="1"/>
  <c r="M2195" i="5"/>
  <c r="F2195" i="5" s="1"/>
  <c r="M2199" i="5"/>
  <c r="F2199" i="5" s="1"/>
  <c r="M2200" i="5"/>
  <c r="F2200" i="5" s="1"/>
  <c r="M2201" i="5"/>
  <c r="F2201" i="5" s="1"/>
  <c r="M2202" i="5"/>
  <c r="F2202" i="5" s="1"/>
  <c r="M2206" i="5"/>
  <c r="F2206" i="5" s="1"/>
  <c r="M2207" i="5"/>
  <c r="F2207" i="5" s="1"/>
  <c r="M2208" i="5"/>
  <c r="F2208" i="5" s="1"/>
  <c r="M2209" i="5"/>
  <c r="F2209" i="5" s="1"/>
  <c r="M2213" i="5"/>
  <c r="F2213" i="5" s="1"/>
  <c r="M2214" i="5"/>
  <c r="F2214" i="5" s="1"/>
  <c r="M2215" i="5"/>
  <c r="F2215" i="5" s="1"/>
  <c r="M2216" i="5"/>
  <c r="F2216" i="5" s="1"/>
  <c r="M2220" i="5"/>
  <c r="F2220" i="5" s="1"/>
  <c r="M2221" i="5"/>
  <c r="F2221" i="5" s="1"/>
  <c r="M2222" i="5"/>
  <c r="F2222" i="5" s="1"/>
  <c r="M2223" i="5"/>
  <c r="F2223" i="5" s="1"/>
  <c r="M2227" i="5"/>
  <c r="F2227" i="5" s="1"/>
  <c r="M2228" i="5"/>
  <c r="F2228" i="5" s="1"/>
  <c r="M2229" i="5"/>
  <c r="F2229" i="5" s="1"/>
  <c r="M2230" i="5"/>
  <c r="F2230" i="5" s="1"/>
  <c r="M2234" i="5"/>
  <c r="F2234" i="5" s="1"/>
  <c r="M2235" i="5"/>
  <c r="F2235" i="5" s="1"/>
  <c r="M2236" i="5"/>
  <c r="F2236" i="5" s="1"/>
  <c r="M2237" i="5"/>
  <c r="F2237" i="5" s="1"/>
  <c r="M2241" i="5"/>
  <c r="F2241" i="5" s="1"/>
  <c r="M2242" i="5"/>
  <c r="F2242" i="5" s="1"/>
  <c r="M2243" i="5"/>
  <c r="F2243" i="5" s="1"/>
  <c r="M2244" i="5"/>
  <c r="F2244" i="5" s="1"/>
  <c r="M2248" i="5"/>
  <c r="F2248" i="5" s="1"/>
  <c r="M2249" i="5"/>
  <c r="F2249" i="5" s="1"/>
  <c r="M2250" i="5"/>
  <c r="F2250" i="5" s="1"/>
  <c r="M2251" i="5"/>
  <c r="F2251" i="5" s="1"/>
  <c r="M2255" i="5"/>
  <c r="F2255" i="5" s="1"/>
  <c r="M2256" i="5"/>
  <c r="F2256" i="5" s="1"/>
  <c r="M2257" i="5"/>
  <c r="F2257" i="5" s="1"/>
  <c r="M2258" i="5"/>
  <c r="F2258" i="5" s="1"/>
  <c r="M2262" i="5"/>
  <c r="F2262" i="5" s="1"/>
  <c r="M2263" i="5"/>
  <c r="F2263" i="5" s="1"/>
  <c r="M2264" i="5"/>
  <c r="F2264" i="5" s="1"/>
  <c r="M2265" i="5"/>
  <c r="F2265" i="5" s="1"/>
  <c r="M2269" i="5"/>
  <c r="F2269" i="5" s="1"/>
  <c r="M2270" i="5"/>
  <c r="F2270" i="5" s="1"/>
  <c r="M2271" i="5"/>
  <c r="F2271" i="5" s="1"/>
  <c r="M2272" i="5"/>
  <c r="F2272" i="5" s="1"/>
  <c r="M2276" i="5"/>
  <c r="F2276" i="5" s="1"/>
  <c r="M2277" i="5"/>
  <c r="F2277" i="5" s="1"/>
  <c r="M2278" i="5"/>
  <c r="F2278" i="5" s="1"/>
  <c r="M2279" i="5"/>
  <c r="F2279" i="5" s="1"/>
  <c r="M2283" i="5"/>
  <c r="F2283" i="5" s="1"/>
  <c r="M2284" i="5"/>
  <c r="F2284" i="5" s="1"/>
  <c r="M2285" i="5"/>
  <c r="F2285" i="5" s="1"/>
  <c r="M2286" i="5"/>
  <c r="F2286" i="5" s="1"/>
  <c r="M2290" i="5"/>
  <c r="F2290" i="5" s="1"/>
  <c r="M2291" i="5"/>
  <c r="F2291" i="5" s="1"/>
  <c r="M2292" i="5"/>
  <c r="F2292" i="5" s="1"/>
  <c r="M2293" i="5"/>
  <c r="F2293" i="5" s="1"/>
  <c r="M2297" i="5"/>
  <c r="F2297" i="5" s="1"/>
  <c r="M2298" i="5"/>
  <c r="F2298" i="5" s="1"/>
  <c r="M2299" i="5"/>
  <c r="F2299" i="5" s="1"/>
  <c r="M2300" i="5"/>
  <c r="F2300" i="5" s="1"/>
  <c r="M2304" i="5"/>
  <c r="F2304" i="5" s="1"/>
  <c r="M2305" i="5"/>
  <c r="F2305" i="5" s="1"/>
  <c r="M2306" i="5"/>
  <c r="F2306" i="5" s="1"/>
  <c r="M2307" i="5"/>
  <c r="F2307" i="5" s="1"/>
  <c r="M2311" i="5"/>
  <c r="F2311" i="5" s="1"/>
  <c r="M2312" i="5"/>
  <c r="F2312" i="5" s="1"/>
  <c r="M2313" i="5"/>
  <c r="F2313" i="5" s="1"/>
  <c r="M2314" i="5"/>
  <c r="F2314" i="5" s="1"/>
  <c r="M2318" i="5"/>
  <c r="F2318" i="5" s="1"/>
  <c r="M2319" i="5"/>
  <c r="F2319" i="5" s="1"/>
  <c r="M2320" i="5"/>
  <c r="F2320" i="5" s="1"/>
  <c r="M2321" i="5"/>
  <c r="F2321" i="5" s="1"/>
  <c r="M2325" i="5"/>
  <c r="F2325" i="5" s="1"/>
  <c r="M2326" i="5"/>
  <c r="F2326" i="5" s="1"/>
  <c r="M2327" i="5"/>
  <c r="F2327" i="5" s="1"/>
  <c r="M2328" i="5"/>
  <c r="F2328" i="5" s="1"/>
  <c r="M2332" i="5"/>
  <c r="F2332" i="5" s="1"/>
  <c r="M2333" i="5"/>
  <c r="F2333" i="5" s="1"/>
  <c r="M2334" i="5"/>
  <c r="F2334" i="5" s="1"/>
  <c r="M2335" i="5"/>
  <c r="F2335" i="5" s="1"/>
  <c r="M2339" i="5"/>
  <c r="F2339" i="5" s="1"/>
  <c r="M2340" i="5"/>
  <c r="F2340" i="5" s="1"/>
  <c r="M2341" i="5"/>
  <c r="F2341" i="5" s="1"/>
  <c r="M2342" i="5"/>
  <c r="F2342" i="5" s="1"/>
  <c r="M2346" i="5"/>
  <c r="F2346" i="5" s="1"/>
  <c r="M2347" i="5"/>
  <c r="F2347" i="5" s="1"/>
  <c r="M2348" i="5"/>
  <c r="F2348" i="5" s="1"/>
  <c r="M2349" i="5"/>
  <c r="F2349" i="5" s="1"/>
  <c r="M2353" i="5"/>
  <c r="F2353" i="5" s="1"/>
  <c r="M2354" i="5"/>
  <c r="F2354" i="5" s="1"/>
  <c r="M2355" i="5"/>
  <c r="F2355" i="5" s="1"/>
  <c r="M2356" i="5"/>
  <c r="F2356" i="5" s="1"/>
  <c r="M2360" i="5"/>
  <c r="F2360" i="5" s="1"/>
  <c r="M2361" i="5"/>
  <c r="F2361" i="5" s="1"/>
  <c r="M2362" i="5"/>
  <c r="F2362" i="5" s="1"/>
  <c r="M2363" i="5"/>
  <c r="F2363" i="5" s="1"/>
  <c r="M2369" i="5"/>
  <c r="F2369" i="5" s="1"/>
  <c r="M2370" i="5"/>
  <c r="F2370" i="5" s="1"/>
  <c r="M2374" i="5"/>
  <c r="F2374" i="5" s="1"/>
  <c r="M2375" i="5"/>
  <c r="F2375" i="5" s="1"/>
  <c r="M2376" i="5"/>
  <c r="F2376" i="5" s="1"/>
  <c r="M2377" i="5"/>
  <c r="F2377" i="5" s="1"/>
  <c r="M2381" i="5"/>
  <c r="F2381" i="5" s="1"/>
  <c r="M2382" i="5"/>
  <c r="F2382" i="5" s="1"/>
  <c r="M2383" i="5"/>
  <c r="F2383" i="5" s="1"/>
  <c r="M2384" i="5"/>
  <c r="F2384" i="5" s="1"/>
  <c r="M2388" i="5"/>
  <c r="F2388" i="5" s="1"/>
  <c r="M2389" i="5"/>
  <c r="F2389" i="5" s="1"/>
  <c r="M2390" i="5"/>
  <c r="F2390" i="5" s="1"/>
  <c r="M2391" i="5"/>
  <c r="F2391" i="5" s="1"/>
  <c r="M2395" i="5"/>
  <c r="F2395" i="5" s="1"/>
  <c r="M2396" i="5"/>
  <c r="F2396" i="5" s="1"/>
  <c r="M2397" i="5"/>
  <c r="F2397" i="5" s="1"/>
  <c r="M2398" i="5"/>
  <c r="F2398" i="5" s="1"/>
  <c r="M2402" i="5"/>
  <c r="F2402" i="5" s="1"/>
  <c r="M2403" i="5"/>
  <c r="F2403" i="5" s="1"/>
  <c r="M2404" i="5"/>
  <c r="F2404" i="5" s="1"/>
  <c r="M2405" i="5"/>
  <c r="F2405" i="5" s="1"/>
  <c r="M2409" i="5"/>
  <c r="F2409" i="5" s="1"/>
  <c r="M2410" i="5"/>
  <c r="F2410" i="5" s="1"/>
  <c r="M2411" i="5"/>
  <c r="F2411" i="5" s="1"/>
  <c r="M2412" i="5"/>
  <c r="F2412" i="5" s="1"/>
  <c r="M2416" i="5"/>
  <c r="F2416" i="5" s="1"/>
  <c r="M2417" i="5"/>
  <c r="F2417" i="5" s="1"/>
  <c r="M2418" i="5"/>
  <c r="F2418" i="5" s="1"/>
  <c r="M2419" i="5"/>
  <c r="F2419" i="5" s="1"/>
  <c r="M2423" i="5"/>
  <c r="F2423" i="5" s="1"/>
  <c r="M2424" i="5"/>
  <c r="F2424" i="5" s="1"/>
  <c r="M2425" i="5"/>
  <c r="F2425" i="5" s="1"/>
  <c r="M2426" i="5"/>
  <c r="F2426" i="5" s="1"/>
  <c r="M2430" i="5"/>
  <c r="F2430" i="5" s="1"/>
  <c r="M2431" i="5"/>
  <c r="F2431" i="5" s="1"/>
  <c r="M2432" i="5"/>
  <c r="F2432" i="5" s="1"/>
  <c r="M2433" i="5"/>
  <c r="F2433" i="5" s="1"/>
  <c r="M2437" i="5"/>
  <c r="F2437" i="5" s="1"/>
  <c r="M2438" i="5"/>
  <c r="F2438" i="5" s="1"/>
  <c r="M2439" i="5"/>
  <c r="F2439" i="5" s="1"/>
  <c r="M2440" i="5"/>
  <c r="F2440" i="5" s="1"/>
  <c r="M2444" i="5"/>
  <c r="F2444" i="5" s="1"/>
  <c r="M2445" i="5"/>
  <c r="F2445" i="5" s="1"/>
  <c r="M2446" i="5"/>
  <c r="F2446" i="5" s="1"/>
  <c r="M2447" i="5"/>
  <c r="F2447" i="5" s="1"/>
  <c r="M2451" i="5"/>
  <c r="F2451" i="5" s="1"/>
  <c r="M2452" i="5"/>
  <c r="F2452" i="5" s="1"/>
  <c r="M2453" i="5"/>
  <c r="F2453" i="5" s="1"/>
  <c r="M2454" i="5"/>
  <c r="F2454" i="5" s="1"/>
  <c r="M2458" i="5"/>
  <c r="F2458" i="5" s="1"/>
  <c r="M2459" i="5"/>
  <c r="F2459" i="5" s="1"/>
  <c r="M2460" i="5"/>
  <c r="F2460" i="5" s="1"/>
  <c r="M2461" i="5"/>
  <c r="F2461" i="5" s="1"/>
  <c r="M2465" i="5"/>
  <c r="F2465" i="5" s="1"/>
  <c r="M2466" i="5"/>
  <c r="F2466" i="5" s="1"/>
  <c r="M2467" i="5"/>
  <c r="F2467" i="5" s="1"/>
  <c r="M2468" i="5"/>
  <c r="F2468" i="5" s="1"/>
  <c r="M2472" i="5"/>
  <c r="F2472" i="5" s="1"/>
  <c r="M2473" i="5"/>
  <c r="F2473" i="5" s="1"/>
  <c r="M2474" i="5"/>
  <c r="F2474" i="5" s="1"/>
  <c r="M2475" i="5"/>
  <c r="F2475" i="5" s="1"/>
  <c r="M2479" i="5"/>
  <c r="F2479" i="5" s="1"/>
  <c r="M2480" i="5"/>
  <c r="F2480" i="5" s="1"/>
  <c r="M2481" i="5"/>
  <c r="F2481" i="5" s="1"/>
  <c r="M2482" i="5"/>
  <c r="F2482" i="5" s="1"/>
  <c r="M2486" i="5"/>
  <c r="F2486" i="5" s="1"/>
  <c r="M2487" i="5"/>
  <c r="F2487" i="5" s="1"/>
  <c r="M2488" i="5"/>
  <c r="F2488" i="5" s="1"/>
  <c r="M2489" i="5"/>
  <c r="F2489" i="5" s="1"/>
  <c r="M2493" i="5"/>
  <c r="F2493" i="5" s="1"/>
  <c r="M2494" i="5"/>
  <c r="F2494" i="5" s="1"/>
  <c r="M2495" i="5"/>
  <c r="F2495" i="5" s="1"/>
  <c r="M2496" i="5"/>
  <c r="F2496" i="5" s="1"/>
  <c r="M2500" i="5"/>
  <c r="F2500" i="5" s="1"/>
  <c r="M2501" i="5"/>
  <c r="F2501" i="5" s="1"/>
  <c r="M2502" i="5"/>
  <c r="F2502" i="5" s="1"/>
  <c r="M2503" i="5"/>
  <c r="F2503" i="5" s="1"/>
  <c r="M2508" i="5"/>
  <c r="F2508" i="5" s="1"/>
  <c r="M2509" i="5"/>
  <c r="F2509" i="5" s="1"/>
  <c r="M2513" i="5"/>
  <c r="F2513" i="5" s="1"/>
  <c r="M2514" i="5"/>
  <c r="F2514" i="5" s="1"/>
  <c r="M2515" i="5"/>
  <c r="F2515" i="5" s="1"/>
  <c r="M2519" i="5"/>
  <c r="F2519" i="5" s="1"/>
  <c r="M2520" i="5"/>
  <c r="F2520" i="5" s="1"/>
  <c r="M2521" i="5"/>
  <c r="F2521" i="5" s="1"/>
  <c r="M2525" i="5"/>
  <c r="F2525" i="5" s="1"/>
  <c r="M2526" i="5"/>
  <c r="F2526" i="5" s="1"/>
  <c r="M2527" i="5"/>
  <c r="F2527" i="5" s="1"/>
  <c r="M2531" i="5"/>
  <c r="F2531" i="5" s="1"/>
  <c r="M2532" i="5"/>
  <c r="F2532" i="5" s="1"/>
  <c r="M2533" i="5"/>
  <c r="F2533" i="5" s="1"/>
  <c r="M2537" i="5"/>
  <c r="F2537" i="5" s="1"/>
  <c r="M2538" i="5"/>
  <c r="F2538" i="5" s="1"/>
  <c r="M2539" i="5"/>
  <c r="F2539" i="5" s="1"/>
  <c r="M2543" i="5"/>
  <c r="F2543" i="5" s="1"/>
  <c r="M2544" i="5"/>
  <c r="F2544" i="5" s="1"/>
  <c r="M2545" i="5"/>
  <c r="F2545" i="5" s="1"/>
  <c r="M2549" i="5"/>
  <c r="F2549" i="5" s="1"/>
  <c r="M2550" i="5"/>
  <c r="F2550" i="5" s="1"/>
  <c r="M1743" i="5"/>
  <c r="F1743" i="5" s="1"/>
  <c r="M1744" i="5"/>
  <c r="F1744" i="5" s="1"/>
  <c r="M1745" i="5"/>
  <c r="F1745" i="5" s="1"/>
  <c r="M1749" i="5"/>
  <c r="F1749" i="5" s="1"/>
  <c r="M1750" i="5"/>
  <c r="F1750" i="5" s="1"/>
  <c r="M1751" i="5"/>
  <c r="F1751" i="5" s="1"/>
  <c r="M1752" i="5"/>
  <c r="F1752" i="5" s="1"/>
  <c r="M1756" i="5"/>
  <c r="F1756" i="5" s="1"/>
  <c r="M1757" i="5"/>
  <c r="F1757" i="5" s="1"/>
  <c r="M1758" i="5"/>
  <c r="F1758" i="5" s="1"/>
  <c r="M1759" i="5"/>
  <c r="F1759" i="5" s="1"/>
  <c r="M1763" i="5"/>
  <c r="F1763" i="5" s="1"/>
  <c r="M1764" i="5"/>
  <c r="F1764" i="5" s="1"/>
  <c r="M1765" i="5"/>
  <c r="F1765" i="5" s="1"/>
  <c r="M1766" i="5"/>
  <c r="F1766" i="5" s="1"/>
  <c r="M1770" i="5"/>
  <c r="F1770" i="5" s="1"/>
  <c r="M1771" i="5"/>
  <c r="F1771" i="5" s="1"/>
  <c r="M1772" i="5"/>
  <c r="F1772" i="5" s="1"/>
  <c r="M1773" i="5"/>
  <c r="F1773" i="5" s="1"/>
  <c r="M1777" i="5"/>
  <c r="F1777" i="5" s="1"/>
  <c r="M1778" i="5"/>
  <c r="F1778" i="5" s="1"/>
  <c r="M1779" i="5"/>
  <c r="F1779" i="5" s="1"/>
  <c r="M1780" i="5"/>
  <c r="F1780" i="5" s="1"/>
  <c r="M1784" i="5"/>
  <c r="F1784" i="5" s="1"/>
  <c r="M1785" i="5"/>
  <c r="F1785" i="5" s="1"/>
  <c r="M1786" i="5"/>
  <c r="F1786" i="5" s="1"/>
  <c r="M1787" i="5"/>
  <c r="F1787" i="5" s="1"/>
  <c r="M1791" i="5"/>
  <c r="F1791" i="5" s="1"/>
  <c r="M1792" i="5"/>
  <c r="F1792" i="5" s="1"/>
  <c r="M1793" i="5"/>
  <c r="F1793" i="5" s="1"/>
  <c r="M1794" i="5"/>
  <c r="F1794" i="5" s="1"/>
  <c r="M1798" i="5"/>
  <c r="F1798" i="5" s="1"/>
  <c r="M1799" i="5"/>
  <c r="F1799" i="5" s="1"/>
  <c r="M1800" i="5"/>
  <c r="F1800" i="5" s="1"/>
  <c r="M1801" i="5"/>
  <c r="F1801" i="5" s="1"/>
  <c r="M1805" i="5"/>
  <c r="F1805" i="5" s="1"/>
  <c r="M1806" i="5"/>
  <c r="F1806" i="5" s="1"/>
  <c r="M1807" i="5"/>
  <c r="F1807" i="5" s="1"/>
  <c r="M1808" i="5"/>
  <c r="F1808" i="5" s="1"/>
  <c r="M1812" i="5"/>
  <c r="F1812" i="5" s="1"/>
  <c r="M1813" i="5"/>
  <c r="F1813" i="5" s="1"/>
  <c r="M1814" i="5"/>
  <c r="F1814" i="5" s="1"/>
  <c r="M1815" i="5"/>
  <c r="F1815" i="5" s="1"/>
  <c r="M1819" i="5"/>
  <c r="F1819" i="5" s="1"/>
  <c r="M1820" i="5"/>
  <c r="F1820" i="5" s="1"/>
  <c r="M1821" i="5"/>
  <c r="F1821" i="5" s="1"/>
  <c r="M1822" i="5"/>
  <c r="F1822" i="5" s="1"/>
  <c r="M1826" i="5"/>
  <c r="F1826" i="5" s="1"/>
  <c r="M1827" i="5"/>
  <c r="F1827" i="5" s="1"/>
  <c r="M1828" i="5"/>
  <c r="F1828" i="5" s="1"/>
  <c r="M1829" i="5"/>
  <c r="F1829" i="5" s="1"/>
  <c r="M1833" i="5"/>
  <c r="F1833" i="5" s="1"/>
  <c r="M1834" i="5"/>
  <c r="F1834" i="5" s="1"/>
  <c r="M1835" i="5"/>
  <c r="F1835" i="5" s="1"/>
  <c r="M1836" i="5"/>
  <c r="F1836" i="5" s="1"/>
  <c r="M1840" i="5"/>
  <c r="F1840" i="5" s="1"/>
  <c r="M1841" i="5"/>
  <c r="F1841" i="5" s="1"/>
  <c r="M1842" i="5"/>
  <c r="F1842" i="5" s="1"/>
  <c r="M1843" i="5"/>
  <c r="F1843" i="5" s="1"/>
  <c r="M1847" i="5"/>
  <c r="F1847" i="5" s="1"/>
  <c r="M1848" i="5"/>
  <c r="F1848" i="5" s="1"/>
  <c r="M1849" i="5"/>
  <c r="F1849" i="5" s="1"/>
  <c r="M1850" i="5"/>
  <c r="F1850" i="5" s="1"/>
  <c r="M1854" i="5"/>
  <c r="F1854" i="5" s="1"/>
  <c r="M1855" i="5"/>
  <c r="F1855" i="5" s="1"/>
  <c r="M1856" i="5"/>
  <c r="F1856" i="5" s="1"/>
  <c r="M1857" i="5"/>
  <c r="F1857" i="5" s="1"/>
  <c r="M1861" i="5"/>
  <c r="F1861" i="5" s="1"/>
  <c r="M1862" i="5"/>
  <c r="F1862" i="5" s="1"/>
  <c r="M1863" i="5"/>
  <c r="F1863" i="5" s="1"/>
  <c r="M1864" i="5"/>
  <c r="F1864" i="5" s="1"/>
  <c r="M1868" i="5"/>
  <c r="F1868" i="5" s="1"/>
  <c r="M1869" i="5"/>
  <c r="F1869" i="5" s="1"/>
  <c r="M1870" i="5"/>
  <c r="F1870" i="5" s="1"/>
  <c r="M1871" i="5"/>
  <c r="F1871" i="5" s="1"/>
  <c r="M1875" i="5"/>
  <c r="F1875" i="5" s="1"/>
  <c r="M1876" i="5"/>
  <c r="F1876" i="5" s="1"/>
  <c r="M1877" i="5"/>
  <c r="F1877" i="5" s="1"/>
  <c r="M1878" i="5"/>
  <c r="F1878" i="5" s="1"/>
  <c r="M1882" i="5"/>
  <c r="F1882" i="5" s="1"/>
  <c r="M1883" i="5"/>
  <c r="F1883" i="5" s="1"/>
  <c r="M1884" i="5"/>
  <c r="F1884" i="5" s="1"/>
  <c r="M1885" i="5"/>
  <c r="F1885" i="5" s="1"/>
  <c r="M1889" i="5"/>
  <c r="F1889" i="5" s="1"/>
  <c r="M1890" i="5"/>
  <c r="F1890" i="5" s="1"/>
  <c r="M1891" i="5"/>
  <c r="F1891" i="5" s="1"/>
  <c r="M1892" i="5"/>
  <c r="F1892" i="5" s="1"/>
  <c r="M1896" i="5"/>
  <c r="F1896" i="5" s="1"/>
  <c r="M1897" i="5"/>
  <c r="F1897" i="5" s="1"/>
  <c r="M1898" i="5"/>
  <c r="F1898" i="5" s="1"/>
  <c r="M1899" i="5"/>
  <c r="F1899" i="5" s="1"/>
  <c r="M1903" i="5"/>
  <c r="F1903" i="5" s="1"/>
  <c r="M1904" i="5"/>
  <c r="F1904" i="5" s="1"/>
  <c r="M1905" i="5"/>
  <c r="F1905" i="5" s="1"/>
  <c r="M1906" i="5"/>
  <c r="F1906" i="5" s="1"/>
  <c r="M1910" i="5"/>
  <c r="F1910" i="5" s="1"/>
  <c r="M1911" i="5"/>
  <c r="F1911" i="5" s="1"/>
  <c r="M1912" i="5"/>
  <c r="F1912" i="5" s="1"/>
  <c r="M1913" i="5"/>
  <c r="F1913" i="5" s="1"/>
  <c r="M1917" i="5"/>
  <c r="F1917" i="5" s="1"/>
  <c r="M1918" i="5"/>
  <c r="F1918" i="5" s="1"/>
  <c r="M1919" i="5"/>
  <c r="F1919" i="5" s="1"/>
  <c r="M1920" i="5"/>
  <c r="F1920" i="5" s="1"/>
  <c r="M1924" i="5"/>
  <c r="F1924" i="5" s="1"/>
  <c r="M1925" i="5"/>
  <c r="F1925" i="5" s="1"/>
  <c r="M1926" i="5"/>
  <c r="F1926" i="5" s="1"/>
  <c r="M1927" i="5"/>
  <c r="F1927" i="5" s="1"/>
  <c r="M1931" i="5"/>
  <c r="F1931" i="5" s="1"/>
  <c r="M1932" i="5"/>
  <c r="F1932" i="5" s="1"/>
  <c r="M1933" i="5"/>
  <c r="F1933" i="5" s="1"/>
  <c r="M1934" i="5"/>
  <c r="F1934" i="5" s="1"/>
  <c r="M1938" i="5"/>
  <c r="F1938" i="5" s="1"/>
  <c r="M1939" i="5"/>
  <c r="F1939" i="5" s="1"/>
  <c r="M1940" i="5"/>
  <c r="F1940" i="5" s="1"/>
  <c r="M1941" i="5"/>
  <c r="F1941" i="5" s="1"/>
  <c r="M1945" i="5"/>
  <c r="F1945" i="5" s="1"/>
  <c r="M1946" i="5"/>
  <c r="F1946" i="5" s="1"/>
  <c r="M1947" i="5"/>
  <c r="F1947" i="5" s="1"/>
  <c r="M1948" i="5"/>
  <c r="F1948" i="5" s="1"/>
  <c r="M1952" i="5"/>
  <c r="F1952" i="5" s="1"/>
  <c r="M1953" i="5"/>
  <c r="F1953" i="5" s="1"/>
  <c r="M1954" i="5"/>
  <c r="F1954" i="5" s="1"/>
  <c r="M1955" i="5"/>
  <c r="F1955" i="5" s="1"/>
  <c r="M1959" i="5"/>
  <c r="F1959" i="5" s="1"/>
  <c r="M1960" i="5"/>
  <c r="F1960" i="5" s="1"/>
  <c r="M1961" i="5"/>
  <c r="F1961" i="5" s="1"/>
  <c r="M1962" i="5"/>
  <c r="F1962" i="5" s="1"/>
  <c r="M1966" i="5"/>
  <c r="F1966" i="5" s="1"/>
  <c r="M1967" i="5"/>
  <c r="F1967" i="5" s="1"/>
  <c r="M1968" i="5"/>
  <c r="F1968" i="5" s="1"/>
  <c r="M1969" i="5"/>
  <c r="F1969" i="5" s="1"/>
  <c r="M1973" i="5"/>
  <c r="F1973" i="5" s="1"/>
  <c r="M1974" i="5"/>
  <c r="F1974" i="5" s="1"/>
  <c r="M1975" i="5"/>
  <c r="F1975" i="5" s="1"/>
  <c r="M1976" i="5"/>
  <c r="F1976" i="5" s="1"/>
  <c r="M1980" i="5"/>
  <c r="F1980" i="5" s="1"/>
  <c r="M1981" i="5"/>
  <c r="F1981" i="5" s="1"/>
  <c r="M1982" i="5"/>
  <c r="F1982" i="5" s="1"/>
  <c r="M1983" i="5"/>
  <c r="F1983" i="5" s="1"/>
  <c r="M1987" i="5"/>
  <c r="F1987" i="5" s="1"/>
  <c r="M1988" i="5"/>
  <c r="F1988" i="5" s="1"/>
  <c r="M1989" i="5"/>
  <c r="F1989" i="5" s="1"/>
  <c r="M1990" i="5"/>
  <c r="F1990" i="5" s="1"/>
  <c r="M1994" i="5"/>
  <c r="F1994" i="5" s="1"/>
  <c r="M1995" i="5"/>
  <c r="F1995" i="5" s="1"/>
  <c r="M1996" i="5"/>
  <c r="F1996" i="5" s="1"/>
  <c r="M1997" i="5"/>
  <c r="F1997" i="5" s="1"/>
  <c r="M2001" i="5"/>
  <c r="F2001" i="5" s="1"/>
  <c r="M2002" i="5"/>
  <c r="F2002" i="5" s="1"/>
  <c r="M2003" i="5"/>
  <c r="F2003" i="5" s="1"/>
  <c r="M2004" i="5"/>
  <c r="F2004" i="5" s="1"/>
  <c r="M2008" i="5"/>
  <c r="F2008" i="5" s="1"/>
  <c r="M2009" i="5"/>
  <c r="F2009" i="5" s="1"/>
  <c r="M2010" i="5"/>
  <c r="F2010" i="5" s="1"/>
  <c r="M2011" i="5"/>
  <c r="F2011" i="5" s="1"/>
  <c r="M2015" i="5"/>
  <c r="F2015" i="5" s="1"/>
  <c r="M2016" i="5"/>
  <c r="F2016" i="5" s="1"/>
  <c r="M2017" i="5"/>
  <c r="F2017" i="5" s="1"/>
  <c r="M2018" i="5"/>
  <c r="F2018" i="5" s="1"/>
  <c r="M2022" i="5"/>
  <c r="F2022" i="5" s="1"/>
  <c r="M2023" i="5"/>
  <c r="F2023" i="5" s="1"/>
  <c r="M2024" i="5"/>
  <c r="F2024" i="5" s="1"/>
  <c r="M2025" i="5"/>
  <c r="F2025" i="5" s="1"/>
  <c r="M2029" i="5"/>
  <c r="F2029" i="5" s="1"/>
  <c r="M2030" i="5"/>
  <c r="F2030" i="5" s="1"/>
  <c r="M2031" i="5"/>
  <c r="F2031" i="5" s="1"/>
  <c r="M2032" i="5"/>
  <c r="F2032" i="5" s="1"/>
  <c r="M2036" i="5"/>
  <c r="F2036" i="5" s="1"/>
  <c r="M2037" i="5"/>
  <c r="F2037" i="5" s="1"/>
  <c r="M2038" i="5"/>
  <c r="F2038" i="5" s="1"/>
  <c r="M2039" i="5"/>
  <c r="F2039" i="5" s="1"/>
  <c r="M2043" i="5"/>
  <c r="F2043" i="5" s="1"/>
  <c r="M2044" i="5"/>
  <c r="F2044" i="5" s="1"/>
  <c r="M2045" i="5"/>
  <c r="F2045" i="5" s="1"/>
  <c r="M2046" i="5"/>
  <c r="F2046" i="5" s="1"/>
  <c r="M2050" i="5"/>
  <c r="F2050" i="5" s="1"/>
  <c r="M2051" i="5"/>
  <c r="F2051" i="5" s="1"/>
  <c r="M2052" i="5"/>
  <c r="F2052" i="5" s="1"/>
  <c r="M2053" i="5"/>
  <c r="F2053" i="5" s="1"/>
  <c r="M2057" i="5"/>
  <c r="F2057" i="5" s="1"/>
  <c r="M2058" i="5"/>
  <c r="F2058" i="5" s="1"/>
  <c r="M2059" i="5"/>
  <c r="F2059" i="5" s="1"/>
  <c r="M2060" i="5"/>
  <c r="F2060" i="5" s="1"/>
  <c r="M2064" i="5"/>
  <c r="F2064" i="5" s="1"/>
  <c r="M2065" i="5"/>
  <c r="F2065" i="5" s="1"/>
  <c r="M2066" i="5"/>
  <c r="F2066" i="5" s="1"/>
  <c r="M2067" i="5"/>
  <c r="F2067" i="5" s="1"/>
  <c r="M2071" i="5"/>
  <c r="F2071" i="5" s="1"/>
  <c r="M2072" i="5"/>
  <c r="F2072" i="5" s="1"/>
  <c r="M2073" i="5"/>
  <c r="F2073" i="5" s="1"/>
  <c r="M2074" i="5"/>
  <c r="F2074" i="5" s="1"/>
  <c r="M2078" i="5"/>
  <c r="F2078" i="5" s="1"/>
  <c r="M2079" i="5"/>
  <c r="F2079" i="5" s="1"/>
  <c r="M2080" i="5"/>
  <c r="F2080" i="5" s="1"/>
  <c r="M2084" i="5"/>
  <c r="F2084" i="5" s="1"/>
  <c r="M2085" i="5"/>
  <c r="F2085" i="5" s="1"/>
  <c r="M2086" i="5"/>
  <c r="F2086" i="5" s="1"/>
  <c r="M2090" i="5"/>
  <c r="F2090" i="5" s="1"/>
  <c r="M2091" i="5"/>
  <c r="F2091" i="5" s="1"/>
  <c r="M2092" i="5"/>
  <c r="F2092" i="5" s="1"/>
  <c r="M2096" i="5"/>
  <c r="F2096" i="5" s="1"/>
  <c r="M2097" i="5"/>
  <c r="F2097" i="5" s="1"/>
  <c r="M2098" i="5"/>
  <c r="F2098" i="5" s="1"/>
  <c r="M2102" i="5"/>
  <c r="F2102" i="5" s="1"/>
  <c r="M2103" i="5"/>
  <c r="F2103" i="5" s="1"/>
  <c r="M2104" i="5"/>
  <c r="F2104" i="5" s="1"/>
  <c r="M2108" i="5"/>
  <c r="F2108" i="5" s="1"/>
  <c r="M2109" i="5"/>
  <c r="F2109" i="5" s="1"/>
  <c r="M2110" i="5"/>
  <c r="F2110" i="5" s="1"/>
  <c r="M2114" i="5"/>
  <c r="F2114" i="5" s="1"/>
  <c r="M2115" i="5"/>
  <c r="F2115" i="5" s="1"/>
  <c r="M2116" i="5"/>
  <c r="F2116" i="5" s="1"/>
  <c r="M2121" i="5"/>
  <c r="F2121" i="5" s="1"/>
  <c r="M1742" i="5"/>
  <c r="F1742" i="5" s="1"/>
  <c r="M1312" i="5"/>
  <c r="F1312" i="5" s="1"/>
  <c r="M1313" i="5"/>
  <c r="F1313" i="5" s="1"/>
  <c r="M1314" i="5"/>
  <c r="F1314" i="5" s="1"/>
  <c r="M1318" i="5"/>
  <c r="F1318" i="5" s="1"/>
  <c r="M1319" i="5"/>
  <c r="F1319" i="5" s="1"/>
  <c r="M1320" i="5"/>
  <c r="F1320" i="5" s="1"/>
  <c r="M1321" i="5"/>
  <c r="F1321" i="5" s="1"/>
  <c r="M1325" i="5"/>
  <c r="F1325" i="5" s="1"/>
  <c r="M1326" i="5"/>
  <c r="F1326" i="5" s="1"/>
  <c r="M1327" i="5"/>
  <c r="F1327" i="5" s="1"/>
  <c r="M1328" i="5"/>
  <c r="F1328" i="5" s="1"/>
  <c r="M1332" i="5"/>
  <c r="F1332" i="5" s="1"/>
  <c r="M1333" i="5"/>
  <c r="F1333" i="5" s="1"/>
  <c r="M1334" i="5"/>
  <c r="F1334" i="5" s="1"/>
  <c r="M1335" i="5"/>
  <c r="F1335" i="5" s="1"/>
  <c r="M1339" i="5"/>
  <c r="F1339" i="5" s="1"/>
  <c r="M1340" i="5"/>
  <c r="F1340" i="5" s="1"/>
  <c r="M1341" i="5"/>
  <c r="F1341" i="5" s="1"/>
  <c r="M1342" i="5"/>
  <c r="F1342" i="5" s="1"/>
  <c r="M1346" i="5"/>
  <c r="F1346" i="5" s="1"/>
  <c r="M1347" i="5"/>
  <c r="F1347" i="5" s="1"/>
  <c r="M1348" i="5"/>
  <c r="F1348" i="5" s="1"/>
  <c r="M1349" i="5"/>
  <c r="F1349" i="5" s="1"/>
  <c r="M1353" i="5"/>
  <c r="F1353" i="5" s="1"/>
  <c r="M1354" i="5"/>
  <c r="F1354" i="5" s="1"/>
  <c r="M1355" i="5"/>
  <c r="F1355" i="5" s="1"/>
  <c r="M1356" i="5"/>
  <c r="F1356" i="5" s="1"/>
  <c r="M1360" i="5"/>
  <c r="F1360" i="5" s="1"/>
  <c r="M1361" i="5"/>
  <c r="F1361" i="5" s="1"/>
  <c r="M1362" i="5"/>
  <c r="F1362" i="5" s="1"/>
  <c r="M1363" i="5"/>
  <c r="F1363" i="5" s="1"/>
  <c r="M1367" i="5"/>
  <c r="F1367" i="5" s="1"/>
  <c r="M1368" i="5"/>
  <c r="F1368" i="5" s="1"/>
  <c r="M1369" i="5"/>
  <c r="F1369" i="5" s="1"/>
  <c r="M1370" i="5"/>
  <c r="F1370" i="5" s="1"/>
  <c r="M1374" i="5"/>
  <c r="F1374" i="5" s="1"/>
  <c r="M1375" i="5"/>
  <c r="F1375" i="5" s="1"/>
  <c r="M1376" i="5"/>
  <c r="F1376" i="5" s="1"/>
  <c r="M1377" i="5"/>
  <c r="F1377" i="5" s="1"/>
  <c r="M1381" i="5"/>
  <c r="F1381" i="5" s="1"/>
  <c r="M1382" i="5"/>
  <c r="F1382" i="5" s="1"/>
  <c r="M1383" i="5"/>
  <c r="F1383" i="5" s="1"/>
  <c r="M1384" i="5"/>
  <c r="F1384" i="5" s="1"/>
  <c r="M1388" i="5"/>
  <c r="F1388" i="5" s="1"/>
  <c r="M1389" i="5"/>
  <c r="F1389" i="5" s="1"/>
  <c r="M1390" i="5"/>
  <c r="F1390" i="5" s="1"/>
  <c r="M1391" i="5"/>
  <c r="F1391" i="5" s="1"/>
  <c r="M1395" i="5"/>
  <c r="F1395" i="5" s="1"/>
  <c r="M1396" i="5"/>
  <c r="F1396" i="5" s="1"/>
  <c r="M1397" i="5"/>
  <c r="F1397" i="5" s="1"/>
  <c r="M1398" i="5"/>
  <c r="F1398" i="5" s="1"/>
  <c r="M1402" i="5"/>
  <c r="F1402" i="5" s="1"/>
  <c r="M1403" i="5"/>
  <c r="F1403" i="5" s="1"/>
  <c r="M1404" i="5"/>
  <c r="F1404" i="5" s="1"/>
  <c r="M1405" i="5"/>
  <c r="F1405" i="5" s="1"/>
  <c r="M1409" i="5"/>
  <c r="F1409" i="5" s="1"/>
  <c r="M1410" i="5"/>
  <c r="F1410" i="5" s="1"/>
  <c r="M1411" i="5"/>
  <c r="F1411" i="5" s="1"/>
  <c r="M1412" i="5"/>
  <c r="F1412" i="5" s="1"/>
  <c r="M1416" i="5"/>
  <c r="F1416" i="5" s="1"/>
  <c r="M1417" i="5"/>
  <c r="F1417" i="5" s="1"/>
  <c r="M1418" i="5"/>
  <c r="F1418" i="5" s="1"/>
  <c r="M1419" i="5"/>
  <c r="F1419" i="5" s="1"/>
  <c r="M1423" i="5"/>
  <c r="F1423" i="5" s="1"/>
  <c r="M1424" i="5"/>
  <c r="F1424" i="5" s="1"/>
  <c r="M1425" i="5"/>
  <c r="F1425" i="5" s="1"/>
  <c r="M1426" i="5"/>
  <c r="F1426" i="5" s="1"/>
  <c r="M1430" i="5"/>
  <c r="F1430" i="5" s="1"/>
  <c r="M1431" i="5"/>
  <c r="F1431" i="5" s="1"/>
  <c r="M1432" i="5"/>
  <c r="F1432" i="5" s="1"/>
  <c r="M1433" i="5"/>
  <c r="F1433" i="5" s="1"/>
  <c r="M1437" i="5"/>
  <c r="F1437" i="5" s="1"/>
  <c r="M1438" i="5"/>
  <c r="F1438" i="5" s="1"/>
  <c r="M1439" i="5"/>
  <c r="F1439" i="5" s="1"/>
  <c r="M1440" i="5"/>
  <c r="F1440" i="5" s="1"/>
  <c r="M1444" i="5"/>
  <c r="F1444" i="5" s="1"/>
  <c r="M1445" i="5"/>
  <c r="F1445" i="5" s="1"/>
  <c r="M1446" i="5"/>
  <c r="F1446" i="5" s="1"/>
  <c r="M1447" i="5"/>
  <c r="F1447" i="5" s="1"/>
  <c r="M1451" i="5"/>
  <c r="F1451" i="5" s="1"/>
  <c r="M1452" i="5"/>
  <c r="F1452" i="5" s="1"/>
  <c r="M1453" i="5"/>
  <c r="F1453" i="5" s="1"/>
  <c r="M1454" i="5"/>
  <c r="F1454" i="5" s="1"/>
  <c r="M1458" i="5"/>
  <c r="F1458" i="5" s="1"/>
  <c r="M1459" i="5"/>
  <c r="F1459" i="5" s="1"/>
  <c r="M1460" i="5"/>
  <c r="F1460" i="5" s="1"/>
  <c r="M1461" i="5"/>
  <c r="F1461" i="5" s="1"/>
  <c r="M1465" i="5"/>
  <c r="F1465" i="5" s="1"/>
  <c r="M1466" i="5"/>
  <c r="F1466" i="5" s="1"/>
  <c r="M1467" i="5"/>
  <c r="F1467" i="5" s="1"/>
  <c r="M1468" i="5"/>
  <c r="F1468" i="5" s="1"/>
  <c r="M1472" i="5"/>
  <c r="F1472" i="5" s="1"/>
  <c r="M1473" i="5"/>
  <c r="F1473" i="5" s="1"/>
  <c r="M1474" i="5"/>
  <c r="F1474" i="5" s="1"/>
  <c r="M1475" i="5"/>
  <c r="F1475" i="5" s="1"/>
  <c r="M1479" i="5"/>
  <c r="F1479" i="5" s="1"/>
  <c r="M1480" i="5"/>
  <c r="F1480" i="5" s="1"/>
  <c r="M1481" i="5"/>
  <c r="F1481" i="5" s="1"/>
  <c r="M1482" i="5"/>
  <c r="F1482" i="5" s="1"/>
  <c r="M1486" i="5"/>
  <c r="F1486" i="5" s="1"/>
  <c r="M1487" i="5"/>
  <c r="F1487" i="5" s="1"/>
  <c r="M1488" i="5"/>
  <c r="F1488" i="5" s="1"/>
  <c r="M1489" i="5"/>
  <c r="F1489" i="5" s="1"/>
  <c r="M1493" i="5"/>
  <c r="F1493" i="5" s="1"/>
  <c r="M1494" i="5"/>
  <c r="F1494" i="5" s="1"/>
  <c r="M1495" i="5"/>
  <c r="F1495" i="5" s="1"/>
  <c r="M1496" i="5"/>
  <c r="F1496" i="5" s="1"/>
  <c r="M1500" i="5"/>
  <c r="F1500" i="5" s="1"/>
  <c r="M1501" i="5"/>
  <c r="F1501" i="5" s="1"/>
  <c r="M1502" i="5"/>
  <c r="F1502" i="5" s="1"/>
  <c r="M1503" i="5"/>
  <c r="F1503" i="5" s="1"/>
  <c r="M1507" i="5"/>
  <c r="F1507" i="5" s="1"/>
  <c r="M1508" i="5"/>
  <c r="F1508" i="5" s="1"/>
  <c r="M1509" i="5"/>
  <c r="F1509" i="5" s="1"/>
  <c r="M1510" i="5"/>
  <c r="F1510" i="5" s="1"/>
  <c r="M1514" i="5"/>
  <c r="F1514" i="5" s="1"/>
  <c r="M1515" i="5"/>
  <c r="F1515" i="5" s="1"/>
  <c r="M1516" i="5"/>
  <c r="F1516" i="5" s="1"/>
  <c r="M1517" i="5"/>
  <c r="F1517" i="5" s="1"/>
  <c r="M1521" i="5"/>
  <c r="F1521" i="5" s="1"/>
  <c r="M1522" i="5"/>
  <c r="F1522" i="5" s="1"/>
  <c r="M1523" i="5"/>
  <c r="F1523" i="5" s="1"/>
  <c r="M1524" i="5"/>
  <c r="F1524" i="5" s="1"/>
  <c r="M1528" i="5"/>
  <c r="F1528" i="5" s="1"/>
  <c r="M1529" i="5"/>
  <c r="F1529" i="5" s="1"/>
  <c r="M1530" i="5"/>
  <c r="F1530" i="5" s="1"/>
  <c r="M1531" i="5"/>
  <c r="F1531" i="5" s="1"/>
  <c r="M1535" i="5"/>
  <c r="F1535" i="5" s="1"/>
  <c r="M1536" i="5"/>
  <c r="F1536" i="5" s="1"/>
  <c r="M1537" i="5"/>
  <c r="F1537" i="5" s="1"/>
  <c r="M1538" i="5"/>
  <c r="F1538" i="5" s="1"/>
  <c r="M1542" i="5"/>
  <c r="F1542" i="5" s="1"/>
  <c r="M1543" i="5"/>
  <c r="F1543" i="5" s="1"/>
  <c r="M1544" i="5"/>
  <c r="F1544" i="5" s="1"/>
  <c r="M1545" i="5"/>
  <c r="F1545" i="5" s="1"/>
  <c r="M1549" i="5"/>
  <c r="F1549" i="5" s="1"/>
  <c r="M1550" i="5"/>
  <c r="F1550" i="5" s="1"/>
  <c r="M1551" i="5"/>
  <c r="F1551" i="5" s="1"/>
  <c r="M1552" i="5"/>
  <c r="F1552" i="5" s="1"/>
  <c r="M1556" i="5"/>
  <c r="F1556" i="5" s="1"/>
  <c r="M1557" i="5"/>
  <c r="F1557" i="5" s="1"/>
  <c r="M1558" i="5"/>
  <c r="F1558" i="5" s="1"/>
  <c r="M1559" i="5"/>
  <c r="F1559" i="5" s="1"/>
  <c r="M1563" i="5"/>
  <c r="F1563" i="5" s="1"/>
  <c r="M1564" i="5"/>
  <c r="F1564" i="5" s="1"/>
  <c r="M1571" i="5"/>
  <c r="F1571" i="5" s="1"/>
  <c r="M1572" i="5"/>
  <c r="F1572" i="5" s="1"/>
  <c r="M1573" i="5"/>
  <c r="F1573" i="5" s="1"/>
  <c r="M1577" i="5"/>
  <c r="F1577" i="5" s="1"/>
  <c r="M1578" i="5"/>
  <c r="F1578" i="5" s="1"/>
  <c r="M1579" i="5"/>
  <c r="F1579" i="5" s="1"/>
  <c r="M1580" i="5"/>
  <c r="F1580" i="5" s="1"/>
  <c r="M1584" i="5"/>
  <c r="F1584" i="5" s="1"/>
  <c r="M1585" i="5"/>
  <c r="F1585" i="5" s="1"/>
  <c r="M1586" i="5"/>
  <c r="F1586" i="5" s="1"/>
  <c r="M1587" i="5"/>
  <c r="F1587" i="5" s="1"/>
  <c r="M1591" i="5"/>
  <c r="F1591" i="5" s="1"/>
  <c r="M1592" i="5"/>
  <c r="F1592" i="5" s="1"/>
  <c r="M1593" i="5"/>
  <c r="F1593" i="5" s="1"/>
  <c r="M1594" i="5"/>
  <c r="F1594" i="5" s="1"/>
  <c r="M1598" i="5"/>
  <c r="F1598" i="5" s="1"/>
  <c r="M1599" i="5"/>
  <c r="F1599" i="5" s="1"/>
  <c r="M1600" i="5"/>
  <c r="F1600" i="5" s="1"/>
  <c r="M1601" i="5"/>
  <c r="F1601" i="5" s="1"/>
  <c r="M1605" i="5"/>
  <c r="F1605" i="5" s="1"/>
  <c r="M1606" i="5"/>
  <c r="F1606" i="5" s="1"/>
  <c r="M1607" i="5"/>
  <c r="F1607" i="5" s="1"/>
  <c r="M1608" i="5"/>
  <c r="F1608" i="5" s="1"/>
  <c r="M1612" i="5"/>
  <c r="F1612" i="5" s="1"/>
  <c r="M1613" i="5"/>
  <c r="F1613" i="5" s="1"/>
  <c r="M1614" i="5"/>
  <c r="F1614" i="5" s="1"/>
  <c r="M1615" i="5"/>
  <c r="F1615" i="5" s="1"/>
  <c r="M1619" i="5"/>
  <c r="F1619" i="5" s="1"/>
  <c r="M1620" i="5"/>
  <c r="F1620" i="5" s="1"/>
  <c r="M1621" i="5"/>
  <c r="F1621" i="5" s="1"/>
  <c r="M1622" i="5"/>
  <c r="F1622" i="5" s="1"/>
  <c r="M1626" i="5"/>
  <c r="F1626" i="5" s="1"/>
  <c r="M1627" i="5"/>
  <c r="F1627" i="5" s="1"/>
  <c r="M1628" i="5"/>
  <c r="F1628" i="5" s="1"/>
  <c r="M1629" i="5"/>
  <c r="F1629" i="5" s="1"/>
  <c r="M1633" i="5"/>
  <c r="F1633" i="5" s="1"/>
  <c r="M1634" i="5"/>
  <c r="F1634" i="5" s="1"/>
  <c r="M1635" i="5"/>
  <c r="F1635" i="5" s="1"/>
  <c r="M1636" i="5"/>
  <c r="F1636" i="5" s="1"/>
  <c r="M1640" i="5"/>
  <c r="F1640" i="5" s="1"/>
  <c r="M1641" i="5"/>
  <c r="F1641" i="5" s="1"/>
  <c r="M1642" i="5"/>
  <c r="F1642" i="5" s="1"/>
  <c r="M1643" i="5"/>
  <c r="F1643" i="5" s="1"/>
  <c r="M1647" i="5"/>
  <c r="F1647" i="5" s="1"/>
  <c r="M1648" i="5"/>
  <c r="F1648" i="5" s="1"/>
  <c r="M1649" i="5"/>
  <c r="F1649" i="5" s="1"/>
  <c r="M1653" i="5"/>
  <c r="F1653" i="5" s="1"/>
  <c r="M1654" i="5"/>
  <c r="F1654" i="5" s="1"/>
  <c r="M1655" i="5"/>
  <c r="F1655" i="5" s="1"/>
  <c r="M1659" i="5"/>
  <c r="F1659" i="5" s="1"/>
  <c r="M1660" i="5"/>
  <c r="F1660" i="5" s="1"/>
  <c r="M1661" i="5"/>
  <c r="F1661" i="5" s="1"/>
  <c r="M1665" i="5"/>
  <c r="F1665" i="5" s="1"/>
  <c r="M1666" i="5"/>
  <c r="F1666" i="5" s="1"/>
  <c r="M1667" i="5"/>
  <c r="F1667" i="5" s="1"/>
  <c r="M1671" i="5"/>
  <c r="F1671" i="5" s="1"/>
  <c r="M1672" i="5"/>
  <c r="F1672" i="5" s="1"/>
  <c r="M1673" i="5"/>
  <c r="F1673" i="5" s="1"/>
  <c r="M1677" i="5"/>
  <c r="F1677" i="5" s="1"/>
  <c r="M1678" i="5"/>
  <c r="F1678" i="5" s="1"/>
  <c r="M1679" i="5"/>
  <c r="F1679" i="5" s="1"/>
  <c r="M1683" i="5"/>
  <c r="F1683" i="5" s="1"/>
  <c r="M1684" i="5"/>
  <c r="F1684" i="5" s="1"/>
  <c r="M1685" i="5"/>
  <c r="F1685" i="5" s="1"/>
  <c r="M1690" i="5"/>
  <c r="F1690" i="5" s="1"/>
  <c r="M1311" i="5"/>
  <c r="F1311" i="5" s="1"/>
  <c r="M888" i="5"/>
  <c r="F888" i="5" s="1"/>
  <c r="M889" i="5"/>
  <c r="F889" i="5" s="1"/>
  <c r="M890" i="5"/>
  <c r="F890" i="5" s="1"/>
  <c r="M894" i="5"/>
  <c r="F894" i="5" s="1"/>
  <c r="M895" i="5"/>
  <c r="F895" i="5" s="1"/>
  <c r="M896" i="5"/>
  <c r="F896" i="5" s="1"/>
  <c r="M897" i="5"/>
  <c r="F897" i="5" s="1"/>
  <c r="M901" i="5"/>
  <c r="F901" i="5" s="1"/>
  <c r="M902" i="5"/>
  <c r="F902" i="5" s="1"/>
  <c r="M903" i="5"/>
  <c r="F903" i="5" s="1"/>
  <c r="M904" i="5"/>
  <c r="F904" i="5" s="1"/>
  <c r="M908" i="5"/>
  <c r="F908" i="5" s="1"/>
  <c r="M909" i="5"/>
  <c r="F909" i="5" s="1"/>
  <c r="M910" i="5"/>
  <c r="F910" i="5" s="1"/>
  <c r="M911" i="5"/>
  <c r="F911" i="5" s="1"/>
  <c r="M915" i="5"/>
  <c r="F915" i="5" s="1"/>
  <c r="M916" i="5"/>
  <c r="F916" i="5" s="1"/>
  <c r="M917" i="5"/>
  <c r="F917" i="5" s="1"/>
  <c r="M918" i="5"/>
  <c r="F918" i="5" s="1"/>
  <c r="M922" i="5"/>
  <c r="F922" i="5" s="1"/>
  <c r="M923" i="5"/>
  <c r="F923" i="5" s="1"/>
  <c r="M924" i="5"/>
  <c r="F924" i="5" s="1"/>
  <c r="M925" i="5"/>
  <c r="F925" i="5" s="1"/>
  <c r="M929" i="5"/>
  <c r="F929" i="5" s="1"/>
  <c r="M930" i="5"/>
  <c r="F930" i="5" s="1"/>
  <c r="M931" i="5"/>
  <c r="F931" i="5" s="1"/>
  <c r="M932" i="5"/>
  <c r="F932" i="5" s="1"/>
  <c r="M936" i="5"/>
  <c r="F936" i="5" s="1"/>
  <c r="M937" i="5"/>
  <c r="F937" i="5" s="1"/>
  <c r="M938" i="5"/>
  <c r="F938" i="5" s="1"/>
  <c r="M939" i="5"/>
  <c r="F939" i="5" s="1"/>
  <c r="M943" i="5"/>
  <c r="F943" i="5" s="1"/>
  <c r="M944" i="5"/>
  <c r="F944" i="5" s="1"/>
  <c r="M945" i="5"/>
  <c r="F945" i="5" s="1"/>
  <c r="M946" i="5"/>
  <c r="F946" i="5" s="1"/>
  <c r="M950" i="5"/>
  <c r="F950" i="5" s="1"/>
  <c r="M951" i="5"/>
  <c r="F951" i="5" s="1"/>
  <c r="M952" i="5"/>
  <c r="F952" i="5" s="1"/>
  <c r="M953" i="5"/>
  <c r="F953" i="5" s="1"/>
  <c r="M957" i="5"/>
  <c r="F957" i="5" s="1"/>
  <c r="M958" i="5"/>
  <c r="F958" i="5" s="1"/>
  <c r="M959" i="5"/>
  <c r="F959" i="5" s="1"/>
  <c r="M960" i="5"/>
  <c r="F960" i="5" s="1"/>
  <c r="M964" i="5"/>
  <c r="F964" i="5" s="1"/>
  <c r="M965" i="5"/>
  <c r="F965" i="5" s="1"/>
  <c r="M966" i="5"/>
  <c r="F966" i="5" s="1"/>
  <c r="M967" i="5"/>
  <c r="F967" i="5" s="1"/>
  <c r="M971" i="5"/>
  <c r="F971" i="5" s="1"/>
  <c r="M972" i="5"/>
  <c r="F972" i="5" s="1"/>
  <c r="M973" i="5"/>
  <c r="F973" i="5" s="1"/>
  <c r="M974" i="5"/>
  <c r="F974" i="5" s="1"/>
  <c r="M978" i="5"/>
  <c r="F978" i="5" s="1"/>
  <c r="M979" i="5"/>
  <c r="F979" i="5" s="1"/>
  <c r="M980" i="5"/>
  <c r="F980" i="5" s="1"/>
  <c r="M981" i="5"/>
  <c r="F981" i="5" s="1"/>
  <c r="M985" i="5"/>
  <c r="F985" i="5" s="1"/>
  <c r="M986" i="5"/>
  <c r="F986" i="5" s="1"/>
  <c r="M987" i="5"/>
  <c r="F987" i="5" s="1"/>
  <c r="M988" i="5"/>
  <c r="F988" i="5" s="1"/>
  <c r="M992" i="5"/>
  <c r="F992" i="5" s="1"/>
  <c r="M993" i="5"/>
  <c r="F993" i="5" s="1"/>
  <c r="M994" i="5"/>
  <c r="F994" i="5" s="1"/>
  <c r="M995" i="5"/>
  <c r="F995" i="5" s="1"/>
  <c r="M999" i="5"/>
  <c r="F999" i="5" s="1"/>
  <c r="M1000" i="5"/>
  <c r="F1000" i="5" s="1"/>
  <c r="M1001" i="5"/>
  <c r="F1001" i="5" s="1"/>
  <c r="M1002" i="5"/>
  <c r="F1002" i="5" s="1"/>
  <c r="M1006" i="5"/>
  <c r="F1006" i="5" s="1"/>
  <c r="M1007" i="5"/>
  <c r="F1007" i="5" s="1"/>
  <c r="M1008" i="5"/>
  <c r="F1008" i="5" s="1"/>
  <c r="M1009" i="5"/>
  <c r="F1009" i="5" s="1"/>
  <c r="M1013" i="5"/>
  <c r="F1013" i="5" s="1"/>
  <c r="M1014" i="5"/>
  <c r="F1014" i="5" s="1"/>
  <c r="M1015" i="5"/>
  <c r="F1015" i="5" s="1"/>
  <c r="M1016" i="5"/>
  <c r="F1016" i="5" s="1"/>
  <c r="M1020" i="5"/>
  <c r="F1020" i="5" s="1"/>
  <c r="M1021" i="5"/>
  <c r="F1021" i="5" s="1"/>
  <c r="M1022" i="5"/>
  <c r="F1022" i="5" s="1"/>
  <c r="M1023" i="5"/>
  <c r="F1023" i="5" s="1"/>
  <c r="M1027" i="5"/>
  <c r="F1027" i="5" s="1"/>
  <c r="M1028" i="5"/>
  <c r="F1028" i="5" s="1"/>
  <c r="M1029" i="5"/>
  <c r="F1029" i="5" s="1"/>
  <c r="M1030" i="5"/>
  <c r="F1030" i="5" s="1"/>
  <c r="M1034" i="5"/>
  <c r="F1034" i="5" s="1"/>
  <c r="M1035" i="5"/>
  <c r="F1035" i="5" s="1"/>
  <c r="M1036" i="5"/>
  <c r="F1036" i="5" s="1"/>
  <c r="M1037" i="5"/>
  <c r="F1037" i="5" s="1"/>
  <c r="M1041" i="5"/>
  <c r="F1041" i="5" s="1"/>
  <c r="M1042" i="5"/>
  <c r="F1042" i="5" s="1"/>
  <c r="M1043" i="5"/>
  <c r="F1043" i="5" s="1"/>
  <c r="M1044" i="5"/>
  <c r="F1044" i="5" s="1"/>
  <c r="M1048" i="5"/>
  <c r="F1048" i="5" s="1"/>
  <c r="M1049" i="5"/>
  <c r="F1049" i="5" s="1"/>
  <c r="M1050" i="5"/>
  <c r="F1050" i="5" s="1"/>
  <c r="M1051" i="5"/>
  <c r="F1051" i="5" s="1"/>
  <c r="M1055" i="5"/>
  <c r="F1055" i="5" s="1"/>
  <c r="M1056" i="5"/>
  <c r="F1056" i="5" s="1"/>
  <c r="M1057" i="5"/>
  <c r="F1057" i="5" s="1"/>
  <c r="M1058" i="5"/>
  <c r="F1058" i="5" s="1"/>
  <c r="M1062" i="5"/>
  <c r="F1062" i="5" s="1"/>
  <c r="M1063" i="5"/>
  <c r="F1063" i="5" s="1"/>
  <c r="M1064" i="5"/>
  <c r="F1064" i="5" s="1"/>
  <c r="M1065" i="5"/>
  <c r="F1065" i="5" s="1"/>
  <c r="M1069" i="5"/>
  <c r="F1069" i="5" s="1"/>
  <c r="M1070" i="5"/>
  <c r="F1070" i="5" s="1"/>
  <c r="M1071" i="5"/>
  <c r="F1071" i="5" s="1"/>
  <c r="M1072" i="5"/>
  <c r="F1072" i="5" s="1"/>
  <c r="M1076" i="5"/>
  <c r="F1076" i="5" s="1"/>
  <c r="M1077" i="5"/>
  <c r="F1077" i="5" s="1"/>
  <c r="M1078" i="5"/>
  <c r="F1078" i="5" s="1"/>
  <c r="M1079" i="5"/>
  <c r="F1079" i="5" s="1"/>
  <c r="M1083" i="5"/>
  <c r="F1083" i="5" s="1"/>
  <c r="M1084" i="5"/>
  <c r="F1084" i="5" s="1"/>
  <c r="M1085" i="5"/>
  <c r="F1085" i="5" s="1"/>
  <c r="M1086" i="5"/>
  <c r="F1086" i="5" s="1"/>
  <c r="M1090" i="5"/>
  <c r="F1090" i="5" s="1"/>
  <c r="M1091" i="5"/>
  <c r="F1091" i="5" s="1"/>
  <c r="M1092" i="5"/>
  <c r="F1092" i="5" s="1"/>
  <c r="M1093" i="5"/>
  <c r="F1093" i="5" s="1"/>
  <c r="M1097" i="5"/>
  <c r="F1097" i="5" s="1"/>
  <c r="M1098" i="5"/>
  <c r="F1098" i="5" s="1"/>
  <c r="M1099" i="5"/>
  <c r="F1099" i="5" s="1"/>
  <c r="M1100" i="5"/>
  <c r="F1100" i="5" s="1"/>
  <c r="M1104" i="5"/>
  <c r="F1104" i="5" s="1"/>
  <c r="M1105" i="5"/>
  <c r="F1105" i="5" s="1"/>
  <c r="M1106" i="5"/>
  <c r="F1106" i="5" s="1"/>
  <c r="M1107" i="5"/>
  <c r="F1107" i="5" s="1"/>
  <c r="M1111" i="5"/>
  <c r="F1111" i="5" s="1"/>
  <c r="M1112" i="5"/>
  <c r="F1112" i="5" s="1"/>
  <c r="M1113" i="5"/>
  <c r="F1113" i="5" s="1"/>
  <c r="M1114" i="5"/>
  <c r="F1114" i="5" s="1"/>
  <c r="M1118" i="5"/>
  <c r="F1118" i="5" s="1"/>
  <c r="M1119" i="5"/>
  <c r="F1119" i="5" s="1"/>
  <c r="M1120" i="5"/>
  <c r="F1120" i="5" s="1"/>
  <c r="M1121" i="5"/>
  <c r="F1121" i="5" s="1"/>
  <c r="M1125" i="5"/>
  <c r="F1125" i="5" s="1"/>
  <c r="M1126" i="5"/>
  <c r="F1126" i="5" s="1"/>
  <c r="M1127" i="5"/>
  <c r="F1127" i="5" s="1"/>
  <c r="M1128" i="5"/>
  <c r="F1128" i="5" s="1"/>
  <c r="M1132" i="5"/>
  <c r="F1132" i="5" s="1"/>
  <c r="M1133" i="5"/>
  <c r="F1133" i="5" s="1"/>
  <c r="M1134" i="5"/>
  <c r="F1134" i="5" s="1"/>
  <c r="M1135" i="5"/>
  <c r="F1135" i="5" s="1"/>
  <c r="M1139" i="5"/>
  <c r="F1139" i="5" s="1"/>
  <c r="M1140" i="5"/>
  <c r="F1140" i="5" s="1"/>
  <c r="M1141" i="5"/>
  <c r="F1141" i="5" s="1"/>
  <c r="M1142" i="5"/>
  <c r="F1142" i="5" s="1"/>
  <c r="M1146" i="5"/>
  <c r="F1146" i="5" s="1"/>
  <c r="M1147" i="5"/>
  <c r="F1147" i="5" s="1"/>
  <c r="M1148" i="5"/>
  <c r="F1148" i="5" s="1"/>
  <c r="M1149" i="5"/>
  <c r="F1149" i="5" s="1"/>
  <c r="M1153" i="5"/>
  <c r="F1153" i="5" s="1"/>
  <c r="M1154" i="5"/>
  <c r="F1154" i="5" s="1"/>
  <c r="M1155" i="5"/>
  <c r="F1155" i="5" s="1"/>
  <c r="M1156" i="5"/>
  <c r="F1156" i="5" s="1"/>
  <c r="M1160" i="5"/>
  <c r="F1160" i="5" s="1"/>
  <c r="M1161" i="5"/>
  <c r="F1161" i="5" s="1"/>
  <c r="M1162" i="5"/>
  <c r="F1162" i="5" s="1"/>
  <c r="M1163" i="5"/>
  <c r="F1163" i="5" s="1"/>
  <c r="M1167" i="5"/>
  <c r="F1167" i="5" s="1"/>
  <c r="M1168" i="5"/>
  <c r="F1168" i="5" s="1"/>
  <c r="M1169" i="5"/>
  <c r="F1169" i="5" s="1"/>
  <c r="M1170" i="5"/>
  <c r="F1170" i="5" s="1"/>
  <c r="M1174" i="5"/>
  <c r="F1174" i="5" s="1"/>
  <c r="M1175" i="5"/>
  <c r="F1175" i="5" s="1"/>
  <c r="M1176" i="5"/>
  <c r="F1176" i="5" s="1"/>
  <c r="M1177" i="5"/>
  <c r="F1177" i="5" s="1"/>
  <c r="M1181" i="5"/>
  <c r="F1181" i="5" s="1"/>
  <c r="M1182" i="5"/>
  <c r="F1182" i="5" s="1"/>
  <c r="M1183" i="5"/>
  <c r="F1183" i="5" s="1"/>
  <c r="M1184" i="5"/>
  <c r="F1184" i="5" s="1"/>
  <c r="M1188" i="5"/>
  <c r="F1188" i="5" s="1"/>
  <c r="M1189" i="5"/>
  <c r="F1189" i="5" s="1"/>
  <c r="M1190" i="5"/>
  <c r="F1190" i="5" s="1"/>
  <c r="M1191" i="5"/>
  <c r="F1191" i="5" s="1"/>
  <c r="M1195" i="5"/>
  <c r="F1195" i="5" s="1"/>
  <c r="M1196" i="5"/>
  <c r="F1196" i="5" s="1"/>
  <c r="M1197" i="5"/>
  <c r="F1197" i="5" s="1"/>
  <c r="M1198" i="5"/>
  <c r="F1198" i="5" s="1"/>
  <c r="M1202" i="5"/>
  <c r="F1202" i="5" s="1"/>
  <c r="M1203" i="5"/>
  <c r="F1203" i="5" s="1"/>
  <c r="M1204" i="5"/>
  <c r="F1204" i="5" s="1"/>
  <c r="M1205" i="5"/>
  <c r="F1205" i="5" s="1"/>
  <c r="M1209" i="5"/>
  <c r="F1209" i="5" s="1"/>
  <c r="M1210" i="5"/>
  <c r="F1210" i="5" s="1"/>
  <c r="M1211" i="5"/>
  <c r="F1211" i="5" s="1"/>
  <c r="M1212" i="5"/>
  <c r="F1212" i="5" s="1"/>
  <c r="M1216" i="5"/>
  <c r="F1216" i="5" s="1"/>
  <c r="M1217" i="5"/>
  <c r="F1217" i="5" s="1"/>
  <c r="M1218" i="5"/>
  <c r="F1218" i="5" s="1"/>
  <c r="M1219" i="5"/>
  <c r="F1219" i="5" s="1"/>
  <c r="M1224" i="5"/>
  <c r="F1224" i="5" s="1"/>
  <c r="M1225" i="5"/>
  <c r="F1225" i="5" s="1"/>
  <c r="M1229" i="5"/>
  <c r="F1229" i="5" s="1"/>
  <c r="M1230" i="5"/>
  <c r="F1230" i="5" s="1"/>
  <c r="M1231" i="5"/>
  <c r="F1231" i="5" s="1"/>
  <c r="M1235" i="5"/>
  <c r="F1235" i="5" s="1"/>
  <c r="M1236" i="5"/>
  <c r="F1236" i="5" s="1"/>
  <c r="M1237" i="5"/>
  <c r="F1237" i="5" s="1"/>
  <c r="M1241" i="5"/>
  <c r="F1241" i="5" s="1"/>
  <c r="M1242" i="5"/>
  <c r="F1242" i="5" s="1"/>
  <c r="M1243" i="5"/>
  <c r="F1243" i="5" s="1"/>
  <c r="M1247" i="5"/>
  <c r="F1247" i="5" s="1"/>
  <c r="M1248" i="5"/>
  <c r="F1248" i="5" s="1"/>
  <c r="M1249" i="5"/>
  <c r="F1249" i="5" s="1"/>
  <c r="M1253" i="5"/>
  <c r="F1253" i="5" s="1"/>
  <c r="M1259" i="5"/>
  <c r="F1259" i="5" s="1"/>
  <c r="M1261" i="5"/>
  <c r="F1261" i="5" s="1"/>
  <c r="M887" i="5"/>
  <c r="F887" i="5" s="1"/>
  <c r="AM887" i="5" s="1"/>
  <c r="M480" i="5"/>
  <c r="F480" i="5" s="1"/>
  <c r="M481" i="5"/>
  <c r="F481" i="5" s="1"/>
  <c r="M482" i="5"/>
  <c r="F482" i="5" s="1"/>
  <c r="M486" i="5"/>
  <c r="F486" i="5" s="1"/>
  <c r="M487" i="5"/>
  <c r="F487" i="5" s="1"/>
  <c r="M488" i="5"/>
  <c r="F488" i="5" s="1"/>
  <c r="M489" i="5"/>
  <c r="F489" i="5" s="1"/>
  <c r="M493" i="5"/>
  <c r="F493" i="5" s="1"/>
  <c r="M494" i="5"/>
  <c r="F494" i="5" s="1"/>
  <c r="M495" i="5"/>
  <c r="F495" i="5" s="1"/>
  <c r="M496" i="5"/>
  <c r="F496" i="5" s="1"/>
  <c r="M500" i="5"/>
  <c r="F500" i="5" s="1"/>
  <c r="M501" i="5"/>
  <c r="F501" i="5" s="1"/>
  <c r="M502" i="5"/>
  <c r="F502" i="5" s="1"/>
  <c r="M503" i="5"/>
  <c r="F503" i="5" s="1"/>
  <c r="M507" i="5"/>
  <c r="F507" i="5" s="1"/>
  <c r="M508" i="5"/>
  <c r="F508" i="5" s="1"/>
  <c r="M509" i="5"/>
  <c r="F509" i="5" s="1"/>
  <c r="M510" i="5"/>
  <c r="F510" i="5" s="1"/>
  <c r="M514" i="5"/>
  <c r="F514" i="5" s="1"/>
  <c r="M515" i="5"/>
  <c r="F515" i="5" s="1"/>
  <c r="M516" i="5"/>
  <c r="F516" i="5" s="1"/>
  <c r="M517" i="5"/>
  <c r="F517" i="5" s="1"/>
  <c r="M521" i="5"/>
  <c r="F521" i="5" s="1"/>
  <c r="M522" i="5"/>
  <c r="F522" i="5" s="1"/>
  <c r="M523" i="5"/>
  <c r="F523" i="5" s="1"/>
  <c r="M524" i="5"/>
  <c r="F524" i="5" s="1"/>
  <c r="M528" i="5"/>
  <c r="F528" i="5" s="1"/>
  <c r="M529" i="5"/>
  <c r="F529" i="5" s="1"/>
  <c r="M530" i="5"/>
  <c r="F530" i="5" s="1"/>
  <c r="M531" i="5"/>
  <c r="F531" i="5" s="1"/>
  <c r="M535" i="5"/>
  <c r="F535" i="5" s="1"/>
  <c r="M536" i="5"/>
  <c r="F536" i="5" s="1"/>
  <c r="M537" i="5"/>
  <c r="F537" i="5" s="1"/>
  <c r="M538" i="5"/>
  <c r="F538" i="5" s="1"/>
  <c r="M542" i="5"/>
  <c r="F542" i="5" s="1"/>
  <c r="M543" i="5"/>
  <c r="F543" i="5" s="1"/>
  <c r="M544" i="5"/>
  <c r="F544" i="5" s="1"/>
  <c r="M545" i="5"/>
  <c r="F545" i="5" s="1"/>
  <c r="M549" i="5"/>
  <c r="F549" i="5" s="1"/>
  <c r="M550" i="5"/>
  <c r="F550" i="5" s="1"/>
  <c r="M551" i="5"/>
  <c r="F551" i="5" s="1"/>
  <c r="M552" i="5"/>
  <c r="F552" i="5" s="1"/>
  <c r="M556" i="5"/>
  <c r="F556" i="5" s="1"/>
  <c r="M557" i="5"/>
  <c r="F557" i="5" s="1"/>
  <c r="M558" i="5"/>
  <c r="F558" i="5" s="1"/>
  <c r="M559" i="5"/>
  <c r="F559" i="5" s="1"/>
  <c r="M563" i="5"/>
  <c r="F563" i="5" s="1"/>
  <c r="M564" i="5"/>
  <c r="F564" i="5" s="1"/>
  <c r="M565" i="5"/>
  <c r="F565" i="5" s="1"/>
  <c r="M566" i="5"/>
  <c r="F566" i="5" s="1"/>
  <c r="M570" i="5"/>
  <c r="F570" i="5" s="1"/>
  <c r="M571" i="5"/>
  <c r="F571" i="5" s="1"/>
  <c r="M572" i="5"/>
  <c r="F572" i="5" s="1"/>
  <c r="M573" i="5"/>
  <c r="F573" i="5" s="1"/>
  <c r="M577" i="5"/>
  <c r="F577" i="5" s="1"/>
  <c r="M578" i="5"/>
  <c r="F578" i="5" s="1"/>
  <c r="M579" i="5"/>
  <c r="F579" i="5" s="1"/>
  <c r="M580" i="5"/>
  <c r="F580" i="5" s="1"/>
  <c r="M584" i="5"/>
  <c r="F584" i="5" s="1"/>
  <c r="M585" i="5"/>
  <c r="F585" i="5" s="1"/>
  <c r="M586" i="5"/>
  <c r="F586" i="5" s="1"/>
  <c r="M591" i="5"/>
  <c r="F591" i="5" s="1"/>
  <c r="M592" i="5"/>
  <c r="F592" i="5" s="1"/>
  <c r="M593" i="5"/>
  <c r="F593" i="5" s="1"/>
  <c r="M594" i="5"/>
  <c r="F594" i="5" s="1"/>
  <c r="M598" i="5"/>
  <c r="F598" i="5" s="1"/>
  <c r="M599" i="5"/>
  <c r="F599" i="5" s="1"/>
  <c r="M600" i="5"/>
  <c r="F600" i="5" s="1"/>
  <c r="M601" i="5"/>
  <c r="F601" i="5" s="1"/>
  <c r="M605" i="5"/>
  <c r="F605" i="5" s="1"/>
  <c r="M606" i="5"/>
  <c r="F606" i="5" s="1"/>
  <c r="M607" i="5"/>
  <c r="F607" i="5" s="1"/>
  <c r="M608" i="5"/>
  <c r="F608" i="5" s="1"/>
  <c r="M612" i="5"/>
  <c r="F612" i="5" s="1"/>
  <c r="M613" i="5"/>
  <c r="F613" i="5" s="1"/>
  <c r="M614" i="5"/>
  <c r="F614" i="5" s="1"/>
  <c r="M615" i="5"/>
  <c r="F615" i="5" s="1"/>
  <c r="M619" i="5"/>
  <c r="F619" i="5" s="1"/>
  <c r="M620" i="5"/>
  <c r="F620" i="5" s="1"/>
  <c r="M621" i="5"/>
  <c r="F621" i="5" s="1"/>
  <c r="M622" i="5"/>
  <c r="F622" i="5" s="1"/>
  <c r="M626" i="5"/>
  <c r="F626" i="5" s="1"/>
  <c r="M627" i="5"/>
  <c r="F627" i="5" s="1"/>
  <c r="M628" i="5"/>
  <c r="F628" i="5" s="1"/>
  <c r="M629" i="5"/>
  <c r="F629" i="5" s="1"/>
  <c r="M633" i="5"/>
  <c r="F633" i="5" s="1"/>
  <c r="M634" i="5"/>
  <c r="F634" i="5" s="1"/>
  <c r="M635" i="5"/>
  <c r="F635" i="5" s="1"/>
  <c r="M636" i="5"/>
  <c r="F636" i="5" s="1"/>
  <c r="M640" i="5"/>
  <c r="F640" i="5" s="1"/>
  <c r="M641" i="5"/>
  <c r="F641" i="5" s="1"/>
  <c r="M642" i="5"/>
  <c r="F642" i="5" s="1"/>
  <c r="M643" i="5"/>
  <c r="F643" i="5" s="1"/>
  <c r="M647" i="5"/>
  <c r="F647" i="5" s="1"/>
  <c r="M648" i="5"/>
  <c r="F648" i="5" s="1"/>
  <c r="M649" i="5"/>
  <c r="F649" i="5" s="1"/>
  <c r="M650" i="5"/>
  <c r="F650" i="5" s="1"/>
  <c r="M654" i="5"/>
  <c r="F654" i="5" s="1"/>
  <c r="M655" i="5"/>
  <c r="F655" i="5" s="1"/>
  <c r="M656" i="5"/>
  <c r="F656" i="5" s="1"/>
  <c r="M657" i="5"/>
  <c r="F657" i="5" s="1"/>
  <c r="M661" i="5"/>
  <c r="F661" i="5" s="1"/>
  <c r="M662" i="5"/>
  <c r="F662" i="5" s="1"/>
  <c r="M663" i="5"/>
  <c r="F663" i="5" s="1"/>
  <c r="M664" i="5"/>
  <c r="F664" i="5" s="1"/>
  <c r="M668" i="5"/>
  <c r="F668" i="5" s="1"/>
  <c r="M669" i="5"/>
  <c r="F669" i="5" s="1"/>
  <c r="M670" i="5"/>
  <c r="F670" i="5" s="1"/>
  <c r="M671" i="5"/>
  <c r="F671" i="5" s="1"/>
  <c r="M675" i="5"/>
  <c r="F675" i="5" s="1"/>
  <c r="M676" i="5"/>
  <c r="F676" i="5" s="1"/>
  <c r="M677" i="5"/>
  <c r="F677" i="5" s="1"/>
  <c r="M678" i="5"/>
  <c r="F678" i="5" s="1"/>
  <c r="M682" i="5"/>
  <c r="F682" i="5" s="1"/>
  <c r="M683" i="5"/>
  <c r="F683" i="5" s="1"/>
  <c r="M684" i="5"/>
  <c r="F684" i="5" s="1"/>
  <c r="M685" i="5"/>
  <c r="F685" i="5" s="1"/>
  <c r="M689" i="5"/>
  <c r="F689" i="5" s="1"/>
  <c r="M690" i="5"/>
  <c r="F690" i="5" s="1"/>
  <c r="M691" i="5"/>
  <c r="F691" i="5" s="1"/>
  <c r="M692" i="5"/>
  <c r="F692" i="5" s="1"/>
  <c r="M696" i="5"/>
  <c r="F696" i="5" s="1"/>
  <c r="M697" i="5"/>
  <c r="F697" i="5" s="1"/>
  <c r="M698" i="5"/>
  <c r="F698" i="5" s="1"/>
  <c r="M699" i="5"/>
  <c r="F699" i="5" s="1"/>
  <c r="M703" i="5"/>
  <c r="F703" i="5" s="1"/>
  <c r="M704" i="5"/>
  <c r="F704" i="5" s="1"/>
  <c r="M705" i="5"/>
  <c r="F705" i="5" s="1"/>
  <c r="M706" i="5"/>
  <c r="F706" i="5" s="1"/>
  <c r="M710" i="5"/>
  <c r="F710" i="5" s="1"/>
  <c r="M711" i="5"/>
  <c r="F711" i="5" s="1"/>
  <c r="M712" i="5"/>
  <c r="F712" i="5" s="1"/>
  <c r="M713" i="5"/>
  <c r="F713" i="5" s="1"/>
  <c r="M717" i="5"/>
  <c r="F717" i="5" s="1"/>
  <c r="M718" i="5"/>
  <c r="F718" i="5" s="1"/>
  <c r="M719" i="5"/>
  <c r="F719" i="5" s="1"/>
  <c r="M720" i="5"/>
  <c r="F720" i="5" s="1"/>
  <c r="M724" i="5"/>
  <c r="F724" i="5" s="1"/>
  <c r="M725" i="5"/>
  <c r="F725" i="5" s="1"/>
  <c r="M726" i="5"/>
  <c r="F726" i="5" s="1"/>
  <c r="M727" i="5"/>
  <c r="F727" i="5" s="1"/>
  <c r="M731" i="5"/>
  <c r="F731" i="5" s="1"/>
  <c r="M732" i="5"/>
  <c r="F732" i="5" s="1"/>
  <c r="M733" i="5"/>
  <c r="F733" i="5" s="1"/>
  <c r="M734" i="5"/>
  <c r="F734" i="5" s="1"/>
  <c r="M738" i="5"/>
  <c r="F738" i="5" s="1"/>
  <c r="M739" i="5"/>
  <c r="F739" i="5" s="1"/>
  <c r="M740" i="5"/>
  <c r="F740" i="5" s="1"/>
  <c r="M741" i="5"/>
  <c r="F741" i="5" s="1"/>
  <c r="M745" i="5"/>
  <c r="F745" i="5" s="1"/>
  <c r="M746" i="5"/>
  <c r="F746" i="5" s="1"/>
  <c r="M747" i="5"/>
  <c r="F747" i="5" s="1"/>
  <c r="M748" i="5"/>
  <c r="F748" i="5" s="1"/>
  <c r="M752" i="5"/>
  <c r="F752" i="5" s="1"/>
  <c r="M753" i="5"/>
  <c r="F753" i="5" s="1"/>
  <c r="M754" i="5"/>
  <c r="F754" i="5" s="1"/>
  <c r="M755" i="5"/>
  <c r="F755" i="5" s="1"/>
  <c r="M759" i="5"/>
  <c r="F759" i="5" s="1"/>
  <c r="M760" i="5"/>
  <c r="F760" i="5" s="1"/>
  <c r="M761" i="5"/>
  <c r="F761" i="5" s="1"/>
  <c r="M762" i="5"/>
  <c r="F762" i="5" s="1"/>
  <c r="M766" i="5"/>
  <c r="F766" i="5" s="1"/>
  <c r="M767" i="5"/>
  <c r="F767" i="5" s="1"/>
  <c r="M768" i="5"/>
  <c r="F768" i="5" s="1"/>
  <c r="M769" i="5"/>
  <c r="F769" i="5" s="1"/>
  <c r="M773" i="5"/>
  <c r="F773" i="5" s="1"/>
  <c r="M774" i="5"/>
  <c r="F774" i="5" s="1"/>
  <c r="M775" i="5"/>
  <c r="F775" i="5" s="1"/>
  <c r="M776" i="5"/>
  <c r="F776" i="5" s="1"/>
  <c r="M780" i="5"/>
  <c r="F780" i="5" s="1"/>
  <c r="M781" i="5"/>
  <c r="F781" i="5" s="1"/>
  <c r="M782" i="5"/>
  <c r="F782" i="5" s="1"/>
  <c r="M783" i="5"/>
  <c r="F783" i="5" s="1"/>
  <c r="M787" i="5"/>
  <c r="F787" i="5" s="1"/>
  <c r="M788" i="5"/>
  <c r="F788" i="5" s="1"/>
  <c r="M789" i="5"/>
  <c r="F789" i="5" s="1"/>
  <c r="M790" i="5"/>
  <c r="F790" i="5" s="1"/>
  <c r="M794" i="5"/>
  <c r="F794" i="5" s="1"/>
  <c r="M795" i="5"/>
  <c r="F795" i="5" s="1"/>
  <c r="M796" i="5"/>
  <c r="F796" i="5" s="1"/>
  <c r="M797" i="5"/>
  <c r="F797" i="5" s="1"/>
  <c r="M801" i="5"/>
  <c r="F801" i="5" s="1"/>
  <c r="M802" i="5"/>
  <c r="F802" i="5" s="1"/>
  <c r="M803" i="5"/>
  <c r="F803" i="5" s="1"/>
  <c r="M804" i="5"/>
  <c r="F804" i="5" s="1"/>
  <c r="M808" i="5"/>
  <c r="F808" i="5" s="1"/>
  <c r="M809" i="5"/>
  <c r="F809" i="5" s="1"/>
  <c r="M810" i="5"/>
  <c r="F810" i="5" s="1"/>
  <c r="M811" i="5"/>
  <c r="F811" i="5" s="1"/>
  <c r="M815" i="5"/>
  <c r="F815" i="5" s="1"/>
  <c r="M816" i="5"/>
  <c r="F816" i="5" s="1"/>
  <c r="M817" i="5"/>
  <c r="F817" i="5" s="1"/>
  <c r="M821" i="5"/>
  <c r="F821" i="5" s="1"/>
  <c r="M822" i="5"/>
  <c r="F822" i="5" s="1"/>
  <c r="M823" i="5"/>
  <c r="F823" i="5" s="1"/>
  <c r="M827" i="5"/>
  <c r="F827" i="5" s="1"/>
  <c r="M828" i="5"/>
  <c r="F828" i="5" s="1"/>
  <c r="M829" i="5"/>
  <c r="F829" i="5" s="1"/>
  <c r="M833" i="5"/>
  <c r="F833" i="5" s="1"/>
  <c r="M834" i="5"/>
  <c r="F834" i="5" s="1"/>
  <c r="M835" i="5"/>
  <c r="F835" i="5" s="1"/>
  <c r="M839" i="5"/>
  <c r="F839" i="5" s="1"/>
  <c r="M840" i="5"/>
  <c r="F840" i="5" s="1"/>
  <c r="M841" i="5"/>
  <c r="F841" i="5" s="1"/>
  <c r="M845" i="5"/>
  <c r="F845" i="5" s="1"/>
  <c r="M846" i="5"/>
  <c r="F846" i="5" s="1"/>
  <c r="M847" i="5"/>
  <c r="F847" i="5" s="1"/>
  <c r="M851" i="5"/>
  <c r="F851" i="5" s="1"/>
  <c r="M852" i="5"/>
  <c r="F852" i="5" s="1"/>
  <c r="M853" i="5"/>
  <c r="F853" i="5" s="1"/>
  <c r="M857" i="5"/>
  <c r="F857" i="5" s="1"/>
  <c r="M858" i="5"/>
  <c r="F858" i="5" s="1"/>
  <c r="M479" i="5"/>
  <c r="F479" i="5" s="1"/>
  <c r="AM479" i="5" s="1"/>
  <c r="M287" i="5"/>
  <c r="F287" i="5" s="1"/>
  <c r="M288" i="5"/>
  <c r="F288" i="5" s="1"/>
  <c r="M292" i="5"/>
  <c r="F292" i="5" s="1"/>
  <c r="M293" i="5"/>
  <c r="F293" i="5" s="1"/>
  <c r="M294" i="5"/>
  <c r="F294" i="5" s="1"/>
  <c r="M298" i="5"/>
  <c r="F298" i="5" s="1"/>
  <c r="M299" i="5"/>
  <c r="F299" i="5" s="1"/>
  <c r="M300" i="5"/>
  <c r="F300" i="5" s="1"/>
  <c r="M304" i="5"/>
  <c r="F304" i="5" s="1"/>
  <c r="M305" i="5"/>
  <c r="F305" i="5" s="1"/>
  <c r="M306" i="5"/>
  <c r="F306" i="5" s="1"/>
  <c r="M310" i="5"/>
  <c r="F310" i="5" s="1"/>
  <c r="M311" i="5"/>
  <c r="F311" i="5" s="1"/>
  <c r="M312" i="5"/>
  <c r="F312" i="5" s="1"/>
  <c r="M316" i="5"/>
  <c r="F316" i="5" s="1"/>
  <c r="M317" i="5"/>
  <c r="F317" i="5" s="1"/>
  <c r="M322" i="5"/>
  <c r="F322" i="5" s="1"/>
  <c r="M323" i="5"/>
  <c r="F323" i="5" s="1"/>
  <c r="M324" i="5"/>
  <c r="F324" i="5" s="1"/>
  <c r="M328" i="5"/>
  <c r="F328" i="5" s="1"/>
  <c r="M329" i="5"/>
  <c r="F329" i="5" s="1"/>
  <c r="M330" i="5"/>
  <c r="F330" i="5" s="1"/>
  <c r="M334" i="5"/>
  <c r="F334" i="5" s="1"/>
  <c r="M335" i="5"/>
  <c r="F335" i="5" s="1"/>
  <c r="M336" i="5"/>
  <c r="F336" i="5" s="1"/>
  <c r="M340" i="5"/>
  <c r="F340" i="5" s="1"/>
  <c r="M341" i="5"/>
  <c r="F341" i="5" s="1"/>
  <c r="M342" i="5"/>
  <c r="F342" i="5" s="1"/>
  <c r="M346" i="5"/>
  <c r="F346" i="5" s="1"/>
  <c r="M347" i="5"/>
  <c r="F347" i="5" s="1"/>
  <c r="M348" i="5"/>
  <c r="F348" i="5" s="1"/>
  <c r="M352" i="5"/>
  <c r="F352" i="5" s="1"/>
  <c r="M353" i="5"/>
  <c r="F353" i="5" s="1"/>
  <c r="M354" i="5"/>
  <c r="F354" i="5" s="1"/>
  <c r="M358" i="5"/>
  <c r="F358" i="5" s="1"/>
  <c r="M359" i="5"/>
  <c r="F359" i="5" s="1"/>
  <c r="M360" i="5"/>
  <c r="F360" i="5" s="1"/>
  <c r="M364" i="5"/>
  <c r="F364" i="5" s="1"/>
  <c r="M365" i="5"/>
  <c r="F365" i="5" s="1"/>
  <c r="M366" i="5"/>
  <c r="F366" i="5" s="1"/>
  <c r="M370" i="5"/>
  <c r="F370" i="5" s="1"/>
  <c r="M371" i="5"/>
  <c r="F371" i="5" s="1"/>
  <c r="M372" i="5"/>
  <c r="F372" i="5" s="1"/>
  <c r="M376" i="5"/>
  <c r="F376" i="5" s="1"/>
  <c r="M377" i="5"/>
  <c r="F377" i="5" s="1"/>
  <c r="M378" i="5"/>
  <c r="F378" i="5" s="1"/>
  <c r="M382" i="5"/>
  <c r="F382" i="5" s="1"/>
  <c r="M383" i="5"/>
  <c r="F383" i="5" s="1"/>
  <c r="M384" i="5"/>
  <c r="F384" i="5" s="1"/>
  <c r="M388" i="5"/>
  <c r="F388" i="5" s="1"/>
  <c r="M389" i="5"/>
  <c r="F389" i="5" s="1"/>
  <c r="M390" i="5"/>
  <c r="F390" i="5" s="1"/>
  <c r="M394" i="5"/>
  <c r="F394" i="5" s="1"/>
  <c r="M395" i="5"/>
  <c r="F395" i="5" s="1"/>
  <c r="M396" i="5"/>
  <c r="F396" i="5" s="1"/>
  <c r="M400" i="5"/>
  <c r="F400" i="5" s="1"/>
  <c r="M401" i="5"/>
  <c r="F401" i="5" s="1"/>
  <c r="M402" i="5"/>
  <c r="F402" i="5" s="1"/>
  <c r="M406" i="5"/>
  <c r="F406" i="5" s="1"/>
  <c r="M407" i="5"/>
  <c r="F407" i="5" s="1"/>
  <c r="M408" i="5"/>
  <c r="F408" i="5" s="1"/>
  <c r="M412" i="5"/>
  <c r="F412" i="5" s="1"/>
  <c r="M413" i="5"/>
  <c r="F413" i="5" s="1"/>
  <c r="M414" i="5"/>
  <c r="F414" i="5" s="1"/>
  <c r="M418" i="5"/>
  <c r="F418" i="5" s="1"/>
  <c r="M419" i="5"/>
  <c r="F419" i="5" s="1"/>
  <c r="M420" i="5"/>
  <c r="F420" i="5" s="1"/>
  <c r="M424" i="5"/>
  <c r="F424" i="5" s="1"/>
  <c r="M425" i="5"/>
  <c r="F425" i="5" s="1"/>
  <c r="M426" i="5"/>
  <c r="F426" i="5" s="1"/>
  <c r="M430" i="5"/>
  <c r="F430" i="5" s="1"/>
  <c r="M431" i="5"/>
  <c r="F431" i="5" s="1"/>
  <c r="M435" i="5"/>
  <c r="F435" i="5" s="1"/>
  <c r="M436" i="5"/>
  <c r="F436" i="5" s="1"/>
  <c r="M440" i="5"/>
  <c r="F440" i="5" s="1"/>
  <c r="M441" i="5"/>
  <c r="F441" i="5" s="1"/>
  <c r="M445" i="5"/>
  <c r="F445" i="5" s="1"/>
  <c r="M446" i="5"/>
  <c r="F446" i="5" s="1"/>
  <c r="M450" i="5"/>
  <c r="F450" i="5" s="1"/>
  <c r="M451" i="5"/>
  <c r="F451" i="5" s="1"/>
  <c r="M286" i="5"/>
  <c r="F286" i="5" s="1"/>
  <c r="C4027" i="5"/>
  <c r="C4028" i="5"/>
  <c r="C4029" i="5"/>
  <c r="C4030" i="5"/>
  <c r="N3022" i="5"/>
  <c r="M3022" i="5" s="1"/>
  <c r="F3022" i="5" s="1"/>
  <c r="L3022" i="5" s="1"/>
  <c r="F68" i="5"/>
  <c r="N4177" i="5"/>
  <c r="O3839" i="5"/>
  <c r="N3840" i="5"/>
  <c r="M3840" i="5" s="1"/>
  <c r="F3840" i="5" s="1"/>
  <c r="L3840" i="5" s="1"/>
  <c r="N3023" i="5"/>
  <c r="M3023" i="5" s="1"/>
  <c r="F3023" i="5" s="1"/>
  <c r="L3023" i="5" s="1"/>
  <c r="N3024" i="5"/>
  <c r="N3025" i="5"/>
  <c r="N3026" i="5"/>
  <c r="N3027" i="5"/>
  <c r="N3028" i="5"/>
  <c r="N3029" i="5"/>
  <c r="N3030" i="5"/>
  <c r="N3031" i="5"/>
  <c r="N3032" i="5"/>
  <c r="N3033" i="5"/>
  <c r="N3034" i="5"/>
  <c r="N3035" i="5"/>
  <c r="N3036" i="5"/>
  <c r="N3037" i="5"/>
  <c r="N3038" i="5"/>
  <c r="N3039" i="5"/>
  <c r="N3040" i="5"/>
  <c r="N3041" i="5"/>
  <c r="N3042" i="5"/>
  <c r="N3043" i="5"/>
  <c r="N3044" i="5"/>
  <c r="N3045" i="5"/>
  <c r="N3046" i="5"/>
  <c r="N3047" i="5"/>
  <c r="N3048" i="5"/>
  <c r="N3049" i="5"/>
  <c r="N3050" i="5"/>
  <c r="N3051" i="5"/>
  <c r="N3052" i="5"/>
  <c r="N3053" i="5"/>
  <c r="N3054" i="5"/>
  <c r="N3055" i="5"/>
  <c r="N3056" i="5"/>
  <c r="N3057" i="5"/>
  <c r="N3058" i="5"/>
  <c r="N3059" i="5"/>
  <c r="N3060" i="5"/>
  <c r="N3061" i="5"/>
  <c r="N3062" i="5"/>
  <c r="N3063" i="5"/>
  <c r="N3064" i="5"/>
  <c r="N3065" i="5"/>
  <c r="N3066" i="5"/>
  <c r="N3067" i="5"/>
  <c r="N3068" i="5"/>
  <c r="N3069" i="5"/>
  <c r="N3070" i="5"/>
  <c r="N3071" i="5"/>
  <c r="M3071" i="5" s="1"/>
  <c r="F3071" i="5" s="1"/>
  <c r="L3071" i="5" s="1"/>
  <c r="N3072" i="5"/>
  <c r="N3073" i="5"/>
  <c r="N3075" i="5"/>
  <c r="N3076" i="5"/>
  <c r="N3077" i="5"/>
  <c r="N3078" i="5"/>
  <c r="N3079" i="5"/>
  <c r="N3080" i="5"/>
  <c r="N3081" i="5"/>
  <c r="N3082" i="5"/>
  <c r="N3083" i="5"/>
  <c r="N3084" i="5"/>
  <c r="N3085" i="5"/>
  <c r="N3086" i="5"/>
  <c r="N3087" i="5"/>
  <c r="N3088" i="5"/>
  <c r="N3089" i="5"/>
  <c r="N3090" i="5"/>
  <c r="N3091" i="5"/>
  <c r="N3092" i="5"/>
  <c r="N3093" i="5"/>
  <c r="N3094" i="5"/>
  <c r="N3095" i="5"/>
  <c r="N3096" i="5"/>
  <c r="N3097" i="5"/>
  <c r="N3098" i="5"/>
  <c r="N3099" i="5"/>
  <c r="N3100" i="5"/>
  <c r="N3101" i="5"/>
  <c r="N3102" i="5"/>
  <c r="N3103" i="5"/>
  <c r="N3104" i="5"/>
  <c r="N3105" i="5"/>
  <c r="N3106" i="5"/>
  <c r="N3107" i="5"/>
  <c r="N3108" i="5"/>
  <c r="N3109" i="5"/>
  <c r="N3110" i="5"/>
  <c r="N3111" i="5"/>
  <c r="N3112" i="5"/>
  <c r="N3113" i="5"/>
  <c r="N3114" i="5"/>
  <c r="N3115" i="5"/>
  <c r="N3116" i="5"/>
  <c r="N3117" i="5"/>
  <c r="N3118" i="5"/>
  <c r="M3118" i="5" s="1"/>
  <c r="F3118" i="5" s="1"/>
  <c r="L3118" i="5" s="1"/>
  <c r="N3119" i="5"/>
  <c r="N3120" i="5"/>
  <c r="N3121" i="5"/>
  <c r="N3122" i="5"/>
  <c r="M3122" i="5" s="1"/>
  <c r="F3122" i="5" s="1"/>
  <c r="L3122" i="5" s="1"/>
  <c r="N3123" i="5"/>
  <c r="N3124" i="5"/>
  <c r="N3125" i="5"/>
  <c r="N3126" i="5"/>
  <c r="N3127" i="5"/>
  <c r="N3128" i="5"/>
  <c r="N3129" i="5"/>
  <c r="N3130" i="5"/>
  <c r="N3131" i="5"/>
  <c r="N3132" i="5"/>
  <c r="N3133" i="5"/>
  <c r="N3134" i="5"/>
  <c r="N3135" i="5"/>
  <c r="N3136" i="5"/>
  <c r="N3137" i="5"/>
  <c r="N3138" i="5"/>
  <c r="N3139" i="5"/>
  <c r="N3140" i="5"/>
  <c r="N3141" i="5"/>
  <c r="N3142" i="5"/>
  <c r="N3143" i="5"/>
  <c r="N3144" i="5"/>
  <c r="N3145" i="5"/>
  <c r="N3146" i="5"/>
  <c r="N3147" i="5"/>
  <c r="N3148" i="5"/>
  <c r="N3149" i="5"/>
  <c r="N3150" i="5"/>
  <c r="N3151" i="5"/>
  <c r="N3152" i="5"/>
  <c r="N3153" i="5"/>
  <c r="N3154" i="5"/>
  <c r="N3155" i="5"/>
  <c r="N3156" i="5"/>
  <c r="N3157" i="5"/>
  <c r="N3158" i="5"/>
  <c r="N3159" i="5"/>
  <c r="N3160" i="5"/>
  <c r="N3161" i="5"/>
  <c r="N3162" i="5"/>
  <c r="N3163" i="5"/>
  <c r="N3164" i="5"/>
  <c r="N3165" i="5"/>
  <c r="N3166" i="5"/>
  <c r="N3167" i="5"/>
  <c r="N3168" i="5"/>
  <c r="N3169" i="5"/>
  <c r="N3170" i="5"/>
  <c r="N3171" i="5"/>
  <c r="N3172" i="5"/>
  <c r="N3173" i="5"/>
  <c r="N3174" i="5"/>
  <c r="N3175" i="5"/>
  <c r="N3176" i="5"/>
  <c r="N3177" i="5"/>
  <c r="N3178" i="5"/>
  <c r="N3179" i="5"/>
  <c r="N3180" i="5"/>
  <c r="N3181" i="5"/>
  <c r="N3182" i="5"/>
  <c r="N3183" i="5"/>
  <c r="N3184" i="5"/>
  <c r="N3185" i="5"/>
  <c r="N3186" i="5"/>
  <c r="N3187" i="5"/>
  <c r="N3188" i="5"/>
  <c r="N3189" i="5"/>
  <c r="N3190" i="5"/>
  <c r="N3191" i="5"/>
  <c r="N3192" i="5"/>
  <c r="N3193" i="5"/>
  <c r="N3194" i="5"/>
  <c r="N3195" i="5"/>
  <c r="N3196" i="5"/>
  <c r="N3197" i="5"/>
  <c r="N3198" i="5"/>
  <c r="N3199" i="5"/>
  <c r="N3200" i="5"/>
  <c r="N3201" i="5"/>
  <c r="N3202" i="5"/>
  <c r="N3203" i="5"/>
  <c r="N3204" i="5"/>
  <c r="N3205" i="5"/>
  <c r="N3206" i="5"/>
  <c r="N3207" i="5"/>
  <c r="N3208" i="5"/>
  <c r="N3209" i="5"/>
  <c r="N3210" i="5"/>
  <c r="N3211" i="5"/>
  <c r="N3212" i="5"/>
  <c r="N3213" i="5"/>
  <c r="N3214" i="5"/>
  <c r="M3214" i="5" s="1"/>
  <c r="F3214" i="5" s="1"/>
  <c r="L3214" i="5" s="1"/>
  <c r="N3215" i="5"/>
  <c r="N3216" i="5"/>
  <c r="N3217" i="5"/>
  <c r="N3218" i="5"/>
  <c r="N3219" i="5"/>
  <c r="N3220" i="5"/>
  <c r="N3221" i="5"/>
  <c r="N3222" i="5"/>
  <c r="N3223" i="5"/>
  <c r="N3224" i="5"/>
  <c r="N3225" i="5"/>
  <c r="N3226" i="5"/>
  <c r="N3227" i="5"/>
  <c r="N3228" i="5"/>
  <c r="N3229" i="5"/>
  <c r="N3230" i="5"/>
  <c r="N3232" i="5"/>
  <c r="N3233" i="5"/>
  <c r="N3234" i="5"/>
  <c r="N3235" i="5"/>
  <c r="N3236" i="5"/>
  <c r="N3237" i="5"/>
  <c r="N3238" i="5"/>
  <c r="A3023" i="5"/>
  <c r="C3023" i="5"/>
  <c r="A3024" i="5"/>
  <c r="C3024" i="5"/>
  <c r="A3025" i="5"/>
  <c r="C3025" i="5"/>
  <c r="A3026" i="5"/>
  <c r="C3026" i="5"/>
  <c r="A3027" i="5"/>
  <c r="C3027" i="5"/>
  <c r="A3028" i="5"/>
  <c r="C3028" i="5"/>
  <c r="A3029" i="5"/>
  <c r="C3029" i="5"/>
  <c r="A3030" i="5"/>
  <c r="C3030" i="5"/>
  <c r="A3031" i="5"/>
  <c r="C3031" i="5"/>
  <c r="A3032" i="5"/>
  <c r="C3032" i="5"/>
  <c r="A3033" i="5"/>
  <c r="C3033" i="5"/>
  <c r="A3034" i="5"/>
  <c r="C3034" i="5"/>
  <c r="A3035" i="5"/>
  <c r="C3035" i="5"/>
  <c r="A3036" i="5"/>
  <c r="C3036" i="5"/>
  <c r="A3037" i="5"/>
  <c r="C3037" i="5"/>
  <c r="A3038" i="5"/>
  <c r="C3038" i="5"/>
  <c r="A3039" i="5"/>
  <c r="C3039" i="5"/>
  <c r="A3040" i="5"/>
  <c r="C3040" i="5"/>
  <c r="A3041" i="5"/>
  <c r="C3041" i="5"/>
  <c r="A3042" i="5"/>
  <c r="C3042" i="5"/>
  <c r="A3043" i="5"/>
  <c r="C3043" i="5"/>
  <c r="A3044" i="5"/>
  <c r="C3044" i="5"/>
  <c r="A3045" i="5"/>
  <c r="C3045" i="5"/>
  <c r="A3046" i="5"/>
  <c r="C3046" i="5"/>
  <c r="A3047" i="5"/>
  <c r="C3047" i="5"/>
  <c r="A3048" i="5"/>
  <c r="C3048" i="5"/>
  <c r="A3049" i="5"/>
  <c r="C3049" i="5"/>
  <c r="A3050" i="5"/>
  <c r="C3050" i="5"/>
  <c r="A3051" i="5"/>
  <c r="C3051" i="5"/>
  <c r="A3052" i="5"/>
  <c r="C3052" i="5"/>
  <c r="A3053" i="5"/>
  <c r="C3053" i="5"/>
  <c r="A3054" i="5"/>
  <c r="C3054" i="5"/>
  <c r="A3055" i="5"/>
  <c r="C3055" i="5"/>
  <c r="A3056" i="5"/>
  <c r="C3056" i="5"/>
  <c r="A3057" i="5"/>
  <c r="C3057" i="5"/>
  <c r="A3058" i="5"/>
  <c r="C3058" i="5"/>
  <c r="A3059" i="5"/>
  <c r="C3059" i="5"/>
  <c r="A3060" i="5"/>
  <c r="C3060" i="5"/>
  <c r="A3061" i="5"/>
  <c r="C3061" i="5"/>
  <c r="A3062" i="5"/>
  <c r="C3062" i="5"/>
  <c r="A3063" i="5"/>
  <c r="C3063" i="5"/>
  <c r="A3064" i="5"/>
  <c r="C3064" i="5"/>
  <c r="A3065" i="5"/>
  <c r="C3065" i="5"/>
  <c r="A3066" i="5"/>
  <c r="C3066" i="5"/>
  <c r="A3067" i="5"/>
  <c r="C3067" i="5"/>
  <c r="A3068" i="5"/>
  <c r="C3068" i="5"/>
  <c r="A3069" i="5"/>
  <c r="C3069" i="5"/>
  <c r="A3070" i="5"/>
  <c r="C3070" i="5"/>
  <c r="A3071" i="5"/>
  <c r="C3071" i="5"/>
  <c r="A3072" i="5"/>
  <c r="C3072" i="5"/>
  <c r="A3073" i="5"/>
  <c r="C3073" i="5"/>
  <c r="A3074" i="5"/>
  <c r="C3074" i="5"/>
  <c r="A3075" i="5"/>
  <c r="C3075" i="5"/>
  <c r="A3076" i="5"/>
  <c r="C3076" i="5"/>
  <c r="A3077" i="5"/>
  <c r="C3077" i="5"/>
  <c r="A3078" i="5"/>
  <c r="C3078" i="5"/>
  <c r="A3079" i="5"/>
  <c r="C3079" i="5"/>
  <c r="A3080" i="5"/>
  <c r="C3080" i="5"/>
  <c r="A3081" i="5"/>
  <c r="C3081" i="5"/>
  <c r="A3082" i="5"/>
  <c r="C3082" i="5"/>
  <c r="A3083" i="5"/>
  <c r="C3083" i="5"/>
  <c r="A3084" i="5"/>
  <c r="C3084" i="5"/>
  <c r="A3085" i="5"/>
  <c r="C3085" i="5"/>
  <c r="A3086" i="5"/>
  <c r="C3086" i="5"/>
  <c r="A3087" i="5"/>
  <c r="C3087" i="5"/>
  <c r="A3088" i="5"/>
  <c r="C3088" i="5"/>
  <c r="A3089" i="5"/>
  <c r="C3089" i="5"/>
  <c r="A3090" i="5"/>
  <c r="C3090" i="5"/>
  <c r="A3091" i="5"/>
  <c r="C3091" i="5"/>
  <c r="A3092" i="5"/>
  <c r="C3092" i="5"/>
  <c r="A3093" i="5"/>
  <c r="C3093" i="5"/>
  <c r="A3094" i="5"/>
  <c r="C3094" i="5"/>
  <c r="A3095" i="5"/>
  <c r="C3095" i="5"/>
  <c r="A3096" i="5"/>
  <c r="C3096" i="5"/>
  <c r="A3097" i="5"/>
  <c r="C3097" i="5"/>
  <c r="A3098" i="5"/>
  <c r="C3098" i="5"/>
  <c r="A3099" i="5"/>
  <c r="C3099" i="5"/>
  <c r="A3100" i="5"/>
  <c r="C3100" i="5"/>
  <c r="A3101" i="5"/>
  <c r="C3101" i="5"/>
  <c r="A3102" i="5"/>
  <c r="C3102" i="5"/>
  <c r="A3103" i="5"/>
  <c r="C3103" i="5"/>
  <c r="A3104" i="5"/>
  <c r="C3104" i="5"/>
  <c r="A3105" i="5"/>
  <c r="C3105" i="5"/>
  <c r="A3106" i="5"/>
  <c r="C3106" i="5"/>
  <c r="A3107" i="5"/>
  <c r="C3107" i="5"/>
  <c r="A3108" i="5"/>
  <c r="C3108" i="5"/>
  <c r="A3109" i="5"/>
  <c r="C3109" i="5"/>
  <c r="A3110" i="5"/>
  <c r="C3110" i="5"/>
  <c r="A3111" i="5"/>
  <c r="C3111" i="5"/>
  <c r="A3112" i="5"/>
  <c r="C3112" i="5"/>
  <c r="A3113" i="5"/>
  <c r="C3113" i="5"/>
  <c r="A3114" i="5"/>
  <c r="C3114" i="5"/>
  <c r="A3115" i="5"/>
  <c r="C3115" i="5"/>
  <c r="A3116" i="5"/>
  <c r="C3116" i="5"/>
  <c r="A3117" i="5"/>
  <c r="C3117" i="5"/>
  <c r="A3118" i="5"/>
  <c r="C3118" i="5"/>
  <c r="A3119" i="5"/>
  <c r="C3119" i="5"/>
  <c r="A3120" i="5"/>
  <c r="C3120" i="5"/>
  <c r="A3121" i="5"/>
  <c r="C3121" i="5"/>
  <c r="A3122" i="5"/>
  <c r="C3122" i="5"/>
  <c r="A3123" i="5"/>
  <c r="C3123" i="5"/>
  <c r="A3124" i="5"/>
  <c r="C3124" i="5"/>
  <c r="A3125" i="5"/>
  <c r="C3125" i="5"/>
  <c r="A3126" i="5"/>
  <c r="C3126" i="5"/>
  <c r="A3127" i="5"/>
  <c r="C3127" i="5"/>
  <c r="A3128" i="5"/>
  <c r="C3128" i="5"/>
  <c r="A3129" i="5"/>
  <c r="C3129" i="5"/>
  <c r="A3130" i="5"/>
  <c r="C3130" i="5"/>
  <c r="A3131" i="5"/>
  <c r="C3131" i="5"/>
  <c r="A3132" i="5"/>
  <c r="C3132" i="5"/>
  <c r="A3133" i="5"/>
  <c r="C3133" i="5"/>
  <c r="A3134" i="5"/>
  <c r="C3134" i="5"/>
  <c r="A3135" i="5"/>
  <c r="C3135" i="5"/>
  <c r="A3136" i="5"/>
  <c r="C3136" i="5"/>
  <c r="A3137" i="5"/>
  <c r="C3137" i="5"/>
  <c r="A3138" i="5"/>
  <c r="C3138" i="5"/>
  <c r="A3139" i="5"/>
  <c r="C3139" i="5"/>
  <c r="A3140" i="5"/>
  <c r="C3140" i="5"/>
  <c r="A3141" i="5"/>
  <c r="C3141" i="5"/>
  <c r="A3142" i="5"/>
  <c r="C3142" i="5"/>
  <c r="A3143" i="5"/>
  <c r="C3143" i="5"/>
  <c r="A3144" i="5"/>
  <c r="C3144" i="5"/>
  <c r="A3145" i="5"/>
  <c r="C3145" i="5"/>
  <c r="A3146" i="5"/>
  <c r="C3146" i="5"/>
  <c r="A3147" i="5"/>
  <c r="C3147" i="5"/>
  <c r="A3148" i="5"/>
  <c r="C3148" i="5"/>
  <c r="A3149" i="5"/>
  <c r="C3149" i="5"/>
  <c r="A3150" i="5"/>
  <c r="C3150" i="5"/>
  <c r="A3151" i="5"/>
  <c r="C3151" i="5"/>
  <c r="A3152" i="5"/>
  <c r="C3152" i="5"/>
  <c r="A3153" i="5"/>
  <c r="C3153" i="5"/>
  <c r="A3154" i="5"/>
  <c r="C3154" i="5"/>
  <c r="A3155" i="5"/>
  <c r="C3155" i="5"/>
  <c r="A3156" i="5"/>
  <c r="C3156" i="5"/>
  <c r="A3157" i="5"/>
  <c r="C3157" i="5"/>
  <c r="A3158" i="5"/>
  <c r="C3158" i="5"/>
  <c r="A3159" i="5"/>
  <c r="C3159" i="5"/>
  <c r="A3160" i="5"/>
  <c r="C3160" i="5"/>
  <c r="A3161" i="5"/>
  <c r="C3161" i="5"/>
  <c r="A3162" i="5"/>
  <c r="C3162" i="5"/>
  <c r="A3163" i="5"/>
  <c r="C3163" i="5"/>
  <c r="A3164" i="5"/>
  <c r="C3164" i="5"/>
  <c r="A3165" i="5"/>
  <c r="C3165" i="5"/>
  <c r="A3166" i="5"/>
  <c r="C3166" i="5"/>
  <c r="A3167" i="5"/>
  <c r="C3167" i="5"/>
  <c r="A3168" i="5"/>
  <c r="C3168" i="5"/>
  <c r="A3169" i="5"/>
  <c r="C3169" i="5"/>
  <c r="A3170" i="5"/>
  <c r="C3170" i="5"/>
  <c r="A3171" i="5"/>
  <c r="C3171" i="5"/>
  <c r="A3172" i="5"/>
  <c r="C3172" i="5"/>
  <c r="A3173" i="5"/>
  <c r="C3173" i="5"/>
  <c r="A3174" i="5"/>
  <c r="C3174" i="5"/>
  <c r="A3175" i="5"/>
  <c r="C3175" i="5"/>
  <c r="A3176" i="5"/>
  <c r="C3176" i="5"/>
  <c r="A3177" i="5"/>
  <c r="C3177" i="5"/>
  <c r="A3178" i="5"/>
  <c r="C3178" i="5"/>
  <c r="A3179" i="5"/>
  <c r="C3179" i="5"/>
  <c r="A3180" i="5"/>
  <c r="C3180" i="5"/>
  <c r="A3181" i="5"/>
  <c r="C3181" i="5"/>
  <c r="A3182" i="5"/>
  <c r="C3182" i="5"/>
  <c r="A3183" i="5"/>
  <c r="C3183" i="5"/>
  <c r="A3184" i="5"/>
  <c r="C3184" i="5"/>
  <c r="A3185" i="5"/>
  <c r="C3185" i="5"/>
  <c r="A3186" i="5"/>
  <c r="C3186" i="5"/>
  <c r="A3187" i="5"/>
  <c r="C3187" i="5"/>
  <c r="A3188" i="5"/>
  <c r="C3188" i="5"/>
  <c r="A3189" i="5"/>
  <c r="C3189" i="5"/>
  <c r="A3190" i="5"/>
  <c r="C3190" i="5"/>
  <c r="A3191" i="5"/>
  <c r="C3191" i="5"/>
  <c r="A3192" i="5"/>
  <c r="C3192" i="5"/>
  <c r="A3193" i="5"/>
  <c r="C3193" i="5"/>
  <c r="A3194" i="5"/>
  <c r="C3194" i="5"/>
  <c r="A3195" i="5"/>
  <c r="C3195" i="5"/>
  <c r="A3196" i="5"/>
  <c r="C3196" i="5"/>
  <c r="A3197" i="5"/>
  <c r="C3197" i="5"/>
  <c r="A3198" i="5"/>
  <c r="C3198" i="5"/>
  <c r="A3199" i="5"/>
  <c r="C3199" i="5"/>
  <c r="A3200" i="5"/>
  <c r="C3200" i="5"/>
  <c r="A3201" i="5"/>
  <c r="C3201" i="5"/>
  <c r="A3202" i="5"/>
  <c r="C3202" i="5"/>
  <c r="A3203" i="5"/>
  <c r="C3203" i="5"/>
  <c r="A3204" i="5"/>
  <c r="C3204" i="5"/>
  <c r="A3205" i="5"/>
  <c r="C3205" i="5"/>
  <c r="A3206" i="5"/>
  <c r="C3206" i="5"/>
  <c r="A3207" i="5"/>
  <c r="C3207" i="5"/>
  <c r="A3208" i="5"/>
  <c r="C3208" i="5"/>
  <c r="A3209" i="5"/>
  <c r="C3209" i="5"/>
  <c r="A3210" i="5"/>
  <c r="C3210" i="5"/>
  <c r="A3211" i="5"/>
  <c r="C3211" i="5"/>
  <c r="A3212" i="5"/>
  <c r="C3212" i="5"/>
  <c r="A3213" i="5"/>
  <c r="C3213" i="5"/>
  <c r="A3214" i="5"/>
  <c r="C3214" i="5"/>
  <c r="A3215" i="5"/>
  <c r="C3215" i="5"/>
  <c r="A3216" i="5"/>
  <c r="C3216" i="5"/>
  <c r="A3217" i="5"/>
  <c r="C3217" i="5"/>
  <c r="A3218" i="5"/>
  <c r="C3218" i="5"/>
  <c r="A3219" i="5"/>
  <c r="C3219" i="5"/>
  <c r="A3220" i="5"/>
  <c r="C3220" i="5"/>
  <c r="A3221" i="5"/>
  <c r="C3221" i="5"/>
  <c r="A3222" i="5"/>
  <c r="C3222" i="5"/>
  <c r="A3223" i="5"/>
  <c r="C3223" i="5"/>
  <c r="A3224" i="5"/>
  <c r="C3224" i="5"/>
  <c r="A3225" i="5"/>
  <c r="C3225" i="5"/>
  <c r="A3226" i="5"/>
  <c r="C3226" i="5"/>
  <c r="A3227" i="5"/>
  <c r="C3227" i="5"/>
  <c r="A3228" i="5"/>
  <c r="C3228" i="5"/>
  <c r="A3229" i="5"/>
  <c r="C3229" i="5"/>
  <c r="A3230" i="5"/>
  <c r="C3230" i="5"/>
  <c r="A3231" i="5"/>
  <c r="C3231" i="5"/>
  <c r="A3232" i="5"/>
  <c r="C3232" i="5"/>
  <c r="A3233" i="5"/>
  <c r="C3233" i="5"/>
  <c r="A3234" i="5"/>
  <c r="C3234" i="5"/>
  <c r="A3235" i="5"/>
  <c r="C3235" i="5"/>
  <c r="A3236" i="5"/>
  <c r="C3236" i="5"/>
  <c r="A3237" i="5"/>
  <c r="C3237" i="5"/>
  <c r="A3238" i="5"/>
  <c r="C3238" i="5"/>
  <c r="C3022" i="5"/>
  <c r="A3022" i="5"/>
  <c r="N3012" i="5"/>
  <c r="N3011" i="5"/>
  <c r="N3010" i="5"/>
  <c r="N3009" i="5"/>
  <c r="N3007" i="5"/>
  <c r="N3006" i="5"/>
  <c r="N3005" i="5"/>
  <c r="N3004" i="5"/>
  <c r="N3003" i="5"/>
  <c r="N3002" i="5"/>
  <c r="N3001" i="5"/>
  <c r="N3000" i="5"/>
  <c r="N2999" i="5"/>
  <c r="N2998" i="5"/>
  <c r="N2997" i="5"/>
  <c r="M2997" i="5" s="1"/>
  <c r="L2997" i="5" s="1"/>
  <c r="N2996" i="5"/>
  <c r="N2995" i="5"/>
  <c r="N2994" i="5"/>
  <c r="N2993" i="5"/>
  <c r="N2992" i="5"/>
  <c r="N2991" i="5"/>
  <c r="M2991" i="5" s="1"/>
  <c r="L2991" i="5" s="1"/>
  <c r="M4686" i="5"/>
  <c r="M4693" i="5" s="1"/>
  <c r="F4693" i="5" s="1"/>
  <c r="F4697" i="5" s="1"/>
  <c r="M4514" i="5"/>
  <c r="M4516" i="5" s="1"/>
  <c r="F4516" i="5" s="1"/>
  <c r="M4687" i="5"/>
  <c r="F4687" i="5" s="1"/>
  <c r="M4688" i="5"/>
  <c r="M4695" i="5" s="1"/>
  <c r="M4709" i="5" s="1"/>
  <c r="M4723" i="5" s="1"/>
  <c r="F4723" i="5" s="1"/>
  <c r="F4731" i="5" s="1"/>
  <c r="W4732" i="5" s="1"/>
  <c r="M4689" i="5"/>
  <c r="M4696" i="5" s="1"/>
  <c r="A4733" i="5"/>
  <c r="A4747" i="5" s="1"/>
  <c r="A4761" i="5" s="1"/>
  <c r="A4732" i="5"/>
  <c r="A4746" i="5" s="1"/>
  <c r="A4760" i="5" s="1"/>
  <c r="A4731" i="5"/>
  <c r="A4745" i="5" s="1"/>
  <c r="A4759" i="5" s="1"/>
  <c r="A4730" i="5"/>
  <c r="A4744" i="5" s="1"/>
  <c r="A4758" i="5" s="1"/>
  <c r="A4729" i="5"/>
  <c r="A4743" i="5" s="1"/>
  <c r="A4757" i="5" s="1"/>
  <c r="A4728" i="5"/>
  <c r="A4742" i="5" s="1"/>
  <c r="A4756" i="5" s="1"/>
  <c r="A4727" i="5"/>
  <c r="A4741" i="5" s="1"/>
  <c r="A4755" i="5" s="1"/>
  <c r="A4726" i="5"/>
  <c r="A4740" i="5" s="1"/>
  <c r="A4754" i="5" s="1"/>
  <c r="A4725" i="5"/>
  <c r="A4739" i="5" s="1"/>
  <c r="A4753" i="5" s="1"/>
  <c r="A4724" i="5"/>
  <c r="A4738" i="5" s="1"/>
  <c r="A4752" i="5" s="1"/>
  <c r="A4723" i="5"/>
  <c r="A4737" i="5" s="1"/>
  <c r="A4751" i="5" s="1"/>
  <c r="A4722" i="5"/>
  <c r="A4736" i="5" s="1"/>
  <c r="A4750" i="5" s="1"/>
  <c r="A4721" i="5"/>
  <c r="A4735" i="5" s="1"/>
  <c r="A4749" i="5" s="1"/>
  <c r="A4524" i="5"/>
  <c r="A4525" i="5"/>
  <c r="F57" i="5"/>
  <c r="F58" i="5"/>
  <c r="F59" i="5"/>
  <c r="F60" i="5"/>
  <c r="F61" i="5"/>
  <c r="F69" i="5"/>
  <c r="F70" i="5"/>
  <c r="F71" i="5"/>
  <c r="F72" i="5"/>
  <c r="M2576" i="5"/>
  <c r="L2576" i="5" s="1"/>
  <c r="M2577" i="5"/>
  <c r="L2577" i="5" s="1"/>
  <c r="M2578" i="5"/>
  <c r="L2578" i="5" s="1"/>
  <c r="M2579" i="5"/>
  <c r="L2579" i="5" s="1"/>
  <c r="M2580" i="5"/>
  <c r="L2580" i="5" s="1"/>
  <c r="M2581" i="5"/>
  <c r="L2581" i="5" s="1"/>
  <c r="M2582" i="5"/>
  <c r="L2582" i="5" s="1"/>
  <c r="M2583" i="5"/>
  <c r="L2583" i="5" s="1"/>
  <c r="M2584" i="5"/>
  <c r="L2584" i="5" s="1"/>
  <c r="M2585" i="5"/>
  <c r="L2585" i="5" s="1"/>
  <c r="M2586" i="5"/>
  <c r="L2586" i="5" s="1"/>
  <c r="M2587" i="5"/>
  <c r="L2587" i="5" s="1"/>
  <c r="M2588" i="5"/>
  <c r="L2588" i="5" s="1"/>
  <c r="M2589" i="5"/>
  <c r="L2589" i="5" s="1"/>
  <c r="M2590" i="5"/>
  <c r="L2590" i="5" s="1"/>
  <c r="M2591" i="5"/>
  <c r="L2591" i="5" s="1"/>
  <c r="M2592" i="5"/>
  <c r="L2592" i="5" s="1"/>
  <c r="M2593" i="5"/>
  <c r="L2593" i="5" s="1"/>
  <c r="M2594" i="5"/>
  <c r="L2594" i="5" s="1"/>
  <c r="M2595" i="5"/>
  <c r="L2595" i="5" s="1"/>
  <c r="M2596" i="5"/>
  <c r="L2596" i="5" s="1"/>
  <c r="M2597" i="5"/>
  <c r="L2597" i="5" s="1"/>
  <c r="M2598" i="5"/>
  <c r="L2598" i="5" s="1"/>
  <c r="M2599" i="5"/>
  <c r="L2599" i="5" s="1"/>
  <c r="M2600" i="5"/>
  <c r="L2600" i="5" s="1"/>
  <c r="M2601" i="5"/>
  <c r="L2601" i="5" s="1"/>
  <c r="M2602" i="5"/>
  <c r="L2602" i="5" s="1"/>
  <c r="M2603" i="5"/>
  <c r="L2603" i="5" s="1"/>
  <c r="M2604" i="5"/>
  <c r="L2604" i="5" s="1"/>
  <c r="M2605" i="5"/>
  <c r="L2605" i="5" s="1"/>
  <c r="M2606" i="5"/>
  <c r="L2606" i="5" s="1"/>
  <c r="M2607" i="5"/>
  <c r="L2607" i="5" s="1"/>
  <c r="M2608" i="5"/>
  <c r="L2608" i="5" s="1"/>
  <c r="M2609" i="5"/>
  <c r="L2609" i="5" s="1"/>
  <c r="M2610" i="5"/>
  <c r="L2610" i="5" s="1"/>
  <c r="M2611" i="5"/>
  <c r="L2611" i="5" s="1"/>
  <c r="M2612" i="5"/>
  <c r="L2612" i="5" s="1"/>
  <c r="M2613" i="5"/>
  <c r="L2613" i="5" s="1"/>
  <c r="M2614" i="5"/>
  <c r="L2614" i="5" s="1"/>
  <c r="M2615" i="5"/>
  <c r="L2615" i="5" s="1"/>
  <c r="M2616" i="5"/>
  <c r="L2616" i="5" s="1"/>
  <c r="M2617" i="5"/>
  <c r="L2617" i="5" s="1"/>
  <c r="M2618" i="5"/>
  <c r="L2618" i="5" s="1"/>
  <c r="M2619" i="5"/>
  <c r="L2619" i="5" s="1"/>
  <c r="M2620" i="5"/>
  <c r="L2620" i="5" s="1"/>
  <c r="M2621" i="5"/>
  <c r="L2621" i="5" s="1"/>
  <c r="M2622" i="5"/>
  <c r="L2622" i="5" s="1"/>
  <c r="M2623" i="5"/>
  <c r="L2623" i="5" s="1"/>
  <c r="M2624" i="5"/>
  <c r="L2624" i="5" s="1"/>
  <c r="M2625" i="5"/>
  <c r="L2625" i="5" s="1"/>
  <c r="M2626" i="5"/>
  <c r="L2626" i="5" s="1"/>
  <c r="M2627" i="5"/>
  <c r="L2627" i="5" s="1"/>
  <c r="M2628" i="5"/>
  <c r="L2628" i="5" s="1"/>
  <c r="M2629" i="5"/>
  <c r="L2629" i="5" s="1"/>
  <c r="M2630" i="5"/>
  <c r="L2630" i="5" s="1"/>
  <c r="M2631" i="5"/>
  <c r="L2631" i="5" s="1"/>
  <c r="M2632" i="5"/>
  <c r="L2632" i="5" s="1"/>
  <c r="M2633" i="5"/>
  <c r="L2633" i="5" s="1"/>
  <c r="M2634" i="5"/>
  <c r="L2634" i="5" s="1"/>
  <c r="M2635" i="5"/>
  <c r="L2635" i="5" s="1"/>
  <c r="M2636" i="5"/>
  <c r="L2636" i="5" s="1"/>
  <c r="M2637" i="5"/>
  <c r="L2637" i="5" s="1"/>
  <c r="M2638" i="5"/>
  <c r="L2638" i="5" s="1"/>
  <c r="M2639" i="5"/>
  <c r="L2639" i="5" s="1"/>
  <c r="M2640" i="5"/>
  <c r="L2640" i="5" s="1"/>
  <c r="M2641" i="5"/>
  <c r="L2641" i="5" s="1"/>
  <c r="M2642" i="5"/>
  <c r="L2642" i="5" s="1"/>
  <c r="M2643" i="5"/>
  <c r="L2643" i="5" s="1"/>
  <c r="M2644" i="5"/>
  <c r="L2644" i="5" s="1"/>
  <c r="M2645" i="5"/>
  <c r="L2645" i="5" s="1"/>
  <c r="M2646" i="5"/>
  <c r="L2646" i="5" s="1"/>
  <c r="M2647" i="5"/>
  <c r="L2647" i="5" s="1"/>
  <c r="M2648" i="5"/>
  <c r="L2648" i="5" s="1"/>
  <c r="M2649" i="5"/>
  <c r="L2649" i="5" s="1"/>
  <c r="M2650" i="5"/>
  <c r="L2650" i="5" s="1"/>
  <c r="M2651" i="5"/>
  <c r="L2651" i="5" s="1"/>
  <c r="M2652" i="5"/>
  <c r="L2652" i="5" s="1"/>
  <c r="M2653" i="5"/>
  <c r="L2653" i="5" s="1"/>
  <c r="M2654" i="5"/>
  <c r="L2654" i="5" s="1"/>
  <c r="M2655" i="5"/>
  <c r="L2655" i="5" s="1"/>
  <c r="M2656" i="5"/>
  <c r="L2656" i="5" s="1"/>
  <c r="M2657" i="5"/>
  <c r="L2657" i="5" s="1"/>
  <c r="M2658" i="5"/>
  <c r="L2658" i="5" s="1"/>
  <c r="M2659" i="5"/>
  <c r="L2659" i="5" s="1"/>
  <c r="M2660" i="5"/>
  <c r="L2660" i="5" s="1"/>
  <c r="M2661" i="5"/>
  <c r="L2661" i="5" s="1"/>
  <c r="M2662" i="5"/>
  <c r="L2662" i="5" s="1"/>
  <c r="M2663" i="5"/>
  <c r="L2663" i="5" s="1"/>
  <c r="M2664" i="5"/>
  <c r="L2664" i="5" s="1"/>
  <c r="M2665" i="5"/>
  <c r="L2665" i="5" s="1"/>
  <c r="M2666" i="5"/>
  <c r="L2666" i="5" s="1"/>
  <c r="M2667" i="5"/>
  <c r="L2667" i="5" s="1"/>
  <c r="M2668" i="5"/>
  <c r="L2668" i="5" s="1"/>
  <c r="M2669" i="5"/>
  <c r="L2669" i="5" s="1"/>
  <c r="M2670" i="5"/>
  <c r="L2670" i="5" s="1"/>
  <c r="M2671" i="5"/>
  <c r="L2671" i="5" s="1"/>
  <c r="M2672" i="5"/>
  <c r="L2672" i="5" s="1"/>
  <c r="M2673" i="5"/>
  <c r="L2673" i="5" s="1"/>
  <c r="M2674" i="5"/>
  <c r="L2674" i="5" s="1"/>
  <c r="M2675" i="5"/>
  <c r="L2675" i="5" s="1"/>
  <c r="M2676" i="5"/>
  <c r="L2676" i="5" s="1"/>
  <c r="M2677" i="5"/>
  <c r="L2677" i="5" s="1"/>
  <c r="M2678" i="5"/>
  <c r="L2678" i="5" s="1"/>
  <c r="M2679" i="5"/>
  <c r="L2679" i="5" s="1"/>
  <c r="M2680" i="5"/>
  <c r="L2680" i="5" s="1"/>
  <c r="M2681" i="5"/>
  <c r="L2681" i="5" s="1"/>
  <c r="M2682" i="5"/>
  <c r="L2682" i="5" s="1"/>
  <c r="M2683" i="5"/>
  <c r="L2683" i="5" s="1"/>
  <c r="M2684" i="5"/>
  <c r="L2684" i="5" s="1"/>
  <c r="M2685" i="5"/>
  <c r="L2685" i="5" s="1"/>
  <c r="M2686" i="5"/>
  <c r="L2686" i="5" s="1"/>
  <c r="M2687" i="5"/>
  <c r="L2687" i="5" s="1"/>
  <c r="M2688" i="5"/>
  <c r="L2688" i="5" s="1"/>
  <c r="M2689" i="5"/>
  <c r="L2689" i="5" s="1"/>
  <c r="M2690" i="5"/>
  <c r="L2690" i="5" s="1"/>
  <c r="M2691" i="5"/>
  <c r="L2691" i="5" s="1"/>
  <c r="M2692" i="5"/>
  <c r="L2692" i="5" s="1"/>
  <c r="M2693" i="5"/>
  <c r="L2693" i="5" s="1"/>
  <c r="M2694" i="5"/>
  <c r="L2694" i="5" s="1"/>
  <c r="M2695" i="5"/>
  <c r="L2695" i="5" s="1"/>
  <c r="M2696" i="5"/>
  <c r="L2696" i="5" s="1"/>
  <c r="M2697" i="5"/>
  <c r="L2697" i="5" s="1"/>
  <c r="M2698" i="5"/>
  <c r="L2698" i="5" s="1"/>
  <c r="M2699" i="5"/>
  <c r="L2699" i="5" s="1"/>
  <c r="M2700" i="5"/>
  <c r="L2700" i="5" s="1"/>
  <c r="M2701" i="5"/>
  <c r="L2701" i="5" s="1"/>
  <c r="M2702" i="5"/>
  <c r="L2702" i="5" s="1"/>
  <c r="M2703" i="5"/>
  <c r="L2703" i="5" s="1"/>
  <c r="M2704" i="5"/>
  <c r="L2704" i="5" s="1"/>
  <c r="M2705" i="5"/>
  <c r="L2705" i="5" s="1"/>
  <c r="M2706" i="5"/>
  <c r="L2706" i="5" s="1"/>
  <c r="M2707" i="5"/>
  <c r="L2707" i="5" s="1"/>
  <c r="M2708" i="5"/>
  <c r="L2708" i="5" s="1"/>
  <c r="M2709" i="5"/>
  <c r="L2709" i="5" s="1"/>
  <c r="M2710" i="5"/>
  <c r="L2710" i="5" s="1"/>
  <c r="M2711" i="5"/>
  <c r="L2711" i="5" s="1"/>
  <c r="M2712" i="5"/>
  <c r="L2712" i="5" s="1"/>
  <c r="M2713" i="5"/>
  <c r="L2713" i="5" s="1"/>
  <c r="M2714" i="5"/>
  <c r="L2714" i="5" s="1"/>
  <c r="M2715" i="5"/>
  <c r="L2715" i="5" s="1"/>
  <c r="M2716" i="5"/>
  <c r="L2716" i="5" s="1"/>
  <c r="M2717" i="5"/>
  <c r="L2717" i="5" s="1"/>
  <c r="M2718" i="5"/>
  <c r="L2718" i="5" s="1"/>
  <c r="M2719" i="5"/>
  <c r="L2719" i="5" s="1"/>
  <c r="M2720" i="5"/>
  <c r="L2720" i="5" s="1"/>
  <c r="M2721" i="5"/>
  <c r="L2721" i="5" s="1"/>
  <c r="M2722" i="5"/>
  <c r="L2722" i="5" s="1"/>
  <c r="M2723" i="5"/>
  <c r="L2723" i="5" s="1"/>
  <c r="M2724" i="5"/>
  <c r="L2724" i="5" s="1"/>
  <c r="M2725" i="5"/>
  <c r="L2725" i="5" s="1"/>
  <c r="M2726" i="5"/>
  <c r="L2726" i="5" s="1"/>
  <c r="M2727" i="5"/>
  <c r="L2727" i="5" s="1"/>
  <c r="M2728" i="5"/>
  <c r="L2728" i="5" s="1"/>
  <c r="M2729" i="5"/>
  <c r="L2729" i="5" s="1"/>
  <c r="M2730" i="5"/>
  <c r="L2730" i="5" s="1"/>
  <c r="M2731" i="5"/>
  <c r="L2731" i="5" s="1"/>
  <c r="M2732" i="5"/>
  <c r="L2732" i="5" s="1"/>
  <c r="M2733" i="5"/>
  <c r="L2733" i="5" s="1"/>
  <c r="M2734" i="5"/>
  <c r="L2734" i="5" s="1"/>
  <c r="M2735" i="5"/>
  <c r="L2735" i="5" s="1"/>
  <c r="M2736" i="5"/>
  <c r="L2736" i="5" s="1"/>
  <c r="M2737" i="5"/>
  <c r="L2737" i="5" s="1"/>
  <c r="M2738" i="5"/>
  <c r="L2738" i="5" s="1"/>
  <c r="M2739" i="5"/>
  <c r="L2739" i="5" s="1"/>
  <c r="M2740" i="5"/>
  <c r="L2740" i="5" s="1"/>
  <c r="M2741" i="5"/>
  <c r="L2741" i="5" s="1"/>
  <c r="M2742" i="5"/>
  <c r="L2742" i="5" s="1"/>
  <c r="M2743" i="5"/>
  <c r="L2743" i="5" s="1"/>
  <c r="M2744" i="5"/>
  <c r="L2744" i="5" s="1"/>
  <c r="M2745" i="5"/>
  <c r="L2745" i="5" s="1"/>
  <c r="M2746" i="5"/>
  <c r="L2746" i="5" s="1"/>
  <c r="M2747" i="5"/>
  <c r="L2747" i="5" s="1"/>
  <c r="M2748" i="5"/>
  <c r="L2748" i="5" s="1"/>
  <c r="M2749" i="5"/>
  <c r="L2749" i="5" s="1"/>
  <c r="M2750" i="5"/>
  <c r="L2750" i="5" s="1"/>
  <c r="M2751" i="5"/>
  <c r="L2751" i="5" s="1"/>
  <c r="M2752" i="5"/>
  <c r="L2752" i="5" s="1"/>
  <c r="M2753" i="5"/>
  <c r="L2753" i="5" s="1"/>
  <c r="M2754" i="5"/>
  <c r="L2754" i="5" s="1"/>
  <c r="M2755" i="5"/>
  <c r="L2755" i="5" s="1"/>
  <c r="M2756" i="5"/>
  <c r="L2756" i="5" s="1"/>
  <c r="M2757" i="5"/>
  <c r="L2757" i="5" s="1"/>
  <c r="M2758" i="5"/>
  <c r="L2758" i="5" s="1"/>
  <c r="M2759" i="5"/>
  <c r="L2759" i="5" s="1"/>
  <c r="M2760" i="5"/>
  <c r="L2760" i="5" s="1"/>
  <c r="M2761" i="5"/>
  <c r="L2761" i="5" s="1"/>
  <c r="M2762" i="5"/>
  <c r="L2762" i="5" s="1"/>
  <c r="M2763" i="5"/>
  <c r="L2763" i="5" s="1"/>
  <c r="M2764" i="5"/>
  <c r="L2764" i="5" s="1"/>
  <c r="M2765" i="5"/>
  <c r="L2765" i="5" s="1"/>
  <c r="M2766" i="5"/>
  <c r="L2766" i="5" s="1"/>
  <c r="M2767" i="5"/>
  <c r="L2767" i="5" s="1"/>
  <c r="M2768" i="5"/>
  <c r="L2768" i="5" s="1"/>
  <c r="M2769" i="5"/>
  <c r="L2769" i="5" s="1"/>
  <c r="M2770" i="5"/>
  <c r="L2770" i="5" s="1"/>
  <c r="M2771" i="5"/>
  <c r="L2771" i="5" s="1"/>
  <c r="M2772" i="5"/>
  <c r="L2772" i="5" s="1"/>
  <c r="M2773" i="5"/>
  <c r="L2773" i="5" s="1"/>
  <c r="M2774" i="5"/>
  <c r="L2774" i="5" s="1"/>
  <c r="M2775" i="5"/>
  <c r="L2775" i="5" s="1"/>
  <c r="M2776" i="5"/>
  <c r="L2776" i="5" s="1"/>
  <c r="M2777" i="5"/>
  <c r="L2777" i="5" s="1"/>
  <c r="M2778" i="5"/>
  <c r="L2778" i="5" s="1"/>
  <c r="M2779" i="5"/>
  <c r="L2779" i="5" s="1"/>
  <c r="M2780" i="5"/>
  <c r="L2780" i="5" s="1"/>
  <c r="M2781" i="5"/>
  <c r="L2781" i="5" s="1"/>
  <c r="M2782" i="5"/>
  <c r="L2782" i="5" s="1"/>
  <c r="M2783" i="5"/>
  <c r="L2783" i="5" s="1"/>
  <c r="M2784" i="5"/>
  <c r="L2784" i="5" s="1"/>
  <c r="M2785" i="5"/>
  <c r="L2785" i="5" s="1"/>
  <c r="M2786" i="5"/>
  <c r="L2786" i="5" s="1"/>
  <c r="M2787" i="5"/>
  <c r="L2787" i="5" s="1"/>
  <c r="M2788" i="5"/>
  <c r="L2788" i="5" s="1"/>
  <c r="M2789" i="5"/>
  <c r="L2789" i="5" s="1"/>
  <c r="M2790" i="5"/>
  <c r="L2790" i="5" s="1"/>
  <c r="M2791" i="5"/>
  <c r="L2791" i="5" s="1"/>
  <c r="M2792" i="5"/>
  <c r="L2792" i="5" s="1"/>
  <c r="N2799" i="5"/>
  <c r="M2799" i="5" s="1"/>
  <c r="L2799" i="5" s="1"/>
  <c r="N2800" i="5"/>
  <c r="N2801" i="5"/>
  <c r="N2802" i="5"/>
  <c r="N2803" i="5"/>
  <c r="N2804" i="5"/>
  <c r="N2805" i="5"/>
  <c r="N2806" i="5"/>
  <c r="N2807" i="5"/>
  <c r="N2808" i="5"/>
  <c r="N2809" i="5"/>
  <c r="N2810" i="5"/>
  <c r="N2811" i="5"/>
  <c r="N2812" i="5"/>
  <c r="N2813" i="5"/>
  <c r="N2814" i="5"/>
  <c r="N2815" i="5"/>
  <c r="N2816" i="5"/>
  <c r="N2817" i="5"/>
  <c r="N2818" i="5"/>
  <c r="N2819" i="5"/>
  <c r="N2820" i="5"/>
  <c r="N2821" i="5"/>
  <c r="N2822" i="5"/>
  <c r="N2823" i="5"/>
  <c r="N2824" i="5"/>
  <c r="N2825" i="5"/>
  <c r="N2826" i="5"/>
  <c r="N2827" i="5"/>
  <c r="N2828" i="5"/>
  <c r="N2829" i="5"/>
  <c r="N2830" i="5"/>
  <c r="N2831" i="5"/>
  <c r="N2832" i="5"/>
  <c r="N2833" i="5"/>
  <c r="N2834" i="5"/>
  <c r="N2835" i="5"/>
  <c r="N2836" i="5"/>
  <c r="N2837" i="5"/>
  <c r="N2838" i="5"/>
  <c r="N2839" i="5"/>
  <c r="N2840" i="5"/>
  <c r="N2841" i="5"/>
  <c r="N2842" i="5"/>
  <c r="N2843" i="5"/>
  <c r="N2844" i="5"/>
  <c r="N2845" i="5"/>
  <c r="N2846" i="5"/>
  <c r="N2847" i="5"/>
  <c r="N2848" i="5"/>
  <c r="N2849" i="5"/>
  <c r="N2850" i="5"/>
  <c r="N2851" i="5"/>
  <c r="N2852" i="5"/>
  <c r="N2853" i="5"/>
  <c r="N2854" i="5"/>
  <c r="N2855" i="5"/>
  <c r="N2856" i="5"/>
  <c r="N2857" i="5"/>
  <c r="N2858" i="5"/>
  <c r="N2859" i="5"/>
  <c r="N2860" i="5"/>
  <c r="N2861" i="5"/>
  <c r="N2862" i="5"/>
  <c r="N2863" i="5"/>
  <c r="N2864" i="5"/>
  <c r="N2865" i="5"/>
  <c r="N2866" i="5"/>
  <c r="N2867" i="5"/>
  <c r="N2868" i="5"/>
  <c r="N2869" i="5"/>
  <c r="N2870" i="5"/>
  <c r="N2871" i="5"/>
  <c r="N2872" i="5"/>
  <c r="N2873" i="5"/>
  <c r="N2874" i="5"/>
  <c r="N2875" i="5"/>
  <c r="N2876" i="5"/>
  <c r="N2877" i="5"/>
  <c r="N2878" i="5"/>
  <c r="N2879" i="5"/>
  <c r="N2880" i="5"/>
  <c r="N2882" i="5"/>
  <c r="N2883" i="5"/>
  <c r="N2884" i="5"/>
  <c r="N2885" i="5"/>
  <c r="N2886" i="5"/>
  <c r="N2887" i="5"/>
  <c r="N2888" i="5"/>
  <c r="N2889" i="5"/>
  <c r="N2890" i="5"/>
  <c r="N2891" i="5"/>
  <c r="N2892" i="5"/>
  <c r="N2893" i="5"/>
  <c r="N2894" i="5"/>
  <c r="N2895" i="5"/>
  <c r="M2895" i="5" s="1"/>
  <c r="L2895" i="5" s="1"/>
  <c r="N2896" i="5"/>
  <c r="N2897" i="5"/>
  <c r="N2898" i="5"/>
  <c r="N2899" i="5"/>
  <c r="N2900" i="5"/>
  <c r="N2901" i="5"/>
  <c r="N2902" i="5"/>
  <c r="N2903" i="5"/>
  <c r="N2904" i="5"/>
  <c r="N2905" i="5"/>
  <c r="N2906" i="5"/>
  <c r="N2907" i="5"/>
  <c r="N2908" i="5"/>
  <c r="N2909" i="5"/>
  <c r="N2910" i="5"/>
  <c r="N2911" i="5"/>
  <c r="N2912" i="5"/>
  <c r="N2913" i="5"/>
  <c r="N2914" i="5"/>
  <c r="N2915" i="5"/>
  <c r="N2916" i="5"/>
  <c r="N2917" i="5"/>
  <c r="N2918" i="5"/>
  <c r="N2919" i="5"/>
  <c r="N2920" i="5"/>
  <c r="N2921" i="5"/>
  <c r="N2922" i="5"/>
  <c r="N2923" i="5"/>
  <c r="N2924" i="5"/>
  <c r="N2925" i="5"/>
  <c r="N2926" i="5"/>
  <c r="N2927" i="5"/>
  <c r="N2928" i="5"/>
  <c r="N2929" i="5"/>
  <c r="N2930" i="5"/>
  <c r="N2931" i="5"/>
  <c r="N2932" i="5"/>
  <c r="N2933" i="5"/>
  <c r="N2934" i="5"/>
  <c r="N2935" i="5"/>
  <c r="N2936" i="5"/>
  <c r="N2937" i="5"/>
  <c r="N2938" i="5"/>
  <c r="N2939" i="5"/>
  <c r="N2940" i="5"/>
  <c r="N2941" i="5"/>
  <c r="N2942" i="5"/>
  <c r="N2943" i="5"/>
  <c r="N2944" i="5"/>
  <c r="N2945" i="5"/>
  <c r="N2946" i="5"/>
  <c r="N2947" i="5"/>
  <c r="N2948" i="5"/>
  <c r="N2949" i="5"/>
  <c r="N2950" i="5"/>
  <c r="N2951" i="5"/>
  <c r="N2952" i="5"/>
  <c r="N2953" i="5"/>
  <c r="N2954" i="5"/>
  <c r="N2955" i="5"/>
  <c r="N2956" i="5"/>
  <c r="N2957" i="5"/>
  <c r="N2958" i="5"/>
  <c r="N2959" i="5"/>
  <c r="N2960" i="5"/>
  <c r="N2961" i="5"/>
  <c r="N2962" i="5"/>
  <c r="N2963" i="5"/>
  <c r="N2964" i="5"/>
  <c r="N2965" i="5"/>
  <c r="N2966" i="5"/>
  <c r="N2967" i="5"/>
  <c r="N2968" i="5"/>
  <c r="N2969" i="5"/>
  <c r="N2970" i="5"/>
  <c r="N2971" i="5"/>
  <c r="N2972" i="5"/>
  <c r="N2973" i="5"/>
  <c r="N2974" i="5"/>
  <c r="N2975" i="5"/>
  <c r="N2976" i="5"/>
  <c r="N2977" i="5"/>
  <c r="N2978" i="5"/>
  <c r="N2979" i="5"/>
  <c r="N2980" i="5"/>
  <c r="N2981" i="5"/>
  <c r="N2982" i="5"/>
  <c r="N2983" i="5"/>
  <c r="N2984" i="5"/>
  <c r="N2985" i="5"/>
  <c r="N2986" i="5"/>
  <c r="N2987" i="5"/>
  <c r="N2988" i="5"/>
  <c r="N2989" i="5"/>
  <c r="N2990" i="5"/>
  <c r="R3821" i="5"/>
  <c r="M3822" i="5"/>
  <c r="L3822" i="5" s="1"/>
  <c r="M3823" i="5"/>
  <c r="L3823" i="5" s="1"/>
  <c r="M3824" i="5"/>
  <c r="L3824" i="5" s="1"/>
  <c r="M3825" i="5"/>
  <c r="L3825" i="5" s="1"/>
  <c r="M3826" i="5"/>
  <c r="L3826" i="5" s="1"/>
  <c r="M3827" i="5"/>
  <c r="L3827" i="5" s="1"/>
  <c r="M3828" i="5"/>
  <c r="L3828" i="5" s="1"/>
  <c r="M3829" i="5"/>
  <c r="L3829" i="5" s="1"/>
  <c r="O3830" i="5"/>
  <c r="P3830" i="5"/>
  <c r="Q3830" i="5"/>
  <c r="N3838" i="5"/>
  <c r="R3830" i="5"/>
  <c r="N3831" i="5"/>
  <c r="M3831" i="5" s="1"/>
  <c r="L3831" i="5" s="1"/>
  <c r="N3832" i="5"/>
  <c r="N3833" i="5"/>
  <c r="N3834" i="5"/>
  <c r="N3835" i="5"/>
  <c r="M3835" i="5" s="1"/>
  <c r="L3835" i="5" s="1"/>
  <c r="N3836" i="5"/>
  <c r="N3837" i="5"/>
  <c r="P3839" i="5"/>
  <c r="Q3839" i="5"/>
  <c r="R3839" i="5"/>
  <c r="A3840" i="5"/>
  <c r="C3840" i="5"/>
  <c r="A3841" i="5"/>
  <c r="C3841" i="5"/>
  <c r="N3841" i="5"/>
  <c r="M3841" i="5" s="1"/>
  <c r="F3841" i="5" s="1"/>
  <c r="L3841" i="5" s="1"/>
  <c r="A3842" i="5"/>
  <c r="C3842" i="5"/>
  <c r="N3842" i="5"/>
  <c r="A3843" i="5"/>
  <c r="C3843" i="5"/>
  <c r="N3843" i="5"/>
  <c r="A3844" i="5"/>
  <c r="C3844" i="5"/>
  <c r="N3844" i="5"/>
  <c r="M3844" i="5" s="1"/>
  <c r="F3844" i="5" s="1"/>
  <c r="L3844" i="5" s="1"/>
  <c r="A3845" i="5"/>
  <c r="C3845" i="5"/>
  <c r="N3845" i="5"/>
  <c r="A3846" i="5"/>
  <c r="C3846" i="5"/>
  <c r="N3846" i="5"/>
  <c r="A3847" i="5"/>
  <c r="C3847" i="5"/>
  <c r="N3847" i="5"/>
  <c r="M3847" i="5" s="1"/>
  <c r="F3847" i="5" s="1"/>
  <c r="L3847" i="5" s="1"/>
  <c r="R3917" i="5"/>
  <c r="M3918" i="5"/>
  <c r="L3918" i="5" s="1"/>
  <c r="M3919" i="5"/>
  <c r="L3919" i="5" s="1"/>
  <c r="M3920" i="5"/>
  <c r="L3920" i="5" s="1"/>
  <c r="M3921" i="5"/>
  <c r="L3921" i="5" s="1"/>
  <c r="M3922" i="5"/>
  <c r="L3922" i="5" s="1"/>
  <c r="M3923" i="5"/>
  <c r="L3923" i="5" s="1"/>
  <c r="M3924" i="5"/>
  <c r="L3924" i="5" s="1"/>
  <c r="M3925" i="5"/>
  <c r="L3925" i="5" s="1"/>
  <c r="O3926" i="5"/>
  <c r="P3926" i="5"/>
  <c r="Q3926" i="5"/>
  <c r="R3926" i="5"/>
  <c r="N3927" i="5"/>
  <c r="M3927" i="5" s="1"/>
  <c r="L3927" i="5" s="1"/>
  <c r="N3928" i="5"/>
  <c r="N3929" i="5"/>
  <c r="N3930" i="5"/>
  <c r="N3931" i="5"/>
  <c r="M3931" i="5" s="1"/>
  <c r="L3931" i="5" s="1"/>
  <c r="N3932" i="5"/>
  <c r="N3933" i="5"/>
  <c r="N3934" i="5"/>
  <c r="O3935" i="5"/>
  <c r="P3935" i="5"/>
  <c r="N3938" i="5"/>
  <c r="Q3935" i="5"/>
  <c r="R3935" i="5"/>
  <c r="A3936" i="5"/>
  <c r="C3936" i="5"/>
  <c r="N3936" i="5"/>
  <c r="M3936" i="5" s="1"/>
  <c r="F3936" i="5" s="1"/>
  <c r="L3936" i="5" s="1"/>
  <c r="A3937" i="5"/>
  <c r="C3937" i="5"/>
  <c r="N3937" i="5"/>
  <c r="A3938" i="5"/>
  <c r="C3938" i="5"/>
  <c r="A3939" i="5"/>
  <c r="C3939" i="5"/>
  <c r="N3939" i="5"/>
  <c r="A3940" i="5"/>
  <c r="C3940" i="5"/>
  <c r="N3940" i="5"/>
  <c r="M3940" i="5" s="1"/>
  <c r="F3940" i="5" s="1"/>
  <c r="L3940" i="5" s="1"/>
  <c r="A3941" i="5"/>
  <c r="C3941" i="5"/>
  <c r="N3941" i="5"/>
  <c r="A3942" i="5"/>
  <c r="C3942" i="5"/>
  <c r="N3942" i="5"/>
  <c r="A3943" i="5"/>
  <c r="C3943" i="5"/>
  <c r="N3943" i="5"/>
  <c r="M3943" i="5" s="1"/>
  <c r="F3943" i="5" s="1"/>
  <c r="L3943" i="5" s="1"/>
  <c r="M4017" i="5"/>
  <c r="L4017" i="5" s="1"/>
  <c r="M4018" i="5"/>
  <c r="L4018" i="5" s="1"/>
  <c r="R4019" i="5"/>
  <c r="F4022" i="5"/>
  <c r="F4023" i="5"/>
  <c r="F4024" i="5"/>
  <c r="R4025" i="5"/>
  <c r="A4026" i="5"/>
  <c r="C4026" i="5"/>
  <c r="A4027" i="5"/>
  <c r="A4028" i="5"/>
  <c r="A4029" i="5"/>
  <c r="A4030" i="5"/>
  <c r="M4101" i="5"/>
  <c r="L4101" i="5" s="1"/>
  <c r="M4102" i="5"/>
  <c r="L4102" i="5" s="1"/>
  <c r="M4103" i="5"/>
  <c r="L4103" i="5" s="1"/>
  <c r="M4104" i="5"/>
  <c r="L4104" i="5" s="1"/>
  <c r="M4105" i="5"/>
  <c r="L4105" i="5" s="1"/>
  <c r="M4106" i="5"/>
  <c r="L4106" i="5" s="1"/>
  <c r="M4107" i="5"/>
  <c r="L4107" i="5" s="1"/>
  <c r="M4108" i="5"/>
  <c r="L4108" i="5" s="1"/>
  <c r="M4109" i="5"/>
  <c r="L4109" i="5" s="1"/>
  <c r="M4110" i="5"/>
  <c r="L4110" i="5" s="1"/>
  <c r="M4112" i="5"/>
  <c r="L4112" i="5" s="1"/>
  <c r="M4113" i="5"/>
  <c r="L4113" i="5" s="1"/>
  <c r="M4114" i="5"/>
  <c r="L4114" i="5" s="1"/>
  <c r="M4115" i="5"/>
  <c r="L4115" i="5" s="1"/>
  <c r="M4116" i="5"/>
  <c r="L4116" i="5" s="1"/>
  <c r="M4117" i="5"/>
  <c r="L4117" i="5" s="1"/>
  <c r="M4118" i="5"/>
  <c r="L4118" i="5" s="1"/>
  <c r="M4119" i="5"/>
  <c r="L4119" i="5" s="1"/>
  <c r="M4120" i="5"/>
  <c r="L4120" i="5" s="1"/>
  <c r="M4121" i="5"/>
  <c r="L4121" i="5" s="1"/>
  <c r="M4123" i="5"/>
  <c r="L4123" i="5" s="1"/>
  <c r="M4124" i="5"/>
  <c r="L4124" i="5" s="1"/>
  <c r="M4125" i="5"/>
  <c r="L4125" i="5" s="1"/>
  <c r="M4126" i="5"/>
  <c r="L4126" i="5" s="1"/>
  <c r="M4127" i="5"/>
  <c r="L4127" i="5" s="1"/>
  <c r="M4128" i="5"/>
  <c r="L4128" i="5" s="1"/>
  <c r="M4129" i="5"/>
  <c r="L4129" i="5" s="1"/>
  <c r="M4130" i="5"/>
  <c r="L4130" i="5" s="1"/>
  <c r="M4131" i="5"/>
  <c r="L4131" i="5" s="1"/>
  <c r="M4132" i="5"/>
  <c r="L4132" i="5" s="1"/>
  <c r="M4134" i="5"/>
  <c r="L4134" i="5" s="1"/>
  <c r="M4135" i="5"/>
  <c r="L4135" i="5" s="1"/>
  <c r="M4136" i="5"/>
  <c r="L4136" i="5" s="1"/>
  <c r="M4137" i="5"/>
  <c r="L4137" i="5" s="1"/>
  <c r="M4138" i="5"/>
  <c r="L4138" i="5" s="1"/>
  <c r="M4139" i="5"/>
  <c r="L4139" i="5" s="1"/>
  <c r="M4140" i="5"/>
  <c r="L4140" i="5" s="1"/>
  <c r="M4141" i="5"/>
  <c r="L4141" i="5" s="1"/>
  <c r="M4142" i="5"/>
  <c r="L4142" i="5" s="1"/>
  <c r="M4143" i="5"/>
  <c r="L4143" i="5" s="1"/>
  <c r="M4145" i="5"/>
  <c r="L4145" i="5" s="1"/>
  <c r="M4146" i="5"/>
  <c r="L4146" i="5" s="1"/>
  <c r="M4147" i="5"/>
  <c r="L4147" i="5" s="1"/>
  <c r="M4148" i="5"/>
  <c r="L4148" i="5" s="1"/>
  <c r="M4149" i="5"/>
  <c r="L4149" i="5" s="1"/>
  <c r="M4150" i="5"/>
  <c r="L4150" i="5" s="1"/>
  <c r="M4151" i="5"/>
  <c r="L4151" i="5" s="1"/>
  <c r="M4152" i="5"/>
  <c r="L4152" i="5" s="1"/>
  <c r="M4153" i="5"/>
  <c r="L4153" i="5" s="1"/>
  <c r="M4154" i="5"/>
  <c r="L4154" i="5" s="1"/>
  <c r="R4160" i="5"/>
  <c r="M4161" i="5"/>
  <c r="F4161" i="5" s="1"/>
  <c r="L4161" i="5" s="1"/>
  <c r="M4162" i="5"/>
  <c r="F4162" i="5" s="1"/>
  <c r="L4162" i="5" s="1"/>
  <c r="M4163" i="5"/>
  <c r="F4163" i="5" s="1"/>
  <c r="L4163" i="5" s="1"/>
  <c r="M4164" i="5"/>
  <c r="F4164" i="5" s="1"/>
  <c r="L4164" i="5" s="1"/>
  <c r="M4165" i="5"/>
  <c r="F4165" i="5" s="1"/>
  <c r="L4165" i="5" s="1"/>
  <c r="O4166" i="5"/>
  <c r="P4166" i="5"/>
  <c r="Q4166" i="5"/>
  <c r="R4166" i="5"/>
  <c r="N4167" i="5"/>
  <c r="N4168" i="5"/>
  <c r="N4169" i="5"/>
  <c r="N4170" i="5"/>
  <c r="N4171" i="5"/>
  <c r="M4171" i="5" s="1"/>
  <c r="F4171" i="5" s="1"/>
  <c r="L4171" i="5" s="1"/>
  <c r="O4172" i="5"/>
  <c r="P4172" i="5"/>
  <c r="Q4172" i="5"/>
  <c r="R4172" i="5"/>
  <c r="A4173" i="5"/>
  <c r="C4173" i="5"/>
  <c r="N4173" i="5"/>
  <c r="A4174" i="5"/>
  <c r="C4174" i="5"/>
  <c r="N4174" i="5"/>
  <c r="A4175" i="5"/>
  <c r="C4175" i="5"/>
  <c r="N4175" i="5"/>
  <c r="A4176" i="5"/>
  <c r="C4176" i="5"/>
  <c r="N4176" i="5"/>
  <c r="A4177" i="5"/>
  <c r="C4177" i="5"/>
  <c r="R4255" i="5"/>
  <c r="M4256" i="5"/>
  <c r="L4256" i="5" s="1"/>
  <c r="M4257" i="5"/>
  <c r="L4257" i="5" s="1"/>
  <c r="M4258" i="5"/>
  <c r="L4258" i="5" s="1"/>
  <c r="O4259" i="5"/>
  <c r="P4259" i="5"/>
  <c r="R4259" i="5"/>
  <c r="N4260" i="5"/>
  <c r="M4260" i="5" s="1"/>
  <c r="L4260" i="5" s="1"/>
  <c r="N4261" i="5"/>
  <c r="M4261" i="5" s="1"/>
  <c r="L4261" i="5" s="1"/>
  <c r="N4262" i="5"/>
  <c r="M4262" i="5" s="1"/>
  <c r="L4262" i="5" s="1"/>
  <c r="O4263" i="5"/>
  <c r="P4263" i="5"/>
  <c r="R4263" i="5"/>
  <c r="A4264" i="5"/>
  <c r="C4264" i="5"/>
  <c r="N4264" i="5"/>
  <c r="M4264" i="5" s="1"/>
  <c r="F4264" i="5" s="1"/>
  <c r="L4264" i="5" s="1"/>
  <c r="A4265" i="5"/>
  <c r="C4265" i="5"/>
  <c r="N4265" i="5"/>
  <c r="M4265" i="5" s="1"/>
  <c r="F4265" i="5" s="1"/>
  <c r="L4265" i="5" s="1"/>
  <c r="A4266" i="5"/>
  <c r="C4266" i="5"/>
  <c r="N4266" i="5"/>
  <c r="M4266" i="5" s="1"/>
  <c r="F4266" i="5" s="1"/>
  <c r="L4266" i="5" s="1"/>
  <c r="R4370" i="5"/>
  <c r="M4371" i="5"/>
  <c r="L4371" i="5" s="1"/>
  <c r="M4372" i="5"/>
  <c r="L4372" i="5" s="1"/>
  <c r="M4373" i="5"/>
  <c r="L4373" i="5" s="1"/>
  <c r="O4374" i="5"/>
  <c r="P4374" i="5"/>
  <c r="R4374" i="5"/>
  <c r="N4375" i="5"/>
  <c r="N4376" i="5"/>
  <c r="M4376" i="5" s="1"/>
  <c r="L4376" i="5" s="1"/>
  <c r="N4377" i="5"/>
  <c r="M4377" i="5" s="1"/>
  <c r="L4377" i="5" s="1"/>
  <c r="O4378" i="5"/>
  <c r="P4378" i="5"/>
  <c r="R4378" i="5"/>
  <c r="A4380" i="5"/>
  <c r="C4380" i="5"/>
  <c r="A4381" i="5"/>
  <c r="C4381" i="5"/>
  <c r="N4380" i="5"/>
  <c r="A4382" i="5"/>
  <c r="C4382" i="5"/>
  <c r="N4381" i="5"/>
  <c r="M4381" i="5" s="1"/>
  <c r="F4382" i="5" s="1"/>
  <c r="L4381" i="5" s="1"/>
  <c r="D56" i="4"/>
  <c r="F43" i="4"/>
  <c r="F44" i="4"/>
  <c r="F45" i="4"/>
  <c r="F46" i="4"/>
  <c r="F47" i="4"/>
  <c r="F48" i="4"/>
  <c r="F49" i="4"/>
  <c r="F50" i="4"/>
  <c r="F51" i="4"/>
  <c r="F52" i="4"/>
  <c r="F53" i="4"/>
  <c r="F54" i="4"/>
  <c r="C55" i="3"/>
  <c r="E55" i="3" s="1"/>
  <c r="G55" i="3" s="1"/>
  <c r="C54" i="3"/>
  <c r="E54" i="3" s="1"/>
  <c r="G54" i="3" s="1"/>
  <c r="C53" i="3"/>
  <c r="E53" i="3" s="1"/>
  <c r="G53" i="3" s="1"/>
  <c r="C52" i="3"/>
  <c r="E22" i="3"/>
  <c r="N3631" i="5"/>
  <c r="N3641" i="5" s="1"/>
  <c r="N3299" i="5"/>
  <c r="N3315" i="5"/>
  <c r="N3316" i="5" s="1"/>
  <c r="N3395" i="5" s="1"/>
  <c r="N3474" i="5" s="1"/>
  <c r="M3474" i="5" s="1"/>
  <c r="F3474" i="5" s="1"/>
  <c r="L3474" i="5" s="1"/>
  <c r="N4020" i="5"/>
  <c r="M4020" i="5" s="1"/>
  <c r="F4020" i="5"/>
  <c r="N4022" i="5"/>
  <c r="M4022" i="5" s="1"/>
  <c r="N4024" i="5"/>
  <c r="M4024" i="5" s="1"/>
  <c r="Q4019" i="5"/>
  <c r="N4029" i="5"/>
  <c r="N4023" i="5"/>
  <c r="Q4025" i="5"/>
  <c r="N4027" i="5"/>
  <c r="N4026" i="5"/>
  <c r="M4026" i="5" s="1"/>
  <c r="F4026" i="5" s="1"/>
  <c r="L4026" i="5" s="1"/>
  <c r="N4028" i="5"/>
  <c r="M4028" i="5" s="1"/>
  <c r="F4028" i="5" s="1"/>
  <c r="L4028" i="5" s="1"/>
  <c r="N4030" i="5"/>
  <c r="M4030" i="5" s="1"/>
  <c r="F4030" i="5" s="1"/>
  <c r="L4030" i="5" s="1"/>
  <c r="F4021" i="5"/>
  <c r="N4021" i="5"/>
  <c r="T4856" i="5"/>
  <c r="R4856" i="5"/>
  <c r="Q4856" i="5"/>
  <c r="S4856" i="5"/>
  <c r="S4857" i="5"/>
  <c r="R4857" i="5"/>
  <c r="Q4857" i="5"/>
  <c r="T4857" i="5"/>
  <c r="T4858" i="5"/>
  <c r="R4858" i="5"/>
  <c r="Q4858" i="5"/>
  <c r="S4858" i="5"/>
  <c r="S4859" i="5"/>
  <c r="R4859" i="5"/>
  <c r="Q4859" i="5"/>
  <c r="T4859" i="5"/>
  <c r="T4860" i="5"/>
  <c r="R4860" i="5"/>
  <c r="Q4860" i="5"/>
  <c r="S4860" i="5"/>
  <c r="O4276" i="5"/>
  <c r="C4914" i="5"/>
  <c r="C4910" i="5"/>
  <c r="U3967" i="5"/>
  <c r="Q3967" i="5" s="1"/>
  <c r="A4923" i="5"/>
  <c r="A4924" i="5" s="1"/>
  <c r="C4924" i="5" s="1"/>
  <c r="AS1714" i="5"/>
  <c r="AS2131" i="5"/>
  <c r="AT1277" i="5"/>
  <c r="AS874" i="5"/>
  <c r="N3646" i="5"/>
  <c r="M3646" i="5" s="1"/>
  <c r="F3646" i="5" s="1"/>
  <c r="L3646" i="5" s="1"/>
  <c r="A4964" i="5"/>
  <c r="C4964" i="5" s="1"/>
  <c r="P4294" i="5"/>
  <c r="G4295" i="5" s="1"/>
  <c r="H4295" i="5" s="1"/>
  <c r="G4293" i="5"/>
  <c r="H4293" i="5" s="1"/>
  <c r="O4058" i="5"/>
  <c r="F4057" i="5" s="1"/>
  <c r="P3527" i="5"/>
  <c r="P3528" i="5" s="1"/>
  <c r="P3529" i="5" s="1"/>
  <c r="G3538" i="5" s="1"/>
  <c r="H3538" i="5" s="1"/>
  <c r="F3887" i="5"/>
  <c r="P3890" i="5"/>
  <c r="F3890" i="5" s="1"/>
  <c r="G3889" i="5"/>
  <c r="H3889" i="5" s="1"/>
  <c r="AS1279" i="5"/>
  <c r="F3982" i="5"/>
  <c r="AS2137" i="5"/>
  <c r="F3521" i="5"/>
  <c r="V3526" i="5"/>
  <c r="G4600" i="5"/>
  <c r="H4600" i="5" s="1"/>
  <c r="AZ798" i="5"/>
  <c r="G3748" i="5"/>
  <c r="H3748" i="5" s="1"/>
  <c r="A4886" i="5"/>
  <c r="A4887" i="5" s="1"/>
  <c r="F4887" i="5" s="1"/>
  <c r="F3747" i="5"/>
  <c r="C5012" i="5"/>
  <c r="A5016" i="5"/>
  <c r="C5016" i="5" s="1"/>
  <c r="N4044" i="5"/>
  <c r="M4044" i="5" s="1"/>
  <c r="F4044" i="5" s="1"/>
  <c r="L4044" i="5" s="1"/>
  <c r="AZ2570" i="5"/>
  <c r="AJ2570" i="5"/>
  <c r="AK2570" i="5"/>
  <c r="AY2570" i="5"/>
  <c r="AT2570" i="5"/>
  <c r="X4901" i="5"/>
  <c r="X4902" i="5" s="1"/>
  <c r="X4903" i="5" s="1"/>
  <c r="X4904" i="5" s="1"/>
  <c r="X4905" i="5" s="1"/>
  <c r="X4906" i="5" s="1"/>
  <c r="X4907" i="5" s="1"/>
  <c r="X4908" i="5" s="1"/>
  <c r="AZ306" i="5"/>
  <c r="A4871" i="5"/>
  <c r="A4872" i="5" s="1"/>
  <c r="C4872" i="5" s="1"/>
  <c r="AJ1260" i="5"/>
  <c r="AT1712" i="5"/>
  <c r="P4601" i="5"/>
  <c r="P4602" i="5" s="1"/>
  <c r="G4602" i="5" s="1"/>
  <c r="H4602" i="5" s="1"/>
  <c r="AT864" i="5"/>
  <c r="AS1286" i="5"/>
  <c r="C4833" i="5"/>
  <c r="AU842" i="5"/>
  <c r="AV842" i="5" s="1"/>
  <c r="P4391" i="5"/>
  <c r="AK1694" i="5"/>
  <c r="AY1694" i="5"/>
  <c r="AT1284" i="5"/>
  <c r="AS1295" i="5"/>
  <c r="AU443" i="5"/>
  <c r="AV443" i="5" s="1"/>
  <c r="AY1689" i="5"/>
  <c r="M4431" i="5"/>
  <c r="F4432" i="5" s="1"/>
  <c r="W3360" i="5"/>
  <c r="AK1689" i="5"/>
  <c r="AL430" i="5"/>
  <c r="AS455" i="5"/>
  <c r="Q191" i="5"/>
  <c r="F192" i="5" s="1"/>
  <c r="G3896" i="5"/>
  <c r="H3896" i="5" s="1"/>
  <c r="R197" i="5"/>
  <c r="G200" i="5" s="1"/>
  <c r="H200" i="5" s="1"/>
  <c r="F3675" i="5"/>
  <c r="T197" i="5"/>
  <c r="T198" i="5" s="1"/>
  <c r="F202" i="5" s="1"/>
  <c r="P3992" i="5"/>
  <c r="F3992" i="5" s="1"/>
  <c r="G3992" i="5"/>
  <c r="H3992" i="5" s="1"/>
  <c r="S197" i="5"/>
  <c r="S198" i="5" s="1"/>
  <c r="F201" i="5" s="1"/>
  <c r="G4067" i="5"/>
  <c r="H4067" i="5" s="1"/>
  <c r="A5068" i="5"/>
  <c r="C5068" i="5" s="1"/>
  <c r="C5067" i="5"/>
  <c r="A5050" i="5"/>
  <c r="C5050" i="5" s="1"/>
  <c r="A5071" i="5"/>
  <c r="C5071" i="5" s="1"/>
  <c r="A5059" i="5"/>
  <c r="C5059" i="5" s="1"/>
  <c r="O3635" i="5"/>
  <c r="AW1244" i="5"/>
  <c r="AX1244" i="5" s="1"/>
  <c r="AY829" i="5"/>
  <c r="AT412" i="5"/>
  <c r="AS412" i="5"/>
  <c r="AZ396" i="5"/>
  <c r="AY396" i="5"/>
  <c r="AK372" i="5"/>
  <c r="F4534" i="5"/>
  <c r="D4535" i="5"/>
  <c r="D4536" i="5" s="1"/>
  <c r="D4537" i="5" s="1"/>
  <c r="D4538" i="5" s="1"/>
  <c r="D4539" i="5" s="1"/>
  <c r="D4540" i="5" s="1"/>
  <c r="D4541" i="5" s="1"/>
  <c r="D4542" i="5" s="1"/>
  <c r="AI352" i="5"/>
  <c r="AL352" i="5"/>
  <c r="N4434" i="5"/>
  <c r="M4434" i="5" s="1"/>
  <c r="F4435" i="5" s="1"/>
  <c r="M4430" i="5"/>
  <c r="F4431" i="5" s="1"/>
  <c r="AS1274" i="5"/>
  <c r="F3524" i="5"/>
  <c r="Y3526" i="5"/>
  <c r="Y3527" i="5" s="1"/>
  <c r="Y3528" i="5" s="1"/>
  <c r="Y3529" i="5" s="1"/>
  <c r="F3541" i="5" s="1"/>
  <c r="AS2557" i="5"/>
  <c r="A4952" i="5"/>
  <c r="C4952" i="5" s="1"/>
  <c r="AS2136" i="5"/>
  <c r="AT2139" i="5"/>
  <c r="AS2138" i="5"/>
  <c r="P4306" i="5"/>
  <c r="T4306" i="5" s="1"/>
  <c r="F4308" i="5" s="1"/>
  <c r="D5007" i="5"/>
  <c r="D5010" i="5" s="1"/>
  <c r="D5013" i="5" s="1"/>
  <c r="D5016" i="5" s="1"/>
  <c r="D5019" i="5" s="1"/>
  <c r="D5022" i="5" s="1"/>
  <c r="D5025" i="5" s="1"/>
  <c r="D5028" i="5" s="1"/>
  <c r="D5031" i="5" s="1"/>
  <c r="D5034" i="5" s="1"/>
  <c r="C5009" i="5"/>
  <c r="A5010" i="5"/>
  <c r="C5010" i="5" s="1"/>
  <c r="G1274" i="5"/>
  <c r="H1274" i="5" s="1"/>
  <c r="AS2140" i="5"/>
  <c r="AT2142" i="5"/>
  <c r="AS2142" i="5"/>
  <c r="P191" i="5"/>
  <c r="F191" i="5" s="1"/>
  <c r="P3665" i="5"/>
  <c r="G3666" i="5" s="1"/>
  <c r="H3666" i="5" s="1"/>
  <c r="G3664" i="5"/>
  <c r="H3664" i="5" s="1"/>
  <c r="A5047" i="5"/>
  <c r="C5047" i="5" s="1"/>
  <c r="A5065" i="5"/>
  <c r="C5065" i="5" s="1"/>
  <c r="G4458" i="5"/>
  <c r="H4458" i="5" s="1"/>
  <c r="O4459" i="5"/>
  <c r="F4458" i="5" s="1"/>
  <c r="C5037" i="5"/>
  <c r="A5053" i="5"/>
  <c r="C5053" i="5" s="1"/>
  <c r="P4066" i="5"/>
  <c r="F4066" i="5" s="1"/>
  <c r="P4058" i="5"/>
  <c r="F4058" i="5" s="1"/>
  <c r="AJ1257" i="5"/>
  <c r="AY1257" i="5"/>
  <c r="AR1257" i="5"/>
  <c r="AT1257" i="5" s="1"/>
  <c r="AY433" i="5"/>
  <c r="AJ285" i="5"/>
  <c r="AK285" i="5"/>
  <c r="N4397" i="5"/>
  <c r="T3664" i="5"/>
  <c r="T3665" i="5" s="1"/>
  <c r="AT1272" i="5"/>
  <c r="AJ766" i="5"/>
  <c r="AI1276" i="5"/>
  <c r="AZ1308" i="5"/>
  <c r="AR1213" i="5"/>
  <c r="AS1213" i="5" s="1"/>
  <c r="AI1317" i="5"/>
  <c r="AI716" i="5"/>
  <c r="AT1276" i="5"/>
  <c r="AJ715" i="5"/>
  <c r="M2007" i="5"/>
  <c r="F2007" i="5" s="1"/>
  <c r="M1769" i="5"/>
  <c r="F1769" i="5" s="1"/>
  <c r="M2000" i="5"/>
  <c r="F2000" i="5" s="1"/>
  <c r="M1797" i="5"/>
  <c r="F1797" i="5" s="1"/>
  <c r="M1986" i="5"/>
  <c r="F1986" i="5" s="1"/>
  <c r="M1783" i="5"/>
  <c r="F1783" i="5" s="1"/>
  <c r="M2077" i="5"/>
  <c r="F2077" i="5" s="1"/>
  <c r="M2089" i="5"/>
  <c r="F2089" i="5" s="1"/>
  <c r="AZ855" i="5"/>
  <c r="AR855" i="5"/>
  <c r="AT855" i="5" s="1"/>
  <c r="AJ802" i="5"/>
  <c r="AY473" i="5"/>
  <c r="AL473" i="5"/>
  <c r="AZ473" i="5"/>
  <c r="AJ473" i="5"/>
  <c r="AS462" i="5"/>
  <c r="AZ766" i="5"/>
  <c r="M1719" i="5"/>
  <c r="F1719" i="5" s="1"/>
  <c r="G1719" i="5" s="1"/>
  <c r="H1719" i="5" s="1"/>
  <c r="C5092" i="5"/>
  <c r="C5074" i="5"/>
  <c r="P4069" i="5"/>
  <c r="P4070" i="5" s="1"/>
  <c r="F4070" i="5" s="1"/>
  <c r="P3898" i="5"/>
  <c r="G3899" i="5" s="1"/>
  <c r="H3899" i="5" s="1"/>
  <c r="Q4069" i="5"/>
  <c r="AP1701" i="5"/>
  <c r="AP1699" i="5"/>
  <c r="AP1702" i="5"/>
  <c r="AP1703" i="5"/>
  <c r="U191" i="5"/>
  <c r="F196" i="5" s="1"/>
  <c r="U205" i="5"/>
  <c r="U206" i="5" s="1"/>
  <c r="F211" i="5" s="1"/>
  <c r="AP1714" i="5"/>
  <c r="AQ1714" i="5" s="1"/>
  <c r="M1714" i="5"/>
  <c r="F1714" i="5" s="1"/>
  <c r="G1714" i="5" s="1"/>
  <c r="H1714" i="5" s="1"/>
  <c r="M1720" i="5"/>
  <c r="F1720" i="5" s="1"/>
  <c r="G1720" i="5" s="1"/>
  <c r="H1720" i="5" s="1"/>
  <c r="AP1723" i="5"/>
  <c r="AQ1723" i="5" s="1"/>
  <c r="M1695" i="5"/>
  <c r="F1695" i="5" s="1"/>
  <c r="AM1695" i="5" s="1"/>
  <c r="AP1695" i="5"/>
  <c r="M1709" i="5"/>
  <c r="F1709" i="5" s="1"/>
  <c r="G1709" i="5" s="1"/>
  <c r="H1709" i="5" s="1"/>
  <c r="AP1709" i="5"/>
  <c r="P206" i="5"/>
  <c r="F206" i="5" s="1"/>
  <c r="W5075" i="5"/>
  <c r="R5077" i="5"/>
  <c r="AZ1248" i="5"/>
  <c r="AJ1244" i="5"/>
  <c r="AZ1244" i="5"/>
  <c r="AR1244" i="5"/>
  <c r="AT1244" i="5" s="1"/>
  <c r="AJ842" i="5"/>
  <c r="C5098" i="5"/>
  <c r="A5078" i="5"/>
  <c r="C5078" i="5" s="1"/>
  <c r="C5077" i="5"/>
  <c r="AP1704" i="5"/>
  <c r="M1704" i="5"/>
  <c r="F1704" i="5" s="1"/>
  <c r="G1704" i="5" s="1"/>
  <c r="H1704" i="5" s="1"/>
  <c r="AJ798" i="5"/>
  <c r="AK798" i="5"/>
  <c r="D5079" i="5"/>
  <c r="D5082" i="5" s="1"/>
  <c r="D5085" i="5" s="1"/>
  <c r="D5088" i="5" s="1"/>
  <c r="D5091" i="5" s="1"/>
  <c r="D5094" i="5" s="1"/>
  <c r="D5097" i="5" s="1"/>
  <c r="D5100" i="5" s="1"/>
  <c r="D5103" i="5" s="1"/>
  <c r="D5106" i="5" s="1"/>
  <c r="A5084" i="5"/>
  <c r="C5084" i="5" s="1"/>
  <c r="C5083" i="5"/>
  <c r="N4398" i="5"/>
  <c r="M4398" i="5" s="1"/>
  <c r="F4399" i="5" s="1"/>
  <c r="L4398" i="5" s="1"/>
  <c r="M4394" i="5"/>
  <c r="F4395" i="5" s="1"/>
  <c r="L4394" i="5" s="1"/>
  <c r="N4191" i="5"/>
  <c r="M4191" i="5" s="1"/>
  <c r="F4191" i="5" s="1"/>
  <c r="L4191" i="5" s="1"/>
  <c r="C4805" i="5"/>
  <c r="AZ445" i="5"/>
  <c r="AJ441" i="5"/>
  <c r="AS1299" i="5"/>
  <c r="AS1298" i="5"/>
  <c r="M1297" i="5"/>
  <c r="F1297" i="5" s="1"/>
  <c r="G1297" i="5" s="1"/>
  <c r="H1297" i="5" s="1"/>
  <c r="AS1297" i="5"/>
  <c r="W5076" i="5"/>
  <c r="M1707" i="5"/>
  <c r="F1707" i="5" s="1"/>
  <c r="Z3439" i="5"/>
  <c r="V3439" i="5" s="1"/>
  <c r="C4854" i="5"/>
  <c r="U5000" i="5"/>
  <c r="C5095" i="5"/>
  <c r="C5107" i="5"/>
  <c r="A4806" i="5"/>
  <c r="A4894" i="5"/>
  <c r="A4895" i="5" s="1"/>
  <c r="F4895" i="5" s="1"/>
  <c r="A4939" i="5"/>
  <c r="A4940" i="5" s="1"/>
  <c r="G4940" i="5" s="1"/>
  <c r="H4940" i="5" s="1"/>
  <c r="A4911" i="5"/>
  <c r="A4912" i="5" s="1"/>
  <c r="G4912" i="5" s="1"/>
  <c r="H4912" i="5" s="1"/>
  <c r="A4956" i="5"/>
  <c r="C4963" i="5"/>
  <c r="A4980" i="5"/>
  <c r="A4981" i="5" s="1"/>
  <c r="C5015" i="5"/>
  <c r="G4462" i="5"/>
  <c r="H4462" i="5" s="1"/>
  <c r="O4463" i="5"/>
  <c r="F4462" i="5" s="1"/>
  <c r="G1276" i="5"/>
  <c r="H1276" i="5" s="1"/>
  <c r="AM1277" i="5"/>
  <c r="T121" i="5"/>
  <c r="F126" i="5" s="1"/>
  <c r="F111" i="5"/>
  <c r="AT738" i="5"/>
  <c r="AU603" i="5"/>
  <c r="AV603" i="5" s="1"/>
  <c r="R4801" i="5"/>
  <c r="R4802" i="5" s="1"/>
  <c r="F4809" i="5" s="1"/>
  <c r="AW1316" i="5"/>
  <c r="AX1316" i="5" s="1"/>
  <c r="AZ690" i="5"/>
  <c r="AS436" i="5"/>
  <c r="AY690" i="5"/>
  <c r="AK1316" i="5"/>
  <c r="AL690" i="5"/>
  <c r="AZ634" i="5"/>
  <c r="AL594" i="5"/>
  <c r="AT457" i="5"/>
  <c r="AP1298" i="5"/>
  <c r="AQ1298" i="5" s="1"/>
  <c r="A5133" i="5"/>
  <c r="C5133" i="5" s="1"/>
  <c r="C5117" i="5"/>
  <c r="D5113" i="5"/>
  <c r="D5116" i="5" s="1"/>
  <c r="D5119" i="5" s="1"/>
  <c r="D5122" i="5" s="1"/>
  <c r="D5125" i="5" s="1"/>
  <c r="D5128" i="5" s="1"/>
  <c r="D5131" i="5" s="1"/>
  <c r="D5134" i="5" s="1"/>
  <c r="D5137" i="5" s="1"/>
  <c r="D5140" i="5" s="1"/>
  <c r="D5143" i="5" s="1"/>
  <c r="A5115" i="5"/>
  <c r="C5115" i="5" s="1"/>
  <c r="A5145" i="5"/>
  <c r="C5145" i="5" s="1"/>
  <c r="A5121" i="5"/>
  <c r="C5121" i="5" s="1"/>
  <c r="A5124" i="5"/>
  <c r="C5124" i="5" s="1"/>
  <c r="A5130" i="5"/>
  <c r="C5130" i="5" s="1"/>
  <c r="A5136" i="5"/>
  <c r="C5136" i="5" s="1"/>
  <c r="A5142" i="5"/>
  <c r="C5142" i="5" s="1"/>
  <c r="AY1217" i="5"/>
  <c r="F4466" i="5"/>
  <c r="G4466" i="5"/>
  <c r="H4466" i="5" s="1"/>
  <c r="AL726" i="5"/>
  <c r="AJ726" i="5"/>
  <c r="AK715" i="5"/>
  <c r="AR715" i="5"/>
  <c r="AT715" i="5" s="1"/>
  <c r="AL706" i="5"/>
  <c r="AS718" i="5"/>
  <c r="AS838" i="5"/>
  <c r="AZ715" i="5"/>
  <c r="AL715" i="5"/>
  <c r="AU715" i="5"/>
  <c r="AV715" i="5" s="1"/>
  <c r="AK482" i="5"/>
  <c r="AY482" i="5"/>
  <c r="AK2089" i="5"/>
  <c r="AY2089" i="5"/>
  <c r="AY715" i="5"/>
  <c r="AZ726" i="5"/>
  <c r="AT1209" i="5"/>
  <c r="AS2167" i="5"/>
  <c r="AT2167" i="5"/>
  <c r="AK2166" i="5"/>
  <c r="AZ2166" i="5"/>
  <c r="AY2166" i="5"/>
  <c r="AL2166" i="5"/>
  <c r="AT2165" i="5"/>
  <c r="N5007" i="5"/>
  <c r="N5008" i="5" s="1"/>
  <c r="N5009" i="5" s="1"/>
  <c r="N5010" i="5" s="1"/>
  <c r="AS2166" i="5"/>
  <c r="AK1265" i="5"/>
  <c r="AK445" i="5"/>
  <c r="AL441" i="5"/>
  <c r="AK437" i="5"/>
  <c r="AU437" i="5"/>
  <c r="AV437" i="5" s="1"/>
  <c r="AR437" i="5"/>
  <c r="AL354" i="5"/>
  <c r="AU818" i="5"/>
  <c r="AV818" i="5" s="1"/>
  <c r="AR818" i="5"/>
  <c r="AS818" i="5" s="1"/>
  <c r="AZ846" i="5"/>
  <c r="AR630" i="5"/>
  <c r="AT630" i="5" s="1"/>
  <c r="AW818" i="5"/>
  <c r="AX818" i="5" s="1"/>
  <c r="AL846" i="5"/>
  <c r="AT866" i="5"/>
  <c r="AK742" i="5"/>
  <c r="AL802" i="5"/>
  <c r="AZ742" i="5"/>
  <c r="AY802" i="5"/>
  <c r="AZ802" i="5"/>
  <c r="AK762" i="5"/>
  <c r="AU742" i="5"/>
  <c r="AV742" i="5" s="1"/>
  <c r="AL742" i="5"/>
  <c r="AR742" i="5"/>
  <c r="AS742" i="5" s="1"/>
  <c r="AW742" i="5"/>
  <c r="AX742" i="5" s="1"/>
  <c r="AK802" i="5"/>
  <c r="AT834" i="5"/>
  <c r="AT758" i="5"/>
  <c r="AS758" i="5"/>
  <c r="AT340" i="5"/>
  <c r="AZ494" i="5"/>
  <c r="AJ630" i="5"/>
  <c r="AK630" i="5"/>
  <c r="AT810" i="5"/>
  <c r="AT1724" i="5"/>
  <c r="AL581" i="5"/>
  <c r="AT1113" i="5"/>
  <c r="AY917" i="5"/>
  <c r="AS858" i="5"/>
  <c r="AT858" i="5"/>
  <c r="AR771" i="5"/>
  <c r="AS771" i="5" s="1"/>
  <c r="AL771" i="5"/>
  <c r="AY771" i="5"/>
  <c r="AS394" i="5"/>
  <c r="G1699" i="5"/>
  <c r="H1699" i="5" s="1"/>
  <c r="AP1712" i="5"/>
  <c r="AK1511" i="5"/>
  <c r="AT460" i="5"/>
  <c r="AT2135" i="5"/>
  <c r="AS2135" i="5"/>
  <c r="Q3548" i="5"/>
  <c r="Q3549" i="5" s="1"/>
  <c r="Q3563" i="5" s="1"/>
  <c r="G3551" i="5"/>
  <c r="H3551" i="5" s="1"/>
  <c r="Q3677" i="5"/>
  <c r="Q3678" i="5" s="1"/>
  <c r="U3678" i="5" s="1"/>
  <c r="F3682" i="5" s="1"/>
  <c r="G3678" i="5"/>
  <c r="H3678" i="5" s="1"/>
  <c r="U3676" i="5"/>
  <c r="F3678" i="5" s="1"/>
  <c r="S3748" i="5"/>
  <c r="F3748" i="5" s="1"/>
  <c r="P3749" i="5"/>
  <c r="G3749" i="5" s="1"/>
  <c r="H3749" i="5" s="1"/>
  <c r="A5007" i="5"/>
  <c r="C5007" i="5" s="1"/>
  <c r="C5006" i="5"/>
  <c r="AI473" i="5"/>
  <c r="AK473" i="5"/>
  <c r="AT463" i="5"/>
  <c r="AS463" i="5"/>
  <c r="F157" i="5"/>
  <c r="AR798" i="5"/>
  <c r="AT798" i="5" s="1"/>
  <c r="AU798" i="5"/>
  <c r="AV798" i="5" s="1"/>
  <c r="AT794" i="5"/>
  <c r="AL1239" i="5"/>
  <c r="AZ614" i="5"/>
  <c r="AI548" i="5"/>
  <c r="AW547" i="5"/>
  <c r="AX547" i="5" s="1"/>
  <c r="AS1288" i="5"/>
  <c r="AK1121" i="5"/>
  <c r="AR603" i="5"/>
  <c r="AT603" i="5" s="1"/>
  <c r="AW798" i="5"/>
  <c r="AX798" i="5" s="1"/>
  <c r="AL798" i="5"/>
  <c r="AJ1121" i="5"/>
  <c r="T1288" i="5"/>
  <c r="AY1665" i="5"/>
  <c r="AK1367" i="5"/>
  <c r="AJ1367" i="5"/>
  <c r="AY1203" i="5"/>
  <c r="AZ1203" i="5"/>
  <c r="AY452" i="5"/>
  <c r="AJ452" i="5"/>
  <c r="AW433" i="5"/>
  <c r="AX433" i="5" s="1"/>
  <c r="AK433" i="5"/>
  <c r="AZ831" i="5"/>
  <c r="N4043" i="5"/>
  <c r="M4043" i="5" s="1"/>
  <c r="F4043" i="5" s="1"/>
  <c r="L4043" i="5" s="1"/>
  <c r="M4039" i="5"/>
  <c r="F4039" i="5" s="1"/>
  <c r="L4039" i="5" s="1"/>
  <c r="G865" i="5"/>
  <c r="H865" i="5" s="1"/>
  <c r="G2139" i="5"/>
  <c r="H2139" i="5" s="1"/>
  <c r="V3614" i="5"/>
  <c r="D5150" i="5"/>
  <c r="D5153" i="5" s="1"/>
  <c r="AZ815" i="5"/>
  <c r="AK1233" i="5"/>
  <c r="AU1233" i="5"/>
  <c r="AV1233" i="5" s="1"/>
  <c r="AW1233" i="5"/>
  <c r="AX1233" i="5" s="1"/>
  <c r="AY1233" i="5"/>
  <c r="AZ1224" i="5"/>
  <c r="AY1224" i="5"/>
  <c r="AK1224" i="5"/>
  <c r="AZ833" i="5"/>
  <c r="AI833" i="5"/>
  <c r="AZ829" i="5"/>
  <c r="AL829" i="5"/>
  <c r="AJ829" i="5"/>
  <c r="AT790" i="5"/>
  <c r="AS790" i="5"/>
  <c r="AY782" i="5"/>
  <c r="AJ782" i="5"/>
  <c r="AL782" i="5"/>
  <c r="AZ782" i="5"/>
  <c r="AK771" i="5"/>
  <c r="AI772" i="5"/>
  <c r="AU771" i="5"/>
  <c r="AV771" i="5" s="1"/>
  <c r="AJ771" i="5"/>
  <c r="AY762" i="5"/>
  <c r="AJ762" i="5"/>
  <c r="AZ1230" i="5"/>
  <c r="AJ719" i="5"/>
  <c r="AR686" i="5"/>
  <c r="AT686" i="5" s="1"/>
  <c r="AL304" i="5"/>
  <c r="AU1239" i="5"/>
  <c r="AV1239" i="5" s="1"/>
  <c r="AJ833" i="5"/>
  <c r="AK833" i="5"/>
  <c r="AY833" i="5"/>
  <c r="AY822" i="5"/>
  <c r="AZ822" i="5"/>
  <c r="AW438" i="5"/>
  <c r="AX438" i="5" s="1"/>
  <c r="C4855" i="5"/>
  <c r="AJ1515" i="5"/>
  <c r="AU1511" i="5"/>
  <c r="AV1511" i="5" s="1"/>
  <c r="AJ1540" i="5"/>
  <c r="AU1428" i="5"/>
  <c r="AV1428" i="5" s="1"/>
  <c r="AJ986" i="5"/>
  <c r="AY986" i="5"/>
  <c r="AZ986" i="5"/>
  <c r="AL986" i="5"/>
  <c r="AS942" i="5"/>
  <c r="AS847" i="5"/>
  <c r="AJ759" i="5"/>
  <c r="AI759" i="5"/>
  <c r="AY759" i="5"/>
  <c r="AZ759" i="5"/>
  <c r="AK759" i="5"/>
  <c r="AJ708" i="5"/>
  <c r="AU708" i="5"/>
  <c r="AV708" i="5" s="1"/>
  <c r="AW708" i="5"/>
  <c r="AX708" i="5" s="1"/>
  <c r="AR708" i="5"/>
  <c r="AS708" i="5" s="1"/>
  <c r="AS695" i="5"/>
  <c r="AT695" i="5"/>
  <c r="AY647" i="5"/>
  <c r="AZ647" i="5"/>
  <c r="AI647" i="5"/>
  <c r="AJ647" i="5"/>
  <c r="AS583" i="5"/>
  <c r="AT583" i="5"/>
  <c r="AY535" i="5"/>
  <c r="AL495" i="5"/>
  <c r="AY495" i="5"/>
  <c r="AJ495" i="5"/>
  <c r="AZ495" i="5"/>
  <c r="AK495" i="5"/>
  <c r="AJ1006" i="5"/>
  <c r="AL1006" i="5"/>
  <c r="AT994" i="5"/>
  <c r="AT978" i="5"/>
  <c r="AS978" i="5"/>
  <c r="AS823" i="5"/>
  <c r="AT823" i="5"/>
  <c r="AS803" i="5"/>
  <c r="AT803" i="5"/>
  <c r="AK764" i="5"/>
  <c r="AJ764" i="5"/>
  <c r="AY764" i="5"/>
  <c r="AZ764" i="5"/>
  <c r="AI765" i="5"/>
  <c r="AR764" i="5"/>
  <c r="AT764" i="5" s="1"/>
  <c r="AU764" i="5"/>
  <c r="AV764" i="5" s="1"/>
  <c r="AW764" i="5"/>
  <c r="AX764" i="5" s="1"/>
  <c r="AL764" i="5"/>
  <c r="AK739" i="5"/>
  <c r="AL739" i="5"/>
  <c r="AJ739" i="5"/>
  <c r="AY739" i="5"/>
  <c r="AT731" i="5"/>
  <c r="AS731" i="5"/>
  <c r="AT711" i="5"/>
  <c r="AS711" i="5"/>
  <c r="AL663" i="5"/>
  <c r="AZ663" i="5"/>
  <c r="AY663" i="5"/>
  <c r="AJ663" i="5"/>
  <c r="AK663" i="5"/>
  <c r="AJ643" i="5"/>
  <c r="AY643" i="5"/>
  <c r="AZ643" i="5"/>
  <c r="AK643" i="5"/>
  <c r="AL515" i="5"/>
  <c r="AZ515" i="5"/>
  <c r="AK515" i="5"/>
  <c r="AJ515" i="5"/>
  <c r="AY515" i="5"/>
  <c r="AS507" i="5"/>
  <c r="AT507" i="5"/>
  <c r="AS503" i="5"/>
  <c r="AT503" i="5"/>
  <c r="AS487" i="5"/>
  <c r="AT487" i="5"/>
  <c r="AK479" i="5"/>
  <c r="AL479" i="5"/>
  <c r="AZ479" i="5"/>
  <c r="AJ479" i="5"/>
  <c r="AJ811" i="5"/>
  <c r="AL811" i="5"/>
  <c r="AY811" i="5"/>
  <c r="AZ811" i="5"/>
  <c r="AT783" i="5"/>
  <c r="AS783" i="5"/>
  <c r="AK761" i="5"/>
  <c r="AI762" i="5"/>
  <c r="AY761" i="5"/>
  <c r="AL761" i="5"/>
  <c r="AZ761" i="5"/>
  <c r="AU735" i="5"/>
  <c r="AV735" i="5" s="1"/>
  <c r="AJ735" i="5"/>
  <c r="AW735" i="5"/>
  <c r="AX735" i="5" s="1"/>
  <c r="AR735" i="5"/>
  <c r="AT735" i="5" s="1"/>
  <c r="AY735" i="5"/>
  <c r="AK735" i="5"/>
  <c r="AZ735" i="5"/>
  <c r="AL735" i="5"/>
  <c r="AT727" i="5"/>
  <c r="AS727" i="5"/>
  <c r="AS655" i="5"/>
  <c r="AT655" i="5"/>
  <c r="AJ587" i="5"/>
  <c r="AK587" i="5"/>
  <c r="AL587" i="5"/>
  <c r="AZ587" i="5"/>
  <c r="AY587" i="5"/>
  <c r="AT579" i="5"/>
  <c r="AS579" i="5"/>
  <c r="AS559" i="5"/>
  <c r="AT559" i="5"/>
  <c r="AY540" i="5"/>
  <c r="AU540" i="5"/>
  <c r="AV540" i="5" s="1"/>
  <c r="AR540" i="5"/>
  <c r="AT540" i="5" s="1"/>
  <c r="AK540" i="5"/>
  <c r="AI541" i="5"/>
  <c r="AZ540" i="5"/>
  <c r="AL540" i="5"/>
  <c r="AJ540" i="5"/>
  <c r="AW540" i="5"/>
  <c r="AX540" i="5" s="1"/>
  <c r="AI485" i="5"/>
  <c r="AY484" i="5"/>
  <c r="AW484" i="5"/>
  <c r="AX484" i="5" s="1"/>
  <c r="AR484" i="5"/>
  <c r="AK484" i="5"/>
  <c r="AJ484" i="5"/>
  <c r="AZ484" i="5"/>
  <c r="AU484" i="5"/>
  <c r="AV484" i="5" s="1"/>
  <c r="AL484" i="5"/>
  <c r="AT476" i="5"/>
  <c r="AS476" i="5"/>
  <c r="AS527" i="5"/>
  <c r="AS807" i="5"/>
  <c r="AJ795" i="5"/>
  <c r="AZ795" i="5"/>
  <c r="AL795" i="5"/>
  <c r="AY795" i="5"/>
  <c r="AK795" i="5"/>
  <c r="AY791" i="5"/>
  <c r="AJ791" i="5"/>
  <c r="AU791" i="5"/>
  <c r="AV791" i="5" s="1"/>
  <c r="AR791" i="5"/>
  <c r="AS791" i="5" s="1"/>
  <c r="AK791" i="5"/>
  <c r="AW791" i="5"/>
  <c r="AX791" i="5" s="1"/>
  <c r="AL791" i="5"/>
  <c r="AK775" i="5"/>
  <c r="AZ775" i="5"/>
  <c r="AJ775" i="5"/>
  <c r="AY755" i="5"/>
  <c r="AK755" i="5"/>
  <c r="AJ755" i="5"/>
  <c r="AL755" i="5"/>
  <c r="AZ755" i="5"/>
  <c r="AT747" i="5"/>
  <c r="AS747" i="5"/>
  <c r="AZ719" i="5"/>
  <c r="AY719" i="5"/>
  <c r="AT671" i="5"/>
  <c r="AS671" i="5"/>
  <c r="AL652" i="5"/>
  <c r="AK652" i="5"/>
  <c r="AR652" i="5"/>
  <c r="AS652" i="5" s="1"/>
  <c r="AI653" i="5"/>
  <c r="AW652" i="5"/>
  <c r="AX652" i="5" s="1"/>
  <c r="AU652" i="5"/>
  <c r="AV652" i="5" s="1"/>
  <c r="AT543" i="5"/>
  <c r="AS543" i="5"/>
  <c r="AL1011" i="5"/>
  <c r="AI1012" i="5"/>
  <c r="AU1011" i="5"/>
  <c r="AV1011" i="5" s="1"/>
  <c r="AJ1011" i="5"/>
  <c r="AT974" i="5"/>
  <c r="AT787" i="5"/>
  <c r="AS787" i="5"/>
  <c r="AJ703" i="5"/>
  <c r="AZ703" i="5"/>
  <c r="AK703" i="5"/>
  <c r="AI703" i="5"/>
  <c r="AS675" i="5"/>
  <c r="AT675" i="5"/>
  <c r="AS639" i="5"/>
  <c r="AT639" i="5"/>
  <c r="AL571" i="5"/>
  <c r="AJ571" i="5"/>
  <c r="AT563" i="5"/>
  <c r="AS563" i="5"/>
  <c r="AL719" i="5"/>
  <c r="AL1022" i="5"/>
  <c r="AY966" i="5"/>
  <c r="AZ966" i="5"/>
  <c r="AL966" i="5"/>
  <c r="AT767" i="5"/>
  <c r="AS767" i="5"/>
  <c r="AT751" i="5"/>
  <c r="AS751" i="5"/>
  <c r="AK699" i="5"/>
  <c r="AY699" i="5"/>
  <c r="AJ699" i="5"/>
  <c r="AL699" i="5"/>
  <c r="AZ699" i="5"/>
  <c r="AS691" i="5"/>
  <c r="AT691" i="5"/>
  <c r="AL551" i="5"/>
  <c r="AK551" i="5"/>
  <c r="AJ551" i="5"/>
  <c r="AY551" i="5"/>
  <c r="AZ551" i="5"/>
  <c r="AT523" i="5"/>
  <c r="AS523" i="5"/>
  <c r="AW511" i="5"/>
  <c r="AX511" i="5" s="1"/>
  <c r="AR511" i="5"/>
  <c r="AT511" i="5" s="1"/>
  <c r="AU511" i="5"/>
  <c r="AV511" i="5" s="1"/>
  <c r="AK511" i="5"/>
  <c r="AY511" i="5"/>
  <c r="AJ511" i="5"/>
  <c r="AL511" i="5"/>
  <c r="AZ511" i="5"/>
  <c r="AK719" i="5"/>
  <c r="AW715" i="5"/>
  <c r="AX715" i="5" s="1"/>
  <c r="AK690" i="5"/>
  <c r="AW686" i="5"/>
  <c r="AX686" i="5" s="1"/>
  <c r="AJ654" i="5"/>
  <c r="AS682" i="5"/>
  <c r="AL539" i="5"/>
  <c r="AS998" i="5"/>
  <c r="AL568" i="5"/>
  <c r="AM870" i="5"/>
  <c r="O3901" i="5"/>
  <c r="O3902" i="5" s="1"/>
  <c r="F3901" i="5" s="1"/>
  <c r="O3899" i="5"/>
  <c r="F3898" i="5" s="1"/>
  <c r="AJ1233" i="5"/>
  <c r="AI1234" i="5"/>
  <c r="AZ1233" i="5"/>
  <c r="AT774" i="5"/>
  <c r="AS774" i="5"/>
  <c r="AZ771" i="5"/>
  <c r="AW771" i="5"/>
  <c r="AX771" i="5" s="1"/>
  <c r="AI766" i="5"/>
  <c r="AL766" i="5"/>
  <c r="AS754" i="5"/>
  <c r="AT754" i="5"/>
  <c r="AY742" i="5"/>
  <c r="AJ742" i="5"/>
  <c r="AS734" i="5"/>
  <c r="AT734" i="5"/>
  <c r="AT364" i="5"/>
  <c r="AS364" i="5"/>
  <c r="AS1559" i="5"/>
  <c r="AL1540" i="5"/>
  <c r="AK1459" i="5"/>
  <c r="AL1459" i="5"/>
  <c r="AS1487" i="5"/>
  <c r="AK1105" i="5"/>
  <c r="AJ1101" i="5"/>
  <c r="AL1495" i="5"/>
  <c r="AT814" i="5"/>
  <c r="AT1606" i="5"/>
  <c r="AM1282" i="5"/>
  <c r="N5150" i="5"/>
  <c r="N5151" i="5" s="1"/>
  <c r="A5159" i="5" s="1"/>
  <c r="C5159" i="5" s="1"/>
  <c r="AW581" i="5"/>
  <c r="AX581" i="5" s="1"/>
  <c r="AZ581" i="5"/>
  <c r="AW554" i="5"/>
  <c r="AX554" i="5" s="1"/>
  <c r="AK815" i="5"/>
  <c r="AL815" i="5"/>
  <c r="AI815" i="5"/>
  <c r="AY815" i="5"/>
  <c r="AY296" i="5"/>
  <c r="AU331" i="5"/>
  <c r="AV331" i="5" s="1"/>
  <c r="AU368" i="5"/>
  <c r="AV368" i="5" s="1"/>
  <c r="R5239" i="5"/>
  <c r="R5240" i="5" s="1"/>
  <c r="R5241" i="5" s="1"/>
  <c r="R5242" i="5" s="1"/>
  <c r="R5243" i="5" s="1"/>
  <c r="R5244" i="5" s="1"/>
  <c r="R5245" i="5" s="1"/>
  <c r="R5246" i="5" s="1"/>
  <c r="R5247" i="5" s="1"/>
  <c r="R5248" i="5" s="1"/>
  <c r="R5274" i="5" s="1"/>
  <c r="R5275" i="5" s="1"/>
  <c r="R5276" i="5" s="1"/>
  <c r="R5277" i="5" s="1"/>
  <c r="R5278" i="5" s="1"/>
  <c r="R5279" i="5" s="1"/>
  <c r="R5280" i="5" s="1"/>
  <c r="R5281" i="5" s="1"/>
  <c r="R5282" i="5" s="1"/>
  <c r="S5239" i="5"/>
  <c r="S5240" i="5" s="1"/>
  <c r="S5241" i="5" s="1"/>
  <c r="S5242" i="5" s="1"/>
  <c r="S5243" i="5" s="1"/>
  <c r="S5244" i="5" s="1"/>
  <c r="S5245" i="5" s="1"/>
  <c r="S5246" i="5" s="1"/>
  <c r="S5247" i="5" s="1"/>
  <c r="S5248" i="5" s="1"/>
  <c r="S5274" i="5" s="1"/>
  <c r="S5275" i="5" s="1"/>
  <c r="S5276" i="5" s="1"/>
  <c r="S5277" i="5" s="1"/>
  <c r="S5278" i="5" s="1"/>
  <c r="S5279" i="5" s="1"/>
  <c r="AL1475" i="5"/>
  <c r="AY1475" i="5"/>
  <c r="AM1286" i="5"/>
  <c r="D5240" i="5"/>
  <c r="D5243" i="5" s="1"/>
  <c r="D5246" i="5" s="1"/>
  <c r="D5249" i="5" s="1"/>
  <c r="D5252" i="5" s="1"/>
  <c r="D5255" i="5" s="1"/>
  <c r="D5258" i="5" s="1"/>
  <c r="D5261" i="5" s="1"/>
  <c r="D5264" i="5" s="1"/>
  <c r="D5267" i="5" s="1"/>
  <c r="D5270" i="5" s="1"/>
  <c r="C5147" i="5"/>
  <c r="C5238" i="5"/>
  <c r="D5241" i="5"/>
  <c r="D5245" i="5"/>
  <c r="D5248" i="5" s="1"/>
  <c r="D5251" i="5" s="1"/>
  <c r="D5254" i="5" s="1"/>
  <c r="D5257" i="5" s="1"/>
  <c r="D5260" i="5" s="1"/>
  <c r="D5263" i="5" s="1"/>
  <c r="D5266" i="5" s="1"/>
  <c r="P3997" i="5"/>
  <c r="G3998" i="5" s="1"/>
  <c r="H3998" i="5" s="1"/>
  <c r="G3995" i="5"/>
  <c r="H3995" i="5" s="1"/>
  <c r="P3995" i="5"/>
  <c r="F3995" i="5" s="1"/>
  <c r="P220" i="5"/>
  <c r="P221" i="5" s="1"/>
  <c r="F221" i="5" s="1"/>
  <c r="AM2136" i="5"/>
  <c r="T205" i="5"/>
  <c r="AM1269" i="5"/>
  <c r="AK726" i="5"/>
  <c r="AY726" i="5"/>
  <c r="AJ1105" i="5"/>
  <c r="AT889" i="5"/>
  <c r="P161" i="5"/>
  <c r="F161" i="5" s="1"/>
  <c r="U161" i="5"/>
  <c r="F166" i="5" s="1"/>
  <c r="AZ1254" i="5"/>
  <c r="AZ1217" i="5"/>
  <c r="AJ1203" i="5"/>
  <c r="AZ1121" i="5"/>
  <c r="AL1121" i="5"/>
  <c r="S205" i="5"/>
  <c r="S220" i="5" s="1"/>
  <c r="AM875" i="5"/>
  <c r="AM874" i="5"/>
  <c r="AM1278" i="5"/>
  <c r="AM1305" i="5"/>
  <c r="G1278" i="5"/>
  <c r="H1278" i="5" s="1"/>
  <c r="G1267" i="5"/>
  <c r="H1267" i="5" s="1"/>
  <c r="AM2166" i="5"/>
  <c r="AM864" i="5"/>
  <c r="Q161" i="5"/>
  <c r="F162" i="5" s="1"/>
  <c r="F99" i="5"/>
  <c r="AT388" i="5"/>
  <c r="AS449" i="5"/>
  <c r="AZ286" i="5"/>
  <c r="AK287" i="5"/>
  <c r="AT456" i="5"/>
  <c r="AS456" i="5"/>
  <c r="Q3635" i="5"/>
  <c r="U3645" i="5"/>
  <c r="Q3645" i="5" s="1"/>
  <c r="M4277" i="5"/>
  <c r="F4277" i="5" s="1"/>
  <c r="L4277" i="5" s="1"/>
  <c r="N4281" i="5"/>
  <c r="M4281" i="5" s="1"/>
  <c r="F4281" i="5" s="1"/>
  <c r="L4281" i="5" s="1"/>
  <c r="AT1707" i="5"/>
  <c r="AS1707" i="5"/>
  <c r="AW498" i="5"/>
  <c r="AX498" i="5" s="1"/>
  <c r="AY498" i="5"/>
  <c r="AW448" i="5"/>
  <c r="AX448" i="5" s="1"/>
  <c r="AU448" i="5"/>
  <c r="AV448" i="5" s="1"/>
  <c r="AK448" i="5"/>
  <c r="AI449" i="5"/>
  <c r="AR448" i="5"/>
  <c r="AS448" i="5" s="1"/>
  <c r="AL448" i="5"/>
  <c r="AJ448" i="5"/>
  <c r="AU427" i="5"/>
  <c r="AV427" i="5" s="1"/>
  <c r="AK427" i="5"/>
  <c r="AW427" i="5"/>
  <c r="AX427" i="5" s="1"/>
  <c r="AJ427" i="5"/>
  <c r="AR427" i="5"/>
  <c r="AS427" i="5" s="1"/>
  <c r="AL427" i="5"/>
  <c r="AY427" i="5"/>
  <c r="AL407" i="5"/>
  <c r="AL383" i="5"/>
  <c r="AY383" i="5"/>
  <c r="AZ383" i="5"/>
  <c r="AK383" i="5"/>
  <c r="AJ383" i="5"/>
  <c r="AJ359" i="5"/>
  <c r="AL359" i="5"/>
  <c r="AZ359" i="5"/>
  <c r="AK359" i="5"/>
  <c r="AS347" i="5"/>
  <c r="AJ335" i="5"/>
  <c r="AS284" i="5"/>
  <c r="A4777" i="5"/>
  <c r="C4777" i="5" s="1"/>
  <c r="C4776" i="5"/>
  <c r="R121" i="5"/>
  <c r="F124" i="5" s="1"/>
  <c r="F109" i="5"/>
  <c r="S3871" i="5"/>
  <c r="O3871" i="5" s="1"/>
  <c r="O3862" i="5"/>
  <c r="F101" i="5"/>
  <c r="Q114" i="5"/>
  <c r="F116" i="5" s="1"/>
  <c r="M1422" i="5"/>
  <c r="F1422" i="5" s="1"/>
  <c r="M1541" i="5"/>
  <c r="F1541" i="5" s="1"/>
  <c r="M1415" i="5"/>
  <c r="F1415" i="5" s="1"/>
  <c r="M1527" i="5"/>
  <c r="F1527" i="5" s="1"/>
  <c r="M1401" i="5"/>
  <c r="F1401" i="5" s="1"/>
  <c r="M1555" i="5"/>
  <c r="F1555" i="5" s="1"/>
  <c r="M1569" i="5"/>
  <c r="F1569" i="5" s="1"/>
  <c r="M1450" i="5"/>
  <c r="F1450" i="5" s="1"/>
  <c r="M1646" i="5"/>
  <c r="F1646" i="5" s="1"/>
  <c r="M1604" i="5"/>
  <c r="F1604" i="5" s="1"/>
  <c r="M1373" i="5"/>
  <c r="F1373" i="5" s="1"/>
  <c r="M1506" i="5"/>
  <c r="F1506" i="5" s="1"/>
  <c r="M1597" i="5"/>
  <c r="F1597" i="5" s="1"/>
  <c r="M1658" i="5"/>
  <c r="F1658" i="5" s="1"/>
  <c r="M1387" i="5"/>
  <c r="F1387" i="5" s="1"/>
  <c r="M1676" i="5"/>
  <c r="F1676" i="5" s="1"/>
  <c r="M1317" i="5"/>
  <c r="F1317" i="5" s="1"/>
  <c r="M1590" i="5"/>
  <c r="F1590" i="5" s="1"/>
  <c r="M1652" i="5"/>
  <c r="F1652" i="5" s="1"/>
  <c r="M1534" i="5"/>
  <c r="F1534" i="5" s="1"/>
  <c r="M1625" i="5"/>
  <c r="F1625" i="5" s="1"/>
  <c r="M1471" i="5"/>
  <c r="F1471" i="5" s="1"/>
  <c r="M1345" i="5"/>
  <c r="F1345" i="5" s="1"/>
  <c r="M1513" i="5"/>
  <c r="F1513" i="5" s="1"/>
  <c r="M1408" i="5"/>
  <c r="F1408" i="5" s="1"/>
  <c r="M1583" i="5"/>
  <c r="F1583" i="5" s="1"/>
  <c r="M1436" i="5"/>
  <c r="F1436" i="5" s="1"/>
  <c r="M1611" i="5"/>
  <c r="F1611" i="5" s="1"/>
  <c r="M1331" i="5"/>
  <c r="F1331" i="5" s="1"/>
  <c r="M1380" i="5"/>
  <c r="F1380" i="5" s="1"/>
  <c r="M1499" i="5"/>
  <c r="F1499" i="5" s="1"/>
  <c r="M1359" i="5"/>
  <c r="F1359" i="5" s="1"/>
  <c r="M1324" i="5"/>
  <c r="F1324" i="5" s="1"/>
  <c r="M1520" i="5"/>
  <c r="F1520" i="5" s="1"/>
  <c r="M1429" i="5"/>
  <c r="F1429" i="5" s="1"/>
  <c r="M1639" i="5"/>
  <c r="F1639" i="5" s="1"/>
  <c r="M1548" i="5"/>
  <c r="F1548" i="5" s="1"/>
  <c r="M1352" i="5"/>
  <c r="F1352" i="5" s="1"/>
  <c r="M1457" i="5"/>
  <c r="F1457" i="5" s="1"/>
  <c r="M1693" i="5"/>
  <c r="F1693" i="5" s="1"/>
  <c r="M1394" i="5"/>
  <c r="F1394" i="5" s="1"/>
  <c r="M1338" i="5"/>
  <c r="F1338" i="5" s="1"/>
  <c r="M1632" i="5"/>
  <c r="F1632" i="5" s="1"/>
  <c r="M1688" i="5"/>
  <c r="F1688" i="5" s="1"/>
  <c r="M1576" i="5"/>
  <c r="F1576" i="5" s="1"/>
  <c r="M1664" i="5"/>
  <c r="F1664" i="5" s="1"/>
  <c r="M1682" i="5"/>
  <c r="F1682" i="5" s="1"/>
  <c r="M1478" i="5"/>
  <c r="F1478" i="5" s="1"/>
  <c r="M1670" i="5"/>
  <c r="F1670" i="5" s="1"/>
  <c r="M1485" i="5"/>
  <c r="F1485" i="5" s="1"/>
  <c r="M1464" i="5"/>
  <c r="F1464" i="5" s="1"/>
  <c r="M1492" i="5"/>
  <c r="F1492" i="5" s="1"/>
  <c r="C4866" i="5"/>
  <c r="A4867" i="5"/>
  <c r="C4867" i="5" s="1"/>
  <c r="AY2120" i="5"/>
  <c r="AS1269" i="5"/>
  <c r="AT1269" i="5"/>
  <c r="AT1709" i="5"/>
  <c r="AS1709" i="5"/>
  <c r="AS1273" i="5"/>
  <c r="AT1273" i="5"/>
  <c r="AT1704" i="5"/>
  <c r="AS1704" i="5"/>
  <c r="N3872" i="5"/>
  <c r="M3872" i="5" s="1"/>
  <c r="F3872" i="5" s="1"/>
  <c r="L3872" i="5" s="1"/>
  <c r="M1443" i="5"/>
  <c r="F1443" i="5" s="1"/>
  <c r="AL489" i="5"/>
  <c r="AS485" i="5"/>
  <c r="AJ431" i="5"/>
  <c r="AK431" i="5"/>
  <c r="AY431" i="5"/>
  <c r="AU379" i="5"/>
  <c r="AV379" i="5" s="1"/>
  <c r="AZ379" i="5"/>
  <c r="AW379" i="5"/>
  <c r="AX379" i="5" s="1"/>
  <c r="AL379" i="5"/>
  <c r="AY379" i="5"/>
  <c r="AK379" i="5"/>
  <c r="AR379" i="5"/>
  <c r="AT379" i="5" s="1"/>
  <c r="AZ368" i="5"/>
  <c r="AW368" i="5"/>
  <c r="AX368" i="5" s="1"/>
  <c r="AI369" i="5"/>
  <c r="AY368" i="5"/>
  <c r="AJ368" i="5"/>
  <c r="AR368" i="5"/>
  <c r="AT368" i="5" s="1"/>
  <c r="AK368" i="5"/>
  <c r="AS323" i="5"/>
  <c r="AJ311" i="5"/>
  <c r="AK311" i="5"/>
  <c r="AY311" i="5"/>
  <c r="AZ311" i="5"/>
  <c r="AL311" i="5"/>
  <c r="AJ287" i="5"/>
  <c r="AJ379" i="5"/>
  <c r="M1366" i="5"/>
  <c r="F1366" i="5" s="1"/>
  <c r="M1562" i="5"/>
  <c r="F1562" i="5" s="1"/>
  <c r="AZ493" i="5"/>
  <c r="AI479" i="5"/>
  <c r="AK435" i="5"/>
  <c r="AI435" i="5"/>
  <c r="AZ435" i="5"/>
  <c r="AL435" i="5"/>
  <c r="AJ435" i="5"/>
  <c r="AY435" i="5"/>
  <c r="AJ416" i="5"/>
  <c r="AZ416" i="5"/>
  <c r="AU416" i="5"/>
  <c r="AV416" i="5" s="1"/>
  <c r="AI417" i="5"/>
  <c r="AW416" i="5"/>
  <c r="AX416" i="5" s="1"/>
  <c r="AY416" i="5"/>
  <c r="AL416" i="5"/>
  <c r="AK416" i="5"/>
  <c r="AR416" i="5"/>
  <c r="AS416" i="5" s="1"/>
  <c r="AW403" i="5"/>
  <c r="AX403" i="5" s="1"/>
  <c r="AR403" i="5"/>
  <c r="AT403" i="5" s="1"/>
  <c r="AZ403" i="5"/>
  <c r="AU403" i="5"/>
  <c r="AV403" i="5" s="1"/>
  <c r="AL392" i="5"/>
  <c r="AJ392" i="5"/>
  <c r="AZ392" i="5"/>
  <c r="AR392" i="5"/>
  <c r="AT392" i="5" s="1"/>
  <c r="AU392" i="5"/>
  <c r="AV392" i="5" s="1"/>
  <c r="AI393" i="5"/>
  <c r="AK392" i="5"/>
  <c r="AL355" i="5"/>
  <c r="AU355" i="5"/>
  <c r="AV355" i="5" s="1"/>
  <c r="AR355" i="5"/>
  <c r="AT355" i="5" s="1"/>
  <c r="AY355" i="5"/>
  <c r="AZ355" i="5"/>
  <c r="AJ355" i="5"/>
  <c r="AK355" i="5"/>
  <c r="AT351" i="5"/>
  <c r="AY344" i="5"/>
  <c r="AJ344" i="5"/>
  <c r="AI345" i="5"/>
  <c r="AR344" i="5"/>
  <c r="AS344" i="5" s="1"/>
  <c r="AZ344" i="5"/>
  <c r="AL344" i="5"/>
  <c r="AW344" i="5"/>
  <c r="AX344" i="5" s="1"/>
  <c r="AK344" i="5"/>
  <c r="AW331" i="5"/>
  <c r="AX331" i="5" s="1"/>
  <c r="AK331" i="5"/>
  <c r="AU320" i="5"/>
  <c r="AV320" i="5" s="1"/>
  <c r="AK320" i="5"/>
  <c r="AL320" i="5"/>
  <c r="AI321" i="5"/>
  <c r="AW320" i="5"/>
  <c r="AX320" i="5" s="1"/>
  <c r="AR320" i="5"/>
  <c r="AS320" i="5" s="1"/>
  <c r="AJ320" i="5"/>
  <c r="AZ320" i="5"/>
  <c r="AY320" i="5"/>
  <c r="AZ307" i="5"/>
  <c r="AW307" i="5"/>
  <c r="AX307" i="5" s="1"/>
  <c r="AU307" i="5"/>
  <c r="AV307" i="5" s="1"/>
  <c r="AL307" i="5"/>
  <c r="AK307" i="5"/>
  <c r="AR307" i="5"/>
  <c r="AJ307" i="5"/>
  <c r="AK296" i="5"/>
  <c r="AI297" i="5"/>
  <c r="AZ448" i="5"/>
  <c r="AY392" i="5"/>
  <c r="AY287" i="5"/>
  <c r="AL431" i="5"/>
  <c r="AY448" i="5"/>
  <c r="AY359" i="5"/>
  <c r="AZ427" i="5"/>
  <c r="M1618" i="5"/>
  <c r="F1618" i="5" s="1"/>
  <c r="AZ431" i="5"/>
  <c r="F4567" i="5"/>
  <c r="Q4568" i="5"/>
  <c r="Q4569" i="5" s="1"/>
  <c r="Q4570" i="5" s="1"/>
  <c r="Q4571" i="5" s="1"/>
  <c r="F4571" i="5" s="1"/>
  <c r="F4881" i="5"/>
  <c r="V4881" i="5"/>
  <c r="F4885" i="5" s="1"/>
  <c r="AZ425" i="5"/>
  <c r="AK425" i="5"/>
  <c r="AY425" i="5"/>
  <c r="AY413" i="5"/>
  <c r="AJ413" i="5"/>
  <c r="AK413" i="5"/>
  <c r="AZ413" i="5"/>
  <c r="AL413" i="5"/>
  <c r="AK389" i="5"/>
  <c r="AL389" i="5"/>
  <c r="AY389" i="5"/>
  <c r="AJ389" i="5"/>
  <c r="AZ389" i="5"/>
  <c r="AI386" i="5"/>
  <c r="AY386" i="5"/>
  <c r="AL386" i="5"/>
  <c r="AU386" i="5"/>
  <c r="AV386" i="5" s="1"/>
  <c r="AJ377" i="5"/>
  <c r="AY377" i="5"/>
  <c r="AZ377" i="5"/>
  <c r="AL377" i="5"/>
  <c r="AK377" i="5"/>
  <c r="AI377" i="5"/>
  <c r="AY365" i="5"/>
  <c r="AJ365" i="5"/>
  <c r="AL365" i="5"/>
  <c r="AK365" i="5"/>
  <c r="AZ365" i="5"/>
  <c r="AZ362" i="5"/>
  <c r="AW362" i="5"/>
  <c r="AX362" i="5" s="1"/>
  <c r="AK362" i="5"/>
  <c r="AI362" i="5"/>
  <c r="AR362" i="5"/>
  <c r="AT362" i="5" s="1"/>
  <c r="AI363" i="5"/>
  <c r="AY362" i="5"/>
  <c r="AL362" i="5"/>
  <c r="AJ362" i="5"/>
  <c r="AU362" i="5"/>
  <c r="AV362" i="5" s="1"/>
  <c r="AT353" i="5"/>
  <c r="AS353" i="5"/>
  <c r="AT345" i="5"/>
  <c r="AS345" i="5"/>
  <c r="AL313" i="5"/>
  <c r="AU313" i="5"/>
  <c r="AV313" i="5" s="1"/>
  <c r="AK313" i="5"/>
  <c r="AW313" i="5"/>
  <c r="AX313" i="5" s="1"/>
  <c r="AY313" i="5"/>
  <c r="AJ313" i="5"/>
  <c r="AZ313" i="5"/>
  <c r="AR313" i="5"/>
  <c r="AS313" i="5" s="1"/>
  <c r="AI375" i="5"/>
  <c r="AT425" i="5"/>
  <c r="AS425" i="5"/>
  <c r="AZ421" i="5"/>
  <c r="AK421" i="5"/>
  <c r="AU421" i="5"/>
  <c r="AV421" i="5" s="1"/>
  <c r="AS413" i="5"/>
  <c r="AJ397" i="5"/>
  <c r="AR397" i="5"/>
  <c r="AS397" i="5" s="1"/>
  <c r="AL397" i="5"/>
  <c r="AS381" i="5"/>
  <c r="AT381" i="5"/>
  <c r="AS377" i="5"/>
  <c r="AT377" i="5"/>
  <c r="AL374" i="5"/>
  <c r="AY374" i="5"/>
  <c r="AZ374" i="5"/>
  <c r="AW374" i="5"/>
  <c r="AX374" i="5" s="1"/>
  <c r="AJ374" i="5"/>
  <c r="AR374" i="5"/>
  <c r="AT374" i="5" s="1"/>
  <c r="AU374" i="5"/>
  <c r="AV374" i="5" s="1"/>
  <c r="AK374" i="5"/>
  <c r="AS365" i="5"/>
  <c r="AT365" i="5"/>
  <c r="AK353" i="5"/>
  <c r="AI353" i="5"/>
  <c r="AY353" i="5"/>
  <c r="AL353" i="5"/>
  <c r="AZ353" i="5"/>
  <c r="AJ353" i="5"/>
  <c r="AR349" i="5"/>
  <c r="AS349" i="5" s="1"/>
  <c r="AU349" i="5"/>
  <c r="AV349" i="5" s="1"/>
  <c r="AY349" i="5"/>
  <c r="AZ349" i="5"/>
  <c r="AK349" i="5"/>
  <c r="AW349" i="5"/>
  <c r="AX349" i="5" s="1"/>
  <c r="AJ349" i="5"/>
  <c r="AL349" i="5"/>
  <c r="AJ341" i="5"/>
  <c r="AZ341" i="5"/>
  <c r="AK341" i="5"/>
  <c r="AY341" i="5"/>
  <c r="AL341" i="5"/>
  <c r="AT429" i="5"/>
  <c r="AS429" i="5"/>
  <c r="AJ398" i="5"/>
  <c r="AK398" i="5"/>
  <c r="AW398" i="5"/>
  <c r="AX398" i="5" s="1"/>
  <c r="AR398" i="5"/>
  <c r="AT398" i="5" s="1"/>
  <c r="AL398" i="5"/>
  <c r="AY398" i="5"/>
  <c r="AI399" i="5"/>
  <c r="AU398" i="5"/>
  <c r="AV398" i="5" s="1"/>
  <c r="AZ398" i="5"/>
  <c r="AI398" i="5"/>
  <c r="AY385" i="5"/>
  <c r="AW385" i="5"/>
  <c r="AX385" i="5" s="1"/>
  <c r="AR385" i="5"/>
  <c r="AT385" i="5" s="1"/>
  <c r="AJ385" i="5"/>
  <c r="AL385" i="5"/>
  <c r="AK385" i="5"/>
  <c r="AZ385" i="5"/>
  <c r="AU385" i="5"/>
  <c r="AV385" i="5" s="1"/>
  <c r="AL373" i="5"/>
  <c r="AK373" i="5"/>
  <c r="AY373" i="5"/>
  <c r="AR373" i="5"/>
  <c r="AT373" i="5" s="1"/>
  <c r="AJ373" i="5"/>
  <c r="AW373" i="5"/>
  <c r="AX373" i="5" s="1"/>
  <c r="AZ373" i="5"/>
  <c r="AU373" i="5"/>
  <c r="AV373" i="5" s="1"/>
  <c r="AT369" i="5"/>
  <c r="AS369" i="5"/>
  <c r="AZ361" i="5"/>
  <c r="AL361" i="5"/>
  <c r="AY361" i="5"/>
  <c r="AR361" i="5"/>
  <c r="AS361" i="5" s="1"/>
  <c r="AW361" i="5"/>
  <c r="AX361" i="5" s="1"/>
  <c r="AK361" i="5"/>
  <c r="AJ361" i="5"/>
  <c r="AU361" i="5"/>
  <c r="AV361" i="5" s="1"/>
  <c r="AZ350" i="5"/>
  <c r="AK350" i="5"/>
  <c r="AW350" i="5"/>
  <c r="AX350" i="5" s="1"/>
  <c r="AR350" i="5"/>
  <c r="AS350" i="5" s="1"/>
  <c r="AL350" i="5"/>
  <c r="AI350" i="5"/>
  <c r="AI351" i="5"/>
  <c r="AJ350" i="5"/>
  <c r="AU350" i="5"/>
  <c r="AV350" i="5" s="1"/>
  <c r="AY350" i="5"/>
  <c r="AS321" i="5"/>
  <c r="AT321" i="5"/>
  <c r="AY314" i="5"/>
  <c r="AJ314" i="5"/>
  <c r="AU314" i="5"/>
  <c r="AV314" i="5" s="1"/>
  <c r="AK314" i="5"/>
  <c r="AI314" i="5"/>
  <c r="AL314" i="5"/>
  <c r="AI315" i="5"/>
  <c r="AZ314" i="5"/>
  <c r="AW314" i="5"/>
  <c r="AX314" i="5" s="1"/>
  <c r="AR314" i="5"/>
  <c r="AT314" i="5" s="1"/>
  <c r="AT309" i="5"/>
  <c r="AS309" i="5"/>
  <c r="AL290" i="5"/>
  <c r="AS357" i="5"/>
  <c r="AT341" i="5"/>
  <c r="AT389" i="5"/>
  <c r="AT1706" i="5"/>
  <c r="AS1706" i="5"/>
  <c r="AT1271" i="5"/>
  <c r="A4769" i="5"/>
  <c r="AI1689" i="5"/>
  <c r="AJ1689" i="5"/>
  <c r="AM1694" i="5"/>
  <c r="F3523" i="5"/>
  <c r="X3526" i="5"/>
  <c r="F3528" i="5" s="1"/>
  <c r="R161" i="5"/>
  <c r="F163" i="5" s="1"/>
  <c r="AK1614" i="5"/>
  <c r="AQ2134" i="5"/>
  <c r="AQ1278" i="5"/>
  <c r="AQ874" i="5"/>
  <c r="AM2139" i="5"/>
  <c r="AQ459" i="5"/>
  <c r="AQ457" i="5"/>
  <c r="AS635" i="5"/>
  <c r="AT635" i="5"/>
  <c r="AJ289" i="5"/>
  <c r="AK289" i="5"/>
  <c r="AU289" i="5"/>
  <c r="AV289" i="5" s="1"/>
  <c r="AW289" i="5"/>
  <c r="AX289" i="5" s="1"/>
  <c r="AY289" i="5"/>
  <c r="AR289" i="5"/>
  <c r="AS289" i="5" s="1"/>
  <c r="AL289" i="5"/>
  <c r="AS305" i="5"/>
  <c r="AL683" i="5"/>
  <c r="AZ683" i="5"/>
  <c r="AK683" i="5"/>
  <c r="AJ683" i="5"/>
  <c r="AY683" i="5"/>
  <c r="AJ624" i="5"/>
  <c r="AT619" i="5"/>
  <c r="AS619" i="5"/>
  <c r="AS615" i="5"/>
  <c r="AT615" i="5"/>
  <c r="AT611" i="5"/>
  <c r="AK607" i="5"/>
  <c r="AY607" i="5"/>
  <c r="AZ607" i="5"/>
  <c r="AL607" i="5"/>
  <c r="AJ607" i="5"/>
  <c r="AK596" i="5"/>
  <c r="AZ596" i="5"/>
  <c r="AJ596" i="5"/>
  <c r="AY596" i="5"/>
  <c r="AL596" i="5"/>
  <c r="AR596" i="5"/>
  <c r="AS596" i="5" s="1"/>
  <c r="AW596" i="5"/>
  <c r="AX596" i="5" s="1"/>
  <c r="AU596" i="5"/>
  <c r="AV596" i="5" s="1"/>
  <c r="AZ409" i="5"/>
  <c r="AL409" i="5"/>
  <c r="AJ409" i="5"/>
  <c r="AK409" i="5"/>
  <c r="AW409" i="5"/>
  <c r="AX409" i="5" s="1"/>
  <c r="AY409" i="5"/>
  <c r="AU409" i="5"/>
  <c r="AV409" i="5" s="1"/>
  <c r="AR409" i="5"/>
  <c r="AS409" i="5" s="1"/>
  <c r="AZ401" i="5"/>
  <c r="AK401" i="5"/>
  <c r="AJ337" i="5"/>
  <c r="AW337" i="5"/>
  <c r="AX337" i="5" s="1"/>
  <c r="AL337" i="5"/>
  <c r="AZ337" i="5"/>
  <c r="AK337" i="5"/>
  <c r="AU337" i="5"/>
  <c r="AV337" i="5" s="1"/>
  <c r="AY337" i="5"/>
  <c r="AR337" i="5"/>
  <c r="AS337" i="5" s="1"/>
  <c r="AJ329" i="5"/>
  <c r="AY329" i="5"/>
  <c r="AL329" i="5"/>
  <c r="AK329" i="5"/>
  <c r="AZ329" i="5"/>
  <c r="AR325" i="5"/>
  <c r="AS325" i="5" s="1"/>
  <c r="AL325" i="5"/>
  <c r="AK325" i="5"/>
  <c r="AJ325" i="5"/>
  <c r="AU325" i="5"/>
  <c r="AV325" i="5" s="1"/>
  <c r="AZ325" i="5"/>
  <c r="AW325" i="5"/>
  <c r="AX325" i="5" s="1"/>
  <c r="AY325" i="5"/>
  <c r="AU302" i="5"/>
  <c r="AV302" i="5" s="1"/>
  <c r="AZ302" i="5"/>
  <c r="AK302" i="5"/>
  <c r="AJ302" i="5"/>
  <c r="AI303" i="5"/>
  <c r="AW302" i="5"/>
  <c r="AX302" i="5" s="1"/>
  <c r="AR302" i="5"/>
  <c r="AS302" i="5" s="1"/>
  <c r="AY302" i="5"/>
  <c r="AL302" i="5"/>
  <c r="AI302" i="5"/>
  <c r="AT297" i="5"/>
  <c r="AS297" i="5"/>
  <c r="AL293" i="5"/>
  <c r="AY293" i="5"/>
  <c r="AZ293" i="5"/>
  <c r="AK293" i="5"/>
  <c r="AL282" i="5"/>
  <c r="AJ282" i="5"/>
  <c r="AZ282" i="5"/>
  <c r="AY282" i="5"/>
  <c r="AK282" i="5"/>
  <c r="AM282" i="5"/>
  <c r="AY1687" i="5"/>
  <c r="AL1674" i="5"/>
  <c r="AK1650" i="5"/>
  <c r="AW1206" i="5"/>
  <c r="AX1206" i="5" s="1"/>
  <c r="AK1206" i="5"/>
  <c r="AZ857" i="5"/>
  <c r="AY857" i="5"/>
  <c r="AI857" i="5"/>
  <c r="AJ857" i="5"/>
  <c r="AL857" i="5"/>
  <c r="AK857" i="5"/>
  <c r="AZ853" i="5"/>
  <c r="AK853" i="5"/>
  <c r="AY853" i="5"/>
  <c r="AL853" i="5"/>
  <c r="AJ853" i="5"/>
  <c r="AY658" i="5"/>
  <c r="AT649" i="5"/>
  <c r="AJ635" i="5"/>
  <c r="AJ627" i="5"/>
  <c r="AY627" i="5"/>
  <c r="AL627" i="5"/>
  <c r="AZ627" i="5"/>
  <c r="AK627" i="5"/>
  <c r="AR623" i="5"/>
  <c r="AS623" i="5" s="1"/>
  <c r="AY623" i="5"/>
  <c r="AL623" i="5"/>
  <c r="AK623" i="5"/>
  <c r="AW623" i="5"/>
  <c r="AX623" i="5" s="1"/>
  <c r="AU623" i="5"/>
  <c r="AV623" i="5" s="1"/>
  <c r="AJ623" i="5"/>
  <c r="AZ623" i="5"/>
  <c r="AY619" i="5"/>
  <c r="AT607" i="5"/>
  <c r="AT599" i="5"/>
  <c r="AS599" i="5"/>
  <c r="AJ599" i="5"/>
  <c r="AY599" i="5"/>
  <c r="AL595" i="5"/>
  <c r="AY578" i="5"/>
  <c r="AY574" i="5"/>
  <c r="AJ574" i="5"/>
  <c r="AJ558" i="5"/>
  <c r="AU410" i="5"/>
  <c r="AV410" i="5" s="1"/>
  <c r="AI411" i="5"/>
  <c r="AR410" i="5"/>
  <c r="AS410" i="5" s="1"/>
  <c r="AJ410" i="5"/>
  <c r="AL410" i="5"/>
  <c r="AS405" i="5"/>
  <c r="AT405" i="5"/>
  <c r="AT401" i="5"/>
  <c r="AS401" i="5"/>
  <c r="AW338" i="5"/>
  <c r="AX338" i="5" s="1"/>
  <c r="AL338" i="5"/>
  <c r="AZ338" i="5"/>
  <c r="AU338" i="5"/>
  <c r="AV338" i="5" s="1"/>
  <c r="AR338" i="5"/>
  <c r="AY338" i="5"/>
  <c r="AI338" i="5"/>
  <c r="AI339" i="5"/>
  <c r="AJ338" i="5"/>
  <c r="AK338" i="5"/>
  <c r="AS333" i="5"/>
  <c r="AT333" i="5"/>
  <c r="AT329" i="5"/>
  <c r="AS329" i="5"/>
  <c r="AI326" i="5"/>
  <c r="AL326" i="5"/>
  <c r="AK326" i="5"/>
  <c r="AW326" i="5"/>
  <c r="AX326" i="5" s="1"/>
  <c r="AU326" i="5"/>
  <c r="AV326" i="5" s="1"/>
  <c r="AY326" i="5"/>
  <c r="AJ326" i="5"/>
  <c r="AR326" i="5"/>
  <c r="AT326" i="5" s="1"/>
  <c r="AZ326" i="5"/>
  <c r="AI327" i="5"/>
  <c r="AY305" i="5"/>
  <c r="AI305" i="5"/>
  <c r="AK305" i="5"/>
  <c r="AL305" i="5"/>
  <c r="AZ305" i="5"/>
  <c r="AJ305" i="5"/>
  <c r="AR301" i="5"/>
  <c r="AS301" i="5" s="1"/>
  <c r="AU301" i="5"/>
  <c r="AV301" i="5" s="1"/>
  <c r="AY301" i="5"/>
  <c r="AW301" i="5"/>
  <c r="AX301" i="5" s="1"/>
  <c r="AL301" i="5"/>
  <c r="AK301" i="5"/>
  <c r="AI301" i="5"/>
  <c r="AJ301" i="5"/>
  <c r="AT293" i="5"/>
  <c r="AS293" i="5"/>
  <c r="AJ290" i="5"/>
  <c r="AR290" i="5"/>
  <c r="AT290" i="5" s="1"/>
  <c r="AW290" i="5"/>
  <c r="AX290" i="5" s="1"/>
  <c r="AU290" i="5"/>
  <c r="AV290" i="5" s="1"/>
  <c r="AI291" i="5"/>
  <c r="AI290" i="5"/>
  <c r="AK290" i="5"/>
  <c r="AY290" i="5"/>
  <c r="AS282" i="5"/>
  <c r="AT282" i="5"/>
  <c r="AS933" i="5"/>
  <c r="AT933" i="5"/>
  <c r="AK1363" i="5"/>
  <c r="AZ1343" i="5"/>
  <c r="AL1343" i="5"/>
  <c r="AJ1343" i="5"/>
  <c r="AT1339" i="5"/>
  <c r="AZ1327" i="5"/>
  <c r="AJ1327" i="5"/>
  <c r="AT949" i="5"/>
  <c r="AS949" i="5"/>
  <c r="AK937" i="5"/>
  <c r="AL937" i="5"/>
  <c r="AJ937" i="5"/>
  <c r="AW933" i="5"/>
  <c r="AX933" i="5" s="1"/>
  <c r="AY933" i="5"/>
  <c r="AL933" i="5"/>
  <c r="AK933" i="5"/>
  <c r="AS925" i="5"/>
  <c r="AT925" i="5"/>
  <c r="AZ917" i="5"/>
  <c r="AK917" i="5"/>
  <c r="AL917" i="5"/>
  <c r="AJ917" i="5"/>
  <c r="AT909" i="5"/>
  <c r="AS909" i="5"/>
  <c r="AZ906" i="5"/>
  <c r="AR906" i="5"/>
  <c r="AS906" i="5" s="1"/>
  <c r="AJ906" i="5"/>
  <c r="AI907" i="5"/>
  <c r="AY906" i="5"/>
  <c r="AU906" i="5"/>
  <c r="AV906" i="5" s="1"/>
  <c r="AK906" i="5"/>
  <c r="AJ901" i="5"/>
  <c r="AY901" i="5"/>
  <c r="AK901" i="5"/>
  <c r="AZ901" i="5"/>
  <c r="AI901" i="5"/>
  <c r="AL901" i="5"/>
  <c r="AY897" i="5"/>
  <c r="AJ897" i="5"/>
  <c r="AZ897" i="5"/>
  <c r="AK897" i="5"/>
  <c r="AJ835" i="5"/>
  <c r="AY835" i="5"/>
  <c r="AK835" i="5"/>
  <c r="AL835" i="5"/>
  <c r="AZ835" i="5"/>
  <c r="AL686" i="5"/>
  <c r="AY686" i="5"/>
  <c r="AJ686" i="5"/>
  <c r="AZ686" i="5"/>
  <c r="AU686" i="5"/>
  <c r="AV686" i="5" s="1"/>
  <c r="AK686" i="5"/>
  <c r="AY652" i="5"/>
  <c r="AJ652" i="5"/>
  <c r="AZ652" i="5"/>
  <c r="AL647" i="5"/>
  <c r="AK647" i="5"/>
  <c r="AL643" i="5"/>
  <c r="AT633" i="5"/>
  <c r="AU933" i="5"/>
  <c r="AV933" i="5" s="1"/>
  <c r="AY621" i="5"/>
  <c r="AZ621" i="5"/>
  <c r="AW610" i="5"/>
  <c r="AX610" i="5" s="1"/>
  <c r="AJ542" i="5"/>
  <c r="AZ522" i="5"/>
  <c r="AK522" i="5"/>
  <c r="AK407" i="5"/>
  <c r="AY407" i="5"/>
  <c r="AZ407" i="5"/>
  <c r="AJ407" i="5"/>
  <c r="AL403" i="5"/>
  <c r="AJ403" i="5"/>
  <c r="AK403" i="5"/>
  <c r="AY335" i="5"/>
  <c r="AL335" i="5"/>
  <c r="AK335" i="5"/>
  <c r="AZ335" i="5"/>
  <c r="AR331" i="5"/>
  <c r="AT331" i="5" s="1"/>
  <c r="AY331" i="5"/>
  <c r="AJ331" i="5"/>
  <c r="AZ331" i="5"/>
  <c r="AS327" i="5"/>
  <c r="AT327" i="5"/>
  <c r="AT303" i="5"/>
  <c r="AS299" i="5"/>
  <c r="AT299" i="5"/>
  <c r="AW296" i="5"/>
  <c r="AX296" i="5" s="1"/>
  <c r="AJ296" i="5"/>
  <c r="AR296" i="5"/>
  <c r="AT296" i="5" s="1"/>
  <c r="AU296" i="5"/>
  <c r="AV296" i="5" s="1"/>
  <c r="AL296" i="5"/>
  <c r="AZ296" i="5"/>
  <c r="F3522" i="5"/>
  <c r="AR876" i="5"/>
  <c r="AT876" i="5" s="1"/>
  <c r="AY876" i="5"/>
  <c r="G3528" i="5"/>
  <c r="H3528" i="5" s="1"/>
  <c r="R3527" i="5"/>
  <c r="G3532" i="5" s="1"/>
  <c r="H3532" i="5" s="1"/>
  <c r="F156" i="5"/>
  <c r="S168" i="5"/>
  <c r="F171" i="5" s="1"/>
  <c r="AS1717" i="5"/>
  <c r="AT1717" i="5"/>
  <c r="C5080" i="5"/>
  <c r="A5081" i="5"/>
  <c r="C5081" i="5" s="1"/>
  <c r="C5086" i="5"/>
  <c r="A5087" i="5"/>
  <c r="C5087" i="5" s="1"/>
  <c r="C5104" i="5"/>
  <c r="A5105" i="5"/>
  <c r="C5105" i="5" s="1"/>
  <c r="AL331" i="5"/>
  <c r="AT1265" i="5"/>
  <c r="AS1265" i="5"/>
  <c r="AM1308" i="5"/>
  <c r="AL1105" i="5"/>
  <c r="AY1105" i="5"/>
  <c r="AZ993" i="5"/>
  <c r="AK710" i="5"/>
  <c r="AZ710" i="5"/>
  <c r="AI710" i="5"/>
  <c r="AL710" i="5"/>
  <c r="AK706" i="5"/>
  <c r="AZ706" i="5"/>
  <c r="AJ706" i="5"/>
  <c r="AY706" i="5"/>
  <c r="AZ1022" i="5"/>
  <c r="AK1022" i="5"/>
  <c r="AZ1114" i="5"/>
  <c r="AZ1118" i="5"/>
  <c r="AJ710" i="5"/>
  <c r="AY1022" i="5"/>
  <c r="AL1114" i="5"/>
  <c r="AI1118" i="5"/>
  <c r="AY710" i="5"/>
  <c r="AJ697" i="5"/>
  <c r="AR962" i="5"/>
  <c r="AZ1105" i="5"/>
  <c r="AS678" i="5"/>
  <c r="AT678" i="5"/>
  <c r="AI660" i="5"/>
  <c r="AL659" i="5"/>
  <c r="AK659" i="5"/>
  <c r="AK487" i="5"/>
  <c r="AZ937" i="5"/>
  <c r="AY937" i="5"/>
  <c r="AT521" i="5"/>
  <c r="AU1650" i="5"/>
  <c r="AV1650" i="5" s="1"/>
  <c r="AK1598" i="5"/>
  <c r="AL396" i="5"/>
  <c r="AJ402" i="5"/>
  <c r="AJ2120" i="5"/>
  <c r="AJ396" i="5"/>
  <c r="AL2120" i="5"/>
  <c r="AT1622" i="5"/>
  <c r="AZ1551" i="5"/>
  <c r="AY1423" i="5"/>
  <c r="AK1423" i="5"/>
  <c r="AZ1423" i="5"/>
  <c r="AK1002" i="5"/>
  <c r="AZ1002" i="5"/>
  <c r="AY1002" i="5"/>
  <c r="AJ1002" i="5"/>
  <c r="AT1050" i="5"/>
  <c r="AS1050" i="5"/>
  <c r="AK839" i="5"/>
  <c r="AY839" i="5"/>
  <c r="AI839" i="5"/>
  <c r="AZ839" i="5"/>
  <c r="AL839" i="5"/>
  <c r="AJ839" i="5"/>
  <c r="AR1746" i="5"/>
  <c r="AS1746" i="5" s="1"/>
  <c r="AK1746" i="5"/>
  <c r="AJ1594" i="5"/>
  <c r="AJ1484" i="5"/>
  <c r="AK1181" i="5"/>
  <c r="AY1181" i="5"/>
  <c r="AI1181" i="5"/>
  <c r="AZ1181" i="5"/>
  <c r="AJ1170" i="5"/>
  <c r="AK1134" i="5"/>
  <c r="AZ1130" i="5"/>
  <c r="AK1130" i="5"/>
  <c r="AL1130" i="5"/>
  <c r="AW1130" i="5"/>
  <c r="AX1130" i="5" s="1"/>
  <c r="AU1130" i="5"/>
  <c r="AV1130" i="5" s="1"/>
  <c r="AY1130" i="5"/>
  <c r="AI1131" i="5"/>
  <c r="AL1042" i="5"/>
  <c r="AZ1042" i="5"/>
  <c r="AY1042" i="5"/>
  <c r="AK1042" i="5"/>
  <c r="AK982" i="5"/>
  <c r="AJ982" i="5"/>
  <c r="AL982" i="5"/>
  <c r="AU982" i="5"/>
  <c r="AV982" i="5" s="1"/>
  <c r="AZ982" i="5"/>
  <c r="AW982" i="5"/>
  <c r="AX982" i="5" s="1"/>
  <c r="AR982" i="5"/>
  <c r="AS982" i="5" s="1"/>
  <c r="AY982" i="5"/>
  <c r="AT945" i="5"/>
  <c r="AS945" i="5"/>
  <c r="AT929" i="5"/>
  <c r="AS929" i="5"/>
  <c r="AI832" i="5"/>
  <c r="AU831" i="5"/>
  <c r="AV831" i="5" s="1"/>
  <c r="AJ831" i="5"/>
  <c r="AW831" i="5"/>
  <c r="AX831" i="5" s="1"/>
  <c r="AK831" i="5"/>
  <c r="AY831" i="5"/>
  <c r="AR831" i="5"/>
  <c r="AL831" i="5"/>
  <c r="AJ1551" i="5"/>
  <c r="AL1002" i="5"/>
  <c r="AJ437" i="5"/>
  <c r="AP1735" i="5"/>
  <c r="AL1340" i="5"/>
  <c r="AT1189" i="5"/>
  <c r="AS1189" i="5"/>
  <c r="AY1177" i="5"/>
  <c r="AZ1177" i="5"/>
  <c r="AJ1177" i="5"/>
  <c r="AL1177" i="5"/>
  <c r="AK1062" i="5"/>
  <c r="AJ1062" i="5"/>
  <c r="AI1062" i="5"/>
  <c r="AY1062" i="5"/>
  <c r="AZ1062" i="5"/>
  <c r="AL1062" i="5"/>
  <c r="AY746" i="5"/>
  <c r="AK746" i="5"/>
  <c r="AJ746" i="5"/>
  <c r="AZ746" i="5"/>
  <c r="AL746" i="5"/>
  <c r="AJ679" i="5"/>
  <c r="AY679" i="5"/>
  <c r="AW679" i="5"/>
  <c r="AX679" i="5" s="1"/>
  <c r="AL679" i="5"/>
  <c r="AU679" i="5"/>
  <c r="AV679" i="5" s="1"/>
  <c r="AR679" i="5"/>
  <c r="AT679" i="5" s="1"/>
  <c r="AZ679" i="5"/>
  <c r="AK679" i="5"/>
  <c r="AT606" i="5"/>
  <c r="AS541" i="5"/>
  <c r="AL382" i="5"/>
  <c r="AS1735" i="5"/>
  <c r="AT1735" i="5"/>
  <c r="AN3970" i="5"/>
  <c r="Q3528" i="5"/>
  <c r="G3531" i="5"/>
  <c r="H3531" i="5" s="1"/>
  <c r="A4920" i="5"/>
  <c r="C4919" i="5"/>
  <c r="AJ1372" i="5"/>
  <c r="AJ1634" i="5"/>
  <c r="AJ1479" i="5"/>
  <c r="AJ300" i="5"/>
  <c r="U168" i="5"/>
  <c r="F173" i="5" s="1"/>
  <c r="AN3640" i="5"/>
  <c r="A3640" i="5" s="1"/>
  <c r="AZ1531" i="5"/>
  <c r="AJ1531" i="5"/>
  <c r="AS1133" i="5"/>
  <c r="AT1133" i="5"/>
  <c r="AJ1098" i="5"/>
  <c r="AZ1098" i="5"/>
  <c r="AT591" i="5"/>
  <c r="AZ591" i="5"/>
  <c r="AI591" i="5"/>
  <c r="AY591" i="5"/>
  <c r="AL591" i="5"/>
  <c r="AJ591" i="5"/>
  <c r="AK591" i="5"/>
  <c r="AT336" i="5"/>
  <c r="AS336" i="5"/>
  <c r="AZ317" i="5"/>
  <c r="AL317" i="5"/>
  <c r="AJ317" i="5"/>
  <c r="AK317" i="5"/>
  <c r="C4772" i="5"/>
  <c r="C4788" i="5"/>
  <c r="AY317" i="5"/>
  <c r="AT1451" i="5"/>
  <c r="AT1431" i="5"/>
  <c r="AT1142" i="5"/>
  <c r="AZ601" i="5"/>
  <c r="AY601" i="5"/>
  <c r="AI453" i="5"/>
  <c r="AS451" i="5"/>
  <c r="AS317" i="5"/>
  <c r="AT317" i="5"/>
  <c r="AS298" i="5"/>
  <c r="F4801" i="5"/>
  <c r="AY1134" i="5"/>
  <c r="AS285" i="5"/>
  <c r="M4041" i="5"/>
  <c r="F4041" i="5" s="1"/>
  <c r="L4041" i="5" s="1"/>
  <c r="N4045" i="5"/>
  <c r="M4045" i="5" s="1"/>
  <c r="F4045" i="5" s="1"/>
  <c r="L4045" i="5" s="1"/>
  <c r="AY703" i="5"/>
  <c r="AZ708" i="5"/>
  <c r="AY708" i="5"/>
  <c r="AJ1439" i="5"/>
  <c r="AS1205" i="5"/>
  <c r="AK1257" i="5"/>
  <c r="AW1257" i="5"/>
  <c r="AX1257" i="5" s="1"/>
  <c r="AL708" i="5"/>
  <c r="AI709" i="5"/>
  <c r="AL1439" i="5"/>
  <c r="AN3866" i="5"/>
  <c r="D3866" i="5" s="1"/>
  <c r="G4932" i="5"/>
  <c r="H4932" i="5" s="1"/>
  <c r="AQ460" i="5"/>
  <c r="AN3868" i="5"/>
  <c r="AN3877" i="5"/>
  <c r="D3877" i="5" s="1"/>
  <c r="G1735" i="5"/>
  <c r="H1735" i="5" s="1"/>
  <c r="AT1182" i="5"/>
  <c r="AZ1179" i="5"/>
  <c r="AW1179" i="5"/>
  <c r="AX1179" i="5" s="1"/>
  <c r="AK1179" i="5"/>
  <c r="AL2165" i="5"/>
  <c r="AY2165" i="5"/>
  <c r="AT571" i="5"/>
  <c r="A4882" i="5"/>
  <c r="AJ1197" i="5"/>
  <c r="AY376" i="5"/>
  <c r="AY324" i="5"/>
  <c r="AZ324" i="5"/>
  <c r="AZ294" i="5"/>
  <c r="AZ571" i="5"/>
  <c r="AZ933" i="5"/>
  <c r="AI2166" i="5"/>
  <c r="AZ2165" i="5"/>
  <c r="A5044" i="5"/>
  <c r="C5044" i="5" s="1"/>
  <c r="AS1699" i="5"/>
  <c r="AJ761" i="5"/>
  <c r="AJ933" i="5"/>
  <c r="AK571" i="5"/>
  <c r="AJ2165" i="5"/>
  <c r="AS1173" i="5"/>
  <c r="AI555" i="5"/>
  <c r="AJ487" i="5"/>
  <c r="P4654" i="5"/>
  <c r="G4654" i="5" s="1"/>
  <c r="H4654" i="5" s="1"/>
  <c r="W5147" i="5"/>
  <c r="R5148" i="5"/>
  <c r="R5149" i="5" s="1"/>
  <c r="R5150" i="5" s="1"/>
  <c r="R5151" i="5" s="1"/>
  <c r="W5151" i="5" s="1"/>
  <c r="Q5148" i="5"/>
  <c r="V5148" i="5" s="1"/>
  <c r="G5148" i="5"/>
  <c r="H5148" i="5" s="1"/>
  <c r="V5147" i="5"/>
  <c r="F5148" i="5" s="1"/>
  <c r="F4651" i="5"/>
  <c r="G4651" i="5"/>
  <c r="H4651" i="5" s="1"/>
  <c r="G5147" i="5"/>
  <c r="H5147" i="5" s="1"/>
  <c r="P5148" i="5"/>
  <c r="P5149" i="5" s="1"/>
  <c r="P5150" i="5" s="1"/>
  <c r="P5151" i="5" s="1"/>
  <c r="P5152" i="5" s="1"/>
  <c r="Q4652" i="5"/>
  <c r="F4652" i="5" s="1"/>
  <c r="G4652" i="5"/>
  <c r="H4652" i="5" s="1"/>
  <c r="G4653" i="5"/>
  <c r="H4653" i="5" s="1"/>
  <c r="AI374" i="5"/>
  <c r="F5147" i="5"/>
  <c r="AW1094" i="5"/>
  <c r="AX1094" i="5" s="1"/>
  <c r="AK1174" i="5"/>
  <c r="AL1365" i="5"/>
  <c r="AR1094" i="5"/>
  <c r="AT1384" i="5"/>
  <c r="AS1222" i="5"/>
  <c r="AY1412" i="5"/>
  <c r="AY1356" i="5"/>
  <c r="AI1124" i="5"/>
  <c r="AY1067" i="5"/>
  <c r="AT1146" i="5"/>
  <c r="AZ1416" i="5"/>
  <c r="AS1312" i="5"/>
  <c r="AK1094" i="5"/>
  <c r="H207" i="5"/>
  <c r="Q206" i="5"/>
  <c r="F207" i="5" s="1"/>
  <c r="Q220" i="5"/>
  <c r="G2130" i="5"/>
  <c r="H2130" i="5" s="1"/>
  <c r="A5149" i="5"/>
  <c r="G5149" i="5" s="1"/>
  <c r="H5149" i="5" s="1"/>
  <c r="C5148" i="5"/>
  <c r="AS382" i="5"/>
  <c r="AM464" i="5"/>
  <c r="A4860" i="5"/>
  <c r="C4860" i="5" s="1"/>
  <c r="E52" i="3"/>
  <c r="G472" i="5"/>
  <c r="H472" i="5" s="1"/>
  <c r="AQ471" i="5"/>
  <c r="AP472" i="5"/>
  <c r="AQ472" i="5" s="1"/>
  <c r="AS471" i="5"/>
  <c r="AT464" i="5"/>
  <c r="P19" i="11"/>
  <c r="H20" i="11"/>
  <c r="H24" i="11" s="1"/>
  <c r="P18" i="11"/>
  <c r="C22" i="11"/>
  <c r="H22" i="11"/>
  <c r="M471" i="5"/>
  <c r="F471" i="5" s="1"/>
  <c r="G471" i="5" s="1"/>
  <c r="H471" i="5" s="1"/>
  <c r="J20" i="11"/>
  <c r="AJ1685" i="5"/>
  <c r="AK1685" i="5"/>
  <c r="AY1685" i="5"/>
  <c r="G268" i="5"/>
  <c r="H268" i="5" s="1"/>
  <c r="AQ466" i="5"/>
  <c r="G4081" i="5"/>
  <c r="H4081" i="5" s="1"/>
  <c r="A4665" i="5"/>
  <c r="C4665" i="5" s="1"/>
  <c r="S4801" i="5"/>
  <c r="S4802" i="5" s="1"/>
  <c r="S4803" i="5" s="1"/>
  <c r="S4804" i="5" s="1"/>
  <c r="A5277" i="5"/>
  <c r="A5278" i="5" s="1"/>
  <c r="G4082" i="5"/>
  <c r="H4082" i="5" s="1"/>
  <c r="G4083" i="5"/>
  <c r="H4083" i="5" s="1"/>
  <c r="F268" i="5"/>
  <c r="G3715" i="5"/>
  <c r="H3715" i="5" s="1"/>
  <c r="G3770" i="5"/>
  <c r="H3770" i="5" s="1"/>
  <c r="G3716" i="5"/>
  <c r="H3716" i="5" s="1"/>
  <c r="F3714" i="5"/>
  <c r="AS1162" i="5"/>
  <c r="AR1011" i="5"/>
  <c r="AT1011" i="5" s="1"/>
  <c r="AK1006" i="5"/>
  <c r="AK1416" i="5"/>
  <c r="AZ1356" i="5"/>
  <c r="AJ1067" i="5"/>
  <c r="AT1014" i="5"/>
  <c r="AS1107" i="5"/>
  <c r="AJ1320" i="5"/>
  <c r="AT1054" i="5"/>
  <c r="G3907" i="5"/>
  <c r="H3907" i="5" s="1"/>
  <c r="S3769" i="5"/>
  <c r="F3769" i="5" s="1"/>
  <c r="G3617" i="5"/>
  <c r="H3617" i="5" s="1"/>
  <c r="AW1018" i="5"/>
  <c r="AX1018" i="5" s="1"/>
  <c r="AJ1018" i="5"/>
  <c r="AZ1018" i="5"/>
  <c r="AU1018" i="5"/>
  <c r="AV1018" i="5" s="1"/>
  <c r="AY1018" i="5"/>
  <c r="AL1018" i="5"/>
  <c r="AK1018" i="5"/>
  <c r="AI1019" i="5"/>
  <c r="AK973" i="5"/>
  <c r="AL973" i="5"/>
  <c r="AZ973" i="5"/>
  <c r="AY973" i="5"/>
  <c r="AR1018" i="5"/>
  <c r="AT1018" i="5" s="1"/>
  <c r="AS1097" i="5"/>
  <c r="AT1097" i="5"/>
  <c r="AJ1065" i="5"/>
  <c r="AY1065" i="5"/>
  <c r="AK1065" i="5"/>
  <c r="AL1065" i="5"/>
  <c r="AZ1065" i="5"/>
  <c r="AY1009" i="5"/>
  <c r="AK1009" i="5"/>
  <c r="AJ1009" i="5"/>
  <c r="AZ1009" i="5"/>
  <c r="AT1001" i="5"/>
  <c r="AS1001" i="5"/>
  <c r="AL993" i="5"/>
  <c r="AJ993" i="5"/>
  <c r="AK993" i="5"/>
  <c r="AY993" i="5"/>
  <c r="AS965" i="5"/>
  <c r="AT965" i="5"/>
  <c r="AS1041" i="5"/>
  <c r="AT985" i="5"/>
  <c r="AT1093" i="5"/>
  <c r="AS1093" i="5"/>
  <c r="AT1077" i="5"/>
  <c r="AS1077" i="5"/>
  <c r="AL957" i="5"/>
  <c r="AI957" i="5"/>
  <c r="AK957" i="5"/>
  <c r="AJ957" i="5"/>
  <c r="AY957" i="5"/>
  <c r="AZ957" i="5"/>
  <c r="AS981" i="5"/>
  <c r="AL1074" i="5"/>
  <c r="AJ1074" i="5"/>
  <c r="AW1074" i="5"/>
  <c r="AX1074" i="5" s="1"/>
  <c r="AK1074" i="5"/>
  <c r="AZ1074" i="5"/>
  <c r="AU1074" i="5"/>
  <c r="AV1074" i="5" s="1"/>
  <c r="AR1074" i="5"/>
  <c r="AS1074" i="5" s="1"/>
  <c r="AI1075" i="5"/>
  <c r="AZ1045" i="5"/>
  <c r="AR1045" i="5"/>
  <c r="AT1045" i="5" s="1"/>
  <c r="AJ1045" i="5"/>
  <c r="AK1045" i="5"/>
  <c r="AL1045" i="5"/>
  <c r="AU1045" i="5"/>
  <c r="AV1045" i="5" s="1"/>
  <c r="AW1045" i="5"/>
  <c r="AX1045" i="5" s="1"/>
  <c r="AY1045" i="5"/>
  <c r="AL1029" i="5"/>
  <c r="AY1029" i="5"/>
  <c r="AJ1029" i="5"/>
  <c r="AK1029" i="5"/>
  <c r="AZ1029" i="5"/>
  <c r="AT1021" i="5"/>
  <c r="AS1021" i="5"/>
  <c r="AJ926" i="5"/>
  <c r="AY899" i="5"/>
  <c r="AJ899" i="5"/>
  <c r="AL1009" i="5"/>
  <c r="AY1074" i="5"/>
  <c r="AT1061" i="5"/>
  <c r="AS1061" i="5"/>
  <c r="AY989" i="5"/>
  <c r="AZ989" i="5"/>
  <c r="AL989" i="5"/>
  <c r="AJ989" i="5"/>
  <c r="AK989" i="5"/>
  <c r="AR989" i="5"/>
  <c r="AS989" i="5" s="1"/>
  <c r="AU989" i="5"/>
  <c r="AV989" i="5" s="1"/>
  <c r="AW989" i="5"/>
  <c r="AX989" i="5" s="1"/>
  <c r="AI963" i="5"/>
  <c r="AS922" i="5"/>
  <c r="AT851" i="5"/>
  <c r="AS851" i="5"/>
  <c r="AL1085" i="5"/>
  <c r="AY1085" i="5"/>
  <c r="AZ1085" i="5"/>
  <c r="AK1085" i="5"/>
  <c r="AJ1085" i="5"/>
  <c r="AZ1069" i="5"/>
  <c r="AK1069" i="5"/>
  <c r="AI1069" i="5"/>
  <c r="AL1069" i="5"/>
  <c r="AY1069" i="5"/>
  <c r="AJ1069" i="5"/>
  <c r="AI869" i="5"/>
  <c r="AJ973" i="5"/>
  <c r="AY1013" i="5"/>
  <c r="AZ1013" i="5"/>
  <c r="AK1013" i="5"/>
  <c r="AJ1013" i="5"/>
  <c r="AL1013" i="5"/>
  <c r="AI1013" i="5"/>
  <c r="AS1005" i="5"/>
  <c r="AT1005" i="5"/>
  <c r="AZ953" i="5"/>
  <c r="AK890" i="5"/>
  <c r="AL480" i="5"/>
  <c r="AK1603" i="5"/>
  <c r="AW1603" i="5"/>
  <c r="AX1603" i="5" s="1"/>
  <c r="AT702" i="5"/>
  <c r="AJ518" i="5"/>
  <c r="AZ518" i="5"/>
  <c r="AY518" i="5"/>
  <c r="AL518" i="5"/>
  <c r="AU518" i="5"/>
  <c r="AV518" i="5" s="1"/>
  <c r="AT827" i="5"/>
  <c r="G2142" i="5"/>
  <c r="H2142" i="5" s="1"/>
  <c r="N5277" i="5"/>
  <c r="N5278" i="5" s="1"/>
  <c r="N5279" i="5" s="1"/>
  <c r="A5289" i="5" s="1"/>
  <c r="C5289" i="5" s="1"/>
  <c r="A5280" i="5"/>
  <c r="A5281" i="5" s="1"/>
  <c r="A5282" i="5" s="1"/>
  <c r="C5282" i="5" s="1"/>
  <c r="A5275" i="5"/>
  <c r="C5275" i="5" s="1"/>
  <c r="D5280" i="5"/>
  <c r="D5283" i="5" s="1"/>
  <c r="D5286" i="5" s="1"/>
  <c r="D5281" i="5"/>
  <c r="D5284" i="5" s="1"/>
  <c r="D5287" i="5" s="1"/>
  <c r="D5290" i="5" s="1"/>
  <c r="D5293" i="5" s="1"/>
  <c r="D5296" i="5" s="1"/>
  <c r="D5299" i="5" s="1"/>
  <c r="D5302" i="5" s="1"/>
  <c r="D5305" i="5" s="1"/>
  <c r="D5308" i="5" s="1"/>
  <c r="D5190" i="5"/>
  <c r="D5193" i="5" s="1"/>
  <c r="D5196" i="5" s="1"/>
  <c r="D5199" i="5" s="1"/>
  <c r="D5202" i="5" s="1"/>
  <c r="D547" i="6" s="1"/>
  <c r="D550" i="6" s="1"/>
  <c r="D553" i="6" s="1"/>
  <c r="D556" i="6" s="1"/>
  <c r="D559" i="6" s="1"/>
  <c r="A5190" i="5"/>
  <c r="A5191" i="5" s="1"/>
  <c r="A5192" i="5" s="1"/>
  <c r="C5192" i="5" s="1"/>
  <c r="N5187" i="5"/>
  <c r="N5188" i="5" s="1"/>
  <c r="A5196" i="5" s="1"/>
  <c r="D5195" i="5"/>
  <c r="D5198" i="5" s="1"/>
  <c r="D5201" i="5" s="1"/>
  <c r="D5204" i="5" s="1"/>
  <c r="D549" i="6" s="1"/>
  <c r="D552" i="6" s="1"/>
  <c r="D555" i="6" s="1"/>
  <c r="D558" i="6" s="1"/>
  <c r="D561" i="6" s="1"/>
  <c r="D5191" i="5"/>
  <c r="D5194" i="5" s="1"/>
  <c r="D5197" i="5" s="1"/>
  <c r="D5200" i="5" s="1"/>
  <c r="D5203" i="5" s="1"/>
  <c r="D548" i="6" s="1"/>
  <c r="D551" i="6" s="1"/>
  <c r="D554" i="6" s="1"/>
  <c r="D557" i="6" s="1"/>
  <c r="D560" i="6" s="1"/>
  <c r="A5187" i="5"/>
  <c r="A5188" i="5" s="1"/>
  <c r="N4667" i="5"/>
  <c r="A4667" i="5" s="1"/>
  <c r="C4667" i="5" s="1"/>
  <c r="A4666" i="5"/>
  <c r="C4666" i="5" s="1"/>
  <c r="F3770" i="5"/>
  <c r="A5185" i="5"/>
  <c r="G267" i="5"/>
  <c r="H267" i="5" s="1"/>
  <c r="AY1197" i="5"/>
  <c r="AL1197" i="5"/>
  <c r="AJ1186" i="5"/>
  <c r="AI1187" i="5"/>
  <c r="AZ1161" i="5"/>
  <c r="AL1161" i="5"/>
  <c r="AT1543" i="5"/>
  <c r="AK617" i="5"/>
  <c r="T13" i="14"/>
  <c r="V13" i="14"/>
  <c r="W13" i="14"/>
  <c r="AT1249" i="5"/>
  <c r="AS1249" i="5"/>
  <c r="AI1241" i="5"/>
  <c r="AZ1241" i="5"/>
  <c r="AK1241" i="5"/>
  <c r="AL1241" i="5"/>
  <c r="AY1237" i="5"/>
  <c r="AZ1237" i="5"/>
  <c r="AS1507" i="5"/>
  <c r="AY1419" i="5"/>
  <c r="AZ1403" i="5"/>
  <c r="AK1403" i="5"/>
  <c r="AT1391" i="5"/>
  <c r="AS1391" i="5"/>
  <c r="AR1157" i="5"/>
  <c r="AT1157" i="5" s="1"/>
  <c r="AU1157" i="5"/>
  <c r="AV1157" i="5" s="1"/>
  <c r="AY1157" i="5"/>
  <c r="AJ1157" i="5"/>
  <c r="AI856" i="5"/>
  <c r="AK855" i="5"/>
  <c r="AL855" i="5"/>
  <c r="AJ855" i="5"/>
  <c r="AU855" i="5"/>
  <c r="AV855" i="5" s="1"/>
  <c r="AW855" i="5"/>
  <c r="AX855" i="5" s="1"/>
  <c r="G4003" i="5"/>
  <c r="H4003" i="5" s="1"/>
  <c r="AL1257" i="5"/>
  <c r="AZ1257" i="5"/>
  <c r="AU1257" i="5"/>
  <c r="AV1257" i="5" s="1"/>
  <c r="AJ1248" i="5"/>
  <c r="AK1248" i="5"/>
  <c r="AY1248" i="5"/>
  <c r="AK1244" i="5"/>
  <c r="AY1244" i="5"/>
  <c r="AL1244" i="5"/>
  <c r="U5001" i="5"/>
  <c r="P5002" i="5"/>
  <c r="AU1186" i="5"/>
  <c r="AV1186" i="5" s="1"/>
  <c r="AK1186" i="5"/>
  <c r="AZ1186" i="5"/>
  <c r="AY1186" i="5"/>
  <c r="AW1186" i="5"/>
  <c r="AX1186" i="5" s="1"/>
  <c r="G3769" i="5"/>
  <c r="H3769" i="5" s="1"/>
  <c r="N14" i="14"/>
  <c r="AA14" i="14" s="1"/>
  <c r="P14" i="14"/>
  <c r="AC14" i="14" s="1"/>
  <c r="E14" i="14"/>
  <c r="R14" i="14" s="1"/>
  <c r="C13" i="14"/>
  <c r="F3715" i="5"/>
  <c r="AZ535" i="5"/>
  <c r="AK535" i="5"/>
  <c r="AL535" i="5"/>
  <c r="AJ535" i="5"/>
  <c r="AI535" i="5"/>
  <c r="AL531" i="5"/>
  <c r="AJ531" i="5"/>
  <c r="AK531" i="5"/>
  <c r="AY531" i="5"/>
  <c r="AY501" i="5"/>
  <c r="AZ501" i="5"/>
  <c r="AI502" i="5"/>
  <c r="AJ501" i="5"/>
  <c r="AL501" i="5"/>
  <c r="AI487" i="5"/>
  <c r="AK486" i="5"/>
  <c r="AL486" i="5"/>
  <c r="AY486" i="5"/>
  <c r="AT444" i="5"/>
  <c r="AS444" i="5"/>
  <c r="AL424" i="5"/>
  <c r="AI424" i="5"/>
  <c r="AY424" i="5"/>
  <c r="AZ424" i="5"/>
  <c r="AK424" i="5"/>
  <c r="AJ424" i="5"/>
  <c r="AJ394" i="5"/>
  <c r="AZ394" i="5"/>
  <c r="AJ388" i="5"/>
  <c r="AM462" i="5"/>
  <c r="AM463" i="5"/>
  <c r="AZ531" i="5"/>
  <c r="AI486" i="5"/>
  <c r="AZ486" i="5"/>
  <c r="AK501" i="5"/>
  <c r="P3908" i="5"/>
  <c r="F3908" i="5" s="1"/>
  <c r="P12" i="10"/>
  <c r="P17" i="10" s="1"/>
  <c r="U17" i="10"/>
  <c r="X12" i="10"/>
  <c r="X15" i="10" s="1"/>
  <c r="W12" i="10"/>
  <c r="W17" i="10" s="1"/>
  <c r="AA12" i="10"/>
  <c r="Y12" i="10"/>
  <c r="Y15" i="10" s="1"/>
  <c r="Z12" i="10"/>
  <c r="Z17" i="10" s="1"/>
  <c r="AQ1282" i="5"/>
  <c r="AQ864" i="5"/>
  <c r="AQ465" i="5"/>
  <c r="AJ366" i="5"/>
  <c r="C4918" i="5"/>
  <c r="G2134" i="5"/>
  <c r="H2134" i="5" s="1"/>
  <c r="AM2137" i="5"/>
  <c r="AT2128" i="5"/>
  <c r="AS2128" i="5"/>
  <c r="Q3665" i="5"/>
  <c r="G3667" i="5" s="1"/>
  <c r="H3667" i="5" s="1"/>
  <c r="G3665" i="5"/>
  <c r="H3665" i="5" s="1"/>
  <c r="AT458" i="5"/>
  <c r="AS458" i="5"/>
  <c r="AS1720" i="5"/>
  <c r="AT1720" i="5"/>
  <c r="W5000" i="5"/>
  <c r="R5001" i="5"/>
  <c r="R5002" i="5" s="1"/>
  <c r="R5003" i="5" s="1"/>
  <c r="O4069" i="5"/>
  <c r="O4070" i="5" s="1"/>
  <c r="F4069" i="5" s="1"/>
  <c r="G467" i="5"/>
  <c r="H467" i="5" s="1"/>
  <c r="AM465" i="5"/>
  <c r="AI418" i="5"/>
  <c r="AJ414" i="5"/>
  <c r="AK390" i="5"/>
  <c r="AZ390" i="5"/>
  <c r="AY370" i="5"/>
  <c r="AY366" i="5"/>
  <c r="AL366" i="5"/>
  <c r="AY346" i="5"/>
  <c r="AJ342" i="5"/>
  <c r="AY342" i="5"/>
  <c r="AJ318" i="5"/>
  <c r="AK318" i="5"/>
  <c r="AZ283" i="5"/>
  <c r="AW906" i="5"/>
  <c r="AX906" i="5" s="1"/>
  <c r="AL906" i="5"/>
  <c r="AS893" i="5"/>
  <c r="AT893" i="5"/>
  <c r="AL886" i="5"/>
  <c r="AM886" i="5"/>
  <c r="AK886" i="5"/>
  <c r="AJ886" i="5"/>
  <c r="AT882" i="5"/>
  <c r="AS882" i="5"/>
  <c r="AZ342" i="5"/>
  <c r="AK294" i="5"/>
  <c r="G871" i="5"/>
  <c r="H871" i="5" s="1"/>
  <c r="O4803" i="5"/>
  <c r="O4804" i="5" s="1"/>
  <c r="O4805" i="5" s="1"/>
  <c r="AM869" i="5"/>
  <c r="G869" i="5"/>
  <c r="H869" i="5" s="1"/>
  <c r="S3548" i="5"/>
  <c r="Y3548" i="5" s="1"/>
  <c r="F3557" i="5" s="1"/>
  <c r="G3553" i="5"/>
  <c r="H3553" i="5" s="1"/>
  <c r="Y3547" i="5"/>
  <c r="F3553" i="5" s="1"/>
  <c r="M2557" i="5"/>
  <c r="F2557" i="5" s="1"/>
  <c r="G2557" i="5" s="1"/>
  <c r="H2557" i="5" s="1"/>
  <c r="AP2557" i="5"/>
  <c r="AQ2557" i="5" s="1"/>
  <c r="M1697" i="5"/>
  <c r="F1697" i="5" s="1"/>
  <c r="G1697" i="5" s="1"/>
  <c r="H1697" i="5" s="1"/>
  <c r="AP1697" i="5"/>
  <c r="D5081" i="5"/>
  <c r="D5084" i="5" s="1"/>
  <c r="D5087" i="5" s="1"/>
  <c r="AR1754" i="5"/>
  <c r="AT1754" i="5" s="1"/>
  <c r="AK1754" i="5"/>
  <c r="AU1754" i="5"/>
  <c r="AV1754" i="5" s="1"/>
  <c r="AW1754" i="5"/>
  <c r="AX1754" i="5" s="1"/>
  <c r="AL1754" i="5"/>
  <c r="AQ1754" i="5"/>
  <c r="AY1754" i="5"/>
  <c r="AI1755" i="5"/>
  <c r="AJ1754" i="5"/>
  <c r="AZ1754" i="5"/>
  <c r="G1717" i="5"/>
  <c r="H1717" i="5" s="1"/>
  <c r="Q5240" i="5"/>
  <c r="Q5241" i="5" s="1"/>
  <c r="Q5242" i="5" s="1"/>
  <c r="Q5243" i="5" s="1"/>
  <c r="Q5244" i="5" s="1"/>
  <c r="Q5245" i="5" s="1"/>
  <c r="Q5246" i="5" s="1"/>
  <c r="Q5247" i="5" s="1"/>
  <c r="Q5248" i="5" s="1"/>
  <c r="Q5274" i="5" s="1"/>
  <c r="Q5275" i="5" s="1"/>
  <c r="AT1695" i="5"/>
  <c r="AS1695" i="5"/>
  <c r="AL668" i="5"/>
  <c r="AT636" i="5"/>
  <c r="AL617" i="5"/>
  <c r="AT537" i="5"/>
  <c r="AJ529" i="5"/>
  <c r="AL525" i="5"/>
  <c r="AW525" i="5"/>
  <c r="AX525" i="5" s="1"/>
  <c r="AK525" i="5"/>
  <c r="AJ525" i="5"/>
  <c r="AT517" i="5"/>
  <c r="AL509" i="5"/>
  <c r="AK509" i="5"/>
  <c r="AY509" i="5"/>
  <c r="AJ509" i="5"/>
  <c r="AI477" i="5"/>
  <c r="AS450" i="5"/>
  <c r="AT334" i="5"/>
  <c r="AL1213" i="5"/>
  <c r="AJ1213" i="5"/>
  <c r="AW1213" i="5"/>
  <c r="AX1213" i="5" s="1"/>
  <c r="AY1213" i="5"/>
  <c r="AK1213" i="5"/>
  <c r="AZ1213" i="5"/>
  <c r="AK1203" i="5"/>
  <c r="AK1197" i="5"/>
  <c r="AZ1197" i="5"/>
  <c r="AY1161" i="5"/>
  <c r="AJ1161" i="5"/>
  <c r="AK1161" i="5"/>
  <c r="AK1157" i="5"/>
  <c r="AL1157" i="5"/>
  <c r="AW1157" i="5"/>
  <c r="AX1157" i="5" s="1"/>
  <c r="AS1149" i="5"/>
  <c r="AT1149" i="5"/>
  <c r="AK1141" i="5"/>
  <c r="AZ1141" i="5"/>
  <c r="AY1141" i="5"/>
  <c r="AJ1141" i="5"/>
  <c r="AL1141" i="5"/>
  <c r="G2556" i="5"/>
  <c r="H2556" i="5" s="1"/>
  <c r="G1283" i="5"/>
  <c r="H1283" i="5" s="1"/>
  <c r="AL1311" i="5"/>
  <c r="AS1308" i="5"/>
  <c r="AZ1311" i="5"/>
  <c r="AZ1863" i="5"/>
  <c r="AJ1311" i="5"/>
  <c r="AK1311" i="5"/>
  <c r="AJ1190" i="5"/>
  <c r="AK846" i="5"/>
  <c r="AJ846" i="5"/>
  <c r="AY846" i="5"/>
  <c r="AZ842" i="5"/>
  <c r="AK842" i="5"/>
  <c r="AY842" i="5"/>
  <c r="AR842" i="5"/>
  <c r="AT842" i="5" s="1"/>
  <c r="AL842" i="5"/>
  <c r="AW842" i="5"/>
  <c r="AX842" i="5" s="1"/>
  <c r="AL822" i="5"/>
  <c r="AK822" i="5"/>
  <c r="AJ822" i="5"/>
  <c r="AK818" i="5"/>
  <c r="AL818" i="5"/>
  <c r="AZ818" i="5"/>
  <c r="AY818" i="5"/>
  <c r="AJ818" i="5"/>
  <c r="AL775" i="5"/>
  <c r="AY775" i="5"/>
  <c r="AJ966" i="5"/>
  <c r="AK966" i="5"/>
  <c r="AY955" i="5"/>
  <c r="AL1233" i="5"/>
  <c r="AR1233" i="5"/>
  <c r="AJ1224" i="5"/>
  <c r="AL1224" i="5"/>
  <c r="AZ1174" i="5"/>
  <c r="AY1347" i="5"/>
  <c r="AL1347" i="5"/>
  <c r="AK1343" i="5"/>
  <c r="AJ1125" i="5"/>
  <c r="AY1125" i="5"/>
  <c r="AY1101" i="5"/>
  <c r="AZ1101" i="5"/>
  <c r="AL1101" i="5"/>
  <c r="AK1125" i="5"/>
  <c r="AQ473" i="5"/>
  <c r="AQ1734" i="5"/>
  <c r="AQ2139" i="5"/>
  <c r="AK654" i="5"/>
  <c r="AQ2138" i="5"/>
  <c r="AM1717" i="5"/>
  <c r="G1712" i="5"/>
  <c r="H1712" i="5" s="1"/>
  <c r="K14" i="14"/>
  <c r="X14" i="14" s="1"/>
  <c r="X13" i="14"/>
  <c r="F14" i="14"/>
  <c r="S14" i="14" s="1"/>
  <c r="S16" i="14" s="1"/>
  <c r="S20" i="14" s="1"/>
  <c r="S22" i="14" s="1"/>
  <c r="S13" i="14"/>
  <c r="H14" i="14"/>
  <c r="U14" i="14" s="1"/>
  <c r="U13" i="14"/>
  <c r="L14" i="14"/>
  <c r="Y14" i="14" s="1"/>
  <c r="Y13" i="14"/>
  <c r="AQ311" i="5"/>
  <c r="AS1503" i="5"/>
  <c r="AT1503" i="5"/>
  <c r="AL1392" i="5"/>
  <c r="AY1392" i="5"/>
  <c r="AR1150" i="5"/>
  <c r="AT1150" i="5" s="1"/>
  <c r="AL1150" i="5"/>
  <c r="AR567" i="5"/>
  <c r="AS567" i="5" s="1"/>
  <c r="AK567" i="5"/>
  <c r="AU567" i="5"/>
  <c r="AV567" i="5" s="1"/>
  <c r="AY567" i="5"/>
  <c r="AJ567" i="5"/>
  <c r="AZ567" i="5"/>
  <c r="AL567" i="5"/>
  <c r="AW567" i="5"/>
  <c r="AX567" i="5" s="1"/>
  <c r="AI568" i="5"/>
  <c r="AW512" i="5"/>
  <c r="AX512" i="5" s="1"/>
  <c r="AJ512" i="5"/>
  <c r="AZ512" i="5"/>
  <c r="AR512" i="5"/>
  <c r="AS512" i="5" s="1"/>
  <c r="AL512" i="5"/>
  <c r="AY512" i="5"/>
  <c r="AU512" i="5"/>
  <c r="AV512" i="5" s="1"/>
  <c r="AI512" i="5"/>
  <c r="AK512" i="5"/>
  <c r="AI513" i="5"/>
  <c r="AS510" i="5"/>
  <c r="AT510" i="5"/>
  <c r="AT346" i="5"/>
  <c r="AU1150" i="5"/>
  <c r="AV1150" i="5" s="1"/>
  <c r="AJ1150" i="5"/>
  <c r="Q28" i="15"/>
  <c r="Q25" i="15"/>
  <c r="Q30" i="15" s="1"/>
  <c r="I30" i="15"/>
  <c r="M30" i="15"/>
  <c r="R25" i="15"/>
  <c r="J30" i="15"/>
  <c r="G30" i="15"/>
  <c r="H30" i="15"/>
  <c r="L30" i="15"/>
  <c r="N30" i="15"/>
  <c r="M17" i="15"/>
  <c r="F30" i="15"/>
  <c r="D30" i="15"/>
  <c r="K17" i="15"/>
  <c r="G17" i="15"/>
  <c r="F17" i="15"/>
  <c r="Q26" i="15"/>
  <c r="O17" i="15"/>
  <c r="O30" i="15"/>
  <c r="E17" i="15"/>
  <c r="E30" i="15"/>
  <c r="R26" i="15"/>
  <c r="R104" i="15"/>
  <c r="Q118" i="15"/>
  <c r="Q17" i="15"/>
  <c r="R17" i="15"/>
  <c r="R118" i="15"/>
  <c r="Q65" i="15"/>
  <c r="R65" i="15"/>
  <c r="Q79" i="15"/>
  <c r="R79" i="15"/>
  <c r="A6264" i="5"/>
  <c r="A6297" i="5" s="1"/>
  <c r="A6278" i="5"/>
  <c r="A6272" i="5"/>
  <c r="A6280" i="5"/>
  <c r="A6274" i="5"/>
  <c r="AS1808" i="5"/>
  <c r="AK1647" i="5"/>
  <c r="AS1639" i="5"/>
  <c r="AJ1570" i="5"/>
  <c r="AL1570" i="5"/>
  <c r="AL1533" i="5"/>
  <c r="AJ1528" i="5"/>
  <c r="AK1468" i="5"/>
  <c r="AZ1472" i="5"/>
  <c r="AJ1452" i="5"/>
  <c r="AJ1396" i="5"/>
  <c r="AK1340" i="5"/>
  <c r="AR1336" i="5"/>
  <c r="AT1336" i="5" s="1"/>
  <c r="AT1332" i="5"/>
  <c r="AR1239" i="5"/>
  <c r="AS1239" i="5" s="1"/>
  <c r="AJ1239" i="5"/>
  <c r="AK1239" i="5"/>
  <c r="AY1230" i="5"/>
  <c r="AR1226" i="5"/>
  <c r="AS1226" i="5" s="1"/>
  <c r="AZ1226" i="5"/>
  <c r="AY1206" i="5"/>
  <c r="AL1206" i="5"/>
  <c r="AS1198" i="5"/>
  <c r="AJ1179" i="5"/>
  <c r="AK1170" i="5"/>
  <c r="G191" i="5"/>
  <c r="H191" i="5" s="1"/>
  <c r="G192" i="5"/>
  <c r="H192" i="5" s="1"/>
  <c r="G193" i="5"/>
  <c r="H193" i="5" s="1"/>
  <c r="AQ590" i="5"/>
  <c r="AQ534" i="5"/>
  <c r="AQ439" i="5"/>
  <c r="AQ383" i="5"/>
  <c r="AS759" i="5"/>
  <c r="AJ731" i="5"/>
  <c r="AK680" i="5"/>
  <c r="AZ680" i="5"/>
  <c r="AJ680" i="5"/>
  <c r="AY680" i="5"/>
  <c r="AI680" i="5"/>
  <c r="AY675" i="5"/>
  <c r="AL675" i="5"/>
  <c r="AJ675" i="5"/>
  <c r="AZ675" i="5"/>
  <c r="AK671" i="5"/>
  <c r="AY671" i="5"/>
  <c r="AY655" i="5"/>
  <c r="AK651" i="5"/>
  <c r="AR651" i="5"/>
  <c r="AT651" i="5" s="1"/>
  <c r="AL651" i="5"/>
  <c r="AJ651" i="5"/>
  <c r="AS647" i="5"/>
  <c r="AT647" i="5"/>
  <c r="AZ635" i="5"/>
  <c r="AL635" i="5"/>
  <c r="AY635" i="5"/>
  <c r="AI635" i="5"/>
  <c r="AL624" i="5"/>
  <c r="AI625" i="5"/>
  <c r="AY624" i="5"/>
  <c r="AR624" i="5"/>
  <c r="AS624" i="5" s="1"/>
  <c r="AW624" i="5"/>
  <c r="AX624" i="5" s="1"/>
  <c r="AI624" i="5"/>
  <c r="AJ619" i="5"/>
  <c r="AI619" i="5"/>
  <c r="AL619" i="5"/>
  <c r="AZ615" i="5"/>
  <c r="AI616" i="5"/>
  <c r="AI615" i="5"/>
  <c r="AY615" i="5"/>
  <c r="AL599" i="5"/>
  <c r="AK599" i="5"/>
  <c r="AI599" i="5"/>
  <c r="AU595" i="5"/>
  <c r="AV595" i="5" s="1"/>
  <c r="AR595" i="5"/>
  <c r="AS595" i="5" s="1"/>
  <c r="AI596" i="5"/>
  <c r="AY595" i="5"/>
  <c r="AI595" i="5"/>
  <c r="AT587" i="5"/>
  <c r="AS587" i="5"/>
  <c r="AL579" i="5"/>
  <c r="AK579" i="5"/>
  <c r="AY579" i="5"/>
  <c r="AZ579" i="5"/>
  <c r="AJ579" i="5"/>
  <c r="AW568" i="5"/>
  <c r="AX568" i="5" s="1"/>
  <c r="AI569" i="5"/>
  <c r="AR568" i="5"/>
  <c r="AS568" i="5" s="1"/>
  <c r="AY559" i="5"/>
  <c r="AJ559" i="5"/>
  <c r="AI559" i="5"/>
  <c r="AK559" i="5"/>
  <c r="AZ543" i="5"/>
  <c r="AI543" i="5"/>
  <c r="AK543" i="5"/>
  <c r="AI544" i="5"/>
  <c r="AJ543" i="5"/>
  <c r="AJ539" i="5"/>
  <c r="AK539" i="5"/>
  <c r="AI539" i="5"/>
  <c r="AW539" i="5"/>
  <c r="AX539" i="5" s="1"/>
  <c r="AU539" i="5"/>
  <c r="AV539" i="5" s="1"/>
  <c r="AR539" i="5"/>
  <c r="AT539" i="5" s="1"/>
  <c r="AT535" i="5"/>
  <c r="AS535" i="5"/>
  <c r="AT531" i="5"/>
  <c r="AS531" i="5"/>
  <c r="AL523" i="5"/>
  <c r="AI523" i="5"/>
  <c r="AK507" i="5"/>
  <c r="AY507" i="5"/>
  <c r="AZ503" i="5"/>
  <c r="AI503" i="5"/>
  <c r="AS500" i="5"/>
  <c r="AT500" i="5"/>
  <c r="AT499" i="5"/>
  <c r="AS499" i="5"/>
  <c r="AZ487" i="5"/>
  <c r="AY487" i="5"/>
  <c r="AL487" i="5"/>
  <c r="AY483" i="5"/>
  <c r="AU483" i="5"/>
  <c r="AV483" i="5" s="1"/>
  <c r="AL483" i="5"/>
  <c r="AZ483" i="5"/>
  <c r="AR483" i="5"/>
  <c r="AT483" i="5" s="1"/>
  <c r="AI483" i="5"/>
  <c r="AK483" i="5"/>
  <c r="AI484" i="5"/>
  <c r="AT479" i="5"/>
  <c r="AS479" i="5"/>
  <c r="AZ476" i="5"/>
  <c r="AK476" i="5"/>
  <c r="AJ476" i="5"/>
  <c r="AY476" i="5"/>
  <c r="AT445" i="5"/>
  <c r="AS445" i="5"/>
  <c r="AT441" i="5"/>
  <c r="AS441" i="5"/>
  <c r="AU438" i="5"/>
  <c r="AV438" i="5" s="1"/>
  <c r="AK438" i="5"/>
  <c r="AJ438" i="5"/>
  <c r="AI438" i="5"/>
  <c r="AL438" i="5"/>
  <c r="AY438" i="5"/>
  <c r="AJ425" i="5"/>
  <c r="AL425" i="5"/>
  <c r="AI425" i="5"/>
  <c r="AL421" i="5"/>
  <c r="AJ421" i="5"/>
  <c r="AY421" i="5"/>
  <c r="AI421" i="5"/>
  <c r="AW421" i="5"/>
  <c r="AX421" i="5" s="1"/>
  <c r="AR421" i="5"/>
  <c r="AT417" i="5"/>
  <c r="AS417" i="5"/>
  <c r="AK410" i="5"/>
  <c r="AW410" i="5"/>
  <c r="AX410" i="5" s="1"/>
  <c r="AZ410" i="5"/>
  <c r="AI410" i="5"/>
  <c r="AY410" i="5"/>
  <c r="AL401" i="5"/>
  <c r="AI401" i="5"/>
  <c r="AY401" i="5"/>
  <c r="AJ401" i="5"/>
  <c r="AK397" i="5"/>
  <c r="AY397" i="5"/>
  <c r="AZ397" i="5"/>
  <c r="AU397" i="5"/>
  <c r="AV397" i="5" s="1"/>
  <c r="AW397" i="5"/>
  <c r="AX397" i="5" s="1"/>
  <c r="AI397" i="5"/>
  <c r="AT393" i="5"/>
  <c r="AS393" i="5"/>
  <c r="AR386" i="5"/>
  <c r="AT386" i="5" s="1"/>
  <c r="AK386" i="5"/>
  <c r="AZ386" i="5"/>
  <c r="AJ386" i="5"/>
  <c r="AW386" i="5"/>
  <c r="AX386" i="5" s="1"/>
  <c r="AI387" i="5"/>
  <c r="AZ619" i="5"/>
  <c r="AJ563" i="5"/>
  <c r="AY563" i="5"/>
  <c r="AL543" i="5"/>
  <c r="AR860" i="5"/>
  <c r="AT860" i="5" s="1"/>
  <c r="AT643" i="5"/>
  <c r="AK595" i="5"/>
  <c r="AZ974" i="5"/>
  <c r="AK568" i="5"/>
  <c r="AK675" i="5"/>
  <c r="AI1450" i="5"/>
  <c r="AJ595" i="5"/>
  <c r="AK619" i="5"/>
  <c r="AZ507" i="5"/>
  <c r="AI1784" i="5"/>
  <c r="AL1671" i="5"/>
  <c r="AY1647" i="5"/>
  <c r="AT683" i="5"/>
  <c r="AU651" i="5"/>
  <c r="AV651" i="5" s="1"/>
  <c r="AZ595" i="5"/>
  <c r="AL615" i="5"/>
  <c r="AK624" i="5"/>
  <c r="AT627" i="5"/>
  <c r="AI540" i="5"/>
  <c r="AY651" i="5"/>
  <c r="AT835" i="5"/>
  <c r="AW595" i="5"/>
  <c r="AX595" i="5" s="1"/>
  <c r="AK615" i="5"/>
  <c r="AK635" i="5"/>
  <c r="AU624" i="5"/>
  <c r="AV624" i="5" s="1"/>
  <c r="AJ483" i="5"/>
  <c r="AW651" i="5"/>
  <c r="AX651" i="5" s="1"/>
  <c r="AI902" i="5"/>
  <c r="AZ599" i="5"/>
  <c r="AJ615" i="5"/>
  <c r="AZ624" i="5"/>
  <c r="AL503" i="5"/>
  <c r="H196" i="5"/>
  <c r="AY1607" i="5"/>
  <c r="AK1564" i="5"/>
  <c r="H195" i="5"/>
  <c r="G164" i="5"/>
  <c r="H164" i="5" s="1"/>
  <c r="AY1095" i="5"/>
  <c r="AT1082" i="5"/>
  <c r="AZ938" i="5"/>
  <c r="AJ918" i="5"/>
  <c r="AZ902" i="5"/>
  <c r="AK803" i="5"/>
  <c r="AZ803" i="5"/>
  <c r="AT779" i="5"/>
  <c r="AK767" i="5"/>
  <c r="AJ747" i="5"/>
  <c r="AT739" i="5"/>
  <c r="AI711" i="5"/>
  <c r="AQ1281" i="5"/>
  <c r="AQ1283" i="5"/>
  <c r="AI1264" i="5"/>
  <c r="AT923" i="5"/>
  <c r="AW849" i="5"/>
  <c r="AX849" i="5" s="1"/>
  <c r="AK849" i="5"/>
  <c r="AZ836" i="5"/>
  <c r="AU825" i="5"/>
  <c r="AV825" i="5" s="1"/>
  <c r="AY816" i="5"/>
  <c r="AY776" i="5"/>
  <c r="AK729" i="5"/>
  <c r="AZ724" i="5"/>
  <c r="AI684" i="5"/>
  <c r="AZ673" i="5"/>
  <c r="AI671" i="5"/>
  <c r="AL664" i="5"/>
  <c r="AJ648" i="5"/>
  <c r="AT640" i="5"/>
  <c r="AS604" i="5"/>
  <c r="AI592" i="5"/>
  <c r="AJ588" i="5"/>
  <c r="AI572" i="5"/>
  <c r="AR561" i="5"/>
  <c r="AI556" i="5"/>
  <c r="AZ552" i="5"/>
  <c r="AI536" i="5"/>
  <c r="AJ532" i="5"/>
  <c r="AU532" i="5"/>
  <c r="AV532" i="5" s="1"/>
  <c r="AT524" i="5"/>
  <c r="AZ516" i="5"/>
  <c r="AI506" i="5"/>
  <c r="AJ505" i="5"/>
  <c r="AJ500" i="5"/>
  <c r="AJ496" i="5"/>
  <c r="AS492" i="5"/>
  <c r="AY450" i="5"/>
  <c r="AL450" i="5"/>
  <c r="AY446" i="5"/>
  <c r="AL446" i="5"/>
  <c r="AL442" i="5"/>
  <c r="AK442" i="5"/>
  <c r="AJ760" i="5"/>
  <c r="AR947" i="5"/>
  <c r="AU756" i="5"/>
  <c r="AV756" i="5" s="1"/>
  <c r="AT716" i="5"/>
  <c r="AY796" i="5"/>
  <c r="AR729" i="5"/>
  <c r="AT729" i="5" s="1"/>
  <c r="AL836" i="5"/>
  <c r="AY760" i="5"/>
  <c r="AL724" i="5"/>
  <c r="AT430" i="5"/>
  <c r="AS426" i="5"/>
  <c r="AK414" i="5"/>
  <c r="AT378" i="5"/>
  <c r="AL370" i="5"/>
  <c r="AZ366" i="5"/>
  <c r="AS354" i="5"/>
  <c r="AZ346" i="5"/>
  <c r="AI342" i="5"/>
  <c r="AS330" i="5"/>
  <c r="AK322" i="5"/>
  <c r="AZ322" i="5"/>
  <c r="AI322" i="5"/>
  <c r="AY298" i="5"/>
  <c r="AK298" i="5"/>
  <c r="AJ298" i="5"/>
  <c r="AK283" i="5"/>
  <c r="AL283" i="5"/>
  <c r="AM283" i="5"/>
  <c r="M1201" i="5"/>
  <c r="F1201" i="5" s="1"/>
  <c r="M984" i="5"/>
  <c r="F984" i="5" s="1"/>
  <c r="AM1271" i="5"/>
  <c r="AM1274" i="5"/>
  <c r="G1271" i="5"/>
  <c r="H1271" i="5" s="1"/>
  <c r="AT1268" i="5"/>
  <c r="AS1268" i="5"/>
  <c r="AT870" i="5"/>
  <c r="AS870" i="5"/>
  <c r="AS286" i="5"/>
  <c r="AI294" i="5"/>
  <c r="G4294" i="5"/>
  <c r="H4294" i="5" s="1"/>
  <c r="AT869" i="5"/>
  <c r="AT875" i="5"/>
  <c r="AS875" i="5"/>
  <c r="P3548" i="5"/>
  <c r="G3554" i="5" s="1"/>
  <c r="H3554" i="5" s="1"/>
  <c r="V3547" i="5"/>
  <c r="F3550" i="5" s="1"/>
  <c r="F5000" i="5"/>
  <c r="G5000" i="5"/>
  <c r="H5000" i="5" s="1"/>
  <c r="A5001" i="5"/>
  <c r="C5001" i="5" s="1"/>
  <c r="C5000" i="5"/>
  <c r="AL1305" i="5"/>
  <c r="AI1305" i="5"/>
  <c r="T1296" i="5"/>
  <c r="M1296" i="5" s="1"/>
  <c r="F1296" i="5" s="1"/>
  <c r="G1296" i="5" s="1"/>
  <c r="H1296" i="5" s="1"/>
  <c r="T1291" i="5"/>
  <c r="M1291" i="5" s="1"/>
  <c r="F1291" i="5" s="1"/>
  <c r="G1291" i="5" s="1"/>
  <c r="H1291" i="5" s="1"/>
  <c r="T1294" i="5"/>
  <c r="M1294" i="5" s="1"/>
  <c r="F1294" i="5" s="1"/>
  <c r="G1294" i="5" s="1"/>
  <c r="H1294" i="5" s="1"/>
  <c r="T1290" i="5"/>
  <c r="M1290" i="5" s="1"/>
  <c r="F1290" i="5" s="1"/>
  <c r="G1290" i="5" s="1"/>
  <c r="H1290" i="5" s="1"/>
  <c r="T1293" i="5"/>
  <c r="M1293" i="5" s="1"/>
  <c r="F1293" i="5" s="1"/>
  <c r="G1293" i="5" s="1"/>
  <c r="H1293" i="5" s="1"/>
  <c r="T1292" i="5"/>
  <c r="AP1292" i="5" s="1"/>
  <c r="AQ1292" i="5" s="1"/>
  <c r="R191" i="5"/>
  <c r="F193" i="5" s="1"/>
  <c r="R205" i="5"/>
  <c r="R206" i="5" s="1"/>
  <c r="F208" i="5" s="1"/>
  <c r="C5138" i="5"/>
  <c r="A5139" i="5"/>
  <c r="C5139" i="5" s="1"/>
  <c r="AT1292" i="5"/>
  <c r="AS1292" i="5"/>
  <c r="A5239" i="5"/>
  <c r="I5238" i="5"/>
  <c r="AZ1305" i="5"/>
  <c r="AK1305" i="5"/>
  <c r="T1295" i="5"/>
  <c r="M1295" i="5" s="1"/>
  <c r="F1295" i="5" s="1"/>
  <c r="T1289" i="5"/>
  <c r="M1289" i="5" s="1"/>
  <c r="F1289" i="5" s="1"/>
  <c r="G1289" i="5" s="1"/>
  <c r="H1289" i="5" s="1"/>
  <c r="AY1305" i="5"/>
  <c r="F4290" i="5"/>
  <c r="AJ1305" i="5"/>
  <c r="G3550" i="5"/>
  <c r="H3550" i="5" s="1"/>
  <c r="C4902" i="5"/>
  <c r="M2076" i="5"/>
  <c r="F2076" i="5" s="1"/>
  <c r="M1782" i="5"/>
  <c r="F1782" i="5" s="1"/>
  <c r="AR2517" i="5"/>
  <c r="AS2517" i="5" s="1"/>
  <c r="AL2108" i="5"/>
  <c r="AZ2104" i="5"/>
  <c r="AK2078" i="5"/>
  <c r="AJ1661" i="5"/>
  <c r="AY1661" i="5"/>
  <c r="AK1665" i="5"/>
  <c r="AK1661" i="5"/>
  <c r="AI1665" i="5"/>
  <c r="AJ1665" i="5"/>
  <c r="Q4295" i="5"/>
  <c r="G4298" i="5" s="1"/>
  <c r="H4298" i="5" s="1"/>
  <c r="G4296" i="5"/>
  <c r="H4296" i="5" s="1"/>
  <c r="AS1920" i="5"/>
  <c r="AK1840" i="5"/>
  <c r="AL1957" i="5"/>
  <c r="C4818" i="5"/>
  <c r="A4819" i="5"/>
  <c r="C4819" i="5" s="1"/>
  <c r="AT1784" i="5"/>
  <c r="AL1619" i="5"/>
  <c r="AY1500" i="5"/>
  <c r="AS1492" i="5"/>
  <c r="AS1396" i="5"/>
  <c r="AR1337" i="5"/>
  <c r="AR1251" i="5"/>
  <c r="AS1251" i="5" s="1"/>
  <c r="AW1251" i="5"/>
  <c r="AX1251" i="5" s="1"/>
  <c r="AL1251" i="5"/>
  <c r="AU1238" i="5"/>
  <c r="AV1238" i="5" s="1"/>
  <c r="AZ1238" i="5"/>
  <c r="AK1227" i="5"/>
  <c r="AI1228" i="5"/>
  <c r="AY1218" i="5"/>
  <c r="AL1218" i="5"/>
  <c r="AI1208" i="5"/>
  <c r="AY1202" i="5"/>
  <c r="AZ1198" i="5"/>
  <c r="AK1198" i="5"/>
  <c r="AJ1178" i="5"/>
  <c r="AZ1178" i="5"/>
  <c r="AW1151" i="5"/>
  <c r="AX1151" i="5" s="1"/>
  <c r="AJ1146" i="5"/>
  <c r="AZ1108" i="5"/>
  <c r="AU1108" i="5"/>
  <c r="AV1108" i="5" s="1"/>
  <c r="AY1198" i="5"/>
  <c r="AI1238" i="5"/>
  <c r="AY851" i="5"/>
  <c r="AJ978" i="5"/>
  <c r="AY767" i="5"/>
  <c r="AR792" i="5"/>
  <c r="AT792" i="5" s="1"/>
  <c r="AY927" i="5"/>
  <c r="AW1095" i="5"/>
  <c r="AX1095" i="5" s="1"/>
  <c r="AY1070" i="5"/>
  <c r="AZ763" i="5"/>
  <c r="AL767" i="5"/>
  <c r="AS663" i="5"/>
  <c r="AK711" i="5"/>
  <c r="AL792" i="5"/>
  <c r="AZ922" i="5"/>
  <c r="AK898" i="5"/>
  <c r="AJ1086" i="5"/>
  <c r="AL1086" i="5"/>
  <c r="AK1039" i="5"/>
  <c r="AJ1039" i="5"/>
  <c r="AK1030" i="5"/>
  <c r="AT1026" i="5"/>
  <c r="AK974" i="5"/>
  <c r="AT950" i="5"/>
  <c r="AS950" i="5"/>
  <c r="AJ938" i="5"/>
  <c r="AK938" i="5"/>
  <c r="AT930" i="5"/>
  <c r="AW927" i="5"/>
  <c r="AX927" i="5" s="1"/>
  <c r="AL927" i="5"/>
  <c r="AR927" i="5"/>
  <c r="AZ927" i="5"/>
  <c r="AJ898" i="5"/>
  <c r="AW898" i="5"/>
  <c r="AX898" i="5" s="1"/>
  <c r="AL898" i="5"/>
  <c r="AZ898" i="5"/>
  <c r="AS890" i="5"/>
  <c r="AT890" i="5"/>
  <c r="AS883" i="5"/>
  <c r="AT883" i="5"/>
  <c r="AL827" i="5"/>
  <c r="AY827" i="5"/>
  <c r="AZ827" i="5"/>
  <c r="AK827" i="5"/>
  <c r="AI827" i="5"/>
  <c r="AY823" i="5"/>
  <c r="AK823" i="5"/>
  <c r="AT815" i="5"/>
  <c r="AS815" i="5"/>
  <c r="AJ803" i="5"/>
  <c r="AL803" i="5"/>
  <c r="AY803" i="5"/>
  <c r="AK792" i="5"/>
  <c r="AJ792" i="5"/>
  <c r="AU792" i="5"/>
  <c r="AV792" i="5" s="1"/>
  <c r="AZ787" i="5"/>
  <c r="AK787" i="5"/>
  <c r="AL787" i="5"/>
  <c r="AZ783" i="5"/>
  <c r="AI783" i="5"/>
  <c r="AJ783" i="5"/>
  <c r="AT775" i="5"/>
  <c r="AS775" i="5"/>
  <c r="AJ767" i="5"/>
  <c r="AZ767" i="5"/>
  <c r="AR763" i="5"/>
  <c r="AY763" i="5"/>
  <c r="AI764" i="5"/>
  <c r="AW763" i="5"/>
  <c r="AX763" i="5" s="1"/>
  <c r="AI763" i="5"/>
  <c r="AJ763" i="5"/>
  <c r="AZ747" i="5"/>
  <c r="AY747" i="5"/>
  <c r="AZ736" i="5"/>
  <c r="AW736" i="5"/>
  <c r="AX736" i="5" s="1"/>
  <c r="AI736" i="5"/>
  <c r="AU736" i="5"/>
  <c r="AV736" i="5" s="1"/>
  <c r="AJ727" i="5"/>
  <c r="AK727" i="5"/>
  <c r="AT719" i="5"/>
  <c r="AS719" i="5"/>
  <c r="AK691" i="5"/>
  <c r="AI691" i="5"/>
  <c r="AJ691" i="5"/>
  <c r="AL691" i="5"/>
  <c r="AW680" i="5"/>
  <c r="AX680" i="5" s="1"/>
  <c r="AR680" i="5"/>
  <c r="AT680" i="5" s="1"/>
  <c r="AL680" i="5"/>
  <c r="AU680" i="5"/>
  <c r="AV680" i="5" s="1"/>
  <c r="AI675" i="5"/>
  <c r="AZ671" i="5"/>
  <c r="AL671" i="5"/>
  <c r="AT667" i="5"/>
  <c r="AS667" i="5"/>
  <c r="AJ655" i="5"/>
  <c r="AL655" i="5"/>
  <c r="AI655" i="5"/>
  <c r="AZ655" i="5"/>
  <c r="AI651" i="5"/>
  <c r="AZ651" i="5"/>
  <c r="AI652" i="5"/>
  <c r="AU568" i="5"/>
  <c r="AV568" i="5" s="1"/>
  <c r="AJ568" i="5"/>
  <c r="AY568" i="5"/>
  <c r="AZ568" i="5"/>
  <c r="AL563" i="5"/>
  <c r="AZ563" i="5"/>
  <c r="AI563" i="5"/>
  <c r="AK747" i="5"/>
  <c r="AK763" i="5"/>
  <c r="AZ792" i="5"/>
  <c r="AS811" i="5"/>
  <c r="AL783" i="5"/>
  <c r="AL958" i="5"/>
  <c r="AY1090" i="5"/>
  <c r="AY898" i="5"/>
  <c r="AI793" i="5"/>
  <c r="AI681" i="5"/>
  <c r="AU927" i="5"/>
  <c r="AV927" i="5" s="1"/>
  <c r="AL974" i="5"/>
  <c r="AJ827" i="5"/>
  <c r="AJ671" i="5"/>
  <c r="AL747" i="5"/>
  <c r="AY787" i="5"/>
  <c r="AL938" i="5"/>
  <c r="AT699" i="5"/>
  <c r="AY783" i="5"/>
  <c r="AW792" i="5"/>
  <c r="AX792" i="5" s="1"/>
  <c r="AK1090" i="5"/>
  <c r="AS966" i="5"/>
  <c r="AJ922" i="5"/>
  <c r="AZ539" i="5"/>
  <c r="AR438" i="5"/>
  <c r="AW483" i="5"/>
  <c r="AX483" i="5" s="1"/>
  <c r="AT515" i="5"/>
  <c r="AL476" i="5"/>
  <c r="AL559" i="5"/>
  <c r="AY539" i="5"/>
  <c r="AY503" i="5"/>
  <c r="AY543" i="5"/>
  <c r="AS495" i="5"/>
  <c r="AZ523" i="5"/>
  <c r="AM476" i="5"/>
  <c r="AZ559" i="5"/>
  <c r="AZ438" i="5"/>
  <c r="AS555" i="5"/>
  <c r="AI439" i="5"/>
  <c r="AS551" i="5"/>
  <c r="AI476" i="5"/>
  <c r="AQ872" i="5"/>
  <c r="AQ2570" i="5"/>
  <c r="AM1283" i="5"/>
  <c r="AQ463" i="5"/>
  <c r="AQ2166" i="5"/>
  <c r="AZ371" i="5"/>
  <c r="A4838" i="5"/>
  <c r="C4837" i="5"/>
  <c r="F107" i="5"/>
  <c r="P121" i="5"/>
  <c r="F122" i="5" s="1"/>
  <c r="M3377" i="5"/>
  <c r="F3377" i="5" s="1"/>
  <c r="L3377" i="5" s="1"/>
  <c r="N3456" i="5"/>
  <c r="M3456" i="5" s="1"/>
  <c r="F3456" i="5" s="1"/>
  <c r="L3456" i="5" s="1"/>
  <c r="N3730" i="5"/>
  <c r="M3730" i="5" s="1"/>
  <c r="F3730" i="5" s="1"/>
  <c r="M3728" i="5"/>
  <c r="F3728" i="5" s="1"/>
  <c r="U3871" i="5"/>
  <c r="Q3871" i="5" s="1"/>
  <c r="Q3862" i="5"/>
  <c r="S4280" i="5"/>
  <c r="P4280" i="5" s="1"/>
  <c r="P4276" i="5"/>
  <c r="F103" i="5"/>
  <c r="S114" i="5"/>
  <c r="F118" i="5" s="1"/>
  <c r="AT1694" i="5"/>
  <c r="AS1694" i="5"/>
  <c r="AU3507" i="5"/>
  <c r="A3507" i="5" s="1"/>
  <c r="C4874" i="5"/>
  <c r="A4875" i="5"/>
  <c r="C4875" i="5" s="1"/>
  <c r="AK2120" i="5"/>
  <c r="AI2120" i="5"/>
  <c r="AZ2120" i="5"/>
  <c r="AI2125" i="5"/>
  <c r="AJ2125" i="5"/>
  <c r="AY2125" i="5"/>
  <c r="AL2125" i="5"/>
  <c r="AZ2125" i="5"/>
  <c r="AS1702" i="5"/>
  <c r="AT1702" i="5"/>
  <c r="G1268" i="5"/>
  <c r="H1268" i="5" s="1"/>
  <c r="AM1268" i="5"/>
  <c r="AS1697" i="5"/>
  <c r="AT1697" i="5"/>
  <c r="C4858" i="5"/>
  <c r="A4785" i="5"/>
  <c r="AK2125" i="5"/>
  <c r="F4880" i="5"/>
  <c r="U4881" i="5"/>
  <c r="F4884" i="5" s="1"/>
  <c r="C4906" i="5"/>
  <c r="A4907" i="5"/>
  <c r="C4907" i="5" s="1"/>
  <c r="F4291" i="5"/>
  <c r="U4293" i="5"/>
  <c r="F4294" i="5" s="1"/>
  <c r="S3740" i="5"/>
  <c r="F3737" i="5"/>
  <c r="O161" i="5"/>
  <c r="F160" i="5" s="1"/>
  <c r="AT1267" i="5"/>
  <c r="AS1267" i="5"/>
  <c r="O167" i="5"/>
  <c r="T167" i="5"/>
  <c r="R168" i="5"/>
  <c r="F170" i="5" s="1"/>
  <c r="Q168" i="5"/>
  <c r="F169" i="5" s="1"/>
  <c r="R167" i="5"/>
  <c r="U167" i="5"/>
  <c r="Q167" i="5"/>
  <c r="S167" i="5"/>
  <c r="O168" i="5"/>
  <c r="F167" i="5" s="1"/>
  <c r="P168" i="5"/>
  <c r="F168" i="5" s="1"/>
  <c r="P167" i="5"/>
  <c r="T168" i="5"/>
  <c r="F172" i="5" s="1"/>
  <c r="C4959" i="5"/>
  <c r="A4960" i="5"/>
  <c r="C4960" i="5" s="1"/>
  <c r="A4976" i="5"/>
  <c r="C4976" i="5" s="1"/>
  <c r="C4975" i="5"/>
  <c r="G2137" i="5"/>
  <c r="H2137" i="5" s="1"/>
  <c r="AM2138" i="5"/>
  <c r="AT1281" i="5"/>
  <c r="AS1281" i="5"/>
  <c r="AS1283" i="5"/>
  <c r="AT1283" i="5"/>
  <c r="H194" i="5"/>
  <c r="S191" i="5"/>
  <c r="F194" i="5" s="1"/>
  <c r="A5062" i="5"/>
  <c r="C5062" i="5" s="1"/>
  <c r="C5061" i="5"/>
  <c r="AT1723" i="5"/>
  <c r="AS1723" i="5"/>
  <c r="AP1706" i="5"/>
  <c r="AQ1706" i="5" s="1"/>
  <c r="M1706" i="5"/>
  <c r="F1706" i="5" s="1"/>
  <c r="M1299" i="5"/>
  <c r="F1299" i="5" s="1"/>
  <c r="AP1299" i="5"/>
  <c r="AQ1299" i="5" s="1"/>
  <c r="AK2165" i="5"/>
  <c r="AI2165" i="5"/>
  <c r="G3527" i="5"/>
  <c r="H3527" i="5" s="1"/>
  <c r="AI1014" i="5"/>
  <c r="AI2078" i="5"/>
  <c r="S4911" i="5"/>
  <c r="S4912" i="5" s="1"/>
  <c r="S4950" i="5" s="1"/>
  <c r="S4951" i="5" s="1"/>
  <c r="AT1006" i="5"/>
  <c r="AS1006" i="5"/>
  <c r="AW1844" i="5"/>
  <c r="AX1844" i="5" s="1"/>
  <c r="AK749" i="5"/>
  <c r="AY1623" i="5"/>
  <c r="AZ749" i="5"/>
  <c r="AK1010" i="5"/>
  <c r="AZ1010" i="5"/>
  <c r="AU1010" i="5"/>
  <c r="AV1010" i="5" s="1"/>
  <c r="AW1010" i="5"/>
  <c r="AX1010" i="5" s="1"/>
  <c r="AI1011" i="5"/>
  <c r="AI1010" i="5"/>
  <c r="AL1010" i="5"/>
  <c r="AY1010" i="5"/>
  <c r="AJ1010" i="5"/>
  <c r="AY753" i="5"/>
  <c r="AK753" i="5"/>
  <c r="AZ753" i="5"/>
  <c r="AL753" i="5"/>
  <c r="AJ753" i="5"/>
  <c r="AS745" i="5"/>
  <c r="AT745" i="5"/>
  <c r="AW749" i="5"/>
  <c r="AX749" i="5" s="1"/>
  <c r="AK1996" i="5"/>
  <c r="AZ994" i="5"/>
  <c r="AK994" i="5"/>
  <c r="AY994" i="5"/>
  <c r="AI995" i="5"/>
  <c r="AJ994" i="5"/>
  <c r="AR1010" i="5"/>
  <c r="AS1010" i="5" s="1"/>
  <c r="AS986" i="5"/>
  <c r="AL1627" i="5"/>
  <c r="AY1014" i="5"/>
  <c r="AZ1014" i="5"/>
  <c r="AL1014" i="5"/>
  <c r="AK1014" i="5"/>
  <c r="AJ1014" i="5"/>
  <c r="AY733" i="5"/>
  <c r="AL733" i="5"/>
  <c r="AK733" i="5"/>
  <c r="AR749" i="5"/>
  <c r="AT749" i="5" s="1"/>
  <c r="AY749" i="5"/>
  <c r="AU749" i="5"/>
  <c r="AV749" i="5" s="1"/>
  <c r="AL749" i="5"/>
  <c r="AJ749" i="5"/>
  <c r="AT741" i="5"/>
  <c r="AS741" i="5"/>
  <c r="AI994" i="5"/>
  <c r="A4904" i="5"/>
  <c r="C4903" i="5"/>
  <c r="AJ733" i="5"/>
  <c r="AT817" i="5"/>
  <c r="AS817" i="5"/>
  <c r="AK809" i="5"/>
  <c r="AY809" i="5"/>
  <c r="AR805" i="5"/>
  <c r="AT805" i="5" s="1"/>
  <c r="AK805" i="5"/>
  <c r="AW805" i="5"/>
  <c r="AX805" i="5" s="1"/>
  <c r="AY610" i="5"/>
  <c r="AZ610" i="5"/>
  <c r="AY605" i="5"/>
  <c r="AL605" i="5"/>
  <c r="AL834" i="5"/>
  <c r="AJ445" i="5"/>
  <c r="AY445" i="5"/>
  <c r="AI445" i="5"/>
  <c r="AL445" i="5"/>
  <c r="AK441" i="5"/>
  <c r="AI442" i="5"/>
  <c r="AZ441" i="5"/>
  <c r="AY441" i="5"/>
  <c r="AY437" i="5"/>
  <c r="AZ437" i="5"/>
  <c r="AL437" i="5"/>
  <c r="AW437" i="5"/>
  <c r="AX437" i="5" s="1"/>
  <c r="AR1399" i="5"/>
  <c r="AS1399" i="5" s="1"/>
  <c r="AL1399" i="5"/>
  <c r="AJ523" i="5"/>
  <c r="AK523" i="5"/>
  <c r="AY523" i="5"/>
  <c r="AL507" i="5"/>
  <c r="AJ507" i="5"/>
  <c r="AI507" i="5"/>
  <c r="AK503" i="5"/>
  <c r="AJ503" i="5"/>
  <c r="AY546" i="5"/>
  <c r="AT1154" i="5"/>
  <c r="AU1151" i="5"/>
  <c r="AV1151" i="5" s="1"/>
  <c r="AK1151" i="5"/>
  <c r="AJ1151" i="5"/>
  <c r="AI1125" i="5"/>
  <c r="AZ1125" i="5"/>
  <c r="AL1125" i="5"/>
  <c r="A6283" i="5"/>
  <c r="AT1927" i="5"/>
  <c r="AT1319" i="5"/>
  <c r="AS1319" i="5"/>
  <c r="AY1316" i="5"/>
  <c r="AR1316" i="5"/>
  <c r="AS1316" i="5" s="1"/>
  <c r="AZ1316" i="5"/>
  <c r="AY1455" i="5"/>
  <c r="AK1455" i="5"/>
  <c r="AR1455" i="5"/>
  <c r="AT1455" i="5" s="1"/>
  <c r="AL1094" i="5"/>
  <c r="AI1095" i="5"/>
  <c r="A6258" i="5"/>
  <c r="A6291" i="5" s="1"/>
  <c r="A6282" i="5"/>
  <c r="A6273" i="5"/>
  <c r="A6267" i="5"/>
  <c r="A6300" i="5" s="1"/>
  <c r="A6262" i="5"/>
  <c r="A6295" i="5" s="1"/>
  <c r="A6259" i="5"/>
  <c r="A6292" i="5" s="1"/>
  <c r="G52" i="3"/>
  <c r="J22" i="11"/>
  <c r="Z13" i="14"/>
  <c r="AS1650" i="5"/>
  <c r="AT1650" i="5"/>
  <c r="M2082" i="5"/>
  <c r="F2082" i="5" s="1"/>
  <c r="AT1359" i="5"/>
  <c r="AJ1955" i="5"/>
  <c r="AT1751" i="5"/>
  <c r="AS1751" i="5"/>
  <c r="AM2128" i="5"/>
  <c r="G866" i="5"/>
  <c r="H866" i="5" s="1"/>
  <c r="AJ1383" i="5"/>
  <c r="AR1372" i="5"/>
  <c r="AY1367" i="5"/>
  <c r="AK1154" i="5"/>
  <c r="AI1373" i="5"/>
  <c r="AZ1383" i="5"/>
  <c r="AL1367" i="5"/>
  <c r="AU1372" i="5"/>
  <c r="AV1372" i="5" s="1"/>
  <c r="AU1226" i="5"/>
  <c r="AV1226" i="5" s="1"/>
  <c r="AW2316" i="5"/>
  <c r="AX2316" i="5" s="1"/>
  <c r="AI2015" i="5"/>
  <c r="AZ1491" i="5"/>
  <c r="AS1395" i="5"/>
  <c r="AT1395" i="5"/>
  <c r="AT932" i="5"/>
  <c r="AS932" i="5"/>
  <c r="AY908" i="5"/>
  <c r="AI908" i="5"/>
  <c r="AK766" i="5"/>
  <c r="AY766" i="5"/>
  <c r="AL762" i="5"/>
  <c r="AZ762" i="5"/>
  <c r="AL1479" i="5"/>
  <c r="AY1479" i="5"/>
  <c r="AK1479" i="5"/>
  <c r="AS1467" i="5"/>
  <c r="AT1467" i="5"/>
  <c r="AU1101" i="5"/>
  <c r="AV1101" i="5" s="1"/>
  <c r="AK1101" i="5"/>
  <c r="AS1767" i="5"/>
  <c r="D4772" i="5"/>
  <c r="D4776" i="5" s="1"/>
  <c r="D4780" i="5" s="1"/>
  <c r="G2132" i="5"/>
  <c r="H2132" i="5" s="1"/>
  <c r="AM2134" i="5"/>
  <c r="G2135" i="5"/>
  <c r="H2135" i="5" s="1"/>
  <c r="AM2135" i="5"/>
  <c r="G2140" i="5"/>
  <c r="H2140" i="5" s="1"/>
  <c r="M2569" i="5"/>
  <c r="F2569" i="5" s="1"/>
  <c r="AM2569" i="5" s="1"/>
  <c r="AK1619" i="5"/>
  <c r="AL1912" i="5"/>
  <c r="AY1750" i="5"/>
  <c r="AK1750" i="5"/>
  <c r="AJ1578" i="5"/>
  <c r="AK1578" i="5"/>
  <c r="AZ1578" i="5"/>
  <c r="AL1578" i="5"/>
  <c r="AY1578" i="5"/>
  <c r="AZ1574" i="5"/>
  <c r="AJ1574" i="5"/>
  <c r="AR1574" i="5"/>
  <c r="AS1574" i="5" s="1"/>
  <c r="AW1574" i="5"/>
  <c r="AX1574" i="5" s="1"/>
  <c r="AK1574" i="5"/>
  <c r="AU1574" i="5"/>
  <c r="AV1574" i="5" s="1"/>
  <c r="AY1574" i="5"/>
  <c r="AT1494" i="5"/>
  <c r="AT1447" i="5"/>
  <c r="AS1447" i="5"/>
  <c r="AS1411" i="5"/>
  <c r="AT1411" i="5"/>
  <c r="AT1352" i="5"/>
  <c r="AT1194" i="5"/>
  <c r="AS1194" i="5"/>
  <c r="AS1570" i="5"/>
  <c r="AL1574" i="5"/>
  <c r="AT1586" i="5"/>
  <c r="AS1586" i="5"/>
  <c r="AK1421" i="5"/>
  <c r="AZ1421" i="5"/>
  <c r="AS1375" i="5"/>
  <c r="AT1375" i="5"/>
  <c r="AT1166" i="5"/>
  <c r="AS1166" i="5"/>
  <c r="AT886" i="5"/>
  <c r="AS886" i="5"/>
  <c r="AJ848" i="5"/>
  <c r="AZ848" i="5"/>
  <c r="AB13" i="14"/>
  <c r="AB16" i="14" s="1"/>
  <c r="AB20" i="14" s="1"/>
  <c r="AB22" i="14" s="1"/>
  <c r="F5211" i="5"/>
  <c r="AT2569" i="5"/>
  <c r="AI1751" i="5"/>
  <c r="F5208" i="5"/>
  <c r="AQ2569" i="5"/>
  <c r="H5210" i="5"/>
  <c r="F5210" i="5"/>
  <c r="P5191" i="5"/>
  <c r="U5191" i="5"/>
  <c r="P5192" i="5"/>
  <c r="U5192" i="5"/>
  <c r="P5193" i="5"/>
  <c r="Q5191" i="5"/>
  <c r="U5193" i="5"/>
  <c r="Q5192" i="5"/>
  <c r="V5191" i="5"/>
  <c r="R5191" i="5"/>
  <c r="R5192" i="5"/>
  <c r="W5191" i="5"/>
  <c r="V5192" i="5"/>
  <c r="Q5193" i="5"/>
  <c r="V5193" i="5"/>
  <c r="R5193" i="5"/>
  <c r="W5192" i="5"/>
  <c r="W5193" i="5"/>
  <c r="Q4802" i="5"/>
  <c r="Q4803" i="5" s="1"/>
  <c r="F4804" i="5"/>
  <c r="AK2461" i="5"/>
  <c r="AR1788" i="5"/>
  <c r="AS1788" i="5" s="1"/>
  <c r="AY1598" i="5"/>
  <c r="AI1598" i="5"/>
  <c r="AZ1598" i="5"/>
  <c r="AL1598" i="5"/>
  <c r="AL1594" i="5"/>
  <c r="AY1594" i="5"/>
  <c r="AK1594" i="5"/>
  <c r="AZ1771" i="5"/>
  <c r="AY1771" i="5"/>
  <c r="AL1767" i="5"/>
  <c r="AZ1767" i="5"/>
  <c r="AQ498" i="5"/>
  <c r="AK1919" i="5"/>
  <c r="AT1626" i="5"/>
  <c r="AS1626" i="5"/>
  <c r="AT1240" i="5"/>
  <c r="AT1120" i="5"/>
  <c r="AS1120" i="5"/>
  <c r="AY1092" i="5"/>
  <c r="AK1092" i="5"/>
  <c r="AL1092" i="5"/>
  <c r="AJ1092" i="5"/>
  <c r="AT1086" i="5"/>
  <c r="AS1086" i="5"/>
  <c r="AW1067" i="5"/>
  <c r="AX1067" i="5" s="1"/>
  <c r="AU1067" i="5"/>
  <c r="AV1067" i="5" s="1"/>
  <c r="AI1068" i="5"/>
  <c r="AR1067" i="5"/>
  <c r="AK1067" i="5"/>
  <c r="AL1067" i="5"/>
  <c r="AZ1067" i="5"/>
  <c r="AK1058" i="5"/>
  <c r="AY1058" i="5"/>
  <c r="AL1058" i="5"/>
  <c r="AJ1058" i="5"/>
  <c r="AZ1058" i="5"/>
  <c r="AK1049" i="5"/>
  <c r="AZ1049" i="5"/>
  <c r="AI1050" i="5"/>
  <c r="AJ1049" i="5"/>
  <c r="AL1049" i="5"/>
  <c r="AY1049" i="5"/>
  <c r="AI1000" i="5"/>
  <c r="AL962" i="5"/>
  <c r="AY962" i="5"/>
  <c r="AW962" i="5"/>
  <c r="AX962" i="5" s="1"/>
  <c r="AJ962" i="5"/>
  <c r="AU962" i="5"/>
  <c r="AV962" i="5" s="1"/>
  <c r="AK962" i="5"/>
  <c r="AZ962" i="5"/>
  <c r="AL953" i="5"/>
  <c r="AK953" i="5"/>
  <c r="AI954" i="5"/>
  <c r="AJ953" i="5"/>
  <c r="AY953" i="5"/>
  <c r="AT698" i="5"/>
  <c r="AS698" i="5"/>
  <c r="AR672" i="5"/>
  <c r="AW672" i="5"/>
  <c r="AX672" i="5" s="1"/>
  <c r="AS1106" i="5"/>
  <c r="AK422" i="5"/>
  <c r="AJ422" i="5"/>
  <c r="AU422" i="5"/>
  <c r="AV422" i="5" s="1"/>
  <c r="AR422" i="5"/>
  <c r="AY422" i="5"/>
  <c r="AI422" i="5"/>
  <c r="AZ422" i="5"/>
  <c r="AW422" i="5"/>
  <c r="AX422" i="5" s="1"/>
  <c r="AL422" i="5"/>
  <c r="AT375" i="5"/>
  <c r="AS375" i="5"/>
  <c r="AI423" i="5"/>
  <c r="F20" i="11"/>
  <c r="F24" i="11" s="1"/>
  <c r="U15" i="10"/>
  <c r="U19" i="10" s="1"/>
  <c r="AQ541" i="5" l="1"/>
  <c r="AI1853" i="5"/>
  <c r="AT1779" i="5"/>
  <c r="AU1687" i="5"/>
  <c r="AV1687" i="5" s="1"/>
  <c r="AW1767" i="5"/>
  <c r="AX1767" i="5" s="1"/>
  <c r="AT1947" i="5"/>
  <c r="AK1879" i="5"/>
  <c r="AJ2015" i="5"/>
  <c r="AT1783" i="5"/>
  <c r="AK2015" i="5"/>
  <c r="AS2264" i="5"/>
  <c r="AZ1919" i="5"/>
  <c r="AJ1767" i="5"/>
  <c r="AY2097" i="5"/>
  <c r="AL1879" i="5"/>
  <c r="AY1975" i="5"/>
  <c r="AK2179" i="5"/>
  <c r="AS1891" i="5"/>
  <c r="AJ1879" i="5"/>
  <c r="AT1799" i="5"/>
  <c r="AZ1975" i="5"/>
  <c r="AU1879" i="5"/>
  <c r="AV1879" i="5" s="1"/>
  <c r="AT2063" i="5"/>
  <c r="AS1835" i="5"/>
  <c r="AK1739" i="5"/>
  <c r="AQ744" i="5"/>
  <c r="AI734" i="5"/>
  <c r="AQ612" i="5"/>
  <c r="AQ572" i="5"/>
  <c r="AQ552" i="5"/>
  <c r="AQ520" i="5"/>
  <c r="AQ450" i="5"/>
  <c r="AQ442" i="5"/>
  <c r="AQ375" i="5"/>
  <c r="AQ370" i="5"/>
  <c r="AQ366" i="5"/>
  <c r="AQ351" i="5"/>
  <c r="AQ342" i="5"/>
  <c r="AQ327" i="5"/>
  <c r="AQ322" i="5"/>
  <c r="AQ298" i="5"/>
  <c r="AQ297" i="5"/>
  <c r="AQ294" i="5"/>
  <c r="AN3639" i="5"/>
  <c r="AO3639" i="5" s="1"/>
  <c r="AP3639" i="5" s="1"/>
  <c r="AR3639" i="5" s="1"/>
  <c r="AN3641" i="5"/>
  <c r="A3641" i="5" s="1"/>
  <c r="AN3643" i="5"/>
  <c r="A3643" i="5" s="1"/>
  <c r="AN3864" i="5"/>
  <c r="AQ3864" i="5" s="1"/>
  <c r="AN3869" i="5"/>
  <c r="D3869" i="5" s="1"/>
  <c r="AN3875" i="5"/>
  <c r="D3875" i="5" s="1"/>
  <c r="AN3973" i="5"/>
  <c r="D3973" i="5" s="1"/>
  <c r="AQ1268" i="5"/>
  <c r="AQ2128" i="5"/>
  <c r="AQ2142" i="5"/>
  <c r="AQ1284" i="5"/>
  <c r="AZ1879" i="5"/>
  <c r="AL1919" i="5"/>
  <c r="AJ1919" i="5"/>
  <c r="AU1767" i="5"/>
  <c r="AV1767" i="5" s="1"/>
  <c r="AY1879" i="5"/>
  <c r="AL1750" i="5"/>
  <c r="AJ2465" i="5"/>
  <c r="AY1767" i="5"/>
  <c r="AS2039" i="5"/>
  <c r="AZ1750" i="5"/>
  <c r="AL2015" i="5"/>
  <c r="AK1674" i="5"/>
  <c r="AQ1272" i="5"/>
  <c r="AQ461" i="5"/>
  <c r="AQ458" i="5"/>
  <c r="AQ869" i="5"/>
  <c r="AQ1305" i="5"/>
  <c r="AI1009" i="5"/>
  <c r="AK1771" i="5"/>
  <c r="AT2043" i="5"/>
  <c r="AZ2015" i="5"/>
  <c r="AK2497" i="5"/>
  <c r="AR2470" i="5"/>
  <c r="AS2470" i="5" s="1"/>
  <c r="AS1951" i="5"/>
  <c r="AW1650" i="5"/>
  <c r="AX1650" i="5" s="1"/>
  <c r="AJ1739" i="5"/>
  <c r="AU1603" i="5"/>
  <c r="AV1603" i="5" s="1"/>
  <c r="AQ704" i="5"/>
  <c r="AQ1694" i="5"/>
  <c r="D3479" i="5"/>
  <c r="AU3505" i="5"/>
  <c r="AN3650" i="5"/>
  <c r="A3650" i="5" s="1"/>
  <c r="AN3873" i="5"/>
  <c r="AQ3873" i="5" s="1"/>
  <c r="AN3878" i="5"/>
  <c r="AQ3878" i="5" s="1"/>
  <c r="AN3968" i="5"/>
  <c r="AO3968" i="5" s="1"/>
  <c r="AP3968" i="5" s="1"/>
  <c r="AR3968" i="5" s="1"/>
  <c r="AQ1271" i="5"/>
  <c r="G4899" i="5"/>
  <c r="H4899" i="5" s="1"/>
  <c r="AQ1720" i="5"/>
  <c r="AQ2165" i="5"/>
  <c r="AR961" i="5"/>
  <c r="AS961" i="5" s="1"/>
  <c r="AW961" i="5"/>
  <c r="AX961" i="5" s="1"/>
  <c r="AI882" i="5"/>
  <c r="AL882" i="5"/>
  <c r="AI791" i="5"/>
  <c r="AZ790" i="5"/>
  <c r="AY682" i="5"/>
  <c r="AJ682" i="5"/>
  <c r="AL682" i="5"/>
  <c r="AK682" i="5"/>
  <c r="AI683" i="5"/>
  <c r="AZ682" i="5"/>
  <c r="AI682" i="5"/>
  <c r="AS654" i="5"/>
  <c r="AT654" i="5"/>
  <c r="AZ606" i="5"/>
  <c r="AI607" i="5"/>
  <c r="AL606" i="5"/>
  <c r="AY606" i="5"/>
  <c r="AK606" i="5"/>
  <c r="AJ570" i="5"/>
  <c r="AK570" i="5"/>
  <c r="AL570" i="5"/>
  <c r="AZ570" i="5"/>
  <c r="AI570" i="5"/>
  <c r="AI571" i="5"/>
  <c r="AY570" i="5"/>
  <c r="AT562" i="5"/>
  <c r="AS562" i="5"/>
  <c r="AJ546" i="5"/>
  <c r="AI547" i="5"/>
  <c r="AW546" i="5"/>
  <c r="AX546" i="5" s="1"/>
  <c r="AK546" i="5"/>
  <c r="AL546" i="5"/>
  <c r="AZ546" i="5"/>
  <c r="AU546" i="5"/>
  <c r="AV546" i="5" s="1"/>
  <c r="AR546" i="5"/>
  <c r="AS546" i="5" s="1"/>
  <c r="AY514" i="5"/>
  <c r="AI515" i="5"/>
  <c r="AZ514" i="5"/>
  <c r="AJ514" i="5"/>
  <c r="AK514" i="5"/>
  <c r="AI514" i="5"/>
  <c r="AT506" i="5"/>
  <c r="AS506" i="5"/>
  <c r="AS502" i="5"/>
  <c r="AT502" i="5"/>
  <c r="AI495" i="5"/>
  <c r="AL494" i="5"/>
  <c r="AY494" i="5"/>
  <c r="AJ494" i="5"/>
  <c r="AI494" i="5"/>
  <c r="AK494" i="5"/>
  <c r="AS475" i="5"/>
  <c r="AT475" i="5"/>
  <c r="AZ440" i="5"/>
  <c r="AJ440" i="5"/>
  <c r="AI440" i="5"/>
  <c r="AI441" i="5"/>
  <c r="AL440" i="5"/>
  <c r="AL384" i="5"/>
  <c r="AY384" i="5"/>
  <c r="AI385" i="5"/>
  <c r="AJ384" i="5"/>
  <c r="AZ384" i="5"/>
  <c r="AI384" i="5"/>
  <c r="AK384" i="5"/>
  <c r="AK360" i="5"/>
  <c r="AL360" i="5"/>
  <c r="AI360" i="5"/>
  <c r="AI361" i="5"/>
  <c r="AY360" i="5"/>
  <c r="AJ360" i="5"/>
  <c r="AJ336" i="5"/>
  <c r="AI337" i="5"/>
  <c r="AI336" i="5"/>
  <c r="AZ336" i="5"/>
  <c r="AK336" i="5"/>
  <c r="AY336" i="5"/>
  <c r="C4813" i="5"/>
  <c r="A4814" i="5"/>
  <c r="A4815" i="5" s="1"/>
  <c r="A4842" i="5"/>
  <c r="A4843" i="5" s="1"/>
  <c r="C4843" i="5" s="1"/>
  <c r="C4841" i="5"/>
  <c r="F102" i="5"/>
  <c r="R114" i="5"/>
  <c r="F117" i="5" s="1"/>
  <c r="AT1700" i="5"/>
  <c r="AS1700" i="5"/>
  <c r="M921" i="5"/>
  <c r="F921" i="5" s="1"/>
  <c r="M977" i="5"/>
  <c r="F977" i="5" s="1"/>
  <c r="M900" i="5"/>
  <c r="F900" i="5" s="1"/>
  <c r="M1258" i="5"/>
  <c r="F1258" i="5" s="1"/>
  <c r="M1208" i="5"/>
  <c r="F1208" i="5" s="1"/>
  <c r="M1234" i="5"/>
  <c r="F1234" i="5" s="1"/>
  <c r="M1054" i="5"/>
  <c r="F1054" i="5" s="1"/>
  <c r="M1246" i="5"/>
  <c r="F1246" i="5" s="1"/>
  <c r="M893" i="5"/>
  <c r="F893" i="5" s="1"/>
  <c r="AM894" i="5" s="1"/>
  <c r="M1110" i="5"/>
  <c r="F1110" i="5" s="1"/>
  <c r="AZ886" i="5"/>
  <c r="M1138" i="5"/>
  <c r="F1138" i="5" s="1"/>
  <c r="M998" i="5"/>
  <c r="F998" i="5" s="1"/>
  <c r="M1019" i="5"/>
  <c r="F1019" i="5" s="1"/>
  <c r="M1264" i="5"/>
  <c r="F1264" i="5" s="1"/>
  <c r="M1061" i="5"/>
  <c r="F1061" i="5" s="1"/>
  <c r="M1240" i="5"/>
  <c r="F1240" i="5" s="1"/>
  <c r="AM1241" i="5" s="1"/>
  <c r="M1159" i="5"/>
  <c r="F1159" i="5" s="1"/>
  <c r="M1194" i="5"/>
  <c r="F1194" i="5" s="1"/>
  <c r="M956" i="5"/>
  <c r="F956" i="5" s="1"/>
  <c r="M991" i="5"/>
  <c r="F991" i="5" s="1"/>
  <c r="M1103" i="5"/>
  <c r="F1103" i="5" s="1"/>
  <c r="M1033" i="5"/>
  <c r="F1033" i="5" s="1"/>
  <c r="M1047" i="5"/>
  <c r="F1047" i="5" s="1"/>
  <c r="M970" i="5"/>
  <c r="F970" i="5" s="1"/>
  <c r="AM971" i="5" s="1"/>
  <c r="M1040" i="5"/>
  <c r="F1040" i="5" s="1"/>
  <c r="M942" i="5"/>
  <c r="F942" i="5" s="1"/>
  <c r="M1026" i="5"/>
  <c r="F1026" i="5" s="1"/>
  <c r="M1075" i="5"/>
  <c r="F1075" i="5" s="1"/>
  <c r="M1096" i="5"/>
  <c r="F1096" i="5" s="1"/>
  <c r="M1173" i="5"/>
  <c r="F1173" i="5" s="1"/>
  <c r="M1068" i="5"/>
  <c r="F1068" i="5" s="1"/>
  <c r="M1166" i="5"/>
  <c r="F1166" i="5" s="1"/>
  <c r="AM1167" i="5" s="1"/>
  <c r="M1187" i="5"/>
  <c r="F1187" i="5" s="1"/>
  <c r="M928" i="5"/>
  <c r="F928" i="5" s="1"/>
  <c r="M1222" i="5"/>
  <c r="F1222" i="5" s="1"/>
  <c r="M1082" i="5"/>
  <c r="F1082" i="5" s="1"/>
  <c r="M1145" i="5"/>
  <c r="F1145" i="5" s="1"/>
  <c r="M1252" i="5"/>
  <c r="F1252" i="5" s="1"/>
  <c r="M1089" i="5"/>
  <c r="F1089" i="5" s="1"/>
  <c r="M1124" i="5"/>
  <c r="F1124" i="5" s="1"/>
  <c r="AM1125" i="5" s="1"/>
  <c r="M1117" i="5"/>
  <c r="F1117" i="5" s="1"/>
  <c r="AS862" i="5"/>
  <c r="AT862" i="5"/>
  <c r="AK718" i="5"/>
  <c r="AY718" i="5"/>
  <c r="AZ662" i="5"/>
  <c r="AJ662" i="5"/>
  <c r="AY662" i="5"/>
  <c r="AI663" i="5"/>
  <c r="AL662" i="5"/>
  <c r="AL631" i="5"/>
  <c r="AI631" i="5"/>
  <c r="AU631" i="5"/>
  <c r="AV631" i="5" s="1"/>
  <c r="AK631" i="5"/>
  <c r="AW631" i="5"/>
  <c r="AX631" i="5" s="1"/>
  <c r="AZ631" i="5"/>
  <c r="AZ626" i="5"/>
  <c r="AI627" i="5"/>
  <c r="AY626" i="5"/>
  <c r="AK626" i="5"/>
  <c r="AI626" i="5"/>
  <c r="AL626" i="5"/>
  <c r="AS578" i="5"/>
  <c r="AT578" i="5"/>
  <c r="AZ530" i="5"/>
  <c r="AI531" i="5"/>
  <c r="AL530" i="5"/>
  <c r="AI530" i="5"/>
  <c r="AY530" i="5"/>
  <c r="AI520" i="5"/>
  <c r="AK519" i="5"/>
  <c r="AJ519" i="5"/>
  <c r="AZ519" i="5"/>
  <c r="AR519" i="5"/>
  <c r="AY519" i="5"/>
  <c r="AL519" i="5"/>
  <c r="AW519" i="5"/>
  <c r="AX519" i="5" s="1"/>
  <c r="AL490" i="5"/>
  <c r="AY490" i="5"/>
  <c r="AK490" i="5"/>
  <c r="AZ490" i="5"/>
  <c r="AR490" i="5"/>
  <c r="AJ490" i="5"/>
  <c r="AU490" i="5"/>
  <c r="AV490" i="5" s="1"/>
  <c r="AS486" i="5"/>
  <c r="AT486" i="5"/>
  <c r="AW453" i="5"/>
  <c r="AX453" i="5" s="1"/>
  <c r="AI454" i="5"/>
  <c r="AK453" i="5"/>
  <c r="AI457" i="5"/>
  <c r="AJ453" i="5"/>
  <c r="AL453" i="5"/>
  <c r="AZ453" i="5"/>
  <c r="AY453" i="5"/>
  <c r="AU453" i="5"/>
  <c r="AV453" i="5" s="1"/>
  <c r="AY436" i="5"/>
  <c r="AJ436" i="5"/>
  <c r="AK436" i="5"/>
  <c r="AI436" i="5"/>
  <c r="AZ436" i="5"/>
  <c r="AL436" i="5"/>
  <c r="AI437" i="5"/>
  <c r="AY432" i="5"/>
  <c r="AI432" i="5"/>
  <c r="AW432" i="5"/>
  <c r="AX432" i="5" s="1"/>
  <c r="AI433" i="5"/>
  <c r="AU432" i="5"/>
  <c r="AV432" i="5" s="1"/>
  <c r="AJ432" i="5"/>
  <c r="AL432" i="5"/>
  <c r="AK432" i="5"/>
  <c r="AR432" i="5"/>
  <c r="AT432" i="5" s="1"/>
  <c r="AZ432" i="5"/>
  <c r="AZ412" i="5"/>
  <c r="AI413" i="5"/>
  <c r="AQ412" i="5"/>
  <c r="AY412" i="5"/>
  <c r="AI412" i="5"/>
  <c r="AJ412" i="5"/>
  <c r="AL412" i="5"/>
  <c r="AK412" i="5"/>
  <c r="AL388" i="5"/>
  <c r="AI389" i="5"/>
  <c r="AZ388" i="5"/>
  <c r="AK388" i="5"/>
  <c r="AI388" i="5"/>
  <c r="AY388" i="5"/>
  <c r="AT352" i="5"/>
  <c r="AS352" i="5"/>
  <c r="AT348" i="5"/>
  <c r="AS348" i="5"/>
  <c r="AS328" i="5"/>
  <c r="AT328" i="5"/>
  <c r="AY316" i="5"/>
  <c r="AL316" i="5"/>
  <c r="AJ316" i="5"/>
  <c r="AI316" i="5"/>
  <c r="AK316" i="5"/>
  <c r="AI317" i="5"/>
  <c r="AI313" i="5"/>
  <c r="AL312" i="5"/>
  <c r="AJ312" i="5"/>
  <c r="AI312" i="5"/>
  <c r="AZ312" i="5"/>
  <c r="AK312" i="5"/>
  <c r="AT304" i="5"/>
  <c r="AS304" i="5"/>
  <c r="AY292" i="5"/>
  <c r="AI293" i="5"/>
  <c r="AL292" i="5"/>
  <c r="AJ292" i="5"/>
  <c r="AZ292" i="5"/>
  <c r="AI281" i="5"/>
  <c r="AK281" i="5"/>
  <c r="AI282" i="5"/>
  <c r="AM281" i="5"/>
  <c r="AJ281" i="5"/>
  <c r="AQ281" i="5"/>
  <c r="AY281" i="5"/>
  <c r="AL281" i="5"/>
  <c r="A4781" i="5"/>
  <c r="F4781" i="5" s="1"/>
  <c r="C4780" i="5"/>
  <c r="M3361" i="5"/>
  <c r="F3361" i="5" s="1"/>
  <c r="L3361" i="5" s="1"/>
  <c r="N3440" i="5"/>
  <c r="M3440" i="5" s="1"/>
  <c r="F3440" i="5" s="1"/>
  <c r="L3440" i="5" s="1"/>
  <c r="M3640" i="5"/>
  <c r="F3640" i="5" s="1"/>
  <c r="L3640" i="5" s="1"/>
  <c r="N3650" i="5"/>
  <c r="M3650" i="5" s="1"/>
  <c r="F3650" i="5" s="1"/>
  <c r="L3650" i="5" s="1"/>
  <c r="T3871" i="5"/>
  <c r="P3871" i="5" s="1"/>
  <c r="P3862" i="5"/>
  <c r="M4279" i="5"/>
  <c r="F4279" i="5" s="1"/>
  <c r="L4279" i="5" s="1"/>
  <c r="N4283" i="5"/>
  <c r="M4283" i="5" s="1"/>
  <c r="F4283" i="5" s="1"/>
  <c r="L4283" i="5" s="1"/>
  <c r="M1228" i="5"/>
  <c r="F1228" i="5" s="1"/>
  <c r="Q121" i="5"/>
  <c r="F123" i="5" s="1"/>
  <c r="AU602" i="5"/>
  <c r="AV602" i="5" s="1"/>
  <c r="AS670" i="5"/>
  <c r="AT324" i="5"/>
  <c r="M1012" i="5"/>
  <c r="F1012" i="5" s="1"/>
  <c r="AS634" i="5"/>
  <c r="AT650" i="5"/>
  <c r="AK292" i="5"/>
  <c r="AJ1662" i="5"/>
  <c r="AW1662" i="5"/>
  <c r="AX1662" i="5" s="1"/>
  <c r="AI1451" i="5"/>
  <c r="AZ1451" i="5"/>
  <c r="AT1711" i="5"/>
  <c r="AS1711" i="5"/>
  <c r="M963" i="5"/>
  <c r="F963" i="5" s="1"/>
  <c r="AL336" i="5"/>
  <c r="AT522" i="5"/>
  <c r="AS396" i="5"/>
  <c r="AI292" i="5"/>
  <c r="AS1197" i="5"/>
  <c r="AT1197" i="5"/>
  <c r="AY1077" i="5"/>
  <c r="AZ1077" i="5"/>
  <c r="AY810" i="5"/>
  <c r="AL810" i="5"/>
  <c r="AJ642" i="5"/>
  <c r="AI643" i="5"/>
  <c r="AY642" i="5"/>
  <c r="AL642" i="5"/>
  <c r="AZ642" i="5"/>
  <c r="AK642" i="5"/>
  <c r="AK622" i="5"/>
  <c r="AY622" i="5"/>
  <c r="AL622" i="5"/>
  <c r="AJ622" i="5"/>
  <c r="AI623" i="5"/>
  <c r="AS618" i="5"/>
  <c r="AT618" i="5"/>
  <c r="AS614" i="5"/>
  <c r="AT614" i="5"/>
  <c r="AY602" i="5"/>
  <c r="AL602" i="5"/>
  <c r="AK602" i="5"/>
  <c r="AI602" i="5"/>
  <c r="AR602" i="5"/>
  <c r="AT602" i="5" s="1"/>
  <c r="AI603" i="5"/>
  <c r="AZ602" i="5"/>
  <c r="AS594" i="5"/>
  <c r="AT594" i="5"/>
  <c r="AI587" i="5"/>
  <c r="AL586" i="5"/>
  <c r="AY586" i="5"/>
  <c r="AZ586" i="5"/>
  <c r="AJ586" i="5"/>
  <c r="AZ575" i="5"/>
  <c r="AW575" i="5"/>
  <c r="AX575" i="5" s="1"/>
  <c r="AY575" i="5"/>
  <c r="AJ575" i="5"/>
  <c r="AU575" i="5"/>
  <c r="AV575" i="5" s="1"/>
  <c r="AK575" i="5"/>
  <c r="AL575" i="5"/>
  <c r="AI576" i="5"/>
  <c r="AY566" i="5"/>
  <c r="AJ566" i="5"/>
  <c r="AZ566" i="5"/>
  <c r="AL566" i="5"/>
  <c r="AI567" i="5"/>
  <c r="AY550" i="5"/>
  <c r="AZ550" i="5"/>
  <c r="AI551" i="5"/>
  <c r="AJ550" i="5"/>
  <c r="AL550" i="5"/>
  <c r="AK550" i="5"/>
  <c r="AS538" i="5"/>
  <c r="AT538" i="5"/>
  <c r="AK510" i="5"/>
  <c r="AJ510" i="5"/>
  <c r="AI511" i="5"/>
  <c r="AZ510" i="5"/>
  <c r="AY510" i="5"/>
  <c r="AL510" i="5"/>
  <c r="AT482" i="5"/>
  <c r="AS482" i="5"/>
  <c r="AT420" i="5"/>
  <c r="AS420" i="5"/>
  <c r="AJ408" i="5"/>
  <c r="AY408" i="5"/>
  <c r="AK408" i="5"/>
  <c r="AL408" i="5"/>
  <c r="AZ408" i="5"/>
  <c r="AI408" i="5"/>
  <c r="AI409" i="5"/>
  <c r="AT376" i="5"/>
  <c r="AS376" i="5"/>
  <c r="AS372" i="5"/>
  <c r="AT372" i="5"/>
  <c r="AY364" i="5"/>
  <c r="AJ364" i="5"/>
  <c r="AI364" i="5"/>
  <c r="AI365" i="5"/>
  <c r="AL364" i="5"/>
  <c r="AZ364" i="5"/>
  <c r="AJ340" i="5"/>
  <c r="AI341" i="5"/>
  <c r="AZ340" i="5"/>
  <c r="AL340" i="5"/>
  <c r="AY340" i="5"/>
  <c r="AI340" i="5"/>
  <c r="AK340" i="5"/>
  <c r="AT300" i="5"/>
  <c r="AS300" i="5"/>
  <c r="AK288" i="5"/>
  <c r="AI288" i="5"/>
  <c r="AL288" i="5"/>
  <c r="AI289" i="5"/>
  <c r="AZ288" i="5"/>
  <c r="AJ288" i="5"/>
  <c r="G863" i="5"/>
  <c r="H863" i="5" s="1"/>
  <c r="AM866" i="5"/>
  <c r="AI1226" i="5"/>
  <c r="M1131" i="5"/>
  <c r="F1131" i="5" s="1"/>
  <c r="M1152" i="5"/>
  <c r="F1152" i="5" s="1"/>
  <c r="AS766" i="5"/>
  <c r="AK566" i="5"/>
  <c r="AL514" i="5"/>
  <c r="AW1214" i="5"/>
  <c r="AX1214" i="5" s="1"/>
  <c r="AU1214" i="5"/>
  <c r="AV1214" i="5" s="1"/>
  <c r="AW1102" i="5"/>
  <c r="AX1102" i="5" s="1"/>
  <c r="AJ1102" i="5"/>
  <c r="AT957" i="5"/>
  <c r="AS957" i="5"/>
  <c r="AY929" i="5"/>
  <c r="AZ929" i="5"/>
  <c r="AJ858" i="5"/>
  <c r="AL858" i="5"/>
  <c r="AY834" i="5"/>
  <c r="AK834" i="5"/>
  <c r="AY687" i="5"/>
  <c r="AU687" i="5"/>
  <c r="AV687" i="5" s="1"/>
  <c r="AI687" i="5"/>
  <c r="AR687" i="5"/>
  <c r="AT687" i="5" s="1"/>
  <c r="AZ687" i="5"/>
  <c r="AI688" i="5"/>
  <c r="AL687" i="5"/>
  <c r="AW687" i="5"/>
  <c r="AX687" i="5" s="1"/>
  <c r="AJ1344" i="5"/>
  <c r="M914" i="5"/>
  <c r="F914" i="5" s="1"/>
  <c r="M1180" i="5"/>
  <c r="F1180" i="5" s="1"/>
  <c r="AT558" i="5"/>
  <c r="AR575" i="5"/>
  <c r="AS575" i="5" s="1"/>
  <c r="AS542" i="5"/>
  <c r="AT424" i="5"/>
  <c r="AU519" i="5"/>
  <c r="AV519" i="5" s="1"/>
  <c r="AZ360" i="5"/>
  <c r="AZ1315" i="5"/>
  <c r="AI1316" i="5"/>
  <c r="AJ1153" i="5"/>
  <c r="AY1153" i="5"/>
  <c r="AK794" i="5"/>
  <c r="AL794" i="5"/>
  <c r="AI795" i="5"/>
  <c r="AY754" i="5"/>
  <c r="AI755" i="5"/>
  <c r="AJ658" i="5"/>
  <c r="AL658" i="5"/>
  <c r="AW658" i="5"/>
  <c r="AX658" i="5" s="1"/>
  <c r="AZ658" i="5"/>
  <c r="AU658" i="5"/>
  <c r="AV658" i="5" s="1"/>
  <c r="AI1170" i="5"/>
  <c r="M1005" i="5"/>
  <c r="F1005" i="5" s="1"/>
  <c r="M949" i="5"/>
  <c r="F949" i="5" s="1"/>
  <c r="AT598" i="5"/>
  <c r="AZ281" i="5"/>
  <c r="AZ316" i="5"/>
  <c r="AS400" i="5"/>
  <c r="AL1391" i="5"/>
  <c r="AZ1391" i="5"/>
  <c r="AS1260" i="5"/>
  <c r="AT1260" i="5"/>
  <c r="AJ1021" i="5"/>
  <c r="AK1021" i="5"/>
  <c r="AZ770" i="5"/>
  <c r="AK770" i="5"/>
  <c r="AZ714" i="5"/>
  <c r="AL714" i="5"/>
  <c r="AY678" i="5"/>
  <c r="AJ678" i="5"/>
  <c r="AI679" i="5"/>
  <c r="AZ678" i="5"/>
  <c r="AL678" i="5"/>
  <c r="AS674" i="5"/>
  <c r="AT674" i="5"/>
  <c r="M935" i="5"/>
  <c r="F935" i="5" s="1"/>
  <c r="M907" i="5"/>
  <c r="F907" i="5" s="1"/>
  <c r="P3958" i="5"/>
  <c r="AY312" i="5"/>
  <c r="AR453" i="5"/>
  <c r="AS453" i="5" s="1"/>
  <c r="AY288" i="5"/>
  <c r="AK364" i="5"/>
  <c r="AY440" i="5"/>
  <c r="AW490" i="5"/>
  <c r="AX490" i="5" s="1"/>
  <c r="AQ1702" i="5"/>
  <c r="M1215" i="5"/>
  <c r="F1215" i="5" s="1"/>
  <c r="AQ1697" i="5"/>
  <c r="F4882" i="5"/>
  <c r="AI876" i="5"/>
  <c r="S3527" i="5"/>
  <c r="G3533" i="5" s="1"/>
  <c r="H3533" i="5" s="1"/>
  <c r="C5237" i="5"/>
  <c r="AT1719" i="5"/>
  <c r="O3992" i="5"/>
  <c r="F3991" i="5" s="1"/>
  <c r="F4899" i="5"/>
  <c r="AK876" i="5"/>
  <c r="AS2134" i="5"/>
  <c r="AI953" i="5"/>
  <c r="AQ464" i="5"/>
  <c r="M4278" i="5"/>
  <c r="F4278" i="5" s="1"/>
  <c r="L4278" i="5" s="1"/>
  <c r="AM872" i="5"/>
  <c r="AY1948" i="5"/>
  <c r="AU876" i="5"/>
  <c r="AV876" i="5" s="1"/>
  <c r="I5237" i="5"/>
  <c r="A5127" i="5"/>
  <c r="C5127" i="5" s="1"/>
  <c r="C5101" i="5"/>
  <c r="G3895" i="5"/>
  <c r="H3895" i="5" s="1"/>
  <c r="C4971" i="5"/>
  <c r="AZ2092" i="5"/>
  <c r="AM1272" i="5"/>
  <c r="AQ876" i="5"/>
  <c r="AJ876" i="5"/>
  <c r="AS1278" i="5"/>
  <c r="AS872" i="5"/>
  <c r="A5090" i="5"/>
  <c r="C5090" i="5" s="1"/>
  <c r="O3994" i="5"/>
  <c r="G3994" i="5" s="1"/>
  <c r="H3994" i="5" s="1"/>
  <c r="T191" i="5"/>
  <c r="F195" i="5" s="1"/>
  <c r="AL876" i="5"/>
  <c r="AZ876" i="5"/>
  <c r="A5150" i="5"/>
  <c r="C5150" i="5" s="1"/>
  <c r="C5018" i="5"/>
  <c r="AQ1712" i="5"/>
  <c r="O3896" i="5"/>
  <c r="F3895" i="5" s="1"/>
  <c r="P3986" i="5"/>
  <c r="F3986" i="5" s="1"/>
  <c r="AT459" i="5"/>
  <c r="AP1717" i="5"/>
  <c r="AK1355" i="5"/>
  <c r="AY1319" i="5"/>
  <c r="AK1102" i="5"/>
  <c r="AJ2259" i="5"/>
  <c r="AL1651" i="5"/>
  <c r="AI1428" i="5"/>
  <c r="AR1214" i="5"/>
  <c r="AS1214" i="5" s="1"/>
  <c r="AT1311" i="5"/>
  <c r="AQ290" i="5"/>
  <c r="D3442" i="5"/>
  <c r="D3470" i="5"/>
  <c r="D3485" i="5"/>
  <c r="AU3493" i="5"/>
  <c r="D3500" i="5"/>
  <c r="AX3504" i="5"/>
  <c r="AJ1844" i="5"/>
  <c r="AL1476" i="5"/>
  <c r="AJ1659" i="5"/>
  <c r="AI1976" i="5"/>
  <c r="AI712" i="5"/>
  <c r="AI692" i="5"/>
  <c r="AJ1976" i="5"/>
  <c r="AY1261" i="5"/>
  <c r="AJ1599" i="5"/>
  <c r="AY1844" i="5"/>
  <c r="AJ2220" i="5"/>
  <c r="AZ1306" i="5"/>
  <c r="AT1548" i="5"/>
  <c r="AY1306" i="5"/>
  <c r="AR1505" i="5"/>
  <c r="AT1505" i="5" s="1"/>
  <c r="AT1508" i="5"/>
  <c r="AL1985" i="5"/>
  <c r="AZ1312" i="5"/>
  <c r="AT1566" i="5"/>
  <c r="AL1420" i="5"/>
  <c r="AK1505" i="5"/>
  <c r="AK1848" i="5"/>
  <c r="AY1595" i="5"/>
  <c r="AM1279" i="5"/>
  <c r="AQ393" i="5"/>
  <c r="AQ369" i="5"/>
  <c r="AQ321" i="5"/>
  <c r="AN3636" i="5"/>
  <c r="A3636" i="5" s="1"/>
  <c r="AN3962" i="5"/>
  <c r="AN3964" i="5"/>
  <c r="AO3964" i="5" s="1"/>
  <c r="AP3964" i="5" s="1"/>
  <c r="AR3964" i="5" s="1"/>
  <c r="AN3647" i="5"/>
  <c r="AQ870" i="5"/>
  <c r="X17" i="10"/>
  <c r="M1747" i="5"/>
  <c r="F1747" i="5" s="1"/>
  <c r="M2013" i="5"/>
  <c r="F2013" i="5" s="1"/>
  <c r="AY2078" i="5"/>
  <c r="AM885" i="5"/>
  <c r="AZ2078" i="5"/>
  <c r="AJ2517" i="5"/>
  <c r="AW2517" i="5"/>
  <c r="AX2517" i="5" s="1"/>
  <c r="AA15" i="10"/>
  <c r="AT1734" i="5"/>
  <c r="AZ1665" i="5"/>
  <c r="AI843" i="5"/>
  <c r="M2118" i="5"/>
  <c r="F2118" i="5" s="1"/>
  <c r="AR2528" i="5"/>
  <c r="AT2528" i="5" s="1"/>
  <c r="M2069" i="5"/>
  <c r="F2069" i="5" s="1"/>
  <c r="AY2532" i="5"/>
  <c r="D20" i="11"/>
  <c r="D24" i="11" s="1"/>
  <c r="F3617" i="5"/>
  <c r="AZ2108" i="5"/>
  <c r="U4305" i="5"/>
  <c r="F4307" i="5" s="1"/>
  <c r="AI2108" i="5"/>
  <c r="M2094" i="5"/>
  <c r="F2094" i="5" s="1"/>
  <c r="W15" i="10"/>
  <c r="AZ1685" i="5"/>
  <c r="AT466" i="5"/>
  <c r="AJ2108" i="5"/>
  <c r="AL2078" i="5"/>
  <c r="AK2108" i="5"/>
  <c r="AZ2541" i="5"/>
  <c r="D5269" i="5"/>
  <c r="D5272" i="5" s="1"/>
  <c r="AL689" i="5"/>
  <c r="M1852" i="5"/>
  <c r="F1852" i="5" s="1"/>
  <c r="AQ1150" i="5"/>
  <c r="AQ1005" i="5"/>
  <c r="AQ1000" i="5"/>
  <c r="AQ996" i="5"/>
  <c r="AI853" i="5"/>
  <c r="AQ809" i="5"/>
  <c r="AQ753" i="5"/>
  <c r="AI753" i="5"/>
  <c r="AQ749" i="5"/>
  <c r="AI749" i="5"/>
  <c r="AQ739" i="5"/>
  <c r="AQ734" i="5"/>
  <c r="AQ733" i="5"/>
  <c r="AQ699" i="5"/>
  <c r="AQ637" i="5"/>
  <c r="AQ621" i="5"/>
  <c r="AQ606" i="5"/>
  <c r="AQ570" i="5"/>
  <c r="AQ550" i="5"/>
  <c r="AQ509" i="5"/>
  <c r="AQ499" i="5"/>
  <c r="AQ494" i="5"/>
  <c r="AQ453" i="5"/>
  <c r="AQ444" i="5"/>
  <c r="AQ436" i="5"/>
  <c r="AQ432" i="5"/>
  <c r="AQ431" i="5"/>
  <c r="AQ422" i="5"/>
  <c r="AQ416" i="5"/>
  <c r="AQ411" i="5"/>
  <c r="AQ408" i="5"/>
  <c r="AQ407" i="5"/>
  <c r="AQ403" i="5"/>
  <c r="AQ388" i="5"/>
  <c r="AQ384" i="5"/>
  <c r="AQ374" i="5"/>
  <c r="AQ363" i="5"/>
  <c r="AQ361" i="5"/>
  <c r="AQ341" i="5"/>
  <c r="AQ335" i="5"/>
  <c r="AQ317" i="5"/>
  <c r="AQ313" i="5"/>
  <c r="AQ312" i="5"/>
  <c r="AI306" i="5"/>
  <c r="AQ302" i="5"/>
  <c r="AQ292" i="5"/>
  <c r="AQ288" i="5"/>
  <c r="AQ287" i="5"/>
  <c r="AQ282" i="5"/>
  <c r="D3387" i="5"/>
  <c r="AN3638" i="5"/>
  <c r="AQ3638" i="5" s="1"/>
  <c r="AN3966" i="5"/>
  <c r="A3966" i="5" s="1"/>
  <c r="AN3649" i="5"/>
  <c r="A3649" i="5" s="1"/>
  <c r="AN3652" i="5"/>
  <c r="AQ3652" i="5" s="1"/>
  <c r="AN3872" i="5"/>
  <c r="AS3872" i="5" s="1"/>
  <c r="AN3975" i="5"/>
  <c r="AO3975" i="5" s="1"/>
  <c r="AP3975" i="5" s="1"/>
  <c r="AR3975" i="5" s="1"/>
  <c r="G20" i="11"/>
  <c r="AU672" i="5"/>
  <c r="AV672" i="5" s="1"/>
  <c r="AZ999" i="5"/>
  <c r="AK672" i="5"/>
  <c r="AY848" i="5"/>
  <c r="AL1840" i="5"/>
  <c r="AY2080" i="5"/>
  <c r="AK477" i="5"/>
  <c r="AZ310" i="5"/>
  <c r="AI331" i="5"/>
  <c r="AY524" i="5"/>
  <c r="AI330" i="5"/>
  <c r="M1790" i="5"/>
  <c r="F1790" i="5" s="1"/>
  <c r="AZ354" i="5"/>
  <c r="M2070" i="5"/>
  <c r="F2070" i="5" s="1"/>
  <c r="M1923" i="5"/>
  <c r="F1923" i="5" s="1"/>
  <c r="M2113" i="5"/>
  <c r="F2113" i="5" s="1"/>
  <c r="AM2114" i="5" s="1"/>
  <c r="M1839" i="5"/>
  <c r="F1839" i="5" s="1"/>
  <c r="AM1840" i="5" s="1"/>
  <c r="AL426" i="5"/>
  <c r="AY306" i="5"/>
  <c r="S121" i="5"/>
  <c r="F125" i="5" s="1"/>
  <c r="AL378" i="5"/>
  <c r="AL310" i="5"/>
  <c r="AL406" i="5"/>
  <c r="AY672" i="5"/>
  <c r="AS560" i="5"/>
  <c r="AL848" i="5"/>
  <c r="AZ1051" i="5"/>
  <c r="AQ1004" i="5"/>
  <c r="AI824" i="5"/>
  <c r="AK1892" i="5"/>
  <c r="AJ2309" i="5"/>
  <c r="AZ488" i="5"/>
  <c r="Y17" i="10"/>
  <c r="Y19" i="10" s="1"/>
  <c r="A4835" i="5"/>
  <c r="C4835" i="5" s="1"/>
  <c r="AT322" i="5"/>
  <c r="AI829" i="5"/>
  <c r="AY426" i="5"/>
  <c r="AI358" i="5"/>
  <c r="M2063" i="5"/>
  <c r="F2063" i="5" s="1"/>
  <c r="M1888" i="5"/>
  <c r="F1888" i="5" s="1"/>
  <c r="M1958" i="5"/>
  <c r="F1958" i="5" s="1"/>
  <c r="M1776" i="5"/>
  <c r="F1776" i="5" s="1"/>
  <c r="M1874" i="5"/>
  <c r="F1874" i="5" s="1"/>
  <c r="AI382" i="5"/>
  <c r="AY330" i="5"/>
  <c r="AK358" i="5"/>
  <c r="AJ306" i="5"/>
  <c r="AY402" i="5"/>
  <c r="AI533" i="5"/>
  <c r="AS688" i="5"/>
  <c r="AK848" i="5"/>
  <c r="AK1051" i="5"/>
  <c r="AS796" i="5"/>
  <c r="AI1896" i="5"/>
  <c r="AY488" i="5"/>
  <c r="AT446" i="5"/>
  <c r="AK330" i="5"/>
  <c r="AI444" i="5"/>
  <c r="AK286" i="5"/>
  <c r="AZ378" i="5"/>
  <c r="M1755" i="5"/>
  <c r="F1755" i="5" s="1"/>
  <c r="M1762" i="5"/>
  <c r="F1762" i="5" s="1"/>
  <c r="M1937" i="5"/>
  <c r="F1937" i="5" s="1"/>
  <c r="AM1938" i="5" s="1"/>
  <c r="M2014" i="5"/>
  <c r="F2014" i="5" s="1"/>
  <c r="AJ426" i="5"/>
  <c r="AL330" i="5"/>
  <c r="AQ1273" i="5"/>
  <c r="AZ672" i="5"/>
  <c r="AZ330" i="5"/>
  <c r="AI335" i="5"/>
  <c r="AZ560" i="5"/>
  <c r="AT668" i="5"/>
  <c r="AW443" i="5"/>
  <c r="AX443" i="5" s="1"/>
  <c r="AI307" i="5"/>
  <c r="AI311" i="5"/>
  <c r="AY824" i="5"/>
  <c r="AJ378" i="5"/>
  <c r="M1846" i="5"/>
  <c r="F1846" i="5" s="1"/>
  <c r="M1895" i="5"/>
  <c r="F1895" i="5" s="1"/>
  <c r="AM1896" i="5" s="1"/>
  <c r="M1902" i="5"/>
  <c r="F1902" i="5" s="1"/>
  <c r="M1979" i="5"/>
  <c r="F1979" i="5" s="1"/>
  <c r="AM1980" i="5" s="1"/>
  <c r="AW848" i="5"/>
  <c r="AX848" i="5" s="1"/>
  <c r="AS1119" i="5"/>
  <c r="AJ504" i="5"/>
  <c r="AL999" i="5"/>
  <c r="AI1092" i="5"/>
  <c r="AR848" i="5"/>
  <c r="AT848" i="5" s="1"/>
  <c r="AJ1912" i="5"/>
  <c r="AT1924" i="5"/>
  <c r="AI508" i="5"/>
  <c r="AI636" i="5"/>
  <c r="AI620" i="5"/>
  <c r="AK504" i="5"/>
  <c r="M2124" i="5"/>
  <c r="F2124" i="5" s="1"/>
  <c r="AM2165" i="5" s="1"/>
  <c r="M1881" i="5"/>
  <c r="F1881" i="5" s="1"/>
  <c r="M2119" i="5"/>
  <c r="F2119" i="5" s="1"/>
  <c r="M1993" i="5"/>
  <c r="F1993" i="5" s="1"/>
  <c r="AM1994" i="5" s="1"/>
  <c r="AY310" i="5"/>
  <c r="AZ430" i="5"/>
  <c r="AY443" i="5"/>
  <c r="AR1928" i="5"/>
  <c r="AT1928" i="5" s="1"/>
  <c r="AI426" i="5"/>
  <c r="AI560" i="5"/>
  <c r="C57" i="3"/>
  <c r="AI310" i="5"/>
  <c r="AU1845" i="5"/>
  <c r="AV1845" i="5" s="1"/>
  <c r="AI407" i="5"/>
  <c r="M1811" i="5"/>
  <c r="F1811" i="5" s="1"/>
  <c r="AK334" i="5"/>
  <c r="AJ310" i="5"/>
  <c r="M2049" i="5"/>
  <c r="F2049" i="5" s="1"/>
  <c r="M1804" i="5"/>
  <c r="F1804" i="5" s="1"/>
  <c r="M2101" i="5"/>
  <c r="F2101" i="5" s="1"/>
  <c r="AM2102" i="5" s="1"/>
  <c r="M1860" i="5"/>
  <c r="F1860" i="5" s="1"/>
  <c r="AM286" i="5"/>
  <c r="AQ2125" i="5"/>
  <c r="G3717" i="5"/>
  <c r="H3717" i="5" s="1"/>
  <c r="G270" i="5"/>
  <c r="H270" i="5" s="1"/>
  <c r="AI1880" i="5"/>
  <c r="AI1768" i="5"/>
  <c r="AI1249" i="5"/>
  <c r="AI858" i="5"/>
  <c r="AI799" i="5"/>
  <c r="AI790" i="5"/>
  <c r="AI743" i="5"/>
  <c r="AI1105" i="5"/>
  <c r="AI1029" i="5"/>
  <c r="AI916" i="5"/>
  <c r="AI750" i="5"/>
  <c r="AI746" i="5"/>
  <c r="AQ728" i="5"/>
  <c r="AI578" i="5"/>
  <c r="AQ433" i="5"/>
  <c r="D3372" i="5"/>
  <c r="D3381" i="5"/>
  <c r="AU3395" i="5"/>
  <c r="AU3398" i="5"/>
  <c r="A3398" i="5" s="1"/>
  <c r="D3402" i="5"/>
  <c r="AX3407" i="5"/>
  <c r="D3409" i="5"/>
  <c r="AU3455" i="5"/>
  <c r="A3455" i="5" s="1"/>
  <c r="D3462" i="5"/>
  <c r="AU3466" i="5"/>
  <c r="A3466" i="5" s="1"/>
  <c r="AX3468" i="5"/>
  <c r="D3469" i="5"/>
  <c r="AU3470" i="5"/>
  <c r="A3470" i="5" s="1"/>
  <c r="AX3474" i="5"/>
  <c r="AU3475" i="5"/>
  <c r="AU3476" i="5"/>
  <c r="AU3477" i="5"/>
  <c r="D3478" i="5"/>
  <c r="AX3479" i="5"/>
  <c r="AU3480" i="5"/>
  <c r="A3480" i="5" s="1"/>
  <c r="AX3481" i="5"/>
  <c r="D3482" i="5"/>
  <c r="D3483" i="5"/>
  <c r="AX3484" i="5"/>
  <c r="D3487" i="5"/>
  <c r="AX3488" i="5"/>
  <c r="AX3490" i="5"/>
  <c r="D3491" i="5"/>
  <c r="D3493" i="5"/>
  <c r="AX3494" i="5"/>
  <c r="AU3495" i="5"/>
  <c r="AU3496" i="5"/>
  <c r="A3496" i="5" s="1"/>
  <c r="AU3497" i="5"/>
  <c r="A3497" i="5" s="1"/>
  <c r="D3498" i="5"/>
  <c r="AU3501" i="5"/>
  <c r="AX3502" i="5"/>
  <c r="AX3503" i="5"/>
  <c r="D3505" i="5"/>
  <c r="D3506" i="5"/>
  <c r="AX3507" i="5"/>
  <c r="D3510" i="5"/>
  <c r="D3511" i="5"/>
  <c r="AM2131" i="5"/>
  <c r="AQ2135" i="5"/>
  <c r="F4999" i="5"/>
  <c r="AM2140" i="5"/>
  <c r="AJ573" i="5"/>
  <c r="D3503" i="5"/>
  <c r="AX3495" i="5"/>
  <c r="AU3488" i="5"/>
  <c r="D3474" i="5"/>
  <c r="D3466" i="5"/>
  <c r="AT339" i="5"/>
  <c r="AS549" i="5"/>
  <c r="AL1165" i="5"/>
  <c r="C5111" i="5"/>
  <c r="AU3482" i="5"/>
  <c r="AX3491" i="5"/>
  <c r="AL1109" i="5"/>
  <c r="G4999" i="5"/>
  <c r="H4999" i="5" s="1"/>
  <c r="AX3483" i="5"/>
  <c r="AU1245" i="5"/>
  <c r="AV1245" i="5" s="1"/>
  <c r="D5002" i="5"/>
  <c r="AU3481" i="5"/>
  <c r="A3481" i="5" s="1"/>
  <c r="AX3510" i="5"/>
  <c r="AX3501" i="5"/>
  <c r="D3488" i="5"/>
  <c r="AU3479" i="5"/>
  <c r="A3479" i="5" s="1"/>
  <c r="AT717" i="5"/>
  <c r="G269" i="5"/>
  <c r="H269" i="5" s="1"/>
  <c r="Q4306" i="5"/>
  <c r="U4306" i="5" s="1"/>
  <c r="F4309" i="5" s="1"/>
  <c r="AX3475" i="5"/>
  <c r="AX3470" i="5"/>
  <c r="AU609" i="5"/>
  <c r="AV609" i="5" s="1"/>
  <c r="AS363" i="5"/>
  <c r="AR1463" i="5"/>
  <c r="AS1463" i="5" s="1"/>
  <c r="V3616" i="5"/>
  <c r="F3616" i="5" s="1"/>
  <c r="AZ1310" i="5"/>
  <c r="AI1028" i="5"/>
  <c r="AL2511" i="5"/>
  <c r="G2131" i="5"/>
  <c r="H2131" i="5" s="1"/>
  <c r="D3484" i="5"/>
  <c r="AU3469" i="5"/>
  <c r="A3469" i="5" s="1"/>
  <c r="AI285" i="5"/>
  <c r="AQ2167" i="5"/>
  <c r="A6277" i="5"/>
  <c r="G4065" i="5"/>
  <c r="H4065" i="5" s="1"/>
  <c r="AT472" i="5"/>
  <c r="AM1734" i="5"/>
  <c r="AS473" i="5"/>
  <c r="A5004" i="5"/>
  <c r="G5004" i="5" s="1"/>
  <c r="H5004" i="5" s="1"/>
  <c r="T3676" i="5"/>
  <c r="F3677" i="5" s="1"/>
  <c r="AX3476" i="5"/>
  <c r="D3496" i="5"/>
  <c r="AU3484" i="5"/>
  <c r="A3484" i="5" s="1"/>
  <c r="AI419" i="5"/>
  <c r="AJ952" i="5"/>
  <c r="AS1305" i="5"/>
  <c r="F5209" i="5"/>
  <c r="AK573" i="5"/>
  <c r="AI1844" i="5"/>
  <c r="G3677" i="5"/>
  <c r="H3677" i="5" s="1"/>
  <c r="AX3496" i="5"/>
  <c r="AJ1683" i="5"/>
  <c r="AM2167" i="5"/>
  <c r="G4004" i="5"/>
  <c r="H4004" i="5" s="1"/>
  <c r="G3616" i="5"/>
  <c r="H3616" i="5" s="1"/>
  <c r="AT1856" i="5"/>
  <c r="AU3503" i="5"/>
  <c r="AI319" i="5"/>
  <c r="AL1659" i="5"/>
  <c r="AJ1751" i="5"/>
  <c r="AT1248" i="5"/>
  <c r="AM1284" i="5"/>
  <c r="AI971" i="5"/>
  <c r="AQ914" i="5"/>
  <c r="AQ820" i="5"/>
  <c r="AI739" i="5"/>
  <c r="AQ735" i="5"/>
  <c r="AI735" i="5"/>
  <c r="AQ700" i="5"/>
  <c r="AM2125" i="5"/>
  <c r="AI840" i="5"/>
  <c r="AS1071" i="5"/>
  <c r="AS828" i="5"/>
  <c r="AZ776" i="5"/>
  <c r="AL760" i="5"/>
  <c r="AI884" i="5"/>
  <c r="AI1169" i="5"/>
  <c r="AK1451" i="5"/>
  <c r="AU1651" i="5"/>
  <c r="AV1651" i="5" s="1"/>
  <c r="AI1576" i="5"/>
  <c r="AR2259" i="5"/>
  <c r="AT2259" i="5" s="1"/>
  <c r="AJ882" i="5"/>
  <c r="AK1344" i="5"/>
  <c r="AZ1149" i="5"/>
  <c r="AZ1427" i="5"/>
  <c r="AY1057" i="5"/>
  <c r="AY1391" i="5"/>
  <c r="AI1209" i="5"/>
  <c r="AU1102" i="5"/>
  <c r="AV1102" i="5" s="1"/>
  <c r="AZ1189" i="5"/>
  <c r="AR1662" i="5"/>
  <c r="AT1662" i="5" s="1"/>
  <c r="AZ1209" i="5"/>
  <c r="AL1355" i="5"/>
  <c r="AK1315" i="5"/>
  <c r="AI1214" i="5"/>
  <c r="AY1021" i="5"/>
  <c r="AI775" i="5"/>
  <c r="AZ810" i="5"/>
  <c r="AU770" i="5"/>
  <c r="AV770" i="5" s="1"/>
  <c r="AL799" i="5"/>
  <c r="AW819" i="5"/>
  <c r="AX819" i="5" s="1"/>
  <c r="AI929" i="5"/>
  <c r="AT1009" i="5"/>
  <c r="AT977" i="5"/>
  <c r="AW905" i="5"/>
  <c r="AX905" i="5" s="1"/>
  <c r="AJ909" i="5"/>
  <c r="AY981" i="5"/>
  <c r="AJ961" i="5"/>
  <c r="AT762" i="5"/>
  <c r="AT726" i="5"/>
  <c r="AZ698" i="5"/>
  <c r="AJ718" i="5"/>
  <c r="AL743" i="5"/>
  <c r="AR1102" i="5"/>
  <c r="AS1102" i="5" s="1"/>
  <c r="AJ889" i="5"/>
  <c r="AI1643" i="5"/>
  <c r="AI1587" i="5"/>
  <c r="AI1396" i="5"/>
  <c r="AI1093" i="5"/>
  <c r="AK1559" i="5"/>
  <c r="AT1241" i="5"/>
  <c r="AI754" i="5"/>
  <c r="AW1456" i="5"/>
  <c r="AX1456" i="5" s="1"/>
  <c r="AJ1158" i="5"/>
  <c r="AI1253" i="5"/>
  <c r="AK1214" i="5"/>
  <c r="AK1209" i="5"/>
  <c r="AT1807" i="5"/>
  <c r="AL1158" i="5"/>
  <c r="AY1339" i="5"/>
  <c r="AJ1315" i="5"/>
  <c r="AJ1037" i="5"/>
  <c r="AZ794" i="5"/>
  <c r="AL770" i="5"/>
  <c r="AI800" i="5"/>
  <c r="AI990" i="5"/>
  <c r="AJ1467" i="5"/>
  <c r="AI1097" i="5"/>
  <c r="AJ819" i="5"/>
  <c r="AT897" i="5"/>
  <c r="AI982" i="5"/>
  <c r="AZ945" i="5"/>
  <c r="AZ985" i="5"/>
  <c r="AZ909" i="5"/>
  <c r="AS921" i="5"/>
  <c r="AR934" i="5"/>
  <c r="AS934" i="5" s="1"/>
  <c r="AT1089" i="5"/>
  <c r="AL961" i="5"/>
  <c r="AZ1225" i="5"/>
  <c r="AY698" i="5"/>
  <c r="AJ734" i="5"/>
  <c r="AI744" i="5"/>
  <c r="AL1153" i="5"/>
  <c r="AL889" i="5"/>
  <c r="AQ655" i="5"/>
  <c r="AI414" i="5"/>
  <c r="AI366" i="5"/>
  <c r="AY1169" i="5"/>
  <c r="AW1427" i="5"/>
  <c r="AX1427" i="5" s="1"/>
  <c r="AL1662" i="5"/>
  <c r="AJ1169" i="5"/>
  <c r="AL1371" i="5"/>
  <c r="AI1344" i="5"/>
  <c r="AY1113" i="5"/>
  <c r="AY1315" i="5"/>
  <c r="AZ1037" i="5"/>
  <c r="AR799" i="5"/>
  <c r="AT799" i="5" s="1"/>
  <c r="AJ934" i="5"/>
  <c r="AL1097" i="5"/>
  <c r="AK945" i="5"/>
  <c r="AK1225" i="5"/>
  <c r="AL698" i="5"/>
  <c r="AI738" i="5"/>
  <c r="AI719" i="5"/>
  <c r="AI962" i="5"/>
  <c r="AI1452" i="5"/>
  <c r="AI1575" i="5"/>
  <c r="AY1651" i="5"/>
  <c r="AY843" i="5"/>
  <c r="AK882" i="5"/>
  <c r="AQ1001" i="5"/>
  <c r="AJ1395" i="5"/>
  <c r="AL1451" i="5"/>
  <c r="AK754" i="5"/>
  <c r="AU1575" i="5"/>
  <c r="AV1575" i="5" s="1"/>
  <c r="AI1852" i="5"/>
  <c r="AJ843" i="5"/>
  <c r="AY882" i="5"/>
  <c r="AY1158" i="5"/>
  <c r="AI1457" i="5"/>
  <c r="AY1344" i="5"/>
  <c r="AR1602" i="5"/>
  <c r="AT1602" i="5" s="1"/>
  <c r="AJ1427" i="5"/>
  <c r="AJ1507" i="5"/>
  <c r="AI1395" i="5"/>
  <c r="AT1145" i="5"/>
  <c r="AZ774" i="5"/>
  <c r="AK810" i="5"/>
  <c r="AL754" i="5"/>
  <c r="AS782" i="5"/>
  <c r="AI819" i="5"/>
  <c r="AZ990" i="5"/>
  <c r="AL925" i="5"/>
  <c r="AI935" i="5"/>
  <c r="AL1093" i="5"/>
  <c r="AJ1451" i="5"/>
  <c r="AI1058" i="5"/>
  <c r="AL1169" i="5"/>
  <c r="AY1451" i="5"/>
  <c r="AK1563" i="5"/>
  <c r="AT1867" i="5"/>
  <c r="AT1177" i="5"/>
  <c r="AZ843" i="5"/>
  <c r="AM882" i="5"/>
  <c r="AK1249" i="5"/>
  <c r="AJ1113" i="5"/>
  <c r="AL1185" i="5"/>
  <c r="AR1158" i="5"/>
  <c r="AS1158" i="5" s="1"/>
  <c r="AY1456" i="5"/>
  <c r="AY1507" i="5"/>
  <c r="AR1371" i="5"/>
  <c r="AT1371" i="5" s="1"/>
  <c r="AR1427" i="5"/>
  <c r="AS1427" i="5" s="1"/>
  <c r="AR1675" i="5"/>
  <c r="AS1675" i="5" s="1"/>
  <c r="AJ1319" i="5"/>
  <c r="AY1253" i="5"/>
  <c r="AS1423" i="5"/>
  <c r="AI1102" i="5"/>
  <c r="AL1037" i="5"/>
  <c r="AS746" i="5"/>
  <c r="AI1158" i="5"/>
  <c r="AT1347" i="5"/>
  <c r="AS786" i="5"/>
  <c r="AK799" i="5"/>
  <c r="AJ1133" i="5"/>
  <c r="AU819" i="5"/>
  <c r="AV819" i="5" s="1"/>
  <c r="AU990" i="5"/>
  <c r="AV990" i="5" s="1"/>
  <c r="AS973" i="5"/>
  <c r="AJ1093" i="5"/>
  <c r="AK905" i="5"/>
  <c r="AJ1209" i="5"/>
  <c r="AZ743" i="5"/>
  <c r="AK714" i="5"/>
  <c r="AZ738" i="5"/>
  <c r="AR743" i="5"/>
  <c r="AT743" i="5" s="1"/>
  <c r="AL718" i="5"/>
  <c r="AZ1169" i="5"/>
  <c r="AK1503" i="5"/>
  <c r="AZ1662" i="5"/>
  <c r="AU1427" i="5"/>
  <c r="AV1427" i="5" s="1"/>
  <c r="AT846" i="5"/>
  <c r="AI1041" i="5"/>
  <c r="AR819" i="5"/>
  <c r="AT819" i="5" s="1"/>
  <c r="AJ1129" i="5"/>
  <c r="AL1041" i="5"/>
  <c r="AJ1077" i="5"/>
  <c r="AS1535" i="5"/>
  <c r="AJ1249" i="5"/>
  <c r="AS1069" i="5"/>
  <c r="AL1214" i="5"/>
  <c r="AZ1153" i="5"/>
  <c r="AI1372" i="5"/>
  <c r="AZ1606" i="5"/>
  <c r="AI1675" i="5"/>
  <c r="AZ799" i="5"/>
  <c r="AI1022" i="5"/>
  <c r="AY965" i="5"/>
  <c r="AW990" i="5"/>
  <c r="AX990" i="5" s="1"/>
  <c r="AI1215" i="5"/>
  <c r="AK738" i="5"/>
  <c r="AY738" i="5"/>
  <c r="AK1391" i="5"/>
  <c r="AZ1626" i="5"/>
  <c r="AW1675" i="5"/>
  <c r="AX1675" i="5" s="1"/>
  <c r="AT1327" i="5"/>
  <c r="AQ743" i="5"/>
  <c r="AS1387" i="5"/>
  <c r="AI1189" i="5"/>
  <c r="AL1057" i="5"/>
  <c r="AI1345" i="5"/>
  <c r="AK1642" i="5"/>
  <c r="AY1742" i="5"/>
  <c r="AU1456" i="5"/>
  <c r="AV1456" i="5" s="1"/>
  <c r="AR1400" i="5"/>
  <c r="AS1400" i="5" s="1"/>
  <c r="AY1149" i="5"/>
  <c r="AU1046" i="5"/>
  <c r="AV1046" i="5" s="1"/>
  <c r="AK790" i="5"/>
  <c r="AR770" i="5"/>
  <c r="AS770" i="5" s="1"/>
  <c r="AL790" i="5"/>
  <c r="AI1046" i="5"/>
  <c r="AY858" i="5"/>
  <c r="AR1129" i="5"/>
  <c r="AS1129" i="5" s="1"/>
  <c r="AL929" i="5"/>
  <c r="AI966" i="5"/>
  <c r="AS710" i="5"/>
  <c r="AY1073" i="5"/>
  <c r="AS993" i="5"/>
  <c r="AR714" i="5"/>
  <c r="AY743" i="5"/>
  <c r="AI771" i="5"/>
  <c r="AY889" i="5"/>
  <c r="AY770" i="5"/>
  <c r="AJ1391" i="5"/>
  <c r="AK1626" i="5"/>
  <c r="AS1555" i="5"/>
  <c r="AZ1158" i="5"/>
  <c r="AW1344" i="5"/>
  <c r="AX1344" i="5" s="1"/>
  <c r="AR1651" i="5"/>
  <c r="AS1651" i="5" s="1"/>
  <c r="AJ1371" i="5"/>
  <c r="AI1103" i="5"/>
  <c r="AZ1575" i="5"/>
  <c r="AW1046" i="5"/>
  <c r="AX1046" i="5" s="1"/>
  <c r="AT802" i="5"/>
  <c r="AU1129" i="5"/>
  <c r="AV1129" i="5" s="1"/>
  <c r="AU961" i="5"/>
  <c r="AV961" i="5" s="1"/>
  <c r="AZ1214" i="5"/>
  <c r="AU714" i="5"/>
  <c r="AV714" i="5" s="1"/>
  <c r="AS1085" i="5"/>
  <c r="AW714" i="5"/>
  <c r="AX714" i="5" s="1"/>
  <c r="AJ1421" i="5"/>
  <c r="AS1679" i="5"/>
  <c r="AT1756" i="5"/>
  <c r="AI1667" i="5"/>
  <c r="AJ1690" i="5"/>
  <c r="AR1533" i="5"/>
  <c r="AT1533" i="5" s="1"/>
  <c r="AT1655" i="5"/>
  <c r="AZ1845" i="5"/>
  <c r="AY1336" i="5"/>
  <c r="AL1416" i="5"/>
  <c r="AS1408" i="5"/>
  <c r="AK1360" i="5"/>
  <c r="AQ1255" i="5"/>
  <c r="AQ1023" i="5"/>
  <c r="AQ967" i="5"/>
  <c r="AQ761" i="5"/>
  <c r="AQ740" i="5"/>
  <c r="AQ720" i="5"/>
  <c r="AQ709" i="5"/>
  <c r="AQ653" i="5"/>
  <c r="AQ633" i="5"/>
  <c r="AQ501" i="5"/>
  <c r="AQ415" i="5"/>
  <c r="AQ399" i="5"/>
  <c r="AQ346" i="5"/>
  <c r="AQ318" i="5"/>
  <c r="AQ303" i="5"/>
  <c r="AQ283" i="5"/>
  <c r="D3364" i="5"/>
  <c r="AN3960" i="5"/>
  <c r="D3960" i="5" s="1"/>
  <c r="AU3467" i="5"/>
  <c r="D3476" i="5"/>
  <c r="AX3480" i="5"/>
  <c r="AX3482" i="5"/>
  <c r="AU3487" i="5"/>
  <c r="A3487" i="5" s="1"/>
  <c r="AX3489" i="5"/>
  <c r="AX3493" i="5"/>
  <c r="AX3497" i="5"/>
  <c r="AU3506" i="5"/>
  <c r="AU3509" i="5"/>
  <c r="A3509" i="5" s="1"/>
  <c r="AN3653" i="5"/>
  <c r="AN3971" i="5"/>
  <c r="AO3971" i="5" s="1"/>
  <c r="AP3971" i="5" s="1"/>
  <c r="AR3971" i="5" s="1"/>
  <c r="AL1968" i="5"/>
  <c r="AS1940" i="5"/>
  <c r="AJ1623" i="5"/>
  <c r="AT1536" i="5"/>
  <c r="AY2084" i="5"/>
  <c r="AY1840" i="5"/>
  <c r="AY1896" i="5"/>
  <c r="AZ1928" i="5"/>
  <c r="AK1957" i="5"/>
  <c r="AS2121" i="5"/>
  <c r="AY1856" i="5"/>
  <c r="AT1348" i="5"/>
  <c r="AK1472" i="5"/>
  <c r="AY1488" i="5"/>
  <c r="AZ1392" i="5"/>
  <c r="AJ1968" i="5"/>
  <c r="AU1421" i="5"/>
  <c r="AV1421" i="5" s="1"/>
  <c r="AJ2382" i="5"/>
  <c r="AR1623" i="5"/>
  <c r="AS1623" i="5" s="1"/>
  <c r="AL1544" i="5"/>
  <c r="AK1623" i="5"/>
  <c r="AJ1544" i="5"/>
  <c r="AJ1898" i="5"/>
  <c r="AU1928" i="5"/>
  <c r="AV1928" i="5" s="1"/>
  <c r="AY1988" i="5"/>
  <c r="AK2188" i="5"/>
  <c r="AK2356" i="5"/>
  <c r="AI1736" i="5"/>
  <c r="AY1210" i="5"/>
  <c r="AK1254" i="5"/>
  <c r="AI1360" i="5"/>
  <c r="AU1477" i="5"/>
  <c r="AV1477" i="5" s="1"/>
  <c r="AS1444" i="5"/>
  <c r="AT1496" i="5"/>
  <c r="AK1533" i="5"/>
  <c r="AY1872" i="5"/>
  <c r="AI1366" i="5"/>
  <c r="AJ1174" i="5"/>
  <c r="AL1174" i="5"/>
  <c r="AR1448" i="5"/>
  <c r="AS1448" i="5" s="1"/>
  <c r="AI1422" i="5"/>
  <c r="AZ1376" i="5"/>
  <c r="AK1123" i="5"/>
  <c r="AY1123" i="5"/>
  <c r="AK1114" i="5"/>
  <c r="AJ1078" i="5"/>
  <c r="AY1094" i="5"/>
  <c r="AI1674" i="5"/>
  <c r="AI1323" i="5"/>
  <c r="AI1233" i="5"/>
  <c r="AI498" i="5"/>
  <c r="AI428" i="5"/>
  <c r="AI308" i="5"/>
  <c r="AS1500" i="5"/>
  <c r="AY1968" i="5"/>
  <c r="AY2171" i="5"/>
  <c r="AW1421" i="5"/>
  <c r="AX1421" i="5" s="1"/>
  <c r="AL1690" i="5"/>
  <c r="AJ1760" i="5"/>
  <c r="AT2052" i="5"/>
  <c r="AL1623" i="5"/>
  <c r="AW1623" i="5"/>
  <c r="AX1623" i="5" s="1"/>
  <c r="AZ1544" i="5"/>
  <c r="M1157" i="5"/>
  <c r="F1157" i="5" s="1"/>
  <c r="AS2200" i="5"/>
  <c r="AK1898" i="5"/>
  <c r="AZ1932" i="5"/>
  <c r="AS1996" i="5"/>
  <c r="AW2197" i="5"/>
  <c r="AX2197" i="5" s="1"/>
  <c r="AT2394" i="5"/>
  <c r="AL1736" i="5"/>
  <c r="AL1210" i="5"/>
  <c r="AY1254" i="5"/>
  <c r="AY1504" i="5"/>
  <c r="AZ1591" i="5"/>
  <c r="AT1740" i="5"/>
  <c r="AL1901" i="5"/>
  <c r="AL1250" i="5"/>
  <c r="AZ1150" i="5"/>
  <c r="AK1376" i="5"/>
  <c r="AW1336" i="5"/>
  <c r="AX1336" i="5" s="1"/>
  <c r="AZ1134" i="5"/>
  <c r="AU1123" i="5"/>
  <c r="AV1123" i="5" s="1"/>
  <c r="AS1090" i="5"/>
  <c r="AY1078" i="5"/>
  <c r="AY1627" i="5"/>
  <c r="AU1623" i="5"/>
  <c r="AV1623" i="5" s="1"/>
  <c r="AK1544" i="5"/>
  <c r="AZ1948" i="5"/>
  <c r="AT1868" i="5"/>
  <c r="AW1901" i="5"/>
  <c r="AX1901" i="5" s="1"/>
  <c r="AY1932" i="5"/>
  <c r="AI2014" i="5"/>
  <c r="AS2446" i="5"/>
  <c r="AZ1250" i="5"/>
  <c r="AI1309" i="5"/>
  <c r="AS1368" i="5"/>
  <c r="AZ1504" i="5"/>
  <c r="AZ1560" i="5"/>
  <c r="AL1596" i="5"/>
  <c r="AS1776" i="5"/>
  <c r="AL1764" i="5"/>
  <c r="AR1250" i="5"/>
  <c r="AT1250" i="5" s="1"/>
  <c r="AS1388" i="5"/>
  <c r="AR1596" i="5"/>
  <c r="AS1596" i="5" s="1"/>
  <c r="AT1404" i="5"/>
  <c r="AS1246" i="5"/>
  <c r="AR1421" i="5"/>
  <c r="AS1421" i="5" s="1"/>
  <c r="AZ2458" i="5"/>
  <c r="AY1421" i="5"/>
  <c r="AT1905" i="5"/>
  <c r="AJ2418" i="5"/>
  <c r="AZ1736" i="5"/>
  <c r="AK1627" i="5"/>
  <c r="AK2069" i="5"/>
  <c r="AJ1901" i="5"/>
  <c r="AK1934" i="5"/>
  <c r="AL2040" i="5"/>
  <c r="AJ1764" i="5"/>
  <c r="AI1376" i="5"/>
  <c r="AY1508" i="5"/>
  <c r="AL1564" i="5"/>
  <c r="AJ1789" i="5"/>
  <c r="AW1789" i="5"/>
  <c r="AX1789" i="5" s="1"/>
  <c r="AS1516" i="5"/>
  <c r="AZ1524" i="5"/>
  <c r="AJ1250" i="5"/>
  <c r="AY2069" i="5"/>
  <c r="AY1912" i="5"/>
  <c r="AK2304" i="5"/>
  <c r="AZ1627" i="5"/>
  <c r="AS2240" i="5"/>
  <c r="AL2092" i="5"/>
  <c r="AJ1876" i="5"/>
  <c r="AU1901" i="5"/>
  <c r="AV1901" i="5" s="1"/>
  <c r="AS1944" i="5"/>
  <c r="AY2044" i="5"/>
  <c r="AK2284" i="5"/>
  <c r="AS1772" i="5"/>
  <c r="AT1520" i="5"/>
  <c r="AS1792" i="5"/>
  <c r="AY1524" i="5"/>
  <c r="AS1460" i="5"/>
  <c r="AS1579" i="5"/>
  <c r="AY1416" i="5"/>
  <c r="AI1416" i="5"/>
  <c r="AQ414" i="5"/>
  <c r="AS434" i="5"/>
  <c r="AU729" i="5"/>
  <c r="AV729" i="5" s="1"/>
  <c r="AL971" i="5"/>
  <c r="AJ684" i="5"/>
  <c r="AY825" i="5"/>
  <c r="AZ825" i="5"/>
  <c r="AT772" i="5"/>
  <c r="AJ442" i="5"/>
  <c r="AI446" i="5"/>
  <c r="AI450" i="5"/>
  <c r="AQ496" i="5"/>
  <c r="AZ500" i="5"/>
  <c r="AZ505" i="5"/>
  <c r="AJ536" i="5"/>
  <c r="AY552" i="5"/>
  <c r="AJ572" i="5"/>
  <c r="AR588" i="5"/>
  <c r="AS588" i="5" s="1"/>
  <c r="AQ608" i="5"/>
  <c r="AI645" i="5"/>
  <c r="AI668" i="5"/>
  <c r="AT676" i="5"/>
  <c r="AU700" i="5"/>
  <c r="AV700" i="5" s="1"/>
  <c r="AY724" i="5"/>
  <c r="AT768" i="5"/>
  <c r="AZ816" i="5"/>
  <c r="AY836" i="5"/>
  <c r="AR849" i="5"/>
  <c r="AI870" i="5"/>
  <c r="AL1255" i="5"/>
  <c r="AI390" i="5"/>
  <c r="AS620" i="5"/>
  <c r="AK760" i="5"/>
  <c r="AI370" i="5"/>
  <c r="AL318" i="5"/>
  <c r="AJ346" i="5"/>
  <c r="AK370" i="5"/>
  <c r="AS402" i="5"/>
  <c r="AZ418" i="5"/>
  <c r="A4802" i="5"/>
  <c r="A4803" i="5" s="1"/>
  <c r="A4830" i="5"/>
  <c r="A4831" i="5" s="1"/>
  <c r="C4831" i="5" s="1"/>
  <c r="AK1255" i="5"/>
  <c r="AS2375" i="5"/>
  <c r="AR756" i="5"/>
  <c r="AT756" i="5" s="1"/>
  <c r="AS528" i="5"/>
  <c r="AJ796" i="5"/>
  <c r="AS788" i="5"/>
  <c r="AZ780" i="5"/>
  <c r="AK785" i="5"/>
  <c r="AZ446" i="5"/>
  <c r="AJ450" i="5"/>
  <c r="AY500" i="5"/>
  <c r="AT508" i="5"/>
  <c r="AL536" i="5"/>
  <c r="AL552" i="5"/>
  <c r="AY572" i="5"/>
  <c r="AL592" i="5"/>
  <c r="AL608" i="5"/>
  <c r="AQ644" i="5"/>
  <c r="AZ668" i="5"/>
  <c r="AK684" i="5"/>
  <c r="AI704" i="5"/>
  <c r="AR825" i="5"/>
  <c r="AS825" i="5" s="1"/>
  <c r="AY1259" i="5"/>
  <c r="AR1059" i="5"/>
  <c r="AS1059" i="5" s="1"/>
  <c r="AQ394" i="5"/>
  <c r="AQ500" i="5"/>
  <c r="AZ318" i="5"/>
  <c r="AK346" i="5"/>
  <c r="AJ370" i="5"/>
  <c r="AT406" i="5"/>
  <c r="AY394" i="5"/>
  <c r="AI850" i="5"/>
  <c r="AJ849" i="5"/>
  <c r="AI836" i="5"/>
  <c r="AK836" i="5"/>
  <c r="AY740" i="5"/>
  <c r="AI740" i="5"/>
  <c r="AL740" i="5"/>
  <c r="AS580" i="5"/>
  <c r="AT580" i="5"/>
  <c r="AQ561" i="5"/>
  <c r="AK561" i="5"/>
  <c r="AL556" i="5"/>
  <c r="AJ556" i="5"/>
  <c r="AT548" i="5"/>
  <c r="AS548" i="5"/>
  <c r="AL532" i="5"/>
  <c r="AK532" i="5"/>
  <c r="AL496" i="5"/>
  <c r="AI496" i="5"/>
  <c r="AJ480" i="5"/>
  <c r="AZ480" i="5"/>
  <c r="AZ442" i="5"/>
  <c r="AI443" i="5"/>
  <c r="AZ414" i="5"/>
  <c r="AL414" i="5"/>
  <c r="AJ294" i="5"/>
  <c r="AL294" i="5"/>
  <c r="AY283" i="5"/>
  <c r="AI283" i="5"/>
  <c r="F106" i="5"/>
  <c r="O121" i="5"/>
  <c r="F121" i="5" s="1"/>
  <c r="N3968" i="5"/>
  <c r="M3968" i="5" s="1"/>
  <c r="F3968" i="5" s="1"/>
  <c r="L3968" i="5" s="1"/>
  <c r="M3959" i="5"/>
  <c r="F3959" i="5" s="1"/>
  <c r="L3959" i="5" s="1"/>
  <c r="AY1260" i="5"/>
  <c r="AL1260" i="5"/>
  <c r="AI1265" i="5"/>
  <c r="AY1265" i="5"/>
  <c r="AZ1265" i="5"/>
  <c r="AQ1265" i="5"/>
  <c r="Q4882" i="5"/>
  <c r="G4889" i="5" s="1"/>
  <c r="H4889" i="5" s="1"/>
  <c r="G4885" i="5"/>
  <c r="H4885" i="5" s="1"/>
  <c r="F149" i="5"/>
  <c r="S161" i="5"/>
  <c r="F164" i="5" s="1"/>
  <c r="A4968" i="5"/>
  <c r="A4969" i="5" s="1"/>
  <c r="C4969" i="5" s="1"/>
  <c r="C4967" i="5"/>
  <c r="T4305" i="5"/>
  <c r="F4306" i="5" s="1"/>
  <c r="G4306" i="5"/>
  <c r="H4306" i="5" s="1"/>
  <c r="P197" i="5"/>
  <c r="Q197" i="5"/>
  <c r="Q198" i="5" s="1"/>
  <c r="F199" i="5" s="1"/>
  <c r="U197" i="5"/>
  <c r="U198" i="5" s="1"/>
  <c r="F203" i="5" s="1"/>
  <c r="O197" i="5"/>
  <c r="O198" i="5" s="1"/>
  <c r="F197" i="5" s="1"/>
  <c r="AS1600" i="5"/>
  <c r="AT1600" i="5"/>
  <c r="AQ418" i="5"/>
  <c r="AK756" i="5"/>
  <c r="AJ785" i="5"/>
  <c r="AL920" i="5"/>
  <c r="AZ670" i="5"/>
  <c r="AJ740" i="5"/>
  <c r="AI891" i="5"/>
  <c r="AW442" i="5"/>
  <c r="AX442" i="5" s="1"/>
  <c r="AJ446" i="5"/>
  <c r="AK480" i="5"/>
  <c r="AK496" i="5"/>
  <c r="AR505" i="5"/>
  <c r="AS505" i="5" s="1"/>
  <c r="AJ516" i="5"/>
  <c r="AZ532" i="5"/>
  <c r="AZ536" i="5"/>
  <c r="AK552" i="5"/>
  <c r="AI562" i="5"/>
  <c r="AZ572" i="5"/>
  <c r="AJ592" i="5"/>
  <c r="AY612" i="5"/>
  <c r="AI648" i="5"/>
  <c r="AJ673" i="5"/>
  <c r="AT712" i="5"/>
  <c r="AZ729" i="5"/>
  <c r="AI786" i="5"/>
  <c r="AT832" i="5"/>
  <c r="AJ840" i="5"/>
  <c r="AY849" i="5"/>
  <c r="AZ1263" i="5"/>
  <c r="AJ1139" i="5"/>
  <c r="AI644" i="5"/>
  <c r="AL346" i="5"/>
  <c r="AJ322" i="5"/>
  <c r="AI346" i="5"/>
  <c r="AY414" i="5"/>
  <c r="AL394" i="5"/>
  <c r="AI501" i="5"/>
  <c r="AK816" i="5"/>
  <c r="AI480" i="5"/>
  <c r="AY480" i="5"/>
  <c r="AJ283" i="5"/>
  <c r="AS1710" i="5"/>
  <c r="AL1265" i="5"/>
  <c r="T114" i="5"/>
  <c r="F119" i="5" s="1"/>
  <c r="AL825" i="5"/>
  <c r="AJ825" i="5"/>
  <c r="AI825" i="5"/>
  <c r="AK418" i="5"/>
  <c r="AI617" i="5"/>
  <c r="AI816" i="5"/>
  <c r="AW825" i="5"/>
  <c r="AX825" i="5" s="1"/>
  <c r="AJ931" i="5"/>
  <c r="AI776" i="5"/>
  <c r="AY442" i="5"/>
  <c r="AQ480" i="5"/>
  <c r="AZ496" i="5"/>
  <c r="AW505" i="5"/>
  <c r="AX505" i="5" s="1"/>
  <c r="AI516" i="5"/>
  <c r="AQ532" i="5"/>
  <c r="AY536" i="5"/>
  <c r="AZ556" i="5"/>
  <c r="AJ561" i="5"/>
  <c r="AU588" i="5"/>
  <c r="AV588" i="5" s="1"/>
  <c r="AT600" i="5"/>
  <c r="AQ617" i="5"/>
  <c r="AS660" i="5"/>
  <c r="AY673" i="5"/>
  <c r="AT696" i="5"/>
  <c r="AI720" i="5"/>
  <c r="AK740" i="5"/>
  <c r="AI813" i="5"/>
  <c r="AW836" i="5"/>
  <c r="AX836" i="5" s="1"/>
  <c r="AK840" i="5"/>
  <c r="AZ849" i="5"/>
  <c r="AI1171" i="5"/>
  <c r="AL1263" i="5"/>
  <c r="AJ1231" i="5"/>
  <c r="AI760" i="5"/>
  <c r="AK612" i="5"/>
  <c r="AY644" i="5"/>
  <c r="AY322" i="5"/>
  <c r="AT358" i="5"/>
  <c r="AY390" i="5"/>
  <c r="AY418" i="5"/>
  <c r="AK394" i="5"/>
  <c r="AZ840" i="5"/>
  <c r="AY294" i="5"/>
  <c r="AK1260" i="5"/>
  <c r="AQ884" i="5"/>
  <c r="AI1545" i="5"/>
  <c r="AL756" i="5"/>
  <c r="AJ911" i="5"/>
  <c r="AK505" i="5"/>
  <c r="AW532" i="5"/>
  <c r="AX532" i="5" s="1"/>
  <c r="AS544" i="5"/>
  <c r="AQ556" i="5"/>
  <c r="AU836" i="5"/>
  <c r="AV836" i="5" s="1"/>
  <c r="AI849" i="5"/>
  <c r="AS995" i="5"/>
  <c r="AI1195" i="5"/>
  <c r="AI318" i="5"/>
  <c r="AY318" i="5"/>
  <c r="AZ1260" i="5"/>
  <c r="AK825" i="5"/>
  <c r="AT959" i="5"/>
  <c r="AT907" i="5"/>
  <c r="AT488" i="5"/>
  <c r="AK500" i="5"/>
  <c r="AY516" i="5"/>
  <c r="AU561" i="5"/>
  <c r="AV561" i="5" s="1"/>
  <c r="AZ588" i="5"/>
  <c r="AQ628" i="5"/>
  <c r="AQ664" i="5"/>
  <c r="AR673" i="5"/>
  <c r="AJ700" i="5"/>
  <c r="AZ720" i="5"/>
  <c r="AT752" i="5"/>
  <c r="AL816" i="5"/>
  <c r="AY840" i="5"/>
  <c r="AL418" i="5"/>
  <c r="AZ298" i="5"/>
  <c r="AK971" i="5"/>
  <c r="AZ740" i="5"/>
  <c r="AR442" i="5"/>
  <c r="AS442" i="5" s="1"/>
  <c r="AK450" i="5"/>
  <c r="AL500" i="5"/>
  <c r="AL505" i="5"/>
  <c r="AY532" i="5"/>
  <c r="AY556" i="5"/>
  <c r="AT564" i="5"/>
  <c r="AZ628" i="5"/>
  <c r="AJ664" i="5"/>
  <c r="AK673" i="5"/>
  <c r="AI700" i="5"/>
  <c r="AY720" i="5"/>
  <c r="AI761" i="5"/>
  <c r="AR836" i="5"/>
  <c r="AS836" i="5" s="1"/>
  <c r="AL849" i="5"/>
  <c r="AS1425" i="5"/>
  <c r="AJ1235" i="5"/>
  <c r="AS310" i="5"/>
  <c r="AL342" i="5"/>
  <c r="AK366" i="5"/>
  <c r="AJ390" i="5"/>
  <c r="AI298" i="5"/>
  <c r="AQ390" i="5"/>
  <c r="AQ1237" i="5"/>
  <c r="AQ1125" i="5"/>
  <c r="AQ1018" i="5"/>
  <c r="AQ989" i="5"/>
  <c r="AQ973" i="5"/>
  <c r="AQ927" i="5"/>
  <c r="AQ907" i="5"/>
  <c r="AQ903" i="5"/>
  <c r="AQ892" i="5"/>
  <c r="AQ860" i="5"/>
  <c r="AQ856" i="5"/>
  <c r="AQ851" i="5"/>
  <c r="AQ846" i="5"/>
  <c r="AQ837" i="5"/>
  <c r="AQ832" i="5"/>
  <c r="AQ822" i="5"/>
  <c r="AQ818" i="5"/>
  <c r="AQ798" i="5"/>
  <c r="AQ792" i="5"/>
  <c r="AQ772" i="5"/>
  <c r="AQ771" i="5"/>
  <c r="AQ748" i="5"/>
  <c r="AQ746" i="5"/>
  <c r="AQ742" i="5"/>
  <c r="AQ731" i="5"/>
  <c r="AQ726" i="5"/>
  <c r="AQ716" i="5"/>
  <c r="AQ715" i="5"/>
  <c r="AQ711" i="5"/>
  <c r="AQ692" i="5"/>
  <c r="AQ691" i="5"/>
  <c r="AQ690" i="5"/>
  <c r="AQ676" i="5"/>
  <c r="AQ675" i="5"/>
  <c r="AQ671" i="5"/>
  <c r="AQ670" i="5"/>
  <c r="AQ660" i="5"/>
  <c r="AQ659" i="5"/>
  <c r="AQ656" i="5"/>
  <c r="AQ650" i="5"/>
  <c r="AQ640" i="5"/>
  <c r="AQ639" i="5"/>
  <c r="AQ636" i="5"/>
  <c r="AQ635" i="5"/>
  <c r="AQ634" i="5"/>
  <c r="AQ630" i="5"/>
  <c r="AQ624" i="5"/>
  <c r="AQ620" i="5"/>
  <c r="AQ618" i="5"/>
  <c r="AQ616" i="5"/>
  <c r="AQ615" i="5"/>
  <c r="AQ614" i="5"/>
  <c r="AQ604" i="5"/>
  <c r="AQ603" i="5"/>
  <c r="AQ599" i="5"/>
  <c r="AQ598" i="5"/>
  <c r="AQ594" i="5"/>
  <c r="AQ584" i="5"/>
  <c r="AQ579" i="5"/>
  <c r="AQ578" i="5"/>
  <c r="AQ574" i="5"/>
  <c r="AQ568" i="5"/>
  <c r="AQ564" i="5"/>
  <c r="AQ563" i="5"/>
  <c r="AQ560" i="5"/>
  <c r="AQ559" i="5"/>
  <c r="AQ558" i="5"/>
  <c r="AQ548" i="5"/>
  <c r="AQ547" i="5"/>
  <c r="AQ544" i="5"/>
  <c r="AQ543" i="5"/>
  <c r="AQ542" i="5"/>
  <c r="AQ539" i="5"/>
  <c r="AQ538" i="5"/>
  <c r="AQ533" i="5"/>
  <c r="AQ528" i="5"/>
  <c r="AQ527" i="5"/>
  <c r="AQ524" i="5"/>
  <c r="AQ523" i="5"/>
  <c r="AQ522" i="5"/>
  <c r="AQ512" i="5"/>
  <c r="AQ507" i="5"/>
  <c r="AQ504" i="5"/>
  <c r="AQ503" i="5"/>
  <c r="AQ502" i="5"/>
  <c r="AQ492" i="5"/>
  <c r="AQ491" i="5"/>
  <c r="AQ487" i="5"/>
  <c r="AQ486" i="5"/>
  <c r="AQ483" i="5"/>
  <c r="AQ482" i="5"/>
  <c r="AQ477" i="5"/>
  <c r="AQ476" i="5"/>
  <c r="AQ452" i="5"/>
  <c r="AQ443" i="5"/>
  <c r="AQ438" i="5"/>
  <c r="AQ434" i="5"/>
  <c r="AQ430" i="5"/>
  <c r="AQ429" i="5"/>
  <c r="AQ426" i="5"/>
  <c r="AQ425" i="5"/>
  <c r="AQ424" i="5"/>
  <c r="AQ421" i="5"/>
  <c r="AQ420" i="5"/>
  <c r="AQ410" i="5"/>
  <c r="AQ406" i="5"/>
  <c r="AQ402" i="5"/>
  <c r="AQ401" i="5"/>
  <c r="AQ400" i="5"/>
  <c r="AQ397" i="5"/>
  <c r="AQ396" i="5"/>
  <c r="AI391" i="5"/>
  <c r="AQ386" i="5"/>
  <c r="AQ382" i="5"/>
  <c r="AQ378" i="5"/>
  <c r="AQ377" i="5"/>
  <c r="AQ376" i="5"/>
  <c r="AQ373" i="5"/>
  <c r="AQ372" i="5"/>
  <c r="AQ362" i="5"/>
  <c r="AQ358" i="5"/>
  <c r="AQ357" i="5"/>
  <c r="AQ354" i="5"/>
  <c r="AQ352" i="5"/>
  <c r="AQ349" i="5"/>
  <c r="AQ348" i="5"/>
  <c r="AQ347" i="5"/>
  <c r="AQ338" i="5"/>
  <c r="AQ334" i="5"/>
  <c r="AQ333" i="5"/>
  <c r="AQ330" i="5"/>
  <c r="AQ329" i="5"/>
  <c r="AQ328" i="5"/>
  <c r="AQ325" i="5"/>
  <c r="AQ324" i="5"/>
  <c r="AQ310" i="5"/>
  <c r="AQ309" i="5"/>
  <c r="AQ304" i="5"/>
  <c r="AQ301" i="5"/>
  <c r="AQ300" i="5"/>
  <c r="AQ286" i="5"/>
  <c r="AU3361" i="5"/>
  <c r="AV3361" i="5" s="1"/>
  <c r="AW3361" i="5" s="1"/>
  <c r="AY3361" i="5" s="1"/>
  <c r="AU3362" i="5"/>
  <c r="A3362" i="5" s="1"/>
  <c r="D3363" i="5"/>
  <c r="AX3364" i="5"/>
  <c r="AU3365" i="5"/>
  <c r="A3365" i="5" s="1"/>
  <c r="AU3367" i="5"/>
  <c r="A3367" i="5" s="1"/>
  <c r="AX3368" i="5"/>
  <c r="AX3369" i="5"/>
  <c r="AU3371" i="5"/>
  <c r="A3371" i="5" s="1"/>
  <c r="AU3372" i="5"/>
  <c r="AV3372" i="5" s="1"/>
  <c r="AW3372" i="5" s="1"/>
  <c r="AY3372" i="5" s="1"/>
  <c r="AU3374" i="5"/>
  <c r="A3374" i="5" s="1"/>
  <c r="AU3376" i="5"/>
  <c r="A3376" i="5" s="1"/>
  <c r="AU3378" i="5"/>
  <c r="A3378" i="5" s="1"/>
  <c r="D3379" i="5"/>
  <c r="AU3382" i="5"/>
  <c r="AU3383" i="5"/>
  <c r="A3383" i="5" s="1"/>
  <c r="AX3385" i="5"/>
  <c r="AU3387" i="5"/>
  <c r="AV3387" i="5" s="1"/>
  <c r="AW3387" i="5" s="1"/>
  <c r="AY3387" i="5" s="1"/>
  <c r="AX3389" i="5"/>
  <c r="AX3391" i="5"/>
  <c r="AX3392" i="5"/>
  <c r="D3395" i="5"/>
  <c r="AX3396" i="5"/>
  <c r="AU3397" i="5"/>
  <c r="A3397" i="5" s="1"/>
  <c r="AX3399" i="5"/>
  <c r="AX3401" i="5"/>
  <c r="F4932" i="5"/>
  <c r="AX3402" i="5"/>
  <c r="AU3405" i="5"/>
  <c r="AV3405" i="5" s="1"/>
  <c r="AW3405" i="5" s="1"/>
  <c r="AY3405" i="5" s="1"/>
  <c r="AU3406" i="5"/>
  <c r="AU3409" i="5"/>
  <c r="AV3409" i="5" s="1"/>
  <c r="AW3409" i="5" s="1"/>
  <c r="AY3409" i="5" s="1"/>
  <c r="AU3410" i="5"/>
  <c r="AV3410" i="5" s="1"/>
  <c r="AW3410" i="5" s="1"/>
  <c r="AY3410" i="5" s="1"/>
  <c r="AU3413" i="5"/>
  <c r="A3413" i="5" s="1"/>
  <c r="D3414" i="5"/>
  <c r="AU3417" i="5"/>
  <c r="A3417" i="5" s="1"/>
  <c r="AU3422" i="5"/>
  <c r="AV3422" i="5" s="1"/>
  <c r="AW3422" i="5" s="1"/>
  <c r="AY3422" i="5" s="1"/>
  <c r="D3425" i="5"/>
  <c r="D3428" i="5"/>
  <c r="AX3431" i="5"/>
  <c r="AU3433" i="5"/>
  <c r="AV3433" i="5" s="1"/>
  <c r="AW3433" i="5" s="1"/>
  <c r="AY3433" i="5" s="1"/>
  <c r="AN3642" i="5"/>
  <c r="AQ3642" i="5" s="1"/>
  <c r="AN3644" i="5"/>
  <c r="A3644" i="5" s="1"/>
  <c r="AN3863" i="5"/>
  <c r="AS3863" i="5" s="1"/>
  <c r="AN3867" i="5"/>
  <c r="AO3867" i="5" s="1"/>
  <c r="AP3867" i="5" s="1"/>
  <c r="AR3867" i="5" s="1"/>
  <c r="AN3870" i="5"/>
  <c r="AO3870" i="5" s="1"/>
  <c r="AP3870" i="5" s="1"/>
  <c r="AR3870" i="5" s="1"/>
  <c r="AN3961" i="5"/>
  <c r="D3961" i="5" s="1"/>
  <c r="AN3963" i="5"/>
  <c r="A3963" i="5" s="1"/>
  <c r="AN3965" i="5"/>
  <c r="D3965" i="5" s="1"/>
  <c r="AQ1707" i="5"/>
  <c r="AU3440" i="5"/>
  <c r="A3440" i="5" s="1"/>
  <c r="AU3442" i="5"/>
  <c r="A3442" i="5" s="1"/>
  <c r="AX3445" i="5"/>
  <c r="AX3446" i="5"/>
  <c r="AX3447" i="5"/>
  <c r="D3448" i="5"/>
  <c r="AU3449" i="5"/>
  <c r="D3452" i="5"/>
  <c r="AX3454" i="5"/>
  <c r="AX3455" i="5"/>
  <c r="AU3457" i="5"/>
  <c r="A3457" i="5" s="1"/>
  <c r="AU3458" i="5"/>
  <c r="A3458" i="5" s="1"/>
  <c r="AX3459" i="5"/>
  <c r="D3460" i="5"/>
  <c r="AU3462" i="5"/>
  <c r="A3462" i="5" s="1"/>
  <c r="AX3463" i="5"/>
  <c r="D3465" i="5"/>
  <c r="AX3466" i="5"/>
  <c r="AX3469" i="5"/>
  <c r="AU3472" i="5"/>
  <c r="A3472" i="5" s="1"/>
  <c r="AU3474" i="5"/>
  <c r="A3474" i="5" s="1"/>
  <c r="D3475" i="5"/>
  <c r="AX3477" i="5"/>
  <c r="D3480" i="5"/>
  <c r="D3481" i="5"/>
  <c r="AU3483" i="5"/>
  <c r="A3483" i="5" s="1"/>
  <c r="AX3487" i="5"/>
  <c r="AU3491" i="5"/>
  <c r="A3491" i="5" s="1"/>
  <c r="AU3492" i="5"/>
  <c r="A3492" i="5" s="1"/>
  <c r="D3495" i="5"/>
  <c r="D3497" i="5"/>
  <c r="D3501" i="5"/>
  <c r="AX3505" i="5"/>
  <c r="AX3506" i="5"/>
  <c r="D3507" i="5"/>
  <c r="AX3509" i="5"/>
  <c r="AU3510" i="5"/>
  <c r="A3510" i="5" s="1"/>
  <c r="AU3512" i="5"/>
  <c r="A3512" i="5" s="1"/>
  <c r="AN3646" i="5"/>
  <c r="AO3646" i="5" s="1"/>
  <c r="AP3646" i="5" s="1"/>
  <c r="AR3646" i="5" s="1"/>
  <c r="AN3648" i="5"/>
  <c r="D3648" i="5" s="1"/>
  <c r="AN3651" i="5"/>
  <c r="D3651" i="5" s="1"/>
  <c r="AN3874" i="5"/>
  <c r="AO3874" i="5" s="1"/>
  <c r="AP3874" i="5" s="1"/>
  <c r="AR3874" i="5" s="1"/>
  <c r="AN3876" i="5"/>
  <c r="AO3876" i="5" s="1"/>
  <c r="AP3876" i="5" s="1"/>
  <c r="AR3876" i="5" s="1"/>
  <c r="AN3972" i="5"/>
  <c r="AO3972" i="5" s="1"/>
  <c r="AP3972" i="5" s="1"/>
  <c r="AR3972" i="5" s="1"/>
  <c r="AN3974" i="5"/>
  <c r="AO3974" i="5" s="1"/>
  <c r="AP3974" i="5" s="1"/>
  <c r="AR3974" i="5" s="1"/>
  <c r="AM1265" i="5"/>
  <c r="AQ1276" i="5"/>
  <c r="AQ1274" i="5"/>
  <c r="AQ866" i="5"/>
  <c r="AQ1267" i="5"/>
  <c r="AQ2137" i="5"/>
  <c r="AQ2131" i="5"/>
  <c r="AQ1277" i="5"/>
  <c r="AQ1279" i="5"/>
  <c r="AQ456" i="5"/>
  <c r="AQ2136" i="5"/>
  <c r="AQ875" i="5"/>
  <c r="AQ2140" i="5"/>
  <c r="AQ1286" i="5"/>
  <c r="AQ462" i="5"/>
  <c r="AQ1297" i="5"/>
  <c r="AM1735" i="5"/>
  <c r="F3717" i="5"/>
  <c r="AZ1438" i="5"/>
  <c r="AK1438" i="5"/>
  <c r="AS1314" i="5"/>
  <c r="AT1314" i="5"/>
  <c r="AS1153" i="5"/>
  <c r="AT1153" i="5"/>
  <c r="AZ1066" i="5"/>
  <c r="AJ1066" i="5"/>
  <c r="AK1066" i="5"/>
  <c r="AI1067" i="5"/>
  <c r="AL1066" i="5"/>
  <c r="AW1066" i="5"/>
  <c r="AX1066" i="5" s="1"/>
  <c r="AU1066" i="5"/>
  <c r="AV1066" i="5" s="1"/>
  <c r="AJ992" i="5"/>
  <c r="AK992" i="5"/>
  <c r="AZ992" i="5"/>
  <c r="AY992" i="5"/>
  <c r="AL992" i="5"/>
  <c r="AT984" i="5"/>
  <c r="AS984" i="5"/>
  <c r="AI933" i="5"/>
  <c r="AK932" i="5"/>
  <c r="AZ932" i="5"/>
  <c r="AY932" i="5"/>
  <c r="AJ932" i="5"/>
  <c r="AJ725" i="5"/>
  <c r="AI726" i="5"/>
  <c r="AY725" i="5"/>
  <c r="AL725" i="5"/>
  <c r="AK725" i="5"/>
  <c r="AZ725" i="5"/>
  <c r="AZ694" i="5"/>
  <c r="AI695" i="5"/>
  <c r="AW694" i="5"/>
  <c r="AX694" i="5" s="1"/>
  <c r="AL694" i="5"/>
  <c r="AR694" i="5"/>
  <c r="AT694" i="5" s="1"/>
  <c r="AU694" i="5"/>
  <c r="AV694" i="5" s="1"/>
  <c r="AY694" i="5"/>
  <c r="AK694" i="5"/>
  <c r="AS661" i="5"/>
  <c r="AT661" i="5"/>
  <c r="AQ649" i="5"/>
  <c r="AK649" i="5"/>
  <c r="AJ649" i="5"/>
  <c r="AZ649" i="5"/>
  <c r="AS585" i="5"/>
  <c r="AT585" i="5"/>
  <c r="AS569" i="5"/>
  <c r="AT569" i="5"/>
  <c r="AK517" i="5"/>
  <c r="AY517" i="5"/>
  <c r="AZ517" i="5"/>
  <c r="AJ517" i="5"/>
  <c r="AL517" i="5"/>
  <c r="AI518" i="5"/>
  <c r="AI517" i="5"/>
  <c r="AT509" i="5"/>
  <c r="AS509" i="5"/>
  <c r="AM474" i="5"/>
  <c r="AI474" i="5"/>
  <c r="AT407" i="5"/>
  <c r="AS407" i="5"/>
  <c r="AZ367" i="5"/>
  <c r="AU367" i="5"/>
  <c r="AV367" i="5" s="1"/>
  <c r="AI367" i="5"/>
  <c r="AI368" i="5"/>
  <c r="AQ367" i="5"/>
  <c r="AU356" i="5"/>
  <c r="AV356" i="5" s="1"/>
  <c r="AQ356" i="5"/>
  <c r="AR356" i="5"/>
  <c r="AK356" i="5"/>
  <c r="AI357" i="5"/>
  <c r="AK295" i="5"/>
  <c r="AJ295" i="5"/>
  <c r="AI296" i="5"/>
  <c r="AZ295" i="5"/>
  <c r="AY295" i="5"/>
  <c r="AU295" i="5"/>
  <c r="AV295" i="5" s="1"/>
  <c r="AW295" i="5"/>
  <c r="AX295" i="5" s="1"/>
  <c r="AI295" i="5"/>
  <c r="C4825" i="5"/>
  <c r="A4826" i="5"/>
  <c r="C4826" i="5" s="1"/>
  <c r="D3398" i="5"/>
  <c r="AX3398" i="5"/>
  <c r="AU3426" i="5"/>
  <c r="A3426" i="5" s="1"/>
  <c r="AX3426" i="5"/>
  <c r="D3426" i="5"/>
  <c r="AU3429" i="5"/>
  <c r="AV3429" i="5" s="1"/>
  <c r="AW3429" i="5" s="1"/>
  <c r="AY3429" i="5" s="1"/>
  <c r="D3429" i="5"/>
  <c r="AX3429" i="5"/>
  <c r="AI1110" i="5"/>
  <c r="AI573" i="5"/>
  <c r="AX3382" i="5"/>
  <c r="AX3452" i="5"/>
  <c r="D3463" i="5"/>
  <c r="AU3447" i="5"/>
  <c r="A3447" i="5" s="1"/>
  <c r="AX3405" i="5"/>
  <c r="D3397" i="5"/>
  <c r="AU3389" i="5"/>
  <c r="AV3389" i="5" s="1"/>
  <c r="AW3389" i="5" s="1"/>
  <c r="AY3389" i="5" s="1"/>
  <c r="D3383" i="5"/>
  <c r="D3376" i="5"/>
  <c r="AU3369" i="5"/>
  <c r="A3369" i="5" s="1"/>
  <c r="AZ689" i="5"/>
  <c r="AL613" i="5"/>
  <c r="AI614" i="5"/>
  <c r="AS291" i="5"/>
  <c r="AJ308" i="5"/>
  <c r="AZ319" i="5"/>
  <c r="AI324" i="5"/>
  <c r="AY343" i="5"/>
  <c r="AJ356" i="5"/>
  <c r="AY367" i="5"/>
  <c r="AT387" i="5"/>
  <c r="AS435" i="5"/>
  <c r="AY474" i="5"/>
  <c r="AW609" i="5"/>
  <c r="AX609" i="5" s="1"/>
  <c r="AI845" i="5"/>
  <c r="AK912" i="5"/>
  <c r="AI941" i="5"/>
  <c r="AR997" i="5"/>
  <c r="AT997" i="5" s="1"/>
  <c r="AI1157" i="5"/>
  <c r="AL1232" i="5"/>
  <c r="AZ1398" i="5"/>
  <c r="AL1546" i="5"/>
  <c r="AU1546" i="5"/>
  <c r="AV1546" i="5" s="1"/>
  <c r="AZ1474" i="5"/>
  <c r="AI1475" i="5"/>
  <c r="AJ1402" i="5"/>
  <c r="AZ1402" i="5"/>
  <c r="AL1402" i="5"/>
  <c r="AK1236" i="5"/>
  <c r="AI1237" i="5"/>
  <c r="AY1236" i="5"/>
  <c r="AJ1236" i="5"/>
  <c r="AT1228" i="5"/>
  <c r="AS1228" i="5"/>
  <c r="AT1208" i="5"/>
  <c r="AS1208" i="5"/>
  <c r="AJ1196" i="5"/>
  <c r="AL1196" i="5"/>
  <c r="AZ1196" i="5"/>
  <c r="AK1176" i="5"/>
  <c r="AL1176" i="5"/>
  <c r="AY1176" i="5"/>
  <c r="AI1177" i="5"/>
  <c r="AI1160" i="5"/>
  <c r="AK1160" i="5"/>
  <c r="AL1160" i="5"/>
  <c r="AJ1160" i="5"/>
  <c r="AZ1160" i="5"/>
  <c r="AZ1142" i="5"/>
  <c r="AY1142" i="5"/>
  <c r="AI1142" i="5"/>
  <c r="AI1121" i="5"/>
  <c r="AJ1120" i="5"/>
  <c r="AL1120" i="5"/>
  <c r="AZ1120" i="5"/>
  <c r="AI1101" i="5"/>
  <c r="AK1100" i="5"/>
  <c r="AL1100" i="5"/>
  <c r="AJ1100" i="5"/>
  <c r="AY1084" i="5"/>
  <c r="AL1084" i="5"/>
  <c r="AJ1084" i="5"/>
  <c r="AY1053" i="5"/>
  <c r="AU1053" i="5"/>
  <c r="AV1053" i="5" s="1"/>
  <c r="AR1053" i="5"/>
  <c r="AK1053" i="5"/>
  <c r="AZ1053" i="5"/>
  <c r="AI1054" i="5"/>
  <c r="AI1053" i="5"/>
  <c r="AL1053" i="5"/>
  <c r="AZ1024" i="5"/>
  <c r="AY1024" i="5"/>
  <c r="AR1024" i="5"/>
  <c r="AW1024" i="5"/>
  <c r="AX1024" i="5" s="1"/>
  <c r="AK1024" i="5"/>
  <c r="AJ1024" i="5"/>
  <c r="AY896" i="5"/>
  <c r="AJ896" i="5"/>
  <c r="AZ896" i="5"/>
  <c r="AK896" i="5"/>
  <c r="AI896" i="5"/>
  <c r="AT888" i="5"/>
  <c r="AS888" i="5"/>
  <c r="AT833" i="5"/>
  <c r="AS833" i="5"/>
  <c r="AY817" i="5"/>
  <c r="AL817" i="5"/>
  <c r="AI817" i="5"/>
  <c r="AI818" i="5"/>
  <c r="AK817" i="5"/>
  <c r="AJ817" i="5"/>
  <c r="AZ817" i="5"/>
  <c r="AQ797" i="5"/>
  <c r="AJ797" i="5"/>
  <c r="AZ797" i="5"/>
  <c r="AI798" i="5"/>
  <c r="AY797" i="5"/>
  <c r="AL797" i="5"/>
  <c r="AK797" i="5"/>
  <c r="AT789" i="5"/>
  <c r="AS789" i="5"/>
  <c r="AT769" i="5"/>
  <c r="AS769" i="5"/>
  <c r="AL721" i="5"/>
  <c r="AZ721" i="5"/>
  <c r="AJ721" i="5"/>
  <c r="AU721" i="5"/>
  <c r="AV721" i="5" s="1"/>
  <c r="AW721" i="5"/>
  <c r="AX721" i="5" s="1"/>
  <c r="AK721" i="5"/>
  <c r="AI721" i="5"/>
  <c r="AY721" i="5"/>
  <c r="AR721" i="5"/>
  <c r="AT721" i="5" s="1"/>
  <c r="AJ669" i="5"/>
  <c r="AI669" i="5"/>
  <c r="AZ669" i="5"/>
  <c r="AI670" i="5"/>
  <c r="AL669" i="5"/>
  <c r="AQ669" i="5"/>
  <c r="AY669" i="5"/>
  <c r="AI634" i="5"/>
  <c r="AI633" i="5"/>
  <c r="AL633" i="5"/>
  <c r="AZ633" i="5"/>
  <c r="AY633" i="5"/>
  <c r="AI482" i="5"/>
  <c r="AY481" i="5"/>
  <c r="AJ481" i="5"/>
  <c r="AI481" i="5"/>
  <c r="AQ481" i="5"/>
  <c r="AL481" i="5"/>
  <c r="AI447" i="5"/>
  <c r="AI448" i="5"/>
  <c r="AW447" i="5"/>
  <c r="AX447" i="5" s="1"/>
  <c r="AK447" i="5"/>
  <c r="AJ447" i="5"/>
  <c r="AY447" i="5"/>
  <c r="AU447" i="5"/>
  <c r="AV447" i="5" s="1"/>
  <c r="AU415" i="5"/>
  <c r="AV415" i="5" s="1"/>
  <c r="AK415" i="5"/>
  <c r="AZ415" i="5"/>
  <c r="AI416" i="5"/>
  <c r="AJ415" i="5"/>
  <c r="AK404" i="5"/>
  <c r="AY404" i="5"/>
  <c r="AZ404" i="5"/>
  <c r="AI405" i="5"/>
  <c r="AJ404" i="5"/>
  <c r="AI404" i="5"/>
  <c r="AR404" i="5"/>
  <c r="AU404" i="5"/>
  <c r="AV404" i="5" s="1"/>
  <c r="AQ404" i="5"/>
  <c r="AT335" i="5"/>
  <c r="AS335" i="5"/>
  <c r="AX3411" i="5"/>
  <c r="AU3411" i="5"/>
  <c r="A3411" i="5" s="1"/>
  <c r="AU3412" i="5"/>
  <c r="A3412" i="5" s="1"/>
  <c r="D3412" i="5"/>
  <c r="AX3415" i="5"/>
  <c r="AU3415" i="5"/>
  <c r="AV3415" i="5" s="1"/>
  <c r="AW3415" i="5" s="1"/>
  <c r="AY3415" i="5" s="1"/>
  <c r="AI1161" i="5"/>
  <c r="AJ1109" i="5"/>
  <c r="AI1085" i="5"/>
  <c r="AY1775" i="5"/>
  <c r="AL573" i="5"/>
  <c r="AX3412" i="5"/>
  <c r="AU3452" i="5"/>
  <c r="A3452" i="5" s="1"/>
  <c r="AU3463" i="5"/>
  <c r="A3463" i="5" s="1"/>
  <c r="D3447" i="5"/>
  <c r="AX3410" i="5"/>
  <c r="D3405" i="5"/>
  <c r="AX3397" i="5"/>
  <c r="D3389" i="5"/>
  <c r="D3382" i="5"/>
  <c r="AX3374" i="5"/>
  <c r="AX3367" i="5"/>
  <c r="AY649" i="5"/>
  <c r="AZ308" i="5"/>
  <c r="AU319" i="5"/>
  <c r="AV319" i="5" s="1"/>
  <c r="AY347" i="5"/>
  <c r="AI356" i="5"/>
  <c r="AJ367" i="5"/>
  <c r="AL404" i="5"/>
  <c r="AQ419" i="5"/>
  <c r="AQ447" i="5"/>
  <c r="AK474" i="5"/>
  <c r="AQ629" i="5"/>
  <c r="AI913" i="5"/>
  <c r="AK1064" i="5"/>
  <c r="AI1245" i="5"/>
  <c r="AY593" i="5"/>
  <c r="AK1550" i="5"/>
  <c r="AJ1550" i="5"/>
  <c r="AJ1510" i="5"/>
  <c r="AL1510" i="5"/>
  <c r="AS1502" i="5"/>
  <c r="AT1502" i="5"/>
  <c r="AT1450" i="5"/>
  <c r="AS1450" i="5"/>
  <c r="AI1419" i="5"/>
  <c r="AK1418" i="5"/>
  <c r="AS1334" i="5"/>
  <c r="AT1334" i="5"/>
  <c r="AW1221" i="5"/>
  <c r="AX1221" i="5" s="1"/>
  <c r="AY1221" i="5"/>
  <c r="AU1221" i="5"/>
  <c r="AV1221" i="5" s="1"/>
  <c r="AI1222" i="5"/>
  <c r="AL1221" i="5"/>
  <c r="AS1188" i="5"/>
  <c r="AT1188" i="5"/>
  <c r="AS1184" i="5"/>
  <c r="AT1184" i="5"/>
  <c r="AZ1156" i="5"/>
  <c r="AK1156" i="5"/>
  <c r="AL1156" i="5"/>
  <c r="AJ1156" i="5"/>
  <c r="AS1148" i="5"/>
  <c r="AT1148" i="5"/>
  <c r="AJ1140" i="5"/>
  <c r="AY1140" i="5"/>
  <c r="AI1141" i="5"/>
  <c r="AZ1140" i="5"/>
  <c r="AL1140" i="5"/>
  <c r="AT1132" i="5"/>
  <c r="AS1132" i="5"/>
  <c r="AL1028" i="5"/>
  <c r="AZ1028" i="5"/>
  <c r="AJ1028" i="5"/>
  <c r="AY1028" i="5"/>
  <c r="AT1016" i="5"/>
  <c r="AS1016" i="5"/>
  <c r="AU968" i="5"/>
  <c r="AV968" i="5" s="1"/>
  <c r="AZ968" i="5"/>
  <c r="AL968" i="5"/>
  <c r="AR968" i="5"/>
  <c r="AK968" i="5"/>
  <c r="AY968" i="5"/>
  <c r="AW968" i="5"/>
  <c r="AX968" i="5" s="1"/>
  <c r="AJ968" i="5"/>
  <c r="AT861" i="5"/>
  <c r="AS861" i="5"/>
  <c r="AS853" i="5"/>
  <c r="AT853" i="5"/>
  <c r="AL750" i="5"/>
  <c r="AI751" i="5"/>
  <c r="AW750" i="5"/>
  <c r="AX750" i="5" s="1"/>
  <c r="AU750" i="5"/>
  <c r="AV750" i="5" s="1"/>
  <c r="AY750" i="5"/>
  <c r="AR750" i="5"/>
  <c r="AT750" i="5" s="1"/>
  <c r="AK750" i="5"/>
  <c r="AJ750" i="5"/>
  <c r="AT681" i="5"/>
  <c r="AS681" i="5"/>
  <c r="AW638" i="5"/>
  <c r="AX638" i="5" s="1"/>
  <c r="AR638" i="5"/>
  <c r="AT638" i="5" s="1"/>
  <c r="AI638" i="5"/>
  <c r="AU638" i="5"/>
  <c r="AV638" i="5" s="1"/>
  <c r="AL638" i="5"/>
  <c r="AI639" i="5"/>
  <c r="AJ638" i="5"/>
  <c r="AK638" i="5"/>
  <c r="AZ638" i="5"/>
  <c r="AY638" i="5"/>
  <c r="AY582" i="5"/>
  <c r="AJ582" i="5"/>
  <c r="AW582" i="5"/>
  <c r="AX582" i="5" s="1"/>
  <c r="AZ582" i="5"/>
  <c r="AI582" i="5"/>
  <c r="AU582" i="5"/>
  <c r="AV582" i="5" s="1"/>
  <c r="AQ582" i="5"/>
  <c r="AI583" i="5"/>
  <c r="AK582" i="5"/>
  <c r="AR582" i="5"/>
  <c r="AT582" i="5" s="1"/>
  <c r="AY537" i="5"/>
  <c r="AK537" i="5"/>
  <c r="AZ537" i="5"/>
  <c r="AJ537" i="5"/>
  <c r="AI537" i="5"/>
  <c r="AL537" i="5"/>
  <c r="AI538" i="5"/>
  <c r="AQ537" i="5"/>
  <c r="AS529" i="5"/>
  <c r="AT529" i="5"/>
  <c r="AL497" i="5"/>
  <c r="AW497" i="5"/>
  <c r="AX497" i="5" s="1"/>
  <c r="AR497" i="5"/>
  <c r="AS497" i="5" s="1"/>
  <c r="AU497" i="5"/>
  <c r="AV497" i="5" s="1"/>
  <c r="AK497" i="5"/>
  <c r="AZ497" i="5"/>
  <c r="AJ497" i="5"/>
  <c r="AU3461" i="5"/>
  <c r="A3461" i="5" s="1"/>
  <c r="AX3461" i="5"/>
  <c r="D3461" i="5"/>
  <c r="AI574" i="5"/>
  <c r="AX3372" i="5"/>
  <c r="D3410" i="5"/>
  <c r="AX3448" i="5"/>
  <c r="AU3391" i="5"/>
  <c r="AX3462" i="5"/>
  <c r="D3455" i="5"/>
  <c r="AX3395" i="5"/>
  <c r="D3374" i="5"/>
  <c r="D3367" i="5"/>
  <c r="AK633" i="5"/>
  <c r="AS605" i="5"/>
  <c r="AQ295" i="5"/>
  <c r="AR308" i="5"/>
  <c r="AT308" i="5" s="1"/>
  <c r="AS359" i="5"/>
  <c r="AI392" i="5"/>
  <c r="AW404" i="5"/>
  <c r="AX404" i="5" s="1"/>
  <c r="AL447" i="5"/>
  <c r="AK481" i="5"/>
  <c r="AS545" i="5"/>
  <c r="AJ694" i="5"/>
  <c r="AJ1142" i="5"/>
  <c r="AT857" i="5"/>
  <c r="AK952" i="5"/>
  <c r="AS1020" i="5"/>
  <c r="AK1120" i="5"/>
  <c r="AT1446" i="5"/>
  <c r="D3365" i="5"/>
  <c r="AI694" i="5"/>
  <c r="D3467" i="5"/>
  <c r="AX3467" i="5"/>
  <c r="D3468" i="5"/>
  <c r="AU3468" i="5"/>
  <c r="A3468" i="5" s="1"/>
  <c r="D3471" i="5"/>
  <c r="AX3471" i="5"/>
  <c r="AU3471" i="5"/>
  <c r="A3471" i="5" s="1"/>
  <c r="AX3473" i="5"/>
  <c r="D3473" i="5"/>
  <c r="AU3473" i="5"/>
  <c r="A3473" i="5" s="1"/>
  <c r="AU3478" i="5"/>
  <c r="A3478" i="5" s="1"/>
  <c r="AX3478" i="5"/>
  <c r="AU3485" i="5"/>
  <c r="A3485" i="5" s="1"/>
  <c r="AX3485" i="5"/>
  <c r="AU3486" i="5"/>
  <c r="A3486" i="5" s="1"/>
  <c r="D3486" i="5"/>
  <c r="AX3486" i="5"/>
  <c r="D3489" i="5"/>
  <c r="AU3489" i="5"/>
  <c r="A3489" i="5" s="1"/>
  <c r="D3490" i="5"/>
  <c r="AU3490" i="5"/>
  <c r="A3490" i="5" s="1"/>
  <c r="AU3494" i="5"/>
  <c r="A3494" i="5" s="1"/>
  <c r="D3494" i="5"/>
  <c r="AU3498" i="5"/>
  <c r="A3498" i="5" s="1"/>
  <c r="AX3498" i="5"/>
  <c r="D3499" i="5"/>
  <c r="AU3499" i="5"/>
  <c r="A3499" i="5" s="1"/>
  <c r="AU3500" i="5"/>
  <c r="A3500" i="5" s="1"/>
  <c r="AX3500" i="5"/>
  <c r="AU3502" i="5"/>
  <c r="A3502" i="5" s="1"/>
  <c r="D3502" i="5"/>
  <c r="AU3504" i="5"/>
  <c r="A3504" i="5" s="1"/>
  <c r="D3504" i="5"/>
  <c r="AU3508" i="5"/>
  <c r="AX3508" i="5"/>
  <c r="D3508" i="5"/>
  <c r="AU3511" i="5"/>
  <c r="A3511" i="5" s="1"/>
  <c r="AX3511" i="5"/>
  <c r="AJ1407" i="5"/>
  <c r="AW1407" i="5"/>
  <c r="AX1407" i="5" s="1"/>
  <c r="AS1374" i="5"/>
  <c r="AT1374" i="5"/>
  <c r="AK1245" i="5"/>
  <c r="AW1245" i="5"/>
  <c r="AX1245" i="5" s="1"/>
  <c r="AY1245" i="5"/>
  <c r="AK1216" i="5"/>
  <c r="AL1216" i="5"/>
  <c r="AI1216" i="5"/>
  <c r="AY1216" i="5"/>
  <c r="AS1128" i="5"/>
  <c r="AT1128" i="5"/>
  <c r="AS1096" i="5"/>
  <c r="AT1096" i="5"/>
  <c r="AT1037" i="5"/>
  <c r="AS1037" i="5"/>
  <c r="AL988" i="5"/>
  <c r="AY988" i="5"/>
  <c r="AZ988" i="5"/>
  <c r="AI989" i="5"/>
  <c r="AK988" i="5"/>
  <c r="AI988" i="5"/>
  <c r="AJ988" i="5"/>
  <c r="AS980" i="5"/>
  <c r="AT980" i="5"/>
  <c r="AY972" i="5"/>
  <c r="AL972" i="5"/>
  <c r="AK972" i="5"/>
  <c r="AQ972" i="5"/>
  <c r="AT964" i="5"/>
  <c r="AS964" i="5"/>
  <c r="AJ941" i="5"/>
  <c r="AI942" i="5"/>
  <c r="AW941" i="5"/>
  <c r="AX941" i="5" s="1"/>
  <c r="AU941" i="5"/>
  <c r="AV941" i="5" s="1"/>
  <c r="AL941" i="5"/>
  <c r="AR941" i="5"/>
  <c r="AT941" i="5" s="1"/>
  <c r="AY941" i="5"/>
  <c r="AK845" i="5"/>
  <c r="AJ845" i="5"/>
  <c r="AZ845" i="5"/>
  <c r="AI846" i="5"/>
  <c r="AY845" i="5"/>
  <c r="AT829" i="5"/>
  <c r="AS829" i="5"/>
  <c r="AY821" i="5"/>
  <c r="AZ821" i="5"/>
  <c r="AL821" i="5"/>
  <c r="AI822" i="5"/>
  <c r="AK821" i="5"/>
  <c r="AJ821" i="5"/>
  <c r="AI821" i="5"/>
  <c r="AY801" i="5"/>
  <c r="AZ801" i="5"/>
  <c r="AK801" i="5"/>
  <c r="AI801" i="5"/>
  <c r="AL801" i="5"/>
  <c r="AI802" i="5"/>
  <c r="AJ801" i="5"/>
  <c r="AT793" i="5"/>
  <c r="AS793" i="5"/>
  <c r="AL781" i="5"/>
  <c r="AZ781" i="5"/>
  <c r="AJ781" i="5"/>
  <c r="AK781" i="5"/>
  <c r="AI782" i="5"/>
  <c r="AQ781" i="5"/>
  <c r="AY781" i="5"/>
  <c r="AS773" i="5"/>
  <c r="AT773" i="5"/>
  <c r="AL741" i="5"/>
  <c r="AK741" i="5"/>
  <c r="AI741" i="5"/>
  <c r="AJ741" i="5"/>
  <c r="AY741" i="5"/>
  <c r="AZ741" i="5"/>
  <c r="AI742" i="5"/>
  <c r="AZ705" i="5"/>
  <c r="AJ705" i="5"/>
  <c r="AY705" i="5"/>
  <c r="AL705" i="5"/>
  <c r="AQ705" i="5"/>
  <c r="AI706" i="5"/>
  <c r="AK705" i="5"/>
  <c r="AT697" i="5"/>
  <c r="AS697" i="5"/>
  <c r="AL609" i="5"/>
  <c r="AR609" i="5"/>
  <c r="AT609" i="5" s="1"/>
  <c r="AK609" i="5"/>
  <c r="AZ609" i="5"/>
  <c r="AI610" i="5"/>
  <c r="AK593" i="5"/>
  <c r="AZ593" i="5"/>
  <c r="AL593" i="5"/>
  <c r="AL553" i="5"/>
  <c r="AW553" i="5"/>
  <c r="AX553" i="5" s="1"/>
  <c r="AR553" i="5"/>
  <c r="AS553" i="5" s="1"/>
  <c r="AK553" i="5"/>
  <c r="AZ553" i="5"/>
  <c r="AI554" i="5"/>
  <c r="AJ553" i="5"/>
  <c r="AY553" i="5"/>
  <c r="AU553" i="5"/>
  <c r="AV553" i="5" s="1"/>
  <c r="AQ553" i="5"/>
  <c r="AZ451" i="5"/>
  <c r="AL451" i="5"/>
  <c r="AQ451" i="5"/>
  <c r="AY451" i="5"/>
  <c r="AI451" i="5"/>
  <c r="AJ451" i="5"/>
  <c r="AI452" i="5"/>
  <c r="AI459" i="5"/>
  <c r="AK451" i="5"/>
  <c r="AS439" i="5"/>
  <c r="AT439" i="5"/>
  <c r="AS431" i="5"/>
  <c r="AT431" i="5"/>
  <c r="AS411" i="5"/>
  <c r="AT411" i="5"/>
  <c r="AJ395" i="5"/>
  <c r="AI396" i="5"/>
  <c r="AZ395" i="5"/>
  <c r="AI395" i="5"/>
  <c r="AL395" i="5"/>
  <c r="AY395" i="5"/>
  <c r="AT315" i="5"/>
  <c r="AS315" i="5"/>
  <c r="AY299" i="5"/>
  <c r="AJ299" i="5"/>
  <c r="AK299" i="5"/>
  <c r="AI299" i="5"/>
  <c r="AI300" i="5"/>
  <c r="AZ299" i="5"/>
  <c r="AT287" i="5"/>
  <c r="AS287" i="5"/>
  <c r="D4767" i="5"/>
  <c r="F4767" i="5" s="1"/>
  <c r="F4763" i="5"/>
  <c r="A4793" i="5"/>
  <c r="A4794" i="5" s="1"/>
  <c r="C4794" i="5" s="1"/>
  <c r="C4792" i="5"/>
  <c r="C4845" i="5"/>
  <c r="A4846" i="5"/>
  <c r="A4847" i="5" s="1"/>
  <c r="C4847" i="5" s="1"/>
  <c r="AU3370" i="5"/>
  <c r="AV3370" i="5" s="1"/>
  <c r="AW3370" i="5" s="1"/>
  <c r="AY3370" i="5" s="1"/>
  <c r="D3370" i="5"/>
  <c r="D3375" i="5"/>
  <c r="AU3375" i="5"/>
  <c r="AX3375" i="5"/>
  <c r="AX3381" i="5"/>
  <c r="AU3381" i="5"/>
  <c r="AV3381" i="5" s="1"/>
  <c r="AW3381" i="5" s="1"/>
  <c r="AY3381" i="5" s="1"/>
  <c r="AU3384" i="5"/>
  <c r="AV3384" i="5" s="1"/>
  <c r="AW3384" i="5" s="1"/>
  <c r="AY3384" i="5" s="1"/>
  <c r="D3384" i="5"/>
  <c r="D3386" i="5"/>
  <c r="AU3386" i="5"/>
  <c r="A3386" i="5" s="1"/>
  <c r="D3388" i="5"/>
  <c r="AX3388" i="5"/>
  <c r="AU3388" i="5"/>
  <c r="A3388" i="5" s="1"/>
  <c r="D3390" i="5"/>
  <c r="AU3390" i="5"/>
  <c r="A3390" i="5" s="1"/>
  <c r="AX3390" i="5"/>
  <c r="D3396" i="5"/>
  <c r="AU3396" i="5"/>
  <c r="AV3396" i="5" s="1"/>
  <c r="AW3396" i="5" s="1"/>
  <c r="AY3396" i="5" s="1"/>
  <c r="D3401" i="5"/>
  <c r="AU3401" i="5"/>
  <c r="AV3401" i="5" s="1"/>
  <c r="AW3401" i="5" s="1"/>
  <c r="AY3401" i="5" s="1"/>
  <c r="AU3404" i="5"/>
  <c r="AV3404" i="5" s="1"/>
  <c r="AW3404" i="5" s="1"/>
  <c r="AY3404" i="5" s="1"/>
  <c r="AX3404" i="5"/>
  <c r="D3404" i="5"/>
  <c r="AX3419" i="5"/>
  <c r="AU3419" i="5"/>
  <c r="A3419" i="5" s="1"/>
  <c r="AU3420" i="5"/>
  <c r="AV3420" i="5" s="1"/>
  <c r="AW3420" i="5" s="1"/>
  <c r="AY3420" i="5" s="1"/>
  <c r="D3420" i="5"/>
  <c r="AU3423" i="5"/>
  <c r="A3423" i="5" s="1"/>
  <c r="AX3423" i="5"/>
  <c r="D3423" i="5"/>
  <c r="AX3441" i="5"/>
  <c r="AU3441" i="5"/>
  <c r="A3441" i="5" s="1"/>
  <c r="AX3457" i="5"/>
  <c r="D3457" i="5"/>
  <c r="AI1066" i="5"/>
  <c r="AI1246" i="5"/>
  <c r="AY573" i="5"/>
  <c r="D3454" i="5"/>
  <c r="AX3460" i="5"/>
  <c r="AU3454" i="5"/>
  <c r="A3454" i="5" s="1"/>
  <c r="AX3442" i="5"/>
  <c r="AX3409" i="5"/>
  <c r="AU3402" i="5"/>
  <c r="AV3402" i="5" s="1"/>
  <c r="AW3402" i="5" s="1"/>
  <c r="AY3402" i="5" s="1"/>
  <c r="AU3385" i="5"/>
  <c r="AV3385" i="5" s="1"/>
  <c r="AW3385" i="5" s="1"/>
  <c r="AY3385" i="5" s="1"/>
  <c r="AX3379" i="5"/>
  <c r="AU3364" i="5"/>
  <c r="A3364" i="5" s="1"/>
  <c r="AI429" i="5"/>
  <c r="AS601" i="5"/>
  <c r="AM284" i="5"/>
  <c r="AR295" i="5"/>
  <c r="AS295" i="5" s="1"/>
  <c r="AY323" i="5"/>
  <c r="AQ343" i="5"/>
  <c r="AW356" i="5"/>
  <c r="AX356" i="5" s="1"/>
  <c r="AW367" i="5"/>
  <c r="AX367" i="5" s="1"/>
  <c r="AR380" i="5"/>
  <c r="AR391" i="5"/>
  <c r="AT391" i="5" s="1"/>
  <c r="AR415" i="5"/>
  <c r="AS415" i="5" s="1"/>
  <c r="AZ447" i="5"/>
  <c r="AS489" i="5"/>
  <c r="AJ633" i="5"/>
  <c r="AQ721" i="5"/>
  <c r="AW1080" i="5"/>
  <c r="AX1080" i="5" s="1"/>
  <c r="AS928" i="5"/>
  <c r="AI969" i="5"/>
  <c r="AK1028" i="5"/>
  <c r="AZ1080" i="5"/>
  <c r="AJ1176" i="5"/>
  <c r="AY1342" i="5"/>
  <c r="AZ1519" i="5"/>
  <c r="AS1758" i="5"/>
  <c r="AT1758" i="5"/>
  <c r="AU1322" i="5"/>
  <c r="AV1322" i="5" s="1"/>
  <c r="AR1322" i="5"/>
  <c r="AS1322" i="5" s="1"/>
  <c r="AZ1322" i="5"/>
  <c r="AU1256" i="5"/>
  <c r="AV1256" i="5" s="1"/>
  <c r="AK1256" i="5"/>
  <c r="AY1256" i="5"/>
  <c r="AL1256" i="5"/>
  <c r="AJ1256" i="5"/>
  <c r="AI1256" i="5"/>
  <c r="AT1224" i="5"/>
  <c r="AS1224" i="5"/>
  <c r="AZ1182" i="5"/>
  <c r="AK1182" i="5"/>
  <c r="AT1152" i="5"/>
  <c r="AS1152" i="5"/>
  <c r="AW1136" i="5"/>
  <c r="AX1136" i="5" s="1"/>
  <c r="AJ1136" i="5"/>
  <c r="AY1136" i="5"/>
  <c r="AL1136" i="5"/>
  <c r="AR1136" i="5"/>
  <c r="AT1136" i="5" s="1"/>
  <c r="AZ1136" i="5"/>
  <c r="AU1136" i="5"/>
  <c r="AV1136" i="5" s="1"/>
  <c r="AJ1048" i="5"/>
  <c r="AI1048" i="5"/>
  <c r="AL1048" i="5"/>
  <c r="AK1048" i="5"/>
  <c r="AS960" i="5"/>
  <c r="AT960" i="5"/>
  <c r="AT944" i="5"/>
  <c r="AS944" i="5"/>
  <c r="AJ916" i="5"/>
  <c r="AL916" i="5"/>
  <c r="AY916" i="5"/>
  <c r="AZ916" i="5"/>
  <c r="AK916" i="5"/>
  <c r="AI917" i="5"/>
  <c r="AI886" i="5"/>
  <c r="AL885" i="5"/>
  <c r="AK885" i="5"/>
  <c r="AY885" i="5"/>
  <c r="AZ885" i="5"/>
  <c r="AI885" i="5"/>
  <c r="AL841" i="5"/>
  <c r="AJ841" i="5"/>
  <c r="AZ841" i="5"/>
  <c r="AI842" i="5"/>
  <c r="AI841" i="5"/>
  <c r="AQ841" i="5"/>
  <c r="AY841" i="5"/>
  <c r="AS809" i="5"/>
  <c r="AT809" i="5"/>
  <c r="AZ777" i="5"/>
  <c r="AW777" i="5"/>
  <c r="AX777" i="5" s="1"/>
  <c r="AL777" i="5"/>
  <c r="AU777" i="5"/>
  <c r="AV777" i="5" s="1"/>
  <c r="AK777" i="5"/>
  <c r="AR777" i="5"/>
  <c r="AS777" i="5" s="1"/>
  <c r="AY777" i="5"/>
  <c r="AJ777" i="5"/>
  <c r="AJ665" i="5"/>
  <c r="AU665" i="5"/>
  <c r="AV665" i="5" s="1"/>
  <c r="AR665" i="5"/>
  <c r="AS665" i="5" s="1"/>
  <c r="AK665" i="5"/>
  <c r="AL665" i="5"/>
  <c r="AW665" i="5"/>
  <c r="AX665" i="5" s="1"/>
  <c r="AZ665" i="5"/>
  <c r="AY665" i="5"/>
  <c r="AQ665" i="5"/>
  <c r="AI665" i="5"/>
  <c r="AY577" i="5"/>
  <c r="AK577" i="5"/>
  <c r="AJ577" i="5"/>
  <c r="AZ577" i="5"/>
  <c r="AL577" i="5"/>
  <c r="AT565" i="5"/>
  <c r="AS565" i="5"/>
  <c r="AW526" i="5"/>
  <c r="AX526" i="5" s="1"/>
  <c r="AU526" i="5"/>
  <c r="AV526" i="5" s="1"/>
  <c r="AZ526" i="5"/>
  <c r="AI527" i="5"/>
  <c r="AR526" i="5"/>
  <c r="AS526" i="5" s="1"/>
  <c r="AK526" i="5"/>
  <c r="AY526" i="5"/>
  <c r="AJ526" i="5"/>
  <c r="AL526" i="5"/>
  <c r="AK428" i="5"/>
  <c r="AW428" i="5"/>
  <c r="AX428" i="5" s="1"/>
  <c r="AJ428" i="5"/>
  <c r="AU428" i="5"/>
  <c r="AV428" i="5" s="1"/>
  <c r="AZ428" i="5"/>
  <c r="AQ428" i="5"/>
  <c r="AI371" i="5"/>
  <c r="AJ371" i="5"/>
  <c r="AY371" i="5"/>
  <c r="AL371" i="5"/>
  <c r="AQ371" i="5"/>
  <c r="AI320" i="5"/>
  <c r="AJ319" i="5"/>
  <c r="AY319" i="5"/>
  <c r="AR319" i="5"/>
  <c r="AK319" i="5"/>
  <c r="AW319" i="5"/>
  <c r="AX319" i="5" s="1"/>
  <c r="AK308" i="5"/>
  <c r="AQ308" i="5"/>
  <c r="AW308" i="5"/>
  <c r="AX308" i="5" s="1"/>
  <c r="AY308" i="5"/>
  <c r="AU308" i="5"/>
  <c r="AV308" i="5" s="1"/>
  <c r="D3378" i="5"/>
  <c r="AX3378" i="5"/>
  <c r="AU3394" i="5"/>
  <c r="AV3394" i="5" s="1"/>
  <c r="AW3394" i="5" s="1"/>
  <c r="AY3394" i="5" s="1"/>
  <c r="D3394" i="5"/>
  <c r="AX3394" i="5"/>
  <c r="AX3400" i="5"/>
  <c r="D3400" i="5"/>
  <c r="D3407" i="5"/>
  <c r="AU3407" i="5"/>
  <c r="AV3407" i="5" s="1"/>
  <c r="AW3407" i="5" s="1"/>
  <c r="AY3407" i="5" s="1"/>
  <c r="D3424" i="5"/>
  <c r="AU3424" i="5"/>
  <c r="AV3424" i="5" s="1"/>
  <c r="AW3424" i="5" s="1"/>
  <c r="AY3424" i="5" s="1"/>
  <c r="D3427" i="5"/>
  <c r="AX3427" i="5"/>
  <c r="N3512" i="5"/>
  <c r="M3512" i="5" s="1"/>
  <c r="F3512" i="5" s="1"/>
  <c r="L3512" i="5" s="1"/>
  <c r="M3433" i="5"/>
  <c r="F3433" i="5" s="1"/>
  <c r="L3433" i="5" s="1"/>
  <c r="N3972" i="5"/>
  <c r="M3972" i="5" s="1"/>
  <c r="F3972" i="5" s="1"/>
  <c r="L3972" i="5" s="1"/>
  <c r="M3963" i="5"/>
  <c r="F3963" i="5" s="1"/>
  <c r="L3963" i="5" s="1"/>
  <c r="D3443" i="5"/>
  <c r="AU3443" i="5"/>
  <c r="A3443" i="5" s="1"/>
  <c r="AX3443" i="5"/>
  <c r="D3444" i="5"/>
  <c r="AU3444" i="5"/>
  <c r="A3444" i="5" s="1"/>
  <c r="D3446" i="5"/>
  <c r="AU3446" i="5"/>
  <c r="A3446" i="5" s="1"/>
  <c r="D3450" i="5"/>
  <c r="AU3450" i="5"/>
  <c r="A3450" i="5" s="1"/>
  <c r="AU3451" i="5"/>
  <c r="D3451" i="5"/>
  <c r="AX3451" i="5"/>
  <c r="AU3453" i="5"/>
  <c r="A3453" i="5" s="1"/>
  <c r="D3453" i="5"/>
  <c r="AX3458" i="5"/>
  <c r="D3458" i="5"/>
  <c r="AX3464" i="5"/>
  <c r="AU3464" i="5"/>
  <c r="A3464" i="5" s="1"/>
  <c r="D3369" i="5"/>
  <c r="AU3465" i="5"/>
  <c r="A3465" i="5" s="1"/>
  <c r="AU3460" i="5"/>
  <c r="A3460" i="5" s="1"/>
  <c r="AU3392" i="5"/>
  <c r="A3392" i="5" s="1"/>
  <c r="D3385" i="5"/>
  <c r="AU3379" i="5"/>
  <c r="AV3379" i="5" s="1"/>
  <c r="AW3379" i="5" s="1"/>
  <c r="AY3379" i="5" s="1"/>
  <c r="D3371" i="5"/>
  <c r="AU3363" i="5"/>
  <c r="A3363" i="5" s="1"/>
  <c r="AI372" i="5"/>
  <c r="AT625" i="5"/>
  <c r="AL474" i="5"/>
  <c r="AZ284" i="5"/>
  <c r="AL299" i="5"/>
  <c r="AT311" i="5"/>
  <c r="AI323" i="5"/>
  <c r="AY356" i="5"/>
  <c r="AK367" i="5"/>
  <c r="AY415" i="5"/>
  <c r="AR428" i="5"/>
  <c r="AT428" i="5" s="1"/>
  <c r="AJ474" i="5"/>
  <c r="AI577" i="5"/>
  <c r="AQ638" i="5"/>
  <c r="AS737" i="5"/>
  <c r="AS1092" i="5"/>
  <c r="AI897" i="5"/>
  <c r="AL932" i="5"/>
  <c r="AJ972" i="5"/>
  <c r="AS1040" i="5"/>
  <c r="AK1136" i="5"/>
  <c r="AZ1342" i="5"/>
  <c r="AQ694" i="5"/>
  <c r="AK1490" i="5"/>
  <c r="AW1490" i="5"/>
  <c r="AX1490" i="5" s="1"/>
  <c r="AZ1434" i="5"/>
  <c r="AL1434" i="5"/>
  <c r="AR1378" i="5"/>
  <c r="AS1378" i="5" s="1"/>
  <c r="AK1378" i="5"/>
  <c r="AY1378" i="5"/>
  <c r="AS1370" i="5"/>
  <c r="AT1370" i="5"/>
  <c r="AY1351" i="5"/>
  <c r="AW1351" i="5"/>
  <c r="AX1351" i="5" s="1"/>
  <c r="AR1351" i="5"/>
  <c r="AT1351" i="5" s="1"/>
  <c r="AU1351" i="5"/>
  <c r="AV1351" i="5" s="1"/>
  <c r="AK1326" i="5"/>
  <c r="AZ1326" i="5"/>
  <c r="AI1327" i="5"/>
  <c r="AT1318" i="5"/>
  <c r="AS1318" i="5"/>
  <c r="AY1232" i="5"/>
  <c r="AW1232" i="5"/>
  <c r="AX1232" i="5" s="1"/>
  <c r="AK1232" i="5"/>
  <c r="AW1192" i="5"/>
  <c r="AX1192" i="5" s="1"/>
  <c r="AK1192" i="5"/>
  <c r="AZ1192" i="5"/>
  <c r="AR1192" i="5"/>
  <c r="AT1192" i="5" s="1"/>
  <c r="AI1166" i="5"/>
  <c r="AR1165" i="5"/>
  <c r="AY1165" i="5"/>
  <c r="AW1165" i="5"/>
  <c r="AX1165" i="5" s="1"/>
  <c r="AU1109" i="5"/>
  <c r="AV1109" i="5" s="1"/>
  <c r="AW1109" i="5"/>
  <c r="AX1109" i="5" s="1"/>
  <c r="AK1109" i="5"/>
  <c r="AZ1109" i="5"/>
  <c r="AR1109" i="5"/>
  <c r="AS1109" i="5" s="1"/>
  <c r="AY1064" i="5"/>
  <c r="AI1064" i="5"/>
  <c r="AJ1064" i="5"/>
  <c r="AZ1064" i="5"/>
  <c r="AS1057" i="5"/>
  <c r="AT1057" i="5"/>
  <c r="AJ1008" i="5"/>
  <c r="AI1008" i="5"/>
  <c r="AZ1008" i="5"/>
  <c r="AL1008" i="5"/>
  <c r="AK1008" i="5"/>
  <c r="AQ1008" i="5"/>
  <c r="AY1008" i="5"/>
  <c r="AT1000" i="5"/>
  <c r="AS1000" i="5"/>
  <c r="AI936" i="5"/>
  <c r="AL936" i="5"/>
  <c r="AZ936" i="5"/>
  <c r="AI937" i="5"/>
  <c r="AJ936" i="5"/>
  <c r="AK936" i="5"/>
  <c r="AS908" i="5"/>
  <c r="AT908" i="5"/>
  <c r="AZ806" i="5"/>
  <c r="AY806" i="5"/>
  <c r="AL806" i="5"/>
  <c r="AI807" i="5"/>
  <c r="AK806" i="5"/>
  <c r="AU806" i="5"/>
  <c r="AV806" i="5" s="1"/>
  <c r="AW806" i="5"/>
  <c r="AX806" i="5" s="1"/>
  <c r="AR806" i="5"/>
  <c r="AJ685" i="5"/>
  <c r="AL685" i="5"/>
  <c r="AI685" i="5"/>
  <c r="AZ685" i="5"/>
  <c r="AI686" i="5"/>
  <c r="AY685" i="5"/>
  <c r="AS657" i="5"/>
  <c r="AT657" i="5"/>
  <c r="AI629" i="5"/>
  <c r="AY629" i="5"/>
  <c r="AJ629" i="5"/>
  <c r="AI630" i="5"/>
  <c r="AL629" i="5"/>
  <c r="AZ629" i="5"/>
  <c r="AK613" i="5"/>
  <c r="AY613" i="5"/>
  <c r="AZ613" i="5"/>
  <c r="AQ613" i="5"/>
  <c r="AI613" i="5"/>
  <c r="AW391" i="5"/>
  <c r="AX391" i="5" s="1"/>
  <c r="AQ391" i="5"/>
  <c r="AJ391" i="5"/>
  <c r="AL391" i="5"/>
  <c r="AU391" i="5"/>
  <c r="AV391" i="5" s="1"/>
  <c r="AZ391" i="5"/>
  <c r="AY380" i="5"/>
  <c r="AI380" i="5"/>
  <c r="AW380" i="5"/>
  <c r="AX380" i="5" s="1"/>
  <c r="AL380" i="5"/>
  <c r="AU380" i="5"/>
  <c r="AV380" i="5" s="1"/>
  <c r="AJ380" i="5"/>
  <c r="AZ380" i="5"/>
  <c r="AK380" i="5"/>
  <c r="AK343" i="5"/>
  <c r="AU343" i="5"/>
  <c r="AV343" i="5" s="1"/>
  <c r="AL343" i="5"/>
  <c r="AZ343" i="5"/>
  <c r="AR343" i="5"/>
  <c r="AS343" i="5" s="1"/>
  <c r="AI344" i="5"/>
  <c r="AR332" i="5"/>
  <c r="AT332" i="5" s="1"/>
  <c r="AI333" i="5"/>
  <c r="AQ332" i="5"/>
  <c r="AY332" i="5"/>
  <c r="AL332" i="5"/>
  <c r="AU332" i="5"/>
  <c r="AV332" i="5" s="1"/>
  <c r="AK332" i="5"/>
  <c r="AZ332" i="5"/>
  <c r="AJ332" i="5"/>
  <c r="AI332" i="5"/>
  <c r="AX3366" i="5"/>
  <c r="AU3366" i="5"/>
  <c r="AV3366" i="5" s="1"/>
  <c r="AW3366" i="5" s="1"/>
  <c r="AY3366" i="5" s="1"/>
  <c r="D3366" i="5"/>
  <c r="AU3368" i="5"/>
  <c r="AV3368" i="5" s="1"/>
  <c r="AW3368" i="5" s="1"/>
  <c r="AY3368" i="5" s="1"/>
  <c r="D3368" i="5"/>
  <c r="AX3373" i="5"/>
  <c r="D3373" i="5"/>
  <c r="AU3373" i="5"/>
  <c r="A3373" i="5" s="1"/>
  <c r="AX3380" i="5"/>
  <c r="D3380" i="5"/>
  <c r="AU3380" i="5"/>
  <c r="AV3380" i="5" s="1"/>
  <c r="AW3380" i="5" s="1"/>
  <c r="AY3380" i="5" s="1"/>
  <c r="AU3403" i="5"/>
  <c r="AV3403" i="5" s="1"/>
  <c r="AW3403" i="5" s="1"/>
  <c r="AY3403" i="5" s="1"/>
  <c r="AX3403" i="5"/>
  <c r="D3403" i="5"/>
  <c r="AU3408" i="5"/>
  <c r="A3408" i="5" s="1"/>
  <c r="D3408" i="5"/>
  <c r="AX3408" i="5"/>
  <c r="AU3416" i="5"/>
  <c r="AV3416" i="5" s="1"/>
  <c r="AW3416" i="5" s="1"/>
  <c r="AY3416" i="5" s="1"/>
  <c r="D3416" i="5"/>
  <c r="AX3416" i="5"/>
  <c r="AU3418" i="5"/>
  <c r="A3418" i="5" s="1"/>
  <c r="D3418" i="5"/>
  <c r="AX3418" i="5"/>
  <c r="AU3421" i="5"/>
  <c r="A3421" i="5" s="1"/>
  <c r="AX3421" i="5"/>
  <c r="AX3430" i="5"/>
  <c r="AU3430" i="5"/>
  <c r="A3430" i="5" s="1"/>
  <c r="D3432" i="5"/>
  <c r="AX3432" i="5"/>
  <c r="AU3432" i="5"/>
  <c r="A3432" i="5" s="1"/>
  <c r="M4429" i="5"/>
  <c r="F4430" i="5" s="1"/>
  <c r="N4433" i="5"/>
  <c r="M4433" i="5" s="1"/>
  <c r="F4434" i="5" s="1"/>
  <c r="AI284" i="5"/>
  <c r="AU3400" i="5"/>
  <c r="A3400" i="5" s="1"/>
  <c r="AX3465" i="5"/>
  <c r="AU3459" i="5"/>
  <c r="A3459" i="5" s="1"/>
  <c r="AX3449" i="5"/>
  <c r="D3406" i="5"/>
  <c r="AU3399" i="5"/>
  <c r="D3392" i="5"/>
  <c r="AX3384" i="5"/>
  <c r="AX3370" i="5"/>
  <c r="AX3363" i="5"/>
  <c r="AI649" i="5"/>
  <c r="AI609" i="5"/>
  <c r="AQ577" i="5"/>
  <c r="AQ299" i="5"/>
  <c r="AW343" i="5"/>
  <c r="AX343" i="5" s="1"/>
  <c r="AL356" i="5"/>
  <c r="AR367" i="5"/>
  <c r="AS367" i="5" s="1"/>
  <c r="AQ380" i="5"/>
  <c r="AY391" i="5"/>
  <c r="AI415" i="5"/>
  <c r="AL428" i="5"/>
  <c r="AQ474" i="5"/>
  <c r="AY497" i="5"/>
  <c r="AL582" i="5"/>
  <c r="AI650" i="5"/>
  <c r="AS1112" i="5"/>
  <c r="AL896" i="5"/>
  <c r="AY936" i="5"/>
  <c r="AZ972" i="5"/>
  <c r="AY1048" i="5"/>
  <c r="AZ1084" i="5"/>
  <c r="AI1137" i="5"/>
  <c r="AZ1362" i="5"/>
  <c r="AZ1633" i="5"/>
  <c r="AS493" i="5"/>
  <c r="AS2022" i="5"/>
  <c r="AT2022" i="5"/>
  <c r="AT1601" i="5"/>
  <c r="AS1601" i="5"/>
  <c r="AI1458" i="5"/>
  <c r="AY1458" i="5"/>
  <c r="AL1458" i="5"/>
  <c r="AT1410" i="5"/>
  <c r="AS1410" i="5"/>
  <c r="AS1354" i="5"/>
  <c r="AT1354" i="5"/>
  <c r="AZ1346" i="5"/>
  <c r="AY1346" i="5"/>
  <c r="AI1347" i="5"/>
  <c r="AL1346" i="5"/>
  <c r="AZ1212" i="5"/>
  <c r="AL1212" i="5"/>
  <c r="AW1122" i="5"/>
  <c r="AX1122" i="5" s="1"/>
  <c r="AI1122" i="5"/>
  <c r="AI1123" i="5"/>
  <c r="AU1122" i="5"/>
  <c r="AV1122" i="5" s="1"/>
  <c r="AL1122" i="5"/>
  <c r="AZ1122" i="5"/>
  <c r="AK1122" i="5"/>
  <c r="AR1122" i="5"/>
  <c r="AS1122" i="5" s="1"/>
  <c r="AJ1122" i="5"/>
  <c r="AY1104" i="5"/>
  <c r="AL1104" i="5"/>
  <c r="AK1104" i="5"/>
  <c r="AZ1104" i="5"/>
  <c r="AI1104" i="5"/>
  <c r="AJ1104" i="5"/>
  <c r="AJ1080" i="5"/>
  <c r="AR1080" i="5"/>
  <c r="AS1080" i="5" s="1"/>
  <c r="AY1080" i="5"/>
  <c r="AI1081" i="5"/>
  <c r="AK1080" i="5"/>
  <c r="AL1080" i="5"/>
  <c r="AS1076" i="5"/>
  <c r="AT1076" i="5"/>
  <c r="AY1044" i="5"/>
  <c r="AK1044" i="5"/>
  <c r="AZ1044" i="5"/>
  <c r="AL1044" i="5"/>
  <c r="AT1036" i="5"/>
  <c r="AS1036" i="5"/>
  <c r="AU997" i="5"/>
  <c r="AV997" i="5" s="1"/>
  <c r="AJ997" i="5"/>
  <c r="AZ997" i="5"/>
  <c r="AK997" i="5"/>
  <c r="AY997" i="5"/>
  <c r="AI997" i="5"/>
  <c r="AI952" i="5"/>
  <c r="AY952" i="5"/>
  <c r="AZ952" i="5"/>
  <c r="AL952" i="5"/>
  <c r="AS924" i="5"/>
  <c r="AT924" i="5"/>
  <c r="AU912" i="5"/>
  <c r="AV912" i="5" s="1"/>
  <c r="AZ912" i="5"/>
  <c r="AW912" i="5"/>
  <c r="AX912" i="5" s="1"/>
  <c r="AJ912" i="5"/>
  <c r="AY912" i="5"/>
  <c r="AL912" i="5"/>
  <c r="AT753" i="5"/>
  <c r="AS753" i="5"/>
  <c r="AL745" i="5"/>
  <c r="AQ745" i="5"/>
  <c r="AK745" i="5"/>
  <c r="AI745" i="5"/>
  <c r="AJ745" i="5"/>
  <c r="AY745" i="5"/>
  <c r="AZ745" i="5"/>
  <c r="AS733" i="5"/>
  <c r="AT733" i="5"/>
  <c r="AS713" i="5"/>
  <c r="AT713" i="5"/>
  <c r="AU707" i="5"/>
  <c r="AV707" i="5" s="1"/>
  <c r="AK707" i="5"/>
  <c r="AR707" i="5"/>
  <c r="AT707" i="5" s="1"/>
  <c r="AW707" i="5"/>
  <c r="AX707" i="5" s="1"/>
  <c r="AJ707" i="5"/>
  <c r="AI707" i="5"/>
  <c r="AI708" i="5"/>
  <c r="AL707" i="5"/>
  <c r="AZ707" i="5"/>
  <c r="AQ707" i="5"/>
  <c r="AY707" i="5"/>
  <c r="AI689" i="5"/>
  <c r="AQ689" i="5"/>
  <c r="AK689" i="5"/>
  <c r="AI690" i="5"/>
  <c r="AY689" i="5"/>
  <c r="AS677" i="5"/>
  <c r="AT677" i="5"/>
  <c r="AT641" i="5"/>
  <c r="AS641" i="5"/>
  <c r="AY557" i="5"/>
  <c r="AK557" i="5"/>
  <c r="AJ557" i="5"/>
  <c r="AQ557" i="5"/>
  <c r="AL557" i="5"/>
  <c r="AZ557" i="5"/>
  <c r="AI558" i="5"/>
  <c r="AI557" i="5"/>
  <c r="AI521" i="5"/>
  <c r="AY521" i="5"/>
  <c r="AI522" i="5"/>
  <c r="AK521" i="5"/>
  <c r="AJ521" i="5"/>
  <c r="AQ521" i="5"/>
  <c r="AZ521" i="5"/>
  <c r="AS513" i="5"/>
  <c r="AT513" i="5"/>
  <c r="AJ419" i="5"/>
  <c r="AZ419" i="5"/>
  <c r="AI420" i="5"/>
  <c r="AK419" i="5"/>
  <c r="AL419" i="5"/>
  <c r="AZ347" i="5"/>
  <c r="AI347" i="5"/>
  <c r="AL347" i="5"/>
  <c r="AK347" i="5"/>
  <c r="AI348" i="5"/>
  <c r="AQ323" i="5"/>
  <c r="AZ323" i="5"/>
  <c r="AL323" i="5"/>
  <c r="AJ284" i="5"/>
  <c r="AY284" i="5"/>
  <c r="AQ284" i="5"/>
  <c r="A4822" i="5"/>
  <c r="A4823" i="5" s="1"/>
  <c r="C4821" i="5"/>
  <c r="F105" i="5"/>
  <c r="U114" i="5"/>
  <c r="F120" i="5" s="1"/>
  <c r="AI993" i="5"/>
  <c r="AI1045" i="5"/>
  <c r="AI1049" i="5"/>
  <c r="AI973" i="5"/>
  <c r="AI1065" i="5"/>
  <c r="AU3448" i="5"/>
  <c r="A3448" i="5" s="1"/>
  <c r="AX3365" i="5"/>
  <c r="D3464" i="5"/>
  <c r="D3459" i="5"/>
  <c r="D3449" i="5"/>
  <c r="AX3406" i="5"/>
  <c r="D3399" i="5"/>
  <c r="AX3383" i="5"/>
  <c r="AX3376" i="5"/>
  <c r="D3362" i="5"/>
  <c r="AJ609" i="5"/>
  <c r="AQ573" i="5"/>
  <c r="AT621" i="5"/>
  <c r="AL284" i="5"/>
  <c r="AL308" i="5"/>
  <c r="AQ319" i="5"/>
  <c r="AK323" i="5"/>
  <c r="AI343" i="5"/>
  <c r="AZ356" i="5"/>
  <c r="AL367" i="5"/>
  <c r="AT383" i="5"/>
  <c r="AQ395" i="5"/>
  <c r="AL415" i="5"/>
  <c r="AY428" i="5"/>
  <c r="AZ474" i="5"/>
  <c r="AI497" i="5"/>
  <c r="AI594" i="5"/>
  <c r="AL649" i="5"/>
  <c r="AZ750" i="5"/>
  <c r="AK841" i="5"/>
  <c r="AS904" i="5"/>
  <c r="AK941" i="5"/>
  <c r="AI992" i="5"/>
  <c r="AZ1048" i="5"/>
  <c r="AY1100" i="5"/>
  <c r="AL1142" i="5"/>
  <c r="AJ1212" i="5"/>
  <c r="AS1390" i="5"/>
  <c r="AI1770" i="5"/>
  <c r="A4863" i="5"/>
  <c r="C4863" i="5" s="1"/>
  <c r="C4862" i="5"/>
  <c r="G1273" i="5"/>
  <c r="H1273" i="5" s="1"/>
  <c r="AM1273" i="5"/>
  <c r="AZ862" i="5"/>
  <c r="AK862" i="5"/>
  <c r="AL862" i="5"/>
  <c r="AY862" i="5"/>
  <c r="AI862" i="5"/>
  <c r="AQ862" i="5"/>
  <c r="AJ862" i="5"/>
  <c r="A4927" i="5"/>
  <c r="A4928" i="5" s="1"/>
  <c r="C4926" i="5"/>
  <c r="F4055" i="5"/>
  <c r="Q4058" i="5"/>
  <c r="F4059" i="5" s="1"/>
  <c r="F3886" i="5"/>
  <c r="O3890" i="5"/>
  <c r="F3889" i="5" s="1"/>
  <c r="F3662" i="5"/>
  <c r="U3664" i="5"/>
  <c r="U3665" i="5" s="1"/>
  <c r="F3667" i="5" s="1"/>
  <c r="F150" i="5"/>
  <c r="T161" i="5"/>
  <c r="F165" i="5" s="1"/>
  <c r="G3740" i="5"/>
  <c r="H3740" i="5" s="1"/>
  <c r="P3741" i="5"/>
  <c r="G3741" i="5" s="1"/>
  <c r="H3741" i="5" s="1"/>
  <c r="AJ455" i="5"/>
  <c r="AK455" i="5"/>
  <c r="AL455" i="5"/>
  <c r="AY455" i="5"/>
  <c r="AI456" i="5"/>
  <c r="AQ455" i="5"/>
  <c r="AI455" i="5"/>
  <c r="AI458" i="5"/>
  <c r="AT461" i="5"/>
  <c r="AS461" i="5"/>
  <c r="AM458" i="5"/>
  <c r="G458" i="5"/>
  <c r="H458" i="5" s="1"/>
  <c r="G3552" i="5"/>
  <c r="H3552" i="5" s="1"/>
  <c r="R3548" i="5"/>
  <c r="R3549" i="5" s="1"/>
  <c r="R3563" i="5" s="1"/>
  <c r="R3564" i="5" s="1"/>
  <c r="X3547" i="5"/>
  <c r="F3552" i="5" s="1"/>
  <c r="G1279" i="5"/>
  <c r="H1279" i="5" s="1"/>
  <c r="AM1281" i="5"/>
  <c r="AT1282" i="5"/>
  <c r="AS1282" i="5"/>
  <c r="G190" i="5"/>
  <c r="H190" i="5" s="1"/>
  <c r="O205" i="5"/>
  <c r="O220" i="5" s="1"/>
  <c r="G220" i="5" s="1"/>
  <c r="H220" i="5" s="1"/>
  <c r="O191" i="5"/>
  <c r="F190" i="5" s="1"/>
  <c r="G4459" i="5"/>
  <c r="H4459" i="5" s="1"/>
  <c r="P4462" i="5"/>
  <c r="P4463" i="5" s="1"/>
  <c r="F4463" i="5" s="1"/>
  <c r="P4459" i="5"/>
  <c r="F4459" i="5" s="1"/>
  <c r="C5040" i="5"/>
  <c r="A5041" i="5"/>
  <c r="C5041" i="5" s="1"/>
  <c r="C5055" i="5"/>
  <c r="A5056" i="5"/>
  <c r="C5056" i="5" s="1"/>
  <c r="Q4462" i="5"/>
  <c r="Q4459" i="5"/>
  <c r="F4460" i="5" s="1"/>
  <c r="G4460" i="5"/>
  <c r="H4460" i="5" s="1"/>
  <c r="G2151" i="5"/>
  <c r="H2151" i="5" s="1"/>
  <c r="AM2142" i="5"/>
  <c r="AT465" i="5"/>
  <c r="AS465" i="5"/>
  <c r="AP877" i="5"/>
  <c r="M877" i="5"/>
  <c r="F877" i="5" s="1"/>
  <c r="G877" i="5" s="1"/>
  <c r="H877" i="5" s="1"/>
  <c r="M1724" i="5"/>
  <c r="F1724" i="5" s="1"/>
  <c r="G1724" i="5" s="1"/>
  <c r="H1724" i="5" s="1"/>
  <c r="AP1724" i="5"/>
  <c r="AQ1724" i="5" s="1"/>
  <c r="M1700" i="5"/>
  <c r="F1700" i="5" s="1"/>
  <c r="G1700" i="5" s="1"/>
  <c r="H1700" i="5" s="1"/>
  <c r="AP1700" i="5"/>
  <c r="AQ1700" i="5" s="1"/>
  <c r="AL2167" i="5"/>
  <c r="AI2167" i="5"/>
  <c r="AZ2167" i="5"/>
  <c r="AY2167" i="5"/>
  <c r="AK2167" i="5"/>
  <c r="AZ455" i="5"/>
  <c r="AM1260" i="5"/>
  <c r="AM455" i="5"/>
  <c r="G5003" i="5"/>
  <c r="H5003" i="5" s="1"/>
  <c r="A5240" i="5"/>
  <c r="N5239" i="5"/>
  <c r="A5243" i="5" s="1"/>
  <c r="A5244" i="5" s="1"/>
  <c r="F4773" i="5"/>
  <c r="G4890" i="5"/>
  <c r="H4890" i="5" s="1"/>
  <c r="AQ1699" i="5"/>
  <c r="AQ1717" i="5"/>
  <c r="R15" i="10"/>
  <c r="R17" i="10"/>
  <c r="U16" i="14"/>
  <c r="U20" i="14" s="1"/>
  <c r="U22" i="14" s="1"/>
  <c r="V17" i="10"/>
  <c r="V15" i="10"/>
  <c r="E41" i="11"/>
  <c r="D41" i="11"/>
  <c r="C41" i="11"/>
  <c r="AY2316" i="5"/>
  <c r="T16" i="14"/>
  <c r="T20" i="14" s="1"/>
  <c r="T22" i="14" s="1"/>
  <c r="F56" i="4"/>
  <c r="M20" i="11"/>
  <c r="M24" i="11" s="1"/>
  <c r="K24" i="11"/>
  <c r="AL2425" i="5"/>
  <c r="AY2327" i="5"/>
  <c r="AL2307" i="5"/>
  <c r="AT2248" i="5"/>
  <c r="AL2327" i="5"/>
  <c r="AT2339" i="5"/>
  <c r="AZ2179" i="5"/>
  <c r="V16" i="14"/>
  <c r="V20" i="14" s="1"/>
  <c r="V22" i="14" s="1"/>
  <c r="AY2307" i="5"/>
  <c r="AZ2311" i="5"/>
  <c r="AK2369" i="5"/>
  <c r="G57" i="3"/>
  <c r="AJ2327" i="5"/>
  <c r="AJ2311" i="5"/>
  <c r="Y16" i="14"/>
  <c r="Y20" i="14" s="1"/>
  <c r="AL2311" i="5"/>
  <c r="R41" i="11"/>
  <c r="AS2191" i="5"/>
  <c r="AY2343" i="5"/>
  <c r="AT2381" i="5"/>
  <c r="AR2385" i="5"/>
  <c r="AS2385" i="5" s="1"/>
  <c r="AU2316" i="5"/>
  <c r="AV2316" i="5" s="1"/>
  <c r="AK2363" i="5"/>
  <c r="AZ2465" i="5"/>
  <c r="AK2277" i="5"/>
  <c r="E20" i="11"/>
  <c r="AZ2425" i="5"/>
  <c r="AL2549" i="5"/>
  <c r="AZ2549" i="5"/>
  <c r="AJ2461" i="5"/>
  <c r="AS2457" i="5"/>
  <c r="AK2549" i="5"/>
  <c r="AT2397" i="5"/>
  <c r="AZ2470" i="5"/>
  <c r="AI1919" i="5"/>
  <c r="AI1678" i="5"/>
  <c r="AQ1650" i="5"/>
  <c r="AI1531" i="5"/>
  <c r="AQ1439" i="5"/>
  <c r="AI1383" i="5"/>
  <c r="AQ1373" i="5"/>
  <c r="AQ1145" i="5"/>
  <c r="AI1574" i="5"/>
  <c r="AS1585" i="5"/>
  <c r="AY1677" i="5"/>
  <c r="AK2183" i="5"/>
  <c r="AS1762" i="5"/>
  <c r="AS1798" i="5"/>
  <c r="AY2086" i="5"/>
  <c r="AJ2086" i="5"/>
  <c r="AU1943" i="5"/>
  <c r="AV1943" i="5" s="1"/>
  <c r="AY1943" i="5"/>
  <c r="AZ1862" i="5"/>
  <c r="AI1863" i="5"/>
  <c r="AJ1862" i="5"/>
  <c r="AJ1842" i="5"/>
  <c r="AY1842" i="5"/>
  <c r="AL1842" i="5"/>
  <c r="AI1843" i="5"/>
  <c r="AI1807" i="5"/>
  <c r="AY1806" i="5"/>
  <c r="AJ1806" i="5"/>
  <c r="AK1629" i="5"/>
  <c r="AL1629" i="5"/>
  <c r="AZ1629" i="5"/>
  <c r="AS1625" i="5"/>
  <c r="AT1625" i="5"/>
  <c r="AI1614" i="5"/>
  <c r="AY1613" i="5"/>
  <c r="AK1613" i="5"/>
  <c r="AZ1613" i="5"/>
  <c r="AJ1593" i="5"/>
  <c r="AZ1593" i="5"/>
  <c r="AL1593" i="5"/>
  <c r="AI1594" i="5"/>
  <c r="AU1407" i="5"/>
  <c r="AV1407" i="5" s="1"/>
  <c r="AT1426" i="5"/>
  <c r="AL1454" i="5"/>
  <c r="AT1466" i="5"/>
  <c r="AY1494" i="5"/>
  <c r="AL1519" i="5"/>
  <c r="AZ1546" i="5"/>
  <c r="AY1593" i="5"/>
  <c r="AJ1613" i="5"/>
  <c r="AI1767" i="5"/>
  <c r="AI2530" i="5"/>
  <c r="AU2529" i="5"/>
  <c r="AV2529" i="5" s="1"/>
  <c r="AS2058" i="5"/>
  <c r="AT2058" i="5"/>
  <c r="AY1882" i="5"/>
  <c r="AL1882" i="5"/>
  <c r="AK1882" i="5"/>
  <c r="AZ1858" i="5"/>
  <c r="AJ1858" i="5"/>
  <c r="AR1858" i="5"/>
  <c r="AS1858" i="5" s="1"/>
  <c r="AW1858" i="5"/>
  <c r="AX1858" i="5" s="1"/>
  <c r="AW1831" i="5"/>
  <c r="AX1831" i="5" s="1"/>
  <c r="AY1831" i="5"/>
  <c r="AZ1831" i="5"/>
  <c r="AJ1831" i="5"/>
  <c r="AZ1822" i="5"/>
  <c r="AY1822" i="5"/>
  <c r="AJ1822" i="5"/>
  <c r="AT1794" i="5"/>
  <c r="AS1794" i="5"/>
  <c r="AK1775" i="5"/>
  <c r="AI1776" i="5"/>
  <c r="AW1775" i="5"/>
  <c r="AX1775" i="5" s="1"/>
  <c r="AZ1775" i="5"/>
  <c r="AL1738" i="5"/>
  <c r="AY1738" i="5"/>
  <c r="AJ1738" i="5"/>
  <c r="AK1738" i="5"/>
  <c r="AI1739" i="5"/>
  <c r="AZ1673" i="5"/>
  <c r="AJ1673" i="5"/>
  <c r="AL1673" i="5"/>
  <c r="AY1673" i="5"/>
  <c r="AT1661" i="5"/>
  <c r="AS1661" i="5"/>
  <c r="AJ1653" i="5"/>
  <c r="AI1653" i="5"/>
  <c r="AL1653" i="5"/>
  <c r="AZ1653" i="5"/>
  <c r="AY1649" i="5"/>
  <c r="AI1650" i="5"/>
  <c r="AZ1649" i="5"/>
  <c r="AI1649" i="5"/>
  <c r="AR1609" i="5"/>
  <c r="AT1609" i="5" s="1"/>
  <c r="AY1609" i="5"/>
  <c r="AZ1609" i="5"/>
  <c r="AK1609" i="5"/>
  <c r="AW1609" i="5"/>
  <c r="AX1609" i="5" s="1"/>
  <c r="AW1582" i="5"/>
  <c r="AX1582" i="5" s="1"/>
  <c r="AI1583" i="5"/>
  <c r="AL1582" i="5"/>
  <c r="AU1582" i="5"/>
  <c r="AV1582" i="5" s="1"/>
  <c r="AJ1582" i="5"/>
  <c r="AY1582" i="5"/>
  <c r="AL1577" i="5"/>
  <c r="AI1577" i="5"/>
  <c r="AI1578" i="5"/>
  <c r="AK1577" i="5"/>
  <c r="AL1566" i="5"/>
  <c r="AK1566" i="5"/>
  <c r="AZ1566" i="5"/>
  <c r="AK1954" i="5"/>
  <c r="AJ1775" i="5"/>
  <c r="AS1430" i="5"/>
  <c r="AI1520" i="5"/>
  <c r="AZ1577" i="5"/>
  <c r="AK1593" i="5"/>
  <c r="AT1621" i="5"/>
  <c r="AJ1649" i="5"/>
  <c r="AI1823" i="5"/>
  <c r="AZ1738" i="5"/>
  <c r="AI1832" i="5"/>
  <c r="AK2010" i="5"/>
  <c r="AS1482" i="5"/>
  <c r="AK1510" i="5"/>
  <c r="AJ1577" i="5"/>
  <c r="AS1605" i="5"/>
  <c r="AI1630" i="5"/>
  <c r="AI1654" i="5"/>
  <c r="AI1771" i="5"/>
  <c r="AS1874" i="5"/>
  <c r="AL1745" i="5"/>
  <c r="AZ2096" i="5"/>
  <c r="AZ1806" i="5"/>
  <c r="AT1394" i="5"/>
  <c r="AY1653" i="5"/>
  <c r="AS1486" i="5"/>
  <c r="AS1558" i="5"/>
  <c r="AR1582" i="5"/>
  <c r="AT1582" i="5" s="1"/>
  <c r="AJ1609" i="5"/>
  <c r="AJ1629" i="5"/>
  <c r="AS1665" i="5"/>
  <c r="AJ1882" i="5"/>
  <c r="AT1890" i="5"/>
  <c r="AL1775" i="5"/>
  <c r="AZ1970" i="5"/>
  <c r="AW1970" i="5"/>
  <c r="AX1970" i="5" s="1"/>
  <c r="AL1918" i="5"/>
  <c r="AJ1918" i="5"/>
  <c r="AY1887" i="5"/>
  <c r="AJ1887" i="5"/>
  <c r="AU1887" i="5"/>
  <c r="AV1887" i="5" s="1"/>
  <c r="AT1870" i="5"/>
  <c r="AS1870" i="5"/>
  <c r="AL1802" i="5"/>
  <c r="AU1802" i="5"/>
  <c r="AV1802" i="5" s="1"/>
  <c r="AZ1802" i="5"/>
  <c r="AY1802" i="5"/>
  <c r="AW1802" i="5"/>
  <c r="AX1802" i="5" s="1"/>
  <c r="AL1766" i="5"/>
  <c r="AK1766" i="5"/>
  <c r="AY1766" i="5"/>
  <c r="AZ1766" i="5"/>
  <c r="AY1638" i="5"/>
  <c r="AI1639" i="5"/>
  <c r="AR1638" i="5"/>
  <c r="AS1638" i="5" s="1"/>
  <c r="AK1638" i="5"/>
  <c r="AZ1638" i="5"/>
  <c r="AL1638" i="5"/>
  <c r="AI1633" i="5"/>
  <c r="AJ1633" i="5"/>
  <c r="AY1633" i="5"/>
  <c r="AL1633" i="5"/>
  <c r="AI1634" i="5"/>
  <c r="AK1573" i="5"/>
  <c r="AJ1573" i="5"/>
  <c r="AY1573" i="5"/>
  <c r="AZ1573" i="5"/>
  <c r="AT1562" i="5"/>
  <c r="AS1562" i="5"/>
  <c r="AL1550" i="5"/>
  <c r="AI1551" i="5"/>
  <c r="AY1550" i="5"/>
  <c r="AZ1550" i="5"/>
  <c r="AW1546" i="5"/>
  <c r="AX1546" i="5" s="1"/>
  <c r="AR1546" i="5"/>
  <c r="AT1546" i="5" s="1"/>
  <c r="AY1546" i="5"/>
  <c r="AJ1546" i="5"/>
  <c r="AK1546" i="5"/>
  <c r="AJ1530" i="5"/>
  <c r="AZ1530" i="5"/>
  <c r="AY1530" i="5"/>
  <c r="AK1530" i="5"/>
  <c r="AS1522" i="5"/>
  <c r="AT1522" i="5"/>
  <c r="AY1519" i="5"/>
  <c r="AK1519" i="5"/>
  <c r="AR1519" i="5"/>
  <c r="AS1519" i="5" s="1"/>
  <c r="AW1519" i="5"/>
  <c r="AX1519" i="5" s="1"/>
  <c r="AU1519" i="5"/>
  <c r="AV1519" i="5" s="1"/>
  <c r="AJ1514" i="5"/>
  <c r="AY1514" i="5"/>
  <c r="AL1514" i="5"/>
  <c r="AZ1514" i="5"/>
  <c r="AK1514" i="5"/>
  <c r="AI1511" i="5"/>
  <c r="AZ1510" i="5"/>
  <c r="AY1510" i="5"/>
  <c r="AS1506" i="5"/>
  <c r="AT1506" i="5"/>
  <c r="AJ1494" i="5"/>
  <c r="AK1494" i="5"/>
  <c r="AI1495" i="5"/>
  <c r="AL1494" i="5"/>
  <c r="AL1490" i="5"/>
  <c r="AU1490" i="5"/>
  <c r="AV1490" i="5" s="1"/>
  <c r="AR1490" i="5"/>
  <c r="AZ1490" i="5"/>
  <c r="AY1490" i="5"/>
  <c r="AK1474" i="5"/>
  <c r="AJ1474" i="5"/>
  <c r="AY1474" i="5"/>
  <c r="AL1474" i="5"/>
  <c r="AU1463" i="5"/>
  <c r="AV1463" i="5" s="1"/>
  <c r="AL1463" i="5"/>
  <c r="AY1463" i="5"/>
  <c r="AK1463" i="5"/>
  <c r="AW1463" i="5"/>
  <c r="AX1463" i="5" s="1"/>
  <c r="AJ1463" i="5"/>
  <c r="AJ1458" i="5"/>
  <c r="AZ1458" i="5"/>
  <c r="AI1459" i="5"/>
  <c r="AK1458" i="5"/>
  <c r="AZ1454" i="5"/>
  <c r="AJ1454" i="5"/>
  <c r="AY1454" i="5"/>
  <c r="AI1455" i="5"/>
  <c r="AL1438" i="5"/>
  <c r="AI1439" i="5"/>
  <c r="AJ1438" i="5"/>
  <c r="AY1438" i="5"/>
  <c r="AU1434" i="5"/>
  <c r="AV1434" i="5" s="1"/>
  <c r="AY1434" i="5"/>
  <c r="AW1434" i="5"/>
  <c r="AX1434" i="5" s="1"/>
  <c r="AR1434" i="5"/>
  <c r="AS1434" i="5" s="1"/>
  <c r="AJ1434" i="5"/>
  <c r="AJ1418" i="5"/>
  <c r="AL1418" i="5"/>
  <c r="AZ1418" i="5"/>
  <c r="AY1418" i="5"/>
  <c r="AY1407" i="5"/>
  <c r="AL1407" i="5"/>
  <c r="AZ1407" i="5"/>
  <c r="AR1407" i="5"/>
  <c r="AK1407" i="5"/>
  <c r="AI1408" i="5"/>
  <c r="AK1402" i="5"/>
  <c r="AI1402" i="5"/>
  <c r="AY1402" i="5"/>
  <c r="AI1403" i="5"/>
  <c r="AL1398" i="5"/>
  <c r="AY1398" i="5"/>
  <c r="AI1399" i="5"/>
  <c r="AK1398" i="5"/>
  <c r="AY1382" i="5"/>
  <c r="AJ1382" i="5"/>
  <c r="AK1382" i="5"/>
  <c r="AL1382" i="5"/>
  <c r="AZ1378" i="5"/>
  <c r="AU1378" i="5"/>
  <c r="AV1378" i="5" s="1"/>
  <c r="AW1378" i="5"/>
  <c r="AX1378" i="5" s="1"/>
  <c r="AJ1378" i="5"/>
  <c r="AL1378" i="5"/>
  <c r="AY1362" i="5"/>
  <c r="AL1362" i="5"/>
  <c r="AI1363" i="5"/>
  <c r="AK1362" i="5"/>
  <c r="AK1914" i="5"/>
  <c r="AW1914" i="5"/>
  <c r="AX1914" i="5" s="1"/>
  <c r="AJ1878" i="5"/>
  <c r="AZ1878" i="5"/>
  <c r="AK1826" i="5"/>
  <c r="AZ1826" i="5"/>
  <c r="AY1826" i="5"/>
  <c r="AI1826" i="5"/>
  <c r="AJ1786" i="5"/>
  <c r="AZ1786" i="5"/>
  <c r="AY1786" i="5"/>
  <c r="AS1778" i="5"/>
  <c r="AT1778" i="5"/>
  <c r="AK1770" i="5"/>
  <c r="AJ1770" i="5"/>
  <c r="AZ1770" i="5"/>
  <c r="AY1770" i="5"/>
  <c r="AK1749" i="5"/>
  <c r="AJ1749" i="5"/>
  <c r="AI1749" i="5"/>
  <c r="AI1750" i="5"/>
  <c r="AZ1749" i="5"/>
  <c r="AK1745" i="5"/>
  <c r="AZ1745" i="5"/>
  <c r="AJ1745" i="5"/>
  <c r="AI1746" i="5"/>
  <c r="AT1741" i="5"/>
  <c r="AS1741" i="5"/>
  <c r="AT1685" i="5"/>
  <c r="AS1685" i="5"/>
  <c r="AJ1677" i="5"/>
  <c r="AZ1677" i="5"/>
  <c r="AL1677" i="5"/>
  <c r="AK1677" i="5"/>
  <c r="AI1464" i="5"/>
  <c r="AJ1490" i="5"/>
  <c r="AI1515" i="5"/>
  <c r="AT1542" i="5"/>
  <c r="AJ1566" i="5"/>
  <c r="AZ1582" i="5"/>
  <c r="AL1609" i="5"/>
  <c r="AW1638" i="5"/>
  <c r="AX1638" i="5" s="1"/>
  <c r="AK1673" i="5"/>
  <c r="AZ1914" i="5"/>
  <c r="AK1806" i="5"/>
  <c r="AY1749" i="5"/>
  <c r="AI1787" i="5"/>
  <c r="AK1649" i="5"/>
  <c r="AL1342" i="5"/>
  <c r="AJ1346" i="5"/>
  <c r="AZ1351" i="5"/>
  <c r="AL1326" i="5"/>
  <c r="AS1338" i="5"/>
  <c r="AI1343" i="5"/>
  <c r="AU1232" i="5"/>
  <c r="AV1232" i="5" s="1"/>
  <c r="AL1182" i="5"/>
  <c r="AJ1221" i="5"/>
  <c r="AK1140" i="5"/>
  <c r="AY1160" i="5"/>
  <c r="AZ1165" i="5"/>
  <c r="AZ1176" i="5"/>
  <c r="AJ1192" i="5"/>
  <c r="AJ1216" i="5"/>
  <c r="AZ1221" i="5"/>
  <c r="AL1236" i="5"/>
  <c r="AZ1245" i="5"/>
  <c r="AZ1256" i="5"/>
  <c r="AY1322" i="5"/>
  <c r="AJ1326" i="5"/>
  <c r="AJ1342" i="5"/>
  <c r="AJ1351" i="5"/>
  <c r="AI1352" i="5"/>
  <c r="AS1955" i="5"/>
  <c r="AL997" i="5"/>
  <c r="AK1221" i="5"/>
  <c r="AK1084" i="5"/>
  <c r="AZ1232" i="5"/>
  <c r="AJ1165" i="5"/>
  <c r="AT1168" i="5"/>
  <c r="AI1182" i="5"/>
  <c r="AY1192" i="5"/>
  <c r="AY1196" i="5"/>
  <c r="AK1212" i="5"/>
  <c r="AZ1216" i="5"/>
  <c r="AR1221" i="5"/>
  <c r="AT1221" i="5" s="1"/>
  <c r="AZ1236" i="5"/>
  <c r="AJ1245" i="5"/>
  <c r="AI1257" i="5"/>
  <c r="AL1322" i="5"/>
  <c r="AI1346" i="5"/>
  <c r="AK1351" i="5"/>
  <c r="AJ1044" i="5"/>
  <c r="AR1066" i="5"/>
  <c r="AT1066" i="5" s="1"/>
  <c r="AS1252" i="5"/>
  <c r="AT1072" i="5"/>
  <c r="AK1165" i="5"/>
  <c r="AJ1182" i="5"/>
  <c r="AL1192" i="5"/>
  <c r="AK1196" i="5"/>
  <c r="AI1213" i="5"/>
  <c r="AI1217" i="5"/>
  <c r="AR1232" i="5"/>
  <c r="AS1232" i="5" s="1"/>
  <c r="AL1245" i="5"/>
  <c r="AW1256" i="5"/>
  <c r="AX1256" i="5" s="1"/>
  <c r="AJ1322" i="5"/>
  <c r="AI1342" i="5"/>
  <c r="AK1346" i="5"/>
  <c r="AL1351" i="5"/>
  <c r="AI1197" i="5"/>
  <c r="AL1024" i="5"/>
  <c r="AU1024" i="5"/>
  <c r="AV1024" i="5" s="1"/>
  <c r="AK1322" i="5"/>
  <c r="AI998" i="5"/>
  <c r="AQ405" i="5"/>
  <c r="AY1182" i="5"/>
  <c r="AQ1221" i="5"/>
  <c r="AJ1232" i="5"/>
  <c r="AR1256" i="5"/>
  <c r="AT1256" i="5" s="1"/>
  <c r="AY1326" i="5"/>
  <c r="AW1053" i="5"/>
  <c r="AX1053" i="5" s="1"/>
  <c r="AT1056" i="5"/>
  <c r="AQ1629" i="5"/>
  <c r="AQ1614" i="5"/>
  <c r="AQ1598" i="5"/>
  <c r="AQ1583" i="5"/>
  <c r="AQ1577" i="5"/>
  <c r="AM1566" i="5"/>
  <c r="AQ1556" i="5"/>
  <c r="AQ1546" i="5"/>
  <c r="AQ1535" i="5"/>
  <c r="AQ1530" i="5"/>
  <c r="AQ1520" i="5"/>
  <c r="AQ1499" i="5"/>
  <c r="AQ1479" i="5"/>
  <c r="AQ1474" i="5"/>
  <c r="AQ1463" i="5"/>
  <c r="AQ1458" i="5"/>
  <c r="AQ1455" i="5"/>
  <c r="AQ1438" i="5"/>
  <c r="AQ1422" i="5"/>
  <c r="AQ1408" i="5"/>
  <c r="AQ1383" i="5"/>
  <c r="AQ1363" i="5"/>
  <c r="AQ1362" i="5"/>
  <c r="AQ1351" i="5"/>
  <c r="AQ1346" i="5"/>
  <c r="AQ1343" i="5"/>
  <c r="AQ1331" i="5"/>
  <c r="AQ1311" i="5"/>
  <c r="AQ1261" i="5"/>
  <c r="AQ1260" i="5"/>
  <c r="AQ1241" i="5"/>
  <c r="AQ1240" i="5"/>
  <c r="AQ1232" i="5"/>
  <c r="AQ1222" i="5"/>
  <c r="AQ1216" i="5"/>
  <c r="AQ1213" i="5"/>
  <c r="AQ1198" i="5"/>
  <c r="AQ1186" i="5"/>
  <c r="AQ1182" i="5"/>
  <c r="AQ1177" i="5"/>
  <c r="AQ1176" i="5"/>
  <c r="AQ1157" i="5"/>
  <c r="AI1156" i="5"/>
  <c r="AQ1151" i="5"/>
  <c r="AQ1142" i="5"/>
  <c r="AQ1141" i="5"/>
  <c r="AQ1140" i="5"/>
  <c r="AQ1136" i="5"/>
  <c r="AQ1130" i="5"/>
  <c r="AQ1122" i="5"/>
  <c r="AQ1120" i="5"/>
  <c r="AQ1110" i="5"/>
  <c r="AQ1109" i="5"/>
  <c r="AQ1106" i="5"/>
  <c r="AQ1105" i="5"/>
  <c r="AQ1104" i="5"/>
  <c r="AQ1101" i="5"/>
  <c r="AQ1100" i="5"/>
  <c r="AQ1089" i="5"/>
  <c r="AQ1084" i="5"/>
  <c r="AI1084" i="5"/>
  <c r="AQ1080" i="5"/>
  <c r="AQ1069" i="5"/>
  <c r="AQ1068" i="5"/>
  <c r="AQ1064" i="5"/>
  <c r="AQ1054" i="5"/>
  <c r="AQ1053" i="5"/>
  <c r="AQ1048" i="5"/>
  <c r="AQ1044" i="5"/>
  <c r="AQ1033" i="5"/>
  <c r="AQ1029" i="5"/>
  <c r="AQ1028" i="5"/>
  <c r="AQ1024" i="5"/>
  <c r="AQ1010" i="5"/>
  <c r="AQ1009" i="5"/>
  <c r="AQ997" i="5"/>
  <c r="AQ992" i="5"/>
  <c r="AQ988" i="5"/>
  <c r="AQ977" i="5"/>
  <c r="AQ968" i="5"/>
  <c r="AQ942" i="5"/>
  <c r="AQ941" i="5"/>
  <c r="AQ922" i="5"/>
  <c r="AQ918" i="5"/>
  <c r="AQ917" i="5"/>
  <c r="AQ912" i="5"/>
  <c r="AQ898" i="5"/>
  <c r="AQ896" i="5"/>
  <c r="AQ855" i="5"/>
  <c r="AQ850" i="5"/>
  <c r="AQ847" i="5"/>
  <c r="AQ845" i="5"/>
  <c r="AQ842" i="5"/>
  <c r="AQ831" i="5"/>
  <c r="AQ827" i="5"/>
  <c r="AQ826" i="5"/>
  <c r="AQ823" i="5"/>
  <c r="AQ821" i="5"/>
  <c r="AQ817" i="5"/>
  <c r="AQ807" i="5"/>
  <c r="AQ806" i="5"/>
  <c r="AQ802" i="5"/>
  <c r="AQ801" i="5"/>
  <c r="AQ786" i="5"/>
  <c r="AQ782" i="5"/>
  <c r="AQ777" i="5"/>
  <c r="AQ767" i="5"/>
  <c r="AQ766" i="5"/>
  <c r="AQ765" i="5"/>
  <c r="AQ762" i="5"/>
  <c r="AQ751" i="5"/>
  <c r="AQ750" i="5"/>
  <c r="AQ747" i="5"/>
  <c r="AQ741" i="5"/>
  <c r="AQ730" i="5"/>
  <c r="AQ725" i="5"/>
  <c r="AQ710" i="5"/>
  <c r="AQ706" i="5"/>
  <c r="AQ695" i="5"/>
  <c r="AQ686" i="5"/>
  <c r="AQ685" i="5"/>
  <c r="AQ680" i="5"/>
  <c r="AQ674" i="5"/>
  <c r="AQ654" i="5"/>
  <c r="AQ651" i="5"/>
  <c r="AQ619" i="5"/>
  <c r="AQ609" i="5"/>
  <c r="AQ597" i="5"/>
  <c r="AQ595" i="5"/>
  <c r="AQ593" i="5"/>
  <c r="AQ583" i="5"/>
  <c r="AQ562" i="5"/>
  <c r="AI532" i="5"/>
  <c r="AQ526" i="5"/>
  <c r="AQ518" i="5"/>
  <c r="AQ517" i="5"/>
  <c r="AQ506" i="5"/>
  <c r="AQ497" i="5"/>
  <c r="AQ485" i="5"/>
  <c r="AQ475" i="5"/>
  <c r="AQ423" i="5"/>
  <c r="AQ353" i="5"/>
  <c r="AQ314" i="5"/>
  <c r="AQ305" i="5"/>
  <c r="AX3362" i="5"/>
  <c r="AX3371" i="5"/>
  <c r="AU3377" i="5"/>
  <c r="A3377" i="5" s="1"/>
  <c r="AX3386" i="5"/>
  <c r="D3391" i="5"/>
  <c r="AU3393" i="5"/>
  <c r="A3393" i="5" s="1"/>
  <c r="D3411" i="5"/>
  <c r="AX3414" i="5"/>
  <c r="D3415" i="5"/>
  <c r="AX3417" i="5"/>
  <c r="D3419" i="5"/>
  <c r="AX3420" i="5"/>
  <c r="D3421" i="5"/>
  <c r="AX3422" i="5"/>
  <c r="AX3424" i="5"/>
  <c r="AX3425" i="5"/>
  <c r="AU3427" i="5"/>
  <c r="AV3427" i="5" s="1"/>
  <c r="AW3427" i="5" s="1"/>
  <c r="AY3427" i="5" s="1"/>
  <c r="AX3428" i="5"/>
  <c r="D3430" i="5"/>
  <c r="D3431" i="5"/>
  <c r="AN3637" i="5"/>
  <c r="AO3637" i="5" s="1"/>
  <c r="AP3637" i="5" s="1"/>
  <c r="AR3637" i="5" s="1"/>
  <c r="AN3865" i="5"/>
  <c r="AQ3865" i="5" s="1"/>
  <c r="AU3445" i="5"/>
  <c r="A3445" i="5" s="1"/>
  <c r="AX3450" i="5"/>
  <c r="AU3456" i="5"/>
  <c r="A3456" i="5" s="1"/>
  <c r="D3477" i="5"/>
  <c r="D3509" i="5"/>
  <c r="AU1567" i="5"/>
  <c r="AV1567" i="5" s="1"/>
  <c r="AZ1567" i="5"/>
  <c r="AR1554" i="5"/>
  <c r="AT1554" i="5" s="1"/>
  <c r="AW1554" i="5"/>
  <c r="AX1554" i="5" s="1"/>
  <c r="AJ1417" i="5"/>
  <c r="AZ1417" i="5"/>
  <c r="AT1409" i="5"/>
  <c r="AS1409" i="5"/>
  <c r="AJ1381" i="5"/>
  <c r="AI1382" i="5"/>
  <c r="AT1243" i="5"/>
  <c r="AS1243" i="5"/>
  <c r="AS1223" i="5"/>
  <c r="AT1223" i="5"/>
  <c r="AI1212" i="5"/>
  <c r="AY1211" i="5"/>
  <c r="AR1200" i="5"/>
  <c r="AT1200" i="5" s="1"/>
  <c r="AU1200" i="5"/>
  <c r="AV1200" i="5" s="1"/>
  <c r="AS1183" i="5"/>
  <c r="AT1183" i="5"/>
  <c r="AJ1175" i="5"/>
  <c r="AL1175" i="5"/>
  <c r="AW1171" i="5"/>
  <c r="AX1171" i="5" s="1"/>
  <c r="AU1171" i="5"/>
  <c r="AV1171" i="5" s="1"/>
  <c r="AT1167" i="5"/>
  <c r="AS1167" i="5"/>
  <c r="AT1147" i="5"/>
  <c r="AS1147" i="5"/>
  <c r="AJ1144" i="5"/>
  <c r="AY1144" i="5"/>
  <c r="AL1144" i="5"/>
  <c r="AY1119" i="5"/>
  <c r="AI1120" i="5"/>
  <c r="AU1115" i="5"/>
  <c r="AV1115" i="5" s="1"/>
  <c r="AZ1115" i="5"/>
  <c r="AT1111" i="5"/>
  <c r="AS1111" i="5"/>
  <c r="AL1088" i="5"/>
  <c r="AJ1088" i="5"/>
  <c r="AW1088" i="5"/>
  <c r="AX1088" i="5" s="1"/>
  <c r="AK1088" i="5"/>
  <c r="AI1063" i="5"/>
  <c r="AL1063" i="5"/>
  <c r="AS1055" i="5"/>
  <c r="AT1055" i="5"/>
  <c r="AT1051" i="5"/>
  <c r="AS1051" i="5"/>
  <c r="AK1032" i="5"/>
  <c r="AL1032" i="5"/>
  <c r="AY1032" i="5"/>
  <c r="AJ1027" i="5"/>
  <c r="AZ1027" i="5"/>
  <c r="AI1023" i="5"/>
  <c r="AI1024" i="5"/>
  <c r="AS1019" i="5"/>
  <c r="AT1019" i="5"/>
  <c r="AS1015" i="5"/>
  <c r="AT1015" i="5"/>
  <c r="AU1003" i="5"/>
  <c r="AV1003" i="5" s="1"/>
  <c r="AI1003" i="5"/>
  <c r="AK1003" i="5"/>
  <c r="AS999" i="5"/>
  <c r="AT999" i="5"/>
  <c r="AI977" i="5"/>
  <c r="AR976" i="5"/>
  <c r="AS976" i="5" s="1"/>
  <c r="AZ967" i="5"/>
  <c r="AI967" i="5"/>
  <c r="AS963" i="5"/>
  <c r="AT963" i="5"/>
  <c r="AL951" i="5"/>
  <c r="AZ951" i="5"/>
  <c r="AK951" i="5"/>
  <c r="AY947" i="5"/>
  <c r="AZ947" i="5"/>
  <c r="AS939" i="5"/>
  <c r="AT939" i="5"/>
  <c r="AL931" i="5"/>
  <c r="AK931" i="5"/>
  <c r="AZ931" i="5"/>
  <c r="AY920" i="5"/>
  <c r="AK920" i="5"/>
  <c r="AY915" i="5"/>
  <c r="AZ915" i="5"/>
  <c r="AK911" i="5"/>
  <c r="AZ911" i="5"/>
  <c r="AJ895" i="5"/>
  <c r="AL895" i="5"/>
  <c r="AY895" i="5"/>
  <c r="AW891" i="5"/>
  <c r="AX891" i="5" s="1"/>
  <c r="AZ891" i="5"/>
  <c r="AL891" i="5"/>
  <c r="AM884" i="5"/>
  <c r="AJ884" i="5"/>
  <c r="AK884" i="5"/>
  <c r="AZ884" i="5"/>
  <c r="AL812" i="5"/>
  <c r="AJ812" i="5"/>
  <c r="AU812" i="5"/>
  <c r="AV812" i="5" s="1"/>
  <c r="AK812" i="5"/>
  <c r="AI812" i="5"/>
  <c r="AR812" i="5"/>
  <c r="AT812" i="5" s="1"/>
  <c r="AI796" i="5"/>
  <c r="AQ796" i="5"/>
  <c r="AR785" i="5"/>
  <c r="AL785" i="5"/>
  <c r="AU785" i="5"/>
  <c r="AV785" i="5" s="1"/>
  <c r="AZ785" i="5"/>
  <c r="AW785" i="5"/>
  <c r="AX785" i="5" s="1"/>
  <c r="AI780" i="5"/>
  <c r="AY780" i="5"/>
  <c r="AK780" i="5"/>
  <c r="AL780" i="5"/>
  <c r="AL776" i="5"/>
  <c r="AJ776" i="5"/>
  <c r="AI777" i="5"/>
  <c r="AQ756" i="5"/>
  <c r="AI756" i="5"/>
  <c r="AW756" i="5"/>
  <c r="AX756" i="5" s="1"/>
  <c r="AJ756" i="5"/>
  <c r="AY756" i="5"/>
  <c r="AS748" i="5"/>
  <c r="AT748" i="5"/>
  <c r="AT732" i="5"/>
  <c r="AS732" i="5"/>
  <c r="AY729" i="5"/>
  <c r="AQ729" i="5"/>
  <c r="AI730" i="5"/>
  <c r="AL729" i="5"/>
  <c r="AJ729" i="5"/>
  <c r="AK724" i="5"/>
  <c r="AI725" i="5"/>
  <c r="AI724" i="5"/>
  <c r="AK720" i="5"/>
  <c r="AL720" i="5"/>
  <c r="AJ720" i="5"/>
  <c r="AL704" i="5"/>
  <c r="AY704" i="5"/>
  <c r="AK704" i="5"/>
  <c r="AJ704" i="5"/>
  <c r="AI705" i="5"/>
  <c r="AL700" i="5"/>
  <c r="AR700" i="5"/>
  <c r="AZ700" i="5"/>
  <c r="AK700" i="5"/>
  <c r="AW700" i="5"/>
  <c r="AX700" i="5" s="1"/>
  <c r="AT1889" i="5"/>
  <c r="AS1889" i="5"/>
  <c r="AY1191" i="5"/>
  <c r="AI1613" i="5"/>
  <c r="AZ971" i="5"/>
  <c r="AK796" i="5"/>
  <c r="AI932" i="5"/>
  <c r="AI968" i="5"/>
  <c r="AK947" i="5"/>
  <c r="AL915" i="5"/>
  <c r="AY884" i="5"/>
  <c r="AL976" i="5"/>
  <c r="AS1203" i="5"/>
  <c r="AZ1135" i="5"/>
  <c r="AK1119" i="5"/>
  <c r="AL1003" i="5"/>
  <c r="AK1027" i="5"/>
  <c r="AL1079" i="5"/>
  <c r="AS1163" i="5"/>
  <c r="AZ1473" i="5"/>
  <c r="AL1473" i="5"/>
  <c r="AL1386" i="5"/>
  <c r="AY1386" i="5"/>
  <c r="AZ1325" i="5"/>
  <c r="AI1326" i="5"/>
  <c r="AJ1191" i="5"/>
  <c r="AS1604" i="5"/>
  <c r="AT1604" i="5"/>
  <c r="AT1541" i="5"/>
  <c r="AS1541" i="5"/>
  <c r="AY1442" i="5"/>
  <c r="AU1442" i="5"/>
  <c r="AV1442" i="5" s="1"/>
  <c r="AJ1442" i="5"/>
  <c r="AI1192" i="5"/>
  <c r="AW1032" i="5"/>
  <c r="AX1032" i="5" s="1"/>
  <c r="AJ1079" i="5"/>
  <c r="AY1175" i="5"/>
  <c r="AK1083" i="5"/>
  <c r="AI912" i="5"/>
  <c r="AI1080" i="5"/>
  <c r="AI1322" i="5"/>
  <c r="AI1100" i="5"/>
  <c r="AY812" i="5"/>
  <c r="AJ971" i="5"/>
  <c r="AR920" i="5"/>
  <c r="AT920" i="5" s="1"/>
  <c r="AL967" i="5"/>
  <c r="AU947" i="5"/>
  <c r="AV947" i="5" s="1"/>
  <c r="AR891" i="5"/>
  <c r="AS891" i="5" s="1"/>
  <c r="AK915" i="5"/>
  <c r="AS887" i="5"/>
  <c r="AK976" i="5"/>
  <c r="AS1389" i="5"/>
  <c r="AY1155" i="5"/>
  <c r="AJ1377" i="5"/>
  <c r="AI1007" i="5"/>
  <c r="AR1032" i="5"/>
  <c r="AS1032" i="5" s="1"/>
  <c r="AY1088" i="5"/>
  <c r="AL1321" i="5"/>
  <c r="AI781" i="5"/>
  <c r="AZ1572" i="5"/>
  <c r="AI1573" i="5"/>
  <c r="AL1529" i="5"/>
  <c r="AJ1529" i="5"/>
  <c r="AI1083" i="5"/>
  <c r="AK1211" i="5"/>
  <c r="AS1501" i="5"/>
  <c r="AJ1135" i="5"/>
  <c r="AJ1119" i="5"/>
  <c r="AZ1191" i="5"/>
  <c r="AI1191" i="5"/>
  <c r="AL1083" i="5"/>
  <c r="AY1545" i="5"/>
  <c r="AI1136" i="5"/>
  <c r="AI972" i="5"/>
  <c r="AI1044" i="5"/>
  <c r="AI1140" i="5"/>
  <c r="AI1196" i="5"/>
  <c r="AL796" i="5"/>
  <c r="AS979" i="5"/>
  <c r="AZ920" i="5"/>
  <c r="AL947" i="5"/>
  <c r="AK967" i="5"/>
  <c r="AS943" i="5"/>
  <c r="AY891" i="5"/>
  <c r="AJ915" i="5"/>
  <c r="AQ785" i="5"/>
  <c r="AI895" i="5"/>
  <c r="AZ976" i="5"/>
  <c r="AT1461" i="5"/>
  <c r="AK1310" i="5"/>
  <c r="AJ1433" i="5"/>
  <c r="AJ1155" i="5"/>
  <c r="AK1007" i="5"/>
  <c r="AY1043" i="5"/>
  <c r="AR1088" i="5"/>
  <c r="AT1088" i="5" s="1"/>
  <c r="AY1381" i="5"/>
  <c r="AI797" i="5"/>
  <c r="AJ1588" i="5"/>
  <c r="AW1588" i="5"/>
  <c r="AX1588" i="5" s="1"/>
  <c r="AR1469" i="5"/>
  <c r="AT1469" i="5" s="1"/>
  <c r="AJ1469" i="5"/>
  <c r="AK1437" i="5"/>
  <c r="AZ1437" i="5"/>
  <c r="AR1413" i="5"/>
  <c r="AT1413" i="5" s="1"/>
  <c r="AY1413" i="5"/>
  <c r="AW1357" i="5"/>
  <c r="AX1357" i="5" s="1"/>
  <c r="AL1357" i="5"/>
  <c r="AJ1341" i="5"/>
  <c r="AI1341" i="5"/>
  <c r="AL1191" i="5"/>
  <c r="AI1176" i="5"/>
  <c r="AI1609" i="5"/>
  <c r="AJ967" i="5"/>
  <c r="AJ920" i="5"/>
  <c r="AI911" i="5"/>
  <c r="AU891" i="5"/>
  <c r="AV891" i="5" s="1"/>
  <c r="AY951" i="5"/>
  <c r="AS852" i="5"/>
  <c r="AK895" i="5"/>
  <c r="AI921" i="5"/>
  <c r="AY1498" i="5"/>
  <c r="AT1538" i="5"/>
  <c r="AL987" i="5"/>
  <c r="AL1007" i="5"/>
  <c r="AK1043" i="5"/>
  <c r="AK1099" i="5"/>
  <c r="AY1572" i="5"/>
  <c r="AU1413" i="5"/>
  <c r="AV1413" i="5" s="1"/>
  <c r="AL1493" i="5"/>
  <c r="AZ1493" i="5"/>
  <c r="AK1453" i="5"/>
  <c r="AI1454" i="5"/>
  <c r="AU1330" i="5"/>
  <c r="AV1330" i="5" s="1"/>
  <c r="AW1330" i="5"/>
  <c r="AX1330" i="5" s="1"/>
  <c r="AR1330" i="5"/>
  <c r="AT1330" i="5" s="1"/>
  <c r="AZ1361" i="5"/>
  <c r="AY1969" i="5"/>
  <c r="AL1554" i="5"/>
  <c r="AI1434" i="5"/>
  <c r="AJ947" i="5"/>
  <c r="AW920" i="5"/>
  <c r="AX920" i="5" s="1"/>
  <c r="AS903" i="5"/>
  <c r="AW947" i="5"/>
  <c r="AX947" i="5" s="1"/>
  <c r="AY911" i="5"/>
  <c r="AJ891" i="5"/>
  <c r="AJ951" i="5"/>
  <c r="AZ812" i="5"/>
  <c r="AS856" i="5"/>
  <c r="AZ895" i="5"/>
  <c r="AS808" i="5"/>
  <c r="AT1521" i="5"/>
  <c r="AL1325" i="5"/>
  <c r="AK987" i="5"/>
  <c r="AK1023" i="5"/>
  <c r="AL1059" i="5"/>
  <c r="AY1139" i="5"/>
  <c r="AT1091" i="5"/>
  <c r="AJ1489" i="5"/>
  <c r="AQ684" i="5"/>
  <c r="AY684" i="5"/>
  <c r="AI674" i="5"/>
  <c r="AW673" i="5"/>
  <c r="AX673" i="5" s="1"/>
  <c r="AY670" i="5"/>
  <c r="AK670" i="5"/>
  <c r="AJ668" i="5"/>
  <c r="AY668" i="5"/>
  <c r="AZ664" i="5"/>
  <c r="AK664" i="5"/>
  <c r="AZ648" i="5"/>
  <c r="AL648" i="5"/>
  <c r="AQ648" i="5"/>
  <c r="AJ644" i="5"/>
  <c r="AK644" i="5"/>
  <c r="AZ644" i="5"/>
  <c r="AW644" i="5"/>
  <c r="AX644" i="5" s="1"/>
  <c r="AY628" i="5"/>
  <c r="AJ628" i="5"/>
  <c r="AI628" i="5"/>
  <c r="AJ617" i="5"/>
  <c r="AI618" i="5"/>
  <c r="AZ617" i="5"/>
  <c r="AL612" i="5"/>
  <c r="AZ612" i="5"/>
  <c r="AI612" i="5"/>
  <c r="AI608" i="5"/>
  <c r="AY608" i="5"/>
  <c r="AZ592" i="5"/>
  <c r="AK592" i="5"/>
  <c r="AY588" i="5"/>
  <c r="AI588" i="5"/>
  <c r="AW588" i="5"/>
  <c r="AX588" i="5" s="1"/>
  <c r="AY561" i="5"/>
  <c r="AL561" i="5"/>
  <c r="AQ516" i="5"/>
  <c r="AK516" i="5"/>
  <c r="AQ505" i="5"/>
  <c r="AY505" i="5"/>
  <c r="AS477" i="5"/>
  <c r="AT477" i="5"/>
  <c r="AQ588" i="5"/>
  <c r="AI593" i="5"/>
  <c r="AK608" i="5"/>
  <c r="AW617" i="5"/>
  <c r="AX617" i="5" s="1"/>
  <c r="AR644" i="5"/>
  <c r="AS644" i="5" s="1"/>
  <c r="AI664" i="5"/>
  <c r="AU673" i="5"/>
  <c r="AV673" i="5" s="1"/>
  <c r="AT584" i="5"/>
  <c r="AU617" i="5"/>
  <c r="AV617" i="5" s="1"/>
  <c r="AL644" i="5"/>
  <c r="AJ670" i="5"/>
  <c r="AT692" i="5"/>
  <c r="AR532" i="5"/>
  <c r="AT532" i="5" s="1"/>
  <c r="AQ536" i="5"/>
  <c r="AI552" i="5"/>
  <c r="AZ561" i="5"/>
  <c r="AK572" i="5"/>
  <c r="AL588" i="5"/>
  <c r="AQ592" i="5"/>
  <c r="AJ608" i="5"/>
  <c r="AL628" i="5"/>
  <c r="AQ668" i="5"/>
  <c r="AQ673" i="5"/>
  <c r="AZ684" i="5"/>
  <c r="AY617" i="5"/>
  <c r="AK648" i="5"/>
  <c r="AS656" i="5"/>
  <c r="AI553" i="5"/>
  <c r="AS306" i="5"/>
  <c r="AT306" i="5"/>
  <c r="V5000" i="5"/>
  <c r="F5003" i="5" s="1"/>
  <c r="Q5001" i="5"/>
  <c r="V5001" i="5" s="1"/>
  <c r="G1266" i="5"/>
  <c r="H1266" i="5" s="1"/>
  <c r="AM1267" i="5"/>
  <c r="G1721" i="5"/>
  <c r="H1721" i="5" s="1"/>
  <c r="AM1723" i="5"/>
  <c r="AP1711" i="5"/>
  <c r="AQ1711" i="5" s="1"/>
  <c r="M1711" i="5"/>
  <c r="F1711" i="5" s="1"/>
  <c r="G1711" i="5" s="1"/>
  <c r="H1711" i="5" s="1"/>
  <c r="M1710" i="5"/>
  <c r="F1710" i="5" s="1"/>
  <c r="G1710" i="5" s="1"/>
  <c r="H1710" i="5" s="1"/>
  <c r="AP1710" i="5"/>
  <c r="AQ1710" i="5" s="1"/>
  <c r="AU3414" i="5"/>
  <c r="AV3414" i="5" s="1"/>
  <c r="AW3414" i="5" s="1"/>
  <c r="AY3414" i="5" s="1"/>
  <c r="D3417" i="5"/>
  <c r="M3867" i="5"/>
  <c r="F3867" i="5" s="1"/>
  <c r="L3867" i="5" s="1"/>
  <c r="AU3431" i="5"/>
  <c r="A3431" i="5" s="1"/>
  <c r="AU3428" i="5"/>
  <c r="AU3425" i="5"/>
  <c r="A3425" i="5" s="1"/>
  <c r="D3422" i="5"/>
  <c r="M3393" i="5"/>
  <c r="F3393" i="5" s="1"/>
  <c r="L3393" i="5" s="1"/>
  <c r="AM2120" i="5"/>
  <c r="AQ1735" i="5"/>
  <c r="AI1883" i="5"/>
  <c r="AQ1792" i="5"/>
  <c r="AJ2307" i="5"/>
  <c r="R198" i="5"/>
  <c r="F200" i="5" s="1"/>
  <c r="AS2513" i="5"/>
  <c r="AY2367" i="5"/>
  <c r="AL2316" i="5"/>
  <c r="AY2445" i="5"/>
  <c r="AI2409" i="5"/>
  <c r="AK2405" i="5"/>
  <c r="M2553" i="5"/>
  <c r="F2553" i="5" s="1"/>
  <c r="AK2520" i="5"/>
  <c r="AU2343" i="5"/>
  <c r="AV2343" i="5" s="1"/>
  <c r="AW2470" i="5"/>
  <c r="AX2470" i="5" s="1"/>
  <c r="AS2335" i="5"/>
  <c r="AK2307" i="5"/>
  <c r="AL2260" i="5"/>
  <c r="R212" i="5"/>
  <c r="R213" i="5" s="1"/>
  <c r="F215" i="5" s="1"/>
  <c r="AL2367" i="5"/>
  <c r="C4822" i="5"/>
  <c r="M791" i="5"/>
  <c r="F791" i="5" s="1"/>
  <c r="AM791" i="5" s="1"/>
  <c r="AZ2316" i="5"/>
  <c r="AZ2445" i="5"/>
  <c r="AZ2369" i="5"/>
  <c r="AJ2343" i="5"/>
  <c r="AI2465" i="5"/>
  <c r="AU2470" i="5"/>
  <c r="AV2470" i="5" s="1"/>
  <c r="M2268" i="5"/>
  <c r="F2268" i="5" s="1"/>
  <c r="AM2269" i="5" s="1"/>
  <c r="S212" i="5"/>
  <c r="S213" i="5" s="1"/>
  <c r="F216" i="5" s="1"/>
  <c r="AK2540" i="5"/>
  <c r="AZ2461" i="5"/>
  <c r="AS2537" i="5"/>
  <c r="AL2363" i="5"/>
  <c r="AI2261" i="5"/>
  <c r="AK2271" i="5"/>
  <c r="AY2465" i="5"/>
  <c r="AU2260" i="5"/>
  <c r="AV2260" i="5" s="1"/>
  <c r="AR2260" i="5"/>
  <c r="AT2260" i="5" s="1"/>
  <c r="AK2425" i="5"/>
  <c r="AK2311" i="5"/>
  <c r="M1350" i="5"/>
  <c r="F1350" i="5" s="1"/>
  <c r="AM1350" i="5" s="1"/>
  <c r="M1413" i="5"/>
  <c r="F1413" i="5" s="1"/>
  <c r="AM1413" i="5" s="1"/>
  <c r="AK2316" i="5"/>
  <c r="AL2445" i="5"/>
  <c r="AL2497" i="5"/>
  <c r="AZ2385" i="5"/>
  <c r="AJ2497" i="5"/>
  <c r="AW2343" i="5"/>
  <c r="AX2343" i="5" s="1"/>
  <c r="AJ2271" i="5"/>
  <c r="AS2279" i="5"/>
  <c r="AY2277" i="5"/>
  <c r="AJ2470" i="5"/>
  <c r="M644" i="5"/>
  <c r="F644" i="5" s="1"/>
  <c r="AI2311" i="5"/>
  <c r="AI2367" i="5"/>
  <c r="M1483" i="5"/>
  <c r="F1483" i="5" s="1"/>
  <c r="AK2445" i="5"/>
  <c r="AK2367" i="5"/>
  <c r="AL2343" i="5"/>
  <c r="AL2461" i="5"/>
  <c r="AY2363" i="5"/>
  <c r="AT2300" i="5"/>
  <c r="AJ2363" i="5"/>
  <c r="AY2385" i="5"/>
  <c r="AL2271" i="5"/>
  <c r="AZ2277" i="5"/>
  <c r="F4886" i="5"/>
  <c r="AK2026" i="5"/>
  <c r="AL1943" i="5"/>
  <c r="AK2239" i="5"/>
  <c r="M2443" i="5"/>
  <c r="F2443" i="5" s="1"/>
  <c r="AM2444" i="5" s="1"/>
  <c r="AW1887" i="5"/>
  <c r="AX1887" i="5" s="1"/>
  <c r="AS1946" i="5"/>
  <c r="AZ2234" i="5"/>
  <c r="AL2544" i="5"/>
  <c r="AY2286" i="5"/>
  <c r="M2303" i="5"/>
  <c r="F2303" i="5" s="1"/>
  <c r="AM2304" i="5" s="1"/>
  <c r="AS1850" i="5"/>
  <c r="AT1814" i="5"/>
  <c r="AI1888" i="5"/>
  <c r="AK1887" i="5"/>
  <c r="AS1930" i="5"/>
  <c r="AY2116" i="5"/>
  <c r="AK1862" i="5"/>
  <c r="AK1878" i="5"/>
  <c r="AK1938" i="5"/>
  <c r="AY1990" i="5"/>
  <c r="AJ2050" i="5"/>
  <c r="AS1834" i="5"/>
  <c r="AT1906" i="5"/>
  <c r="AL1974" i="5"/>
  <c r="AU1775" i="5"/>
  <c r="AV1775" i="5" s="1"/>
  <c r="AL1786" i="5"/>
  <c r="AK1802" i="5"/>
  <c r="AK1831" i="5"/>
  <c r="AU1831" i="5"/>
  <c r="AV1831" i="5" s="1"/>
  <c r="AT1854" i="5"/>
  <c r="AI1994" i="5"/>
  <c r="AJ2096" i="5"/>
  <c r="AZ2544" i="5"/>
  <c r="AZ2516" i="5"/>
  <c r="M2282" i="5"/>
  <c r="F2282" i="5" s="1"/>
  <c r="AM2283" i="5" s="1"/>
  <c r="AK1943" i="5"/>
  <c r="AY2230" i="5"/>
  <c r="AK2544" i="5"/>
  <c r="AJ2516" i="5"/>
  <c r="AJ1914" i="5"/>
  <c r="AL1970" i="5"/>
  <c r="AI2097" i="5"/>
  <c r="AJ2010" i="5"/>
  <c r="AZ1954" i="5"/>
  <c r="AY2250" i="5"/>
  <c r="M2296" i="5"/>
  <c r="F2296" i="5" s="1"/>
  <c r="AM2297" i="5" s="1"/>
  <c r="AW2516" i="5"/>
  <c r="AX2516" i="5" s="1"/>
  <c r="M2331" i="5"/>
  <c r="F2331" i="5" s="1"/>
  <c r="M2352" i="5"/>
  <c r="F2352" i="5" s="1"/>
  <c r="AT1818" i="5"/>
  <c r="AY2178" i="5"/>
  <c r="AI1882" i="5"/>
  <c r="AL1887" i="5"/>
  <c r="AR1914" i="5"/>
  <c r="AS1914" i="5" s="1"/>
  <c r="AZ2010" i="5"/>
  <c r="AJ2116" i="5"/>
  <c r="AI1827" i="5"/>
  <c r="AY1862" i="5"/>
  <c r="AY1878" i="5"/>
  <c r="AI1939" i="5"/>
  <c r="AJ1990" i="5"/>
  <c r="AY2055" i="5"/>
  <c r="AY1858" i="5"/>
  <c r="AS2104" i="5"/>
  <c r="AJ1802" i="5"/>
  <c r="AR1831" i="5"/>
  <c r="AS1831" i="5" s="1"/>
  <c r="AZ1842" i="5"/>
  <c r="AL2066" i="5"/>
  <c r="AT2206" i="5"/>
  <c r="M422" i="5"/>
  <c r="F422" i="5" s="1"/>
  <c r="AY2529" i="5"/>
  <c r="AL2266" i="5"/>
  <c r="M2471" i="5"/>
  <c r="F2471" i="5" s="1"/>
  <c r="M2478" i="5"/>
  <c r="F2478" i="5" s="1"/>
  <c r="AW1943" i="5"/>
  <c r="AX1943" i="5" s="1"/>
  <c r="AR1999" i="5"/>
  <c r="AT1999" i="5" s="1"/>
  <c r="AS2074" i="5"/>
  <c r="M2512" i="5"/>
  <c r="F2512" i="5" s="1"/>
  <c r="AM2513" i="5" s="1"/>
  <c r="AY2516" i="5"/>
  <c r="AZ2030" i="5"/>
  <c r="AL2116" i="5"/>
  <c r="AI2096" i="5"/>
  <c r="AR2529" i="5"/>
  <c r="AS2529" i="5" s="1"/>
  <c r="M2310" i="5"/>
  <c r="F2310" i="5" s="1"/>
  <c r="AM2311" i="5" s="1"/>
  <c r="AY2544" i="5"/>
  <c r="AZ2540" i="5"/>
  <c r="M2247" i="5"/>
  <c r="F2247" i="5" s="1"/>
  <c r="AM2248" i="5" s="1"/>
  <c r="AI2010" i="5"/>
  <c r="AZ1882" i="5"/>
  <c r="AR1887" i="5"/>
  <c r="AT1887" i="5" s="1"/>
  <c r="AY1914" i="5"/>
  <c r="AK2030" i="5"/>
  <c r="AZ2116" i="5"/>
  <c r="AJ1826" i="5"/>
  <c r="AL1878" i="5"/>
  <c r="AZ1943" i="5"/>
  <c r="AW1999" i="5"/>
  <c r="AX1999" i="5" s="1"/>
  <c r="AL1858" i="5"/>
  <c r="AZ1918" i="5"/>
  <c r="AK1822" i="5"/>
  <c r="AL1831" i="5"/>
  <c r="AY2096" i="5"/>
  <c r="AI2087" i="5"/>
  <c r="AT1962" i="5"/>
  <c r="M2198" i="5"/>
  <c r="F2198" i="5" s="1"/>
  <c r="AM2199" i="5" s="1"/>
  <c r="AK2096" i="5"/>
  <c r="AI2117" i="5"/>
  <c r="AS1910" i="5"/>
  <c r="AY2026" i="5"/>
  <c r="AK1974" i="5"/>
  <c r="M4029" i="5"/>
  <c r="F4029" i="5" s="1"/>
  <c r="L4029" i="5" s="1"/>
  <c r="AR1943" i="5"/>
  <c r="AU1914" i="5"/>
  <c r="AV1914" i="5" s="1"/>
  <c r="AY1970" i="5"/>
  <c r="M2485" i="5"/>
  <c r="F2485" i="5" s="1"/>
  <c r="AS1986" i="5"/>
  <c r="M2240" i="5"/>
  <c r="F2240" i="5" s="1"/>
  <c r="M2506" i="5"/>
  <c r="F2506" i="5" s="1"/>
  <c r="AM2507" i="5" s="1"/>
  <c r="AI2307" i="5"/>
  <c r="M2261" i="5"/>
  <c r="F2261" i="5" s="1"/>
  <c r="AI1879" i="5"/>
  <c r="AL1938" i="5"/>
  <c r="AI1991" i="5"/>
  <c r="AK2050" i="5"/>
  <c r="AK1858" i="5"/>
  <c r="AJ1994" i="5"/>
  <c r="AU2463" i="5"/>
  <c r="AV2463" i="5" s="1"/>
  <c r="G203" i="5"/>
  <c r="H203" i="5" s="1"/>
  <c r="M2464" i="5"/>
  <c r="F2464" i="5" s="1"/>
  <c r="M2536" i="5"/>
  <c r="F2536" i="5" s="1"/>
  <c r="M2457" i="5"/>
  <c r="F2457" i="5" s="1"/>
  <c r="AM2458" i="5" s="1"/>
  <c r="M2530" i="5"/>
  <c r="F2530" i="5" s="1"/>
  <c r="AM2531" i="5" s="1"/>
  <c r="M2408" i="5"/>
  <c r="F2408" i="5" s="1"/>
  <c r="M2177" i="5"/>
  <c r="F2177" i="5" s="1"/>
  <c r="AM2178" i="5" s="1"/>
  <c r="AJ2540" i="5"/>
  <c r="M2380" i="5"/>
  <c r="F2380" i="5" s="1"/>
  <c r="M2324" i="5"/>
  <c r="F2324" i="5" s="1"/>
  <c r="AY2540" i="5"/>
  <c r="AY2520" i="5"/>
  <c r="M2338" i="5"/>
  <c r="F2338" i="5" s="1"/>
  <c r="M2233" i="5"/>
  <c r="F2233" i="5" s="1"/>
  <c r="AU2541" i="5"/>
  <c r="AV2541" i="5" s="1"/>
  <c r="M1873" i="5"/>
  <c r="F1873" i="5" s="1"/>
  <c r="AM1874" i="5" s="1"/>
  <c r="M2808" i="5"/>
  <c r="L2808" i="5" s="1"/>
  <c r="M2800" i="5"/>
  <c r="L2800" i="5" s="1"/>
  <c r="AQ1827" i="5"/>
  <c r="AQ1419" i="5"/>
  <c r="AQ1197" i="5"/>
  <c r="AW1985" i="5"/>
  <c r="AX1985" i="5" s="1"/>
  <c r="M2212" i="5"/>
  <c r="F2212" i="5" s="1"/>
  <c r="AM2213" i="5" s="1"/>
  <c r="M2317" i="5"/>
  <c r="F2317" i="5" s="1"/>
  <c r="AM2318" i="5" s="1"/>
  <c r="M2184" i="5"/>
  <c r="F2184" i="5" s="1"/>
  <c r="M2254" i="5"/>
  <c r="F2254" i="5" s="1"/>
  <c r="AJ2529" i="5"/>
  <c r="M2191" i="5"/>
  <c r="F2191" i="5" s="1"/>
  <c r="M2366" i="5"/>
  <c r="F2366" i="5" s="1"/>
  <c r="AM2367" i="5" s="1"/>
  <c r="AL1900" i="5"/>
  <c r="AR2541" i="5"/>
  <c r="AT2541" i="5" s="1"/>
  <c r="AZ2529" i="5"/>
  <c r="AY1996" i="5"/>
  <c r="M2429" i="5"/>
  <c r="F2429" i="5" s="1"/>
  <c r="M2492" i="5"/>
  <c r="F2492" i="5" s="1"/>
  <c r="AW2540" i="5"/>
  <c r="AX2540" i="5" s="1"/>
  <c r="M2219" i="5"/>
  <c r="F2219" i="5" s="1"/>
  <c r="AM2220" i="5" s="1"/>
  <c r="AU2540" i="5"/>
  <c r="AV2540" i="5" s="1"/>
  <c r="M2499" i="5"/>
  <c r="F2499" i="5" s="1"/>
  <c r="AM2500" i="5" s="1"/>
  <c r="AY2036" i="5"/>
  <c r="M1985" i="5"/>
  <c r="F1985" i="5" s="1"/>
  <c r="AJ2520" i="5"/>
  <c r="M1226" i="5"/>
  <c r="F1226" i="5" s="1"/>
  <c r="AM1226" i="5" s="1"/>
  <c r="M1038" i="5"/>
  <c r="F1038" i="5" s="1"/>
  <c r="AM1038" i="5" s="1"/>
  <c r="AZ2378" i="5"/>
  <c r="AS2502" i="5"/>
  <c r="M2281" i="5"/>
  <c r="F2281" i="5" s="1"/>
  <c r="M3249" i="5"/>
  <c r="F3249" i="5" s="1"/>
  <c r="L3249" i="5" s="1"/>
  <c r="M2463" i="5"/>
  <c r="F2463" i="5" s="1"/>
  <c r="M2505" i="5"/>
  <c r="F2505" i="5" s="1"/>
  <c r="AI2570" i="5"/>
  <c r="AZ2547" i="5"/>
  <c r="AL1984" i="5"/>
  <c r="AY1984" i="5"/>
  <c r="AU1984" i="5"/>
  <c r="AV1984" i="5" s="1"/>
  <c r="AJ1957" i="5"/>
  <c r="AR1957" i="5"/>
  <c r="AT1957" i="5" s="1"/>
  <c r="AI1958" i="5"/>
  <c r="AI1952" i="5"/>
  <c r="AK1952" i="5"/>
  <c r="AT1904" i="5"/>
  <c r="AS1904" i="5"/>
  <c r="AS1884" i="5"/>
  <c r="AT1884" i="5"/>
  <c r="AL1872" i="5"/>
  <c r="AW1872" i="5"/>
  <c r="AX1872" i="5" s="1"/>
  <c r="AZ1872" i="5"/>
  <c r="AT1864" i="5"/>
  <c r="AS1864" i="5"/>
  <c r="AZ1856" i="5"/>
  <c r="AL1856" i="5"/>
  <c r="AR1845" i="5"/>
  <c r="AJ1845" i="5"/>
  <c r="AL1836" i="5"/>
  <c r="AK1836" i="5"/>
  <c r="AL1820" i="5"/>
  <c r="AJ1820" i="5"/>
  <c r="AK1820" i="5"/>
  <c r="AK1816" i="5"/>
  <c r="AY1816" i="5"/>
  <c r="AJ1816" i="5"/>
  <c r="AU1816" i="5"/>
  <c r="AV1816" i="5" s="1"/>
  <c r="AW1816" i="5"/>
  <c r="AX1816" i="5" s="1"/>
  <c r="AT1812" i="5"/>
  <c r="AS1812" i="5"/>
  <c r="AJ1800" i="5"/>
  <c r="AY1800" i="5"/>
  <c r="AK1800" i="5"/>
  <c r="AI1790" i="5"/>
  <c r="AR1789" i="5"/>
  <c r="AT1789" i="5" s="1"/>
  <c r="AZ1789" i="5"/>
  <c r="AL1789" i="5"/>
  <c r="AK1784" i="5"/>
  <c r="AJ1784" i="5"/>
  <c r="AZ1784" i="5"/>
  <c r="AJ1780" i="5"/>
  <c r="AY1780" i="5"/>
  <c r="AY1764" i="5"/>
  <c r="AZ1764" i="5"/>
  <c r="AU1760" i="5"/>
  <c r="AV1760" i="5" s="1"/>
  <c r="AK1760" i="5"/>
  <c r="AZ1760" i="5"/>
  <c r="AZ1743" i="5"/>
  <c r="AJ1743" i="5"/>
  <c r="AL1743" i="5"/>
  <c r="AJ1736" i="5"/>
  <c r="AY1736" i="5"/>
  <c r="AK1690" i="5"/>
  <c r="AI1690" i="5"/>
  <c r="AZ1690" i="5"/>
  <c r="AT1683" i="5"/>
  <c r="AS1683" i="5"/>
  <c r="AY1671" i="5"/>
  <c r="AJ1671" i="5"/>
  <c r="AI1671" i="5"/>
  <c r="AZ1671" i="5"/>
  <c r="AK1667" i="5"/>
  <c r="AZ1667" i="5"/>
  <c r="AI1647" i="5"/>
  <c r="AL1647" i="5"/>
  <c r="AJ1647" i="5"/>
  <c r="AZ1647" i="5"/>
  <c r="AJ1643" i="5"/>
  <c r="AZ1643" i="5"/>
  <c r="AL1643" i="5"/>
  <c r="AJ1607" i="5"/>
  <c r="AZ1607" i="5"/>
  <c r="AK1607" i="5"/>
  <c r="AZ1596" i="5"/>
  <c r="AI1597" i="5"/>
  <c r="AY1596" i="5"/>
  <c r="AK1596" i="5"/>
  <c r="AJ1591" i="5"/>
  <c r="AL1591" i="5"/>
  <c r="AK1591" i="5"/>
  <c r="AY1587" i="5"/>
  <c r="AJ1587" i="5"/>
  <c r="AL1587" i="5"/>
  <c r="AZ1571" i="5"/>
  <c r="AK1571" i="5"/>
  <c r="AL1571" i="5"/>
  <c r="AY1571" i="5"/>
  <c r="AZ1570" i="5"/>
  <c r="AK1570" i="5"/>
  <c r="AJ1564" i="5"/>
  <c r="AZ1564" i="5"/>
  <c r="AK1560" i="5"/>
  <c r="AJ1560" i="5"/>
  <c r="AL1560" i="5"/>
  <c r="AR1560" i="5"/>
  <c r="AS1560" i="5" s="1"/>
  <c r="AU1533" i="5"/>
  <c r="AV1533" i="5" s="1"/>
  <c r="AI1534" i="5"/>
  <c r="AW1533" i="5"/>
  <c r="AX1533" i="5" s="1"/>
  <c r="AZ1533" i="5"/>
  <c r="AY1533" i="5"/>
  <c r="AZ1528" i="5"/>
  <c r="AI1528" i="5"/>
  <c r="AK1528" i="5"/>
  <c r="AY1528" i="5"/>
  <c r="AZ1508" i="5"/>
  <c r="AL1508" i="5"/>
  <c r="AR1504" i="5"/>
  <c r="AT1504" i="5" s="1"/>
  <c r="AU1504" i="5"/>
  <c r="AV1504" i="5" s="1"/>
  <c r="AK1504" i="5"/>
  <c r="AL1504" i="5"/>
  <c r="AW1504" i="5"/>
  <c r="AX1504" i="5" s="1"/>
  <c r="AJ1488" i="5"/>
  <c r="AZ1488" i="5"/>
  <c r="AT1480" i="5"/>
  <c r="AS1480" i="5"/>
  <c r="AJ1477" i="5"/>
  <c r="AZ1477" i="5"/>
  <c r="AW1477" i="5"/>
  <c r="AX1477" i="5" s="1"/>
  <c r="AR1477" i="5"/>
  <c r="AT1477" i="5" s="1"/>
  <c r="AI1478" i="5"/>
  <c r="AK1477" i="5"/>
  <c r="AI1472" i="5"/>
  <c r="AJ1472" i="5"/>
  <c r="AL1472" i="5"/>
  <c r="AZ1468" i="5"/>
  <c r="AY1468" i="5"/>
  <c r="AL1468" i="5"/>
  <c r="AS1464" i="5"/>
  <c r="AT1464" i="5"/>
  <c r="AL1452" i="5"/>
  <c r="AZ1452" i="5"/>
  <c r="AY1452" i="5"/>
  <c r="AK1452" i="5"/>
  <c r="AI1453" i="5"/>
  <c r="AZ1448" i="5"/>
  <c r="AU1448" i="5"/>
  <c r="AV1448" i="5" s="1"/>
  <c r="AL1448" i="5"/>
  <c r="AK1448" i="5"/>
  <c r="AW1448" i="5"/>
  <c r="AX1448" i="5" s="1"/>
  <c r="AJ1448" i="5"/>
  <c r="AS1440" i="5"/>
  <c r="AT1440" i="5"/>
  <c r="AK1432" i="5"/>
  <c r="AY1432" i="5"/>
  <c r="AJ1432" i="5"/>
  <c r="AT1424" i="5"/>
  <c r="AS1424" i="5"/>
  <c r="AK1412" i="5"/>
  <c r="AZ1412" i="5"/>
  <c r="AL1412" i="5"/>
  <c r="AK1396" i="5"/>
  <c r="AL1396" i="5"/>
  <c r="AZ1396" i="5"/>
  <c r="AW1392" i="5"/>
  <c r="AX1392" i="5" s="1"/>
  <c r="AR1392" i="5"/>
  <c r="AT1392" i="5" s="1"/>
  <c r="AU1392" i="5"/>
  <c r="AV1392" i="5" s="1"/>
  <c r="AI1392" i="5"/>
  <c r="AK1392" i="5"/>
  <c r="AJ1376" i="5"/>
  <c r="AL1376" i="5"/>
  <c r="AR1365" i="5"/>
  <c r="AU1365" i="5"/>
  <c r="AV1365" i="5" s="1"/>
  <c r="AY1365" i="5"/>
  <c r="AW1365" i="5"/>
  <c r="AX1365" i="5" s="1"/>
  <c r="AK1365" i="5"/>
  <c r="AJ1365" i="5"/>
  <c r="AJ1360" i="5"/>
  <c r="AY1360" i="5"/>
  <c r="AZ1360" i="5"/>
  <c r="AK1356" i="5"/>
  <c r="AL1356" i="5"/>
  <c r="AJ1356" i="5"/>
  <c r="AY1340" i="5"/>
  <c r="AJ1340" i="5"/>
  <c r="AZ1340" i="5"/>
  <c r="AK1336" i="5"/>
  <c r="AZ1336" i="5"/>
  <c r="AU1336" i="5"/>
  <c r="AV1336" i="5" s="1"/>
  <c r="AJ1336" i="5"/>
  <c r="AI1336" i="5"/>
  <c r="AS1328" i="5"/>
  <c r="AT1328" i="5"/>
  <c r="AY1320" i="5"/>
  <c r="AK1320" i="5"/>
  <c r="AZ1320" i="5"/>
  <c r="AL1309" i="5"/>
  <c r="AZ1309" i="5"/>
  <c r="AJ1309" i="5"/>
  <c r="AM1309" i="5"/>
  <c r="AY1309" i="5"/>
  <c r="AT1306" i="5"/>
  <c r="AS1306" i="5"/>
  <c r="AS1261" i="5"/>
  <c r="AT1261" i="5"/>
  <c r="AI1254" i="5"/>
  <c r="AL1254" i="5"/>
  <c r="AW1250" i="5"/>
  <c r="AX1250" i="5" s="1"/>
  <c r="AU1250" i="5"/>
  <c r="AV1250" i="5" s="1"/>
  <c r="AK1250" i="5"/>
  <c r="M2218" i="5"/>
  <c r="F2218" i="5" s="1"/>
  <c r="M2183" i="5"/>
  <c r="F2183" i="5" s="1"/>
  <c r="M2365" i="5"/>
  <c r="F2365" i="5" s="1"/>
  <c r="AL2510" i="5"/>
  <c r="AW2510" i="5"/>
  <c r="AX2510" i="5" s="1"/>
  <c r="AL2224" i="5"/>
  <c r="AR2224" i="5"/>
  <c r="AT2224" i="5" s="1"/>
  <c r="AK2171" i="5"/>
  <c r="AL2454" i="5"/>
  <c r="AL2069" i="5"/>
  <c r="AZ2418" i="5"/>
  <c r="AL2304" i="5"/>
  <c r="M2288" i="5"/>
  <c r="F2288" i="5" s="1"/>
  <c r="AK2547" i="5"/>
  <c r="M2344" i="5"/>
  <c r="F2344" i="5" s="1"/>
  <c r="M1232" i="5"/>
  <c r="F1232" i="5" s="1"/>
  <c r="AM1232" i="5" s="1"/>
  <c r="M416" i="5"/>
  <c r="F416" i="5" s="1"/>
  <c r="AI2458" i="5"/>
  <c r="M2523" i="5"/>
  <c r="F2523" i="5" s="1"/>
  <c r="AJ2264" i="5"/>
  <c r="AY2004" i="5"/>
  <c r="AZ2040" i="5"/>
  <c r="AW2013" i="5"/>
  <c r="AX2013" i="5" s="1"/>
  <c r="AT2102" i="5"/>
  <c r="AJ2060" i="5"/>
  <c r="AL2253" i="5"/>
  <c r="AU2197" i="5"/>
  <c r="AV2197" i="5" s="1"/>
  <c r="AZ1840" i="5"/>
  <c r="AJ1856" i="5"/>
  <c r="AY1892" i="5"/>
  <c r="AZ1896" i="5"/>
  <c r="AZ1901" i="5"/>
  <c r="AW1928" i="5"/>
  <c r="AX1928" i="5" s="1"/>
  <c r="AJ1934" i="5"/>
  <c r="AZ1952" i="5"/>
  <c r="AL2013" i="5"/>
  <c r="AJ2040" i="5"/>
  <c r="AT2056" i="5"/>
  <c r="AJ2080" i="5"/>
  <c r="AY2092" i="5"/>
  <c r="AL2188" i="5"/>
  <c r="AY2197" i="5"/>
  <c r="AY2224" i="5"/>
  <c r="AK2248" i="5"/>
  <c r="AL2284" i="5"/>
  <c r="AJ2336" i="5"/>
  <c r="AJ2463" i="5"/>
  <c r="M2529" i="5"/>
  <c r="F2529" i="5" s="1"/>
  <c r="M1066" i="5"/>
  <c r="F1066" i="5" s="1"/>
  <c r="AM1066" i="5" s="1"/>
  <c r="AJ2360" i="5"/>
  <c r="AY2378" i="5"/>
  <c r="AU2510" i="5"/>
  <c r="AV2510" i="5" s="1"/>
  <c r="AZ1780" i="5"/>
  <c r="AL1800" i="5"/>
  <c r="AJ1872" i="5"/>
  <c r="AS1888" i="5"/>
  <c r="AW2069" i="5"/>
  <c r="AX2069" i="5" s="1"/>
  <c r="N3628" i="5"/>
  <c r="M3628" i="5" s="1"/>
  <c r="F3628" i="5" s="1"/>
  <c r="L3628" i="5" s="1"/>
  <c r="M3627" i="5"/>
  <c r="F3627" i="5" s="1"/>
  <c r="L3627" i="5" s="1"/>
  <c r="AJ2523" i="5"/>
  <c r="AL2523" i="5"/>
  <c r="AK2490" i="5"/>
  <c r="AJ2490" i="5"/>
  <c r="AT2352" i="5"/>
  <c r="AS2352" i="5"/>
  <c r="M2211" i="5"/>
  <c r="F2211" i="5" s="1"/>
  <c r="AZ2114" i="5"/>
  <c r="AJ2208" i="5"/>
  <c r="AK2084" i="5"/>
  <c r="AJ2172" i="5"/>
  <c r="AK2253" i="5"/>
  <c r="AJ2013" i="5"/>
  <c r="AL2110" i="5"/>
  <c r="AL2172" i="5"/>
  <c r="AZ2192" i="5"/>
  <c r="AW2224" i="5"/>
  <c r="AX2224" i="5" s="1"/>
  <c r="AJ2248" i="5"/>
  <c r="AT2292" i="5"/>
  <c r="AW2336" i="5"/>
  <c r="AX2336" i="5" s="1"/>
  <c r="AL2463" i="5"/>
  <c r="M2477" i="5"/>
  <c r="F2477" i="5" s="1"/>
  <c r="M1244" i="5"/>
  <c r="F1244" i="5" s="1"/>
  <c r="AY2360" i="5"/>
  <c r="M404" i="5"/>
  <c r="F404" i="5" s="1"/>
  <c r="AY2244" i="5"/>
  <c r="AZ2244" i="5"/>
  <c r="AJ2244" i="5"/>
  <c r="AR2280" i="5"/>
  <c r="AT2280" i="5" s="1"/>
  <c r="AZ2304" i="5"/>
  <c r="M2517" i="5"/>
  <c r="F2517" i="5" s="1"/>
  <c r="M1238" i="5"/>
  <c r="F1238" i="5" s="1"/>
  <c r="M1192" i="5"/>
  <c r="F1192" i="5" s="1"/>
  <c r="AM1192" i="5" s="1"/>
  <c r="AT2072" i="5"/>
  <c r="AW2040" i="5"/>
  <c r="AX2040" i="5" s="1"/>
  <c r="AK2080" i="5"/>
  <c r="AL2197" i="5"/>
  <c r="AU2378" i="5"/>
  <c r="AV2378" i="5" s="1"/>
  <c r="AZ2407" i="5"/>
  <c r="AS2466" i="5"/>
  <c r="AZ2171" i="5"/>
  <c r="AZ2284" i="5"/>
  <c r="AZ1912" i="5"/>
  <c r="M302" i="5"/>
  <c r="F302" i="5" s="1"/>
  <c r="AL2060" i="5"/>
  <c r="AJ2407" i="5"/>
  <c r="AI1985" i="5"/>
  <c r="M2330" i="5"/>
  <c r="F2330" i="5" s="1"/>
  <c r="AY2228" i="5"/>
  <c r="M891" i="5"/>
  <c r="F891" i="5" s="1"/>
  <c r="AM891" i="5" s="1"/>
  <c r="M2323" i="5"/>
  <c r="F2323" i="5" s="1"/>
  <c r="M2435" i="5"/>
  <c r="F2435" i="5" s="1"/>
  <c r="AZ2546" i="5"/>
  <c r="AU2013" i="5"/>
  <c r="AV2013" i="5" s="1"/>
  <c r="AI2248" i="5"/>
  <c r="AT2312" i="5"/>
  <c r="AI2254" i="5"/>
  <c r="AJ2197" i="5"/>
  <c r="AY2013" i="5"/>
  <c r="AT2168" i="5"/>
  <c r="AY1845" i="5"/>
  <c r="AZ1892" i="5"/>
  <c r="AZ1898" i="5"/>
  <c r="AK1901" i="5"/>
  <c r="AK1932" i="5"/>
  <c r="AS1960" i="5"/>
  <c r="AJ2004" i="5"/>
  <c r="AZ2013" i="5"/>
  <c r="AY2040" i="5"/>
  <c r="AZ2060" i="5"/>
  <c r="AZ2084" i="5"/>
  <c r="AJ2110" i="5"/>
  <c r="AY2172" i="5"/>
  <c r="AL2192" i="5"/>
  <c r="AR2197" i="5"/>
  <c r="AT2197" i="5" s="1"/>
  <c r="AJ2224" i="5"/>
  <c r="AZ2248" i="5"/>
  <c r="AS2296" i="5"/>
  <c r="AR2336" i="5"/>
  <c r="AS2336" i="5" s="1"/>
  <c r="N3637" i="5"/>
  <c r="N3647" i="5" s="1"/>
  <c r="M3647" i="5" s="1"/>
  <c r="F3647" i="5" s="1"/>
  <c r="L3647" i="5" s="1"/>
  <c r="X3021" i="5"/>
  <c r="M3208" i="5" s="1"/>
  <c r="F3208" i="5" s="1"/>
  <c r="L3208" i="5" s="1"/>
  <c r="AI2360" i="5"/>
  <c r="AZ2474" i="5"/>
  <c r="M308" i="5"/>
  <c r="F308" i="5" s="1"/>
  <c r="AT1976" i="5"/>
  <c r="AY1743" i="5"/>
  <c r="AK1789" i="5"/>
  <c r="AT1615" i="5"/>
  <c r="AY1760" i="5"/>
  <c r="AL1816" i="5"/>
  <c r="AL1892" i="5"/>
  <c r="AK1780" i="5"/>
  <c r="AS1552" i="5"/>
  <c r="AK1508" i="5"/>
  <c r="M1171" i="5"/>
  <c r="F1171" i="5" s="1"/>
  <c r="AM1171" i="5" s="1"/>
  <c r="M1059" i="5"/>
  <c r="F1059" i="5" s="1"/>
  <c r="M919" i="5"/>
  <c r="F919" i="5" s="1"/>
  <c r="AS2450" i="5"/>
  <c r="AT2450" i="5"/>
  <c r="AJ2434" i="5"/>
  <c r="AY2434" i="5"/>
  <c r="AL2434" i="5"/>
  <c r="AS2426" i="5"/>
  <c r="AT2426" i="5"/>
  <c r="AW2407" i="5"/>
  <c r="AX2407" i="5" s="1"/>
  <c r="AU2407" i="5"/>
  <c r="AV2407" i="5" s="1"/>
  <c r="AL2382" i="5"/>
  <c r="AZ2382" i="5"/>
  <c r="AY2454" i="5"/>
  <c r="AL2280" i="5"/>
  <c r="AL2064" i="5"/>
  <c r="M2246" i="5"/>
  <c r="F2246" i="5" s="1"/>
  <c r="AI2524" i="5"/>
  <c r="AL2004" i="5"/>
  <c r="AS2036" i="5"/>
  <c r="AI2366" i="5"/>
  <c r="AS2410" i="5"/>
  <c r="AT2482" i="5"/>
  <c r="AZ2090" i="5"/>
  <c r="AL2090" i="5"/>
  <c r="M314" i="5"/>
  <c r="F314" i="5" s="1"/>
  <c r="M2484" i="5"/>
  <c r="F2484" i="5" s="1"/>
  <c r="AU2224" i="5"/>
  <c r="AV2224" i="5" s="1"/>
  <c r="AI2064" i="5"/>
  <c r="AL1952" i="5"/>
  <c r="AS2256" i="5"/>
  <c r="AK2264" i="5"/>
  <c r="AZ2110" i="5"/>
  <c r="AJ2092" i="5"/>
  <c r="AS2098" i="5"/>
  <c r="AZ2080" i="5"/>
  <c r="AR2040" i="5"/>
  <c r="AS2040" i="5" s="1"/>
  <c r="AI2070" i="5"/>
  <c r="AL2084" i="5"/>
  <c r="AY2110" i="5"/>
  <c r="AZ2172" i="5"/>
  <c r="AJ2192" i="5"/>
  <c r="AL2208" i="5"/>
  <c r="AZ2228" i="5"/>
  <c r="AZ2253" i="5"/>
  <c r="AJ2340" i="5"/>
  <c r="M933" i="5"/>
  <c r="F933" i="5" s="1"/>
  <c r="AM933" i="5" s="1"/>
  <c r="AY2382" i="5"/>
  <c r="AK2454" i="5"/>
  <c r="AZ2280" i="5"/>
  <c r="AT2236" i="5"/>
  <c r="AK2064" i="5"/>
  <c r="AK2418" i="5"/>
  <c r="G3534" i="5"/>
  <c r="H3534" i="5" s="1"/>
  <c r="M2204" i="5"/>
  <c r="F2204" i="5" s="1"/>
  <c r="M2535" i="5"/>
  <c r="F2535" i="5" s="1"/>
  <c r="M1080" i="5"/>
  <c r="F1080" i="5" s="1"/>
  <c r="M374" i="5"/>
  <c r="F374" i="5" s="1"/>
  <c r="M1150" i="5"/>
  <c r="F1150" i="5" s="1"/>
  <c r="AM1150" i="5" s="1"/>
  <c r="AT2016" i="5"/>
  <c r="AK2114" i="5"/>
  <c r="AU1957" i="5"/>
  <c r="AV1957" i="5" s="1"/>
  <c r="AY2208" i="5"/>
  <c r="AY2309" i="5"/>
  <c r="AI2084" i="5"/>
  <c r="AY2188" i="5"/>
  <c r="AZ1836" i="5"/>
  <c r="AK1845" i="5"/>
  <c r="AR1872" i="5"/>
  <c r="AS1872" i="5" s="1"/>
  <c r="AJ1896" i="5"/>
  <c r="AI1899" i="5"/>
  <c r="AR1901" i="5"/>
  <c r="AT1901" i="5" s="1"/>
  <c r="AJ1928" i="5"/>
  <c r="AL1932" i="5"/>
  <c r="AJ1948" i="5"/>
  <c r="AK1984" i="5"/>
  <c r="AY2008" i="5"/>
  <c r="AZ2044" i="5"/>
  <c r="AJ2069" i="5"/>
  <c r="AK2090" i="5"/>
  <c r="AT2180" i="5"/>
  <c r="AK2192" i="5"/>
  <c r="AT2216" i="5"/>
  <c r="AK2228" i="5"/>
  <c r="AU2253" i="5"/>
  <c r="AV2253" i="5" s="1"/>
  <c r="AW2309" i="5"/>
  <c r="AX2309" i="5" s="1"/>
  <c r="AJ2514" i="5"/>
  <c r="AT2348" i="5"/>
  <c r="AZ2384" i="5"/>
  <c r="AU2434" i="5"/>
  <c r="AV2434" i="5" s="1"/>
  <c r="AR2490" i="5"/>
  <c r="AS2490" i="5" s="1"/>
  <c r="AY1667" i="5"/>
  <c r="AW1760" i="5"/>
  <c r="AX1760" i="5" s="1"/>
  <c r="AZ1816" i="5"/>
  <c r="AL1524" i="5"/>
  <c r="AW1560" i="5"/>
  <c r="AX1560" i="5" s="1"/>
  <c r="AS1583" i="5"/>
  <c r="AY1643" i="5"/>
  <c r="AL1784" i="5"/>
  <c r="AT1828" i="5"/>
  <c r="AZ1957" i="5"/>
  <c r="AK1587" i="5"/>
  <c r="AK2004" i="5"/>
  <c r="AL1477" i="5"/>
  <c r="M350" i="5"/>
  <c r="F350" i="5" s="1"/>
  <c r="M338" i="5"/>
  <c r="F338" i="5" s="1"/>
  <c r="AI2408" i="5"/>
  <c r="AL2407" i="5"/>
  <c r="M2239" i="5"/>
  <c r="F2239" i="5" s="1"/>
  <c r="M2372" i="5"/>
  <c r="F2372" i="5" s="1"/>
  <c r="AW2523" i="5"/>
  <c r="AX2523" i="5" s="1"/>
  <c r="AZ1968" i="5"/>
  <c r="AW2280" i="5"/>
  <c r="AX2280" i="5" s="1"/>
  <c r="AL2458" i="5"/>
  <c r="AS2272" i="5"/>
  <c r="G3530" i="5"/>
  <c r="H3530" i="5" s="1"/>
  <c r="AJ2064" i="5"/>
  <c r="AL2418" i="5"/>
  <c r="M2428" i="5"/>
  <c r="F2428" i="5" s="1"/>
  <c r="M453" i="5"/>
  <c r="F453" i="5" s="1"/>
  <c r="M2274" i="5"/>
  <c r="F2274" i="5" s="1"/>
  <c r="M356" i="5"/>
  <c r="F356" i="5" s="1"/>
  <c r="M1213" i="5"/>
  <c r="F1213" i="5" s="1"/>
  <c r="AM1213" i="5" s="1"/>
  <c r="AL2248" i="5"/>
  <c r="AU2280" i="5"/>
  <c r="AV2280" i="5" s="1"/>
  <c r="AJ2090" i="5"/>
  <c r="AZ2197" i="5"/>
  <c r="AK2208" i="5"/>
  <c r="AT2184" i="5"/>
  <c r="AZ2008" i="5"/>
  <c r="AJ1836" i="5"/>
  <c r="AT1848" i="5"/>
  <c r="AL1876" i="5"/>
  <c r="AL1896" i="5"/>
  <c r="AL1898" i="5"/>
  <c r="AI1902" i="5"/>
  <c r="AK1928" i="5"/>
  <c r="AL1934" i="5"/>
  <c r="AL1948" i="5"/>
  <c r="AJ1988" i="5"/>
  <c r="AK2008" i="5"/>
  <c r="AU2040" i="5"/>
  <c r="AV2040" i="5" s="1"/>
  <c r="AJ2044" i="5"/>
  <c r="AZ2069" i="5"/>
  <c r="AI2090" i="5"/>
  <c r="AJ2188" i="5"/>
  <c r="AI2192" i="5"/>
  <c r="AW2253" i="5"/>
  <c r="AX2253" i="5" s="1"/>
  <c r="AU2309" i="5"/>
  <c r="AV2309" i="5" s="1"/>
  <c r="AY2523" i="5"/>
  <c r="AK2534" i="5"/>
  <c r="M926" i="5"/>
  <c r="F926" i="5" s="1"/>
  <c r="AM926" i="5" s="1"/>
  <c r="AZ2356" i="5"/>
  <c r="AS2370" i="5"/>
  <c r="AJ2384" i="5"/>
  <c r="AK2434" i="5"/>
  <c r="AL2490" i="5"/>
  <c r="AJ1667" i="5"/>
  <c r="AR1760" i="5"/>
  <c r="AS1760" i="5" s="1"/>
  <c r="AR1816" i="5"/>
  <c r="AT1816" i="5" s="1"/>
  <c r="AK1524" i="5"/>
  <c r="AU1560" i="5"/>
  <c r="AV1560" i="5" s="1"/>
  <c r="AZ1587" i="5"/>
  <c r="AK1643" i="5"/>
  <c r="AY1789" i="5"/>
  <c r="AY1836" i="5"/>
  <c r="AZ1988" i="5"/>
  <c r="AL1488" i="5"/>
  <c r="AY1591" i="5"/>
  <c r="AI1570" i="5"/>
  <c r="AZ1432" i="5"/>
  <c r="AL1845" i="5"/>
  <c r="AY1784" i="5"/>
  <c r="AL2398" i="5"/>
  <c r="AK2398" i="5"/>
  <c r="AS2390" i="5"/>
  <c r="AT2390" i="5"/>
  <c r="AK2365" i="5"/>
  <c r="AZ2365" i="5"/>
  <c r="AL2114" i="5"/>
  <c r="AJ2114" i="5"/>
  <c r="AZ2454" i="5"/>
  <c r="AL2171" i="5"/>
  <c r="AK2280" i="5"/>
  <c r="M2358" i="5"/>
  <c r="F2358" i="5" s="1"/>
  <c r="M2337" i="5"/>
  <c r="F2337" i="5" s="1"/>
  <c r="M2386" i="5"/>
  <c r="F2386" i="5" s="1"/>
  <c r="M2351" i="5"/>
  <c r="F2351" i="5" s="1"/>
  <c r="M1206" i="5"/>
  <c r="F1206" i="5" s="1"/>
  <c r="AM1206" i="5" s="1"/>
  <c r="AZ2523" i="5"/>
  <c r="M996" i="5"/>
  <c r="F996" i="5" s="1"/>
  <c r="AM996" i="5" s="1"/>
  <c r="M2197" i="5"/>
  <c r="F2197" i="5" s="1"/>
  <c r="AL2044" i="5"/>
  <c r="AZ2064" i="5"/>
  <c r="AT2032" i="5"/>
  <c r="AK2224" i="5"/>
  <c r="AW1957" i="5"/>
  <c r="AX1957" i="5" s="1"/>
  <c r="AI2008" i="5"/>
  <c r="AK1876" i="5"/>
  <c r="AL1928" i="5"/>
  <c r="AZ1934" i="5"/>
  <c r="AY1952" i="5"/>
  <c r="AK1988" i="5"/>
  <c r="AJ2008" i="5"/>
  <c r="AR2069" i="5"/>
  <c r="AS2069" i="5" s="1"/>
  <c r="AY2114" i="5"/>
  <c r="AI2198" i="5"/>
  <c r="AT2220" i="5"/>
  <c r="AK2244" i="5"/>
  <c r="AZ2264" i="5"/>
  <c r="AR2309" i="5"/>
  <c r="AT2309" i="5" s="1"/>
  <c r="AY2463" i="5"/>
  <c r="AU2534" i="5"/>
  <c r="AV2534" i="5" s="1"/>
  <c r="M1199" i="5"/>
  <c r="F1199" i="5" s="1"/>
  <c r="AL2356" i="5"/>
  <c r="AL2384" i="5"/>
  <c r="AL2438" i="5"/>
  <c r="AL2494" i="5"/>
  <c r="AZ1820" i="5"/>
  <c r="AW1845" i="5"/>
  <c r="AX1845" i="5" s="1"/>
  <c r="AJ1596" i="5"/>
  <c r="AS1556" i="5"/>
  <c r="AT1832" i="5"/>
  <c r="AZ1170" i="5"/>
  <c r="AK1210" i="5"/>
  <c r="AJ1226" i="5"/>
  <c r="AY1239" i="5"/>
  <c r="AK1226" i="5"/>
  <c r="AK1150" i="5"/>
  <c r="AW1150" i="5"/>
  <c r="AX1150" i="5" s="1"/>
  <c r="AL1190" i="5"/>
  <c r="AR1179" i="5"/>
  <c r="AS1179" i="5" s="1"/>
  <c r="AT1110" i="5"/>
  <c r="AR1123" i="5"/>
  <c r="AS1123" i="5" s="1"/>
  <c r="AJ1206" i="5"/>
  <c r="AW1011" i="5"/>
  <c r="AX1011" i="5" s="1"/>
  <c r="AL1078" i="5"/>
  <c r="AI1231" i="5"/>
  <c r="AU1179" i="5"/>
  <c r="AV1179" i="5" s="1"/>
  <c r="AJ1210" i="5"/>
  <c r="AJ1230" i="5"/>
  <c r="AY1174" i="5"/>
  <c r="AW1123" i="5"/>
  <c r="AX1123" i="5" s="1"/>
  <c r="AL1179" i="5"/>
  <c r="AY1098" i="5"/>
  <c r="AL1170" i="5"/>
  <c r="AJ1118" i="5"/>
  <c r="AY1114" i="5"/>
  <c r="AK1118" i="5"/>
  <c r="AR1206" i="5"/>
  <c r="AT1206" i="5" s="1"/>
  <c r="AK1011" i="5"/>
  <c r="AZ1078" i="5"/>
  <c r="AU1094" i="5"/>
  <c r="AV1094" i="5" s="1"/>
  <c r="AL1226" i="5"/>
  <c r="AW1239" i="5"/>
  <c r="AX1239" i="5" s="1"/>
  <c r="AT1242" i="5"/>
  <c r="AZ1190" i="5"/>
  <c r="AZ1094" i="5"/>
  <c r="AY1179" i="5"/>
  <c r="AK1098" i="5"/>
  <c r="AY1118" i="5"/>
  <c r="AL1123" i="5"/>
  <c r="AU1206" i="5"/>
  <c r="AV1206" i="5" s="1"/>
  <c r="AZ1011" i="5"/>
  <c r="AT1070" i="5"/>
  <c r="AS1030" i="5"/>
  <c r="AI1006" i="5"/>
  <c r="AL1230" i="5"/>
  <c r="AW1226" i="5"/>
  <c r="AX1226" i="5" s="1"/>
  <c r="AZ1239" i="5"/>
  <c r="AS1218" i="5"/>
  <c r="AK1190" i="5"/>
  <c r="AL1134" i="5"/>
  <c r="AS1126" i="5"/>
  <c r="AJ1123" i="5"/>
  <c r="AT1034" i="5"/>
  <c r="AY1006" i="5"/>
  <c r="AM1690" i="5"/>
  <c r="AM1571" i="5"/>
  <c r="A4790" i="5"/>
  <c r="C4790" i="5" s="1"/>
  <c r="M2062" i="5"/>
  <c r="F2062" i="5" s="1"/>
  <c r="M1810" i="5"/>
  <c r="F1810" i="5" s="1"/>
  <c r="AM1811" i="5" s="1"/>
  <c r="AI2305" i="5"/>
  <c r="AI2173" i="5"/>
  <c r="AI1933" i="5"/>
  <c r="AI1413" i="5"/>
  <c r="AI1361" i="5"/>
  <c r="AI1211" i="5"/>
  <c r="AQ1181" i="5"/>
  <c r="AI1115" i="5"/>
  <c r="AQ1065" i="5"/>
  <c r="AS2067" i="5"/>
  <c r="AQ2219" i="5"/>
  <c r="AQ2051" i="5"/>
  <c r="AQ2035" i="5"/>
  <c r="AI2026" i="5"/>
  <c r="AQ2020" i="5"/>
  <c r="AQ1955" i="5"/>
  <c r="AI1954" i="5"/>
  <c r="AQ1935" i="5"/>
  <c r="AQ1923" i="5"/>
  <c r="AQ1888" i="5"/>
  <c r="AQ1883" i="5"/>
  <c r="AQ1867" i="5"/>
  <c r="AQ1863" i="5"/>
  <c r="AI1862" i="5"/>
  <c r="AQ1858" i="5"/>
  <c r="AI1858" i="5"/>
  <c r="AQ1852" i="5"/>
  <c r="AQ1848" i="5"/>
  <c r="AQ1847" i="5"/>
  <c r="AQ1844" i="5"/>
  <c r="AQ1843" i="5"/>
  <c r="AQ1832" i="5"/>
  <c r="AQ1823" i="5"/>
  <c r="AQ1811" i="5"/>
  <c r="AQ1807" i="5"/>
  <c r="AI1801" i="5"/>
  <c r="AQ1796" i="5"/>
  <c r="AQ1791" i="5"/>
  <c r="AQ1787" i="5"/>
  <c r="AQ1776" i="5"/>
  <c r="AQ1771" i="5"/>
  <c r="AQ1767" i="5"/>
  <c r="AQ1766" i="5"/>
  <c r="AQ1755" i="5"/>
  <c r="AQ1750" i="5"/>
  <c r="AQ1746" i="5"/>
  <c r="AM431" i="5"/>
  <c r="AM414" i="5"/>
  <c r="AM383" i="5"/>
  <c r="AM317" i="5"/>
  <c r="AM300" i="5"/>
  <c r="AM828" i="5"/>
  <c r="AM797" i="5"/>
  <c r="AM783" i="5"/>
  <c r="AM769" i="5"/>
  <c r="AM727" i="5"/>
  <c r="AM699" i="5"/>
  <c r="AM615" i="5"/>
  <c r="AM544" i="5"/>
  <c r="AM488" i="5"/>
  <c r="AM1237" i="5"/>
  <c r="AM1177" i="5"/>
  <c r="AM1149" i="5"/>
  <c r="AM1065" i="5"/>
  <c r="AM1037" i="5"/>
  <c r="AM1009" i="5"/>
  <c r="AM995" i="5"/>
  <c r="AM981" i="5"/>
  <c r="AM925" i="5"/>
  <c r="AM897" i="5"/>
  <c r="AM1613" i="5"/>
  <c r="AM1551" i="5"/>
  <c r="AM1495" i="5"/>
  <c r="AM1439" i="5"/>
  <c r="AM1411" i="5"/>
  <c r="AM1383" i="5"/>
  <c r="AM1355" i="5"/>
  <c r="AM1327" i="5"/>
  <c r="AM2092" i="5"/>
  <c r="AM2389" i="5"/>
  <c r="AM2188" i="5"/>
  <c r="AQ1739" i="5"/>
  <c r="AQ1687" i="5"/>
  <c r="AQ1682" i="5"/>
  <c r="AQ1677" i="5"/>
  <c r="AQ1674" i="5"/>
  <c r="AQ1663" i="5"/>
  <c r="AQ1658" i="5"/>
  <c r="AQ1655" i="5"/>
  <c r="AQ1654" i="5"/>
  <c r="AQ1639" i="5"/>
  <c r="AQ1634" i="5"/>
  <c r="AQ1633" i="5"/>
  <c r="AQ1630" i="5"/>
  <c r="AQ1618" i="5"/>
  <c r="AQ1609" i="5"/>
  <c r="AQ1603" i="5"/>
  <c r="AQ1599" i="5"/>
  <c r="AQ1594" i="5"/>
  <c r="AQ1578" i="5"/>
  <c r="AQ1574" i="5"/>
  <c r="AQ1573" i="5"/>
  <c r="AQ1555" i="5"/>
  <c r="AQ1551" i="5"/>
  <c r="AQ1550" i="5"/>
  <c r="AQ1540" i="5"/>
  <c r="AQ1531" i="5"/>
  <c r="AQ1515" i="5"/>
  <c r="AQ1514" i="5"/>
  <c r="AQ1511" i="5"/>
  <c r="AQ1496" i="5"/>
  <c r="AQ1495" i="5"/>
  <c r="AQ1490" i="5"/>
  <c r="AQ1484" i="5"/>
  <c r="AQ1475" i="5"/>
  <c r="AQ1464" i="5"/>
  <c r="AQ1459" i="5"/>
  <c r="AQ1454" i="5"/>
  <c r="AQ1449" i="5"/>
  <c r="AQ1443" i="5"/>
  <c r="AQ1434" i="5"/>
  <c r="AQ1428" i="5"/>
  <c r="AQ1423" i="5"/>
  <c r="AQ1418" i="5"/>
  <c r="AQ1403" i="5"/>
  <c r="AQ1402" i="5"/>
  <c r="AQ1399" i="5"/>
  <c r="AQ1398" i="5"/>
  <c r="AQ1387" i="5"/>
  <c r="AQ1382" i="5"/>
  <c r="AQ1378" i="5"/>
  <c r="AI1378" i="5"/>
  <c r="AQ1372" i="5"/>
  <c r="AQ1367" i="5"/>
  <c r="AQ1352" i="5"/>
  <c r="AQ1347" i="5"/>
  <c r="AQ1342" i="5"/>
  <c r="AQ1332" i="5"/>
  <c r="AQ1327" i="5"/>
  <c r="AQ1326" i="5"/>
  <c r="AQ1322" i="5"/>
  <c r="AQ1316" i="5"/>
  <c r="AQ1264" i="5"/>
  <c r="AQ1256" i="5"/>
  <c r="AQ1246" i="5"/>
  <c r="AQ1245" i="5"/>
  <c r="AQ1236" i="5"/>
  <c r="AQ1227" i="5"/>
  <c r="AQ1217" i="5"/>
  <c r="AQ1212" i="5"/>
  <c r="AQ1201" i="5"/>
  <c r="AQ1166" i="5"/>
  <c r="AQ1165" i="5"/>
  <c r="AQ1161" i="5"/>
  <c r="AQ1160" i="5"/>
  <c r="AQ1156" i="5"/>
  <c r="AQ1085" i="5"/>
  <c r="AQ1074" i="5"/>
  <c r="AQ1066" i="5"/>
  <c r="AQ1049" i="5"/>
  <c r="AQ1045" i="5"/>
  <c r="AQ1013" i="5"/>
  <c r="AQ1012" i="5"/>
  <c r="AQ998" i="5"/>
  <c r="AQ993" i="5"/>
  <c r="AQ962" i="5"/>
  <c r="AI1623" i="5"/>
  <c r="AI1078" i="5"/>
  <c r="AI699" i="5"/>
  <c r="AJ2361" i="5"/>
  <c r="AZ2361" i="5"/>
  <c r="AT1925" i="5"/>
  <c r="AS1925" i="5"/>
  <c r="AT1885" i="5"/>
  <c r="AS1885" i="5"/>
  <c r="AK1877" i="5"/>
  <c r="AZ1877" i="5"/>
  <c r="AI1878" i="5"/>
  <c r="AZ1837" i="5"/>
  <c r="AW1837" i="5"/>
  <c r="AX1837" i="5" s="1"/>
  <c r="AI1837" i="5"/>
  <c r="AK1821" i="5"/>
  <c r="AI1822" i="5"/>
  <c r="AI1811" i="5"/>
  <c r="AZ1810" i="5"/>
  <c r="AU1810" i="5"/>
  <c r="AV1810" i="5" s="1"/>
  <c r="AL1810" i="5"/>
  <c r="AU1781" i="5"/>
  <c r="AV1781" i="5" s="1"/>
  <c r="AY1781" i="5"/>
  <c r="AL1781" i="5"/>
  <c r="AJ1781" i="5"/>
  <c r="AS1777" i="5"/>
  <c r="AT1777" i="5"/>
  <c r="AJ1765" i="5"/>
  <c r="AK1765" i="5"/>
  <c r="AS1752" i="5"/>
  <c r="AT1752" i="5"/>
  <c r="AK1744" i="5"/>
  <c r="AI1744" i="5"/>
  <c r="AL1744" i="5"/>
  <c r="AI1745" i="5"/>
  <c r="AY1744" i="5"/>
  <c r="AR1691" i="5"/>
  <c r="AS1691" i="5" s="1"/>
  <c r="AY1691" i="5"/>
  <c r="AK1691" i="5"/>
  <c r="AW1691" i="5"/>
  <c r="AX1691" i="5" s="1"/>
  <c r="AZ1691" i="5"/>
  <c r="AS1684" i="5"/>
  <c r="AT1684" i="5"/>
  <c r="AI1682" i="5"/>
  <c r="AW1681" i="5"/>
  <c r="AX1681" i="5" s="1"/>
  <c r="AK1681" i="5"/>
  <c r="AY1681" i="5"/>
  <c r="AJ1681" i="5"/>
  <c r="AR1681" i="5"/>
  <c r="AS1681" i="5" s="1"/>
  <c r="AL1672" i="5"/>
  <c r="AJ1672" i="5"/>
  <c r="AZ1672" i="5"/>
  <c r="AI1672" i="5"/>
  <c r="AW1668" i="5"/>
  <c r="AX1668" i="5" s="1"/>
  <c r="AK1668" i="5"/>
  <c r="AI1668" i="5"/>
  <c r="AS1664" i="5"/>
  <c r="AT1664" i="5"/>
  <c r="AS1660" i="5"/>
  <c r="AT1660" i="5"/>
  <c r="AR1657" i="5"/>
  <c r="AS1657" i="5" s="1"/>
  <c r="AI1658" i="5"/>
  <c r="AK1657" i="5"/>
  <c r="AL1657" i="5"/>
  <c r="AY1657" i="5"/>
  <c r="AY1648" i="5"/>
  <c r="AL1648" i="5"/>
  <c r="AK1648" i="5"/>
  <c r="AK1644" i="5"/>
  <c r="AW1644" i="5"/>
  <c r="AX1644" i="5" s="1"/>
  <c r="AJ1644" i="5"/>
  <c r="AS1636" i="5"/>
  <c r="AT1636" i="5"/>
  <c r="AK1628" i="5"/>
  <c r="AL1628" i="5"/>
  <c r="AI1629" i="5"/>
  <c r="AI1628" i="5"/>
  <c r="AS1620" i="5"/>
  <c r="AT1620" i="5"/>
  <c r="AK1617" i="5"/>
  <c r="AR1617" i="5"/>
  <c r="AS1617" i="5" s="1"/>
  <c r="AY1617" i="5"/>
  <c r="AU1617" i="5"/>
  <c r="AV1617" i="5" s="1"/>
  <c r="AJ1617" i="5"/>
  <c r="Q4073" i="5"/>
  <c r="G4075" i="5" s="1"/>
  <c r="H4075" i="5" s="1"/>
  <c r="Q4070" i="5"/>
  <c r="F4071" i="5" s="1"/>
  <c r="AZ1922" i="5"/>
  <c r="AJ1922" i="5"/>
  <c r="AR1922" i="5"/>
  <c r="AL1917" i="5"/>
  <c r="AI1917" i="5"/>
  <c r="AI1918" i="5"/>
  <c r="AZ1897" i="5"/>
  <c r="AY1897" i="5"/>
  <c r="AR1866" i="5"/>
  <c r="AS1866" i="5" s="1"/>
  <c r="AJ1866" i="5"/>
  <c r="AU1866" i="5"/>
  <c r="AV1866" i="5" s="1"/>
  <c r="AK1841" i="5"/>
  <c r="AJ1841" i="5"/>
  <c r="AT1797" i="5"/>
  <c r="AS1797" i="5"/>
  <c r="AK1785" i="5"/>
  <c r="AY1785" i="5"/>
  <c r="AS1773" i="5"/>
  <c r="AT1773" i="5"/>
  <c r="AT1757" i="5"/>
  <c r="AS1757" i="5"/>
  <c r="AS1640" i="5"/>
  <c r="AT1640" i="5"/>
  <c r="M1025" i="5"/>
  <c r="F1025" i="5" s="1"/>
  <c r="AJ2305" i="5"/>
  <c r="AY1672" i="5"/>
  <c r="AZ2399" i="5"/>
  <c r="AY2399" i="5"/>
  <c r="AZ2285" i="5"/>
  <c r="AI2285" i="5"/>
  <c r="AS1813" i="5"/>
  <c r="AT1813" i="5"/>
  <c r="AK1805" i="5"/>
  <c r="AI1806" i="5"/>
  <c r="AJ1737" i="5"/>
  <c r="AL1737" i="5"/>
  <c r="AY1737" i="5"/>
  <c r="AI1673" i="5"/>
  <c r="AI1842" i="5"/>
  <c r="AS1909" i="5"/>
  <c r="AS2261" i="5"/>
  <c r="AT2261" i="5"/>
  <c r="AZ2045" i="5"/>
  <c r="AI2046" i="5"/>
  <c r="AU1949" i="5"/>
  <c r="AV1949" i="5" s="1"/>
  <c r="AZ1949" i="5"/>
  <c r="AS1941" i="5"/>
  <c r="AT1941" i="5"/>
  <c r="AS2277" i="5"/>
  <c r="AI1738" i="5"/>
  <c r="AY1922" i="5"/>
  <c r="AM1737" i="5"/>
  <c r="AT2257" i="5"/>
  <c r="AS2257" i="5"/>
  <c r="AZ2245" i="5"/>
  <c r="AU2245" i="5"/>
  <c r="AV2245" i="5" s="1"/>
  <c r="AI1989" i="5"/>
  <c r="AJ1989" i="5"/>
  <c r="AY1913" i="5"/>
  <c r="AI1914" i="5"/>
  <c r="AI1913" i="5"/>
  <c r="AK2285" i="5"/>
  <c r="AZ1785" i="5"/>
  <c r="V3527" i="5"/>
  <c r="V3528" i="5" s="1"/>
  <c r="F3534" i="5" s="1"/>
  <c r="F3526" i="5"/>
  <c r="AS2107" i="5"/>
  <c r="AI1766" i="5"/>
  <c r="AL1681" i="5"/>
  <c r="AY1628" i="5"/>
  <c r="AR2372" i="5"/>
  <c r="AT2372" i="5" s="1"/>
  <c r="AY2372" i="5"/>
  <c r="AJ2372" i="5"/>
  <c r="AU2189" i="5"/>
  <c r="AV2189" i="5" s="1"/>
  <c r="AK2189" i="5"/>
  <c r="AS2333" i="5"/>
  <c r="AI1786" i="5"/>
  <c r="AI1802" i="5"/>
  <c r="AW1781" i="5"/>
  <c r="AX1781" i="5" s="1"/>
  <c r="AS1580" i="5"/>
  <c r="AI1236" i="5"/>
  <c r="AJ1211" i="5"/>
  <c r="AK1341" i="5"/>
  <c r="AK1361" i="5"/>
  <c r="AS1204" i="5"/>
  <c r="AS1317" i="5"/>
  <c r="AS1373" i="5"/>
  <c r="AS1127" i="5"/>
  <c r="AT1075" i="5"/>
  <c r="AT1313" i="5"/>
  <c r="AY1567" i="5"/>
  <c r="AK1554" i="5"/>
  <c r="AY1554" i="5"/>
  <c r="AK1525" i="5"/>
  <c r="AI1525" i="5"/>
  <c r="AW1525" i="5"/>
  <c r="AX1525" i="5" s="1"/>
  <c r="AY1509" i="5"/>
  <c r="AJ1509" i="5"/>
  <c r="AK1498" i="5"/>
  <c r="AW1498" i="5"/>
  <c r="AX1498" i="5" s="1"/>
  <c r="AL1498" i="5"/>
  <c r="AI1493" i="5"/>
  <c r="AY1493" i="5"/>
  <c r="AK1493" i="5"/>
  <c r="AY1473" i="5"/>
  <c r="AI1473" i="5"/>
  <c r="AW1469" i="5"/>
  <c r="AX1469" i="5" s="1"/>
  <c r="AK1469" i="5"/>
  <c r="AZ1469" i="5"/>
  <c r="AI1469" i="5"/>
  <c r="AL1453" i="5"/>
  <c r="AJ1453" i="5"/>
  <c r="AR1442" i="5"/>
  <c r="AT1442" i="5" s="1"/>
  <c r="AI1443" i="5"/>
  <c r="AI1433" i="5"/>
  <c r="AY1433" i="5"/>
  <c r="AZ1433" i="5"/>
  <c r="AY1417" i="5"/>
  <c r="AL1417" i="5"/>
  <c r="AK1417" i="5"/>
  <c r="AL1413" i="5"/>
  <c r="AJ1413" i="5"/>
  <c r="AW1413" i="5"/>
  <c r="AX1413" i="5" s="1"/>
  <c r="AW1386" i="5"/>
  <c r="AX1386" i="5" s="1"/>
  <c r="AZ1386" i="5"/>
  <c r="AR1386" i="5"/>
  <c r="AT1386" i="5" s="1"/>
  <c r="AL1381" i="5"/>
  <c r="AK1381" i="5"/>
  <c r="AL1377" i="5"/>
  <c r="AK1377" i="5"/>
  <c r="AK1357" i="5"/>
  <c r="AZ1357" i="5"/>
  <c r="AY1357" i="5"/>
  <c r="AY1330" i="5"/>
  <c r="AI1331" i="5"/>
  <c r="AK1330" i="5"/>
  <c r="AI1325" i="5"/>
  <c r="AK1325" i="5"/>
  <c r="AY1321" i="5"/>
  <c r="AI1321" i="5"/>
  <c r="AI1310" i="5"/>
  <c r="AI1311" i="5"/>
  <c r="AM1310" i="5"/>
  <c r="AK1263" i="5"/>
  <c r="AW1263" i="5"/>
  <c r="AX1263" i="5" s="1"/>
  <c r="AY1263" i="5"/>
  <c r="AK1259" i="5"/>
  <c r="AJ1259" i="5"/>
  <c r="AL1259" i="5"/>
  <c r="AJ1255" i="5"/>
  <c r="AI1255" i="5"/>
  <c r="AK1235" i="5"/>
  <c r="AI1235" i="5"/>
  <c r="AZ1231" i="5"/>
  <c r="AL1231" i="5"/>
  <c r="AW1200" i="5"/>
  <c r="AX1200" i="5" s="1"/>
  <c r="AL1200" i="5"/>
  <c r="AK1200" i="5"/>
  <c r="AJ1200" i="5"/>
  <c r="AZ1195" i="5"/>
  <c r="AJ1195" i="5"/>
  <c r="AK1195" i="5"/>
  <c r="AI1175" i="5"/>
  <c r="AZ1175" i="5"/>
  <c r="AK1175" i="5"/>
  <c r="AZ1171" i="5"/>
  <c r="AR1171" i="5"/>
  <c r="AT1171" i="5" s="1"/>
  <c r="AL1171" i="5"/>
  <c r="AK1155" i="5"/>
  <c r="AZ1155" i="5"/>
  <c r="AR1144" i="5"/>
  <c r="AS1144" i="5" s="1"/>
  <c r="AK1144" i="5"/>
  <c r="AZ1144" i="5"/>
  <c r="AW1144" i="5"/>
  <c r="AX1144" i="5" s="1"/>
  <c r="AZ1139" i="5"/>
  <c r="AK1139" i="5"/>
  <c r="AK1135" i="5"/>
  <c r="AL1135" i="5"/>
  <c r="AZ1119" i="5"/>
  <c r="AI1119" i="5"/>
  <c r="AY1115" i="5"/>
  <c r="AK1115" i="5"/>
  <c r="AJ1115" i="5"/>
  <c r="AW1115" i="5"/>
  <c r="AX1115" i="5" s="1"/>
  <c r="AJ1099" i="5"/>
  <c r="AY1099" i="5"/>
  <c r="AZ1099" i="5"/>
  <c r="AQ1088" i="5"/>
  <c r="AZ1088" i="5"/>
  <c r="AI1089" i="5"/>
  <c r="AZ1083" i="5"/>
  <c r="AJ1083" i="5"/>
  <c r="AY1079" i="5"/>
  <c r="AI1079" i="5"/>
  <c r="AZ1063" i="5"/>
  <c r="AJ1063" i="5"/>
  <c r="AW1059" i="5"/>
  <c r="AX1059" i="5" s="1"/>
  <c r="AZ1059" i="5"/>
  <c r="AK1059" i="5"/>
  <c r="AQ1059" i="5"/>
  <c r="AL1043" i="5"/>
  <c r="AJ1043" i="5"/>
  <c r="AS1035" i="5"/>
  <c r="AT1035" i="5"/>
  <c r="AI1033" i="5"/>
  <c r="AZ1032" i="5"/>
  <c r="AJ1032" i="5"/>
  <c r="AU1032" i="5"/>
  <c r="AV1032" i="5" s="1"/>
  <c r="AY1027" i="5"/>
  <c r="AL1027" i="5"/>
  <c r="AY1023" i="5"/>
  <c r="AL1023" i="5"/>
  <c r="AJ1023" i="5"/>
  <c r="AY1007" i="5"/>
  <c r="AZ1007" i="5"/>
  <c r="AW1003" i="5"/>
  <c r="AX1003" i="5" s="1"/>
  <c r="AY1003" i="5"/>
  <c r="AR1003" i="5"/>
  <c r="AS1003" i="5" s="1"/>
  <c r="AJ1003" i="5"/>
  <c r="AI987" i="5"/>
  <c r="AY987" i="5"/>
  <c r="AJ987" i="5"/>
  <c r="AY976" i="5"/>
  <c r="AW976" i="5"/>
  <c r="AX976" i="5" s="1"/>
  <c r="AU976" i="5"/>
  <c r="AV976" i="5" s="1"/>
  <c r="AZ1592" i="5"/>
  <c r="AY1592" i="5"/>
  <c r="AR1588" i="5"/>
  <c r="AS1588" i="5" s="1"/>
  <c r="AI1588" i="5"/>
  <c r="AK1588" i="5"/>
  <c r="AU1588" i="5"/>
  <c r="AV1588" i="5" s="1"/>
  <c r="AJ1565" i="5"/>
  <c r="AI1565" i="5"/>
  <c r="AL1549" i="5"/>
  <c r="AI1549" i="5"/>
  <c r="AK1549" i="5"/>
  <c r="AY1489" i="5"/>
  <c r="AI1489" i="5"/>
  <c r="AK1489" i="5"/>
  <c r="AL1437" i="5"/>
  <c r="AJ1437" i="5"/>
  <c r="AL1397" i="5"/>
  <c r="AZ1397" i="5"/>
  <c r="AZ1554" i="5"/>
  <c r="AI1232" i="5"/>
  <c r="AI1362" i="5"/>
  <c r="AI1398" i="5"/>
  <c r="AI1418" i="5"/>
  <c r="AI1490" i="5"/>
  <c r="AI1494" i="5"/>
  <c r="AK1171" i="5"/>
  <c r="AZ1211" i="5"/>
  <c r="AW1442" i="5"/>
  <c r="AX1442" i="5" s="1"/>
  <c r="AU1498" i="5"/>
  <c r="AV1498" i="5" s="1"/>
  <c r="AI1555" i="5"/>
  <c r="AJ1330" i="5"/>
  <c r="AS1369" i="5"/>
  <c r="AI1509" i="5"/>
  <c r="AL1588" i="5"/>
  <c r="AS1307" i="5"/>
  <c r="AY1325" i="5"/>
  <c r="AI1417" i="5"/>
  <c r="AS1481" i="5"/>
  <c r="AI1135" i="5"/>
  <c r="AI1397" i="5"/>
  <c r="AY1529" i="5"/>
  <c r="AR1115" i="5"/>
  <c r="AT1115" i="5" s="1"/>
  <c r="AI1260" i="5"/>
  <c r="AT1349" i="5"/>
  <c r="AI1437" i="5"/>
  <c r="AT1557" i="5"/>
  <c r="AI1027" i="5"/>
  <c r="AI1043" i="5"/>
  <c r="AU1059" i="5"/>
  <c r="AV1059" i="5" s="1"/>
  <c r="AK1079" i="5"/>
  <c r="AU1088" i="5"/>
  <c r="AV1088" i="5" s="1"/>
  <c r="AS1131" i="5"/>
  <c r="AU1144" i="5"/>
  <c r="AV1144" i="5" s="1"/>
  <c r="AY1200" i="5"/>
  <c r="AS1353" i="5"/>
  <c r="AJ1493" i="5"/>
  <c r="AS1187" i="5"/>
  <c r="AY1235" i="5"/>
  <c r="AZ1321" i="5"/>
  <c r="AI1357" i="5"/>
  <c r="AS1445" i="5"/>
  <c r="AR1525" i="5"/>
  <c r="AS1525" i="5" s="1"/>
  <c r="AT1584" i="5"/>
  <c r="AZ1612" i="5"/>
  <c r="AK1612" i="5"/>
  <c r="AJ1545" i="5"/>
  <c r="AI1546" i="5"/>
  <c r="AL1211" i="5"/>
  <c r="AK1442" i="5"/>
  <c r="AJ1498" i="5"/>
  <c r="AJ1554" i="5"/>
  <c r="AZ1330" i="5"/>
  <c r="AU1386" i="5"/>
  <c r="AV1386" i="5" s="1"/>
  <c r="AZ1509" i="5"/>
  <c r="AJ1325" i="5"/>
  <c r="AL1612" i="5"/>
  <c r="AJ1397" i="5"/>
  <c r="AZ1259" i="5"/>
  <c r="AI1377" i="5"/>
  <c r="AY1437" i="5"/>
  <c r="AZ1200" i="5"/>
  <c r="AI1381" i="5"/>
  <c r="AS1517" i="5"/>
  <c r="AS1247" i="5"/>
  <c r="AK1321" i="5"/>
  <c r="AT1405" i="5"/>
  <c r="AY1453" i="5"/>
  <c r="AJ1525" i="5"/>
  <c r="AK1545" i="5"/>
  <c r="AI1474" i="5"/>
  <c r="AI1510" i="5"/>
  <c r="AI1550" i="5"/>
  <c r="AI1566" i="5"/>
  <c r="AY1171" i="5"/>
  <c r="AY1341" i="5"/>
  <c r="AZ1442" i="5"/>
  <c r="AZ1498" i="5"/>
  <c r="AU1554" i="5"/>
  <c r="AV1554" i="5" s="1"/>
  <c r="AL1361" i="5"/>
  <c r="AJ1386" i="5"/>
  <c r="AL1509" i="5"/>
  <c r="AL1310" i="5"/>
  <c r="AT1333" i="5"/>
  <c r="AT1465" i="5"/>
  <c r="AT1219" i="5"/>
  <c r="AY1397" i="5"/>
  <c r="AZ1545" i="5"/>
  <c r="AK1063" i="5"/>
  <c r="AL1119" i="5"/>
  <c r="AL1155" i="5"/>
  <c r="AJ1263" i="5"/>
  <c r="AY1377" i="5"/>
  <c r="AU1469" i="5"/>
  <c r="AV1469" i="5" s="1"/>
  <c r="AJ1059" i="5"/>
  <c r="AY1083" i="5"/>
  <c r="AI1099" i="5"/>
  <c r="AL1139" i="5"/>
  <c r="AI1201" i="5"/>
  <c r="AZ1381" i="5"/>
  <c r="AJ1572" i="5"/>
  <c r="AL1195" i="5"/>
  <c r="AZ1255" i="5"/>
  <c r="AJ1357" i="5"/>
  <c r="AZ1413" i="5"/>
  <c r="AZ1453" i="5"/>
  <c r="AT1537" i="5"/>
  <c r="AY1588" i="5"/>
  <c r="AK1565" i="5"/>
  <c r="AL1572" i="5"/>
  <c r="AY1549" i="5"/>
  <c r="AZ1549" i="5"/>
  <c r="AI1438" i="5"/>
  <c r="AI1530" i="5"/>
  <c r="AI1567" i="5"/>
  <c r="AI1593" i="5"/>
  <c r="AZ1341" i="5"/>
  <c r="AL1442" i="5"/>
  <c r="AR1498" i="5"/>
  <c r="AS1498" i="5" s="1"/>
  <c r="AL1330" i="5"/>
  <c r="AY1361" i="5"/>
  <c r="AI1387" i="5"/>
  <c r="AZ1588" i="5"/>
  <c r="AJ1310" i="5"/>
  <c r="AK1473" i="5"/>
  <c r="AL1433" i="5"/>
  <c r="AZ1565" i="5"/>
  <c r="AU1263" i="5"/>
  <c r="AV1263" i="5" s="1"/>
  <c r="AT1429" i="5"/>
  <c r="AY1469" i="5"/>
  <c r="AK1231" i="5"/>
  <c r="AT1485" i="5"/>
  <c r="AI1592" i="5"/>
  <c r="AL1235" i="5"/>
  <c r="AY1255" i="5"/>
  <c r="AU1357" i="5"/>
  <c r="AV1357" i="5" s="1"/>
  <c r="AK1413" i="5"/>
  <c r="AL1489" i="5"/>
  <c r="AR1567" i="5"/>
  <c r="AS1567" i="5" s="1"/>
  <c r="AS804" i="5"/>
  <c r="AM1191" i="5"/>
  <c r="AM1023" i="5"/>
  <c r="AM967" i="5"/>
  <c r="AM911" i="5"/>
  <c r="AM1509" i="5"/>
  <c r="AQ2254" i="5"/>
  <c r="AQ2234" i="5"/>
  <c r="AQ2214" i="5"/>
  <c r="AQ2210" i="5"/>
  <c r="AQ2096" i="5"/>
  <c r="AQ2066" i="5"/>
  <c r="AQ2055" i="5"/>
  <c r="AQ1999" i="5"/>
  <c r="AQ1954" i="5"/>
  <c r="AQ1943" i="5"/>
  <c r="AQ1938" i="5"/>
  <c r="AQ1918" i="5"/>
  <c r="AQ1898" i="5"/>
  <c r="AQ1887" i="5"/>
  <c r="AQ1882" i="5"/>
  <c r="AQ1878" i="5"/>
  <c r="AQ1862" i="5"/>
  <c r="AQ1842" i="5"/>
  <c r="AQ1831" i="5"/>
  <c r="AQ1826" i="5"/>
  <c r="AQ1822" i="5"/>
  <c r="AQ1806" i="5"/>
  <c r="AQ1802" i="5"/>
  <c r="AQ1786" i="5"/>
  <c r="AQ1775" i="5"/>
  <c r="AQ1770" i="5"/>
  <c r="AQ1749" i="5"/>
  <c r="AQ1745" i="5"/>
  <c r="AQ1738" i="5"/>
  <c r="AQ1673" i="5"/>
  <c r="AI1666" i="5"/>
  <c r="AQ1653" i="5"/>
  <c r="AQ1649" i="5"/>
  <c r="AQ1638" i="5"/>
  <c r="AQ1613" i="5"/>
  <c r="AQ1593" i="5"/>
  <c r="AQ1582" i="5"/>
  <c r="AQ1534" i="5"/>
  <c r="AQ1519" i="5"/>
  <c r="AQ1510" i="5"/>
  <c r="AQ1494" i="5"/>
  <c r="AQ1478" i="5"/>
  <c r="AQ1407" i="5"/>
  <c r="AQ1366" i="5"/>
  <c r="AQ1196" i="5"/>
  <c r="AQ1192" i="5"/>
  <c r="AQ1180" i="5"/>
  <c r="AQ1124" i="5"/>
  <c r="AQ1121" i="5"/>
  <c r="AI1074" i="5"/>
  <c r="AI934" i="5"/>
  <c r="AI906" i="5"/>
  <c r="AJ2498" i="5"/>
  <c r="AL2498" i="5"/>
  <c r="AZ2283" i="5"/>
  <c r="AL2283" i="5"/>
  <c r="AI2265" i="5"/>
  <c r="AL2265" i="5"/>
  <c r="AY2265" i="5"/>
  <c r="AZ2265" i="5"/>
  <c r="AZ2243" i="5"/>
  <c r="AI2244" i="5"/>
  <c r="AL2243" i="5"/>
  <c r="AJ2243" i="5"/>
  <c r="AL2223" i="5"/>
  <c r="AI2224" i="5"/>
  <c r="AZ2223" i="5"/>
  <c r="AK2223" i="5"/>
  <c r="AS2215" i="5"/>
  <c r="AT2215" i="5"/>
  <c r="AZ2187" i="5"/>
  <c r="AK2187" i="5"/>
  <c r="AJ2187" i="5"/>
  <c r="AI2188" i="5"/>
  <c r="AT2031" i="5"/>
  <c r="AS2031" i="5"/>
  <c r="AK2023" i="5"/>
  <c r="AL2023" i="5"/>
  <c r="AZ2023" i="5"/>
  <c r="AJ2023" i="5"/>
  <c r="AY2023" i="5"/>
  <c r="AJ2003" i="5"/>
  <c r="AK2003" i="5"/>
  <c r="AZ2003" i="5"/>
  <c r="AI2004" i="5"/>
  <c r="AR1992" i="5"/>
  <c r="AK1992" i="5"/>
  <c r="AY1992" i="5"/>
  <c r="AW1992" i="5"/>
  <c r="AX1992" i="5" s="1"/>
  <c r="AU1992" i="5"/>
  <c r="AV1992" i="5" s="1"/>
  <c r="AZ1992" i="5"/>
  <c r="AJ1992" i="5"/>
  <c r="AL1992" i="5"/>
  <c r="AI1993" i="5"/>
  <c r="AZ1936" i="5"/>
  <c r="AU1936" i="5"/>
  <c r="AV1936" i="5" s="1"/>
  <c r="AL1936" i="5"/>
  <c r="AY1936" i="5"/>
  <c r="AR1936" i="5"/>
  <c r="AS1936" i="5" s="1"/>
  <c r="AJ1936" i="5"/>
  <c r="AI1936" i="5"/>
  <c r="AK1936" i="5"/>
  <c r="AT1923" i="5"/>
  <c r="AS1923" i="5"/>
  <c r="AW1907" i="5"/>
  <c r="AX1907" i="5" s="1"/>
  <c r="AJ1907" i="5"/>
  <c r="AU1907" i="5"/>
  <c r="AV1907" i="5" s="1"/>
  <c r="AK1907" i="5"/>
  <c r="AY1907" i="5"/>
  <c r="AI1908" i="5"/>
  <c r="AY1871" i="5"/>
  <c r="AL1871" i="5"/>
  <c r="AK1871" i="5"/>
  <c r="AI1872" i="5"/>
  <c r="AJ1871" i="5"/>
  <c r="AZ1871" i="5"/>
  <c r="AI1992" i="5"/>
  <c r="AS2307" i="5"/>
  <c r="AY2249" i="5"/>
  <c r="AK2243" i="5"/>
  <c r="AL2203" i="5"/>
  <c r="AL1891" i="5"/>
  <c r="AS2035" i="5"/>
  <c r="AL1815" i="5"/>
  <c r="AT1995" i="5"/>
  <c r="AK2088" i="5"/>
  <c r="AZ2088" i="5"/>
  <c r="AL2088" i="5"/>
  <c r="AI2089" i="5"/>
  <c r="AJ2088" i="5"/>
  <c r="AW2088" i="5"/>
  <c r="AX2088" i="5" s="1"/>
  <c r="AY2088" i="5"/>
  <c r="AU2088" i="5"/>
  <c r="AV2088" i="5" s="1"/>
  <c r="AR2088" i="5"/>
  <c r="AT2088" i="5" s="1"/>
  <c r="AK2079" i="5"/>
  <c r="AJ2079" i="5"/>
  <c r="AY2079" i="5"/>
  <c r="AZ2079" i="5"/>
  <c r="AI2080" i="5"/>
  <c r="AL2079" i="5"/>
  <c r="AS2071" i="5"/>
  <c r="AT2071" i="5"/>
  <c r="AT2011" i="5"/>
  <c r="AS2011" i="5"/>
  <c r="AZ1931" i="5"/>
  <c r="AJ1931" i="5"/>
  <c r="AI1931" i="5"/>
  <c r="AL1880" i="5"/>
  <c r="AI1881" i="5"/>
  <c r="AY1880" i="5"/>
  <c r="AJ1880" i="5"/>
  <c r="AU1880" i="5"/>
  <c r="AV1880" i="5" s="1"/>
  <c r="AK1880" i="5"/>
  <c r="AZ1880" i="5"/>
  <c r="AW1880" i="5"/>
  <c r="AX1880" i="5" s="1"/>
  <c r="AR1880" i="5"/>
  <c r="AT1880" i="5" s="1"/>
  <c r="AL1875" i="5"/>
  <c r="AJ1875" i="5"/>
  <c r="AZ1875" i="5"/>
  <c r="AI1875" i="5"/>
  <c r="AY1875" i="5"/>
  <c r="AT2501" i="5"/>
  <c r="AS2255" i="5"/>
  <c r="AJ2283" i="5"/>
  <c r="AW1936" i="5"/>
  <c r="AX1936" i="5" s="1"/>
  <c r="AJ2265" i="5"/>
  <c r="AL2249" i="5"/>
  <c r="AY2243" i="5"/>
  <c r="AY2203" i="5"/>
  <c r="AZ1907" i="5"/>
  <c r="AK2207" i="5"/>
  <c r="AK1875" i="5"/>
  <c r="AI1932" i="5"/>
  <c r="AZ2075" i="5"/>
  <c r="AM451" i="5"/>
  <c r="AM459" i="5"/>
  <c r="M2308" i="5"/>
  <c r="F2308" i="5" s="1"/>
  <c r="AM2308" i="5" s="1"/>
  <c r="M2217" i="5"/>
  <c r="F2217" i="5" s="1"/>
  <c r="AM2217" i="5" s="1"/>
  <c r="M2315" i="5"/>
  <c r="F2315" i="5" s="1"/>
  <c r="AM2315" i="5" s="1"/>
  <c r="M2546" i="5"/>
  <c r="F2546" i="5" s="1"/>
  <c r="AM2546" i="5" s="1"/>
  <c r="M2528" i="5"/>
  <c r="F2528" i="5" s="1"/>
  <c r="M2343" i="5"/>
  <c r="F2343" i="5" s="1"/>
  <c r="AM2343" i="5" s="1"/>
  <c r="AI2513" i="5"/>
  <c r="AZ2513" i="5"/>
  <c r="AJ2513" i="5"/>
  <c r="AL2513" i="5"/>
  <c r="AI2514" i="5"/>
  <c r="AU2469" i="5"/>
  <c r="AV2469" i="5" s="1"/>
  <c r="AI2470" i="5"/>
  <c r="AK2339" i="5"/>
  <c r="AJ2339" i="5"/>
  <c r="AJ2288" i="5"/>
  <c r="AR2288" i="5"/>
  <c r="AT2124" i="5"/>
  <c r="AS2124" i="5"/>
  <c r="AT2015" i="5"/>
  <c r="AS2015" i="5"/>
  <c r="AS1979" i="5"/>
  <c r="AT1979" i="5"/>
  <c r="AU1963" i="5"/>
  <c r="AV1963" i="5" s="1"/>
  <c r="AI1964" i="5"/>
  <c r="AW1963" i="5"/>
  <c r="AX1963" i="5" s="1"/>
  <c r="AR1963" i="5"/>
  <c r="AT1963" i="5" s="1"/>
  <c r="AJ1963" i="5"/>
  <c r="AZ1963" i="5"/>
  <c r="AY1963" i="5"/>
  <c r="AL1911" i="5"/>
  <c r="AJ1911" i="5"/>
  <c r="AZ1911" i="5"/>
  <c r="AI1912" i="5"/>
  <c r="AK1911" i="5"/>
  <c r="AS1899" i="5"/>
  <c r="AT1899" i="5"/>
  <c r="AI2283" i="5"/>
  <c r="AK1931" i="5"/>
  <c r="M2203" i="5"/>
  <c r="F2203" i="5" s="1"/>
  <c r="AM2203" i="5" s="1"/>
  <c r="AL1907" i="5"/>
  <c r="AM2473" i="5"/>
  <c r="AY2207" i="5"/>
  <c r="AI1876" i="5"/>
  <c r="AL2493" i="5"/>
  <c r="AY2493" i="5"/>
  <c r="AI2494" i="5"/>
  <c r="AJ2335" i="5"/>
  <c r="AZ2335" i="5"/>
  <c r="AI2336" i="5"/>
  <c r="AT2327" i="5"/>
  <c r="AS2327" i="5"/>
  <c r="AK2263" i="5"/>
  <c r="AL2263" i="5"/>
  <c r="AZ2263" i="5"/>
  <c r="AI2264" i="5"/>
  <c r="AJ2263" i="5"/>
  <c r="AY2263" i="5"/>
  <c r="AI2249" i="5"/>
  <c r="AZ2249" i="5"/>
  <c r="AU2232" i="5"/>
  <c r="AV2232" i="5" s="1"/>
  <c r="AI2232" i="5"/>
  <c r="AZ2232" i="5"/>
  <c r="AW2232" i="5"/>
  <c r="AX2232" i="5" s="1"/>
  <c r="AI2233" i="5"/>
  <c r="AK2232" i="5"/>
  <c r="AK2203" i="5"/>
  <c r="AW2203" i="5"/>
  <c r="AX2203" i="5" s="1"/>
  <c r="AZ2203" i="5"/>
  <c r="AI2204" i="5"/>
  <c r="AR2203" i="5"/>
  <c r="AS2203" i="5" s="1"/>
  <c r="AI2119" i="5"/>
  <c r="AW2118" i="5"/>
  <c r="AX2118" i="5" s="1"/>
  <c r="AZ2118" i="5"/>
  <c r="AK2118" i="5"/>
  <c r="AY2118" i="5"/>
  <c r="AL2118" i="5"/>
  <c r="AJ2118" i="5"/>
  <c r="AI2118" i="5"/>
  <c r="AU2118" i="5"/>
  <c r="AV2118" i="5" s="1"/>
  <c r="AR2118" i="5"/>
  <c r="AS2118" i="5" s="1"/>
  <c r="AL2039" i="5"/>
  <c r="AK2039" i="5"/>
  <c r="AZ2039" i="5"/>
  <c r="AY2039" i="5"/>
  <c r="AJ2039" i="5"/>
  <c r="AI2040" i="5"/>
  <c r="AL2019" i="5"/>
  <c r="AZ2019" i="5"/>
  <c r="AW2019" i="5"/>
  <c r="AX2019" i="5" s="1"/>
  <c r="AU2019" i="5"/>
  <c r="AV2019" i="5" s="1"/>
  <c r="AY2019" i="5"/>
  <c r="AR2019" i="5"/>
  <c r="AJ2019" i="5"/>
  <c r="AI1987" i="5"/>
  <c r="AK1987" i="5"/>
  <c r="AI1988" i="5"/>
  <c r="AJ1987" i="5"/>
  <c r="AZ1987" i="5"/>
  <c r="AL1987" i="5"/>
  <c r="AY1987" i="5"/>
  <c r="AT1939" i="5"/>
  <c r="AS1939" i="5"/>
  <c r="AS1843" i="5"/>
  <c r="AT1843" i="5"/>
  <c r="AK1963" i="5"/>
  <c r="AZ2339" i="5"/>
  <c r="AY2232" i="5"/>
  <c r="AT2521" i="5"/>
  <c r="AR1907" i="5"/>
  <c r="AT1907" i="5" s="1"/>
  <c r="AT2271" i="5"/>
  <c r="AK1891" i="5"/>
  <c r="AS2199" i="5"/>
  <c r="AZ2509" i="5"/>
  <c r="AJ2509" i="5"/>
  <c r="AY2489" i="5"/>
  <c r="AK2489" i="5"/>
  <c r="AY2453" i="5"/>
  <c r="AK2453" i="5"/>
  <c r="AI2454" i="5"/>
  <c r="AJ2433" i="5"/>
  <c r="AK2433" i="5"/>
  <c r="AY2433" i="5"/>
  <c r="AL2433" i="5"/>
  <c r="AS2425" i="5"/>
  <c r="AT2425" i="5"/>
  <c r="AU2386" i="5"/>
  <c r="AV2386" i="5" s="1"/>
  <c r="AK2386" i="5"/>
  <c r="AJ2386" i="5"/>
  <c r="AS2195" i="5"/>
  <c r="AT2195" i="5"/>
  <c r="AL2109" i="5"/>
  <c r="AZ2109" i="5"/>
  <c r="AK2109" i="5"/>
  <c r="AI2110" i="5"/>
  <c r="AI2109" i="5"/>
  <c r="AM2109" i="5"/>
  <c r="AJ2109" i="5"/>
  <c r="AZ2094" i="5"/>
  <c r="AU2094" i="5"/>
  <c r="AV2094" i="5" s="1"/>
  <c r="AW2094" i="5"/>
  <c r="AX2094" i="5" s="1"/>
  <c r="AY2094" i="5"/>
  <c r="AL2094" i="5"/>
  <c r="AR2094" i="5"/>
  <c r="AS2094" i="5" s="1"/>
  <c r="AI2095" i="5"/>
  <c r="AJ2094" i="5"/>
  <c r="AK2094" i="5"/>
  <c r="AY2048" i="5"/>
  <c r="AW2048" i="5"/>
  <c r="AX2048" i="5" s="1"/>
  <c r="AZ2048" i="5"/>
  <c r="AU2048" i="5"/>
  <c r="AV2048" i="5" s="1"/>
  <c r="AK2048" i="5"/>
  <c r="AR2048" i="5"/>
  <c r="AT2048" i="5" s="1"/>
  <c r="AJ2048" i="5"/>
  <c r="AL2048" i="5"/>
  <c r="AJ2437" i="5"/>
  <c r="AY2437" i="5"/>
  <c r="AZ2437" i="5"/>
  <c r="AY2381" i="5"/>
  <c r="AK2381" i="5"/>
  <c r="AI2381" i="5"/>
  <c r="AK2319" i="5"/>
  <c r="AY2319" i="5"/>
  <c r="AL2319" i="5"/>
  <c r="AZ2319" i="5"/>
  <c r="AT2219" i="5"/>
  <c r="AS2219" i="5"/>
  <c r="AJ2176" i="5"/>
  <c r="AU2176" i="5"/>
  <c r="AV2176" i="5" s="1"/>
  <c r="AK2176" i="5"/>
  <c r="AW2176" i="5"/>
  <c r="AX2176" i="5" s="1"/>
  <c r="AY2176" i="5"/>
  <c r="AR2176" i="5"/>
  <c r="AT2176" i="5" s="1"/>
  <c r="AZ2176" i="5"/>
  <c r="AI2177" i="5"/>
  <c r="AZ2059" i="5"/>
  <c r="AY2059" i="5"/>
  <c r="AJ2059" i="5"/>
  <c r="AK2059" i="5"/>
  <c r="AL2059" i="5"/>
  <c r="AI2060" i="5"/>
  <c r="AT2051" i="5"/>
  <c r="AS2051" i="5"/>
  <c r="AI2289" i="5"/>
  <c r="AL1963" i="5"/>
  <c r="AI2414" i="5"/>
  <c r="M2516" i="5"/>
  <c r="F2516" i="5" s="1"/>
  <c r="AM2516" i="5" s="1"/>
  <c r="AL2232" i="5"/>
  <c r="AL1931" i="5"/>
  <c r="AS2461" i="5"/>
  <c r="AZ2386" i="5"/>
  <c r="AK2509" i="5"/>
  <c r="AY2283" i="5"/>
  <c r="AI1937" i="5"/>
  <c r="AZ1851" i="5"/>
  <c r="AS2485" i="5"/>
  <c r="AL2537" i="5"/>
  <c r="AS1787" i="5"/>
  <c r="AK2417" i="5"/>
  <c r="AY2417" i="5"/>
  <c r="AZ2417" i="5"/>
  <c r="AR2344" i="5"/>
  <c r="AL2344" i="5"/>
  <c r="AU2344" i="5"/>
  <c r="AV2344" i="5" s="1"/>
  <c r="AI2345" i="5"/>
  <c r="AY2344" i="5"/>
  <c r="AW2344" i="5"/>
  <c r="AX2344" i="5" s="1"/>
  <c r="AZ2315" i="5"/>
  <c r="AJ2315" i="5"/>
  <c r="AL2315" i="5"/>
  <c r="AS2275" i="5"/>
  <c r="AT2275" i="5"/>
  <c r="AZ2259" i="5"/>
  <c r="AY2259" i="5"/>
  <c r="AK2259" i="5"/>
  <c r="AI2260" i="5"/>
  <c r="AW2259" i="5"/>
  <c r="AX2259" i="5" s="1"/>
  <c r="AJ2207" i="5"/>
  <c r="AZ2207" i="5"/>
  <c r="AI2208" i="5"/>
  <c r="AT2179" i="5"/>
  <c r="AS2179" i="5"/>
  <c r="AS2097" i="5"/>
  <c r="AT2097" i="5"/>
  <c r="AR2075" i="5"/>
  <c r="AT2075" i="5" s="1"/>
  <c r="AY2075" i="5"/>
  <c r="AW2075" i="5"/>
  <c r="AX2075" i="5" s="1"/>
  <c r="AJ2075" i="5"/>
  <c r="AI2076" i="5"/>
  <c r="AU2075" i="5"/>
  <c r="AV2075" i="5" s="1"/>
  <c r="AL2075" i="5"/>
  <c r="AT1919" i="5"/>
  <c r="AS1919" i="5"/>
  <c r="AW2288" i="5"/>
  <c r="AX2288" i="5" s="1"/>
  <c r="AL2339" i="5"/>
  <c r="AK2265" i="5"/>
  <c r="AL2187" i="5"/>
  <c r="AY2413" i="5"/>
  <c r="AR2232" i="5"/>
  <c r="AY1931" i="5"/>
  <c r="AJ2473" i="5"/>
  <c r="AL2259" i="5"/>
  <c r="AS2389" i="5"/>
  <c r="AU2288" i="5"/>
  <c r="AV2288" i="5" s="1"/>
  <c r="AL2003" i="5"/>
  <c r="AY2187" i="5"/>
  <c r="AJ2232" i="5"/>
  <c r="AJ2249" i="5"/>
  <c r="AY1911" i="5"/>
  <c r="AK2019" i="5"/>
  <c r="M301" i="5"/>
  <c r="F301" i="5" s="1"/>
  <c r="AM301" i="5" s="1"/>
  <c r="M397" i="5"/>
  <c r="F397" i="5" s="1"/>
  <c r="AM397" i="5" s="1"/>
  <c r="AR2413" i="5"/>
  <c r="AT2413" i="5" s="1"/>
  <c r="AU2413" i="5"/>
  <c r="AV2413" i="5" s="1"/>
  <c r="AK2377" i="5"/>
  <c r="AJ2377" i="5"/>
  <c r="AJ2301" i="5"/>
  <c r="AK2301" i="5"/>
  <c r="AZ2301" i="5"/>
  <c r="AK2279" i="5"/>
  <c r="AY2279" i="5"/>
  <c r="AL2279" i="5"/>
  <c r="AU2105" i="5"/>
  <c r="AV2105" i="5" s="1"/>
  <c r="AL2105" i="5"/>
  <c r="AR2105" i="5"/>
  <c r="AT2105" i="5" s="1"/>
  <c r="AZ2105" i="5"/>
  <c r="AW2105" i="5"/>
  <c r="AX2105" i="5" s="1"/>
  <c r="AY2105" i="5"/>
  <c r="AJ2105" i="5"/>
  <c r="AK2105" i="5"/>
  <c r="AZ2043" i="5"/>
  <c r="AJ2043" i="5"/>
  <c r="AK2043" i="5"/>
  <c r="AY2043" i="5"/>
  <c r="AI2043" i="5"/>
  <c r="AL2043" i="5"/>
  <c r="AI2044" i="5"/>
  <c r="AY1983" i="5"/>
  <c r="AZ1983" i="5"/>
  <c r="AK1983" i="5"/>
  <c r="AL1983" i="5"/>
  <c r="AJ1983" i="5"/>
  <c r="AI1984" i="5"/>
  <c r="AS1975" i="5"/>
  <c r="AT1975" i="5"/>
  <c r="AK1967" i="5"/>
  <c r="AY1967" i="5"/>
  <c r="AZ1967" i="5"/>
  <c r="AL1967" i="5"/>
  <c r="AJ1967" i="5"/>
  <c r="AY1947" i="5"/>
  <c r="AJ1947" i="5"/>
  <c r="AK1947" i="5"/>
  <c r="AL1947" i="5"/>
  <c r="AZ1947" i="5"/>
  <c r="AY1927" i="5"/>
  <c r="AJ1927" i="5"/>
  <c r="AZ1927" i="5"/>
  <c r="AL1927" i="5"/>
  <c r="AK1927" i="5"/>
  <c r="AI1928" i="5"/>
  <c r="AT1903" i="5"/>
  <c r="AS1903" i="5"/>
  <c r="AI1892" i="5"/>
  <c r="AY1891" i="5"/>
  <c r="AZ1891" i="5"/>
  <c r="AS1883" i="5"/>
  <c r="AT1883" i="5"/>
  <c r="AS1863" i="5"/>
  <c r="AT1863" i="5"/>
  <c r="AK1855" i="5"/>
  <c r="AZ1855" i="5"/>
  <c r="AL1855" i="5"/>
  <c r="AY1855" i="5"/>
  <c r="AI1856" i="5"/>
  <c r="AJ1855" i="5"/>
  <c r="AL1851" i="5"/>
  <c r="AY1851" i="5"/>
  <c r="AU1851" i="5"/>
  <c r="AV1851" i="5" s="1"/>
  <c r="AJ1851" i="5"/>
  <c r="AK1851" i="5"/>
  <c r="AW1851" i="5"/>
  <c r="AX1851" i="5" s="1"/>
  <c r="AS1847" i="5"/>
  <c r="AT1847" i="5"/>
  <c r="AK1835" i="5"/>
  <c r="AY1835" i="5"/>
  <c r="AL1835" i="5"/>
  <c r="AJ1835" i="5"/>
  <c r="AZ1835" i="5"/>
  <c r="AI1836" i="5"/>
  <c r="AS1827" i="5"/>
  <c r="AT1827" i="5"/>
  <c r="AW1824" i="5"/>
  <c r="AX1824" i="5" s="1"/>
  <c r="AL1824" i="5"/>
  <c r="AK1824" i="5"/>
  <c r="AZ1824" i="5"/>
  <c r="AJ1824" i="5"/>
  <c r="AR1824" i="5"/>
  <c r="AS1824" i="5" s="1"/>
  <c r="AI1825" i="5"/>
  <c r="AU1824" i="5"/>
  <c r="AV1824" i="5" s="1"/>
  <c r="AY1824" i="5"/>
  <c r="AL1819" i="5"/>
  <c r="AK1819" i="5"/>
  <c r="AI1820" i="5"/>
  <c r="AZ1819" i="5"/>
  <c r="AJ1819" i="5"/>
  <c r="AI1819" i="5"/>
  <c r="AY1819" i="5"/>
  <c r="AJ1815" i="5"/>
  <c r="AI1816" i="5"/>
  <c r="AK1815" i="5"/>
  <c r="AZ1815" i="5"/>
  <c r="AS1811" i="5"/>
  <c r="AT1811" i="5"/>
  <c r="AI1800" i="5"/>
  <c r="AK1799" i="5"/>
  <c r="AY1799" i="5"/>
  <c r="AL1799" i="5"/>
  <c r="AJ1799" i="5"/>
  <c r="AR1795" i="5"/>
  <c r="AW1795" i="5"/>
  <c r="AX1795" i="5" s="1"/>
  <c r="AU1795" i="5"/>
  <c r="AV1795" i="5" s="1"/>
  <c r="AZ1795" i="5"/>
  <c r="AL1795" i="5"/>
  <c r="AJ1795" i="5"/>
  <c r="AY1795" i="5"/>
  <c r="AI1796" i="5"/>
  <c r="AK1795" i="5"/>
  <c r="AJ1779" i="5"/>
  <c r="AY1779" i="5"/>
  <c r="AK1779" i="5"/>
  <c r="AZ1779" i="5"/>
  <c r="AL1779" i="5"/>
  <c r="AI1780" i="5"/>
  <c r="AS1771" i="5"/>
  <c r="AT1771" i="5"/>
  <c r="AW1768" i="5"/>
  <c r="AX1768" i="5" s="1"/>
  <c r="AZ1768" i="5"/>
  <c r="AR1768" i="5"/>
  <c r="AT1768" i="5" s="1"/>
  <c r="AU1768" i="5"/>
  <c r="AV1768" i="5" s="1"/>
  <c r="AJ1768" i="5"/>
  <c r="AY1768" i="5"/>
  <c r="AK1768" i="5"/>
  <c r="AL1768" i="5"/>
  <c r="AY1763" i="5"/>
  <c r="AK1763" i="5"/>
  <c r="AZ1763" i="5"/>
  <c r="AI1763" i="5"/>
  <c r="AI1764" i="5"/>
  <c r="AJ1763" i="5"/>
  <c r="AZ1759" i="5"/>
  <c r="AK1759" i="5"/>
  <c r="AY1759" i="5"/>
  <c r="AJ1759" i="5"/>
  <c r="AI1760" i="5"/>
  <c r="AL1759" i="5"/>
  <c r="AS1755" i="5"/>
  <c r="AT1755" i="5"/>
  <c r="AS1750" i="5"/>
  <c r="AT1750" i="5"/>
  <c r="AR1747" i="5"/>
  <c r="AU1747" i="5"/>
  <c r="AV1747" i="5" s="1"/>
  <c r="AK1747" i="5"/>
  <c r="AZ1747" i="5"/>
  <c r="AI1748" i="5"/>
  <c r="AW1747" i="5"/>
  <c r="AX1747" i="5" s="1"/>
  <c r="AY1747" i="5"/>
  <c r="AJ1747" i="5"/>
  <c r="AJ1742" i="5"/>
  <c r="AZ1742" i="5"/>
  <c r="AI1743" i="5"/>
  <c r="AL1742" i="5"/>
  <c r="AT1739" i="5"/>
  <c r="AS1739" i="5"/>
  <c r="AT1459" i="5"/>
  <c r="AL1575" i="5"/>
  <c r="AU1400" i="5"/>
  <c r="AV1400" i="5" s="1"/>
  <c r="AU1631" i="5"/>
  <c r="AV1631" i="5" s="1"/>
  <c r="AY1631" i="5"/>
  <c r="AS1403" i="5"/>
  <c r="AT1678" i="5"/>
  <c r="AY1575" i="5"/>
  <c r="AI1488" i="5"/>
  <c r="AI1508" i="5"/>
  <c r="AI1607" i="5"/>
  <c r="AY1400" i="5"/>
  <c r="AK1456" i="5"/>
  <c r="AY1487" i="5"/>
  <c r="AJ1456" i="5"/>
  <c r="AJ1651" i="5"/>
  <c r="AW1631" i="5"/>
  <c r="AX1631" i="5" s="1"/>
  <c r="AT1618" i="5"/>
  <c r="AK1662" i="5"/>
  <c r="AJ1631" i="5"/>
  <c r="AZ1651" i="5"/>
  <c r="AJ1666" i="5"/>
  <c r="AL1642" i="5"/>
  <c r="AK1666" i="5"/>
  <c r="AI1662" i="5"/>
  <c r="AR1456" i="5"/>
  <c r="AT1456" i="5" s="1"/>
  <c r="AZ1507" i="5"/>
  <c r="AJ1559" i="5"/>
  <c r="AZ1431" i="5"/>
  <c r="AK1686" i="5"/>
  <c r="AS1499" i="5"/>
  <c r="AU1662" i="5"/>
  <c r="AV1662" i="5" s="1"/>
  <c r="AI1564" i="5"/>
  <c r="AT1475" i="5"/>
  <c r="AT1551" i="5"/>
  <c r="AY1666" i="5"/>
  <c r="AK1602" i="5"/>
  <c r="AI1651" i="5"/>
  <c r="AY1675" i="5"/>
  <c r="AI1687" i="5"/>
  <c r="AY1662" i="5"/>
  <c r="AS1479" i="5"/>
  <c r="AT1495" i="5"/>
  <c r="AJ1602" i="5"/>
  <c r="AI1686" i="5"/>
  <c r="AW1651" i="5"/>
  <c r="AX1651" i="5" s="1"/>
  <c r="AS1614" i="5"/>
  <c r="AU1675" i="5"/>
  <c r="AV1675" i="5" s="1"/>
  <c r="AI1627" i="5"/>
  <c r="AK1651" i="5"/>
  <c r="AZ1675" i="5"/>
  <c r="AJ1686" i="5"/>
  <c r="AJ1675" i="5"/>
  <c r="AZ1666" i="5"/>
  <c r="AS1439" i="5"/>
  <c r="AK1675" i="5"/>
  <c r="AS1594" i="5"/>
  <c r="AI1676" i="5"/>
  <c r="AU1686" i="5"/>
  <c r="AV1686" i="5" s="1"/>
  <c r="AS1383" i="5"/>
  <c r="AS1634" i="5"/>
  <c r="AW1686" i="5"/>
  <c r="AX1686" i="5" s="1"/>
  <c r="AY1686" i="5"/>
  <c r="AR1686" i="5"/>
  <c r="AS1686" i="5" s="1"/>
  <c r="AZ1686" i="5"/>
  <c r="AS1682" i="5"/>
  <c r="AT1682" i="5"/>
  <c r="AT1658" i="5"/>
  <c r="AS1658" i="5"/>
  <c r="AS1654" i="5"/>
  <c r="AT1654" i="5"/>
  <c r="AJ1642" i="5"/>
  <c r="AY1642" i="5"/>
  <c r="AR1631" i="5"/>
  <c r="AI1632" i="5"/>
  <c r="AK1631" i="5"/>
  <c r="AL1631" i="5"/>
  <c r="AL1626" i="5"/>
  <c r="AI1626" i="5"/>
  <c r="AY1626" i="5"/>
  <c r="AL1622" i="5"/>
  <c r="AY1622" i="5"/>
  <c r="AK1622" i="5"/>
  <c r="AZ1622" i="5"/>
  <c r="AJ1622" i="5"/>
  <c r="AJ1606" i="5"/>
  <c r="AY1606" i="5"/>
  <c r="AK1606" i="5"/>
  <c r="AL1602" i="5"/>
  <c r="AW1602" i="5"/>
  <c r="AX1602" i="5" s="1"/>
  <c r="AZ1602" i="5"/>
  <c r="AU1602" i="5"/>
  <c r="AV1602" i="5" s="1"/>
  <c r="AS1598" i="5"/>
  <c r="AT1598" i="5"/>
  <c r="AJ1586" i="5"/>
  <c r="AL1586" i="5"/>
  <c r="AK1586" i="5"/>
  <c r="AY1586" i="5"/>
  <c r="AT1578" i="5"/>
  <c r="AS1578" i="5"/>
  <c r="AW1575" i="5"/>
  <c r="AX1575" i="5" s="1"/>
  <c r="AJ1575" i="5"/>
  <c r="AK1575" i="5"/>
  <c r="AL1563" i="5"/>
  <c r="AZ1563" i="5"/>
  <c r="AY1563" i="5"/>
  <c r="AI1563" i="5"/>
  <c r="AZ1559" i="5"/>
  <c r="AL1559" i="5"/>
  <c r="AY1543" i="5"/>
  <c r="AZ1543" i="5"/>
  <c r="AJ1543" i="5"/>
  <c r="AI1544" i="5"/>
  <c r="AK1543" i="5"/>
  <c r="AT1531" i="5"/>
  <c r="AS1531" i="5"/>
  <c r="AZ1523" i="5"/>
  <c r="AJ1523" i="5"/>
  <c r="AK1523" i="5"/>
  <c r="AI1524" i="5"/>
  <c r="AY1523" i="5"/>
  <c r="AT1515" i="5"/>
  <c r="AS1515" i="5"/>
  <c r="AR1512" i="5"/>
  <c r="AI1512" i="5"/>
  <c r="AJ1512" i="5"/>
  <c r="AU1512" i="5"/>
  <c r="AV1512" i="5" s="1"/>
  <c r="AW1512" i="5"/>
  <c r="AX1512" i="5" s="1"/>
  <c r="AI1513" i="5"/>
  <c r="AL1512" i="5"/>
  <c r="AY1512" i="5"/>
  <c r="AK1512" i="5"/>
  <c r="AK1507" i="5"/>
  <c r="AI1507" i="5"/>
  <c r="AJ1503" i="5"/>
  <c r="AI1504" i="5"/>
  <c r="AY1503" i="5"/>
  <c r="AL1503" i="5"/>
  <c r="AK1487" i="5"/>
  <c r="AJ1487" i="5"/>
  <c r="AL1487" i="5"/>
  <c r="AY1483" i="5"/>
  <c r="AW1483" i="5"/>
  <c r="AX1483" i="5" s="1"/>
  <c r="AI1484" i="5"/>
  <c r="AJ1483" i="5"/>
  <c r="AZ1483" i="5"/>
  <c r="AU1483" i="5"/>
  <c r="AV1483" i="5" s="1"/>
  <c r="AL1483" i="5"/>
  <c r="AR1483" i="5"/>
  <c r="AT1483" i="5" s="1"/>
  <c r="AZ1467" i="5"/>
  <c r="AK1467" i="5"/>
  <c r="AI1468" i="5"/>
  <c r="AL1467" i="5"/>
  <c r="AL1456" i="5"/>
  <c r="AI1456" i="5"/>
  <c r="AL1447" i="5"/>
  <c r="AK1447" i="5"/>
  <c r="AJ1447" i="5"/>
  <c r="AY1447" i="5"/>
  <c r="AI1448" i="5"/>
  <c r="AT1443" i="5"/>
  <c r="AS1443" i="5"/>
  <c r="AJ1431" i="5"/>
  <c r="AY1431" i="5"/>
  <c r="AK1431" i="5"/>
  <c r="AI1432" i="5"/>
  <c r="AY1427" i="5"/>
  <c r="AK1427" i="5"/>
  <c r="AT1419" i="5"/>
  <c r="AS1419" i="5"/>
  <c r="AJ1411" i="5"/>
  <c r="AZ1411" i="5"/>
  <c r="AK1411" i="5"/>
  <c r="AL1411" i="5"/>
  <c r="AY1411" i="5"/>
  <c r="AI1412" i="5"/>
  <c r="AL1400" i="5"/>
  <c r="AK1400" i="5"/>
  <c r="AJ1400" i="5"/>
  <c r="AZ1400" i="5"/>
  <c r="AI1401" i="5"/>
  <c r="AY1395" i="5"/>
  <c r="AL1395" i="5"/>
  <c r="AK1395" i="5"/>
  <c r="AZ1375" i="5"/>
  <c r="AJ1375" i="5"/>
  <c r="AY1375" i="5"/>
  <c r="AL1375" i="5"/>
  <c r="AU1371" i="5"/>
  <c r="AV1371" i="5" s="1"/>
  <c r="AY1371" i="5"/>
  <c r="AK1371" i="5"/>
  <c r="AW1371" i="5"/>
  <c r="AX1371" i="5" s="1"/>
  <c r="AS1367" i="5"/>
  <c r="AT1367" i="5"/>
  <c r="AS1363" i="5"/>
  <c r="AT1363" i="5"/>
  <c r="AJ1355" i="5"/>
  <c r="AI1356" i="5"/>
  <c r="AY1355" i="5"/>
  <c r="AU1344" i="5"/>
  <c r="AV1344" i="5" s="1"/>
  <c r="AL1344" i="5"/>
  <c r="AR1344" i="5"/>
  <c r="AS1344" i="5" s="1"/>
  <c r="AZ1339" i="5"/>
  <c r="AK1339" i="5"/>
  <c r="AI1339" i="5"/>
  <c r="AL1339" i="5"/>
  <c r="AI1340" i="5"/>
  <c r="AK1335" i="5"/>
  <c r="AZ1335" i="5"/>
  <c r="AY1335" i="5"/>
  <c r="AL1335" i="5"/>
  <c r="AT1331" i="5"/>
  <c r="AS1331" i="5"/>
  <c r="AZ1319" i="5"/>
  <c r="AL1319" i="5"/>
  <c r="AI1320" i="5"/>
  <c r="AL1315" i="5"/>
  <c r="AR1315" i="5"/>
  <c r="AS1315" i="5" s="1"/>
  <c r="AU1315" i="5"/>
  <c r="AV1315" i="5" s="1"/>
  <c r="AW1315" i="5"/>
  <c r="AX1315" i="5" s="1"/>
  <c r="AT1264" i="5"/>
  <c r="AS1264" i="5"/>
  <c r="AZ1253" i="5"/>
  <c r="AL1253" i="5"/>
  <c r="AJ1253" i="5"/>
  <c r="AY1249" i="5"/>
  <c r="AI1250" i="5"/>
  <c r="AZ1249" i="5"/>
  <c r="AL1249" i="5"/>
  <c r="AT1237" i="5"/>
  <c r="AS1237" i="5"/>
  <c r="AL1229" i="5"/>
  <c r="AI1229" i="5"/>
  <c r="AZ1229" i="5"/>
  <c r="AK1229" i="5"/>
  <c r="AI1230" i="5"/>
  <c r="AJ1229" i="5"/>
  <c r="AL1225" i="5"/>
  <c r="AY1225" i="5"/>
  <c r="AI1225" i="5"/>
  <c r="AJ1214" i="5"/>
  <c r="AJ1189" i="5"/>
  <c r="AJ1149" i="5"/>
  <c r="AL1021" i="5"/>
  <c r="AK1037" i="5"/>
  <c r="AI1018" i="5"/>
  <c r="AI1134" i="5"/>
  <c r="AY1097" i="5"/>
  <c r="AI1042" i="5"/>
  <c r="AI1130" i="5"/>
  <c r="AS1013" i="5"/>
  <c r="AR990" i="5"/>
  <c r="AS990" i="5" s="1"/>
  <c r="AL1073" i="5"/>
  <c r="AK965" i="5"/>
  <c r="AL1077" i="5"/>
  <c r="AZ925" i="5"/>
  <c r="AM1570" i="5"/>
  <c r="AK889" i="5"/>
  <c r="AZ1185" i="5"/>
  <c r="AS1125" i="5"/>
  <c r="AZ882" i="5"/>
  <c r="AK1185" i="5"/>
  <c r="AY1214" i="5"/>
  <c r="AZ1021" i="5"/>
  <c r="AY1041" i="5"/>
  <c r="AJ1097" i="5"/>
  <c r="AL1133" i="5"/>
  <c r="AS1105" i="5"/>
  <c r="AI985" i="5"/>
  <c r="AK1001" i="5"/>
  <c r="AZ1093" i="5"/>
  <c r="AS1217" i="5"/>
  <c r="AK1077" i="5"/>
  <c r="AS937" i="5"/>
  <c r="AU1158" i="5"/>
  <c r="AV1158" i="5" s="1"/>
  <c r="AY1046" i="5"/>
  <c r="AJ1046" i="5"/>
  <c r="AT1049" i="5"/>
  <c r="AK1189" i="5"/>
  <c r="AL2520" i="5"/>
  <c r="AS1202" i="5"/>
  <c r="AI1150" i="5"/>
  <c r="AZ1046" i="5"/>
  <c r="AY1102" i="5"/>
  <c r="AI1186" i="5"/>
  <c r="AZ1041" i="5"/>
  <c r="AW1129" i="5"/>
  <c r="AX1129" i="5" s="1"/>
  <c r="AJ985" i="5"/>
  <c r="AY1001" i="5"/>
  <c r="AI1094" i="5"/>
  <c r="AK1017" i="5"/>
  <c r="AL1046" i="5"/>
  <c r="AS1161" i="5"/>
  <c r="AR1185" i="5"/>
  <c r="AS1185" i="5" s="1"/>
  <c r="AL1149" i="5"/>
  <c r="AJ1041" i="5"/>
  <c r="AJ965" i="5"/>
  <c r="AY905" i="5"/>
  <c r="AL965" i="5"/>
  <c r="AY1093" i="5"/>
  <c r="AY1209" i="5"/>
  <c r="AI1210" i="5"/>
  <c r="AT1201" i="5"/>
  <c r="AS1201" i="5"/>
  <c r="AL1189" i="5"/>
  <c r="AI1190" i="5"/>
  <c r="AY1185" i="5"/>
  <c r="AJ1185" i="5"/>
  <c r="AW1185" i="5"/>
  <c r="AX1185" i="5" s="1"/>
  <c r="AK1158" i="5"/>
  <c r="AW1158" i="5"/>
  <c r="AX1158" i="5" s="1"/>
  <c r="AI1153" i="5"/>
  <c r="AK1153" i="5"/>
  <c r="AY1133" i="5"/>
  <c r="AZ1133" i="5"/>
  <c r="AZ1129" i="5"/>
  <c r="AK1129" i="5"/>
  <c r="AY1129" i="5"/>
  <c r="AL1113" i="5"/>
  <c r="AI1114" i="5"/>
  <c r="AZ1113" i="5"/>
  <c r="AL1102" i="5"/>
  <c r="AZ1102" i="5"/>
  <c r="AK1097" i="5"/>
  <c r="AI1098" i="5"/>
  <c r="AJ1073" i="5"/>
  <c r="AR1073" i="5"/>
  <c r="AT1073" i="5" s="1"/>
  <c r="AW1073" i="5"/>
  <c r="AX1073" i="5" s="1"/>
  <c r="AK1073" i="5"/>
  <c r="AZ1073" i="5"/>
  <c r="AZ1057" i="5"/>
  <c r="AK1057" i="5"/>
  <c r="AI1047" i="5"/>
  <c r="AR1046" i="5"/>
  <c r="AS1046" i="5" s="1"/>
  <c r="AT1033" i="5"/>
  <c r="AS1033" i="5"/>
  <c r="AS1029" i="5"/>
  <c r="AT1029" i="5"/>
  <c r="AU1017" i="5"/>
  <c r="AV1017" i="5" s="1"/>
  <c r="AZ1017" i="5"/>
  <c r="AY1017" i="5"/>
  <c r="AW1017" i="5"/>
  <c r="AX1017" i="5" s="1"/>
  <c r="AR1017" i="5"/>
  <c r="AS1017" i="5" s="1"/>
  <c r="AL1017" i="5"/>
  <c r="AJ1001" i="5"/>
  <c r="AI1002" i="5"/>
  <c r="AZ1001" i="5"/>
  <c r="AY990" i="5"/>
  <c r="AK990" i="5"/>
  <c r="AL990" i="5"/>
  <c r="AJ990" i="5"/>
  <c r="AY985" i="5"/>
  <c r="AI986" i="5"/>
  <c r="AK985" i="5"/>
  <c r="AL981" i="5"/>
  <c r="AZ981" i="5"/>
  <c r="AJ981" i="5"/>
  <c r="AZ961" i="5"/>
  <c r="AY961" i="5"/>
  <c r="AK961" i="5"/>
  <c r="AT953" i="5"/>
  <c r="AS953" i="5"/>
  <c r="AL945" i="5"/>
  <c r="AJ945" i="5"/>
  <c r="AK934" i="5"/>
  <c r="AY934" i="5"/>
  <c r="AU934" i="5"/>
  <c r="AV934" i="5" s="1"/>
  <c r="AZ934" i="5"/>
  <c r="AW934" i="5"/>
  <c r="AX934" i="5" s="1"/>
  <c r="AJ929" i="5"/>
  <c r="AK929" i="5"/>
  <c r="AY925" i="5"/>
  <c r="AJ925" i="5"/>
  <c r="AT917" i="5"/>
  <c r="AS917" i="5"/>
  <c r="AK909" i="5"/>
  <c r="AL909" i="5"/>
  <c r="AR905" i="5"/>
  <c r="AT905" i="5" s="1"/>
  <c r="AZ905" i="5"/>
  <c r="AU905" i="5"/>
  <c r="AV905" i="5" s="1"/>
  <c r="AJ905" i="5"/>
  <c r="AS901" i="5"/>
  <c r="AT901" i="5"/>
  <c r="AK858" i="5"/>
  <c r="AZ858" i="5"/>
  <c r="AY819" i="5"/>
  <c r="AI820" i="5"/>
  <c r="AZ819" i="5"/>
  <c r="AL819" i="5"/>
  <c r="AJ810" i="5"/>
  <c r="AI811" i="5"/>
  <c r="AJ799" i="5"/>
  <c r="AW799" i="5"/>
  <c r="AX799" i="5" s="1"/>
  <c r="AY799" i="5"/>
  <c r="AI794" i="5"/>
  <c r="AJ794" i="5"/>
  <c r="AY794" i="5"/>
  <c r="AY790" i="5"/>
  <c r="AJ790" i="5"/>
  <c r="AY774" i="5"/>
  <c r="AK774" i="5"/>
  <c r="AJ774" i="5"/>
  <c r="AJ770" i="5"/>
  <c r="AW770" i="5"/>
  <c r="AX770" i="5" s="1"/>
  <c r="AJ754" i="5"/>
  <c r="AZ754" i="5"/>
  <c r="AU743" i="5"/>
  <c r="AV743" i="5" s="1"/>
  <c r="AW743" i="5"/>
  <c r="AX743" i="5" s="1"/>
  <c r="AK743" i="5"/>
  <c r="AJ738" i="5"/>
  <c r="AL738" i="5"/>
  <c r="AK734" i="5"/>
  <c r="AZ734" i="5"/>
  <c r="AL734" i="5"/>
  <c r="AY734" i="5"/>
  <c r="AJ687" i="5"/>
  <c r="AK687" i="5"/>
  <c r="AK658" i="5"/>
  <c r="AJ606" i="5"/>
  <c r="AY631" i="5"/>
  <c r="AJ698" i="5"/>
  <c r="AZ718" i="5"/>
  <c r="AJ530" i="5"/>
  <c r="AJ602" i="5"/>
  <c r="AM1742" i="5"/>
  <c r="AJ714" i="5"/>
  <c r="AJ626" i="5"/>
  <c r="AI632" i="5"/>
  <c r="AT690" i="5"/>
  <c r="AY714" i="5"/>
  <c r="AR631" i="5"/>
  <c r="AT631" i="5" s="1"/>
  <c r="AT730" i="5"/>
  <c r="AR658" i="5"/>
  <c r="AT658" i="5" s="1"/>
  <c r="AK662" i="5"/>
  <c r="AJ631" i="5"/>
  <c r="AI715" i="5"/>
  <c r="AK530" i="5"/>
  <c r="AK440" i="5"/>
  <c r="M2875" i="5"/>
  <c r="L2875" i="5" s="1"/>
  <c r="M2803" i="5"/>
  <c r="L2803" i="5" s="1"/>
  <c r="AK2511" i="5"/>
  <c r="AL2252" i="5"/>
  <c r="AU2511" i="5"/>
  <c r="AV2511" i="5" s="1"/>
  <c r="M1657" i="5"/>
  <c r="F1657" i="5" s="1"/>
  <c r="AM1658" i="5" s="1"/>
  <c r="G209" i="5"/>
  <c r="H209" i="5" s="1"/>
  <c r="F3664" i="5"/>
  <c r="AM1176" i="5"/>
  <c r="AI2459" i="5"/>
  <c r="AI2455" i="5"/>
  <c r="AM2121" i="5"/>
  <c r="S206" i="5"/>
  <c r="F209" i="5" s="1"/>
  <c r="AY2252" i="5"/>
  <c r="M3631" i="5"/>
  <c r="F3631" i="5" s="1"/>
  <c r="L3631" i="5" s="1"/>
  <c r="G4071" i="5"/>
  <c r="H4071" i="5" s="1"/>
  <c r="M289" i="5"/>
  <c r="F289" i="5" s="1"/>
  <c r="AK2315" i="5"/>
  <c r="AM2272" i="5"/>
  <c r="AY2361" i="5"/>
  <c r="AU2372" i="5"/>
  <c r="AV2372" i="5" s="1"/>
  <c r="AJ2330" i="5"/>
  <c r="M2469" i="5"/>
  <c r="F2469" i="5" s="1"/>
  <c r="AM2469" i="5" s="1"/>
  <c r="AL2372" i="5"/>
  <c r="A5156" i="5"/>
  <c r="AJ2009" i="5"/>
  <c r="M415" i="5"/>
  <c r="F415" i="5" s="1"/>
  <c r="M3251" i="5"/>
  <c r="F3251" i="5" s="1"/>
  <c r="L3251" i="5" s="1"/>
  <c r="AI2079" i="5"/>
  <c r="AK2532" i="5"/>
  <c r="M1971" i="5"/>
  <c r="F1971" i="5" s="1"/>
  <c r="M3259" i="5"/>
  <c r="F3259" i="5" s="1"/>
  <c r="L3259" i="5" s="1"/>
  <c r="AI2509" i="5"/>
  <c r="AI2541" i="5"/>
  <c r="M1768" i="5"/>
  <c r="F1768" i="5" s="1"/>
  <c r="AK2104" i="5"/>
  <c r="AJ2508" i="5"/>
  <c r="AU2528" i="5"/>
  <c r="AV2528" i="5" s="1"/>
  <c r="AZ2532" i="5"/>
  <c r="M1789" i="5"/>
  <c r="F1789" i="5" s="1"/>
  <c r="AM1790" i="5" s="1"/>
  <c r="M1950" i="5"/>
  <c r="F1950" i="5" s="1"/>
  <c r="M2106" i="5"/>
  <c r="F2106" i="5" s="1"/>
  <c r="M1929" i="5"/>
  <c r="F1929" i="5" s="1"/>
  <c r="M2041" i="5"/>
  <c r="F2041" i="5" s="1"/>
  <c r="AY2104" i="5"/>
  <c r="M1908" i="5"/>
  <c r="F1908" i="5" s="1"/>
  <c r="AK2517" i="5"/>
  <c r="M1999" i="5"/>
  <c r="F1999" i="5" s="1"/>
  <c r="M1817" i="5"/>
  <c r="F1817" i="5" s="1"/>
  <c r="AL2541" i="5"/>
  <c r="AY2448" i="5"/>
  <c r="M2048" i="5"/>
  <c r="F2048" i="5" s="1"/>
  <c r="M1803" i="5"/>
  <c r="F1803" i="5" s="1"/>
  <c r="AM1803" i="5" s="1"/>
  <c r="AJ2104" i="5"/>
  <c r="AY2508" i="5"/>
  <c r="AJ2528" i="5"/>
  <c r="AY2541" i="5"/>
  <c r="M1922" i="5"/>
  <c r="F1922" i="5" s="1"/>
  <c r="M1915" i="5"/>
  <c r="F1915" i="5" s="1"/>
  <c r="M2034" i="5"/>
  <c r="F2034" i="5" s="1"/>
  <c r="M1943" i="5"/>
  <c r="F1943" i="5" s="1"/>
  <c r="M2100" i="5"/>
  <c r="F2100" i="5" s="1"/>
  <c r="AI2105" i="5"/>
  <c r="M2497" i="5"/>
  <c r="F2497" i="5" s="1"/>
  <c r="AM2497" i="5" s="1"/>
  <c r="AI2517" i="5"/>
  <c r="AL2508" i="5"/>
  <c r="AK2508" i="5"/>
  <c r="AZ2528" i="5"/>
  <c r="AJ2541" i="5"/>
  <c r="M2055" i="5"/>
  <c r="F2055" i="5" s="1"/>
  <c r="M1831" i="5"/>
  <c r="F1831" i="5" s="1"/>
  <c r="AM1832" i="5" s="1"/>
  <c r="M1901" i="5"/>
  <c r="F1901" i="5" s="1"/>
  <c r="M2123" i="5"/>
  <c r="F2123" i="5" s="1"/>
  <c r="M1992" i="5"/>
  <c r="F1992" i="5" s="1"/>
  <c r="M1796" i="5"/>
  <c r="F1796" i="5" s="1"/>
  <c r="AM1797" i="5" s="1"/>
  <c r="M1775" i="5"/>
  <c r="F1775" i="5" s="1"/>
  <c r="AM1776" i="5" s="1"/>
  <c r="AU2517" i="5"/>
  <c r="AV2517" i="5" s="1"/>
  <c r="AL2528" i="5"/>
  <c r="AK2541" i="5"/>
  <c r="M1936" i="5"/>
  <c r="F1936" i="5" s="1"/>
  <c r="M1887" i="5"/>
  <c r="F1887" i="5" s="1"/>
  <c r="M1957" i="5"/>
  <c r="F1957" i="5" s="1"/>
  <c r="AY2528" i="5"/>
  <c r="M2088" i="5"/>
  <c r="F2088" i="5" s="1"/>
  <c r="AM2089" i="5" s="1"/>
  <c r="M1978" i="5"/>
  <c r="F1978" i="5" s="1"/>
  <c r="M2112" i="5"/>
  <c r="F2112" i="5" s="1"/>
  <c r="M1859" i="5"/>
  <c r="F1859" i="5" s="1"/>
  <c r="AM1860" i="5" s="1"/>
  <c r="M3248" i="5"/>
  <c r="F3248" i="5" s="1"/>
  <c r="L3248" i="5" s="1"/>
  <c r="M3256" i="5"/>
  <c r="F3256" i="5" s="1"/>
  <c r="L3256" i="5" s="1"/>
  <c r="M3264" i="5"/>
  <c r="F3264" i="5" s="1"/>
  <c r="L3264" i="5" s="1"/>
  <c r="AI2529" i="5"/>
  <c r="AI2518" i="5"/>
  <c r="AJ2532" i="5"/>
  <c r="M2020" i="5"/>
  <c r="F2020" i="5" s="1"/>
  <c r="M1761" i="5"/>
  <c r="F1761" i="5" s="1"/>
  <c r="AM1762" i="5" s="1"/>
  <c r="M1845" i="5"/>
  <c r="F1845" i="5" s="1"/>
  <c r="AM1846" i="5" s="1"/>
  <c r="AZ2517" i="5"/>
  <c r="AW2541" i="5"/>
  <c r="AX2541" i="5" s="1"/>
  <c r="AL1661" i="5"/>
  <c r="AM2445" i="5"/>
  <c r="G202" i="5"/>
  <c r="H202" i="5" s="1"/>
  <c r="AQ2056" i="5"/>
  <c r="W3527" i="5"/>
  <c r="F3531" i="5" s="1"/>
  <c r="F4894" i="5"/>
  <c r="AS764" i="5"/>
  <c r="L4024" i="5"/>
  <c r="L4022" i="5"/>
  <c r="AS855" i="5"/>
  <c r="AY2537" i="5"/>
  <c r="M2385" i="5"/>
  <c r="F2385" i="5" s="1"/>
  <c r="AM2385" i="5" s="1"/>
  <c r="AL2509" i="5"/>
  <c r="M2392" i="5"/>
  <c r="F2392" i="5" s="1"/>
  <c r="AM2392" i="5" s="1"/>
  <c r="M379" i="5"/>
  <c r="F379" i="5" s="1"/>
  <c r="M2476" i="5"/>
  <c r="F2476" i="5" s="1"/>
  <c r="AS2311" i="5"/>
  <c r="G1695" i="5"/>
  <c r="H1695" i="5" s="1"/>
  <c r="AT2363" i="5"/>
  <c r="AL2413" i="5"/>
  <c r="AJ2417" i="5"/>
  <c r="AM2417" i="5"/>
  <c r="AK2537" i="5"/>
  <c r="AI2316" i="5"/>
  <c r="AZ2489" i="5"/>
  <c r="AK2493" i="5"/>
  <c r="AR2315" i="5"/>
  <c r="AS2315" i="5" s="1"/>
  <c r="AW2386" i="5"/>
  <c r="AX2386" i="5" s="1"/>
  <c r="AS2291" i="5"/>
  <c r="M4707" i="5"/>
  <c r="M4721" i="5" s="1"/>
  <c r="F4721" i="5" s="1"/>
  <c r="F4725" i="5" s="1"/>
  <c r="W4727" i="5" s="1"/>
  <c r="AK2469" i="5"/>
  <c r="AI2339" i="5"/>
  <c r="AL2381" i="5"/>
  <c r="AW2413" i="5"/>
  <c r="AX2413" i="5" s="1"/>
  <c r="AL2417" i="5"/>
  <c r="M2399" i="5"/>
  <c r="F2399" i="5" s="1"/>
  <c r="AM2399" i="5" s="1"/>
  <c r="AS2545" i="5"/>
  <c r="AL2489" i="5"/>
  <c r="AJ2493" i="5"/>
  <c r="AJ2319" i="5"/>
  <c r="AI2387" i="5"/>
  <c r="M2364" i="5"/>
  <c r="F2364" i="5" s="1"/>
  <c r="G201" i="5"/>
  <c r="H201" i="5" s="1"/>
  <c r="AL2529" i="5"/>
  <c r="AI2438" i="5"/>
  <c r="AK2442" i="5"/>
  <c r="M2427" i="5"/>
  <c r="F2427" i="5" s="1"/>
  <c r="M437" i="5"/>
  <c r="F437" i="5" s="1"/>
  <c r="M432" i="5"/>
  <c r="F432" i="5" s="1"/>
  <c r="AM432" i="5" s="1"/>
  <c r="AK2283" i="5"/>
  <c r="AZ2344" i="5"/>
  <c r="M355" i="5"/>
  <c r="F355" i="5" s="1"/>
  <c r="AM355" i="5" s="1"/>
  <c r="AK2299" i="5"/>
  <c r="AL2355" i="5"/>
  <c r="M307" i="5"/>
  <c r="F307" i="5" s="1"/>
  <c r="M2245" i="5"/>
  <c r="F2245" i="5" s="1"/>
  <c r="M319" i="5"/>
  <c r="F319" i="5" s="1"/>
  <c r="AM319" i="5" s="1"/>
  <c r="M442" i="5"/>
  <c r="F442" i="5" s="1"/>
  <c r="AM442" i="5" s="1"/>
  <c r="M2273" i="5"/>
  <c r="F2273" i="5" s="1"/>
  <c r="AM2273" i="5" s="1"/>
  <c r="AZ2469" i="5"/>
  <c r="AY2339" i="5"/>
  <c r="AJ2381" i="5"/>
  <c r="AJ2413" i="5"/>
  <c r="M2210" i="5"/>
  <c r="F2210" i="5" s="1"/>
  <c r="AM2210" i="5" s="1"/>
  <c r="M2189" i="5"/>
  <c r="F2189" i="5" s="1"/>
  <c r="AI2493" i="5"/>
  <c r="M2336" i="5"/>
  <c r="F2336" i="5" s="1"/>
  <c r="AM2336" i="5" s="1"/>
  <c r="AI2386" i="5"/>
  <c r="F4805" i="5"/>
  <c r="M2434" i="5"/>
  <c r="F2434" i="5" s="1"/>
  <c r="AM2434" i="5" s="1"/>
  <c r="AT2429" i="5"/>
  <c r="AI2340" i="5"/>
  <c r="AI2538" i="5"/>
  <c r="AZ2493" i="5"/>
  <c r="M2448" i="5"/>
  <c r="F2448" i="5" s="1"/>
  <c r="AM2448" i="5" s="1"/>
  <c r="M367" i="5"/>
  <c r="F367" i="5" s="1"/>
  <c r="AM368" i="5" s="1"/>
  <c r="M361" i="5"/>
  <c r="F361" i="5" s="1"/>
  <c r="AM361" i="5" s="1"/>
  <c r="M2522" i="5"/>
  <c r="F2522" i="5" s="1"/>
  <c r="AM2522" i="5" s="1"/>
  <c r="AZ2537" i="5"/>
  <c r="M325" i="5"/>
  <c r="F325" i="5" s="1"/>
  <c r="AM325" i="5" s="1"/>
  <c r="AU2301" i="5"/>
  <c r="AV2301" i="5" s="1"/>
  <c r="AK2355" i="5"/>
  <c r="M313" i="5"/>
  <c r="F313" i="5" s="1"/>
  <c r="AM313" i="5" s="1"/>
  <c r="M2462" i="5"/>
  <c r="F2462" i="5" s="1"/>
  <c r="AM2463" i="5" s="1"/>
  <c r="AZ2299" i="5"/>
  <c r="M2504" i="5"/>
  <c r="F2504" i="5" s="1"/>
  <c r="AP2170" i="5"/>
  <c r="AQ2170" i="5" s="1"/>
  <c r="M4282" i="5"/>
  <c r="F4282" i="5" s="1"/>
  <c r="L4282" i="5" s="1"/>
  <c r="M2534" i="5"/>
  <c r="F2534" i="5" s="1"/>
  <c r="AM2534" i="5" s="1"/>
  <c r="AR2498" i="5"/>
  <c r="AS2498" i="5" s="1"/>
  <c r="M2551" i="5"/>
  <c r="F2551" i="5" s="1"/>
  <c r="AM2551" i="5" s="1"/>
  <c r="M452" i="5"/>
  <c r="F452" i="5" s="1"/>
  <c r="AM461" i="5" s="1"/>
  <c r="M385" i="5"/>
  <c r="F385" i="5" s="1"/>
  <c r="AM385" i="5" s="1"/>
  <c r="M409" i="5"/>
  <c r="F409" i="5" s="1"/>
  <c r="M421" i="5"/>
  <c r="F421" i="5" s="1"/>
  <c r="AM421" i="5" s="1"/>
  <c r="S3749" i="5"/>
  <c r="F3749" i="5" s="1"/>
  <c r="AL2301" i="5"/>
  <c r="AS2409" i="5"/>
  <c r="M337" i="5"/>
  <c r="F337" i="5" s="1"/>
  <c r="AM337" i="5" s="1"/>
  <c r="M2413" i="5"/>
  <c r="F2413" i="5" s="1"/>
  <c r="AM2413" i="5" s="1"/>
  <c r="M2322" i="5"/>
  <c r="F2322" i="5" s="1"/>
  <c r="AM2322" i="5" s="1"/>
  <c r="AK2513" i="5"/>
  <c r="AY2509" i="5"/>
  <c r="AI2510" i="5"/>
  <c r="N3868" i="5"/>
  <c r="M3868" i="5" s="1"/>
  <c r="F3868" i="5" s="1"/>
  <c r="L3868" i="5" s="1"/>
  <c r="M2175" i="5"/>
  <c r="F2175" i="5" s="1"/>
  <c r="AM2175" i="5" s="1"/>
  <c r="M2259" i="5"/>
  <c r="F2259" i="5" s="1"/>
  <c r="AM2259" i="5" s="1"/>
  <c r="M2378" i="5"/>
  <c r="F2378" i="5" s="1"/>
  <c r="AM2378" i="5" s="1"/>
  <c r="M295" i="5"/>
  <c r="F295" i="5" s="1"/>
  <c r="AM295" i="5" s="1"/>
  <c r="M3859" i="5"/>
  <c r="F3859" i="5" s="1"/>
  <c r="L3859" i="5" s="1"/>
  <c r="AS2276" i="5"/>
  <c r="AK2344" i="5"/>
  <c r="M427" i="5"/>
  <c r="F427" i="5" s="1"/>
  <c r="AM427" i="5" s="1"/>
  <c r="AJ2279" i="5"/>
  <c r="AY2301" i="5"/>
  <c r="M2280" i="5"/>
  <c r="F2280" i="5" s="1"/>
  <c r="AM2280" i="5" s="1"/>
  <c r="M2420" i="5"/>
  <c r="F2420" i="5" s="1"/>
  <c r="AM2420" i="5" s="1"/>
  <c r="M2848" i="5"/>
  <c r="L2848" i="5" s="1"/>
  <c r="A3973" i="5"/>
  <c r="AL2437" i="5"/>
  <c r="M2455" i="5"/>
  <c r="F2455" i="5" s="1"/>
  <c r="AM2455" i="5" s="1"/>
  <c r="M2357" i="5"/>
  <c r="F2357" i="5" s="1"/>
  <c r="AM2358" i="5" s="1"/>
  <c r="M447" i="5"/>
  <c r="F447" i="5" s="1"/>
  <c r="AM447" i="5" s="1"/>
  <c r="M349" i="5"/>
  <c r="F349" i="5" s="1"/>
  <c r="M2252" i="5"/>
  <c r="F2252" i="5" s="1"/>
  <c r="AM2252" i="5" s="1"/>
  <c r="M2540" i="5"/>
  <c r="F2540" i="5" s="1"/>
  <c r="M2510" i="5"/>
  <c r="F2510" i="5" s="1"/>
  <c r="AM2510" i="5" s="1"/>
  <c r="AU2315" i="5"/>
  <c r="AV2315" i="5" s="1"/>
  <c r="M2441" i="5"/>
  <c r="F2441" i="5" s="1"/>
  <c r="AM2441" i="5" s="1"/>
  <c r="M2371" i="5"/>
  <c r="F2371" i="5" s="1"/>
  <c r="AM2371" i="5" s="1"/>
  <c r="AY2513" i="5"/>
  <c r="M2406" i="5"/>
  <c r="F2406" i="5" s="1"/>
  <c r="M2943" i="5"/>
  <c r="L2943" i="5" s="1"/>
  <c r="AI2537" i="5"/>
  <c r="M2350" i="5"/>
  <c r="F2350" i="5" s="1"/>
  <c r="AI2437" i="5"/>
  <c r="M2238" i="5"/>
  <c r="F2238" i="5" s="1"/>
  <c r="AM2238" i="5" s="1"/>
  <c r="AY2288" i="5"/>
  <c r="AL2288" i="5"/>
  <c r="AI2499" i="5"/>
  <c r="AZ2381" i="5"/>
  <c r="M2182" i="5"/>
  <c r="F2182" i="5" s="1"/>
  <c r="AS876" i="5"/>
  <c r="AI2498" i="5"/>
  <c r="M2329" i="5"/>
  <c r="F2329" i="5" s="1"/>
  <c r="AM2329" i="5" s="1"/>
  <c r="M2196" i="5"/>
  <c r="F2196" i="5" s="1"/>
  <c r="AM2196" i="5" s="1"/>
  <c r="AK2437" i="5"/>
  <c r="M2224" i="5"/>
  <c r="F2224" i="5" s="1"/>
  <c r="AM2224" i="5" s="1"/>
  <c r="M343" i="5"/>
  <c r="F343" i="5" s="1"/>
  <c r="AM343" i="5" s="1"/>
  <c r="M403" i="5"/>
  <c r="F403" i="5" s="1"/>
  <c r="M391" i="5"/>
  <c r="F391" i="5" s="1"/>
  <c r="AM391" i="5" s="1"/>
  <c r="AZ2288" i="5"/>
  <c r="AJ2344" i="5"/>
  <c r="M373" i="5"/>
  <c r="F373" i="5" s="1"/>
  <c r="M2287" i="5"/>
  <c r="F2287" i="5" s="1"/>
  <c r="AM2287" i="5" s="1"/>
  <c r="P3998" i="5"/>
  <c r="F3998" i="5" s="1"/>
  <c r="F4904" i="5"/>
  <c r="AW2528" i="5"/>
  <c r="AX2528" i="5" s="1"/>
  <c r="M4177" i="5"/>
  <c r="F4177" i="5" s="1"/>
  <c r="L4177" i="5" s="1"/>
  <c r="M3003" i="5"/>
  <c r="L3003" i="5" s="1"/>
  <c r="M3216" i="5"/>
  <c r="F3216" i="5" s="1"/>
  <c r="L3216" i="5" s="1"/>
  <c r="M3039" i="5"/>
  <c r="F3039" i="5" s="1"/>
  <c r="L3039" i="5" s="1"/>
  <c r="M3253" i="5"/>
  <c r="F3253" i="5" s="1"/>
  <c r="L3253" i="5" s="1"/>
  <c r="AI1655" i="5"/>
  <c r="AI1242" i="5"/>
  <c r="W5149" i="5"/>
  <c r="AT818" i="5"/>
  <c r="M4397" i="5"/>
  <c r="F4398" i="5" s="1"/>
  <c r="L4397" i="5" s="1"/>
  <c r="M4021" i="5"/>
  <c r="L4021" i="5" s="1"/>
  <c r="M2851" i="5"/>
  <c r="L2851" i="5" s="1"/>
  <c r="M3038" i="5"/>
  <c r="F3038" i="5" s="1"/>
  <c r="L3038" i="5" s="1"/>
  <c r="AI427" i="5"/>
  <c r="M2903" i="5"/>
  <c r="L2903" i="5" s="1"/>
  <c r="M3267" i="5"/>
  <c r="F3267" i="5" s="1"/>
  <c r="L3267" i="5" s="1"/>
  <c r="M3275" i="5"/>
  <c r="F3275" i="5" s="1"/>
  <c r="L3275" i="5" s="1"/>
  <c r="AQ2270" i="5"/>
  <c r="AQ2231" i="5"/>
  <c r="A4868" i="5"/>
  <c r="C4868" i="5" s="1"/>
  <c r="AL2517" i="5"/>
  <c r="AK2046" i="5"/>
  <c r="AK2055" i="5"/>
  <c r="AY2214" i="5"/>
  <c r="AK2440" i="5"/>
  <c r="AZ2210" i="5"/>
  <c r="AU2239" i="5"/>
  <c r="AV2239" i="5" s="1"/>
  <c r="AY2234" i="5"/>
  <c r="AR2476" i="5"/>
  <c r="AS2476" i="5" s="1"/>
  <c r="AK2250" i="5"/>
  <c r="AI2231" i="5"/>
  <c r="AZ2295" i="5"/>
  <c r="AR2183" i="5"/>
  <c r="AS2183" i="5" s="1"/>
  <c r="AQ2394" i="5"/>
  <c r="AQ2271" i="5"/>
  <c r="AQ2215" i="5"/>
  <c r="AS2481" i="5"/>
  <c r="AY2473" i="5"/>
  <c r="AS2338" i="5"/>
  <c r="AI2250" i="5"/>
  <c r="AY2239" i="5"/>
  <c r="AR2266" i="5"/>
  <c r="AS2266" i="5" s="1"/>
  <c r="AJ2230" i="5"/>
  <c r="AK2500" i="5"/>
  <c r="AZ2066" i="5"/>
  <c r="AS2002" i="5"/>
  <c r="AI2184" i="5"/>
  <c r="AZ2026" i="5"/>
  <c r="AY2444" i="5"/>
  <c r="AY2342" i="5"/>
  <c r="AU2183" i="5"/>
  <c r="AV2183" i="5" s="1"/>
  <c r="AS2108" i="5"/>
  <c r="AY2505" i="5"/>
  <c r="AJ2351" i="5"/>
  <c r="AK2234" i="5"/>
  <c r="AQ2290" i="5"/>
  <c r="AJ2286" i="5"/>
  <c r="AY2362" i="5"/>
  <c r="AK2086" i="5"/>
  <c r="AQ2046" i="5"/>
  <c r="AK2210" i="5"/>
  <c r="AI2051" i="5"/>
  <c r="AT2202" i="5"/>
  <c r="AS2278" i="5"/>
  <c r="AJ2066" i="5"/>
  <c r="AR2393" i="5"/>
  <c r="AS2393" i="5" s="1"/>
  <c r="AL2250" i="5"/>
  <c r="AI2388" i="5"/>
  <c r="AY2460" i="5"/>
  <c r="AY2449" i="5"/>
  <c r="AT2380" i="5"/>
  <c r="AS2226" i="5"/>
  <c r="AJ2250" i="5"/>
  <c r="AZ2322" i="5"/>
  <c r="AZ2424" i="5"/>
  <c r="AJ2440" i="5"/>
  <c r="AL2424" i="5"/>
  <c r="AS1533" i="5"/>
  <c r="AM377" i="5"/>
  <c r="AM524" i="5"/>
  <c r="AM496" i="5"/>
  <c r="AM1545" i="5"/>
  <c r="AM2016" i="5"/>
  <c r="AM1764" i="5"/>
  <c r="AM1750" i="5"/>
  <c r="AM2544" i="5"/>
  <c r="AM2481" i="5"/>
  <c r="AQ2373" i="5"/>
  <c r="AQ2343" i="5"/>
  <c r="AI2327" i="5"/>
  <c r="AQ2311" i="5"/>
  <c r="AI2270" i="5"/>
  <c r="AQ2261" i="5"/>
  <c r="AQ2240" i="5"/>
  <c r="AQ2235" i="5"/>
  <c r="AQ2179" i="5"/>
  <c r="AI2179" i="5"/>
  <c r="AQ2101" i="5"/>
  <c r="AQ2067" i="5"/>
  <c r="AQ2015" i="5"/>
  <c r="AQ2000" i="5"/>
  <c r="AQ1994" i="5"/>
  <c r="AQ1991" i="5"/>
  <c r="AQ1979" i="5"/>
  <c r="AI1974" i="5"/>
  <c r="AQ1959" i="5"/>
  <c r="AI1955" i="5"/>
  <c r="AQ1908" i="5"/>
  <c r="AQ1903" i="5"/>
  <c r="AQ1899" i="5"/>
  <c r="AI767" i="5"/>
  <c r="AI747" i="5"/>
  <c r="W5148" i="5"/>
  <c r="AM1671" i="5"/>
  <c r="AQ2322" i="5"/>
  <c r="AJ2322" i="5"/>
  <c r="AT2436" i="5"/>
  <c r="AY2210" i="5"/>
  <c r="AY2326" i="5"/>
  <c r="AL2388" i="5"/>
  <c r="AZ2500" i="5"/>
  <c r="AK2306" i="5"/>
  <c r="AK2404" i="5"/>
  <c r="AZ2460" i="5"/>
  <c r="AL2393" i="5"/>
  <c r="AI2343" i="5"/>
  <c r="AW2449" i="5"/>
  <c r="AX2449" i="5" s="1"/>
  <c r="AY2346" i="5"/>
  <c r="AI2362" i="5"/>
  <c r="AK2476" i="5"/>
  <c r="AI2500" i="5"/>
  <c r="AZ2505" i="5"/>
  <c r="AJ2460" i="5"/>
  <c r="AL2326" i="5"/>
  <c r="AT2416" i="5"/>
  <c r="AI2444" i="5"/>
  <c r="AI2445" i="5"/>
  <c r="AT448" i="5"/>
  <c r="AI2286" i="5"/>
  <c r="AZ2239" i="5"/>
  <c r="AJ2239" i="5"/>
  <c r="AI2266" i="5"/>
  <c r="AI2234" i="5"/>
  <c r="AY2266" i="5"/>
  <c r="AZ2449" i="5"/>
  <c r="AL2230" i="5"/>
  <c r="AL2295" i="5"/>
  <c r="AS2282" i="5"/>
  <c r="AJ2295" i="5"/>
  <c r="AR2322" i="5"/>
  <c r="AS2322" i="5" s="1"/>
  <c r="AZ2346" i="5"/>
  <c r="AW2351" i="5"/>
  <c r="AX2351" i="5" s="1"/>
  <c r="AZ2362" i="5"/>
  <c r="AY2388" i="5"/>
  <c r="AS2472" i="5"/>
  <c r="AJ2480" i="5"/>
  <c r="AW2505" i="5"/>
  <c r="AX2505" i="5" s="1"/>
  <c r="AS2508" i="5"/>
  <c r="AI2086" i="5"/>
  <c r="AQ2030" i="5"/>
  <c r="AY2046" i="5"/>
  <c r="AL2086" i="5"/>
  <c r="AW2183" i="5"/>
  <c r="AX2183" i="5" s="1"/>
  <c r="AW2210" i="5"/>
  <c r="AX2210" i="5" s="1"/>
  <c r="AW2420" i="5"/>
  <c r="AX2420" i="5" s="1"/>
  <c r="AY1938" i="5"/>
  <c r="AJ1943" i="5"/>
  <c r="AQ1990" i="5"/>
  <c r="AY1999" i="5"/>
  <c r="AL2026" i="5"/>
  <c r="AS2038" i="5"/>
  <c r="AL2050" i="5"/>
  <c r="AR2055" i="5"/>
  <c r="AS2055" i="5" s="1"/>
  <c r="AR2295" i="5"/>
  <c r="AT2295" i="5" s="1"/>
  <c r="AU2393" i="5"/>
  <c r="AV2393" i="5" s="1"/>
  <c r="AY1974" i="5"/>
  <c r="AK2214" i="5"/>
  <c r="AM2286" i="5"/>
  <c r="AL1954" i="5"/>
  <c r="AR1970" i="5"/>
  <c r="AZ1994" i="5"/>
  <c r="AY2066" i="5"/>
  <c r="AZ2306" i="5"/>
  <c r="AJ1638" i="5"/>
  <c r="AJ2449" i="5"/>
  <c r="AI2322" i="5"/>
  <c r="AY2295" i="5"/>
  <c r="AI2347" i="5"/>
  <c r="AI2363" i="5"/>
  <c r="AI2481" i="5"/>
  <c r="AJ2505" i="5"/>
  <c r="AY2306" i="5"/>
  <c r="AQ2239" i="5"/>
  <c r="AS2258" i="5"/>
  <c r="AQ2266" i="5"/>
  <c r="AL2270" i="5"/>
  <c r="AT2242" i="5"/>
  <c r="AW2266" i="5"/>
  <c r="AX2266" i="5" s="1"/>
  <c r="AJ2270" i="5"/>
  <c r="AI2450" i="5"/>
  <c r="AY2270" i="5"/>
  <c r="AI2215" i="5"/>
  <c r="AK2290" i="5"/>
  <c r="AS2299" i="5"/>
  <c r="AZ2326" i="5"/>
  <c r="AY2480" i="5"/>
  <c r="AI2346" i="5"/>
  <c r="AZ2351" i="5"/>
  <c r="AL2362" i="5"/>
  <c r="AJ2388" i="5"/>
  <c r="AL2480" i="5"/>
  <c r="AK2505" i="5"/>
  <c r="AI2271" i="5"/>
  <c r="AI2405" i="5"/>
  <c r="AI2030" i="5"/>
  <c r="AQ2010" i="5"/>
  <c r="AI2031" i="5"/>
  <c r="AJ2046" i="5"/>
  <c r="AQ2086" i="5"/>
  <c r="AY2183" i="5"/>
  <c r="AJ2194" i="5"/>
  <c r="AJ2210" i="5"/>
  <c r="AZ2420" i="5"/>
  <c r="AU1999" i="5"/>
  <c r="AV1999" i="5" s="1"/>
  <c r="AZ1990" i="5"/>
  <c r="AJ1999" i="5"/>
  <c r="AR2026" i="5"/>
  <c r="AS2026" i="5" s="1"/>
  <c r="AI2050" i="5"/>
  <c r="AU2055" i="5"/>
  <c r="AV2055" i="5" s="1"/>
  <c r="AI2178" i="5"/>
  <c r="AU2295" i="5"/>
  <c r="AV2295" i="5" s="1"/>
  <c r="AK2444" i="5"/>
  <c r="AI1975" i="5"/>
  <c r="AT1982" i="5"/>
  <c r="AZ2214" i="5"/>
  <c r="AK2286" i="5"/>
  <c r="AJ1954" i="5"/>
  <c r="AK1970" i="5"/>
  <c r="AY1994" i="5"/>
  <c r="AY2174" i="5"/>
  <c r="AT2488" i="5"/>
  <c r="AZ2440" i="5"/>
  <c r="AJ2306" i="5"/>
  <c r="AL2505" i="5"/>
  <c r="AZ2388" i="5"/>
  <c r="AZ2444" i="5"/>
  <c r="AY2393" i="5"/>
  <c r="AM2342" i="5"/>
  <c r="AS2432" i="5"/>
  <c r="AQ2444" i="5"/>
  <c r="AJ2393" i="5"/>
  <c r="AS2334" i="5"/>
  <c r="AK2270" i="5"/>
  <c r="AS2222" i="5"/>
  <c r="AJ2266" i="5"/>
  <c r="AI2230" i="5"/>
  <c r="AL2449" i="5"/>
  <c r="AQ2230" i="5"/>
  <c r="AK2322" i="5"/>
  <c r="AL2322" i="5"/>
  <c r="AJ2290" i="5"/>
  <c r="AK2326" i="5"/>
  <c r="AJ2342" i="5"/>
  <c r="AL2346" i="5"/>
  <c r="AR2351" i="5"/>
  <c r="AT2351" i="5" s="1"/>
  <c r="AK2362" i="5"/>
  <c r="AY2420" i="5"/>
  <c r="AU2476" i="5"/>
  <c r="AV2476" i="5" s="1"/>
  <c r="AK2480" i="5"/>
  <c r="AR2505" i="5"/>
  <c r="AK2174" i="5"/>
  <c r="AZ2270" i="5"/>
  <c r="AZ2404" i="5"/>
  <c r="AQ1914" i="5"/>
  <c r="AI2011" i="5"/>
  <c r="AY2030" i="5"/>
  <c r="AL2046" i="5"/>
  <c r="AZ2086" i="5"/>
  <c r="AJ2183" i="5"/>
  <c r="AZ2194" i="5"/>
  <c r="AL2210" i="5"/>
  <c r="AJ2420" i="5"/>
  <c r="AZ1938" i="5"/>
  <c r="AT1966" i="5"/>
  <c r="AI1990" i="5"/>
  <c r="AK1999" i="5"/>
  <c r="AU2026" i="5"/>
  <c r="AV2026" i="5" s="1"/>
  <c r="AT2042" i="5"/>
  <c r="AY2050" i="5"/>
  <c r="AW2055" i="5"/>
  <c r="AX2055" i="5" s="1"/>
  <c r="AK2178" i="5"/>
  <c r="AT2318" i="5"/>
  <c r="AT2492" i="5"/>
  <c r="AK1918" i="5"/>
  <c r="AQ1974" i="5"/>
  <c r="AJ2214" i="5"/>
  <c r="AZ2286" i="5"/>
  <c r="AU1970" i="5"/>
  <c r="AV1970" i="5" s="1"/>
  <c r="AK1994" i="5"/>
  <c r="AS2018" i="5"/>
  <c r="AJ2174" i="5"/>
  <c r="AW2295" i="5"/>
  <c r="AX2295" i="5" s="1"/>
  <c r="AK2295" i="5"/>
  <c r="AY2351" i="5"/>
  <c r="AY2322" i="5"/>
  <c r="AL2351" i="5"/>
  <c r="AZ2393" i="5"/>
  <c r="AI2287" i="5"/>
  <c r="AJ2500" i="5"/>
  <c r="AT2412" i="5"/>
  <c r="AL2342" i="5"/>
  <c r="AL2444" i="5"/>
  <c r="AK2393" i="5"/>
  <c r="AR2239" i="5"/>
  <c r="AT2239" i="5" s="1"/>
  <c r="AT2262" i="5"/>
  <c r="AL2234" i="5"/>
  <c r="AI2251" i="5"/>
  <c r="AK2266" i="5"/>
  <c r="AK2449" i="5"/>
  <c r="AK2230" i="5"/>
  <c r="AT2298" i="5"/>
  <c r="AL2290" i="5"/>
  <c r="AS2314" i="5"/>
  <c r="AJ2326" i="5"/>
  <c r="AK2342" i="5"/>
  <c r="AK2346" i="5"/>
  <c r="AU2351" i="5"/>
  <c r="AV2351" i="5" s="1"/>
  <c r="AS2376" i="5"/>
  <c r="AK2420" i="5"/>
  <c r="AL2476" i="5"/>
  <c r="AZ2496" i="5"/>
  <c r="AU2505" i="5"/>
  <c r="AV2505" i="5" s="1"/>
  <c r="AZ2290" i="5"/>
  <c r="AL2404" i="5"/>
  <c r="AL1914" i="5"/>
  <c r="AL2010" i="5"/>
  <c r="AL2030" i="5"/>
  <c r="AI2047" i="5"/>
  <c r="AL2183" i="5"/>
  <c r="AY2194" i="5"/>
  <c r="AR2210" i="5"/>
  <c r="AT2210" i="5" s="1"/>
  <c r="AR2420" i="5"/>
  <c r="AT2420" i="5" s="1"/>
  <c r="AL2178" i="5"/>
  <c r="AI1938" i="5"/>
  <c r="AI1944" i="5"/>
  <c r="AK1990" i="5"/>
  <c r="AL1999" i="5"/>
  <c r="AW2026" i="5"/>
  <c r="AX2026" i="5" s="1"/>
  <c r="AJ2055" i="5"/>
  <c r="AI2056" i="5"/>
  <c r="AZ2178" i="5"/>
  <c r="AY1918" i="5"/>
  <c r="AZ1974" i="5"/>
  <c r="AS2078" i="5"/>
  <c r="AI2240" i="5"/>
  <c r="AT2354" i="5"/>
  <c r="AT1926" i="5"/>
  <c r="AJ1970" i="5"/>
  <c r="AI1995" i="5"/>
  <c r="AL2174" i="5"/>
  <c r="AJ2496" i="5"/>
  <c r="AS1641" i="5"/>
  <c r="AY2440" i="5"/>
  <c r="AW2393" i="5"/>
  <c r="AX2393" i="5" s="1"/>
  <c r="AU2322" i="5"/>
  <c r="AV2322" i="5" s="1"/>
  <c r="AL2460" i="5"/>
  <c r="AI2342" i="5"/>
  <c r="AQ2362" i="5"/>
  <c r="AW2239" i="5"/>
  <c r="AX2239" i="5" s="1"/>
  <c r="AI2235" i="5"/>
  <c r="AZ2266" i="5"/>
  <c r="AR2449" i="5"/>
  <c r="AS2449" i="5" s="1"/>
  <c r="AS2452" i="5"/>
  <c r="AS2319" i="5"/>
  <c r="AY2290" i="5"/>
  <c r="AI2352" i="5"/>
  <c r="AL2420" i="5"/>
  <c r="AZ2476" i="5"/>
  <c r="AK2496" i="5"/>
  <c r="AS2186" i="5"/>
  <c r="AJ2404" i="5"/>
  <c r="AK2194" i="5"/>
  <c r="AS2468" i="5"/>
  <c r="AZ1999" i="5"/>
  <c r="AQ2050" i="5"/>
  <c r="AL2055" i="5"/>
  <c r="AW2476" i="5"/>
  <c r="AX2476" i="5" s="1"/>
  <c r="AI2067" i="5"/>
  <c r="AJ2424" i="5"/>
  <c r="Q5149" i="5"/>
  <c r="V5149" i="5" s="1"/>
  <c r="AM1877" i="5"/>
  <c r="AM692" i="5"/>
  <c r="AM523" i="5"/>
  <c r="AM1128" i="5"/>
  <c r="AM1100" i="5"/>
  <c r="AM1530" i="5"/>
  <c r="AM1320" i="5"/>
  <c r="AM2307" i="5"/>
  <c r="AM2251" i="5"/>
  <c r="AM2209" i="5"/>
  <c r="AM2195" i="5"/>
  <c r="AI2277" i="5"/>
  <c r="AI2052" i="5"/>
  <c r="AI1480" i="5"/>
  <c r="AI1440" i="5"/>
  <c r="AT2536" i="5"/>
  <c r="AY2476" i="5"/>
  <c r="AM2335" i="5"/>
  <c r="AM2279" i="5"/>
  <c r="M3006" i="5"/>
  <c r="L3006" i="5" s="1"/>
  <c r="AI2281" i="5"/>
  <c r="AQ2077" i="5"/>
  <c r="AQ2032" i="5"/>
  <c r="AI1929" i="5"/>
  <c r="AQ1904" i="5"/>
  <c r="AQ1864" i="5"/>
  <c r="AQ1853" i="5"/>
  <c r="AI1817" i="5"/>
  <c r="AQ1797" i="5"/>
  <c r="AI1761" i="5"/>
  <c r="AQ1688" i="5"/>
  <c r="AQ1664" i="5"/>
  <c r="AQ1604" i="5"/>
  <c r="AQ1541" i="5"/>
  <c r="AQ1485" i="5"/>
  <c r="AQ1444" i="5"/>
  <c r="AQ1429" i="5"/>
  <c r="AQ1393" i="5"/>
  <c r="AQ1368" i="5"/>
  <c r="AQ1317" i="5"/>
  <c r="AQ1203" i="5"/>
  <c r="AQ1187" i="5"/>
  <c r="AI1151" i="5"/>
  <c r="AQ1131" i="5"/>
  <c r="AQ1075" i="5"/>
  <c r="AQ1034" i="5"/>
  <c r="AQ1019" i="5"/>
  <c r="AQ1014" i="5"/>
  <c r="AQ963" i="5"/>
  <c r="AQ848" i="5"/>
  <c r="AQ722" i="5"/>
  <c r="AQ1420" i="5"/>
  <c r="AQ1683" i="5"/>
  <c r="AQ1761" i="5"/>
  <c r="AQ1817" i="5"/>
  <c r="AJ1476" i="5"/>
  <c r="AS1360" i="5"/>
  <c r="AY1476" i="5"/>
  <c r="AS1488" i="5"/>
  <c r="AK1500" i="5"/>
  <c r="AZ2012" i="5"/>
  <c r="AS1564" i="5"/>
  <c r="AZ1595" i="5"/>
  <c r="AZ1619" i="5"/>
  <c r="AY1683" i="5"/>
  <c r="AZ1864" i="5"/>
  <c r="AR1900" i="5"/>
  <c r="AT1900" i="5" s="1"/>
  <c r="AI2013" i="5"/>
  <c r="AK2036" i="5"/>
  <c r="AI2536" i="5"/>
  <c r="AY1552" i="5"/>
  <c r="AT1356" i="5"/>
  <c r="X16" i="14"/>
  <c r="X20" i="14" s="1"/>
  <c r="X22" i="14" s="1"/>
  <c r="AK2068" i="5"/>
  <c r="AY2068" i="5"/>
  <c r="AL2016" i="5"/>
  <c r="AJ2016" i="5"/>
  <c r="AZ2016" i="5"/>
  <c r="AZ1868" i="5"/>
  <c r="AI1868" i="5"/>
  <c r="AJ1868" i="5"/>
  <c r="AS1860" i="5"/>
  <c r="AT1860" i="5"/>
  <c r="AW1788" i="5"/>
  <c r="AX1788" i="5" s="1"/>
  <c r="AU1788" i="5"/>
  <c r="AV1788" i="5" s="1"/>
  <c r="AJ1788" i="5"/>
  <c r="AL1788" i="5"/>
  <c r="AY1772" i="5"/>
  <c r="AL1772" i="5"/>
  <c r="AJ1772" i="5"/>
  <c r="AY1751" i="5"/>
  <c r="AL1751" i="5"/>
  <c r="AI1556" i="5"/>
  <c r="AZ1556" i="5"/>
  <c r="AK1556" i="5"/>
  <c r="AY1516" i="5"/>
  <c r="AI1516" i="5"/>
  <c r="AK1516" i="5"/>
  <c r="AK1496" i="5"/>
  <c r="AL1496" i="5"/>
  <c r="AJ1460" i="5"/>
  <c r="AI1460" i="5"/>
  <c r="AY1460" i="5"/>
  <c r="AK1460" i="5"/>
  <c r="AZ1460" i="5"/>
  <c r="AL1444" i="5"/>
  <c r="AK1444" i="5"/>
  <c r="AI1444" i="5"/>
  <c r="AZ1444" i="5"/>
  <c r="AY1364" i="5"/>
  <c r="AL1364" i="5"/>
  <c r="AR1364" i="5"/>
  <c r="AT1364" i="5" s="1"/>
  <c r="AJ1364" i="5"/>
  <c r="AZ1364" i="5"/>
  <c r="AU1364" i="5"/>
  <c r="AV1364" i="5" s="1"/>
  <c r="AT1340" i="5"/>
  <c r="AS1340" i="5"/>
  <c r="AL1337" i="5"/>
  <c r="AU1337" i="5"/>
  <c r="AV1337" i="5" s="1"/>
  <c r="AY1337" i="5"/>
  <c r="AI1337" i="5"/>
  <c r="AJ1337" i="5"/>
  <c r="AZ1337" i="5"/>
  <c r="AI1338" i="5"/>
  <c r="AI1332" i="5"/>
  <c r="AJ1332" i="5"/>
  <c r="AK1332" i="5"/>
  <c r="AL1332" i="5"/>
  <c r="AK1328" i="5"/>
  <c r="AY1328" i="5"/>
  <c r="AZ1328" i="5"/>
  <c r="AQ1328" i="5"/>
  <c r="AS1324" i="5"/>
  <c r="AT1324" i="5"/>
  <c r="AK1312" i="5"/>
  <c r="AI1312" i="5"/>
  <c r="AS1309" i="5"/>
  <c r="AT1309" i="5"/>
  <c r="AS1234" i="5"/>
  <c r="AT1234" i="5"/>
  <c r="AJ1218" i="5"/>
  <c r="AI1218" i="5"/>
  <c r="AZ1207" i="5"/>
  <c r="AJ1207" i="5"/>
  <c r="AY1207" i="5"/>
  <c r="AI1178" i="5"/>
  <c r="AI1179" i="5"/>
  <c r="AW1178" i="5"/>
  <c r="AX1178" i="5" s="1"/>
  <c r="AY1178" i="5"/>
  <c r="AU1178" i="5"/>
  <c r="AV1178" i="5" s="1"/>
  <c r="AT1174" i="5"/>
  <c r="AS1174" i="5"/>
  <c r="AS1170" i="5"/>
  <c r="AT1170" i="5"/>
  <c r="AY1162" i="5"/>
  <c r="AZ1162" i="5"/>
  <c r="AI1162" i="5"/>
  <c r="AZ1146" i="5"/>
  <c r="AY1146" i="5"/>
  <c r="AI1146" i="5"/>
  <c r="AJ1126" i="5"/>
  <c r="AK1126" i="5"/>
  <c r="AY1126" i="5"/>
  <c r="AL1126" i="5"/>
  <c r="AY1108" i="5"/>
  <c r="AI1109" i="5"/>
  <c r="AJ1108" i="5"/>
  <c r="AL1106" i="5"/>
  <c r="AJ1106" i="5"/>
  <c r="AY1106" i="5"/>
  <c r="AS1098" i="5"/>
  <c r="AT1098" i="5"/>
  <c r="AZ1095" i="5"/>
  <c r="AK1095" i="5"/>
  <c r="AU1095" i="5"/>
  <c r="AV1095" i="5" s="1"/>
  <c r="AL1095" i="5"/>
  <c r="AQ1095" i="5"/>
  <c r="AJ1090" i="5"/>
  <c r="AL1090" i="5"/>
  <c r="AZ1086" i="5"/>
  <c r="AI1086" i="5"/>
  <c r="AQ1086" i="5"/>
  <c r="AL1070" i="5"/>
  <c r="AQ1070" i="5"/>
  <c r="AI1070" i="5"/>
  <c r="AT1062" i="5"/>
  <c r="AS1062" i="5"/>
  <c r="AQ1050" i="5"/>
  <c r="AZ1050" i="5"/>
  <c r="AJ1050" i="5"/>
  <c r="AK1050" i="5"/>
  <c r="AL1050" i="5"/>
  <c r="AY1050" i="5"/>
  <c r="AQ1039" i="5"/>
  <c r="AZ1039" i="5"/>
  <c r="AZ1030" i="5"/>
  <c r="AI1030" i="5"/>
  <c r="AL994" i="5"/>
  <c r="AQ994" i="5"/>
  <c r="AZ983" i="5"/>
  <c r="AL983" i="5"/>
  <c r="AI984" i="5"/>
  <c r="AW983" i="5"/>
  <c r="AX983" i="5" s="1"/>
  <c r="AR983" i="5"/>
  <c r="AT983" i="5" s="1"/>
  <c r="AJ983" i="5"/>
  <c r="AI983" i="5"/>
  <c r="AY983" i="5"/>
  <c r="AU983" i="5"/>
  <c r="AV983" i="5" s="1"/>
  <c r="AK983" i="5"/>
  <c r="AZ978" i="5"/>
  <c r="AQ978" i="5"/>
  <c r="AY978" i="5"/>
  <c r="AQ974" i="5"/>
  <c r="AI974" i="5"/>
  <c r="AI958" i="5"/>
  <c r="AJ958" i="5"/>
  <c r="AY958" i="5"/>
  <c r="AQ958" i="5"/>
  <c r="AK958" i="5"/>
  <c r="AL954" i="5"/>
  <c r="AW954" i="5"/>
  <c r="AX954" i="5" s="1"/>
  <c r="AR954" i="5"/>
  <c r="AS954" i="5" s="1"/>
  <c r="AK954" i="5"/>
  <c r="AQ954" i="5"/>
  <c r="AY954" i="5"/>
  <c r="AJ954" i="5"/>
  <c r="AS946" i="5"/>
  <c r="AT946" i="5"/>
  <c r="AY938" i="5"/>
  <c r="AI938" i="5"/>
  <c r="AQ938" i="5"/>
  <c r="AJ927" i="5"/>
  <c r="AI928" i="5"/>
  <c r="AI922" i="5"/>
  <c r="AL922" i="5"/>
  <c r="AY922" i="5"/>
  <c r="AK922" i="5"/>
  <c r="AZ918" i="5"/>
  <c r="AK918" i="5"/>
  <c r="AI918" i="5"/>
  <c r="AL918" i="5"/>
  <c r="AY918" i="5"/>
  <c r="AT914" i="5"/>
  <c r="AS914" i="5"/>
  <c r="AS910" i="5"/>
  <c r="AT910" i="5"/>
  <c r="AJ902" i="5"/>
  <c r="AQ902" i="5"/>
  <c r="AL902" i="5"/>
  <c r="AK902" i="5"/>
  <c r="AU898" i="5"/>
  <c r="AV898" i="5" s="1"/>
  <c r="AI898" i="5"/>
  <c r="AR898" i="5"/>
  <c r="AS898" i="5" s="1"/>
  <c r="AS894" i="5"/>
  <c r="AT894" i="5"/>
  <c r="AZ860" i="5"/>
  <c r="AW860" i="5"/>
  <c r="AX860" i="5" s="1"/>
  <c r="AK860" i="5"/>
  <c r="AJ860" i="5"/>
  <c r="AU860" i="5"/>
  <c r="AV860" i="5" s="1"/>
  <c r="AY860" i="5"/>
  <c r="AL860" i="5"/>
  <c r="AI861" i="5"/>
  <c r="AJ851" i="5"/>
  <c r="AZ851" i="5"/>
  <c r="AL851" i="5"/>
  <c r="AI851" i="5"/>
  <c r="AJ847" i="5"/>
  <c r="AK847" i="5"/>
  <c r="AY847" i="5"/>
  <c r="AI847" i="5"/>
  <c r="AZ847" i="5"/>
  <c r="AS839" i="5"/>
  <c r="AT839" i="5"/>
  <c r="AL823" i="5"/>
  <c r="AZ823" i="5"/>
  <c r="AI823" i="5"/>
  <c r="AJ823" i="5"/>
  <c r="AQ803" i="5"/>
  <c r="AI803" i="5"/>
  <c r="AS795" i="5"/>
  <c r="AT795" i="5"/>
  <c r="AY792" i="5"/>
  <c r="AI792" i="5"/>
  <c r="AI787" i="5"/>
  <c r="AQ787" i="5"/>
  <c r="AJ787" i="5"/>
  <c r="AQ783" i="5"/>
  <c r="AK783" i="5"/>
  <c r="AL763" i="5"/>
  <c r="AU763" i="5"/>
  <c r="AV763" i="5" s="1"/>
  <c r="AQ763" i="5"/>
  <c r="AS760" i="5"/>
  <c r="AT760" i="5"/>
  <c r="AT755" i="5"/>
  <c r="AS755" i="5"/>
  <c r="AI737" i="5"/>
  <c r="AR736" i="5"/>
  <c r="AT736" i="5" s="1"/>
  <c r="AK736" i="5"/>
  <c r="AQ736" i="5"/>
  <c r="AJ736" i="5"/>
  <c r="AL736" i="5"/>
  <c r="AY736" i="5"/>
  <c r="AL731" i="5"/>
  <c r="AI731" i="5"/>
  <c r="AK731" i="5"/>
  <c r="AZ731" i="5"/>
  <c r="AY731" i="5"/>
  <c r="AZ727" i="5"/>
  <c r="AY727" i="5"/>
  <c r="AQ727" i="5"/>
  <c r="AL727" i="5"/>
  <c r="AI727" i="5"/>
  <c r="AS723" i="5"/>
  <c r="AT723" i="5"/>
  <c r="AY691" i="5"/>
  <c r="AZ691" i="5"/>
  <c r="T15" i="10"/>
  <c r="T19" i="10" s="1"/>
  <c r="T17" i="10"/>
  <c r="AS1916" i="5"/>
  <c r="AT1916" i="5"/>
  <c r="AI1874" i="5"/>
  <c r="AI1873" i="5"/>
  <c r="AY1873" i="5"/>
  <c r="AY1808" i="5"/>
  <c r="AK1808" i="5"/>
  <c r="AL1808" i="5"/>
  <c r="AK1792" i="5"/>
  <c r="AL1792" i="5"/>
  <c r="AJ1615" i="5"/>
  <c r="AK1615" i="5"/>
  <c r="AK1599" i="5"/>
  <c r="AY1599" i="5"/>
  <c r="AR1532" i="5"/>
  <c r="AL1532" i="5"/>
  <c r="AJ1532" i="5"/>
  <c r="AY1532" i="5"/>
  <c r="AT1452" i="5"/>
  <c r="AS1452" i="5"/>
  <c r="AS1436" i="5"/>
  <c r="AT1436" i="5"/>
  <c r="AJ1424" i="5"/>
  <c r="AL1424" i="5"/>
  <c r="AI1424" i="5"/>
  <c r="AK1404" i="5"/>
  <c r="AQ1404" i="5"/>
  <c r="AY1404" i="5"/>
  <c r="AJ1404" i="5"/>
  <c r="AZ1404" i="5"/>
  <c r="AI1404" i="5"/>
  <c r="AS1380" i="5"/>
  <c r="AT1380" i="5"/>
  <c r="AI2512" i="5"/>
  <c r="F4750" i="5"/>
  <c r="AZ1792" i="5"/>
  <c r="AR2511" i="5"/>
  <c r="AS2511" i="5" s="1"/>
  <c r="AK1532" i="5"/>
  <c r="AZ1980" i="5"/>
  <c r="AI1996" i="5"/>
  <c r="AQ1985" i="5"/>
  <c r="AQ1996" i="5"/>
  <c r="AI1848" i="5"/>
  <c r="AY2370" i="5"/>
  <c r="M1617" i="5"/>
  <c r="F1617" i="5" s="1"/>
  <c r="AM1618" i="5" s="1"/>
  <c r="AQ1162" i="5"/>
  <c r="AQ1202" i="5"/>
  <c r="AQ1424" i="5"/>
  <c r="AQ1532" i="5"/>
  <c r="AJ1034" i="5"/>
  <c r="AI978" i="5"/>
  <c r="AY974" i="5"/>
  <c r="AY1030" i="5"/>
  <c r="AI1040" i="5"/>
  <c r="AI1096" i="5"/>
  <c r="AY1039" i="5"/>
  <c r="AT1258" i="5"/>
  <c r="AI1152" i="5"/>
  <c r="AZ1393" i="5"/>
  <c r="AW1108" i="5"/>
  <c r="AX1108" i="5" s="1"/>
  <c r="AY1151" i="5"/>
  <c r="AL1178" i="5"/>
  <c r="AI1198" i="5"/>
  <c r="AU1207" i="5"/>
  <c r="AV1207" i="5" s="1"/>
  <c r="AK1218" i="5"/>
  <c r="AU1227" i="5"/>
  <c r="AV1227" i="5" s="1"/>
  <c r="AY1238" i="5"/>
  <c r="AK1251" i="5"/>
  <c r="AZ1261" i="5"/>
  <c r="AY1312" i="5"/>
  <c r="AL1348" i="5"/>
  <c r="AS1416" i="5"/>
  <c r="AJ1496" i="5"/>
  <c r="AJ1444" i="5"/>
  <c r="AJ1761" i="5"/>
  <c r="AZ1516" i="5"/>
  <c r="AU1624" i="5"/>
  <c r="AV1624" i="5" s="1"/>
  <c r="AY1659" i="5"/>
  <c r="AY1868" i="5"/>
  <c r="M617" i="5"/>
  <c r="F617" i="5" s="1"/>
  <c r="AW2196" i="5"/>
  <c r="AX2196" i="5" s="1"/>
  <c r="M582" i="5"/>
  <c r="F582" i="5" s="1"/>
  <c r="AK927" i="5"/>
  <c r="AS1118" i="5"/>
  <c r="AI1533" i="5"/>
  <c r="AL1599" i="5"/>
  <c r="AT1764" i="5"/>
  <c r="AS1022" i="5"/>
  <c r="AT1042" i="5"/>
  <c r="K22" i="11"/>
  <c r="D22" i="11"/>
  <c r="G22" i="11"/>
  <c r="L22" i="11"/>
  <c r="I22" i="11"/>
  <c r="E22" i="11"/>
  <c r="M22" i="11"/>
  <c r="F22" i="11"/>
  <c r="N22" i="11"/>
  <c r="AU2041" i="5"/>
  <c r="AV2041" i="5" s="1"/>
  <c r="AJ2041" i="5"/>
  <c r="AW2041" i="5"/>
  <c r="AX2041" i="5" s="1"/>
  <c r="AL1956" i="5"/>
  <c r="AW1956" i="5"/>
  <c r="AX1956" i="5" s="1"/>
  <c r="AK1884" i="5"/>
  <c r="AY1884" i="5"/>
  <c r="AJ1884" i="5"/>
  <c r="AW1817" i="5"/>
  <c r="AX1817" i="5" s="1"/>
  <c r="AK1817" i="5"/>
  <c r="AZ1817" i="5"/>
  <c r="AJ1817" i="5"/>
  <c r="AU1817" i="5"/>
  <c r="AV1817" i="5" s="1"/>
  <c r="AT1611" i="5"/>
  <c r="AS1611" i="5"/>
  <c r="AS1544" i="5"/>
  <c r="AT1544" i="5"/>
  <c r="AL1536" i="5"/>
  <c r="AJ1536" i="5"/>
  <c r="AI1505" i="5"/>
  <c r="AY1505" i="5"/>
  <c r="AI1477" i="5"/>
  <c r="AK1476" i="5"/>
  <c r="AK1384" i="5"/>
  <c r="AJ1384" i="5"/>
  <c r="AL1384" i="5"/>
  <c r="AY1384" i="5"/>
  <c r="AZ1384" i="5"/>
  <c r="AT1376" i="5"/>
  <c r="AS1376" i="5"/>
  <c r="AM1599" i="5"/>
  <c r="AU1985" i="5"/>
  <c r="AV1985" i="5" s="1"/>
  <c r="AS1968" i="5"/>
  <c r="AS1972" i="5"/>
  <c r="AK2370" i="5"/>
  <c r="M1547" i="5"/>
  <c r="F1547" i="5" s="1"/>
  <c r="AM1548" i="5" s="1"/>
  <c r="AM1579" i="5"/>
  <c r="AQ1126" i="5"/>
  <c r="AQ1238" i="5"/>
  <c r="AQ1348" i="5"/>
  <c r="AQ1384" i="5"/>
  <c r="AQ1460" i="5"/>
  <c r="AQ1500" i="5"/>
  <c r="AQ1828" i="5"/>
  <c r="AZ1090" i="5"/>
  <c r="AK1034" i="5"/>
  <c r="AR1039" i="5"/>
  <c r="AT1039" i="5" s="1"/>
  <c r="AR1095" i="5"/>
  <c r="AT1095" i="5" s="1"/>
  <c r="AU1039" i="5"/>
  <c r="AV1039" i="5" s="1"/>
  <c r="AY1242" i="5"/>
  <c r="AT1468" i="5"/>
  <c r="AI1384" i="5"/>
  <c r="AR1108" i="5"/>
  <c r="AT1108" i="5" s="1"/>
  <c r="AR1151" i="5"/>
  <c r="AT1151" i="5" s="1"/>
  <c r="AR1178" i="5"/>
  <c r="AJ1198" i="5"/>
  <c r="AI1207" i="5"/>
  <c r="AW1227" i="5"/>
  <c r="AX1227" i="5" s="1"/>
  <c r="AT1230" i="5"/>
  <c r="AW1238" i="5"/>
  <c r="AX1238" i="5" s="1"/>
  <c r="AZ1251" i="5"/>
  <c r="AK1261" i="5"/>
  <c r="AJ1312" i="5"/>
  <c r="AK1364" i="5"/>
  <c r="AZ1424" i="5"/>
  <c r="AW1476" i="5"/>
  <c r="AX1476" i="5" s="1"/>
  <c r="AI1496" i="5"/>
  <c r="AY1444" i="5"/>
  <c r="AZ1505" i="5"/>
  <c r="AI1532" i="5"/>
  <c r="AJ1579" i="5"/>
  <c r="AS1607" i="5"/>
  <c r="AK1624" i="5"/>
  <c r="AS1736" i="5"/>
  <c r="AY1817" i="5"/>
  <c r="AU1873" i="5"/>
  <c r="AV1873" i="5" s="1"/>
  <c r="AL2196" i="5"/>
  <c r="M736" i="5"/>
  <c r="F736" i="5" s="1"/>
  <c r="AQ983" i="5"/>
  <c r="AQ1030" i="5"/>
  <c r="AQ1306" i="5"/>
  <c r="AL1202" i="5"/>
  <c r="AL1030" i="5"/>
  <c r="AL1404" i="5"/>
  <c r="AT1058" i="5"/>
  <c r="AT1114" i="5"/>
  <c r="AI1393" i="5"/>
  <c r="AS2192" i="5"/>
  <c r="AT2192" i="5"/>
  <c r="AT2028" i="5"/>
  <c r="AS2028" i="5"/>
  <c r="AJ1924" i="5"/>
  <c r="AZ1924" i="5"/>
  <c r="AI1812" i="5"/>
  <c r="AK1812" i="5"/>
  <c r="AJ1812" i="5"/>
  <c r="AL1812" i="5"/>
  <c r="AZ1761" i="5"/>
  <c r="AW1761" i="5"/>
  <c r="AX1761" i="5" s="1"/>
  <c r="AU1761" i="5"/>
  <c r="AV1761" i="5" s="1"/>
  <c r="AI1762" i="5"/>
  <c r="AL1761" i="5"/>
  <c r="AY1679" i="5"/>
  <c r="AJ1679" i="5"/>
  <c r="AK1659" i="5"/>
  <c r="AI1659" i="5"/>
  <c r="AT1643" i="5"/>
  <c r="AS1643" i="5"/>
  <c r="AU1595" i="5"/>
  <c r="AV1595" i="5" s="1"/>
  <c r="AL1595" i="5"/>
  <c r="AW1595" i="5"/>
  <c r="AX1595" i="5" s="1"/>
  <c r="AI1596" i="5"/>
  <c r="AJ1595" i="5"/>
  <c r="AZ1552" i="5"/>
  <c r="AI1552" i="5"/>
  <c r="AK1552" i="5"/>
  <c r="AS1528" i="5"/>
  <c r="AT1528" i="5"/>
  <c r="AL1440" i="5"/>
  <c r="AY1440" i="5"/>
  <c r="AK1440" i="5"/>
  <c r="AW1420" i="5"/>
  <c r="AX1420" i="5" s="1"/>
  <c r="AY1420" i="5"/>
  <c r="AZ1420" i="5"/>
  <c r="AI1420" i="5"/>
  <c r="AK1420" i="5"/>
  <c r="AU1420" i="5"/>
  <c r="AV1420" i="5" s="1"/>
  <c r="AJ1420" i="5"/>
  <c r="AY2462" i="5"/>
  <c r="AZ1679" i="5"/>
  <c r="AJ1306" i="5"/>
  <c r="AW2511" i="5"/>
  <c r="AX2511" i="5" s="1"/>
  <c r="AL1579" i="5"/>
  <c r="AK1679" i="5"/>
  <c r="AI1624" i="5"/>
  <c r="AI1845" i="5"/>
  <c r="AI1980" i="5"/>
  <c r="AR1985" i="5"/>
  <c r="AT1985" i="5" s="1"/>
  <c r="AT1988" i="5"/>
  <c r="AQ1207" i="5"/>
  <c r="AQ1312" i="5"/>
  <c r="AQ1388" i="5"/>
  <c r="AQ1505" i="5"/>
  <c r="AQ1536" i="5"/>
  <c r="AQ1579" i="5"/>
  <c r="AQ1772" i="5"/>
  <c r="AQ1868" i="5"/>
  <c r="AJ1030" i="5"/>
  <c r="AJ974" i="5"/>
  <c r="AL1034" i="5"/>
  <c r="AK1070" i="5"/>
  <c r="AK1207" i="5"/>
  <c r="AI1328" i="5"/>
  <c r="AZ1106" i="5"/>
  <c r="AL1108" i="5"/>
  <c r="AZ1151" i="5"/>
  <c r="AK1178" i="5"/>
  <c r="AI1203" i="5"/>
  <c r="AR1207" i="5"/>
  <c r="AS1207" i="5" s="1"/>
  <c r="AY1227" i="5"/>
  <c r="AJ1238" i="5"/>
  <c r="AI1252" i="5"/>
  <c r="AJ1261" i="5"/>
  <c r="AJ1328" i="5"/>
  <c r="AW1364" i="5"/>
  <c r="AX1364" i="5" s="1"/>
  <c r="AY1424" i="5"/>
  <c r="AJ1480" i="5"/>
  <c r="AZ1496" i="5"/>
  <c r="AI1506" i="5"/>
  <c r="AW1532" i="5"/>
  <c r="AX1532" i="5" s="1"/>
  <c r="AL1556" i="5"/>
  <c r="AY1579" i="5"/>
  <c r="AS1671" i="5"/>
  <c r="AY1761" i="5"/>
  <c r="AI1818" i="5"/>
  <c r="AR1873" i="5"/>
  <c r="AS1873" i="5" s="1"/>
  <c r="AI1924" i="5"/>
  <c r="AI2068" i="5"/>
  <c r="AQ1090" i="5"/>
  <c r="AQ1337" i="5"/>
  <c r="AS1667" i="5"/>
  <c r="AU954" i="5"/>
  <c r="AV954" i="5" s="1"/>
  <c r="AJ1440" i="5"/>
  <c r="AZ1532" i="5"/>
  <c r="AT1690" i="5"/>
  <c r="AT1254" i="5"/>
  <c r="AZ954" i="5"/>
  <c r="AK1162" i="5"/>
  <c r="AT1002" i="5"/>
  <c r="AK1146" i="5"/>
  <c r="Q17" i="10"/>
  <c r="Q15" i="10"/>
  <c r="M1449" i="5"/>
  <c r="F1449" i="5" s="1"/>
  <c r="AM1450" i="5" s="1"/>
  <c r="M1428" i="5"/>
  <c r="F1428" i="5" s="1"/>
  <c r="AM1429" i="5" s="1"/>
  <c r="M1603" i="5"/>
  <c r="F1603" i="5" s="1"/>
  <c r="AL2522" i="5"/>
  <c r="AY2522" i="5"/>
  <c r="AZ1920" i="5"/>
  <c r="AK1920" i="5"/>
  <c r="AS1912" i="5"/>
  <c r="AT1912" i="5"/>
  <c r="AY1900" i="5"/>
  <c r="AW1900" i="5"/>
  <c r="AX1900" i="5" s="1"/>
  <c r="AK1864" i="5"/>
  <c r="AJ1864" i="5"/>
  <c r="AS1804" i="5"/>
  <c r="AT1804" i="5"/>
  <c r="AY1740" i="5"/>
  <c r="AJ1740" i="5"/>
  <c r="AM1740" i="5"/>
  <c r="AI1683" i="5"/>
  <c r="AL1683" i="5"/>
  <c r="AK1683" i="5"/>
  <c r="AY1655" i="5"/>
  <c r="AL1655" i="5"/>
  <c r="AJ1655" i="5"/>
  <c r="AK1655" i="5"/>
  <c r="AJ1635" i="5"/>
  <c r="AK1635" i="5"/>
  <c r="AW1561" i="5"/>
  <c r="AX1561" i="5" s="1"/>
  <c r="AR1561" i="5"/>
  <c r="AS1561" i="5" s="1"/>
  <c r="AI1561" i="5"/>
  <c r="AU1561" i="5"/>
  <c r="AV1561" i="5" s="1"/>
  <c r="AJ1561" i="5"/>
  <c r="AI1562" i="5"/>
  <c r="AZ1561" i="5"/>
  <c r="AL1480" i="5"/>
  <c r="AK1480" i="5"/>
  <c r="AZ1368" i="5"/>
  <c r="AJ1368" i="5"/>
  <c r="AL1368" i="5"/>
  <c r="AK1368" i="5"/>
  <c r="AY1368" i="5"/>
  <c r="AI1368" i="5"/>
  <c r="AZ1348" i="5"/>
  <c r="AI1348" i="5"/>
  <c r="AY1348" i="5"/>
  <c r="AT1627" i="5"/>
  <c r="AJ2511" i="5"/>
  <c r="AL1980" i="5"/>
  <c r="AJ1996" i="5"/>
  <c r="AI1579" i="5"/>
  <c r="AL1306" i="5"/>
  <c r="AI1619" i="5"/>
  <c r="AJ2462" i="5"/>
  <c r="AZ2511" i="5"/>
  <c r="AK1579" i="5"/>
  <c r="AL1848" i="5"/>
  <c r="AZ1844" i="5"/>
  <c r="AQ1980" i="5"/>
  <c r="AY1985" i="5"/>
  <c r="AQ1976" i="5"/>
  <c r="AQ1178" i="5"/>
  <c r="AQ1242" i="5"/>
  <c r="AQ1476" i="5"/>
  <c r="AQ1615" i="5"/>
  <c r="AQ1808" i="5"/>
  <c r="AQ1929" i="5"/>
  <c r="AL978" i="5"/>
  <c r="AI1034" i="5"/>
  <c r="AZ1070" i="5"/>
  <c r="AT1078" i="5"/>
  <c r="AT1210" i="5"/>
  <c r="AI1476" i="5"/>
  <c r="AI1106" i="5"/>
  <c r="AS1138" i="5"/>
  <c r="AL1151" i="5"/>
  <c r="AT1190" i="5"/>
  <c r="AK1202" i="5"/>
  <c r="AW1207" i="5"/>
  <c r="AX1207" i="5" s="1"/>
  <c r="AI1227" i="5"/>
  <c r="AI1239" i="5"/>
  <c r="AL1242" i="5"/>
  <c r="AU1251" i="5"/>
  <c r="AV1251" i="5" s="1"/>
  <c r="AL1328" i="5"/>
  <c r="AS1432" i="5"/>
  <c r="AY1480" i="5"/>
  <c r="AJ1500" i="5"/>
  <c r="AS1472" i="5"/>
  <c r="AU1505" i="5"/>
  <c r="AV1505" i="5" s="1"/>
  <c r="AK1536" i="5"/>
  <c r="AJ1556" i="5"/>
  <c r="AS1587" i="5"/>
  <c r="AI1615" i="5"/>
  <c r="AY1635" i="5"/>
  <c r="AZ1740" i="5"/>
  <c r="AK1761" i="5"/>
  <c r="AT1820" i="5"/>
  <c r="AW1873" i="5"/>
  <c r="AX1873" i="5" s="1"/>
  <c r="AI1957" i="5"/>
  <c r="M1519" i="5"/>
  <c r="F1519" i="5" s="1"/>
  <c r="AM1520" i="5" s="1"/>
  <c r="AU2068" i="5"/>
  <c r="AV2068" i="5" s="1"/>
  <c r="AT2244" i="5"/>
  <c r="AJ1552" i="5"/>
  <c r="AZ958" i="5"/>
  <c r="AZ1440" i="5"/>
  <c r="AL1460" i="5"/>
  <c r="AL1449" i="5"/>
  <c r="AY902" i="5"/>
  <c r="AT1134" i="5"/>
  <c r="AI1365" i="5"/>
  <c r="AK1940" i="5"/>
  <c r="AZ1940" i="5"/>
  <c r="AZ1906" i="5"/>
  <c r="AY1906" i="5"/>
  <c r="AS1836" i="5"/>
  <c r="AT1836" i="5"/>
  <c r="AL1624" i="5"/>
  <c r="AY1624" i="5"/>
  <c r="AR1624" i="5"/>
  <c r="AS1624" i="5" s="1"/>
  <c r="AS1591" i="5"/>
  <c r="AT1591" i="5"/>
  <c r="AK1449" i="5"/>
  <c r="AW1449" i="5"/>
  <c r="AX1449" i="5" s="1"/>
  <c r="AY1449" i="5"/>
  <c r="AU1449" i="5"/>
  <c r="AV1449" i="5" s="1"/>
  <c r="AI1449" i="5"/>
  <c r="AZ1449" i="5"/>
  <c r="AR1449" i="5"/>
  <c r="AS1449" i="5" s="1"/>
  <c r="AW1393" i="5"/>
  <c r="AX1393" i="5" s="1"/>
  <c r="AK1393" i="5"/>
  <c r="AU1393" i="5"/>
  <c r="AV1393" i="5" s="1"/>
  <c r="AI1394" i="5"/>
  <c r="AL1393" i="5"/>
  <c r="AY1393" i="5"/>
  <c r="AI2364" i="5"/>
  <c r="AI1625" i="5"/>
  <c r="AL1615" i="5"/>
  <c r="AR1844" i="5"/>
  <c r="AS1844" i="5" s="1"/>
  <c r="AY1848" i="5"/>
  <c r="AJ1848" i="5"/>
  <c r="AK1985" i="5"/>
  <c r="AL1976" i="5"/>
  <c r="AQ1364" i="5"/>
  <c r="AQ1440" i="5"/>
  <c r="AQ1679" i="5"/>
  <c r="AQ1884" i="5"/>
  <c r="AM1238" i="5"/>
  <c r="AK978" i="5"/>
  <c r="AY1034" i="5"/>
  <c r="AK1086" i="5"/>
  <c r="AT970" i="5"/>
  <c r="AI1364" i="5"/>
  <c r="AJ1227" i="5"/>
  <c r="AK1106" i="5"/>
  <c r="AL1162" i="5"/>
  <c r="AZ1202" i="5"/>
  <c r="AL1207" i="5"/>
  <c r="AZ1227" i="5"/>
  <c r="AR1238" i="5"/>
  <c r="AS1238" i="5" s="1"/>
  <c r="AZ1242" i="5"/>
  <c r="AI1251" i="5"/>
  <c r="AK1306" i="5"/>
  <c r="AZ1332" i="5"/>
  <c r="AR1393" i="5"/>
  <c r="AT1393" i="5" s="1"/>
  <c r="AU1476" i="5"/>
  <c r="AV1476" i="5" s="1"/>
  <c r="AZ1480" i="5"/>
  <c r="AL1500" i="5"/>
  <c r="AT1743" i="5"/>
  <c r="AL1505" i="5"/>
  <c r="AI1536" i="5"/>
  <c r="AK1561" i="5"/>
  <c r="AI1595" i="5"/>
  <c r="AZ1615" i="5"/>
  <c r="AZ1635" i="5"/>
  <c r="AL1679" i="5"/>
  <c r="AI1740" i="5"/>
  <c r="AK1772" i="5"/>
  <c r="AZ1828" i="5"/>
  <c r="AI1884" i="5"/>
  <c r="AZ1956" i="5"/>
  <c r="M1470" i="5"/>
  <c r="F1470" i="5" s="1"/>
  <c r="AM1471" i="5" s="1"/>
  <c r="AW2068" i="5"/>
  <c r="AX2068" i="5" s="1"/>
  <c r="AJ2292" i="5"/>
  <c r="AL1740" i="5"/>
  <c r="AL847" i="5"/>
  <c r="AL1039" i="5"/>
  <c r="AZ1751" i="5"/>
  <c r="AZ1126" i="5"/>
  <c r="AL1516" i="5"/>
  <c r="AJ1906" i="5"/>
  <c r="AY1556" i="5"/>
  <c r="AI1306" i="5"/>
  <c r="M624" i="5"/>
  <c r="F624" i="5" s="1"/>
  <c r="M512" i="5"/>
  <c r="F512" i="5" s="1"/>
  <c r="M806" i="5"/>
  <c r="F806" i="5" s="1"/>
  <c r="M771" i="5"/>
  <c r="F771" i="5" s="1"/>
  <c r="AI2220" i="5"/>
  <c r="AY2220" i="5"/>
  <c r="AY2168" i="5"/>
  <c r="AZ2168" i="5"/>
  <c r="AI2102" i="5"/>
  <c r="AJ2102" i="5"/>
  <c r="AK1904" i="5"/>
  <c r="AJ1904" i="5"/>
  <c r="AZ1904" i="5"/>
  <c r="AL1904" i="5"/>
  <c r="AI1756" i="5"/>
  <c r="AL1756" i="5"/>
  <c r="AZ1756" i="5"/>
  <c r="AS1571" i="5"/>
  <c r="AT1571" i="5"/>
  <c r="AT1524" i="5"/>
  <c r="AS1524" i="5"/>
  <c r="AS1412" i="5"/>
  <c r="AT1412" i="5"/>
  <c r="AI1388" i="5"/>
  <c r="AJ1388" i="5"/>
  <c r="AY1388" i="5"/>
  <c r="AZ1388" i="5"/>
  <c r="AL1388" i="5"/>
  <c r="AQ1751" i="5"/>
  <c r="AQ1619" i="5"/>
  <c r="AW1624" i="5"/>
  <c r="AX1624" i="5" s="1"/>
  <c r="AL1844" i="5"/>
  <c r="AL1996" i="5"/>
  <c r="AJ1985" i="5"/>
  <c r="AK1976" i="5"/>
  <c r="AK1844" i="5"/>
  <c r="AQ1146" i="5"/>
  <c r="AQ1218" i="5"/>
  <c r="AQ1251" i="5"/>
  <c r="AQ1480" i="5"/>
  <c r="AQ1516" i="5"/>
  <c r="AQ1552" i="5"/>
  <c r="AQ1595" i="5"/>
  <c r="AQ1624" i="5"/>
  <c r="AQ1756" i="5"/>
  <c r="AQ1788" i="5"/>
  <c r="AQ1812" i="5"/>
  <c r="AJ1095" i="5"/>
  <c r="AZ1034" i="5"/>
  <c r="AY1086" i="5"/>
  <c r="AJ1070" i="5"/>
  <c r="AK1238" i="5"/>
  <c r="AJ1242" i="5"/>
  <c r="AK1108" i="5"/>
  <c r="AL1146" i="5"/>
  <c r="AJ1162" i="5"/>
  <c r="AI1202" i="5"/>
  <c r="AZ1218" i="5"/>
  <c r="AR1227" i="5"/>
  <c r="AS1227" i="5" s="1"/>
  <c r="AK1242" i="5"/>
  <c r="AJ1251" i="5"/>
  <c r="AK1337" i="5"/>
  <c r="AJ1393" i="5"/>
  <c r="AR1476" i="5"/>
  <c r="AS1476" i="5" s="1"/>
  <c r="AI1500" i="5"/>
  <c r="AI1960" i="5"/>
  <c r="AW1505" i="5"/>
  <c r="AX1505" i="5" s="1"/>
  <c r="AZ1536" i="5"/>
  <c r="AY1561" i="5"/>
  <c r="AK1595" i="5"/>
  <c r="AJ1619" i="5"/>
  <c r="AZ1655" i="5"/>
  <c r="AI1679" i="5"/>
  <c r="AK1740" i="5"/>
  <c r="AI1772" i="5"/>
  <c r="AY1864" i="5"/>
  <c r="AT1896" i="5"/>
  <c r="AJ1956" i="5"/>
  <c r="AL2486" i="5"/>
  <c r="AL2526" i="5"/>
  <c r="AI1788" i="5"/>
  <c r="AK851" i="5"/>
  <c r="AW1039" i="5"/>
  <c r="AX1039" i="5" s="1"/>
  <c r="AI1090" i="5"/>
  <c r="AI1421" i="5"/>
  <c r="AR1761" i="5"/>
  <c r="AS1761" i="5" s="1"/>
  <c r="AT1840" i="5"/>
  <c r="AI1126" i="5"/>
  <c r="AJ1348" i="5"/>
  <c r="AT1320" i="5"/>
  <c r="G24" i="11"/>
  <c r="R30" i="15"/>
  <c r="R22" i="11"/>
  <c r="I20" i="11"/>
  <c r="I24" i="11" s="1"/>
  <c r="AC16" i="14"/>
  <c r="AC20" i="14" s="1"/>
  <c r="E57" i="3"/>
  <c r="AM1261" i="5"/>
  <c r="S15" i="10"/>
  <c r="S19" i="10" s="1"/>
  <c r="L20" i="11"/>
  <c r="L24" i="11" s="1"/>
  <c r="W19" i="10"/>
  <c r="J24" i="11"/>
  <c r="Z16" i="14"/>
  <c r="Z20" i="14" s="1"/>
  <c r="Z22" i="14" s="1"/>
  <c r="Q104" i="15"/>
  <c r="M2919" i="5"/>
  <c r="L2919" i="5" s="1"/>
  <c r="AM425" i="5"/>
  <c r="AM311" i="5"/>
  <c r="AM822" i="5"/>
  <c r="AM1848" i="5"/>
  <c r="M2998" i="5"/>
  <c r="L2998" i="5" s="1"/>
  <c r="E24" i="11"/>
  <c r="X19" i="10"/>
  <c r="M1631" i="5"/>
  <c r="F1631" i="5" s="1"/>
  <c r="AM1632" i="5" s="1"/>
  <c r="M1596" i="5"/>
  <c r="F1596" i="5" s="1"/>
  <c r="AM1597" i="5" s="1"/>
  <c r="M1638" i="5"/>
  <c r="F1638" i="5" s="1"/>
  <c r="AM1639" i="5" s="1"/>
  <c r="AW2546" i="5"/>
  <c r="AX2546" i="5" s="1"/>
  <c r="M680" i="5"/>
  <c r="F680" i="5" s="1"/>
  <c r="M1669" i="5"/>
  <c r="F1669" i="5" s="1"/>
  <c r="AM1670" i="5" s="1"/>
  <c r="M1477" i="5"/>
  <c r="F1477" i="5" s="1"/>
  <c r="P3901" i="5"/>
  <c r="P3902" i="5" s="1"/>
  <c r="F3902" i="5" s="1"/>
  <c r="AJ2546" i="5"/>
  <c r="M603" i="5"/>
  <c r="F603" i="5" s="1"/>
  <c r="M1379" i="5"/>
  <c r="F1379" i="5" s="1"/>
  <c r="AM1380" i="5" s="1"/>
  <c r="M1589" i="5"/>
  <c r="F1589" i="5" s="1"/>
  <c r="AM1590" i="5" s="1"/>
  <c r="M610" i="5"/>
  <c r="F610" i="5" s="1"/>
  <c r="M498" i="5"/>
  <c r="F498" i="5" s="1"/>
  <c r="AM498" i="5" s="1"/>
  <c r="C4871" i="5"/>
  <c r="F4688" i="5"/>
  <c r="M1645" i="5"/>
  <c r="F1645" i="5" s="1"/>
  <c r="AM1646" i="5" s="1"/>
  <c r="M1498" i="5"/>
  <c r="F1498" i="5" s="1"/>
  <c r="AM1499" i="5" s="1"/>
  <c r="AI2380" i="5"/>
  <c r="AY478" i="5"/>
  <c r="M837" i="5"/>
  <c r="F837" i="5" s="1"/>
  <c r="AU2522" i="5"/>
  <c r="AV2522" i="5" s="1"/>
  <c r="M2993" i="5"/>
  <c r="L2993" i="5" s="1"/>
  <c r="M3027" i="5"/>
  <c r="F3027" i="5" s="1"/>
  <c r="L3027" i="5" s="1"/>
  <c r="T212" i="5"/>
  <c r="T227" i="5" s="1"/>
  <c r="T228" i="5" s="1"/>
  <c r="F232" i="5" s="1"/>
  <c r="AT2422" i="5"/>
  <c r="M1323" i="5"/>
  <c r="F1323" i="5" s="1"/>
  <c r="AM1324" i="5" s="1"/>
  <c r="M1491" i="5"/>
  <c r="F1491" i="5" s="1"/>
  <c r="AM1492" i="5" s="1"/>
  <c r="AZ2535" i="5"/>
  <c r="M860" i="5"/>
  <c r="F860" i="5" s="1"/>
  <c r="M533" i="5"/>
  <c r="F533" i="5" s="1"/>
  <c r="AQ2471" i="5"/>
  <c r="AQ2430" i="5"/>
  <c r="AQ2374" i="5"/>
  <c r="AQ2312" i="5"/>
  <c r="AQ2308" i="5"/>
  <c r="AQ2256" i="5"/>
  <c r="AQ2236" i="5"/>
  <c r="AQ2205" i="5"/>
  <c r="AQ2052" i="5"/>
  <c r="AQ1965" i="5"/>
  <c r="AQ1909" i="5"/>
  <c r="G221" i="5"/>
  <c r="H221" i="5" s="1"/>
  <c r="M2345" i="5"/>
  <c r="F2345" i="5" s="1"/>
  <c r="M2872" i="5"/>
  <c r="L2872" i="5" s="1"/>
  <c r="AS2512" i="5"/>
  <c r="F4691" i="5"/>
  <c r="X3527" i="5"/>
  <c r="X3528" i="5" s="1"/>
  <c r="X3529" i="5" s="1"/>
  <c r="F3540" i="5" s="1"/>
  <c r="AK2529" i="5"/>
  <c r="M2373" i="5"/>
  <c r="F2373" i="5" s="1"/>
  <c r="AM2374" i="5" s="1"/>
  <c r="M2401" i="5"/>
  <c r="F2401" i="5" s="1"/>
  <c r="AM2402" i="5" s="1"/>
  <c r="M2387" i="5"/>
  <c r="F2387" i="5" s="1"/>
  <c r="AM2388" i="5" s="1"/>
  <c r="M2422" i="5"/>
  <c r="F2422" i="5" s="1"/>
  <c r="AM2423" i="5" s="1"/>
  <c r="M2226" i="5"/>
  <c r="F2226" i="5" s="1"/>
  <c r="AM2227" i="5" s="1"/>
  <c r="M2450" i="5"/>
  <c r="F2450" i="5" s="1"/>
  <c r="AM2451" i="5" s="1"/>
  <c r="AW2529" i="5"/>
  <c r="AX2529" i="5" s="1"/>
  <c r="M2205" i="5"/>
  <c r="F2205" i="5" s="1"/>
  <c r="AM2206" i="5" s="1"/>
  <c r="M2289" i="5"/>
  <c r="F2289" i="5" s="1"/>
  <c r="AM2290" i="5" s="1"/>
  <c r="M2548" i="5"/>
  <c r="F2548" i="5" s="1"/>
  <c r="M2394" i="5"/>
  <c r="F2394" i="5" s="1"/>
  <c r="AM2395" i="5" s="1"/>
  <c r="AU2516" i="5"/>
  <c r="AV2516" i="5" s="1"/>
  <c r="AY2496" i="5"/>
  <c r="AR2516" i="5"/>
  <c r="AT2516" i="5" s="1"/>
  <c r="M2542" i="5"/>
  <c r="F2542" i="5" s="1"/>
  <c r="AM2543" i="5" s="1"/>
  <c r="M2436" i="5"/>
  <c r="F2436" i="5" s="1"/>
  <c r="AM2437" i="5" s="1"/>
  <c r="AL2540" i="5"/>
  <c r="M2359" i="5"/>
  <c r="F2359" i="5" s="1"/>
  <c r="AM2360" i="5" s="1"/>
  <c r="M2518" i="5"/>
  <c r="F2518" i="5" s="1"/>
  <c r="AM2518" i="5" s="1"/>
  <c r="M2275" i="5"/>
  <c r="F2275" i="5" s="1"/>
  <c r="M2524" i="5"/>
  <c r="F2524" i="5" s="1"/>
  <c r="AM2525" i="5" s="1"/>
  <c r="AK2516" i="5"/>
  <c r="G4887" i="5"/>
  <c r="H4887" i="5" s="1"/>
  <c r="U212" i="5"/>
  <c r="U227" i="5" s="1"/>
  <c r="U228" i="5" s="1"/>
  <c r="F233" i="5" s="1"/>
  <c r="AY2500" i="5"/>
  <c r="AI2463" i="5"/>
  <c r="AZ2462" i="5"/>
  <c r="AJ2466" i="5"/>
  <c r="AZ2486" i="5"/>
  <c r="AL2462" i="5"/>
  <c r="AL2312" i="5"/>
  <c r="AT2454" i="5"/>
  <c r="AL2370" i="5"/>
  <c r="AK1873" i="5"/>
  <c r="AL1864" i="5"/>
  <c r="AJ1873" i="5"/>
  <c r="AS1876" i="5"/>
  <c r="AJ1900" i="5"/>
  <c r="AK1924" i="5"/>
  <c r="AY1960" i="5"/>
  <c r="AJ1920" i="5"/>
  <c r="AL2502" i="5"/>
  <c r="AL2036" i="5"/>
  <c r="AS2060" i="5"/>
  <c r="AS2080" i="5"/>
  <c r="AL2168" i="5"/>
  <c r="AZ2200" i="5"/>
  <c r="AR2252" i="5"/>
  <c r="AT2252" i="5" s="1"/>
  <c r="AZ2332" i="5"/>
  <c r="AU2491" i="5"/>
  <c r="AV2491" i="5" s="1"/>
  <c r="AZ1812" i="5"/>
  <c r="AY1812" i="5"/>
  <c r="AZ1808" i="5"/>
  <c r="AL1817" i="5"/>
  <c r="AI1808" i="5"/>
  <c r="AI1789" i="5"/>
  <c r="AI2272" i="5"/>
  <c r="AK2502" i="5"/>
  <c r="AT2478" i="5"/>
  <c r="AK2462" i="5"/>
  <c r="AJ2252" i="5"/>
  <c r="AQ1873" i="5"/>
  <c r="AQ2036" i="5"/>
  <c r="AJ1828" i="5"/>
  <c r="AZ1873" i="5"/>
  <c r="AI1900" i="5"/>
  <c r="AI1901" i="5"/>
  <c r="AK1828" i="5"/>
  <c r="AY2308" i="5"/>
  <c r="AK2482" i="5"/>
  <c r="AS2084" i="5"/>
  <c r="AI2168" i="5"/>
  <c r="AS2268" i="5"/>
  <c r="AU2337" i="5"/>
  <c r="AV2337" i="5" s="1"/>
  <c r="AI2492" i="5"/>
  <c r="AY1792" i="5"/>
  <c r="AK1788" i="5"/>
  <c r="AY1904" i="5"/>
  <c r="AT1800" i="5"/>
  <c r="AL1920" i="5"/>
  <c r="AZ1772" i="5"/>
  <c r="AM2381" i="5"/>
  <c r="AR2491" i="5"/>
  <c r="AS2491" i="5" s="1"/>
  <c r="AR2462" i="5"/>
  <c r="AT2462" i="5" s="1"/>
  <c r="AQ2216" i="5"/>
  <c r="G1707" i="5"/>
  <c r="H1707" i="5" s="1"/>
  <c r="AT2518" i="5"/>
  <c r="AU2462" i="5"/>
  <c r="AV2462" i="5" s="1"/>
  <c r="AT2458" i="5"/>
  <c r="AJ1980" i="5"/>
  <c r="AZ1985" i="5"/>
  <c r="AI2466" i="5"/>
  <c r="AY1976" i="5"/>
  <c r="AY1980" i="5"/>
  <c r="AQ2220" i="5"/>
  <c r="AQ1920" i="5"/>
  <c r="AT1897" i="5"/>
  <c r="AS1892" i="5"/>
  <c r="AJ1624" i="5"/>
  <c r="AJ1756" i="5"/>
  <c r="AI1828" i="5"/>
  <c r="AK1868" i="5"/>
  <c r="AL1873" i="5"/>
  <c r="AL1884" i="5"/>
  <c r="AK1900" i="5"/>
  <c r="AI1907" i="5"/>
  <c r="AT1952" i="5"/>
  <c r="AY2012" i="5"/>
  <c r="AT2494" i="5"/>
  <c r="AI2041" i="5"/>
  <c r="AS2064" i="5"/>
  <c r="AL2337" i="5"/>
  <c r="AJ2491" i="5"/>
  <c r="AL2482" i="5"/>
  <c r="AY1920" i="5"/>
  <c r="AR1817" i="5"/>
  <c r="AS1817" i="5" s="1"/>
  <c r="AS1780" i="5"/>
  <c r="AL1561" i="5"/>
  <c r="AY1756" i="5"/>
  <c r="AL1906" i="5"/>
  <c r="AI2368" i="5"/>
  <c r="AW2379" i="5"/>
  <c r="AX2379" i="5" s="1"/>
  <c r="AI2491" i="5"/>
  <c r="AS2514" i="5"/>
  <c r="AK2446" i="5"/>
  <c r="AK2292" i="5"/>
  <c r="AQ3973" i="5"/>
  <c r="AI2446" i="5"/>
  <c r="AT2474" i="5"/>
  <c r="AT791" i="5"/>
  <c r="AQ1924" i="5"/>
  <c r="AL1828" i="5"/>
  <c r="AZ1884" i="5"/>
  <c r="AZ1900" i="5"/>
  <c r="AZ2446" i="5"/>
  <c r="AY1924" i="5"/>
  <c r="AS1647" i="5"/>
  <c r="AY1788" i="5"/>
  <c r="AJ1808" i="5"/>
  <c r="AI673" i="5"/>
  <c r="AM1626" i="5"/>
  <c r="AM1598" i="5"/>
  <c r="A3642" i="5"/>
  <c r="A4973" i="5"/>
  <c r="C4973" i="5" s="1"/>
  <c r="AT410" i="5"/>
  <c r="AJ2522" i="5"/>
  <c r="M1316" i="5"/>
  <c r="F1316" i="5" s="1"/>
  <c r="AM1317" i="5" s="1"/>
  <c r="M1624" i="5"/>
  <c r="F1624" i="5" s="1"/>
  <c r="AM1625" i="5" s="1"/>
  <c r="M1533" i="5"/>
  <c r="F1533" i="5" s="1"/>
  <c r="AW2535" i="5"/>
  <c r="AX2535" i="5" s="1"/>
  <c r="M540" i="5"/>
  <c r="F540" i="5" s="1"/>
  <c r="M764" i="5"/>
  <c r="F764" i="5" s="1"/>
  <c r="M694" i="5"/>
  <c r="F694" i="5" s="1"/>
  <c r="AS2542" i="5"/>
  <c r="M2947" i="5"/>
  <c r="L2947" i="5" s="1"/>
  <c r="AO3973" i="5"/>
  <c r="AP3973" i="5" s="1"/>
  <c r="AR3973" i="5" s="1"/>
  <c r="G4895" i="5"/>
  <c r="H4895" i="5" s="1"/>
  <c r="AL2550" i="5"/>
  <c r="M1526" i="5"/>
  <c r="F1526" i="5" s="1"/>
  <c r="M1414" i="5"/>
  <c r="F1414" i="5" s="1"/>
  <c r="AM1415" i="5" s="1"/>
  <c r="M1675" i="5"/>
  <c r="F1675" i="5" s="1"/>
  <c r="AM1676" i="5" s="1"/>
  <c r="AJ2535" i="5"/>
  <c r="M638" i="5"/>
  <c r="F638" i="5" s="1"/>
  <c r="M596" i="5"/>
  <c r="F596" i="5" s="1"/>
  <c r="M825" i="5"/>
  <c r="F825" i="5" s="1"/>
  <c r="F4569" i="5"/>
  <c r="M1681" i="5"/>
  <c r="F1681" i="5" s="1"/>
  <c r="M1651" i="5"/>
  <c r="F1651" i="5" s="1"/>
  <c r="AM1652" i="5" s="1"/>
  <c r="M1337" i="5"/>
  <c r="F1337" i="5" s="1"/>
  <c r="AM1338" i="5" s="1"/>
  <c r="AY2535" i="5"/>
  <c r="M519" i="5"/>
  <c r="F519" i="5" s="1"/>
  <c r="M652" i="5"/>
  <c r="F652" i="5" s="1"/>
  <c r="M831" i="5"/>
  <c r="F831" i="5" s="1"/>
  <c r="P3899" i="5"/>
  <c r="F3899" i="5" s="1"/>
  <c r="AV3417" i="5"/>
  <c r="AW3417" i="5" s="1"/>
  <c r="AY3417" i="5" s="1"/>
  <c r="M3842" i="5"/>
  <c r="F3842" i="5" s="1"/>
  <c r="L3842" i="5" s="1"/>
  <c r="M3215" i="5"/>
  <c r="F3215" i="5" s="1"/>
  <c r="L3215" i="5" s="1"/>
  <c r="M3087" i="5"/>
  <c r="F3087" i="5" s="1"/>
  <c r="L3087" i="5" s="1"/>
  <c r="M3079" i="5"/>
  <c r="F3079" i="5" s="1"/>
  <c r="L3079" i="5" s="1"/>
  <c r="AI2551" i="5"/>
  <c r="AQ2507" i="5"/>
  <c r="AP1295" i="5"/>
  <c r="AQ1295" i="5" s="1"/>
  <c r="AQ1152" i="5"/>
  <c r="AI1015" i="5"/>
  <c r="AS3968" i="5"/>
  <c r="M3086" i="5"/>
  <c r="F3086" i="5" s="1"/>
  <c r="L3086" i="5" s="1"/>
  <c r="AM1118" i="5"/>
  <c r="AM1146" i="5"/>
  <c r="AS386" i="5"/>
  <c r="AS687" i="5"/>
  <c r="AJ2112" i="5"/>
  <c r="AS1957" i="5"/>
  <c r="AK1262" i="5"/>
  <c r="AI1661" i="5"/>
  <c r="P3750" i="5"/>
  <c r="G3750" i="5" s="1"/>
  <c r="H3750" i="5" s="1"/>
  <c r="C4842" i="5"/>
  <c r="M3238" i="5"/>
  <c r="F3238" i="5" s="1"/>
  <c r="L3238" i="5" s="1"/>
  <c r="AM335" i="5"/>
  <c r="AM755" i="5"/>
  <c r="AM685" i="5"/>
  <c r="AM671" i="5"/>
  <c r="AM643" i="5"/>
  <c r="AM572" i="5"/>
  <c r="AM1135" i="5"/>
  <c r="AM1079" i="5"/>
  <c r="AM1672" i="5"/>
  <c r="AM1627" i="5"/>
  <c r="AM1523" i="5"/>
  <c r="AM2230" i="5"/>
  <c r="AM2174" i="5"/>
  <c r="A4891" i="5"/>
  <c r="F4891" i="5" s="1"/>
  <c r="N4668" i="5"/>
  <c r="A4668" i="5" s="1"/>
  <c r="C4668" i="5" s="1"/>
  <c r="AS686" i="5"/>
  <c r="A3964" i="5"/>
  <c r="F4890" i="5"/>
  <c r="M3218" i="5"/>
  <c r="F3218" i="5" s="1"/>
  <c r="L3218" i="5" s="1"/>
  <c r="A4778" i="5"/>
  <c r="F4778" i="5" s="1"/>
  <c r="C4923" i="5"/>
  <c r="AJ1684" i="5"/>
  <c r="AK1692" i="5"/>
  <c r="P3742" i="5"/>
  <c r="G3742" i="5" s="1"/>
  <c r="H3742" i="5" s="1"/>
  <c r="AU1680" i="5"/>
  <c r="AV1680" i="5" s="1"/>
  <c r="AZ1669" i="5"/>
  <c r="AY2099" i="5"/>
  <c r="AK837" i="5"/>
  <c r="AP478" i="5"/>
  <c r="AQ478" i="5" s="1"/>
  <c r="AQ1684" i="5"/>
  <c r="AJ2103" i="5"/>
  <c r="AI1224" i="5"/>
  <c r="AQ1660" i="5"/>
  <c r="AI1660" i="5"/>
  <c r="AU2122" i="5"/>
  <c r="AV2122" i="5" s="1"/>
  <c r="AI1248" i="5"/>
  <c r="AJ824" i="5"/>
  <c r="AQ1037" i="5"/>
  <c r="AS314" i="5"/>
  <c r="AT325" i="5"/>
  <c r="AY2355" i="5"/>
  <c r="AJ2203" i="5"/>
  <c r="AL2299" i="5"/>
  <c r="AY2315" i="5"/>
  <c r="AR2301" i="5"/>
  <c r="AT2301" i="5" s="1"/>
  <c r="AW2301" i="5"/>
  <c r="AX2301" i="5" s="1"/>
  <c r="AJ2223" i="5"/>
  <c r="AS2367" i="5"/>
  <c r="AY2223" i="5"/>
  <c r="AS2373" i="5"/>
  <c r="AT349" i="5"/>
  <c r="AT742" i="5"/>
  <c r="AS398" i="5"/>
  <c r="AT961" i="5"/>
  <c r="F4912" i="5"/>
  <c r="AJ2442" i="5"/>
  <c r="AU2442" i="5"/>
  <c r="AV2442" i="5" s="1"/>
  <c r="AJ2299" i="5"/>
  <c r="AL2386" i="5"/>
  <c r="AT2328" i="5"/>
  <c r="AT2235" i="5"/>
  <c r="AL2176" i="5"/>
  <c r="AS2120" i="5"/>
  <c r="AS403" i="5"/>
  <c r="AK2288" i="5"/>
  <c r="AZ2442" i="5"/>
  <c r="AK2498" i="5"/>
  <c r="AT2331" i="5"/>
  <c r="AR2386" i="5"/>
  <c r="AS2386" i="5" s="1"/>
  <c r="AT350" i="5"/>
  <c r="AO3875" i="5"/>
  <c r="AP3875" i="5" s="1"/>
  <c r="AR3875" i="5" s="1"/>
  <c r="AQ1199" i="5"/>
  <c r="AQ1147" i="5"/>
  <c r="AQ1116" i="5"/>
  <c r="AQ1031" i="5"/>
  <c r="AM1006" i="5"/>
  <c r="AI2477" i="5"/>
  <c r="AI2267" i="5"/>
  <c r="AI1775" i="5"/>
  <c r="AI1463" i="5"/>
  <c r="AI1407" i="5"/>
  <c r="AI1351" i="5"/>
  <c r="AI1221" i="5"/>
  <c r="AI1193" i="5"/>
  <c r="AI1059" i="5"/>
  <c r="AI778" i="5"/>
  <c r="AI526" i="5"/>
  <c r="A5193" i="5"/>
  <c r="A5194" i="5" s="1"/>
  <c r="C5194" i="5" s="1"/>
  <c r="AM587" i="5"/>
  <c r="D3649" i="5"/>
  <c r="AS379" i="5"/>
  <c r="AM1897" i="5"/>
  <c r="AM1855" i="5"/>
  <c r="AI2315" i="5"/>
  <c r="AQ2285" i="5"/>
  <c r="AQ2274" i="5"/>
  <c r="AI2259" i="5"/>
  <c r="AI2207" i="5"/>
  <c r="AI1911" i="5"/>
  <c r="AI1795" i="5"/>
  <c r="M3270" i="5"/>
  <c r="F3270" i="5" s="1"/>
  <c r="L3270" i="5" s="1"/>
  <c r="AI848" i="5"/>
  <c r="AI788" i="5"/>
  <c r="AI748" i="5"/>
  <c r="AI732" i="5"/>
  <c r="AQ1681" i="5"/>
  <c r="AQ1652" i="5"/>
  <c r="AI1642" i="5"/>
  <c r="AQ1632" i="5"/>
  <c r="AI1503" i="5"/>
  <c r="AQ1417" i="5"/>
  <c r="AQ1413" i="5"/>
  <c r="AI1371" i="5"/>
  <c r="AQ1361" i="5"/>
  <c r="AQ1345" i="5"/>
  <c r="AQ1330" i="5"/>
  <c r="AI1319" i="5"/>
  <c r="AQ1204" i="5"/>
  <c r="AQ1191" i="5"/>
  <c r="AI1185" i="5"/>
  <c r="AQ1155" i="5"/>
  <c r="AQ1135" i="5"/>
  <c r="AI1129" i="5"/>
  <c r="AQ1119" i="5"/>
  <c r="AQ1099" i="5"/>
  <c r="AQ1083" i="5"/>
  <c r="AQ1079" i="5"/>
  <c r="AQ1063" i="5"/>
  <c r="AQ1043" i="5"/>
  <c r="AQ1032" i="5"/>
  <c r="AQ1027" i="5"/>
  <c r="AI1025" i="5"/>
  <c r="AQ1007" i="5"/>
  <c r="AQ987" i="5"/>
  <c r="AQ976" i="5"/>
  <c r="AQ971" i="5"/>
  <c r="AQ951" i="5"/>
  <c r="AI925" i="5"/>
  <c r="AQ915" i="5"/>
  <c r="AQ849" i="5"/>
  <c r="AQ780" i="5"/>
  <c r="AQ776" i="5"/>
  <c r="AQ724" i="5"/>
  <c r="AQ688" i="5"/>
  <c r="AI662" i="5"/>
  <c r="AI622" i="5"/>
  <c r="AI606" i="5"/>
  <c r="AQ576" i="5"/>
  <c r="AI510" i="5"/>
  <c r="AQ446" i="5"/>
  <c r="Q3666" i="5"/>
  <c r="Q3667" i="5" s="1"/>
  <c r="G3671" i="5" s="1"/>
  <c r="H3671" i="5" s="1"/>
  <c r="A4953" i="5"/>
  <c r="C4953" i="5" s="1"/>
  <c r="M2847" i="5"/>
  <c r="L2847" i="5" s="1"/>
  <c r="M3227" i="5"/>
  <c r="F3227" i="5" s="1"/>
  <c r="L3227" i="5" s="1"/>
  <c r="M3171" i="5"/>
  <c r="F3171" i="5" s="1"/>
  <c r="L3171" i="5" s="1"/>
  <c r="A4864" i="5"/>
  <c r="C4864" i="5" s="1"/>
  <c r="AQ1250" i="5"/>
  <c r="AM1205" i="5"/>
  <c r="AM1163" i="5"/>
  <c r="AM1107" i="5"/>
  <c r="AQ1067" i="5"/>
  <c r="AQ1058" i="5"/>
  <c r="AQ1042" i="5"/>
  <c r="AQ990" i="5"/>
  <c r="AQ882" i="5"/>
  <c r="AQ813" i="5"/>
  <c r="AQ784" i="5"/>
  <c r="AQ769" i="5"/>
  <c r="AQ758" i="5"/>
  <c r="AQ738" i="5"/>
  <c r="AQ737" i="5"/>
  <c r="AQ712" i="5"/>
  <c r="AQ625" i="5"/>
  <c r="AQ622" i="5"/>
  <c r="AQ586" i="5"/>
  <c r="AQ585" i="5"/>
  <c r="AQ581" i="5"/>
  <c r="AQ567" i="5"/>
  <c r="AQ549" i="5"/>
  <c r="AQ546" i="5"/>
  <c r="AQ529" i="5"/>
  <c r="AQ519" i="5"/>
  <c r="AQ514" i="5"/>
  <c r="AQ510" i="5"/>
  <c r="AQ493" i="5"/>
  <c r="AQ490" i="5"/>
  <c r="AQ489" i="5"/>
  <c r="AQ437" i="5"/>
  <c r="AS799" i="5"/>
  <c r="AI676" i="5"/>
  <c r="AI589" i="5"/>
  <c r="AI701" i="5"/>
  <c r="AZ2498" i="5"/>
  <c r="AI580" i="5"/>
  <c r="AQ488" i="5"/>
  <c r="AZ477" i="5"/>
  <c r="AL488" i="5"/>
  <c r="AZ524" i="5"/>
  <c r="AT2203" i="5"/>
  <c r="AQ995" i="5"/>
  <c r="AQ672" i="5"/>
  <c r="AI561" i="5"/>
  <c r="AI2443" i="5"/>
  <c r="AI524" i="5"/>
  <c r="AI600" i="5"/>
  <c r="AZ2355" i="5"/>
  <c r="AS2369" i="5"/>
  <c r="AY477" i="5"/>
  <c r="AL504" i="5"/>
  <c r="AJ533" i="5"/>
  <c r="AT520" i="5"/>
  <c r="AI999" i="5"/>
  <c r="AI1052" i="5"/>
  <c r="AK999" i="5"/>
  <c r="AQ1091" i="5"/>
  <c r="AM939" i="5"/>
  <c r="AJ1051" i="5"/>
  <c r="AI1016" i="5"/>
  <c r="AI733" i="5"/>
  <c r="AQ999" i="5"/>
  <c r="AQ923" i="5"/>
  <c r="AY2442" i="5"/>
  <c r="AS2549" i="5"/>
  <c r="AL477" i="5"/>
  <c r="AI505" i="5"/>
  <c r="AK600" i="5"/>
  <c r="AT516" i="5"/>
  <c r="AY999" i="5"/>
  <c r="AM1051" i="5"/>
  <c r="G3682" i="5"/>
  <c r="H3682" i="5" s="1"/>
  <c r="AL1051" i="5"/>
  <c r="Q3684" i="5"/>
  <c r="G3685" i="5" s="1"/>
  <c r="H3685" i="5" s="1"/>
  <c r="AS374" i="5"/>
  <c r="V4882" i="5"/>
  <c r="V4883" i="5" s="1"/>
  <c r="F4893" i="5" s="1"/>
  <c r="AI1163" i="5"/>
  <c r="AI504" i="5"/>
  <c r="AI656" i="5"/>
  <c r="AQ600" i="5"/>
  <c r="AJ477" i="5"/>
  <c r="AY504" i="5"/>
  <c r="AJ589" i="5"/>
  <c r="AM1585" i="5"/>
  <c r="AQ1581" i="5"/>
  <c r="AQ1507" i="5"/>
  <c r="AQ1254" i="5"/>
  <c r="AQ1188" i="5"/>
  <c r="AQ838" i="5"/>
  <c r="AQ687" i="5"/>
  <c r="AQ658" i="5"/>
  <c r="AQ479" i="5"/>
  <c r="AQ360" i="5"/>
  <c r="AQ337" i="5"/>
  <c r="AQ326" i="5"/>
  <c r="AX3453" i="5"/>
  <c r="AS603" i="5"/>
  <c r="AV3374" i="5"/>
  <c r="AW3374" i="5" s="1"/>
  <c r="AY3374" i="5" s="1"/>
  <c r="AO3652" i="5"/>
  <c r="AP3652" i="5" s="1"/>
  <c r="AR3652" i="5" s="1"/>
  <c r="AS392" i="5"/>
  <c r="AS373" i="5"/>
  <c r="A3875" i="5"/>
  <c r="AT771" i="5"/>
  <c r="AT427" i="5"/>
  <c r="AL948" i="5"/>
  <c r="AQ3875" i="5"/>
  <c r="AQ3975" i="5"/>
  <c r="AQ919" i="5"/>
  <c r="AI948" i="5"/>
  <c r="AI976" i="5"/>
  <c r="AM1482" i="5"/>
  <c r="AO3961" i="5"/>
  <c r="AP3961" i="5" s="1"/>
  <c r="AR3961" i="5" s="1"/>
  <c r="AJ2469" i="5"/>
  <c r="AU2498" i="5"/>
  <c r="AV2498" i="5" s="1"/>
  <c r="AK2413" i="5"/>
  <c r="AT593" i="5"/>
  <c r="AY545" i="5"/>
  <c r="AJ493" i="5"/>
  <c r="AM1621" i="5"/>
  <c r="AR2469" i="5"/>
  <c r="AT2469" i="5" s="1"/>
  <c r="AL2442" i="5"/>
  <c r="AT2465" i="5"/>
  <c r="AL601" i="5"/>
  <c r="AT653" i="5"/>
  <c r="AZ605" i="5"/>
  <c r="AZ549" i="5"/>
  <c r="AR525" i="5"/>
  <c r="AT525" i="5" s="1"/>
  <c r="AI1799" i="5"/>
  <c r="AT289" i="5"/>
  <c r="AT313" i="5"/>
  <c r="AS2368" i="5"/>
  <c r="AL1435" i="5"/>
  <c r="AS1478" i="5"/>
  <c r="AM968" i="5"/>
  <c r="AK2473" i="5"/>
  <c r="AU610" i="5"/>
  <c r="AV610" i="5" s="1"/>
  <c r="AU525" i="5"/>
  <c r="AV525" i="5" s="1"/>
  <c r="AS399" i="5"/>
  <c r="AS326" i="5"/>
  <c r="AS860" i="5"/>
  <c r="AL1850" i="5"/>
  <c r="AT1534" i="5"/>
  <c r="A3961" i="5"/>
  <c r="AY1798" i="5"/>
  <c r="AL2473" i="5"/>
  <c r="AS2553" i="5"/>
  <c r="AM1665" i="5"/>
  <c r="AU554" i="5"/>
  <c r="AV554" i="5" s="1"/>
  <c r="AM1756" i="5"/>
  <c r="AS2250" i="5"/>
  <c r="AT1530" i="5"/>
  <c r="AL2477" i="5"/>
  <c r="AI1491" i="5"/>
  <c r="AZ1850" i="5"/>
  <c r="AJ1794" i="5"/>
  <c r="AK1410" i="5"/>
  <c r="D3652" i="5"/>
  <c r="AM1778" i="5"/>
  <c r="AW2027" i="5"/>
  <c r="AX2027" i="5" s="1"/>
  <c r="AI1165" i="5"/>
  <c r="AI666" i="5"/>
  <c r="AZ565" i="5"/>
  <c r="AJ605" i="5"/>
  <c r="AL545" i="5"/>
  <c r="AT481" i="5"/>
  <c r="AR498" i="5"/>
  <c r="AS498" i="5" s="1"/>
  <c r="AL565" i="5"/>
  <c r="AS781" i="5"/>
  <c r="AY637" i="5"/>
  <c r="M3846" i="5"/>
  <c r="F3846" i="5" s="1"/>
  <c r="L3846" i="5" s="1"/>
  <c r="AZ489" i="5"/>
  <c r="AJ489" i="5"/>
  <c r="AS474" i="5"/>
  <c r="AT474" i="5"/>
  <c r="AT423" i="5"/>
  <c r="AS423" i="5"/>
  <c r="AZ2089" i="5"/>
  <c r="AW2089" i="5"/>
  <c r="AX2089" i="5" s="1"/>
  <c r="AJ1308" i="5"/>
  <c r="AY1308" i="5"/>
  <c r="AZ1486" i="5"/>
  <c r="AY1426" i="5"/>
  <c r="AI1547" i="5"/>
  <c r="AL944" i="5"/>
  <c r="AL657" i="5"/>
  <c r="AM2376" i="5"/>
  <c r="C5281" i="5"/>
  <c r="AI1486" i="5"/>
  <c r="AS1550" i="5"/>
  <c r="AL1854" i="5"/>
  <c r="AI2413" i="5"/>
  <c r="AI1435" i="5"/>
  <c r="AY913" i="5"/>
  <c r="AI806" i="5"/>
  <c r="AI722" i="5"/>
  <c r="AY1056" i="5"/>
  <c r="AY565" i="5"/>
  <c r="AT765" i="5"/>
  <c r="AK549" i="5"/>
  <c r="AY489" i="5"/>
  <c r="AK529" i="5"/>
  <c r="AY585" i="5"/>
  <c r="AL610" i="5"/>
  <c r="AK1308" i="5"/>
  <c r="AK1854" i="5"/>
  <c r="AS743" i="5"/>
  <c r="AM2182" i="5"/>
  <c r="AR913" i="5"/>
  <c r="AK601" i="5"/>
  <c r="AJ621" i="5"/>
  <c r="AI586" i="5"/>
  <c r="AS371" i="5"/>
  <c r="AT501" i="5"/>
  <c r="AU581" i="5"/>
  <c r="AV581" i="5" s="1"/>
  <c r="AR2089" i="5"/>
  <c r="AT2089" i="5" s="1"/>
  <c r="AM1605" i="5"/>
  <c r="AK2238" i="5"/>
  <c r="AJ2468" i="5"/>
  <c r="AS715" i="5"/>
  <c r="AZ913" i="5"/>
  <c r="AM478" i="5"/>
  <c r="AL717" i="5"/>
  <c r="AZ554" i="5"/>
  <c r="AM1987" i="5"/>
  <c r="AM1155" i="5"/>
  <c r="AM1057" i="5"/>
  <c r="AM1529" i="5"/>
  <c r="AM1487" i="5"/>
  <c r="M3105" i="5"/>
  <c r="F3105" i="5" s="1"/>
  <c r="L3105" i="5" s="1"/>
  <c r="AM668" i="5"/>
  <c r="AM2533" i="5"/>
  <c r="AQ2226" i="5"/>
  <c r="AQ2062" i="5"/>
  <c r="AI1757" i="5"/>
  <c r="AQ1661" i="5"/>
  <c r="AQ1636" i="5"/>
  <c r="AQ1625" i="5"/>
  <c r="AI1620" i="5"/>
  <c r="AQ1584" i="5"/>
  <c r="AQ1580" i="5"/>
  <c r="AI1501" i="5"/>
  <c r="AI1442" i="5"/>
  <c r="AQ1409" i="5"/>
  <c r="AI1386" i="5"/>
  <c r="AQ1353" i="5"/>
  <c r="AI1333" i="5"/>
  <c r="AQ1329" i="5"/>
  <c r="AQ1307" i="5"/>
  <c r="AQ1257" i="5"/>
  <c r="AQ1248" i="5"/>
  <c r="AQ1208" i="5"/>
  <c r="AQ1183" i="5"/>
  <c r="AI1172" i="5"/>
  <c r="AQ1167" i="5"/>
  <c r="AQ1163" i="5"/>
  <c r="AQ1153" i="5"/>
  <c r="AI1147" i="5"/>
  <c r="AI1143" i="5"/>
  <c r="AQ1127" i="5"/>
  <c r="AQ1111" i="5"/>
  <c r="AQ1107" i="5"/>
  <c r="AI1087" i="5"/>
  <c r="AQ1071" i="5"/>
  <c r="AQ1035" i="5"/>
  <c r="AI979" i="5"/>
  <c r="AQ943" i="5"/>
  <c r="AQ889" i="5"/>
  <c r="AQ888" i="5"/>
  <c r="AQ858" i="5"/>
  <c r="AQ852" i="5"/>
  <c r="AQ778" i="5"/>
  <c r="AQ760" i="5"/>
  <c r="AI728" i="5"/>
  <c r="AQ718" i="5"/>
  <c r="AQ693" i="5"/>
  <c r="AQ682" i="5"/>
  <c r="AQ678" i="5"/>
  <c r="AQ677" i="5"/>
  <c r="AQ662" i="5"/>
  <c r="AQ661" i="5"/>
  <c r="AQ657" i="5"/>
  <c r="AQ647" i="5"/>
  <c r="AQ646" i="5"/>
  <c r="AQ642" i="5"/>
  <c r="AQ641" i="5"/>
  <c r="AQ627" i="5"/>
  <c r="AQ610" i="5"/>
  <c r="AQ605" i="5"/>
  <c r="AQ602" i="5"/>
  <c r="AQ587" i="5"/>
  <c r="AQ571" i="5"/>
  <c r="AQ566" i="5"/>
  <c r="AQ554" i="5"/>
  <c r="AQ545" i="5"/>
  <c r="AQ531" i="5"/>
  <c r="AQ515" i="5"/>
  <c r="AQ513" i="5"/>
  <c r="AQ511" i="5"/>
  <c r="AQ495" i="5"/>
  <c r="AQ484" i="5"/>
  <c r="AQ449" i="5"/>
  <c r="AQ445" i="5"/>
  <c r="AQ441" i="5"/>
  <c r="AQ440" i="5"/>
  <c r="AQ409" i="5"/>
  <c r="AQ389" i="5"/>
  <c r="AQ345" i="5"/>
  <c r="AQ293" i="5"/>
  <c r="AQ289" i="5"/>
  <c r="AM1612" i="5"/>
  <c r="AM1022" i="5"/>
  <c r="AM1808" i="5"/>
  <c r="AQ2429" i="5"/>
  <c r="AQ2331" i="5"/>
  <c r="AI2306" i="5"/>
  <c r="AQ2319" i="5"/>
  <c r="AQ2002" i="5"/>
  <c r="AQ1855" i="5"/>
  <c r="AQ1622" i="5"/>
  <c r="AQ1621" i="5"/>
  <c r="AQ1586" i="5"/>
  <c r="AQ1585" i="5"/>
  <c r="AQ1527" i="5"/>
  <c r="AM1425" i="5"/>
  <c r="AQ1410" i="5"/>
  <c r="AQ1375" i="5"/>
  <c r="AQ1318" i="5"/>
  <c r="AQ1249" i="5"/>
  <c r="AQ1229" i="5"/>
  <c r="AQ1214" i="5"/>
  <c r="AQ1209" i="5"/>
  <c r="AQ1193" i="5"/>
  <c r="AQ1184" i="5"/>
  <c r="AQ1168" i="5"/>
  <c r="AQ1061" i="5"/>
  <c r="AQ1036" i="5"/>
  <c r="AQ985" i="5"/>
  <c r="AQ965" i="5"/>
  <c r="AQ960" i="5"/>
  <c r="AQ949" i="5"/>
  <c r="AQ945" i="5"/>
  <c r="AQ940" i="5"/>
  <c r="AQ908" i="5"/>
  <c r="AQ905" i="5"/>
  <c r="AQ904" i="5"/>
  <c r="AQ387" i="5"/>
  <c r="AQ344" i="5"/>
  <c r="AQ306" i="5"/>
  <c r="AQ2520" i="5"/>
  <c r="AT1513" i="5"/>
  <c r="AI1183" i="5"/>
  <c r="AI1243" i="5"/>
  <c r="AI1656" i="5"/>
  <c r="AL1660" i="5"/>
  <c r="AY1684" i="5"/>
  <c r="AR1692" i="5"/>
  <c r="AS1692" i="5" s="1"/>
  <c r="AY1669" i="5"/>
  <c r="AK2099" i="5"/>
  <c r="AK2103" i="5"/>
  <c r="AZ2122" i="5"/>
  <c r="O3995" i="5"/>
  <c r="F3994" i="5" s="1"/>
  <c r="AZ1223" i="5"/>
  <c r="AL995" i="5"/>
  <c r="AL1243" i="5"/>
  <c r="AY1247" i="5"/>
  <c r="AL1262" i="5"/>
  <c r="AZ824" i="5"/>
  <c r="AU837" i="5"/>
  <c r="AV837" i="5" s="1"/>
  <c r="AR824" i="5"/>
  <c r="AK824" i="5"/>
  <c r="AQ1691" i="5"/>
  <c r="AQ1263" i="5"/>
  <c r="AQ1235" i="5"/>
  <c r="AI1039" i="5"/>
  <c r="O3997" i="5"/>
  <c r="G3997" i="5" s="1"/>
  <c r="H3997" i="5" s="1"/>
  <c r="F3529" i="5"/>
  <c r="AQ1262" i="5"/>
  <c r="AQ1333" i="5"/>
  <c r="G4308" i="5"/>
  <c r="H4308" i="5" s="1"/>
  <c r="AU2551" i="5"/>
  <c r="AV2551" i="5" s="1"/>
  <c r="M4694" i="5"/>
  <c r="F4694" i="5" s="1"/>
  <c r="F4700" i="5" s="1"/>
  <c r="W4702" i="5" s="1"/>
  <c r="F3533" i="5"/>
  <c r="AI1692" i="5"/>
  <c r="AQ828" i="5"/>
  <c r="AI1684" i="5"/>
  <c r="AI729" i="5"/>
  <c r="AI1685" i="5"/>
  <c r="AI975" i="5"/>
  <c r="AL1680" i="5"/>
  <c r="AI1693" i="5"/>
  <c r="AZ1656" i="5"/>
  <c r="AW1669" i="5"/>
  <c r="AX1669" i="5" s="1"/>
  <c r="AU2082" i="5"/>
  <c r="AV2082" i="5" s="1"/>
  <c r="AL2099" i="5"/>
  <c r="AZ2103" i="5"/>
  <c r="AK2122" i="5"/>
  <c r="AZ1660" i="5"/>
  <c r="AK645" i="5"/>
  <c r="AI702" i="5"/>
  <c r="AY1223" i="5"/>
  <c r="AJ852" i="5"/>
  <c r="AS552" i="5"/>
  <c r="AK528" i="5"/>
  <c r="AL640" i="5"/>
  <c r="AJ443" i="5"/>
  <c r="AZ1243" i="5"/>
  <c r="AJ1247" i="5"/>
  <c r="AR1262" i="5"/>
  <c r="AT1262" i="5" s="1"/>
  <c r="AI359" i="5"/>
  <c r="AS342" i="5"/>
  <c r="AY354" i="5"/>
  <c r="AS366" i="5"/>
  <c r="AK426" i="5"/>
  <c r="AI355" i="5"/>
  <c r="AY382" i="5"/>
  <c r="AS318" i="5"/>
  <c r="AL837" i="5"/>
  <c r="M2021" i="5"/>
  <c r="F2021" i="5" s="1"/>
  <c r="M1951" i="5"/>
  <c r="F1951" i="5" s="1"/>
  <c r="AM1952" i="5" s="1"/>
  <c r="M1916" i="5"/>
  <c r="F1916" i="5" s="1"/>
  <c r="AM1916" i="5" s="1"/>
  <c r="M1972" i="5"/>
  <c r="F1972" i="5" s="1"/>
  <c r="M1930" i="5"/>
  <c r="F1930" i="5" s="1"/>
  <c r="AM1931" i="5" s="1"/>
  <c r="M1909" i="5"/>
  <c r="F1909" i="5" s="1"/>
  <c r="AM1910" i="5" s="1"/>
  <c r="M2028" i="5"/>
  <c r="F2028" i="5" s="1"/>
  <c r="AM2029" i="5" s="1"/>
  <c r="AL824" i="5"/>
  <c r="AY406" i="5"/>
  <c r="AL828" i="5"/>
  <c r="AJ430" i="5"/>
  <c r="AL306" i="5"/>
  <c r="F100" i="5"/>
  <c r="AK402" i="5"/>
  <c r="AZ406" i="5"/>
  <c r="M3200" i="5"/>
  <c r="F3200" i="5" s="1"/>
  <c r="L3200" i="5" s="1"/>
  <c r="AM1349" i="5"/>
  <c r="M3128" i="5"/>
  <c r="F3128" i="5" s="1"/>
  <c r="L3128" i="5" s="1"/>
  <c r="AJ1521" i="5"/>
  <c r="C5191" i="5"/>
  <c r="M3176" i="5"/>
  <c r="F3176" i="5" s="1"/>
  <c r="L3176" i="5" s="1"/>
  <c r="AK2353" i="5"/>
  <c r="AS1592" i="5"/>
  <c r="P4307" i="5"/>
  <c r="P4308" i="5" s="1"/>
  <c r="G4312" i="5" s="1"/>
  <c r="H4312" i="5" s="1"/>
  <c r="F4751" i="5"/>
  <c r="AQ3966" i="5"/>
  <c r="AQ1087" i="5"/>
  <c r="AJ2551" i="5"/>
  <c r="AQ1981" i="5"/>
  <c r="AQ887" i="5"/>
  <c r="AQ1243" i="5"/>
  <c r="AQ1553" i="5"/>
  <c r="AQ1669" i="5"/>
  <c r="AQ1692" i="5"/>
  <c r="AQ2082" i="5"/>
  <c r="AL2082" i="5"/>
  <c r="AR2082" i="5"/>
  <c r="AS2082" i="5" s="1"/>
  <c r="AI852" i="5"/>
  <c r="AI1262" i="5"/>
  <c r="AI1263" i="5"/>
  <c r="AZ1680" i="5"/>
  <c r="AY1692" i="5"/>
  <c r="AJ1669" i="5"/>
  <c r="AW1656" i="5"/>
  <c r="AX1656" i="5" s="1"/>
  <c r="AW2082" i="5"/>
  <c r="AX2082" i="5" s="1"/>
  <c r="AZ2099" i="5"/>
  <c r="AY2103" i="5"/>
  <c r="AY2122" i="5"/>
  <c r="AQ824" i="5"/>
  <c r="AZ616" i="5"/>
  <c r="AK1660" i="5"/>
  <c r="AJ645" i="5"/>
  <c r="AZ701" i="5"/>
  <c r="AI1223" i="5"/>
  <c r="AY852" i="5"/>
  <c r="AT556" i="5"/>
  <c r="AZ656" i="5"/>
  <c r="AW533" i="5"/>
  <c r="AX533" i="5" s="1"/>
  <c r="AI640" i="5"/>
  <c r="AI1353" i="5"/>
  <c r="AI378" i="5"/>
  <c r="AI1244" i="5"/>
  <c r="AK1247" i="5"/>
  <c r="AW1262" i="5"/>
  <c r="AX1262" i="5" s="1"/>
  <c r="AI383" i="5"/>
  <c r="AJ406" i="5"/>
  <c r="AZ334" i="5"/>
  <c r="AY358" i="5"/>
  <c r="AZ382" i="5"/>
  <c r="AI838" i="5"/>
  <c r="AK382" i="5"/>
  <c r="AK406" i="5"/>
  <c r="AJ828" i="5"/>
  <c r="AK430" i="5"/>
  <c r="AL443" i="5"/>
  <c r="AK306" i="5"/>
  <c r="AJ358" i="5"/>
  <c r="AZ402" i="5"/>
  <c r="M3192" i="5"/>
  <c r="F3192" i="5" s="1"/>
  <c r="L3192" i="5" s="1"/>
  <c r="AZ2082" i="5"/>
  <c r="AZ2112" i="5"/>
  <c r="AI1580" i="5"/>
  <c r="AZ1461" i="5"/>
  <c r="AW2099" i="5"/>
  <c r="AX2099" i="5" s="1"/>
  <c r="AR2122" i="5"/>
  <c r="AK1656" i="5"/>
  <c r="AR1669" i="5"/>
  <c r="AT1669" i="5" s="1"/>
  <c r="AJ1055" i="5"/>
  <c r="AY1243" i="5"/>
  <c r="AL1247" i="5"/>
  <c r="AY1262" i="5"/>
  <c r="AT1023" i="5"/>
  <c r="AJ837" i="5"/>
  <c r="AK828" i="5"/>
  <c r="AZ852" i="5"/>
  <c r="AU1692" i="5"/>
  <c r="AV1692" i="5" s="1"/>
  <c r="AL1684" i="5"/>
  <c r="AI1670" i="5"/>
  <c r="AY2112" i="5"/>
  <c r="AU1526" i="5"/>
  <c r="AV1526" i="5" s="1"/>
  <c r="AI1616" i="5"/>
  <c r="G3901" i="5"/>
  <c r="H3901" i="5" s="1"/>
  <c r="AT409" i="5"/>
  <c r="AT596" i="5"/>
  <c r="AT397" i="5"/>
  <c r="AZ2551" i="5"/>
  <c r="AQ1143" i="5"/>
  <c r="AQ1172" i="5"/>
  <c r="AQ1223" i="5"/>
  <c r="AQ1247" i="5"/>
  <c r="AQ1349" i="5"/>
  <c r="AQ2103" i="5"/>
  <c r="AI2113" i="5"/>
  <c r="AW2112" i="5"/>
  <c r="AX2112" i="5" s="1"/>
  <c r="AI1680" i="5"/>
  <c r="AM1223" i="5"/>
  <c r="AI1330" i="5"/>
  <c r="AR1616" i="5"/>
  <c r="AS1616" i="5" s="1"/>
  <c r="AK1680" i="5"/>
  <c r="AL1692" i="5"/>
  <c r="AY1656" i="5"/>
  <c r="AU1669" i="5"/>
  <c r="AV1669" i="5" s="1"/>
  <c r="AI2083" i="5"/>
  <c r="AJ2099" i="5"/>
  <c r="AK2112" i="5"/>
  <c r="AW2122" i="5"/>
  <c r="AX2122" i="5" s="1"/>
  <c r="AI565" i="5"/>
  <c r="AJ1223" i="5"/>
  <c r="AR837" i="5"/>
  <c r="AY837" i="5"/>
  <c r="AS496" i="5"/>
  <c r="AS1043" i="5"/>
  <c r="AZ564" i="5"/>
  <c r="AT669" i="5"/>
  <c r="AK533" i="5"/>
  <c r="AI402" i="5"/>
  <c r="AJ923" i="5"/>
  <c r="AW824" i="5"/>
  <c r="AX824" i="5" s="1"/>
  <c r="AI354" i="5"/>
  <c r="AJ1243" i="5"/>
  <c r="AI1247" i="5"/>
  <c r="AZ1262" i="5"/>
  <c r="AI379" i="5"/>
  <c r="AS632" i="5"/>
  <c r="AJ334" i="5"/>
  <c r="AZ358" i="5"/>
  <c r="M1853" i="5"/>
  <c r="F1853" i="5" s="1"/>
  <c r="AM1853" i="5" s="1"/>
  <c r="M1965" i="5"/>
  <c r="F1965" i="5" s="1"/>
  <c r="AM1966" i="5" s="1"/>
  <c r="M1825" i="5"/>
  <c r="F1825" i="5" s="1"/>
  <c r="AM1826" i="5" s="1"/>
  <c r="M1867" i="5"/>
  <c r="F1867" i="5" s="1"/>
  <c r="AM1868" i="5" s="1"/>
  <c r="M1818" i="5"/>
  <c r="F1818" i="5" s="1"/>
  <c r="AM1818" i="5" s="1"/>
  <c r="M1944" i="5"/>
  <c r="F1944" i="5" s="1"/>
  <c r="M2035" i="5"/>
  <c r="F2035" i="5" s="1"/>
  <c r="AM2036" i="5" s="1"/>
  <c r="AK852" i="5"/>
  <c r="AL852" i="5"/>
  <c r="AK443" i="5"/>
  <c r="D3966" i="5"/>
  <c r="M3097" i="5"/>
  <c r="F3097" i="5" s="1"/>
  <c r="L3097" i="5" s="1"/>
  <c r="M2012" i="5"/>
  <c r="F2012" i="5" s="1"/>
  <c r="AM2012" i="5" s="1"/>
  <c r="AI2104" i="5"/>
  <c r="AQ939" i="5"/>
  <c r="AQ1656" i="5"/>
  <c r="AQ2112" i="5"/>
  <c r="AL2112" i="5"/>
  <c r="C4846" i="5"/>
  <c r="AR1656" i="5"/>
  <c r="AS1656" i="5" s="1"/>
  <c r="AJ1680" i="5"/>
  <c r="AW1692" i="5"/>
  <c r="AX1692" i="5" s="1"/>
  <c r="AJ1656" i="5"/>
  <c r="AK1669" i="5"/>
  <c r="AK2082" i="5"/>
  <c r="AU2099" i="5"/>
  <c r="AV2099" i="5" s="1"/>
  <c r="AU2112" i="5"/>
  <c r="AV2112" i="5" s="1"/>
  <c r="AJ2122" i="5"/>
  <c r="AI1051" i="5"/>
  <c r="AL1537" i="5"/>
  <c r="AT592" i="5"/>
  <c r="AK1223" i="5"/>
  <c r="AZ837" i="5"/>
  <c r="AJ580" i="5"/>
  <c r="AY676" i="5"/>
  <c r="AK544" i="5"/>
  <c r="AK923" i="5"/>
  <c r="AJ1262" i="5"/>
  <c r="AS418" i="5"/>
  <c r="AS294" i="5"/>
  <c r="AS480" i="5"/>
  <c r="AL334" i="5"/>
  <c r="AY378" i="5"/>
  <c r="AU616" i="5"/>
  <c r="AV616" i="5" s="1"/>
  <c r="AJ286" i="5"/>
  <c r="AY334" i="5"/>
  <c r="AS2125" i="5"/>
  <c r="AZ828" i="5"/>
  <c r="AY430" i="5"/>
  <c r="AR443" i="5"/>
  <c r="AS443" i="5" s="1"/>
  <c r="R4395" i="5"/>
  <c r="O4395" i="5" s="1"/>
  <c r="P3635" i="5"/>
  <c r="M2095" i="5"/>
  <c r="F2095" i="5" s="1"/>
  <c r="AM2095" i="5" s="1"/>
  <c r="AW1680" i="5"/>
  <c r="AX1680" i="5" s="1"/>
  <c r="AJ2082" i="5"/>
  <c r="AJ1481" i="5"/>
  <c r="AS679" i="5"/>
  <c r="D5006" i="5"/>
  <c r="AQ1051" i="5"/>
  <c r="AT1213" i="5"/>
  <c r="AI828" i="5"/>
  <c r="AI837" i="5"/>
  <c r="AL1656" i="5"/>
  <c r="AR1680" i="5"/>
  <c r="AS1680" i="5" s="1"/>
  <c r="AJ1692" i="5"/>
  <c r="AZ1684" i="5"/>
  <c r="AJ1660" i="5"/>
  <c r="AU2302" i="5"/>
  <c r="AV2302" i="5" s="1"/>
  <c r="AW1385" i="5"/>
  <c r="AX1385" i="5" s="1"/>
  <c r="AR504" i="5"/>
  <c r="AY1172" i="5"/>
  <c r="AI488" i="5"/>
  <c r="AY580" i="5"/>
  <c r="AK676" i="5"/>
  <c r="AW919" i="5"/>
  <c r="AX919" i="5" s="1"/>
  <c r="AI403" i="5"/>
  <c r="AI431" i="5"/>
  <c r="AS648" i="5"/>
  <c r="AK354" i="5"/>
  <c r="AY560" i="5"/>
  <c r="M2107" i="5"/>
  <c r="F2107" i="5" s="1"/>
  <c r="AM2108" i="5" s="1"/>
  <c r="M2056" i="5"/>
  <c r="F2056" i="5" s="1"/>
  <c r="M1748" i="5"/>
  <c r="F1748" i="5" s="1"/>
  <c r="AM1749" i="5" s="1"/>
  <c r="M2042" i="5"/>
  <c r="F2042" i="5" s="1"/>
  <c r="AM2043" i="5" s="1"/>
  <c r="M2083" i="5"/>
  <c r="F2083" i="5" s="1"/>
  <c r="AM2084" i="5" s="1"/>
  <c r="AM1537" i="5"/>
  <c r="AQ1528" i="5"/>
  <c r="AQ1524" i="5"/>
  <c r="AI1522" i="5"/>
  <c r="AQ1477" i="5"/>
  <c r="AQ1430" i="5"/>
  <c r="AQ1421" i="5"/>
  <c r="AQ1400" i="5"/>
  <c r="AQ1395" i="5"/>
  <c r="AM1369" i="5"/>
  <c r="AQ1323" i="5"/>
  <c r="AM1313" i="5"/>
  <c r="AQ1239" i="5"/>
  <c r="AQ1220" i="5"/>
  <c r="AM1219" i="5"/>
  <c r="AQ1189" i="5"/>
  <c r="AQ1185" i="5"/>
  <c r="AQ1169" i="5"/>
  <c r="AQ1158" i="5"/>
  <c r="AQ575" i="5"/>
  <c r="AQ565" i="5"/>
  <c r="AQ530" i="5"/>
  <c r="AQ417" i="5"/>
  <c r="AQ392" i="5"/>
  <c r="AQ340" i="5"/>
  <c r="AQ336" i="5"/>
  <c r="AN3959" i="5"/>
  <c r="A3959" i="5" s="1"/>
  <c r="D3445" i="5"/>
  <c r="AM1659" i="5"/>
  <c r="AM2202" i="5"/>
  <c r="AS532" i="5"/>
  <c r="AM1812" i="5"/>
  <c r="AM1216" i="5"/>
  <c r="AM2439" i="5"/>
  <c r="I5278" i="5"/>
  <c r="AT344" i="5"/>
  <c r="AS830" i="5"/>
  <c r="AQ2459" i="5"/>
  <c r="AI2448" i="5"/>
  <c r="AQ1912" i="5"/>
  <c r="AM1641" i="5"/>
  <c r="AQ1325" i="5"/>
  <c r="AQ1253" i="5"/>
  <c r="AQ1171" i="5"/>
  <c r="AI1155" i="5"/>
  <c r="AQ1144" i="5"/>
  <c r="AQ1139" i="5"/>
  <c r="AQ1115" i="5"/>
  <c r="AQ1102" i="5"/>
  <c r="AQ1097" i="5"/>
  <c r="AQ1093" i="5"/>
  <c r="AR1526" i="5"/>
  <c r="AS1526" i="5" s="1"/>
  <c r="AT770" i="5"/>
  <c r="AQ2181" i="5"/>
  <c r="A3877" i="5"/>
  <c r="AI1810" i="5"/>
  <c r="AO3877" i="5"/>
  <c r="AP3877" i="5" s="1"/>
  <c r="AR3877" i="5" s="1"/>
  <c r="AQ3964" i="5"/>
  <c r="AM1481" i="5"/>
  <c r="AS617" i="5"/>
  <c r="AO3963" i="5"/>
  <c r="AP3963" i="5" s="1"/>
  <c r="AR3963" i="5" s="1"/>
  <c r="AZ1537" i="5"/>
  <c r="G3555" i="5"/>
  <c r="H3555" i="5" s="1"/>
  <c r="AS540" i="5"/>
  <c r="D3964" i="5"/>
  <c r="AQ1313" i="5"/>
  <c r="AY2397" i="5"/>
  <c r="AI1329" i="5"/>
  <c r="AI1461" i="5"/>
  <c r="AI1829" i="5"/>
  <c r="AI2169" i="5"/>
  <c r="AI892" i="5"/>
  <c r="AR1414" i="5"/>
  <c r="AS1414" i="5" s="1"/>
  <c r="AJ2057" i="5"/>
  <c r="AS884" i="5"/>
  <c r="AI564" i="5"/>
  <c r="AY645" i="5"/>
  <c r="AJ600" i="5"/>
  <c r="AK488" i="5"/>
  <c r="AL560" i="5"/>
  <c r="AY584" i="5"/>
  <c r="AS572" i="5"/>
  <c r="AL528" i="5"/>
  <c r="AZ544" i="5"/>
  <c r="AY640" i="5"/>
  <c r="AY286" i="5"/>
  <c r="AJ508" i="5"/>
  <c r="AS612" i="5"/>
  <c r="W3548" i="5"/>
  <c r="F3555" i="5" s="1"/>
  <c r="AK1526" i="5"/>
  <c r="AQ3639" i="5"/>
  <c r="AQ3877" i="5"/>
  <c r="AK1833" i="5"/>
  <c r="AS296" i="5"/>
  <c r="A3652" i="5"/>
  <c r="AQ1481" i="5"/>
  <c r="AI1219" i="5"/>
  <c r="AI1481" i="5"/>
  <c r="AI1108" i="5"/>
  <c r="AY701" i="5"/>
  <c r="AW560" i="5"/>
  <c r="AX560" i="5" s="1"/>
  <c r="AR589" i="5"/>
  <c r="AT589" i="5" s="1"/>
  <c r="AS664" i="5"/>
  <c r="AS991" i="5"/>
  <c r="AZ528" i="5"/>
  <c r="AL544" i="5"/>
  <c r="AT390" i="5"/>
  <c r="AZ504" i="5"/>
  <c r="AT414" i="5"/>
  <c r="AK508" i="5"/>
  <c r="AY808" i="5"/>
  <c r="AT370" i="5"/>
  <c r="AM1700" i="5"/>
  <c r="D3639" i="5"/>
  <c r="AI2181" i="5"/>
  <c r="AS1825" i="5"/>
  <c r="AQ3648" i="5"/>
  <c r="AQ2237" i="5"/>
  <c r="AT1596" i="5"/>
  <c r="AO3648" i="5"/>
  <c r="AP3648" i="5" s="1"/>
  <c r="AR3648" i="5" s="1"/>
  <c r="AO3966" i="5"/>
  <c r="AP3966" i="5" s="1"/>
  <c r="AR3966" i="5" s="1"/>
  <c r="AQ948" i="5"/>
  <c r="S3528" i="5"/>
  <c r="S3529" i="5" s="1"/>
  <c r="G3541" i="5" s="1"/>
  <c r="H3541" i="5" s="1"/>
  <c r="AI1307" i="5"/>
  <c r="AS432" i="5"/>
  <c r="AT1765" i="5"/>
  <c r="AW504" i="5"/>
  <c r="AX504" i="5" s="1"/>
  <c r="AQ508" i="5"/>
  <c r="AU560" i="5"/>
  <c r="AV560" i="5" s="1"/>
  <c r="AL564" i="5"/>
  <c r="AI590" i="5"/>
  <c r="AK524" i="5"/>
  <c r="AI534" i="5"/>
  <c r="AK1349" i="5"/>
  <c r="AS283" i="5"/>
  <c r="AQ1695" i="5"/>
  <c r="AS2289" i="5"/>
  <c r="A3639" i="5"/>
  <c r="U5150" i="5"/>
  <c r="AR919" i="5"/>
  <c r="AT919" i="5" s="1"/>
  <c r="AS951" i="5"/>
  <c r="AI1518" i="5"/>
  <c r="AT2302" i="5"/>
  <c r="A3648" i="5"/>
  <c r="AT320" i="5"/>
  <c r="AQ3961" i="5"/>
  <c r="AR2273" i="5"/>
  <c r="AS2273" i="5" s="1"/>
  <c r="AI920" i="5"/>
  <c r="AS2313" i="5"/>
  <c r="AJ584" i="5"/>
  <c r="AK580" i="5"/>
  <c r="AL524" i="5"/>
  <c r="AR533" i="5"/>
  <c r="AY892" i="5"/>
  <c r="AR616" i="5"/>
  <c r="AS616" i="5" s="1"/>
  <c r="AK2242" i="5"/>
  <c r="A3864" i="5"/>
  <c r="D3864" i="5"/>
  <c r="AM2300" i="5"/>
  <c r="A3975" i="5"/>
  <c r="AS721" i="5"/>
  <c r="D3975" i="5"/>
  <c r="AS2176" i="5"/>
  <c r="AV3423" i="5"/>
  <c r="AW3423" i="5" s="1"/>
  <c r="AY3423" i="5" s="1"/>
  <c r="AT2050" i="5"/>
  <c r="AO3864" i="5"/>
  <c r="AP3864" i="5" s="1"/>
  <c r="AR3864" i="5" s="1"/>
  <c r="AQ3869" i="5"/>
  <c r="AS385" i="5"/>
  <c r="AT708" i="5"/>
  <c r="D3642" i="5"/>
  <c r="AZ2018" i="5"/>
  <c r="AS355" i="5"/>
  <c r="AT906" i="5"/>
  <c r="AS332" i="5"/>
  <c r="A3968" i="5"/>
  <c r="P3666" i="5"/>
  <c r="G3668" i="5" s="1"/>
  <c r="H3668" i="5" s="1"/>
  <c r="AS1770" i="5"/>
  <c r="AO3869" i="5"/>
  <c r="AP3869" i="5" s="1"/>
  <c r="AR3869" i="5" s="1"/>
  <c r="A3869" i="5"/>
  <c r="T3677" i="5"/>
  <c r="F3679" i="5" s="1"/>
  <c r="AT2234" i="5"/>
  <c r="AZ2320" i="5"/>
  <c r="AT652" i="5"/>
  <c r="AS290" i="5"/>
  <c r="AW2323" i="5"/>
  <c r="AX2323" i="5" s="1"/>
  <c r="AT624" i="5"/>
  <c r="AS2366" i="5"/>
  <c r="AS1257" i="5"/>
  <c r="AS1823" i="5"/>
  <c r="AO3650" i="5"/>
  <c r="AP3650" i="5" s="1"/>
  <c r="AR3650" i="5" s="1"/>
  <c r="AS1216" i="5"/>
  <c r="C5280" i="5"/>
  <c r="AS368" i="5"/>
  <c r="AQ1651" i="5"/>
  <c r="AQ1643" i="5"/>
  <c r="AQ1627" i="5"/>
  <c r="AQ1626" i="5"/>
  <c r="AQ1623" i="5"/>
  <c r="AQ1544" i="5"/>
  <c r="AQ1503" i="5"/>
  <c r="AQ1492" i="5"/>
  <c r="AQ1431" i="5"/>
  <c r="AQ1365" i="5"/>
  <c r="AQ1339" i="5"/>
  <c r="AQ1335" i="5"/>
  <c r="AQ1308" i="5"/>
  <c r="AQ1225" i="5"/>
  <c r="AQ1194" i="5"/>
  <c r="AQ1117" i="5"/>
  <c r="AQ1114" i="5"/>
  <c r="AQ1113" i="5"/>
  <c r="AQ1073" i="5"/>
  <c r="AQ1046" i="5"/>
  <c r="AQ1041" i="5"/>
  <c r="AQ1017" i="5"/>
  <c r="AQ981" i="5"/>
  <c r="AQ961" i="5"/>
  <c r="AQ934" i="5"/>
  <c r="AQ929" i="5"/>
  <c r="AQ925" i="5"/>
  <c r="AQ909" i="5"/>
  <c r="AQ894" i="5"/>
  <c r="AQ703" i="5"/>
  <c r="AQ631" i="5"/>
  <c r="AQ626" i="5"/>
  <c r="AQ623" i="5"/>
  <c r="AQ611" i="5"/>
  <c r="AQ596" i="5"/>
  <c r="AQ591" i="5"/>
  <c r="AQ551" i="5"/>
  <c r="AQ540" i="5"/>
  <c r="AQ2282" i="5"/>
  <c r="AQ2244" i="5"/>
  <c r="AQ2069" i="5"/>
  <c r="AQ2037" i="5"/>
  <c r="AQ2008" i="5"/>
  <c r="AQ1997" i="5"/>
  <c r="AQ1986" i="5"/>
  <c r="AQ1961" i="5"/>
  <c r="AQ1941" i="5"/>
  <c r="AQ1925" i="5"/>
  <c r="AQ1906" i="5"/>
  <c r="AI1890" i="5"/>
  <c r="AQ1874" i="5"/>
  <c r="AQ1854" i="5"/>
  <c r="AQ1839" i="5"/>
  <c r="AQ1836" i="5"/>
  <c r="AQ1835" i="5"/>
  <c r="AQ1834" i="5"/>
  <c r="AQ1830" i="5"/>
  <c r="AQ1824" i="5"/>
  <c r="AQ1774" i="5"/>
  <c r="AQ1762" i="5"/>
  <c r="AQ1758" i="5"/>
  <c r="AQ1753" i="5"/>
  <c r="AQ1685" i="5"/>
  <c r="AQ1665" i="5"/>
  <c r="AQ1641" i="5"/>
  <c r="AQ1562" i="5"/>
  <c r="AQ1506" i="5"/>
  <c r="AQ1450" i="5"/>
  <c r="AQ1394" i="5"/>
  <c r="AQ1374" i="5"/>
  <c r="AQ1338" i="5"/>
  <c r="AQ1252" i="5"/>
  <c r="AQ1244" i="5"/>
  <c r="AQ1233" i="5"/>
  <c r="AQ1228" i="5"/>
  <c r="AQ1224" i="5"/>
  <c r="AQ1137" i="5"/>
  <c r="AQ1112" i="5"/>
  <c r="AQ1108" i="5"/>
  <c r="AQ1096" i="5"/>
  <c r="AQ1076" i="5"/>
  <c r="AQ1057" i="5"/>
  <c r="AQ1052" i="5"/>
  <c r="AQ1040" i="5"/>
  <c r="AQ1016" i="5"/>
  <c r="AQ984" i="5"/>
  <c r="AQ944" i="5"/>
  <c r="AQ928" i="5"/>
  <c r="AQ924" i="5"/>
  <c r="AQ913" i="5"/>
  <c r="AQ861" i="5"/>
  <c r="AQ857" i="5"/>
  <c r="AQ853" i="5"/>
  <c r="AQ833" i="5"/>
  <c r="AQ829" i="5"/>
  <c r="AQ666" i="5"/>
  <c r="AQ601" i="5"/>
  <c r="AQ427" i="5"/>
  <c r="AV3411" i="5"/>
  <c r="AW3411" i="5" s="1"/>
  <c r="AY3411" i="5" s="1"/>
  <c r="AZ1977" i="5"/>
  <c r="AU1977" i="5"/>
  <c r="AV1977" i="5" s="1"/>
  <c r="AS1937" i="5"/>
  <c r="AT1937" i="5"/>
  <c r="AJ1869" i="5"/>
  <c r="AI1869" i="5"/>
  <c r="AZ1869" i="5"/>
  <c r="AS1841" i="5"/>
  <c r="AT1841" i="5"/>
  <c r="AK1838" i="5"/>
  <c r="AL1838" i="5"/>
  <c r="AJ1838" i="5"/>
  <c r="AY1838" i="5"/>
  <c r="AU1838" i="5"/>
  <c r="AV1838" i="5" s="1"/>
  <c r="AI1838" i="5"/>
  <c r="AT1821" i="5"/>
  <c r="AS1821" i="5"/>
  <c r="AL1813" i="5"/>
  <c r="AJ1813" i="5"/>
  <c r="AT1801" i="5"/>
  <c r="AS1801" i="5"/>
  <c r="AK1793" i="5"/>
  <c r="AZ1793" i="5"/>
  <c r="AY1793" i="5"/>
  <c r="AL1793" i="5"/>
  <c r="AQ1793" i="5"/>
  <c r="AK1782" i="5"/>
  <c r="AR1782" i="5"/>
  <c r="AT1782" i="5" s="1"/>
  <c r="AW1782" i="5"/>
  <c r="AX1782" i="5" s="1"/>
  <c r="AJ1782" i="5"/>
  <c r="AI1783" i="5"/>
  <c r="AZ1782" i="5"/>
  <c r="AY1782" i="5"/>
  <c r="AZ1777" i="5"/>
  <c r="AK1777" i="5"/>
  <c r="AJ1777" i="5"/>
  <c r="AL1777" i="5"/>
  <c r="AI1777" i="5"/>
  <c r="AL1773" i="5"/>
  <c r="AK1773" i="5"/>
  <c r="AZ1773" i="5"/>
  <c r="AY1773" i="5"/>
  <c r="AJ1773" i="5"/>
  <c r="AJ1757" i="5"/>
  <c r="AY1757" i="5"/>
  <c r="AZ1757" i="5"/>
  <c r="AL1752" i="5"/>
  <c r="AY1752" i="5"/>
  <c r="AL1741" i="5"/>
  <c r="AZ1741" i="5"/>
  <c r="AI1742" i="5"/>
  <c r="AM1741" i="5"/>
  <c r="AK1741" i="5"/>
  <c r="AI1741" i="5"/>
  <c r="AT1672" i="5"/>
  <c r="AS1672" i="5"/>
  <c r="AS1652" i="5"/>
  <c r="AT1652" i="5"/>
  <c r="AS1648" i="5"/>
  <c r="AT1648" i="5"/>
  <c r="AY1645" i="5"/>
  <c r="AR1645" i="5"/>
  <c r="AS1645" i="5" s="1"/>
  <c r="AJ1645" i="5"/>
  <c r="AW1645" i="5"/>
  <c r="AX1645" i="5" s="1"/>
  <c r="AL1645" i="5"/>
  <c r="AZ1645" i="5"/>
  <c r="AI1646" i="5"/>
  <c r="AU1645" i="5"/>
  <c r="AV1645" i="5" s="1"/>
  <c r="AK1640" i="5"/>
  <c r="AL1640" i="5"/>
  <c r="AI1640" i="5"/>
  <c r="AY1640" i="5"/>
  <c r="AZ1640" i="5"/>
  <c r="AJ1640" i="5"/>
  <c r="AJ1636" i="5"/>
  <c r="AK1636" i="5"/>
  <c r="AY1636" i="5"/>
  <c r="AS1632" i="5"/>
  <c r="AT1632" i="5"/>
  <c r="AS1628" i="5"/>
  <c r="AT1628" i="5"/>
  <c r="AL1620" i="5"/>
  <c r="AZ1620" i="5"/>
  <c r="AY1620" i="5"/>
  <c r="AL1616" i="5"/>
  <c r="AU1616" i="5"/>
  <c r="AV1616" i="5" s="1"/>
  <c r="AY1616" i="5"/>
  <c r="AK1616" i="5"/>
  <c r="AI1617" i="5"/>
  <c r="AL1600" i="5"/>
  <c r="AJ1600" i="5"/>
  <c r="AZ1600" i="5"/>
  <c r="AK1600" i="5"/>
  <c r="AY1600" i="5"/>
  <c r="AL1589" i="5"/>
  <c r="AU1589" i="5"/>
  <c r="AV1589" i="5" s="1"/>
  <c r="AK1589" i="5"/>
  <c r="AI1589" i="5"/>
  <c r="AZ1589" i="5"/>
  <c r="AZ1584" i="5"/>
  <c r="AY1584" i="5"/>
  <c r="AL1584" i="5"/>
  <c r="AY1580" i="5"/>
  <c r="AK1580" i="5"/>
  <c r="AL1580" i="5"/>
  <c r="AZ1580" i="5"/>
  <c r="AS1576" i="5"/>
  <c r="AT1576" i="5"/>
  <c r="AJ1568" i="5"/>
  <c r="AI1569" i="5"/>
  <c r="AL1568" i="5"/>
  <c r="AZ1568" i="5"/>
  <c r="AK1568" i="5"/>
  <c r="AR1568" i="5"/>
  <c r="AS1568" i="5" s="1"/>
  <c r="AW1568" i="5"/>
  <c r="AX1568" i="5" s="1"/>
  <c r="AS1565" i="5"/>
  <c r="AT1565" i="5"/>
  <c r="AK1557" i="5"/>
  <c r="AZ1557" i="5"/>
  <c r="AJ1557" i="5"/>
  <c r="AY1557" i="5"/>
  <c r="AL1557" i="5"/>
  <c r="AR1553" i="5"/>
  <c r="AK1553" i="5"/>
  <c r="AU1553" i="5"/>
  <c r="AV1553" i="5" s="1"/>
  <c r="AI1553" i="5"/>
  <c r="AT1549" i="5"/>
  <c r="AS1549" i="5"/>
  <c r="AL1539" i="5"/>
  <c r="AU1539" i="5"/>
  <c r="AV1539" i="5" s="1"/>
  <c r="AK1539" i="5"/>
  <c r="AW1539" i="5"/>
  <c r="AX1539" i="5" s="1"/>
  <c r="AJ1539" i="5"/>
  <c r="AR1539" i="5"/>
  <c r="AT1539" i="5" s="1"/>
  <c r="AY1539" i="5"/>
  <c r="AK1537" i="5"/>
  <c r="AI1537" i="5"/>
  <c r="AJ1537" i="5"/>
  <c r="AS1529" i="5"/>
  <c r="AT1529" i="5"/>
  <c r="AI1527" i="5"/>
  <c r="AW1526" i="5"/>
  <c r="AX1526" i="5" s="1"/>
  <c r="AI1521" i="5"/>
  <c r="AY1521" i="5"/>
  <c r="AZ1521" i="5"/>
  <c r="AL1521" i="5"/>
  <c r="AJ1517" i="5"/>
  <c r="AL1517" i="5"/>
  <c r="AY1517" i="5"/>
  <c r="AZ1517" i="5"/>
  <c r="AL1501" i="5"/>
  <c r="AJ1501" i="5"/>
  <c r="AZ1501" i="5"/>
  <c r="AR1497" i="5"/>
  <c r="AU1497" i="5"/>
  <c r="AV1497" i="5" s="1"/>
  <c r="AK1497" i="5"/>
  <c r="AZ1497" i="5"/>
  <c r="AL1497" i="5"/>
  <c r="AI1498" i="5"/>
  <c r="AS1493" i="5"/>
  <c r="AT1493" i="5"/>
  <c r="AK1481" i="5"/>
  <c r="AY1481" i="5"/>
  <c r="AY1470" i="5"/>
  <c r="AW1470" i="5"/>
  <c r="AX1470" i="5" s="1"/>
  <c r="AI1470" i="5"/>
  <c r="AK1470" i="5"/>
  <c r="AL1470" i="5"/>
  <c r="AZ1470" i="5"/>
  <c r="AI1465" i="5"/>
  <c r="AK1465" i="5"/>
  <c r="AJ1465" i="5"/>
  <c r="AK1461" i="5"/>
  <c r="AJ1461" i="5"/>
  <c r="AT1457" i="5"/>
  <c r="AS1457" i="5"/>
  <c r="AZ1445" i="5"/>
  <c r="AY1445" i="5"/>
  <c r="AK1445" i="5"/>
  <c r="AY1441" i="5"/>
  <c r="AU1441" i="5"/>
  <c r="AV1441" i="5" s="1"/>
  <c r="AW1441" i="5"/>
  <c r="AX1441" i="5" s="1"/>
  <c r="AK1441" i="5"/>
  <c r="AR1441" i="5"/>
  <c r="AS1441" i="5" s="1"/>
  <c r="AL1441" i="5"/>
  <c r="AY1425" i="5"/>
  <c r="AZ1425" i="5"/>
  <c r="AL1425" i="5"/>
  <c r="AK1425" i="5"/>
  <c r="AT1417" i="5"/>
  <c r="AS1417" i="5"/>
  <c r="AL1414" i="5"/>
  <c r="AW1414" i="5"/>
  <c r="AX1414" i="5" s="1"/>
  <c r="AU1414" i="5"/>
  <c r="AV1414" i="5" s="1"/>
  <c r="AK1414" i="5"/>
  <c r="AL1409" i="5"/>
  <c r="AJ1409" i="5"/>
  <c r="AY1409" i="5"/>
  <c r="AK1409" i="5"/>
  <c r="AI1409" i="5"/>
  <c r="AZ1409" i="5"/>
  <c r="AL1405" i="5"/>
  <c r="AI1405" i="5"/>
  <c r="AJ1405" i="5"/>
  <c r="AZ1405" i="5"/>
  <c r="AS1401" i="5"/>
  <c r="AT1401" i="5"/>
  <c r="AT1397" i="5"/>
  <c r="AS1397" i="5"/>
  <c r="AL1389" i="5"/>
  <c r="AK1389" i="5"/>
  <c r="AJ1389" i="5"/>
  <c r="AZ1389" i="5"/>
  <c r="AY1389" i="5"/>
  <c r="AL1385" i="5"/>
  <c r="AZ1385" i="5"/>
  <c r="AI1385" i="5"/>
  <c r="AU1385" i="5"/>
  <c r="AV1385" i="5" s="1"/>
  <c r="AY1385" i="5"/>
  <c r="AT1381" i="5"/>
  <c r="AS1381" i="5"/>
  <c r="AS1377" i="5"/>
  <c r="AT1377" i="5"/>
  <c r="AZ1369" i="5"/>
  <c r="AY1369" i="5"/>
  <c r="AJ1369" i="5"/>
  <c r="AQ1369" i="5"/>
  <c r="AK1369" i="5"/>
  <c r="AL1369" i="5"/>
  <c r="AT1361" i="5"/>
  <c r="AS1361" i="5"/>
  <c r="AI1359" i="5"/>
  <c r="AZ1358" i="5"/>
  <c r="AJ1358" i="5"/>
  <c r="AR1358" i="5"/>
  <c r="AU1358" i="5"/>
  <c r="AV1358" i="5" s="1"/>
  <c r="AK1358" i="5"/>
  <c r="AL1358" i="5"/>
  <c r="AW1358" i="5"/>
  <c r="AX1358" i="5" s="1"/>
  <c r="AY1358" i="5"/>
  <c r="AI1358" i="5"/>
  <c r="AZ1353" i="5"/>
  <c r="AY1353" i="5"/>
  <c r="AL1353" i="5"/>
  <c r="AK1353" i="5"/>
  <c r="AZ1349" i="5"/>
  <c r="AL1349" i="5"/>
  <c r="AY1349" i="5"/>
  <c r="AS1345" i="5"/>
  <c r="AT1345" i="5"/>
  <c r="AS1341" i="5"/>
  <c r="AT1341" i="5"/>
  <c r="AK1333" i="5"/>
  <c r="AY1333" i="5"/>
  <c r="AZ1333" i="5"/>
  <c r="AR1329" i="5"/>
  <c r="AW1329" i="5"/>
  <c r="AX1329" i="5" s="1"/>
  <c r="AL1329" i="5"/>
  <c r="AU1329" i="5"/>
  <c r="AV1329" i="5" s="1"/>
  <c r="AK1329" i="5"/>
  <c r="AZ1329" i="5"/>
  <c r="AY1329" i="5"/>
  <c r="AT1325" i="5"/>
  <c r="AS1325" i="5"/>
  <c r="AS1321" i="5"/>
  <c r="AT1321" i="5"/>
  <c r="AZ1313" i="5"/>
  <c r="AL1313" i="5"/>
  <c r="AK1313" i="5"/>
  <c r="AY1313" i="5"/>
  <c r="AJ1313" i="5"/>
  <c r="AY1307" i="5"/>
  <c r="AZ1307" i="5"/>
  <c r="AK1307" i="5"/>
  <c r="AI1308" i="5"/>
  <c r="AL1307" i="5"/>
  <c r="AM1307" i="5"/>
  <c r="AT1259" i="5"/>
  <c r="AS1259" i="5"/>
  <c r="AS1255" i="5"/>
  <c r="AT1255" i="5"/>
  <c r="AT1235" i="5"/>
  <c r="AS1235" i="5"/>
  <c r="AS1231" i="5"/>
  <c r="AT1231" i="5"/>
  <c r="AZ1219" i="5"/>
  <c r="AY1219" i="5"/>
  <c r="AQ1219" i="5"/>
  <c r="AL1219" i="5"/>
  <c r="AK1219" i="5"/>
  <c r="AS1215" i="5"/>
  <c r="AT1215" i="5"/>
  <c r="AT1211" i="5"/>
  <c r="AS1211" i="5"/>
  <c r="AL1205" i="5"/>
  <c r="AJ1205" i="5"/>
  <c r="AK1205" i="5"/>
  <c r="AQ1205" i="5"/>
  <c r="AR1199" i="5"/>
  <c r="AK1199" i="5"/>
  <c r="AZ1199" i="5"/>
  <c r="AU1199" i="5"/>
  <c r="AV1199" i="5" s="1"/>
  <c r="AY1199" i="5"/>
  <c r="AL1199" i="5"/>
  <c r="AW1199" i="5"/>
  <c r="AX1199" i="5" s="1"/>
  <c r="AI1199" i="5"/>
  <c r="AJ1199" i="5"/>
  <c r="AT1195" i="5"/>
  <c r="AS1195" i="5"/>
  <c r="AS1191" i="5"/>
  <c r="AT1191" i="5"/>
  <c r="AK1183" i="5"/>
  <c r="AZ1183" i="5"/>
  <c r="AJ1183" i="5"/>
  <c r="AL1183" i="5"/>
  <c r="AY1183" i="5"/>
  <c r="AS1175" i="5"/>
  <c r="AT1175" i="5"/>
  <c r="AR1172" i="5"/>
  <c r="AK1172" i="5"/>
  <c r="AW1172" i="5"/>
  <c r="AX1172" i="5" s="1"/>
  <c r="AI1173" i="5"/>
  <c r="AJ1172" i="5"/>
  <c r="AU1172" i="5"/>
  <c r="AV1172" i="5" s="1"/>
  <c r="AJ1167" i="5"/>
  <c r="AY1167" i="5"/>
  <c r="AK1167" i="5"/>
  <c r="AL1167" i="5"/>
  <c r="AZ1167" i="5"/>
  <c r="AY1163" i="5"/>
  <c r="AZ1163" i="5"/>
  <c r="AL1163" i="5"/>
  <c r="AJ1163" i="5"/>
  <c r="AK1163" i="5"/>
  <c r="AY1147" i="5"/>
  <c r="AZ1147" i="5"/>
  <c r="AZ1143" i="5"/>
  <c r="AK1143" i="5"/>
  <c r="AU1143" i="5"/>
  <c r="AV1143" i="5" s="1"/>
  <c r="AW1143" i="5"/>
  <c r="AX1143" i="5" s="1"/>
  <c r="AR1143" i="5"/>
  <c r="AS1143" i="5" s="1"/>
  <c r="AL1143" i="5"/>
  <c r="AI1144" i="5"/>
  <c r="AY1143" i="5"/>
  <c r="AJ1143" i="5"/>
  <c r="AT1139" i="5"/>
  <c r="AS1139" i="5"/>
  <c r="AS1135" i="5"/>
  <c r="AT1135" i="5"/>
  <c r="AY1127" i="5"/>
  <c r="AK1127" i="5"/>
  <c r="AZ1127" i="5"/>
  <c r="AJ1127" i="5"/>
  <c r="AI1127" i="5"/>
  <c r="AL1127" i="5"/>
  <c r="AL1116" i="5"/>
  <c r="AJ1116" i="5"/>
  <c r="AR1116" i="5"/>
  <c r="AK1116" i="5"/>
  <c r="AZ1116" i="5"/>
  <c r="AU1116" i="5"/>
  <c r="AV1116" i="5" s="1"/>
  <c r="AW1116" i="5"/>
  <c r="AX1116" i="5" s="1"/>
  <c r="AI1116" i="5"/>
  <c r="AY1116" i="5"/>
  <c r="AI1117" i="5"/>
  <c r="AY1111" i="5"/>
  <c r="AL1111" i="5"/>
  <c r="AI1111" i="5"/>
  <c r="AJ1111" i="5"/>
  <c r="AZ1111" i="5"/>
  <c r="AJ1107" i="5"/>
  <c r="AZ1107" i="5"/>
  <c r="AL1107" i="5"/>
  <c r="AY1107" i="5"/>
  <c r="AI1107" i="5"/>
  <c r="AS1103" i="5"/>
  <c r="AT1103" i="5"/>
  <c r="AT1099" i="5"/>
  <c r="AS1099" i="5"/>
  <c r="AY1091" i="5"/>
  <c r="AJ1091" i="5"/>
  <c r="AI1091" i="5"/>
  <c r="AL1087" i="5"/>
  <c r="AZ1087" i="5"/>
  <c r="AY1087" i="5"/>
  <c r="AW1087" i="5"/>
  <c r="AX1087" i="5" s="1"/>
  <c r="AR1087" i="5"/>
  <c r="AT1087" i="5" s="1"/>
  <c r="AK1087" i="5"/>
  <c r="AU1087" i="5"/>
  <c r="AV1087" i="5" s="1"/>
  <c r="AI1088" i="5"/>
  <c r="AJ1087" i="5"/>
  <c r="AS1083" i="5"/>
  <c r="AT1083" i="5"/>
  <c r="AS1079" i="5"/>
  <c r="AT1079" i="5"/>
  <c r="AL1071" i="5"/>
  <c r="AY1071" i="5"/>
  <c r="AJ1071" i="5"/>
  <c r="AZ1071" i="5"/>
  <c r="AI1071" i="5"/>
  <c r="AK1071" i="5"/>
  <c r="AS1063" i="5"/>
  <c r="AT1063" i="5"/>
  <c r="AR1060" i="5"/>
  <c r="AS1060" i="5" s="1"/>
  <c r="AW1060" i="5"/>
  <c r="AX1060" i="5" s="1"/>
  <c r="AU1060" i="5"/>
  <c r="AV1060" i="5" s="1"/>
  <c r="AQ1060" i="5"/>
  <c r="AZ1060" i="5"/>
  <c r="AI1061" i="5"/>
  <c r="AY1060" i="5"/>
  <c r="AI1060" i="5"/>
  <c r="AL1060" i="5"/>
  <c r="AJ1060" i="5"/>
  <c r="AK1060" i="5"/>
  <c r="AK1055" i="5"/>
  <c r="AL1055" i="5"/>
  <c r="AI1055" i="5"/>
  <c r="AQ1055" i="5"/>
  <c r="AS1047" i="5"/>
  <c r="AT1047" i="5"/>
  <c r="AY1035" i="5"/>
  <c r="AJ1035" i="5"/>
  <c r="AK1035" i="5"/>
  <c r="AZ1035" i="5"/>
  <c r="AL1035" i="5"/>
  <c r="AI1035" i="5"/>
  <c r="AY1031" i="5"/>
  <c r="AR1031" i="5"/>
  <c r="AT1031" i="5" s="1"/>
  <c r="AK1031" i="5"/>
  <c r="AU1031" i="5"/>
  <c r="AV1031" i="5" s="1"/>
  <c r="AI1031" i="5"/>
  <c r="AI1032" i="5"/>
  <c r="AJ1031" i="5"/>
  <c r="AZ1031" i="5"/>
  <c r="AW1031" i="5"/>
  <c r="AX1031" i="5" s="1"/>
  <c r="AL1031" i="5"/>
  <c r="AS1027" i="5"/>
  <c r="AT1027" i="5"/>
  <c r="AJ1015" i="5"/>
  <c r="AZ1015" i="5"/>
  <c r="AQ1015" i="5"/>
  <c r="AY1015" i="5"/>
  <c r="AK1015" i="5"/>
  <c r="AJ2431" i="5"/>
  <c r="AK2431" i="5"/>
  <c r="AU2246" i="5"/>
  <c r="AV2246" i="5" s="1"/>
  <c r="AR2246" i="5"/>
  <c r="AS2246" i="5" s="1"/>
  <c r="AK2246" i="5"/>
  <c r="AT2213" i="5"/>
  <c r="AS2213" i="5"/>
  <c r="AK2062" i="5"/>
  <c r="AW2062" i="5"/>
  <c r="AX2062" i="5" s="1"/>
  <c r="AY2062" i="5"/>
  <c r="AK2001" i="5"/>
  <c r="AY2001" i="5"/>
  <c r="AT1973" i="5"/>
  <c r="AS1973" i="5"/>
  <c r="AJ1950" i="5"/>
  <c r="AY1950" i="5"/>
  <c r="AZ1950" i="5"/>
  <c r="AL1894" i="5"/>
  <c r="AZ1894" i="5"/>
  <c r="AI1895" i="5"/>
  <c r="AW1894" i="5"/>
  <c r="AX1894" i="5" s="1"/>
  <c r="AU1894" i="5"/>
  <c r="AV1894" i="5" s="1"/>
  <c r="AK1894" i="5"/>
  <c r="AL1865" i="5"/>
  <c r="AR1865" i="5"/>
  <c r="AS1865" i="5" s="1"/>
  <c r="AK1865" i="5"/>
  <c r="AY1865" i="5"/>
  <c r="AJ1865" i="5"/>
  <c r="AU1865" i="5"/>
  <c r="AV1865" i="5" s="1"/>
  <c r="AS1861" i="5"/>
  <c r="AT1861" i="5"/>
  <c r="AT1857" i="5"/>
  <c r="AS1857" i="5"/>
  <c r="AS2285" i="5"/>
  <c r="AQ1757" i="5"/>
  <c r="AQ1777" i="5"/>
  <c r="AI2401" i="5"/>
  <c r="AL2397" i="5"/>
  <c r="AY1501" i="5"/>
  <c r="AL1553" i="5"/>
  <c r="AJ1620" i="5"/>
  <c r="AS1769" i="5"/>
  <c r="AZ1752" i="5"/>
  <c r="AT1737" i="5"/>
  <c r="AK1869" i="5"/>
  <c r="AR1894" i="5"/>
  <c r="AT1894" i="5" s="1"/>
  <c r="AI1951" i="5"/>
  <c r="AI2001" i="5"/>
  <c r="AK1813" i="5"/>
  <c r="AZ1539" i="5"/>
  <c r="AZ2297" i="5"/>
  <c r="AY2297" i="5"/>
  <c r="AK2033" i="5"/>
  <c r="AR2033" i="5"/>
  <c r="AS2033" i="5" s="1"/>
  <c r="AW2033" i="5"/>
  <c r="AX2033" i="5" s="1"/>
  <c r="AI2034" i="5"/>
  <c r="AY1849" i="5"/>
  <c r="AK1849" i="5"/>
  <c r="AL1849" i="5"/>
  <c r="AY2391" i="5"/>
  <c r="AI1849" i="5"/>
  <c r="AQ2241" i="5"/>
  <c r="AQ2221" i="5"/>
  <c r="AT2115" i="5"/>
  <c r="AL2246" i="5"/>
  <c r="AT2387" i="5"/>
  <c r="AK2391" i="5"/>
  <c r="AQ2397" i="5"/>
  <c r="AI1809" i="5"/>
  <c r="AU1809" i="5"/>
  <c r="AV1809" i="5" s="1"/>
  <c r="AY2181" i="5"/>
  <c r="AJ1829" i="5"/>
  <c r="AQ2246" i="5"/>
  <c r="AI1997" i="5"/>
  <c r="AY2302" i="5"/>
  <c r="AQ1358" i="5"/>
  <c r="AQ1385" i="5"/>
  <c r="AQ1414" i="5"/>
  <c r="AQ1461" i="5"/>
  <c r="AQ1589" i="5"/>
  <c r="AQ1640" i="5"/>
  <c r="AQ1782" i="5"/>
  <c r="AQ1905" i="5"/>
  <c r="AL2190" i="5"/>
  <c r="AI1313" i="5"/>
  <c r="AI1445" i="5"/>
  <c r="AI1554" i="5"/>
  <c r="AI1349" i="5"/>
  <c r="AS1433" i="5"/>
  <c r="AL1465" i="5"/>
  <c r="AK1501" i="5"/>
  <c r="AY1568" i="5"/>
  <c r="AK1620" i="5"/>
  <c r="AL1782" i="5"/>
  <c r="AI1839" i="5"/>
  <c r="AZ1636" i="5"/>
  <c r="AT1612" i="5"/>
  <c r="AI1590" i="5"/>
  <c r="AL1869" i="5"/>
  <c r="AJ1905" i="5"/>
  <c r="AW1950" i="5"/>
  <c r="AX1950" i="5" s="1"/>
  <c r="AJ2033" i="5"/>
  <c r="AS1744" i="5"/>
  <c r="AZ1481" i="5"/>
  <c r="AT1545" i="5"/>
  <c r="AZ1172" i="5"/>
  <c r="AY1405" i="5"/>
  <c r="AL2073" i="5"/>
  <c r="AK2073" i="5"/>
  <c r="AZ2073" i="5"/>
  <c r="AL2053" i="5"/>
  <c r="AZ2053" i="5"/>
  <c r="AY2053" i="5"/>
  <c r="AW1921" i="5"/>
  <c r="AX1921" i="5" s="1"/>
  <c r="AY1921" i="5"/>
  <c r="AI1921" i="5"/>
  <c r="AK1921" i="5"/>
  <c r="AZ1921" i="5"/>
  <c r="AS1913" i="5"/>
  <c r="AT1913" i="5"/>
  <c r="AT1877" i="5"/>
  <c r="AS1877" i="5"/>
  <c r="AL1809" i="5"/>
  <c r="AR1809" i="5"/>
  <c r="AT1809" i="5" s="1"/>
  <c r="AI2221" i="5"/>
  <c r="AS2099" i="5"/>
  <c r="AI1977" i="5"/>
  <c r="AQ1441" i="5"/>
  <c r="AQ1557" i="5"/>
  <c r="AQ1645" i="5"/>
  <c r="AQ1809" i="5"/>
  <c r="AQ1829" i="5"/>
  <c r="AQ1885" i="5"/>
  <c r="AJ2190" i="5"/>
  <c r="AI1369" i="5"/>
  <c r="AI1865" i="5"/>
  <c r="AI1557" i="5"/>
  <c r="AI1773" i="5"/>
  <c r="AI1517" i="5"/>
  <c r="AT1437" i="5"/>
  <c r="AU1470" i="5"/>
  <c r="AV1470" i="5" s="1"/>
  <c r="AT1509" i="5"/>
  <c r="AT1572" i="5"/>
  <c r="AT1785" i="5"/>
  <c r="AZ1813" i="5"/>
  <c r="AZ1849" i="5"/>
  <c r="AJ1752" i="5"/>
  <c r="AW1616" i="5"/>
  <c r="AX1616" i="5" s="1"/>
  <c r="AY1869" i="5"/>
  <c r="AK1905" i="5"/>
  <c r="AR1977" i="5"/>
  <c r="AT1917" i="5"/>
  <c r="AK1757" i="5"/>
  <c r="AJ1425" i="5"/>
  <c r="AK1107" i="5"/>
  <c r="AL1172" i="5"/>
  <c r="AL1147" i="5"/>
  <c r="AK2201" i="5"/>
  <c r="AJ2201" i="5"/>
  <c r="AJ1997" i="5"/>
  <c r="AY1997" i="5"/>
  <c r="AT1989" i="5"/>
  <c r="AS1989" i="5"/>
  <c r="AL1889" i="5"/>
  <c r="AK1889" i="5"/>
  <c r="AJ1889" i="5"/>
  <c r="AI1889" i="5"/>
  <c r="AK1809" i="5"/>
  <c r="AJ2181" i="5"/>
  <c r="AY1829" i="5"/>
  <c r="AW2246" i="5"/>
  <c r="AX2246" i="5" s="1"/>
  <c r="AL2391" i="5"/>
  <c r="AM2037" i="5"/>
  <c r="AJ2391" i="5"/>
  <c r="AI2247" i="5"/>
  <c r="AY1809" i="5"/>
  <c r="AI1833" i="5"/>
  <c r="AQ2313" i="5"/>
  <c r="AQ2400" i="5"/>
  <c r="AQ2257" i="5"/>
  <c r="AQ2001" i="5"/>
  <c r="AQ1389" i="5"/>
  <c r="AQ1465" i="5"/>
  <c r="AQ1497" i="5"/>
  <c r="AQ1517" i="5"/>
  <c r="AQ1537" i="5"/>
  <c r="AQ1568" i="5"/>
  <c r="AQ1616" i="5"/>
  <c r="AQ1865" i="5"/>
  <c r="AW2190" i="5"/>
  <c r="AX2190" i="5" s="1"/>
  <c r="AZ2190" i="5"/>
  <c r="AL2201" i="5"/>
  <c r="AZ2201" i="5"/>
  <c r="AI1389" i="5"/>
  <c r="AI1885" i="5"/>
  <c r="AI1441" i="5"/>
  <c r="AI1793" i="5"/>
  <c r="AJ1385" i="5"/>
  <c r="AJ1470" i="5"/>
  <c r="AY1526" i="5"/>
  <c r="AR1838" i="5"/>
  <c r="AT1838" i="5" s="1"/>
  <c r="AK1752" i="5"/>
  <c r="AL1885" i="5"/>
  <c r="AW1977" i="5"/>
  <c r="AX1977" i="5" s="1"/>
  <c r="AI1636" i="5"/>
  <c r="AZ1997" i="5"/>
  <c r="AI1540" i="5"/>
  <c r="AY1777" i="5"/>
  <c r="AL1091" i="5"/>
  <c r="AJ1329" i="5"/>
  <c r="AJ1147" i="5"/>
  <c r="AT2025" i="5"/>
  <c r="AS2025" i="5"/>
  <c r="AW2006" i="5"/>
  <c r="AX2006" i="5" s="1"/>
  <c r="AY2006" i="5"/>
  <c r="AL2006" i="5"/>
  <c r="AJ2006" i="5"/>
  <c r="AL1945" i="5"/>
  <c r="AK1945" i="5"/>
  <c r="AJ1945" i="5"/>
  <c r="AJ1925" i="5"/>
  <c r="AY1925" i="5"/>
  <c r="AI2391" i="5"/>
  <c r="AL2353" i="5"/>
  <c r="AY2246" i="5"/>
  <c r="AJ1809" i="5"/>
  <c r="AZ1833" i="5"/>
  <c r="AZ2181" i="5"/>
  <c r="AY2237" i="5"/>
  <c r="AK2483" i="5"/>
  <c r="AQ2217" i="5"/>
  <c r="AQ1849" i="5"/>
  <c r="AI2190" i="5"/>
  <c r="AM2241" i="5"/>
  <c r="AQ1470" i="5"/>
  <c r="AQ1838" i="5"/>
  <c r="AQ1889" i="5"/>
  <c r="AQ1945" i="5"/>
  <c r="AM2169" i="5"/>
  <c r="AI2191" i="5"/>
  <c r="AU2190" i="5"/>
  <c r="AV2190" i="5" s="1"/>
  <c r="AI1497" i="5"/>
  <c r="AI2073" i="5"/>
  <c r="AY1741" i="5"/>
  <c r="AI1813" i="5"/>
  <c r="AI1414" i="5"/>
  <c r="AI1526" i="5"/>
  <c r="AR1385" i="5"/>
  <c r="AT1385" i="5" s="1"/>
  <c r="AZ1441" i="5"/>
  <c r="AS1473" i="5"/>
  <c r="AL1526" i="5"/>
  <c r="AJ1584" i="5"/>
  <c r="AY1833" i="5"/>
  <c r="AZ1616" i="5"/>
  <c r="AL1757" i="5"/>
  <c r="AJ1885" i="5"/>
  <c r="AJ1921" i="5"/>
  <c r="AJ1977" i="5"/>
  <c r="AU2273" i="5"/>
  <c r="AV2273" i="5" s="1"/>
  <c r="AT1805" i="5"/>
  <c r="AJ2273" i="5"/>
  <c r="AU1568" i="5"/>
  <c r="AV1568" i="5" s="1"/>
  <c r="AY1055" i="5"/>
  <c r="AL1333" i="5"/>
  <c r="AK1147" i="5"/>
  <c r="AZ1205" i="5"/>
  <c r="AS1155" i="5"/>
  <c r="AS2173" i="5"/>
  <c r="AT2173" i="5"/>
  <c r="AS2085" i="5"/>
  <c r="AT2085" i="5"/>
  <c r="AJ2037" i="5"/>
  <c r="AK2037" i="5"/>
  <c r="AZ1961" i="5"/>
  <c r="AY1961" i="5"/>
  <c r="AL1961" i="5"/>
  <c r="AJ1961" i="5"/>
  <c r="AJ1941" i="5"/>
  <c r="AL1941" i="5"/>
  <c r="AY1941" i="5"/>
  <c r="AJ2353" i="5"/>
  <c r="AZ1809" i="5"/>
  <c r="AM1833" i="5"/>
  <c r="AK2181" i="5"/>
  <c r="AL2273" i="5"/>
  <c r="AK2006" i="5"/>
  <c r="AS331" i="5"/>
  <c r="AI1981" i="5"/>
  <c r="AK2302" i="5"/>
  <c r="AQ1425" i="5"/>
  <c r="AQ1445" i="5"/>
  <c r="AQ1521" i="5"/>
  <c r="AQ1620" i="5"/>
  <c r="AQ1752" i="5"/>
  <c r="AQ1813" i="5"/>
  <c r="AQ1894" i="5"/>
  <c r="AQ1921" i="5"/>
  <c r="AQ1950" i="5"/>
  <c r="AQ2006" i="5"/>
  <c r="AS2177" i="5"/>
  <c r="AI1425" i="5"/>
  <c r="AI1752" i="5"/>
  <c r="AI1641" i="5"/>
  <c r="AI1600" i="5"/>
  <c r="AK1385" i="5"/>
  <c r="AJ1441" i="5"/>
  <c r="AJ1497" i="5"/>
  <c r="AZ1526" i="5"/>
  <c r="AY1589" i="5"/>
  <c r="AJ1793" i="5"/>
  <c r="AW1589" i="5"/>
  <c r="AX1589" i="5" s="1"/>
  <c r="AZ1838" i="5"/>
  <c r="AZ1829" i="5"/>
  <c r="AJ1741" i="5"/>
  <c r="AU1921" i="5"/>
  <c r="AV1921" i="5" s="1"/>
  <c r="AY2037" i="5"/>
  <c r="AL2217" i="5"/>
  <c r="AZ2169" i="5"/>
  <c r="AI2007" i="5"/>
  <c r="AI1206" i="5"/>
  <c r="AJ1580" i="5"/>
  <c r="AK1111" i="5"/>
  <c r="AI1415" i="5"/>
  <c r="AJ1333" i="5"/>
  <c r="AI1167" i="5"/>
  <c r="AJ1307" i="5"/>
  <c r="AY1205" i="5"/>
  <c r="AT1159" i="5"/>
  <c r="AK2333" i="5"/>
  <c r="AZ2333" i="5"/>
  <c r="AL2017" i="5"/>
  <c r="AJ2017" i="5"/>
  <c r="AT1953" i="5"/>
  <c r="AS1953" i="5"/>
  <c r="AZ1905" i="5"/>
  <c r="AI1905" i="5"/>
  <c r="AY1885" i="5"/>
  <c r="AZ1885" i="5"/>
  <c r="AT1881" i="5"/>
  <c r="AS1881" i="5"/>
  <c r="AM1889" i="5"/>
  <c r="AQ1833" i="5"/>
  <c r="AJ2246" i="5"/>
  <c r="AJ1833" i="5"/>
  <c r="AQ2427" i="5"/>
  <c r="AR2190" i="5"/>
  <c r="AS2190" i="5" s="1"/>
  <c r="AY2073" i="5"/>
  <c r="AZ2353" i="5"/>
  <c r="AI2372" i="5"/>
  <c r="AM2001" i="5"/>
  <c r="AK2273" i="5"/>
  <c r="AL2467" i="5"/>
  <c r="AU2006" i="5"/>
  <c r="AV2006" i="5" s="1"/>
  <c r="AW2427" i="5"/>
  <c r="AX2427" i="5" s="1"/>
  <c r="AJ2483" i="5"/>
  <c r="AQ2273" i="5"/>
  <c r="AQ1977" i="5"/>
  <c r="AK2397" i="5"/>
  <c r="AQ1405" i="5"/>
  <c r="AQ1501" i="5"/>
  <c r="AQ1526" i="5"/>
  <c r="AQ1600" i="5"/>
  <c r="AQ1773" i="5"/>
  <c r="AQ1869" i="5"/>
  <c r="AQ2057" i="5"/>
  <c r="AI1200" i="5"/>
  <c r="AY1414" i="5"/>
  <c r="AL1445" i="5"/>
  <c r="AW1497" i="5"/>
  <c r="AX1497" i="5" s="1"/>
  <c r="AJ1553" i="5"/>
  <c r="AJ1589" i="5"/>
  <c r="AT1748" i="5"/>
  <c r="AK1584" i="5"/>
  <c r="AI1584" i="5"/>
  <c r="AL1829" i="5"/>
  <c r="AY1813" i="5"/>
  <c r="AZ1865" i="5"/>
  <c r="AY1889" i="5"/>
  <c r="AK1925" i="5"/>
  <c r="AZ2057" i="5"/>
  <c r="AZ2221" i="5"/>
  <c r="AJ2169" i="5"/>
  <c r="AK1645" i="5"/>
  <c r="AT1993" i="5"/>
  <c r="AK1405" i="5"/>
  <c r="AL1636" i="5"/>
  <c r="AZ1414" i="5"/>
  <c r="AK1091" i="5"/>
  <c r="AJ1353" i="5"/>
  <c r="AJ1219" i="5"/>
  <c r="AJ1004" i="5"/>
  <c r="AI1005" i="5"/>
  <c r="AZ1004" i="5"/>
  <c r="AY1004" i="5"/>
  <c r="AK1004" i="5"/>
  <c r="AJ995" i="5"/>
  <c r="AZ995" i="5"/>
  <c r="AK995" i="5"/>
  <c r="AT987" i="5"/>
  <c r="AS987" i="5"/>
  <c r="AL979" i="5"/>
  <c r="AJ979" i="5"/>
  <c r="AY979" i="5"/>
  <c r="AZ975" i="5"/>
  <c r="AK975" i="5"/>
  <c r="AY975" i="5"/>
  <c r="AL975" i="5"/>
  <c r="AS971" i="5"/>
  <c r="AT971" i="5"/>
  <c r="AZ959" i="5"/>
  <c r="AK959" i="5"/>
  <c r="AL959" i="5"/>
  <c r="AY959" i="5"/>
  <c r="AJ959" i="5"/>
  <c r="AJ948" i="5"/>
  <c r="AU948" i="5"/>
  <c r="AV948" i="5" s="1"/>
  <c r="AI949" i="5"/>
  <c r="AR948" i="5"/>
  <c r="AY948" i="5"/>
  <c r="AJ943" i="5"/>
  <c r="AL943" i="5"/>
  <c r="AK943" i="5"/>
  <c r="AY943" i="5"/>
  <c r="AS935" i="5"/>
  <c r="AT935" i="5"/>
  <c r="AT931" i="5"/>
  <c r="AS931" i="5"/>
  <c r="AY923" i="5"/>
  <c r="AL923" i="5"/>
  <c r="AK919" i="5"/>
  <c r="AI919" i="5"/>
  <c r="AY919" i="5"/>
  <c r="AL919" i="5"/>
  <c r="AJ919" i="5"/>
  <c r="AS915" i="5"/>
  <c r="AT915" i="5"/>
  <c r="AS911" i="5"/>
  <c r="AT911" i="5"/>
  <c r="AJ903" i="5"/>
  <c r="AL903" i="5"/>
  <c r="AK892" i="5"/>
  <c r="AJ892" i="5"/>
  <c r="AU892" i="5"/>
  <c r="AV892" i="5" s="1"/>
  <c r="AI893" i="5"/>
  <c r="AR892" i="5"/>
  <c r="AT892" i="5" s="1"/>
  <c r="AL892" i="5"/>
  <c r="AW892" i="5"/>
  <c r="AX892" i="5" s="1"/>
  <c r="AJ887" i="5"/>
  <c r="AI887" i="5"/>
  <c r="AL887" i="5"/>
  <c r="AT844" i="5"/>
  <c r="AS844" i="5"/>
  <c r="AK813" i="5"/>
  <c r="AY813" i="5"/>
  <c r="AU813" i="5"/>
  <c r="AV813" i="5" s="1"/>
  <c r="AJ813" i="5"/>
  <c r="AL813" i="5"/>
  <c r="AI814" i="5"/>
  <c r="AK804" i="5"/>
  <c r="AJ804" i="5"/>
  <c r="AJ712" i="5"/>
  <c r="AZ712" i="5"/>
  <c r="AY712" i="5"/>
  <c r="AS704" i="5"/>
  <c r="AT704" i="5"/>
  <c r="AW701" i="5"/>
  <c r="AX701" i="5" s="1"/>
  <c r="AU701" i="5"/>
  <c r="AV701" i="5" s="1"/>
  <c r="AR701" i="5"/>
  <c r="AT701" i="5" s="1"/>
  <c r="AL701" i="5"/>
  <c r="AK701" i="5"/>
  <c r="AY696" i="5"/>
  <c r="AI696" i="5"/>
  <c r="AK696" i="5"/>
  <c r="AZ692" i="5"/>
  <c r="AL692" i="5"/>
  <c r="AJ692" i="5"/>
  <c r="AY692" i="5"/>
  <c r="AS684" i="5"/>
  <c r="AT684" i="5"/>
  <c r="AJ676" i="5"/>
  <c r="AZ676" i="5"/>
  <c r="AI672" i="5"/>
  <c r="AJ672" i="5"/>
  <c r="AJ656" i="5"/>
  <c r="AL656" i="5"/>
  <c r="AY656" i="5"/>
  <c r="AI646" i="5"/>
  <c r="AR645" i="5"/>
  <c r="AL645" i="5"/>
  <c r="AW645" i="5"/>
  <c r="AX645" i="5" s="1"/>
  <c r="AZ645" i="5"/>
  <c r="AZ640" i="5"/>
  <c r="AJ640" i="5"/>
  <c r="AL636" i="5"/>
  <c r="AK636" i="5"/>
  <c r="AJ636" i="5"/>
  <c r="AY636" i="5"/>
  <c r="AT628" i="5"/>
  <c r="AS628" i="5"/>
  <c r="AL620" i="5"/>
  <c r="AY620" i="5"/>
  <c r="AZ620" i="5"/>
  <c r="AJ620" i="5"/>
  <c r="AS2525" i="5"/>
  <c r="AT2525" i="5"/>
  <c r="AS2445" i="5"/>
  <c r="AT2445" i="5"/>
  <c r="AI1004" i="5"/>
  <c r="AI923" i="5"/>
  <c r="AI939" i="5"/>
  <c r="AQ975" i="5"/>
  <c r="AZ887" i="5"/>
  <c r="AS816" i="5"/>
  <c r="AZ948" i="5"/>
  <c r="AK948" i="5"/>
  <c r="AW975" i="5"/>
  <c r="AX975" i="5" s="1"/>
  <c r="AS1007" i="5"/>
  <c r="AZ939" i="5"/>
  <c r="AZ804" i="5"/>
  <c r="AT967" i="5"/>
  <c r="AJ696" i="5"/>
  <c r="AQ979" i="5"/>
  <c r="AY887" i="5"/>
  <c r="AW813" i="5"/>
  <c r="AX813" i="5" s="1"/>
  <c r="AS820" i="5"/>
  <c r="AU1004" i="5"/>
  <c r="AV1004" i="5" s="1"/>
  <c r="AR975" i="5"/>
  <c r="AS975" i="5" s="1"/>
  <c r="AK903" i="5"/>
  <c r="AK939" i="5"/>
  <c r="AZ696" i="5"/>
  <c r="AL696" i="5"/>
  <c r="AI959" i="5"/>
  <c r="AR1004" i="5"/>
  <c r="AT1004" i="5" s="1"/>
  <c r="AU975" i="5"/>
  <c r="AV975" i="5" s="1"/>
  <c r="AZ903" i="5"/>
  <c r="AY939" i="5"/>
  <c r="AL712" i="5"/>
  <c r="AK712" i="5"/>
  <c r="AZ979" i="5"/>
  <c r="AW1004" i="5"/>
  <c r="AX1004" i="5" s="1"/>
  <c r="AJ975" i="5"/>
  <c r="AY903" i="5"/>
  <c r="AL939" i="5"/>
  <c r="AS840" i="5"/>
  <c r="AR813" i="5"/>
  <c r="AQ959" i="5"/>
  <c r="AI903" i="5"/>
  <c r="AK979" i="5"/>
  <c r="AZ919" i="5"/>
  <c r="AZ943" i="5"/>
  <c r="AT895" i="5"/>
  <c r="AZ813" i="5"/>
  <c r="AK692" i="5"/>
  <c r="AZ600" i="5"/>
  <c r="AK564" i="5"/>
  <c r="AL580" i="5"/>
  <c r="AU589" i="5"/>
  <c r="AV589" i="5" s="1"/>
  <c r="AI528" i="5"/>
  <c r="AL533" i="5"/>
  <c r="AS536" i="5"/>
  <c r="AS576" i="5"/>
  <c r="AY508" i="5"/>
  <c r="AI601" i="5"/>
  <c r="AL600" i="5"/>
  <c r="AK560" i="5"/>
  <c r="AJ564" i="5"/>
  <c r="AZ584" i="5"/>
  <c r="AK589" i="5"/>
  <c r="AI529" i="5"/>
  <c r="AU533" i="5"/>
  <c r="AV533" i="5" s="1"/>
  <c r="AL508" i="5"/>
  <c r="AK616" i="5"/>
  <c r="AZ589" i="5"/>
  <c r="AY589" i="5"/>
  <c r="AJ560" i="5"/>
  <c r="AK584" i="5"/>
  <c r="AL589" i="5"/>
  <c r="AY528" i="5"/>
  <c r="AY533" i="5"/>
  <c r="AY544" i="5"/>
  <c r="AT454" i="5"/>
  <c r="AL616" i="5"/>
  <c r="AY616" i="5"/>
  <c r="AI584" i="5"/>
  <c r="AJ616" i="5"/>
  <c r="AS608" i="5"/>
  <c r="AS1263" i="5"/>
  <c r="D5244" i="5"/>
  <c r="D5247" i="5" s="1"/>
  <c r="D5250" i="5" s="1"/>
  <c r="D5253" i="5" s="1"/>
  <c r="U5148" i="5"/>
  <c r="F5150" i="5" s="1"/>
  <c r="AT2345" i="5"/>
  <c r="AM1619" i="5"/>
  <c r="AT2517" i="5"/>
  <c r="AT442" i="5"/>
  <c r="AM1763" i="5"/>
  <c r="AM294" i="5"/>
  <c r="AQ3974" i="5"/>
  <c r="AT301" i="5"/>
  <c r="AO3878" i="5"/>
  <c r="AP3878" i="5" s="1"/>
  <c r="AR3878" i="5" s="1"/>
  <c r="AO3863" i="5"/>
  <c r="AP3863" i="5" s="1"/>
  <c r="AR3863" i="5" s="1"/>
  <c r="D3974" i="5"/>
  <c r="C5277" i="5"/>
  <c r="A3394" i="5"/>
  <c r="D3878" i="5"/>
  <c r="D3638" i="5"/>
  <c r="AO3638" i="5"/>
  <c r="AP3638" i="5" s="1"/>
  <c r="AR3638" i="5" s="1"/>
  <c r="G4898" i="5"/>
  <c r="H4898" i="5" s="1"/>
  <c r="AM2063" i="5"/>
  <c r="AM978" i="5"/>
  <c r="AM922" i="5"/>
  <c r="AY2424" i="5"/>
  <c r="A3638" i="5"/>
  <c r="G4894" i="5"/>
  <c r="H4894" i="5" s="1"/>
  <c r="AM936" i="5"/>
  <c r="AM964" i="5"/>
  <c r="AM908" i="5"/>
  <c r="AM1188" i="5"/>
  <c r="AM1174" i="5"/>
  <c r="AM1076" i="5"/>
  <c r="A3974" i="5"/>
  <c r="AS1754" i="5"/>
  <c r="AM1048" i="5"/>
  <c r="AM1034" i="5"/>
  <c r="AM992" i="5"/>
  <c r="AM341" i="5"/>
  <c r="AM803" i="5"/>
  <c r="AM761" i="5"/>
  <c r="AM705" i="5"/>
  <c r="AM649" i="5"/>
  <c r="AM621" i="5"/>
  <c r="AM564" i="5"/>
  <c r="AM536" i="5"/>
  <c r="AM522" i="5"/>
  <c r="AM1197" i="5"/>
  <c r="AM1183" i="5"/>
  <c r="AM1127" i="5"/>
  <c r="AM1099" i="5"/>
  <c r="AM1085" i="5"/>
  <c r="AM1071" i="5"/>
  <c r="AM1043" i="5"/>
  <c r="AM1029" i="5"/>
  <c r="AM1015" i="5"/>
  <c r="AM987" i="5"/>
  <c r="AM945" i="5"/>
  <c r="AM931" i="5"/>
  <c r="AM1515" i="5"/>
  <c r="AM1473" i="5"/>
  <c r="AM1459" i="5"/>
  <c r="AM1445" i="5"/>
  <c r="AM1431" i="5"/>
  <c r="AM1417" i="5"/>
  <c r="AM1403" i="5"/>
  <c r="AM1389" i="5"/>
  <c r="AM1361" i="5"/>
  <c r="AM1319" i="5"/>
  <c r="AM2098" i="5"/>
  <c r="AM2067" i="5"/>
  <c r="AM2053" i="5"/>
  <c r="AM2039" i="5"/>
  <c r="AM2011" i="5"/>
  <c r="AM1997" i="5"/>
  <c r="AM1969" i="5"/>
  <c r="AM1927" i="5"/>
  <c r="AM1899" i="5"/>
  <c r="AQ2436" i="5"/>
  <c r="AT1893" i="5"/>
  <c r="A3878" i="5"/>
  <c r="AM1202" i="5"/>
  <c r="I5240" i="5"/>
  <c r="AV3408" i="5"/>
  <c r="AW3408" i="5" s="1"/>
  <c r="AY3408" i="5" s="1"/>
  <c r="AT989" i="5"/>
  <c r="AT416" i="5"/>
  <c r="AM409" i="5"/>
  <c r="AM2246" i="5"/>
  <c r="AT665" i="5"/>
  <c r="A3863" i="5"/>
  <c r="AT1074" i="5"/>
  <c r="AM1062" i="5"/>
  <c r="AM1020" i="5"/>
  <c r="AQ3643" i="5"/>
  <c r="AV3418" i="5"/>
  <c r="AW3418" i="5" s="1"/>
  <c r="AY3418" i="5" s="1"/>
  <c r="AO3643" i="5"/>
  <c r="AP3643" i="5" s="1"/>
  <c r="AR3643" i="5" s="1"/>
  <c r="C5187" i="5"/>
  <c r="AV3390" i="5"/>
  <c r="AW3390" i="5" s="1"/>
  <c r="AY3390" i="5" s="1"/>
  <c r="AM1697" i="5"/>
  <c r="AS2413" i="5"/>
  <c r="D3643" i="5"/>
  <c r="AT453" i="5"/>
  <c r="U5149" i="5"/>
  <c r="F5153" i="5" s="1"/>
  <c r="AM1556" i="5"/>
  <c r="I5277" i="5"/>
  <c r="AV3388" i="5"/>
  <c r="AW3388" i="5" s="1"/>
  <c r="AY3388" i="5" s="1"/>
  <c r="AM902" i="5"/>
  <c r="AM888" i="5"/>
  <c r="AM1542" i="5"/>
  <c r="AM1486" i="5"/>
  <c r="AM1374" i="5"/>
  <c r="AM1843" i="5"/>
  <c r="AM1829" i="5"/>
  <c r="AM1801" i="5"/>
  <c r="AM1787" i="5"/>
  <c r="AM1759" i="5"/>
  <c r="AM1745" i="5"/>
  <c r="AM2362" i="5"/>
  <c r="AM2348" i="5"/>
  <c r="AM2208" i="5"/>
  <c r="AQ2534" i="5"/>
  <c r="AQ2533" i="5"/>
  <c r="AQ2517" i="5"/>
  <c r="AQ2512" i="5"/>
  <c r="AM2487" i="5"/>
  <c r="AQ2421" i="5"/>
  <c r="AQ2108" i="5"/>
  <c r="AI2216" i="5"/>
  <c r="AY2487" i="5"/>
  <c r="AT2423" i="5"/>
  <c r="AY2431" i="5"/>
  <c r="AK2447" i="5"/>
  <c r="AT2475" i="5"/>
  <c r="AQ2431" i="5"/>
  <c r="W5001" i="5"/>
  <c r="F5007" i="5" s="1"/>
  <c r="AS1244" i="5"/>
  <c r="AY2017" i="5"/>
  <c r="AZ2037" i="5"/>
  <c r="AY2057" i="5"/>
  <c r="AL2062" i="5"/>
  <c r="AJ2073" i="5"/>
  <c r="AJ2185" i="5"/>
  <c r="AR2217" i="5"/>
  <c r="AS2217" i="5" s="1"/>
  <c r="AK2221" i="5"/>
  <c r="AJ2349" i="5"/>
  <c r="AK2313" i="5"/>
  <c r="AK2241" i="5"/>
  <c r="AL2169" i="5"/>
  <c r="AL1981" i="5"/>
  <c r="AY1945" i="5"/>
  <c r="A5290" i="5"/>
  <c r="A5291" i="5" s="1"/>
  <c r="C5291" i="5" s="1"/>
  <c r="Q5276" i="5"/>
  <c r="Q5277" i="5" s="1"/>
  <c r="N5280" i="5"/>
  <c r="AQ2447" i="5"/>
  <c r="AO3960" i="5"/>
  <c r="AP3960" i="5" s="1"/>
  <c r="AR3960" i="5" s="1"/>
  <c r="AS1011" i="5"/>
  <c r="AZ2447" i="5"/>
  <c r="AS2439" i="5"/>
  <c r="AM1719" i="5"/>
  <c r="AZ2017" i="5"/>
  <c r="AS2049" i="5"/>
  <c r="AL2057" i="5"/>
  <c r="AJ2062" i="5"/>
  <c r="AZ2185" i="5"/>
  <c r="AZ2217" i="5"/>
  <c r="AJ2221" i="5"/>
  <c r="AU2358" i="5"/>
  <c r="AV2358" i="5" s="1"/>
  <c r="AZ2293" i="5"/>
  <c r="AS2361" i="5"/>
  <c r="AT2269" i="5"/>
  <c r="AZ2371" i="5"/>
  <c r="AS2229" i="5"/>
  <c r="AY2169" i="5"/>
  <c r="AK2257" i="5"/>
  <c r="AK2017" i="5"/>
  <c r="AM1472" i="5"/>
  <c r="AZ2487" i="5"/>
  <c r="AJ2447" i="5"/>
  <c r="I5274" i="5"/>
  <c r="AT1420" i="5"/>
  <c r="AS2539" i="5"/>
  <c r="AS1045" i="5"/>
  <c r="AK2400" i="5"/>
  <c r="AQ2302" i="5"/>
  <c r="AY2201" i="5"/>
  <c r="AI2398" i="5"/>
  <c r="AI1945" i="5"/>
  <c r="AU1950" i="5"/>
  <c r="AV1950" i="5" s="1"/>
  <c r="AK1961" i="5"/>
  <c r="AK1997" i="5"/>
  <c r="AT2029" i="5"/>
  <c r="AK2057" i="5"/>
  <c r="AR2062" i="5"/>
  <c r="AS2062" i="5" s="1"/>
  <c r="AY2185" i="5"/>
  <c r="AJ2217" i="5"/>
  <c r="AL2221" i="5"/>
  <c r="AZ2358" i="5"/>
  <c r="AS2403" i="5"/>
  <c r="AL2241" i="5"/>
  <c r="AI2241" i="5"/>
  <c r="AY2395" i="5"/>
  <c r="AT2209" i="5"/>
  <c r="AS2305" i="5"/>
  <c r="AJ2241" i="5"/>
  <c r="AJ1981" i="5"/>
  <c r="AL2001" i="5"/>
  <c r="AQ3960" i="5"/>
  <c r="AJ2487" i="5"/>
  <c r="AS735" i="5"/>
  <c r="A5286" i="5"/>
  <c r="A5287" i="5" s="1"/>
  <c r="AI1925" i="5"/>
  <c r="AI1906" i="5"/>
  <c r="AJ1894" i="5"/>
  <c r="AY1905" i="5"/>
  <c r="AR1921" i="5"/>
  <c r="AZ1945" i="5"/>
  <c r="AR1950" i="5"/>
  <c r="AT1950" i="5" s="1"/>
  <c r="AY1977" i="5"/>
  <c r="AL1997" i="5"/>
  <c r="AJ2053" i="5"/>
  <c r="AZ2062" i="5"/>
  <c r="AT2065" i="5"/>
  <c r="AK2185" i="5"/>
  <c r="AU2217" i="5"/>
  <c r="AV2217" i="5" s="1"/>
  <c r="AZ2257" i="5"/>
  <c r="AY2033" i="5"/>
  <c r="AS2233" i="5"/>
  <c r="AZ1941" i="5"/>
  <c r="AZ2246" i="5"/>
  <c r="AL2427" i="5"/>
  <c r="AL2185" i="5"/>
  <c r="AL1921" i="5"/>
  <c r="AZ2006" i="5"/>
  <c r="AK1981" i="5"/>
  <c r="AS1969" i="5"/>
  <c r="AU2033" i="5"/>
  <c r="AV2033" i="5" s="1"/>
  <c r="AR1589" i="5"/>
  <c r="AS1589" i="5" s="1"/>
  <c r="AL2033" i="5"/>
  <c r="AK2053" i="5"/>
  <c r="AI2063" i="5"/>
  <c r="AS2193" i="5"/>
  <c r="AK2217" i="5"/>
  <c r="AL2257" i="5"/>
  <c r="AI2353" i="5"/>
  <c r="AS2045" i="5"/>
  <c r="AJ2297" i="5"/>
  <c r="AS2095" i="5"/>
  <c r="AY2257" i="5"/>
  <c r="AY2427" i="5"/>
  <c r="AI2297" i="5"/>
  <c r="AT2009" i="5"/>
  <c r="AK1941" i="5"/>
  <c r="AI2412" i="5"/>
  <c r="AK2467" i="5"/>
  <c r="AM1402" i="5"/>
  <c r="AZ2427" i="5"/>
  <c r="A5283" i="5"/>
  <c r="A5284" i="5" s="1"/>
  <c r="I5284" i="5" s="1"/>
  <c r="AM1416" i="5"/>
  <c r="AM1430" i="5"/>
  <c r="AM2431" i="5"/>
  <c r="AM2557" i="5"/>
  <c r="AR2400" i="5"/>
  <c r="AT2400" i="5" s="1"/>
  <c r="AS2119" i="5"/>
  <c r="AZ2397" i="5"/>
  <c r="AZ1925" i="5"/>
  <c r="AK1950" i="5"/>
  <c r="AK1977" i="5"/>
  <c r="AZ2033" i="5"/>
  <c r="AU2062" i="5"/>
  <c r="AV2062" i="5" s="1"/>
  <c r="AY2217" i="5"/>
  <c r="AI2303" i="5"/>
  <c r="AU2400" i="5"/>
  <c r="AV2400" i="5" s="1"/>
  <c r="AZ2241" i="5"/>
  <c r="AL1925" i="5"/>
  <c r="AK2297" i="5"/>
  <c r="AL2037" i="5"/>
  <c r="AY1981" i="5"/>
  <c r="AT2265" i="5"/>
  <c r="AT2249" i="5"/>
  <c r="AZ2001" i="5"/>
  <c r="AL1977" i="5"/>
  <c r="AL2297" i="5"/>
  <c r="AJ2001" i="5"/>
  <c r="AJ1849" i="5"/>
  <c r="AM401" i="5"/>
  <c r="AM1552" i="5"/>
  <c r="AM1538" i="5"/>
  <c r="AM1496" i="5"/>
  <c r="AM1314" i="5"/>
  <c r="AM2110" i="5"/>
  <c r="AM2051" i="5"/>
  <c r="AM1799" i="5"/>
  <c r="AM2474" i="5"/>
  <c r="AM2446" i="5"/>
  <c r="AM2432" i="5"/>
  <c r="AM2418" i="5"/>
  <c r="AM1254" i="5"/>
  <c r="AN3861" i="5"/>
  <c r="AO3861" i="5" s="1"/>
  <c r="AP3861" i="5" s="1"/>
  <c r="AR3861" i="5" s="1"/>
  <c r="AN3856" i="5"/>
  <c r="AO3856" i="5" s="1"/>
  <c r="AP3856" i="5" s="1"/>
  <c r="AR3856" i="5" s="1"/>
  <c r="AQ2539" i="5"/>
  <c r="AI2469" i="5"/>
  <c r="AQ2439" i="5"/>
  <c r="AQ2372" i="5"/>
  <c r="AQ2361" i="5"/>
  <c r="AQ2357" i="5"/>
  <c r="AQ2321" i="5"/>
  <c r="AI2320" i="5"/>
  <c r="AQ2305" i="5"/>
  <c r="AQ2301" i="5"/>
  <c r="AQ2289" i="5"/>
  <c r="AQ2269" i="5"/>
  <c r="AQ2265" i="5"/>
  <c r="AQ2249" i="5"/>
  <c r="AQ2245" i="5"/>
  <c r="AQ2233" i="5"/>
  <c r="AQ2229" i="5"/>
  <c r="AQ2213" i="5"/>
  <c r="AQ2209" i="5"/>
  <c r="AQ2177" i="5"/>
  <c r="AQ2119" i="5"/>
  <c r="AQ2095" i="5"/>
  <c r="AQ1993" i="5"/>
  <c r="AQ1978" i="5"/>
  <c r="AQ1937" i="5"/>
  <c r="AQ1913" i="5"/>
  <c r="M3198" i="5"/>
  <c r="F3198" i="5" s="1"/>
  <c r="L3198" i="5" s="1"/>
  <c r="AM305" i="5"/>
  <c r="AM1126" i="5"/>
  <c r="AM1028" i="5"/>
  <c r="AM916" i="5"/>
  <c r="AM1601" i="5"/>
  <c r="AM1573" i="5"/>
  <c r="AM1856" i="5"/>
  <c r="AM1786" i="5"/>
  <c r="AM1758" i="5"/>
  <c r="AM2538" i="5"/>
  <c r="AM2503" i="5"/>
  <c r="AM2461" i="5"/>
  <c r="AM2404" i="5"/>
  <c r="AM2361" i="5"/>
  <c r="AM2347" i="5"/>
  <c r="AN3952" i="5"/>
  <c r="AQ3952" i="5" s="1"/>
  <c r="AT595" i="5"/>
  <c r="AN3628" i="5"/>
  <c r="AQ3628" i="5" s="1"/>
  <c r="AQ2544" i="5"/>
  <c r="AQ2542" i="5"/>
  <c r="AQ2538" i="5"/>
  <c r="AQ2514" i="5"/>
  <c r="AQ2510" i="5"/>
  <c r="AQ2500" i="5"/>
  <c r="AQ2474" i="5"/>
  <c r="AQ2473" i="5"/>
  <c r="AQ2458" i="5"/>
  <c r="AQ2457" i="5"/>
  <c r="AQ2453" i="5"/>
  <c r="AQ2452" i="5"/>
  <c r="AQ2438" i="5"/>
  <c r="AQ2437" i="5"/>
  <c r="AQ2434" i="5"/>
  <c r="AQ2418" i="5"/>
  <c r="AQ2413" i="5"/>
  <c r="AQ2407" i="5"/>
  <c r="AQ2402" i="5"/>
  <c r="AQ2401" i="5"/>
  <c r="AQ2398" i="5"/>
  <c r="AQ2382" i="5"/>
  <c r="AQ2381" i="5"/>
  <c r="AQ2378" i="5"/>
  <c r="AQ2365" i="5"/>
  <c r="AQ2360" i="5"/>
  <c r="AQ2356" i="5"/>
  <c r="AQ2355" i="5"/>
  <c r="AQ2354" i="5"/>
  <c r="AQ2344" i="5"/>
  <c r="AQ2340" i="5"/>
  <c r="AQ2336" i="5"/>
  <c r="AQ2315" i="5"/>
  <c r="AQ2314" i="5"/>
  <c r="AQ2304" i="5"/>
  <c r="AQ2284" i="5"/>
  <c r="AQ2279" i="5"/>
  <c r="AQ2268" i="5"/>
  <c r="AQ2263" i="5"/>
  <c r="AQ2262" i="5"/>
  <c r="AQ2259" i="5"/>
  <c r="AQ2248" i="5"/>
  <c r="AQ2247" i="5"/>
  <c r="AQ2243" i="5"/>
  <c r="AQ2224" i="5"/>
  <c r="AQ2212" i="5"/>
  <c r="AQ2208" i="5"/>
  <c r="AQ2207" i="5"/>
  <c r="AQ2197" i="5"/>
  <c r="AQ2192" i="5"/>
  <c r="AQ2188" i="5"/>
  <c r="AQ2176" i="5"/>
  <c r="AQ2172" i="5"/>
  <c r="AQ2171" i="5"/>
  <c r="AQ2114" i="5"/>
  <c r="AQ2110" i="5"/>
  <c r="AQ2109" i="5"/>
  <c r="AQ2094" i="5"/>
  <c r="AQ2090" i="5"/>
  <c r="AQ2088" i="5"/>
  <c r="AQ2084" i="5"/>
  <c r="AQ2083" i="5"/>
  <c r="AQ2080" i="5"/>
  <c r="AQ2079" i="5"/>
  <c r="AQ1992" i="5"/>
  <c r="AQ1987" i="5"/>
  <c r="AQ1984" i="5"/>
  <c r="AQ1983" i="5"/>
  <c r="AQ1972" i="5"/>
  <c r="AQ1971" i="5"/>
  <c r="AQ1968" i="5"/>
  <c r="AQ1967" i="5"/>
  <c r="AQ1957" i="5"/>
  <c r="AQ1952" i="5"/>
  <c r="AQ1947" i="5"/>
  <c r="AQ1936" i="5"/>
  <c r="AQ1933" i="5"/>
  <c r="AQ1932" i="5"/>
  <c r="AQ1928" i="5"/>
  <c r="AQ1927" i="5"/>
  <c r="AQ1916" i="5"/>
  <c r="AQ1911" i="5"/>
  <c r="AQ1907" i="5"/>
  <c r="AQ1901" i="5"/>
  <c r="M3834" i="5"/>
  <c r="L3834" i="5" s="1"/>
  <c r="M2871" i="5"/>
  <c r="L2871" i="5" s="1"/>
  <c r="AM1528" i="5"/>
  <c r="AM1332" i="5"/>
  <c r="AQ2064" i="5"/>
  <c r="AQ2049" i="5"/>
  <c r="AQ2044" i="5"/>
  <c r="AQ2040" i="5"/>
  <c r="AQ2039" i="5"/>
  <c r="AQ2028" i="5"/>
  <c r="AQ2019" i="5"/>
  <c r="AQ2013" i="5"/>
  <c r="AQ2005" i="5"/>
  <c r="AQ2003" i="5"/>
  <c r="AQ1897" i="5"/>
  <c r="AQ1896" i="5"/>
  <c r="AQ1895" i="5"/>
  <c r="AQ1892" i="5"/>
  <c r="AQ1891" i="5"/>
  <c r="AQ1881" i="5"/>
  <c r="AQ1880" i="5"/>
  <c r="AQ1877" i="5"/>
  <c r="AQ1876" i="5"/>
  <c r="AQ1875" i="5"/>
  <c r="AQ1872" i="5"/>
  <c r="AQ1871" i="5"/>
  <c r="AQ1860" i="5"/>
  <c r="AQ1857" i="5"/>
  <c r="AQ1856" i="5"/>
  <c r="AQ1851" i="5"/>
  <c r="AQ1845" i="5"/>
  <c r="AQ1841" i="5"/>
  <c r="AQ1840" i="5"/>
  <c r="AQ1837" i="5"/>
  <c r="AQ1825" i="5"/>
  <c r="AQ1821" i="5"/>
  <c r="AQ1820" i="5"/>
  <c r="AQ1819" i="5"/>
  <c r="AQ1816" i="5"/>
  <c r="AQ1815" i="5"/>
  <c r="AQ1805" i="5"/>
  <c r="AQ1804" i="5"/>
  <c r="AQ1801" i="5"/>
  <c r="AQ1800" i="5"/>
  <c r="AQ1799" i="5"/>
  <c r="AQ1795" i="5"/>
  <c r="AQ1789" i="5"/>
  <c r="AQ1785" i="5"/>
  <c r="AQ1784" i="5"/>
  <c r="AQ1783" i="5"/>
  <c r="AQ1781" i="5"/>
  <c r="AQ1780" i="5"/>
  <c r="AQ1779" i="5"/>
  <c r="AQ1769" i="5"/>
  <c r="AQ1768" i="5"/>
  <c r="AQ1764" i="5"/>
  <c r="AQ1763" i="5"/>
  <c r="AQ1760" i="5"/>
  <c r="AQ1759" i="5"/>
  <c r="AQ1748" i="5"/>
  <c r="AQ1747" i="5"/>
  <c r="AQ1743" i="5"/>
  <c r="AQ1742" i="5"/>
  <c r="AQ1736" i="5"/>
  <c r="AQ1693" i="5"/>
  <c r="AQ1690" i="5"/>
  <c r="AQ1689" i="5"/>
  <c r="AQ1686" i="5"/>
  <c r="AQ1676" i="5"/>
  <c r="AQ1675" i="5"/>
  <c r="AQ1671" i="5"/>
  <c r="AQ1670" i="5"/>
  <c r="AQ1667" i="5"/>
  <c r="AQ1666" i="5"/>
  <c r="AQ1662" i="5"/>
  <c r="AQ1648" i="5"/>
  <c r="AQ1647" i="5"/>
  <c r="AQ1646" i="5"/>
  <c r="AQ1644" i="5"/>
  <c r="AQ1642" i="5"/>
  <c r="AQ1631" i="5"/>
  <c r="AQ1628" i="5"/>
  <c r="AQ1611" i="5"/>
  <c r="AQ1608" i="5"/>
  <c r="AQ1607" i="5"/>
  <c r="AQ1606" i="5"/>
  <c r="AQ1602" i="5"/>
  <c r="AQ1596" i="5"/>
  <c r="AQ1592" i="5"/>
  <c r="AQ1591" i="5"/>
  <c r="AQ1590" i="5"/>
  <c r="AQ1588" i="5"/>
  <c r="AQ1587" i="5"/>
  <c r="AQ1576" i="5"/>
  <c r="AQ1575" i="5"/>
  <c r="AQ1572" i="5"/>
  <c r="AQ1571" i="5"/>
  <c r="AQ1570" i="5"/>
  <c r="AQ1569" i="5"/>
  <c r="AQ1567" i="5"/>
  <c r="AQ1566" i="5"/>
  <c r="AQ1564" i="5"/>
  <c r="AQ1563" i="5"/>
  <c r="AQ1560" i="5"/>
  <c r="AQ1559" i="5"/>
  <c r="AQ1554" i="5"/>
  <c r="AQ1549" i="5"/>
  <c r="AQ1545" i="5"/>
  <c r="AQ1543" i="5"/>
  <c r="AQ1539" i="5"/>
  <c r="AQ1533" i="5"/>
  <c r="AQ1529" i="5"/>
  <c r="AQ1525" i="5"/>
  <c r="AQ1523" i="5"/>
  <c r="AQ1513" i="5"/>
  <c r="AQ1512" i="5"/>
  <c r="AQ1509" i="5"/>
  <c r="AQ1508" i="5"/>
  <c r="AQ1504" i="5"/>
  <c r="AQ1498" i="5"/>
  <c r="AQ1493" i="5"/>
  <c r="AQ1489" i="5"/>
  <c r="AQ1488" i="5"/>
  <c r="AQ1487" i="5"/>
  <c r="AQ1483" i="5"/>
  <c r="AQ1473" i="5"/>
  <c r="AQ1472" i="5"/>
  <c r="AQ1471" i="5"/>
  <c r="AQ1469" i="5"/>
  <c r="AQ1468" i="5"/>
  <c r="AQ1467" i="5"/>
  <c r="AQ1457" i="5"/>
  <c r="AQ1456" i="5"/>
  <c r="AQ1453" i="5"/>
  <c r="AQ1452" i="5"/>
  <c r="AQ1451" i="5"/>
  <c r="AQ1448" i="5"/>
  <c r="AQ1447" i="5"/>
  <c r="AQ1442" i="5"/>
  <c r="AQ1437" i="5"/>
  <c r="AQ1436" i="5"/>
  <c r="AQ1433" i="5"/>
  <c r="AQ1432" i="5"/>
  <c r="AQ1427" i="5"/>
  <c r="AQ1416" i="5"/>
  <c r="AQ1415" i="5"/>
  <c r="AQ1412" i="5"/>
  <c r="AQ1411" i="5"/>
  <c r="AQ1401" i="5"/>
  <c r="AQ1397" i="5"/>
  <c r="AQ1392" i="5"/>
  <c r="AQ1391" i="5"/>
  <c r="AQ1386" i="5"/>
  <c r="AQ1381" i="5"/>
  <c r="AQ1380" i="5"/>
  <c r="AQ1377" i="5"/>
  <c r="AQ1376" i="5"/>
  <c r="AV3371" i="5"/>
  <c r="AW3371" i="5" s="1"/>
  <c r="AY3371" i="5" s="1"/>
  <c r="AV3367" i="5"/>
  <c r="AW3367" i="5" s="1"/>
  <c r="AY3367" i="5" s="1"/>
  <c r="A3404" i="5"/>
  <c r="AQ1371" i="5"/>
  <c r="AQ1360" i="5"/>
  <c r="AQ1359" i="5"/>
  <c r="AQ1357" i="5"/>
  <c r="AQ1356" i="5"/>
  <c r="AQ1355" i="5"/>
  <c r="AQ1344" i="5"/>
  <c r="AQ1341" i="5"/>
  <c r="AQ1340" i="5"/>
  <c r="AQ1336" i="5"/>
  <c r="AQ1324" i="5"/>
  <c r="AQ1321" i="5"/>
  <c r="AQ1320" i="5"/>
  <c r="AQ1319" i="5"/>
  <c r="AQ1315" i="5"/>
  <c r="AQ1259" i="5"/>
  <c r="AQ1258" i="5"/>
  <c r="AQ1234" i="5"/>
  <c r="AQ1231" i="5"/>
  <c r="AQ1230" i="5"/>
  <c r="AQ1226" i="5"/>
  <c r="AQ1215" i="5"/>
  <c r="AQ1211" i="5"/>
  <c r="AQ1210" i="5"/>
  <c r="AQ1206" i="5"/>
  <c r="AQ1200" i="5"/>
  <c r="AQ1195" i="5"/>
  <c r="AQ1190" i="5"/>
  <c r="AQ1179" i="5"/>
  <c r="AQ1175" i="5"/>
  <c r="AQ1174" i="5"/>
  <c r="AQ1173" i="5"/>
  <c r="AQ1170" i="5"/>
  <c r="AQ1159" i="5"/>
  <c r="AQ1149" i="5"/>
  <c r="AQ1138" i="5"/>
  <c r="AQ1134" i="5"/>
  <c r="AQ1133" i="5"/>
  <c r="AQ1129" i="5"/>
  <c r="AQ1123" i="5"/>
  <c r="AQ1118" i="5"/>
  <c r="AQ1103" i="5"/>
  <c r="AQ1098" i="5"/>
  <c r="AQ1094" i="5"/>
  <c r="AQ1082" i="5"/>
  <c r="AQ1078" i="5"/>
  <c r="AQ1077" i="5"/>
  <c r="AQ1062" i="5"/>
  <c r="AQ1047" i="5"/>
  <c r="AQ1026" i="5"/>
  <c r="AQ1022" i="5"/>
  <c r="AQ1021" i="5"/>
  <c r="AQ1011" i="5"/>
  <c r="AQ1006" i="5"/>
  <c r="AQ1003" i="5"/>
  <c r="AQ1002" i="5"/>
  <c r="AQ991" i="5"/>
  <c r="AQ986" i="5"/>
  <c r="AQ982" i="5"/>
  <c r="AQ970" i="5"/>
  <c r="AQ966" i="5"/>
  <c r="AQ946" i="5"/>
  <c r="AQ926" i="5"/>
  <c r="AQ893" i="5"/>
  <c r="AQ800" i="5"/>
  <c r="AQ791" i="5"/>
  <c r="AQ708" i="5"/>
  <c r="AQ683" i="5"/>
  <c r="AQ679" i="5"/>
  <c r="AQ667" i="5"/>
  <c r="AQ663" i="5"/>
  <c r="AQ652" i="5"/>
  <c r="AQ643" i="5"/>
  <c r="AQ632" i="5"/>
  <c r="AQ607" i="5"/>
  <c r="AQ555" i="5"/>
  <c r="AQ535" i="5"/>
  <c r="AQ454" i="5"/>
  <c r="AQ413" i="5"/>
  <c r="AQ398" i="5"/>
  <c r="AQ385" i="5"/>
  <c r="AQ365" i="5"/>
  <c r="AQ364" i="5"/>
  <c r="AQ350" i="5"/>
  <c r="AQ316" i="5"/>
  <c r="AT1315" i="5"/>
  <c r="AT307" i="5"/>
  <c r="AS307" i="5"/>
  <c r="Q4601" i="5"/>
  <c r="F4601" i="5" s="1"/>
  <c r="G4601" i="5"/>
  <c r="H4601" i="5" s="1"/>
  <c r="AM2024" i="5"/>
  <c r="AM1912" i="5"/>
  <c r="AT2496" i="5"/>
  <c r="AS2496" i="5"/>
  <c r="AK2318" i="5"/>
  <c r="AY2318" i="5"/>
  <c r="AL2318" i="5"/>
  <c r="AI2319" i="5"/>
  <c r="AQ2318" i="5"/>
  <c r="AK2258" i="5"/>
  <c r="AI2258" i="5"/>
  <c r="AZ2258" i="5"/>
  <c r="AK2074" i="5"/>
  <c r="AI2075" i="5"/>
  <c r="AZ2074" i="5"/>
  <c r="AJ2074" i="5"/>
  <c r="AY2074" i="5"/>
  <c r="AQ2074" i="5"/>
  <c r="AT2046" i="5"/>
  <c r="AS2046" i="5"/>
  <c r="AZ2022" i="5"/>
  <c r="AJ2022" i="5"/>
  <c r="AK2022" i="5"/>
  <c r="AI2023" i="5"/>
  <c r="AT1974" i="5"/>
  <c r="AS1974" i="5"/>
  <c r="AR1942" i="5"/>
  <c r="AZ1942" i="5"/>
  <c r="AL1942" i="5"/>
  <c r="AW1942" i="5"/>
  <c r="AX1942" i="5" s="1"/>
  <c r="AU1942" i="5"/>
  <c r="AV1942" i="5" s="1"/>
  <c r="AJ1942" i="5"/>
  <c r="AY1942" i="5"/>
  <c r="AQ1942" i="5"/>
  <c r="AK1942" i="5"/>
  <c r="AI1942" i="5"/>
  <c r="AI1943" i="5"/>
  <c r="AT1918" i="5"/>
  <c r="AS1918" i="5"/>
  <c r="AU1915" i="5"/>
  <c r="AV1915" i="5" s="1"/>
  <c r="AK1915" i="5"/>
  <c r="AR1915" i="5"/>
  <c r="AS1915" i="5" s="1"/>
  <c r="AW1915" i="5"/>
  <c r="AX1915" i="5" s="1"/>
  <c r="AL1915" i="5"/>
  <c r="AJ1915" i="5"/>
  <c r="AY1915" i="5"/>
  <c r="AI1915" i="5"/>
  <c r="AY1910" i="5"/>
  <c r="AJ1910" i="5"/>
  <c r="AZ1910" i="5"/>
  <c r="AK1910" i="5"/>
  <c r="AI1910" i="5"/>
  <c r="AL1910" i="5"/>
  <c r="AQ1910" i="5"/>
  <c r="AT1898" i="5"/>
  <c r="AS1898" i="5"/>
  <c r="AJ1890" i="5"/>
  <c r="AL1890" i="5"/>
  <c r="AZ1890" i="5"/>
  <c r="AU1886" i="5"/>
  <c r="AV1886" i="5" s="1"/>
  <c r="AW1886" i="5"/>
  <c r="AX1886" i="5" s="1"/>
  <c r="AR1886" i="5"/>
  <c r="AS1886" i="5" s="1"/>
  <c r="AJ1886" i="5"/>
  <c r="AY1886" i="5"/>
  <c r="AL1886" i="5"/>
  <c r="AQ1886" i="5"/>
  <c r="AS1882" i="5"/>
  <c r="AT1882" i="5"/>
  <c r="AS1878" i="5"/>
  <c r="AT1878" i="5"/>
  <c r="AY1870" i="5"/>
  <c r="AZ1870" i="5"/>
  <c r="AI1871" i="5"/>
  <c r="AL1870" i="5"/>
  <c r="AK1870" i="5"/>
  <c r="AI1870" i="5"/>
  <c r="AJ1870" i="5"/>
  <c r="AS1862" i="5"/>
  <c r="AT1862" i="5"/>
  <c r="AL1859" i="5"/>
  <c r="AK1859" i="5"/>
  <c r="AJ1859" i="5"/>
  <c r="AR1859" i="5"/>
  <c r="AT1859" i="5" s="1"/>
  <c r="AU1859" i="5"/>
  <c r="AV1859" i="5" s="1"/>
  <c r="AZ1859" i="5"/>
  <c r="AW1859" i="5"/>
  <c r="AX1859" i="5" s="1"/>
  <c r="AY1859" i="5"/>
  <c r="AQ1859" i="5"/>
  <c r="AI1859" i="5"/>
  <c r="AI1854" i="5"/>
  <c r="AY1854" i="5"/>
  <c r="AZ1854" i="5"/>
  <c r="AI1855" i="5"/>
  <c r="AJ1850" i="5"/>
  <c r="AY1850" i="5"/>
  <c r="AQ1850" i="5"/>
  <c r="AI1851" i="5"/>
  <c r="AI1850" i="5"/>
  <c r="AT1846" i="5"/>
  <c r="AS1846" i="5"/>
  <c r="AS1842" i="5"/>
  <c r="AT1842" i="5"/>
  <c r="AL1834" i="5"/>
  <c r="AK1834" i="5"/>
  <c r="AZ1834" i="5"/>
  <c r="AI1835" i="5"/>
  <c r="AJ1834" i="5"/>
  <c r="AI1834" i="5"/>
  <c r="AJ1830" i="5"/>
  <c r="AZ1830" i="5"/>
  <c r="AY1830" i="5"/>
  <c r="AR1830" i="5"/>
  <c r="AT1830" i="5" s="1"/>
  <c r="AL1830" i="5"/>
  <c r="AW1830" i="5"/>
  <c r="AX1830" i="5" s="1"/>
  <c r="AI1831" i="5"/>
  <c r="AI1830" i="5"/>
  <c r="AU1830" i="5"/>
  <c r="AV1830" i="5" s="1"/>
  <c r="AT1826" i="5"/>
  <c r="AS1826" i="5"/>
  <c r="AS1822" i="5"/>
  <c r="AT1822" i="5"/>
  <c r="AL1814" i="5"/>
  <c r="AZ1814" i="5"/>
  <c r="AK1814" i="5"/>
  <c r="AY1814" i="5"/>
  <c r="AJ1814" i="5"/>
  <c r="AI1814" i="5"/>
  <c r="AQ1814" i="5"/>
  <c r="AS1806" i="5"/>
  <c r="AT1806" i="5"/>
  <c r="AJ1803" i="5"/>
  <c r="AI1804" i="5"/>
  <c r="AL1803" i="5"/>
  <c r="AY1803" i="5"/>
  <c r="AW1803" i="5"/>
  <c r="AX1803" i="5" s="1"/>
  <c r="AR1803" i="5"/>
  <c r="AZ1803" i="5"/>
  <c r="AI1803" i="5"/>
  <c r="AU1803" i="5"/>
  <c r="AV1803" i="5" s="1"/>
  <c r="AI1798" i="5"/>
  <c r="AK1798" i="5"/>
  <c r="AJ1798" i="5"/>
  <c r="AL1798" i="5"/>
  <c r="AM1798" i="5"/>
  <c r="AZ1794" i="5"/>
  <c r="AY1794" i="5"/>
  <c r="AL1794" i="5"/>
  <c r="AK1794" i="5"/>
  <c r="AI1794" i="5"/>
  <c r="AT1790" i="5"/>
  <c r="AS1790" i="5"/>
  <c r="AS1786" i="5"/>
  <c r="AT1786" i="5"/>
  <c r="AK1778" i="5"/>
  <c r="AZ1778" i="5"/>
  <c r="AL1778" i="5"/>
  <c r="AI1778" i="5"/>
  <c r="AY1778" i="5"/>
  <c r="AQ1778" i="5"/>
  <c r="AZ1774" i="5"/>
  <c r="AI1774" i="5"/>
  <c r="AK1774" i="5"/>
  <c r="AU1774" i="5"/>
  <c r="AV1774" i="5" s="1"/>
  <c r="AL1774" i="5"/>
  <c r="AJ1774" i="5"/>
  <c r="AR1774" i="5"/>
  <c r="AT1774" i="5" s="1"/>
  <c r="AW1774" i="5"/>
  <c r="AX1774" i="5" s="1"/>
  <c r="AL1758" i="5"/>
  <c r="AK1758" i="5"/>
  <c r="AZ1758" i="5"/>
  <c r="AJ1758" i="5"/>
  <c r="AI1758" i="5"/>
  <c r="AI1759" i="5"/>
  <c r="AR1753" i="5"/>
  <c r="AU1753" i="5"/>
  <c r="AV1753" i="5" s="1"/>
  <c r="AL1753" i="5"/>
  <c r="AI1754" i="5"/>
  <c r="AW1753" i="5"/>
  <c r="AX1753" i="5" s="1"/>
  <c r="AJ1753" i="5"/>
  <c r="AY1753" i="5"/>
  <c r="AZ1753" i="5"/>
  <c r="AK1753" i="5"/>
  <c r="AI1753" i="5"/>
  <c r="AS1749" i="5"/>
  <c r="AT1749" i="5"/>
  <c r="AS1745" i="5"/>
  <c r="AT1745" i="5"/>
  <c r="AS1738" i="5"/>
  <c r="AT1738" i="5"/>
  <c r="AJ2448" i="5"/>
  <c r="AK2448" i="5"/>
  <c r="AI2449" i="5"/>
  <c r="AQ2448" i="5"/>
  <c r="AR2448" i="5"/>
  <c r="AS2448" i="5" s="1"/>
  <c r="AK2392" i="5"/>
  <c r="AW2392" i="5"/>
  <c r="AX2392" i="5" s="1"/>
  <c r="AY2392" i="5"/>
  <c r="AJ2392" i="5"/>
  <c r="AI2393" i="5"/>
  <c r="AL2392" i="5"/>
  <c r="AI2392" i="5"/>
  <c r="AT2362" i="5"/>
  <c r="AS2362" i="5"/>
  <c r="AI2350" i="5"/>
  <c r="AJ2350" i="5"/>
  <c r="AT2342" i="5"/>
  <c r="AS2342" i="5"/>
  <c r="AY2206" i="5"/>
  <c r="AJ2206" i="5"/>
  <c r="AK2206" i="5"/>
  <c r="AI2206" i="5"/>
  <c r="AZ2206" i="5"/>
  <c r="AT2194" i="5"/>
  <c r="AS2194" i="5"/>
  <c r="AR2182" i="5"/>
  <c r="AT2182" i="5" s="1"/>
  <c r="AL2182" i="5"/>
  <c r="AU2182" i="5"/>
  <c r="AV2182" i="5" s="1"/>
  <c r="AJ2182" i="5"/>
  <c r="AK2182" i="5"/>
  <c r="AW2182" i="5"/>
  <c r="AX2182" i="5" s="1"/>
  <c r="AI2183" i="5"/>
  <c r="AQ2182" i="5"/>
  <c r="AT2178" i="5"/>
  <c r="AS2178" i="5"/>
  <c r="AS2174" i="5"/>
  <c r="AT2174" i="5"/>
  <c r="AZ2058" i="5"/>
  <c r="AI2059" i="5"/>
  <c r="AI2058" i="5"/>
  <c r="AL2058" i="5"/>
  <c r="AR1998" i="5"/>
  <c r="AU1998" i="5"/>
  <c r="AV1998" i="5" s="1"/>
  <c r="AJ1998" i="5"/>
  <c r="AI1998" i="5"/>
  <c r="AW1998" i="5"/>
  <c r="AX1998" i="5" s="1"/>
  <c r="AL1998" i="5"/>
  <c r="AT1934" i="5"/>
  <c r="AS1934" i="5"/>
  <c r="AI2074" i="5"/>
  <c r="AQ1890" i="5"/>
  <c r="AZ2318" i="5"/>
  <c r="AL2350" i="5"/>
  <c r="AI2318" i="5"/>
  <c r="AY2027" i="5"/>
  <c r="AM2460" i="5"/>
  <c r="AL2211" i="5"/>
  <c r="AT2524" i="5"/>
  <c r="AS2524" i="5"/>
  <c r="AJ2472" i="5"/>
  <c r="AY2472" i="5"/>
  <c r="AI2472" i="5"/>
  <c r="AZ2472" i="5"/>
  <c r="AL2432" i="5"/>
  <c r="AJ2432" i="5"/>
  <c r="AY2432" i="5"/>
  <c r="AI2432" i="5"/>
  <c r="AK2432" i="5"/>
  <c r="AS2408" i="5"/>
  <c r="AT2408" i="5"/>
  <c r="AI2298" i="5"/>
  <c r="AL2298" i="5"/>
  <c r="AI2299" i="5"/>
  <c r="AK2298" i="5"/>
  <c r="AK2278" i="5"/>
  <c r="AI2279" i="5"/>
  <c r="AL2278" i="5"/>
  <c r="AZ2278" i="5"/>
  <c r="AI2278" i="5"/>
  <c r="AZ2242" i="5"/>
  <c r="AL2242" i="5"/>
  <c r="AI2242" i="5"/>
  <c r="AI2243" i="5"/>
  <c r="AY2242" i="5"/>
  <c r="AZ2202" i="5"/>
  <c r="AJ2202" i="5"/>
  <c r="AI2202" i="5"/>
  <c r="AI2203" i="5"/>
  <c r="AK2186" i="5"/>
  <c r="AY2186" i="5"/>
  <c r="AL2186" i="5"/>
  <c r="AZ2186" i="5"/>
  <c r="AI2186" i="5"/>
  <c r="AT2096" i="5"/>
  <c r="AS2096" i="5"/>
  <c r="AS2066" i="5"/>
  <c r="AT2066" i="5"/>
  <c r="AW2054" i="5"/>
  <c r="AX2054" i="5" s="1"/>
  <c r="AI2054" i="5"/>
  <c r="AZ2054" i="5"/>
  <c r="AK2054" i="5"/>
  <c r="AL2054" i="5"/>
  <c r="AJ2054" i="5"/>
  <c r="AR2054" i="5"/>
  <c r="AT2054" i="5" s="1"/>
  <c r="AI2055" i="5"/>
  <c r="AY2054" i="5"/>
  <c r="AY2038" i="5"/>
  <c r="AJ2038" i="5"/>
  <c r="AK2038" i="5"/>
  <c r="AI2038" i="5"/>
  <c r="AL2038" i="5"/>
  <c r="AY2018" i="5"/>
  <c r="AI2018" i="5"/>
  <c r="AI2019" i="5"/>
  <c r="AJ2018" i="5"/>
  <c r="AL2018" i="5"/>
  <c r="AI2002" i="5"/>
  <c r="AL2002" i="5"/>
  <c r="AY1982" i="5"/>
  <c r="AI1983" i="5"/>
  <c r="AI1982" i="5"/>
  <c r="AZ1982" i="5"/>
  <c r="AL1982" i="5"/>
  <c r="AQ1982" i="5"/>
  <c r="AI1963" i="5"/>
  <c r="AL1962" i="5"/>
  <c r="AS1958" i="5"/>
  <c r="AT1958" i="5"/>
  <c r="AJ1946" i="5"/>
  <c r="AZ1946" i="5"/>
  <c r="AI1947" i="5"/>
  <c r="AY1946" i="5"/>
  <c r="AK1946" i="5"/>
  <c r="AI1946" i="5"/>
  <c r="AY1926" i="5"/>
  <c r="AJ1926" i="5"/>
  <c r="AK1926" i="5"/>
  <c r="AI1926" i="5"/>
  <c r="AL1926" i="5"/>
  <c r="AZ1926" i="5"/>
  <c r="AQ1926" i="5"/>
  <c r="AS1902" i="5"/>
  <c r="AT1902" i="5"/>
  <c r="AJ2258" i="5"/>
  <c r="AZ2350" i="5"/>
  <c r="AJ2376" i="5"/>
  <c r="AS2310" i="5"/>
  <c r="AY2022" i="5"/>
  <c r="AZ2002" i="5"/>
  <c r="AS2014" i="5"/>
  <c r="AY2323" i="5"/>
  <c r="AT2070" i="5"/>
  <c r="AM1255" i="5"/>
  <c r="AI2003" i="5"/>
  <c r="AY2294" i="5"/>
  <c r="AY2416" i="5"/>
  <c r="AL2258" i="5"/>
  <c r="AZ2392" i="5"/>
  <c r="AW2350" i="5"/>
  <c r="AX2350" i="5" s="1"/>
  <c r="AI1891" i="5"/>
  <c r="AJ2318" i="5"/>
  <c r="AU2350" i="5"/>
  <c r="AV2350" i="5" s="1"/>
  <c r="AR2350" i="5"/>
  <c r="AS2350" i="5" s="1"/>
  <c r="AT2444" i="5"/>
  <c r="AQ2472" i="5"/>
  <c r="AL2022" i="5"/>
  <c r="AI1887" i="5"/>
  <c r="AI1999" i="5"/>
  <c r="AI1962" i="5"/>
  <c r="AM287" i="5"/>
  <c r="AK2504" i="5"/>
  <c r="AI2505" i="5"/>
  <c r="AI2504" i="5"/>
  <c r="AL2504" i="5"/>
  <c r="AJ2477" i="5"/>
  <c r="AZ2477" i="5"/>
  <c r="AY2477" i="5"/>
  <c r="AI2478" i="5"/>
  <c r="AQ2477" i="5"/>
  <c r="AK2477" i="5"/>
  <c r="AY2412" i="5"/>
  <c r="AL2412" i="5"/>
  <c r="AL2396" i="5"/>
  <c r="AJ2396" i="5"/>
  <c r="AZ2396" i="5"/>
  <c r="AI2396" i="5"/>
  <c r="AK2396" i="5"/>
  <c r="AY2376" i="5"/>
  <c r="AZ2376" i="5"/>
  <c r="AL2376" i="5"/>
  <c r="AI2355" i="5"/>
  <c r="AY2354" i="5"/>
  <c r="AL2354" i="5"/>
  <c r="AK2354" i="5"/>
  <c r="AZ2354" i="5"/>
  <c r="AK2334" i="5"/>
  <c r="AY2334" i="5"/>
  <c r="AI2335" i="5"/>
  <c r="AZ2334" i="5"/>
  <c r="AI2301" i="5"/>
  <c r="AJ2300" i="5"/>
  <c r="AY2300" i="5"/>
  <c r="AL2300" i="5"/>
  <c r="AQ2300" i="5"/>
  <c r="AZ2300" i="5"/>
  <c r="AJ2267" i="5"/>
  <c r="AW2267" i="5"/>
  <c r="AX2267" i="5" s="1"/>
  <c r="AI2268" i="5"/>
  <c r="AY2267" i="5"/>
  <c r="AZ2267" i="5"/>
  <c r="AK2267" i="5"/>
  <c r="AU2267" i="5"/>
  <c r="AV2267" i="5" s="1"/>
  <c r="AL2267" i="5"/>
  <c r="AS2254" i="5"/>
  <c r="AT2254" i="5"/>
  <c r="AU2211" i="5"/>
  <c r="AV2211" i="5" s="1"/>
  <c r="AZ2211" i="5"/>
  <c r="AJ2211" i="5"/>
  <c r="AW2211" i="5"/>
  <c r="AX2211" i="5" s="1"/>
  <c r="AI2211" i="5"/>
  <c r="AL2170" i="5"/>
  <c r="AM2170" i="5"/>
  <c r="AJ2170" i="5"/>
  <c r="AI2170" i="5"/>
  <c r="AZ2170" i="5"/>
  <c r="AJ2027" i="5"/>
  <c r="AR2027" i="5"/>
  <c r="AS2027" i="5" s="1"/>
  <c r="AU2027" i="5"/>
  <c r="AV2027" i="5" s="1"/>
  <c r="AL2027" i="5"/>
  <c r="AZ2027" i="5"/>
  <c r="AI2028" i="5"/>
  <c r="AS2010" i="5"/>
  <c r="AT2010" i="5"/>
  <c r="AS1994" i="5"/>
  <c r="AT1994" i="5"/>
  <c r="AS1990" i="5"/>
  <c r="AT1990" i="5"/>
  <c r="AZ1966" i="5"/>
  <c r="AI1967" i="5"/>
  <c r="AK1966" i="5"/>
  <c r="AT1954" i="5"/>
  <c r="AS1954" i="5"/>
  <c r="AS1938" i="5"/>
  <c r="AT1938" i="5"/>
  <c r="AK2002" i="5"/>
  <c r="AJ1982" i="5"/>
  <c r="AI2300" i="5"/>
  <c r="AI2262" i="5"/>
  <c r="AK2262" i="5"/>
  <c r="AK1962" i="5"/>
  <c r="AI2294" i="5"/>
  <c r="AI2377" i="5"/>
  <c r="AZ2448" i="5"/>
  <c r="AY2262" i="5"/>
  <c r="AU2392" i="5"/>
  <c r="AV2392" i="5" s="1"/>
  <c r="AK2350" i="5"/>
  <c r="AT2388" i="5"/>
  <c r="AS2030" i="5"/>
  <c r="AQ2278" i="5"/>
  <c r="AI2263" i="5"/>
  <c r="AI2027" i="5"/>
  <c r="AT2326" i="5"/>
  <c r="AI2039" i="5"/>
  <c r="AI1860" i="5"/>
  <c r="AJ2416" i="5"/>
  <c r="AK2416" i="5"/>
  <c r="AZ2416" i="5"/>
  <c r="AL2416" i="5"/>
  <c r="AZ2314" i="5"/>
  <c r="AI2314" i="5"/>
  <c r="AY2314" i="5"/>
  <c r="AL2314" i="5"/>
  <c r="AK2314" i="5"/>
  <c r="AI2238" i="5"/>
  <c r="AY2238" i="5"/>
  <c r="AJ2238" i="5"/>
  <c r="AW2238" i="5"/>
  <c r="AX2238" i="5" s="1"/>
  <c r="AI2239" i="5"/>
  <c r="AU2238" i="5"/>
  <c r="AV2238" i="5" s="1"/>
  <c r="AJ2222" i="5"/>
  <c r="AL2222" i="5"/>
  <c r="AK2222" i="5"/>
  <c r="AI2222" i="5"/>
  <c r="AI2223" i="5"/>
  <c r="AZ2222" i="5"/>
  <c r="AI2171" i="5"/>
  <c r="AI2351" i="5"/>
  <c r="AI2354" i="5"/>
  <c r="AI2022" i="5"/>
  <c r="AZ2038" i="5"/>
  <c r="AZ2488" i="5"/>
  <c r="AJ2488" i="5"/>
  <c r="AY2488" i="5"/>
  <c r="AI2489" i="5"/>
  <c r="AL2488" i="5"/>
  <c r="AS2480" i="5"/>
  <c r="AT2480" i="5"/>
  <c r="AL2323" i="5"/>
  <c r="AZ2323" i="5"/>
  <c r="AK2323" i="5"/>
  <c r="AI2324" i="5"/>
  <c r="AU2323" i="5"/>
  <c r="AV2323" i="5" s="1"/>
  <c r="AI2323" i="5"/>
  <c r="AW2294" i="5"/>
  <c r="AX2294" i="5" s="1"/>
  <c r="AR2294" i="5"/>
  <c r="AK2294" i="5"/>
  <c r="AZ2294" i="5"/>
  <c r="AU2294" i="5"/>
  <c r="AV2294" i="5" s="1"/>
  <c r="AI2295" i="5"/>
  <c r="AJ2294" i="5"/>
  <c r="AW1971" i="5"/>
  <c r="AX1971" i="5" s="1"/>
  <c r="AU1971" i="5"/>
  <c r="AV1971" i="5" s="1"/>
  <c r="AI1972" i="5"/>
  <c r="AY1971" i="5"/>
  <c r="AZ1971" i="5"/>
  <c r="AL1971" i="5"/>
  <c r="AJ1971" i="5"/>
  <c r="AI1971" i="5"/>
  <c r="AR1971" i="5"/>
  <c r="AS1971" i="5" s="1"/>
  <c r="AT2214" i="5"/>
  <c r="AS2346" i="5"/>
  <c r="AJ2323" i="5"/>
  <c r="AZ2262" i="5"/>
  <c r="AR2392" i="5"/>
  <c r="AT2392" i="5" s="1"/>
  <c r="AT2520" i="5"/>
  <c r="AW2477" i="5"/>
  <c r="AX2477" i="5" s="1"/>
  <c r="AZ2238" i="5"/>
  <c r="AM2258" i="5"/>
  <c r="AJ1962" i="5"/>
  <c r="AM1757" i="5"/>
  <c r="AI1927" i="5"/>
  <c r="AY2258" i="5"/>
  <c r="AZ2298" i="5"/>
  <c r="AJ2262" i="5"/>
  <c r="AL2262" i="5"/>
  <c r="AI2397" i="5"/>
  <c r="AI2417" i="5"/>
  <c r="AJ2354" i="5"/>
  <c r="AU2477" i="5"/>
  <c r="AV2477" i="5" s="1"/>
  <c r="AR2477" i="5"/>
  <c r="AS2477" i="5" s="1"/>
  <c r="AK2170" i="5"/>
  <c r="AI1815" i="5"/>
  <c r="AJ2058" i="5"/>
  <c r="AL2468" i="5"/>
  <c r="AY2468" i="5"/>
  <c r="AI2468" i="5"/>
  <c r="AK2468" i="5"/>
  <c r="AJ2452" i="5"/>
  <c r="AZ2452" i="5"/>
  <c r="AI2453" i="5"/>
  <c r="AY2452" i="5"/>
  <c r="AK2421" i="5"/>
  <c r="AI2422" i="5"/>
  <c r="AZ2421" i="5"/>
  <c r="AJ2421" i="5"/>
  <c r="AR2421" i="5"/>
  <c r="AS2421" i="5" s="1"/>
  <c r="AI2421" i="5"/>
  <c r="AU2421" i="5"/>
  <c r="AV2421" i="5" s="1"/>
  <c r="AQ2320" i="5"/>
  <c r="AJ2320" i="5"/>
  <c r="AI2321" i="5"/>
  <c r="AL2320" i="5"/>
  <c r="AM2320" i="5"/>
  <c r="AK2320" i="5"/>
  <c r="AS2286" i="5"/>
  <c r="AT2286" i="5"/>
  <c r="AZ2182" i="5"/>
  <c r="AJ2002" i="5"/>
  <c r="AL2452" i="5"/>
  <c r="AR2238" i="5"/>
  <c r="AS2238" i="5" s="1"/>
  <c r="AZ1962" i="5"/>
  <c r="AY2278" i="5"/>
  <c r="AS2230" i="5"/>
  <c r="AJ2298" i="5"/>
  <c r="AZ2412" i="5"/>
  <c r="AT2404" i="5"/>
  <c r="AI2187" i="5"/>
  <c r="AY2396" i="5"/>
  <c r="AY1890" i="5"/>
  <c r="AI2182" i="5"/>
  <c r="AU2448" i="5"/>
  <c r="AV2448" i="5" s="1"/>
  <c r="AL2448" i="5"/>
  <c r="AY2058" i="5"/>
  <c r="AL2074" i="5"/>
  <c r="AT1677" i="5"/>
  <c r="AS1677" i="5"/>
  <c r="AT1673" i="5"/>
  <c r="AS1673" i="5"/>
  <c r="AT1653" i="5"/>
  <c r="AS1653" i="5"/>
  <c r="AS1649" i="5"/>
  <c r="AT1649" i="5"/>
  <c r="AY1641" i="5"/>
  <c r="AZ1641" i="5"/>
  <c r="AL1641" i="5"/>
  <c r="AJ1641" i="5"/>
  <c r="AU1637" i="5"/>
  <c r="AV1637" i="5" s="1"/>
  <c r="AW1637" i="5"/>
  <c r="AX1637" i="5" s="1"/>
  <c r="AR1637" i="5"/>
  <c r="AK1637" i="5"/>
  <c r="AY1637" i="5"/>
  <c r="AI1637" i="5"/>
  <c r="AL1637" i="5"/>
  <c r="AQ1637" i="5"/>
  <c r="AZ1637" i="5"/>
  <c r="AT1633" i="5"/>
  <c r="AS1633" i="5"/>
  <c r="AS1629" i="5"/>
  <c r="AT1629" i="5"/>
  <c r="AY1621" i="5"/>
  <c r="AJ1621" i="5"/>
  <c r="AI1622" i="5"/>
  <c r="AZ1621" i="5"/>
  <c r="AT1613" i="5"/>
  <c r="AS1613" i="5"/>
  <c r="AR1610" i="5"/>
  <c r="AS1610" i="5" s="1"/>
  <c r="AK1610" i="5"/>
  <c r="AZ1610" i="5"/>
  <c r="AU1610" i="5"/>
  <c r="AV1610" i="5" s="1"/>
  <c r="AW1610" i="5"/>
  <c r="AX1610" i="5" s="1"/>
  <c r="AY1610" i="5"/>
  <c r="AI1611" i="5"/>
  <c r="AJ1610" i="5"/>
  <c r="AK1605" i="5"/>
  <c r="AZ1605" i="5"/>
  <c r="AI1606" i="5"/>
  <c r="AI1605" i="5"/>
  <c r="AY1605" i="5"/>
  <c r="AL1605" i="5"/>
  <c r="AY1601" i="5"/>
  <c r="AJ1601" i="5"/>
  <c r="AZ1601" i="5"/>
  <c r="AL1601" i="5"/>
  <c r="AI1601" i="5"/>
  <c r="AK1601" i="5"/>
  <c r="AI1602" i="5"/>
  <c r="AT1593" i="5"/>
  <c r="AS1593" i="5"/>
  <c r="AZ1585" i="5"/>
  <c r="AY1585" i="5"/>
  <c r="AK1585" i="5"/>
  <c r="AI1586" i="5"/>
  <c r="AJ1585" i="5"/>
  <c r="AL1585" i="5"/>
  <c r="AI1585" i="5"/>
  <c r="AY1581" i="5"/>
  <c r="AZ1581" i="5"/>
  <c r="AJ1581" i="5"/>
  <c r="AW1581" i="5"/>
  <c r="AX1581" i="5" s="1"/>
  <c r="AK1581" i="5"/>
  <c r="AU1581" i="5"/>
  <c r="AV1581" i="5" s="1"/>
  <c r="AL1581" i="5"/>
  <c r="AR1581" i="5"/>
  <c r="AS1577" i="5"/>
  <c r="AT1577" i="5"/>
  <c r="AT1573" i="5"/>
  <c r="AS1573" i="5"/>
  <c r="AK1558" i="5"/>
  <c r="AI1559" i="5"/>
  <c r="AZ1558" i="5"/>
  <c r="AY1558" i="5"/>
  <c r="AI1558" i="5"/>
  <c r="AR1547" i="5"/>
  <c r="AL1547" i="5"/>
  <c r="AU1547" i="5"/>
  <c r="AV1547" i="5" s="1"/>
  <c r="AJ1547" i="5"/>
  <c r="AI1548" i="5"/>
  <c r="AY1547" i="5"/>
  <c r="AK1547" i="5"/>
  <c r="AY1542" i="5"/>
  <c r="AI1543" i="5"/>
  <c r="AK1542" i="5"/>
  <c r="AZ1542" i="5"/>
  <c r="AL1542" i="5"/>
  <c r="AJ1542" i="5"/>
  <c r="AI1542" i="5"/>
  <c r="AL1538" i="5"/>
  <c r="AJ1538" i="5"/>
  <c r="AK1538" i="5"/>
  <c r="AY1538" i="5"/>
  <c r="AI1539" i="5"/>
  <c r="AZ1538" i="5"/>
  <c r="AI1538" i="5"/>
  <c r="AZ1522" i="5"/>
  <c r="AL1522" i="5"/>
  <c r="AI1523" i="5"/>
  <c r="AJ1522" i="5"/>
  <c r="AK1522" i="5"/>
  <c r="AY1522" i="5"/>
  <c r="AQ1522" i="5"/>
  <c r="AZ1518" i="5"/>
  <c r="AU1518" i="5"/>
  <c r="AV1518" i="5" s="1"/>
  <c r="AL1518" i="5"/>
  <c r="AR1518" i="5"/>
  <c r="AT1518" i="5" s="1"/>
  <c r="AY1518" i="5"/>
  <c r="AK1518" i="5"/>
  <c r="AW1518" i="5"/>
  <c r="AX1518" i="5" s="1"/>
  <c r="AJ1518" i="5"/>
  <c r="AQ1518" i="5"/>
  <c r="AT1514" i="5"/>
  <c r="AS1514" i="5"/>
  <c r="AS1510" i="5"/>
  <c r="AT1510" i="5"/>
  <c r="AY1502" i="5"/>
  <c r="AK1502" i="5"/>
  <c r="AZ1502" i="5"/>
  <c r="AJ1502" i="5"/>
  <c r="AL1502" i="5"/>
  <c r="AI1502" i="5"/>
  <c r="AQ1502" i="5"/>
  <c r="AW1491" i="5"/>
  <c r="AX1491" i="5" s="1"/>
  <c r="AK1491" i="5"/>
  <c r="AR1491" i="5"/>
  <c r="AS1491" i="5" s="1"/>
  <c r="AI1492" i="5"/>
  <c r="AL1491" i="5"/>
  <c r="AU1491" i="5"/>
  <c r="AV1491" i="5" s="1"/>
  <c r="AI1487" i="5"/>
  <c r="AL1486" i="5"/>
  <c r="AJ1486" i="5"/>
  <c r="AZ1482" i="5"/>
  <c r="AI1483" i="5"/>
  <c r="AJ1482" i="5"/>
  <c r="AY1482" i="5"/>
  <c r="AI1482" i="5"/>
  <c r="AL1482" i="5"/>
  <c r="AQ1482" i="5"/>
  <c r="AS1474" i="5"/>
  <c r="AT1474" i="5"/>
  <c r="AY1466" i="5"/>
  <c r="AI1467" i="5"/>
  <c r="AL1466" i="5"/>
  <c r="AJ1466" i="5"/>
  <c r="AI1466" i="5"/>
  <c r="AZ1466" i="5"/>
  <c r="AK1462" i="5"/>
  <c r="AY1462" i="5"/>
  <c r="AU1462" i="5"/>
  <c r="AV1462" i="5" s="1"/>
  <c r="AR1462" i="5"/>
  <c r="AS1462" i="5" s="1"/>
  <c r="AW1462" i="5"/>
  <c r="AX1462" i="5" s="1"/>
  <c r="AZ1462" i="5"/>
  <c r="AL1462" i="5"/>
  <c r="AJ1462" i="5"/>
  <c r="AS1458" i="5"/>
  <c r="AT1458" i="5"/>
  <c r="AY1446" i="5"/>
  <c r="AJ1446" i="5"/>
  <c r="AZ1446" i="5"/>
  <c r="AI1447" i="5"/>
  <c r="AQ1446" i="5"/>
  <c r="AI1446" i="5"/>
  <c r="AT1438" i="5"/>
  <c r="AS1438" i="5"/>
  <c r="AU1435" i="5"/>
  <c r="AV1435" i="5" s="1"/>
  <c r="AR1435" i="5"/>
  <c r="AS1435" i="5" s="1"/>
  <c r="AZ1435" i="5"/>
  <c r="AK1435" i="5"/>
  <c r="AW1435" i="5"/>
  <c r="AX1435" i="5" s="1"/>
  <c r="AY1435" i="5"/>
  <c r="AJ1435" i="5"/>
  <c r="AI1430" i="5"/>
  <c r="AJ1430" i="5"/>
  <c r="AK1430" i="5"/>
  <c r="AZ1430" i="5"/>
  <c r="AI1431" i="5"/>
  <c r="AL1430" i="5"/>
  <c r="AZ1426" i="5"/>
  <c r="AL1426" i="5"/>
  <c r="AI1427" i="5"/>
  <c r="AI1426" i="5"/>
  <c r="AJ1426" i="5"/>
  <c r="AQ1426" i="5"/>
  <c r="AT1422" i="5"/>
  <c r="AS1422" i="5"/>
  <c r="AS1418" i="5"/>
  <c r="AT1418" i="5"/>
  <c r="AZ1410" i="5"/>
  <c r="AI1411" i="5"/>
  <c r="AY1410" i="5"/>
  <c r="AJ1406" i="5"/>
  <c r="AY1406" i="5"/>
  <c r="AL1406" i="5"/>
  <c r="AU1406" i="5"/>
  <c r="AV1406" i="5" s="1"/>
  <c r="AZ1406" i="5"/>
  <c r="AK1406" i="5"/>
  <c r="AW1406" i="5"/>
  <c r="AX1406" i="5" s="1"/>
  <c r="AQ1406" i="5"/>
  <c r="AR1406" i="5"/>
  <c r="AT1406" i="5" s="1"/>
  <c r="AI1406" i="5"/>
  <c r="AS1402" i="5"/>
  <c r="AT1402" i="5"/>
  <c r="AT1398" i="5"/>
  <c r="AS1398" i="5"/>
  <c r="AL1390" i="5"/>
  <c r="AY1390" i="5"/>
  <c r="AK1390" i="5"/>
  <c r="AJ1390" i="5"/>
  <c r="AQ1390" i="5"/>
  <c r="AI1390" i="5"/>
  <c r="AZ1390" i="5"/>
  <c r="AI1391" i="5"/>
  <c r="AI1379" i="5"/>
  <c r="AJ1379" i="5"/>
  <c r="AL1379" i="5"/>
  <c r="AR1379" i="5"/>
  <c r="AT1379" i="5" s="1"/>
  <c r="AZ1379" i="5"/>
  <c r="AK1379" i="5"/>
  <c r="AY1379" i="5"/>
  <c r="AQ1379" i="5"/>
  <c r="AW1379" i="5"/>
  <c r="AX1379" i="5" s="1"/>
  <c r="AZ1374" i="5"/>
  <c r="AL1374" i="5"/>
  <c r="AK1374" i="5"/>
  <c r="AI1374" i="5"/>
  <c r="AY1374" i="5"/>
  <c r="AI1375" i="5"/>
  <c r="AL1370" i="5"/>
  <c r="AJ1370" i="5"/>
  <c r="AK1370" i="5"/>
  <c r="AQ1370" i="5"/>
  <c r="AZ1370" i="5"/>
  <c r="AS1366" i="5"/>
  <c r="AT1366" i="5"/>
  <c r="AT1362" i="5"/>
  <c r="AS1362" i="5"/>
  <c r="AZ1354" i="5"/>
  <c r="AI1354" i="5"/>
  <c r="AK1354" i="5"/>
  <c r="AY1354" i="5"/>
  <c r="AL1354" i="5"/>
  <c r="AJ1354" i="5"/>
  <c r="AI1355" i="5"/>
  <c r="AQ1354" i="5"/>
  <c r="AU1350" i="5"/>
  <c r="AV1350" i="5" s="1"/>
  <c r="AJ1350" i="5"/>
  <c r="AK1350" i="5"/>
  <c r="AR1350" i="5"/>
  <c r="AS1350" i="5" s="1"/>
  <c r="AW1350" i="5"/>
  <c r="AX1350" i="5" s="1"/>
  <c r="AQ1350" i="5"/>
  <c r="AZ1350" i="5"/>
  <c r="AY1350" i="5"/>
  <c r="AS1346" i="5"/>
  <c r="AT1346" i="5"/>
  <c r="AT1342" i="5"/>
  <c r="AS1342" i="5"/>
  <c r="AZ1334" i="5"/>
  <c r="AI1334" i="5"/>
  <c r="AY1334" i="5"/>
  <c r="AI1335" i="5"/>
  <c r="AL1334" i="5"/>
  <c r="AK1334" i="5"/>
  <c r="AQ1334" i="5"/>
  <c r="AJ1334" i="5"/>
  <c r="AK1323" i="5"/>
  <c r="AW1323" i="5"/>
  <c r="AX1323" i="5" s="1"/>
  <c r="AJ1323" i="5"/>
  <c r="AU1323" i="5"/>
  <c r="AV1323" i="5" s="1"/>
  <c r="AR1323" i="5"/>
  <c r="AT1323" i="5" s="1"/>
  <c r="AY1323" i="5"/>
  <c r="AL1323" i="5"/>
  <c r="AI1324" i="5"/>
  <c r="AY1318" i="5"/>
  <c r="AI1318" i="5"/>
  <c r="AZ1318" i="5"/>
  <c r="AK1318" i="5"/>
  <c r="AZ1314" i="5"/>
  <c r="AK1314" i="5"/>
  <c r="AL1314" i="5"/>
  <c r="AJ1314" i="5"/>
  <c r="AI1315" i="5"/>
  <c r="AQ1314" i="5"/>
  <c r="AS1310" i="5"/>
  <c r="AT1310" i="5"/>
  <c r="AM1483" i="5"/>
  <c r="AQ1435" i="5"/>
  <c r="AQ1542" i="5"/>
  <c r="AJ1491" i="5"/>
  <c r="AL1446" i="5"/>
  <c r="AS1597" i="5"/>
  <c r="AK1641" i="5"/>
  <c r="AJ1374" i="5"/>
  <c r="AM1444" i="5"/>
  <c r="AI1519" i="5"/>
  <c r="AI1638" i="5"/>
  <c r="AY1486" i="5"/>
  <c r="AK1621" i="5"/>
  <c r="AI1410" i="5"/>
  <c r="AI1581" i="5"/>
  <c r="AT1382" i="5"/>
  <c r="AQ1538" i="5"/>
  <c r="AQ1462" i="5"/>
  <c r="AJ1410" i="5"/>
  <c r="AZ1547" i="5"/>
  <c r="AM1318" i="5"/>
  <c r="AQ1601" i="5"/>
  <c r="AK1482" i="5"/>
  <c r="AI1610" i="5"/>
  <c r="AQ1486" i="5"/>
  <c r="AS1454" i="5"/>
  <c r="AU1379" i="5"/>
  <c r="AV1379" i="5" s="1"/>
  <c r="AI1582" i="5"/>
  <c r="AQ1491" i="5"/>
  <c r="AQ1610" i="5"/>
  <c r="AM915" i="5"/>
  <c r="AI1621" i="5"/>
  <c r="AI1380" i="5"/>
  <c r="AJ1558" i="5"/>
  <c r="AL2375" i="5"/>
  <c r="AZ2375" i="5"/>
  <c r="AK2358" i="5"/>
  <c r="AY2358" i="5"/>
  <c r="AL2349" i="5"/>
  <c r="AK2349" i="5"/>
  <c r="AY2273" i="5"/>
  <c r="AW2273" i="5"/>
  <c r="AX2273" i="5" s="1"/>
  <c r="AL2237" i="5"/>
  <c r="AZ2237" i="5"/>
  <c r="AK2237" i="5"/>
  <c r="AT1236" i="5"/>
  <c r="AS1236" i="5"/>
  <c r="AI1220" i="5"/>
  <c r="AK1220" i="5"/>
  <c r="AR1220" i="5"/>
  <c r="AL1220" i="5"/>
  <c r="AY1220" i="5"/>
  <c r="AJ1220" i="5"/>
  <c r="AZ1220" i="5"/>
  <c r="AW1220" i="5"/>
  <c r="AX1220" i="5" s="1"/>
  <c r="AU1220" i="5"/>
  <c r="AV1220" i="5" s="1"/>
  <c r="AT1212" i="5"/>
  <c r="AS1212" i="5"/>
  <c r="AL1204" i="5"/>
  <c r="AZ1204" i="5"/>
  <c r="AI1205" i="5"/>
  <c r="AY1204" i="5"/>
  <c r="AJ1204" i="5"/>
  <c r="AK1204" i="5"/>
  <c r="AI1204" i="5"/>
  <c r="AS1196" i="5"/>
  <c r="AT1196" i="5"/>
  <c r="AK1193" i="5"/>
  <c r="AL1193" i="5"/>
  <c r="AY1193" i="5"/>
  <c r="AJ1193" i="5"/>
  <c r="AW1193" i="5"/>
  <c r="AX1193" i="5" s="1"/>
  <c r="AU1193" i="5"/>
  <c r="AV1193" i="5" s="1"/>
  <c r="AZ1193" i="5"/>
  <c r="AR1193" i="5"/>
  <c r="AS1193" i="5" s="1"/>
  <c r="AI1194" i="5"/>
  <c r="AK1188" i="5"/>
  <c r="AI1188" i="5"/>
  <c r="AY1188" i="5"/>
  <c r="AZ1188" i="5"/>
  <c r="AL1188" i="5"/>
  <c r="AJ1188" i="5"/>
  <c r="AY1184" i="5"/>
  <c r="AI1184" i="5"/>
  <c r="AJ1184" i="5"/>
  <c r="AK1184" i="5"/>
  <c r="AL1184" i="5"/>
  <c r="AS1181" i="5"/>
  <c r="AT1181" i="5"/>
  <c r="AS1180" i="5"/>
  <c r="AT1180" i="5"/>
  <c r="AS1176" i="5"/>
  <c r="AT1176" i="5"/>
  <c r="AJ1168" i="5"/>
  <c r="AI1168" i="5"/>
  <c r="AL1168" i="5"/>
  <c r="AZ1168" i="5"/>
  <c r="AK1168" i="5"/>
  <c r="AY1168" i="5"/>
  <c r="AK1164" i="5"/>
  <c r="AJ1164" i="5"/>
  <c r="AI1164" i="5"/>
  <c r="AL1164" i="5"/>
  <c r="AZ1164" i="5"/>
  <c r="AU1164" i="5"/>
  <c r="AV1164" i="5" s="1"/>
  <c r="AY1164" i="5"/>
  <c r="AR1164" i="5"/>
  <c r="AS1160" i="5"/>
  <c r="AT1160" i="5"/>
  <c r="AS1156" i="5"/>
  <c r="AT1156" i="5"/>
  <c r="AY1154" i="5"/>
  <c r="AZ1154" i="5"/>
  <c r="AQ1154" i="5"/>
  <c r="AI1154" i="5"/>
  <c r="AL1154" i="5"/>
  <c r="AJ1154" i="5"/>
  <c r="AJ1148" i="5"/>
  <c r="AI1148" i="5"/>
  <c r="AI1149" i="5"/>
  <c r="AL1148" i="5"/>
  <c r="AK1148" i="5"/>
  <c r="AS1141" i="5"/>
  <c r="AT1141" i="5"/>
  <c r="AS1140" i="5"/>
  <c r="AT1140" i="5"/>
  <c r="AI1138" i="5"/>
  <c r="AU1137" i="5"/>
  <c r="AV1137" i="5" s="1"/>
  <c r="AR1137" i="5"/>
  <c r="AS1137" i="5" s="1"/>
  <c r="AL1137" i="5"/>
  <c r="AZ1137" i="5"/>
  <c r="AJ1137" i="5"/>
  <c r="AW1137" i="5"/>
  <c r="AX1137" i="5" s="1"/>
  <c r="AK1137" i="5"/>
  <c r="AY1137" i="5"/>
  <c r="AY1132" i="5"/>
  <c r="AI1132" i="5"/>
  <c r="AL1132" i="5"/>
  <c r="AQ1132" i="5"/>
  <c r="AZ1132" i="5"/>
  <c r="AI1133" i="5"/>
  <c r="AJ1128" i="5"/>
  <c r="AL1128" i="5"/>
  <c r="AI1128" i="5"/>
  <c r="AK1128" i="5"/>
  <c r="AY1128" i="5"/>
  <c r="AZ1128" i="5"/>
  <c r="AT1124" i="5"/>
  <c r="AS1124" i="5"/>
  <c r="AS1121" i="5"/>
  <c r="AT1121" i="5"/>
  <c r="AL1112" i="5"/>
  <c r="AJ1112" i="5"/>
  <c r="AY1112" i="5"/>
  <c r="AK1112" i="5"/>
  <c r="AI1113" i="5"/>
  <c r="AZ1112" i="5"/>
  <c r="AI1112" i="5"/>
  <c r="AT1104" i="5"/>
  <c r="AS1104" i="5"/>
  <c r="AT1100" i="5"/>
  <c r="AS1100" i="5"/>
  <c r="AZ1092" i="5"/>
  <c r="AQ1092" i="5"/>
  <c r="AT1084" i="5"/>
  <c r="AS1084" i="5"/>
  <c r="AY1081" i="5"/>
  <c r="AR1081" i="5"/>
  <c r="AS1081" i="5" s="1"/>
  <c r="AZ1081" i="5"/>
  <c r="AI1082" i="5"/>
  <c r="AW1081" i="5"/>
  <c r="AX1081" i="5" s="1"/>
  <c r="AL1081" i="5"/>
  <c r="AJ1081" i="5"/>
  <c r="AU1081" i="5"/>
  <c r="AV1081" i="5" s="1"/>
  <c r="AQ1081" i="5"/>
  <c r="AZ1076" i="5"/>
  <c r="AL1076" i="5"/>
  <c r="AY1076" i="5"/>
  <c r="AK1076" i="5"/>
  <c r="AI1077" i="5"/>
  <c r="AZ1072" i="5"/>
  <c r="AI1073" i="5"/>
  <c r="AJ1072" i="5"/>
  <c r="AQ1072" i="5"/>
  <c r="AI1072" i="5"/>
  <c r="AY1072" i="5"/>
  <c r="AK1072" i="5"/>
  <c r="AT1068" i="5"/>
  <c r="AS1068" i="5"/>
  <c r="AT1065" i="5"/>
  <c r="AS1065" i="5"/>
  <c r="AT1064" i="5"/>
  <c r="AS1064" i="5"/>
  <c r="AI1056" i="5"/>
  <c r="AK1056" i="5"/>
  <c r="AZ1056" i="5"/>
  <c r="AL1056" i="5"/>
  <c r="AI1057" i="5"/>
  <c r="AQ1056" i="5"/>
  <c r="AR1052" i="5"/>
  <c r="AY1052" i="5"/>
  <c r="AW1052" i="5"/>
  <c r="AX1052" i="5" s="1"/>
  <c r="AL1052" i="5"/>
  <c r="AZ1052" i="5"/>
  <c r="AJ1052" i="5"/>
  <c r="AU1052" i="5"/>
  <c r="AV1052" i="5" s="1"/>
  <c r="AK1052" i="5"/>
  <c r="AL1038" i="5"/>
  <c r="AK1038" i="5"/>
  <c r="AJ1038" i="5"/>
  <c r="AY1038" i="5"/>
  <c r="AQ1038" i="5"/>
  <c r="AI1036" i="5"/>
  <c r="AY1036" i="5"/>
  <c r="AL1036" i="5"/>
  <c r="AZ1036" i="5"/>
  <c r="AI1037" i="5"/>
  <c r="AJ1036" i="5"/>
  <c r="AT1028" i="5"/>
  <c r="AS1028" i="5"/>
  <c r="AK1025" i="5"/>
  <c r="AZ1025" i="5"/>
  <c r="AL1025" i="5"/>
  <c r="AR1025" i="5"/>
  <c r="AU1025" i="5"/>
  <c r="AV1025" i="5" s="1"/>
  <c r="AQ1025" i="5"/>
  <c r="AW1025" i="5"/>
  <c r="AX1025" i="5" s="1"/>
  <c r="AY1025" i="5"/>
  <c r="AI1026" i="5"/>
  <c r="AJ1025" i="5"/>
  <c r="AK1020" i="5"/>
  <c r="AZ1020" i="5"/>
  <c r="AY1020" i="5"/>
  <c r="AQ1020" i="5"/>
  <c r="AI1021" i="5"/>
  <c r="AI1017" i="5"/>
  <c r="AK1016" i="5"/>
  <c r="AZ1016" i="5"/>
  <c r="AY1016" i="5"/>
  <c r="AL1016" i="5"/>
  <c r="AJ1016" i="5"/>
  <c r="AT1012" i="5"/>
  <c r="AS1012" i="5"/>
  <c r="AJ1000" i="5"/>
  <c r="AZ1000" i="5"/>
  <c r="AK1000" i="5"/>
  <c r="AY1000" i="5"/>
  <c r="AI1001" i="5"/>
  <c r="AL1000" i="5"/>
  <c r="AY996" i="5"/>
  <c r="AK996" i="5"/>
  <c r="AJ996" i="5"/>
  <c r="AW996" i="5"/>
  <c r="AX996" i="5" s="1"/>
  <c r="AL996" i="5"/>
  <c r="AZ996" i="5"/>
  <c r="AU996" i="5"/>
  <c r="AV996" i="5" s="1"/>
  <c r="AR996" i="5"/>
  <c r="AS996" i="5" s="1"/>
  <c r="AI996" i="5"/>
  <c r="AT992" i="5"/>
  <c r="AS992" i="5"/>
  <c r="AT988" i="5"/>
  <c r="AS988" i="5"/>
  <c r="AI981" i="5"/>
  <c r="AK980" i="5"/>
  <c r="AL980" i="5"/>
  <c r="AZ980" i="5"/>
  <c r="AJ980" i="5"/>
  <c r="AY980" i="5"/>
  <c r="AQ980" i="5"/>
  <c r="AT972" i="5"/>
  <c r="AS972" i="5"/>
  <c r="AU969" i="5"/>
  <c r="AV969" i="5" s="1"/>
  <c r="AR969" i="5"/>
  <c r="AI970" i="5"/>
  <c r="AY969" i="5"/>
  <c r="AL969" i="5"/>
  <c r="AW969" i="5"/>
  <c r="AX969" i="5" s="1"/>
  <c r="AZ969" i="5"/>
  <c r="AQ969" i="5"/>
  <c r="AJ964" i="5"/>
  <c r="AL964" i="5"/>
  <c r="AI965" i="5"/>
  <c r="AZ964" i="5"/>
  <c r="AK964" i="5"/>
  <c r="AI964" i="5"/>
  <c r="AY964" i="5"/>
  <c r="AQ964" i="5"/>
  <c r="AZ960" i="5"/>
  <c r="AL960" i="5"/>
  <c r="AI961" i="5"/>
  <c r="AI960" i="5"/>
  <c r="AY960" i="5"/>
  <c r="AJ960" i="5"/>
  <c r="AT956" i="5"/>
  <c r="AS956" i="5"/>
  <c r="AS952" i="5"/>
  <c r="AT952" i="5"/>
  <c r="AI945" i="5"/>
  <c r="AY944" i="5"/>
  <c r="AJ944" i="5"/>
  <c r="AI944" i="5"/>
  <c r="AZ944" i="5"/>
  <c r="AI940" i="5"/>
  <c r="AR940" i="5"/>
  <c r="AL940" i="5"/>
  <c r="AW940" i="5"/>
  <c r="AX940" i="5" s="1"/>
  <c r="AJ940" i="5"/>
  <c r="AU940" i="5"/>
  <c r="AV940" i="5" s="1"/>
  <c r="AZ940" i="5"/>
  <c r="AK940" i="5"/>
  <c r="AS936" i="5"/>
  <c r="AT936" i="5"/>
  <c r="AJ2358" i="5"/>
  <c r="AL2400" i="5"/>
  <c r="AZ2431" i="5"/>
  <c r="AY2349" i="5"/>
  <c r="AY2411" i="5"/>
  <c r="AR2427" i="5"/>
  <c r="AT2427" i="5" s="1"/>
  <c r="AI1020" i="5"/>
  <c r="AI1076" i="5"/>
  <c r="AS1048" i="5"/>
  <c r="AQ1148" i="5"/>
  <c r="AI2359" i="5"/>
  <c r="AJ2400" i="5"/>
  <c r="AZ2395" i="5"/>
  <c r="AL2371" i="5"/>
  <c r="AL2411" i="5"/>
  <c r="AK2427" i="5"/>
  <c r="AI1038" i="5"/>
  <c r="AR1038" i="5"/>
  <c r="AJ1020" i="5"/>
  <c r="AJ1076" i="5"/>
  <c r="AK969" i="5"/>
  <c r="AR2358" i="5"/>
  <c r="AZ2400" i="5"/>
  <c r="AY2371" i="5"/>
  <c r="AK2411" i="5"/>
  <c r="AU2427" i="5"/>
  <c r="AV2427" i="5" s="1"/>
  <c r="AU1038" i="5"/>
  <c r="AV1038" i="5" s="1"/>
  <c r="AL1020" i="5"/>
  <c r="AS1008" i="5"/>
  <c r="AJ969" i="5"/>
  <c r="AQ1164" i="5"/>
  <c r="AW2358" i="5"/>
  <c r="AX2358" i="5" s="1"/>
  <c r="AW2400" i="5"/>
  <c r="AX2400" i="5" s="1"/>
  <c r="AU2371" i="5"/>
  <c r="AV2371" i="5" s="1"/>
  <c r="AJ2411" i="5"/>
  <c r="AJ2395" i="5"/>
  <c r="AQ1128" i="5"/>
  <c r="AZ1038" i="5"/>
  <c r="AK1036" i="5"/>
  <c r="AK2375" i="5"/>
  <c r="AR2371" i="5"/>
  <c r="AT2371" i="5" s="1"/>
  <c r="AT2419" i="5"/>
  <c r="AY1148" i="5"/>
  <c r="AT1044" i="5"/>
  <c r="AJ1132" i="5"/>
  <c r="AI980" i="5"/>
  <c r="AM901" i="5"/>
  <c r="AY2375" i="5"/>
  <c r="AL2431" i="5"/>
  <c r="AJ2371" i="5"/>
  <c r="AW2371" i="5"/>
  <c r="AX2371" i="5" s="1"/>
  <c r="AZ1148" i="5"/>
  <c r="AZ1184" i="5"/>
  <c r="AK1132" i="5"/>
  <c r="AK1081" i="5"/>
  <c r="AZ924" i="5"/>
  <c r="AI924" i="5"/>
  <c r="AK913" i="5"/>
  <c r="AJ913" i="5"/>
  <c r="AL913" i="5"/>
  <c r="AU913" i="5"/>
  <c r="AV913" i="5" s="1"/>
  <c r="AK908" i="5"/>
  <c r="AI909" i="5"/>
  <c r="AZ908" i="5"/>
  <c r="AJ908" i="5"/>
  <c r="AL908" i="5"/>
  <c r="AZ904" i="5"/>
  <c r="AL904" i="5"/>
  <c r="AI905" i="5"/>
  <c r="AK904" i="5"/>
  <c r="AY904" i="5"/>
  <c r="AS900" i="5"/>
  <c r="AT900" i="5"/>
  <c r="AT896" i="5"/>
  <c r="AS896" i="5"/>
  <c r="AY888" i="5"/>
  <c r="AI889" i="5"/>
  <c r="AJ888" i="5"/>
  <c r="AL888" i="5"/>
  <c r="AS885" i="5"/>
  <c r="AT885" i="5"/>
  <c r="AS845" i="5"/>
  <c r="AT845" i="5"/>
  <c r="AS821" i="5"/>
  <c r="AT821" i="5"/>
  <c r="AZ805" i="5"/>
  <c r="AY805" i="5"/>
  <c r="AJ805" i="5"/>
  <c r="AT797" i="5"/>
  <c r="AS797" i="5"/>
  <c r="AY789" i="5"/>
  <c r="AL789" i="5"/>
  <c r="AJ789" i="5"/>
  <c r="AK778" i="5"/>
  <c r="AZ778" i="5"/>
  <c r="AR778" i="5"/>
  <c r="AT778" i="5" s="1"/>
  <c r="AJ778" i="5"/>
  <c r="AU778" i="5"/>
  <c r="AV778" i="5" s="1"/>
  <c r="AW778" i="5"/>
  <c r="AX778" i="5" s="1"/>
  <c r="AL778" i="5"/>
  <c r="AY778" i="5"/>
  <c r="AJ773" i="5"/>
  <c r="AY773" i="5"/>
  <c r="AL773" i="5"/>
  <c r="AI773" i="5"/>
  <c r="AZ773" i="5"/>
  <c r="AK773" i="5"/>
  <c r="AI774" i="5"/>
  <c r="AL769" i="5"/>
  <c r="AZ769" i="5"/>
  <c r="AY769" i="5"/>
  <c r="AJ769" i="5"/>
  <c r="AI770" i="5"/>
  <c r="AK769" i="5"/>
  <c r="AS761" i="5"/>
  <c r="AT761" i="5"/>
  <c r="AT725" i="5"/>
  <c r="AS725" i="5"/>
  <c r="AK722" i="5"/>
  <c r="AJ722" i="5"/>
  <c r="AR722" i="5"/>
  <c r="AY722" i="5"/>
  <c r="AZ722" i="5"/>
  <c r="AI723" i="5"/>
  <c r="AI717" i="5"/>
  <c r="AJ717" i="5"/>
  <c r="AZ717" i="5"/>
  <c r="AY717" i="5"/>
  <c r="AJ713" i="5"/>
  <c r="AL713" i="5"/>
  <c r="AZ713" i="5"/>
  <c r="AY713" i="5"/>
  <c r="AI713" i="5"/>
  <c r="AK713" i="5"/>
  <c r="AI714" i="5"/>
  <c r="AS709" i="5"/>
  <c r="AT709" i="5"/>
  <c r="AS706" i="5"/>
  <c r="AT706" i="5"/>
  <c r="AT705" i="5"/>
  <c r="AS705" i="5"/>
  <c r="AL697" i="5"/>
  <c r="AZ697" i="5"/>
  <c r="AI698" i="5"/>
  <c r="AK697" i="5"/>
  <c r="AI697" i="5"/>
  <c r="AY697" i="5"/>
  <c r="AR693" i="5"/>
  <c r="AK693" i="5"/>
  <c r="AJ693" i="5"/>
  <c r="AZ693" i="5"/>
  <c r="AI693" i="5"/>
  <c r="AY693" i="5"/>
  <c r="AW693" i="5"/>
  <c r="AX693" i="5" s="1"/>
  <c r="AL693" i="5"/>
  <c r="AU693" i="5"/>
  <c r="AV693" i="5" s="1"/>
  <c r="AS689" i="5"/>
  <c r="AT689" i="5"/>
  <c r="AS685" i="5"/>
  <c r="AT685" i="5"/>
  <c r="AY677" i="5"/>
  <c r="AZ677" i="5"/>
  <c r="AK677" i="5"/>
  <c r="AI677" i="5"/>
  <c r="AJ677" i="5"/>
  <c r="AL677" i="5"/>
  <c r="AI678" i="5"/>
  <c r="AY666" i="5"/>
  <c r="AW666" i="5"/>
  <c r="AX666" i="5" s="1"/>
  <c r="AL666" i="5"/>
  <c r="AJ666" i="5"/>
  <c r="AI667" i="5"/>
  <c r="AK666" i="5"/>
  <c r="AR666" i="5"/>
  <c r="AS666" i="5" s="1"/>
  <c r="AZ666" i="5"/>
  <c r="AL661" i="5"/>
  <c r="AJ661" i="5"/>
  <c r="AY661" i="5"/>
  <c r="AK661" i="5"/>
  <c r="AZ661" i="5"/>
  <c r="AI661" i="5"/>
  <c r="AY657" i="5"/>
  <c r="AI658" i="5"/>
  <c r="AK657" i="5"/>
  <c r="AI657" i="5"/>
  <c r="AJ657" i="5"/>
  <c r="AI904" i="5"/>
  <c r="AK789" i="5"/>
  <c r="AI888" i="5"/>
  <c r="AS916" i="5"/>
  <c r="AT841" i="5"/>
  <c r="AL805" i="5"/>
  <c r="AZ888" i="5"/>
  <c r="AL924" i="5"/>
  <c r="AK888" i="5"/>
  <c r="AT801" i="5"/>
  <c r="AW722" i="5"/>
  <c r="AX722" i="5" s="1"/>
  <c r="AM2406" i="5"/>
  <c r="AI914" i="5"/>
  <c r="AK924" i="5"/>
  <c r="AJ904" i="5"/>
  <c r="AZ789" i="5"/>
  <c r="AI779" i="5"/>
  <c r="AJ924" i="5"/>
  <c r="AY924" i="5"/>
  <c r="AI718" i="5"/>
  <c r="AU722" i="5"/>
  <c r="AV722" i="5" s="1"/>
  <c r="AL641" i="5"/>
  <c r="AY641" i="5"/>
  <c r="AK641" i="5"/>
  <c r="AJ641" i="5"/>
  <c r="AI641" i="5"/>
  <c r="AW637" i="5"/>
  <c r="AX637" i="5" s="1"/>
  <c r="AZ637" i="5"/>
  <c r="AR637" i="5"/>
  <c r="AI637" i="5"/>
  <c r="AT629" i="5"/>
  <c r="AS629" i="5"/>
  <c r="AK621" i="5"/>
  <c r="AL621" i="5"/>
  <c r="AI621" i="5"/>
  <c r="AT613" i="5"/>
  <c r="AS613" i="5"/>
  <c r="AJ610" i="5"/>
  <c r="AR610" i="5"/>
  <c r="AI611" i="5"/>
  <c r="AK605" i="5"/>
  <c r="AI605" i="5"/>
  <c r="AT597" i="5"/>
  <c r="AS597" i="5"/>
  <c r="AZ585" i="5"/>
  <c r="AL585" i="5"/>
  <c r="AJ585" i="5"/>
  <c r="AI585" i="5"/>
  <c r="AY581" i="5"/>
  <c r="AJ581" i="5"/>
  <c r="AI581" i="5"/>
  <c r="AT577" i="5"/>
  <c r="AS577" i="5"/>
  <c r="AS573" i="5"/>
  <c r="AT573" i="5"/>
  <c r="AK565" i="5"/>
  <c r="AI566" i="5"/>
  <c r="AS557" i="5"/>
  <c r="AT557" i="5"/>
  <c r="AY554" i="5"/>
  <c r="AR554" i="5"/>
  <c r="AS554" i="5" s="1"/>
  <c r="AK554" i="5"/>
  <c r="AL554" i="5"/>
  <c r="AJ549" i="5"/>
  <c r="AL549" i="5"/>
  <c r="AI550" i="5"/>
  <c r="AI549" i="5"/>
  <c r="AI546" i="5"/>
  <c r="AI545" i="5"/>
  <c r="AK545" i="5"/>
  <c r="AJ545" i="5"/>
  <c r="AZ529" i="5"/>
  <c r="AL529" i="5"/>
  <c r="AY525" i="5"/>
  <c r="AZ525" i="5"/>
  <c r="AI525" i="5"/>
  <c r="AZ509" i="5"/>
  <c r="AI509" i="5"/>
  <c r="AZ498" i="5"/>
  <c r="AL498" i="5"/>
  <c r="AU498" i="5"/>
  <c r="AV498" i="5" s="1"/>
  <c r="AK498" i="5"/>
  <c r="AI499" i="5"/>
  <c r="AI493" i="5"/>
  <c r="AK493" i="5"/>
  <c r="AY493" i="5"/>
  <c r="AL637" i="5"/>
  <c r="AI642" i="5"/>
  <c r="AU637" i="5"/>
  <c r="AV637" i="5" s="1"/>
  <c r="AZ1889" i="5"/>
  <c r="AK581" i="5"/>
  <c r="AJ637" i="5"/>
  <c r="AK489" i="5"/>
  <c r="AI478" i="5"/>
  <c r="AI287" i="5"/>
  <c r="AI489" i="5"/>
  <c r="AS419" i="5"/>
  <c r="AK478" i="5"/>
  <c r="AI490" i="5"/>
  <c r="AU2089" i="5"/>
  <c r="AV2089" i="5" s="1"/>
  <c r="AL478" i="5"/>
  <c r="AZ287" i="5"/>
  <c r="F4800" i="5"/>
  <c r="AL2089" i="5"/>
  <c r="AJ2089" i="5"/>
  <c r="G4884" i="5"/>
  <c r="H4884" i="5" s="1"/>
  <c r="AT395" i="5"/>
  <c r="AM1640" i="5"/>
  <c r="AL1308" i="5"/>
  <c r="AQ2422" i="5"/>
  <c r="AM1875" i="5"/>
  <c r="AT1675" i="5"/>
  <c r="AM1360" i="5"/>
  <c r="AM1514" i="5"/>
  <c r="AM1677" i="5"/>
  <c r="AM403" i="5"/>
  <c r="D3873" i="5"/>
  <c r="AO3642" i="5"/>
  <c r="AP3642" i="5" s="1"/>
  <c r="AR3642" i="5" s="1"/>
  <c r="F4898" i="5"/>
  <c r="G3557" i="5"/>
  <c r="H3557" i="5" s="1"/>
  <c r="AZ2504" i="5"/>
  <c r="AK2472" i="5"/>
  <c r="AT2290" i="5"/>
  <c r="AY2421" i="5"/>
  <c r="AY2182" i="5"/>
  <c r="AJ2186" i="5"/>
  <c r="AS1073" i="5"/>
  <c r="AT361" i="5"/>
  <c r="AO3649" i="5"/>
  <c r="AP3649" i="5" s="1"/>
  <c r="AR3649" i="5" s="1"/>
  <c r="AS581" i="5"/>
  <c r="AM1083" i="5"/>
  <c r="AJ2504" i="5"/>
  <c r="AI2376" i="5"/>
  <c r="AL2472" i="5"/>
  <c r="AR2267" i="5"/>
  <c r="AT2306" i="5"/>
  <c r="AT1239" i="5"/>
  <c r="AT982" i="5"/>
  <c r="AS658" i="5"/>
  <c r="AS842" i="5"/>
  <c r="AI2473" i="5"/>
  <c r="AJ2412" i="5"/>
  <c r="AR2504" i="5"/>
  <c r="AS2504" i="5" s="1"/>
  <c r="AS2116" i="5"/>
  <c r="AJ2314" i="5"/>
  <c r="M3933" i="5"/>
  <c r="L3933" i="5" s="1"/>
  <c r="AQ3637" i="5"/>
  <c r="AT1851" i="5"/>
  <c r="AQ3649" i="5"/>
  <c r="AM471" i="5"/>
  <c r="AV3413" i="5"/>
  <c r="AW3413" i="5" s="1"/>
  <c r="AY3413" i="5" s="1"/>
  <c r="AT644" i="5"/>
  <c r="AS651" i="5"/>
  <c r="S3549" i="5"/>
  <c r="Y3549" i="5" s="1"/>
  <c r="F3561" i="5" s="1"/>
  <c r="AM1478" i="5"/>
  <c r="AI2433" i="5"/>
  <c r="AT2464" i="5"/>
  <c r="AZ2432" i="5"/>
  <c r="AS2548" i="5"/>
  <c r="AT2384" i="5"/>
  <c r="AW2504" i="5"/>
  <c r="AX2504" i="5" s="1"/>
  <c r="AU2054" i="5"/>
  <c r="AV2054" i="5" s="1"/>
  <c r="V3548" i="5"/>
  <c r="F3554" i="5" s="1"/>
  <c r="AM472" i="5"/>
  <c r="AS602" i="5"/>
  <c r="AL2421" i="5"/>
  <c r="AT2086" i="5"/>
  <c r="AI1920" i="5"/>
  <c r="AS1928" i="5"/>
  <c r="A3646" i="5"/>
  <c r="AS2528" i="5"/>
  <c r="AS812" i="5"/>
  <c r="AT2440" i="5"/>
  <c r="AS2270" i="5"/>
  <c r="AT2460" i="5"/>
  <c r="AI2212" i="5"/>
  <c r="AT2424" i="5"/>
  <c r="AK1830" i="5"/>
  <c r="AK1803" i="5"/>
  <c r="AM1500" i="5"/>
  <c r="AM1346" i="5"/>
  <c r="AM1388" i="5"/>
  <c r="M3932" i="5"/>
  <c r="L3932" i="5" s="1"/>
  <c r="M2952" i="5"/>
  <c r="L2952" i="5" s="1"/>
  <c r="M2944" i="5"/>
  <c r="L2944" i="5" s="1"/>
  <c r="M2928" i="5"/>
  <c r="L2928" i="5" s="1"/>
  <c r="M2920" i="5"/>
  <c r="L2920" i="5" s="1"/>
  <c r="M2904" i="5"/>
  <c r="L2904" i="5" s="1"/>
  <c r="M2896" i="5"/>
  <c r="L2896" i="5" s="1"/>
  <c r="M2823" i="5"/>
  <c r="L2823" i="5" s="1"/>
  <c r="M2992" i="5"/>
  <c r="L2992" i="5" s="1"/>
  <c r="M3147" i="5"/>
  <c r="F3147" i="5" s="1"/>
  <c r="L3147" i="5" s="1"/>
  <c r="M3123" i="5"/>
  <c r="F3123" i="5" s="1"/>
  <c r="L3123" i="5" s="1"/>
  <c r="M3050" i="5"/>
  <c r="F3050" i="5" s="1"/>
  <c r="L3050" i="5" s="1"/>
  <c r="M3026" i="5"/>
  <c r="F3026" i="5" s="1"/>
  <c r="L3026" i="5" s="1"/>
  <c r="M3250" i="5"/>
  <c r="F3250" i="5" s="1"/>
  <c r="L3250" i="5" s="1"/>
  <c r="M3258" i="5"/>
  <c r="F3258" i="5" s="1"/>
  <c r="L3258" i="5" s="1"/>
  <c r="M3274" i="5"/>
  <c r="F3274" i="5" s="1"/>
  <c r="L3274" i="5" s="1"/>
  <c r="AI1681" i="5"/>
  <c r="AM329" i="5"/>
  <c r="AM853" i="5"/>
  <c r="AM580" i="5"/>
  <c r="AM552" i="5"/>
  <c r="AM482" i="5"/>
  <c r="AM1248" i="5"/>
  <c r="AM1666" i="5"/>
  <c r="AM1559" i="5"/>
  <c r="AM1531" i="5"/>
  <c r="AM1503" i="5"/>
  <c r="AM1475" i="5"/>
  <c r="AM1461" i="5"/>
  <c r="AM1447" i="5"/>
  <c r="A3409" i="5"/>
  <c r="P3549" i="5"/>
  <c r="G3558" i="5" s="1"/>
  <c r="H3558" i="5" s="1"/>
  <c r="M3836" i="5"/>
  <c r="L3836" i="5" s="1"/>
  <c r="AM446" i="5"/>
  <c r="AM426" i="5"/>
  <c r="AM413" i="5"/>
  <c r="AM395" i="5"/>
  <c r="AM378" i="5"/>
  <c r="AM365" i="5"/>
  <c r="AM330" i="5"/>
  <c r="AM312" i="5"/>
  <c r="AM299" i="5"/>
  <c r="AM823" i="5"/>
  <c r="AM795" i="5"/>
  <c r="AM782" i="5"/>
  <c r="AM740" i="5"/>
  <c r="AM726" i="5"/>
  <c r="AM697" i="5"/>
  <c r="AM683" i="5"/>
  <c r="AM669" i="5"/>
  <c r="AM656" i="5"/>
  <c r="AM642" i="5"/>
  <c r="AM627" i="5"/>
  <c r="AM613" i="5"/>
  <c r="AM600" i="5"/>
  <c r="AM585" i="5"/>
  <c r="AM571" i="5"/>
  <c r="AM557" i="5"/>
  <c r="AM543" i="5"/>
  <c r="AM529" i="5"/>
  <c r="AM515" i="5"/>
  <c r="AM501" i="5"/>
  <c r="AM487" i="5"/>
  <c r="AM1249" i="5"/>
  <c r="AM1190" i="5"/>
  <c r="AM1175" i="5"/>
  <c r="AM1134" i="5"/>
  <c r="AM1105" i="5"/>
  <c r="AM1078" i="5"/>
  <c r="AM1063" i="5"/>
  <c r="AM1035" i="5"/>
  <c r="AM1021" i="5"/>
  <c r="AM1007" i="5"/>
  <c r="AM979" i="5"/>
  <c r="AM937" i="5"/>
  <c r="AM909" i="5"/>
  <c r="AM1685" i="5"/>
  <c r="AM1667" i="5"/>
  <c r="AM1636" i="5"/>
  <c r="AM1622" i="5"/>
  <c r="AM1608" i="5"/>
  <c r="AM1594" i="5"/>
  <c r="AM1580" i="5"/>
  <c r="AM1536" i="5"/>
  <c r="AM1508" i="5"/>
  <c r="AM1494" i="5"/>
  <c r="AM1368" i="5"/>
  <c r="AM2104" i="5"/>
  <c r="AM2091" i="5"/>
  <c r="AM2074" i="5"/>
  <c r="AM2059" i="5"/>
  <c r="AM2045" i="5"/>
  <c r="AM2031" i="5"/>
  <c r="AM1990" i="5"/>
  <c r="AM1947" i="5"/>
  <c r="AM1919" i="5"/>
  <c r="AM1906" i="5"/>
  <c r="AM1850" i="5"/>
  <c r="AM1821" i="5"/>
  <c r="AM1807" i="5"/>
  <c r="AM1794" i="5"/>
  <c r="AM1780" i="5"/>
  <c r="AM1765" i="5"/>
  <c r="AM1752" i="5"/>
  <c r="AM2532" i="5"/>
  <c r="AM2496" i="5"/>
  <c r="AM2482" i="5"/>
  <c r="AM2468" i="5"/>
  <c r="AM2454" i="5"/>
  <c r="AM2440" i="5"/>
  <c r="AM2426" i="5"/>
  <c r="AM2412" i="5"/>
  <c r="AM2398" i="5"/>
  <c r="AM2384" i="5"/>
  <c r="AM2354" i="5"/>
  <c r="AM2312" i="5"/>
  <c r="AM2285" i="5"/>
  <c r="AM2257" i="5"/>
  <c r="AM2242" i="5"/>
  <c r="AM2228" i="5"/>
  <c r="AM2214" i="5"/>
  <c r="AM2508" i="5"/>
  <c r="AN3951" i="5"/>
  <c r="A3951" i="5" s="1"/>
  <c r="AS1582" i="5"/>
  <c r="AN3632" i="5"/>
  <c r="AO3632" i="5" s="1"/>
  <c r="AP3632" i="5" s="1"/>
  <c r="AR3632" i="5" s="1"/>
  <c r="AN3629" i="5"/>
  <c r="A3629" i="5" s="1"/>
  <c r="AQ2548" i="5"/>
  <c r="AQ2540" i="5"/>
  <c r="AQ2529" i="5"/>
  <c r="AQ2525" i="5"/>
  <c r="AQ2524" i="5"/>
  <c r="AQ2511" i="5"/>
  <c r="AQ2505" i="5"/>
  <c r="AQ2496" i="5"/>
  <c r="AQ2485" i="5"/>
  <c r="AQ2482" i="5"/>
  <c r="AQ2480" i="5"/>
  <c r="AQ2476" i="5"/>
  <c r="AQ2470" i="5"/>
  <c r="AQ2466" i="5"/>
  <c r="AQ2465" i="5"/>
  <c r="AQ2464" i="5"/>
  <c r="AQ2460" i="5"/>
  <c r="AQ2450" i="5"/>
  <c r="AQ2449" i="5"/>
  <c r="AQ2445" i="5"/>
  <c r="AQ2441" i="5"/>
  <c r="AQ2440" i="5"/>
  <c r="AQ2435" i="5"/>
  <c r="AQ2425" i="5"/>
  <c r="AQ2424" i="5"/>
  <c r="AQ2420" i="5"/>
  <c r="AQ2414" i="5"/>
  <c r="AQ2408" i="5"/>
  <c r="AQ2404" i="5"/>
  <c r="AQ2393" i="5"/>
  <c r="AQ2388" i="5"/>
  <c r="AQ2369" i="5"/>
  <c r="AQ2367" i="5"/>
  <c r="AQ2364" i="5"/>
  <c r="AQ2351" i="5"/>
  <c r="AQ2346" i="5"/>
  <c r="AQ2342" i="5"/>
  <c r="AQ2326" i="5"/>
  <c r="AQ2310" i="5"/>
  <c r="AQ2307" i="5"/>
  <c r="AQ2306" i="5"/>
  <c r="AQ2295" i="5"/>
  <c r="AQ2286" i="5"/>
  <c r="AQ2281" i="5"/>
  <c r="AQ2276" i="5"/>
  <c r="AQ2275" i="5"/>
  <c r="AQ2260" i="5"/>
  <c r="AQ2251" i="5"/>
  <c r="AQ2225" i="5"/>
  <c r="AQ2204" i="5"/>
  <c r="AQ2195" i="5"/>
  <c r="AQ2184" i="5"/>
  <c r="AQ2180" i="5"/>
  <c r="AQ2175" i="5"/>
  <c r="AQ2124" i="5"/>
  <c r="AQ2121" i="5"/>
  <c r="AQ2120" i="5"/>
  <c r="AQ2117" i="5"/>
  <c r="AQ2097" i="5"/>
  <c r="AQ2093" i="5"/>
  <c r="AQ2092" i="5"/>
  <c r="AQ2089" i="5"/>
  <c r="AQ2087" i="5"/>
  <c r="AQ2076" i="5"/>
  <c r="AQ2047" i="5"/>
  <c r="AQ2016" i="5"/>
  <c r="AQ2011" i="5"/>
  <c r="AQ1995" i="5"/>
  <c r="AQ1975" i="5"/>
  <c r="AQ1970" i="5"/>
  <c r="AQ1964" i="5"/>
  <c r="AQ1944" i="5"/>
  <c r="AQ1939" i="5"/>
  <c r="AQ1934" i="5"/>
  <c r="AQ1919" i="5"/>
  <c r="AQ1902" i="5"/>
  <c r="AQ1900" i="5"/>
  <c r="AQ1879" i="5"/>
  <c r="AQ1846" i="5"/>
  <c r="AQ1790" i="5"/>
  <c r="AQ1740" i="5"/>
  <c r="AQ1659" i="5"/>
  <c r="AQ1635" i="5"/>
  <c r="H23" i="11"/>
  <c r="J23" i="11"/>
  <c r="C23" i="11"/>
  <c r="E23" i="11"/>
  <c r="K23" i="11"/>
  <c r="M23" i="11"/>
  <c r="I23" i="11"/>
  <c r="D23" i="11"/>
  <c r="F23" i="11"/>
  <c r="G23" i="11"/>
  <c r="G26" i="11" s="1"/>
  <c r="L23" i="11"/>
  <c r="N23" i="11"/>
  <c r="N43" i="11"/>
  <c r="L43" i="11"/>
  <c r="R43" i="11"/>
  <c r="K43" i="11"/>
  <c r="M43" i="11"/>
  <c r="C24" i="11"/>
  <c r="D18" i="14"/>
  <c r="Y22" i="14"/>
  <c r="R16" i="14"/>
  <c r="R20" i="14" s="1"/>
  <c r="D13" i="14"/>
  <c r="AA22" i="14"/>
  <c r="AA16" i="14"/>
  <c r="AA20" i="14" s="1"/>
  <c r="J42" i="11"/>
  <c r="F42" i="11"/>
  <c r="E42" i="11"/>
  <c r="I42" i="11"/>
  <c r="R42" i="11"/>
  <c r="H42" i="11"/>
  <c r="K42" i="11"/>
  <c r="G42" i="11"/>
  <c r="C14" i="14"/>
  <c r="W14" i="14"/>
  <c r="W16" i="14" s="1"/>
  <c r="W20" i="14" s="1"/>
  <c r="W22" i="14" s="1"/>
  <c r="AC22" i="14"/>
  <c r="F4806" i="5"/>
  <c r="AM2077" i="5"/>
  <c r="M3040" i="5"/>
  <c r="F3040" i="5" s="1"/>
  <c r="L3040" i="5" s="1"/>
  <c r="M3024" i="5"/>
  <c r="F3024" i="5" s="1"/>
  <c r="L3024" i="5" s="1"/>
  <c r="AM1419" i="5"/>
  <c r="AM1363" i="5"/>
  <c r="AM2103" i="5"/>
  <c r="AM2044" i="5"/>
  <c r="AM2002" i="5"/>
  <c r="AM1974" i="5"/>
  <c r="AM1946" i="5"/>
  <c r="AM1918" i="5"/>
  <c r="AM1904" i="5"/>
  <c r="AM1890" i="5"/>
  <c r="AM1876" i="5"/>
  <c r="AM1834" i="5"/>
  <c r="AM1820" i="5"/>
  <c r="AM1806" i="5"/>
  <c r="AM2411" i="5"/>
  <c r="M3252" i="5"/>
  <c r="F3252" i="5" s="1"/>
  <c r="L3252" i="5" s="1"/>
  <c r="M3260" i="5"/>
  <c r="F3260" i="5" s="1"/>
  <c r="L3260" i="5" s="1"/>
  <c r="M3268" i="5"/>
  <c r="F3268" i="5" s="1"/>
  <c r="L3268" i="5" s="1"/>
  <c r="AI2441" i="5"/>
  <c r="AQ2185" i="5"/>
  <c r="AQ2169" i="5"/>
  <c r="AQ2122" i="5"/>
  <c r="AQ2099" i="5"/>
  <c r="AQ2078" i="5"/>
  <c r="AQ2018" i="5"/>
  <c r="AQ1946" i="5"/>
  <c r="AQ1915" i="5"/>
  <c r="AQ1870" i="5"/>
  <c r="AQ1818" i="5"/>
  <c r="AQ1803" i="5"/>
  <c r="AQ1798" i="5"/>
  <c r="AQ1794" i="5"/>
  <c r="AQ1680" i="5"/>
  <c r="AQ1605" i="5"/>
  <c r="AQ1558" i="5"/>
  <c r="AQ1547" i="5"/>
  <c r="AQ1466" i="5"/>
  <c r="AA17" i="10"/>
  <c r="AA19" i="10" s="1"/>
  <c r="M3168" i="5"/>
  <c r="F3168" i="5" s="1"/>
  <c r="L3168" i="5" s="1"/>
  <c r="M3120" i="5"/>
  <c r="F3120" i="5" s="1"/>
  <c r="L3120" i="5" s="1"/>
  <c r="M3031" i="5"/>
  <c r="F3031" i="5" s="1"/>
  <c r="L3031" i="5" s="1"/>
  <c r="Z15" i="10"/>
  <c r="Z19" i="10" s="1"/>
  <c r="P15" i="10"/>
  <c r="P19" i="10" s="1"/>
  <c r="AM1235" i="5"/>
  <c r="AM1549" i="5"/>
  <c r="AM1521" i="5"/>
  <c r="AM1479" i="5"/>
  <c r="AM1451" i="5"/>
  <c r="AM1423" i="5"/>
  <c r="AM1395" i="5"/>
  <c r="AM1353" i="5"/>
  <c r="AM1339" i="5"/>
  <c r="AM1325" i="5"/>
  <c r="AQ2250" i="5"/>
  <c r="AQ2194" i="5"/>
  <c r="AQ2183" i="5"/>
  <c r="AQ2178" i="5"/>
  <c r="AQ2174" i="5"/>
  <c r="AQ2116" i="5"/>
  <c r="AQ2070" i="5"/>
  <c r="AQ2026" i="5"/>
  <c r="AQ2014" i="5"/>
  <c r="AQ1958" i="5"/>
  <c r="AQ1744" i="5"/>
  <c r="AQ1597" i="5"/>
  <c r="P4569" i="5"/>
  <c r="AT714" i="5"/>
  <c r="AS714" i="5"/>
  <c r="G199" i="5"/>
  <c r="H199" i="5" s="1"/>
  <c r="AM1203" i="5"/>
  <c r="AM1204" i="5"/>
  <c r="AM1120" i="5"/>
  <c r="AM1119" i="5"/>
  <c r="AM966" i="5"/>
  <c r="AM965" i="5"/>
  <c r="AM1465" i="5"/>
  <c r="AM1466" i="5"/>
  <c r="AM2270" i="5"/>
  <c r="AM2271" i="5"/>
  <c r="AM2187" i="5"/>
  <c r="AM2186" i="5"/>
  <c r="M2922" i="5"/>
  <c r="L2922" i="5" s="1"/>
  <c r="M2897" i="5"/>
  <c r="L2897" i="5" s="1"/>
  <c r="M2906" i="5"/>
  <c r="L2906" i="5" s="1"/>
  <c r="M2898" i="5"/>
  <c r="L2898" i="5" s="1"/>
  <c r="M2825" i="5"/>
  <c r="L2825" i="5" s="1"/>
  <c r="M2954" i="5"/>
  <c r="L2954" i="5" s="1"/>
  <c r="M2945" i="5"/>
  <c r="L2945" i="5" s="1"/>
  <c r="M2801" i="5"/>
  <c r="L2801" i="5" s="1"/>
  <c r="M2930" i="5"/>
  <c r="L2930" i="5" s="1"/>
  <c r="M2978" i="5"/>
  <c r="L2978" i="5" s="1"/>
  <c r="M2873" i="5"/>
  <c r="L2873" i="5" s="1"/>
  <c r="M2809" i="5"/>
  <c r="L2809" i="5" s="1"/>
  <c r="M2969" i="5"/>
  <c r="L2969" i="5" s="1"/>
  <c r="M2905" i="5"/>
  <c r="L2905" i="5" s="1"/>
  <c r="M2953" i="5"/>
  <c r="L2953" i="5" s="1"/>
  <c r="M3051" i="5"/>
  <c r="F3051" i="5" s="1"/>
  <c r="L3051" i="5" s="1"/>
  <c r="M3143" i="5"/>
  <c r="F3143" i="5" s="1"/>
  <c r="L3143" i="5" s="1"/>
  <c r="M3063" i="5"/>
  <c r="F3063" i="5" s="1"/>
  <c r="L3063" i="5" s="1"/>
  <c r="M3054" i="5"/>
  <c r="F3054" i="5" s="1"/>
  <c r="L3054" i="5" s="1"/>
  <c r="M3224" i="5"/>
  <c r="F3224" i="5" s="1"/>
  <c r="L3224" i="5" s="1"/>
  <c r="M3064" i="5"/>
  <c r="F3064" i="5" s="1"/>
  <c r="L3064" i="5" s="1"/>
  <c r="M3062" i="5"/>
  <c r="F3062" i="5" s="1"/>
  <c r="L3062" i="5" s="1"/>
  <c r="M3153" i="5"/>
  <c r="F3153" i="5" s="1"/>
  <c r="L3153" i="5" s="1"/>
  <c r="M3146" i="5"/>
  <c r="F3146" i="5" s="1"/>
  <c r="L3146" i="5" s="1"/>
  <c r="M3220" i="5"/>
  <c r="F3220" i="5" s="1"/>
  <c r="L3220" i="5" s="1"/>
  <c r="M3271" i="5"/>
  <c r="F3271" i="5" s="1"/>
  <c r="L3271" i="5" s="1"/>
  <c r="M3272" i="5"/>
  <c r="AV3508" i="5" s="1"/>
  <c r="AW3508" i="5" s="1"/>
  <c r="M3266" i="5"/>
  <c r="F3266" i="5" s="1"/>
  <c r="L3266" i="5" s="1"/>
  <c r="M3951" i="5"/>
  <c r="F3951" i="5" s="1"/>
  <c r="L3951" i="5" s="1"/>
  <c r="N3952" i="5"/>
  <c r="M3952" i="5" s="1"/>
  <c r="F3952" i="5" s="1"/>
  <c r="L3952" i="5" s="1"/>
  <c r="N3960" i="5"/>
  <c r="M3960" i="5" s="1"/>
  <c r="F3960" i="5" s="1"/>
  <c r="L3960" i="5" s="1"/>
  <c r="M439" i="5"/>
  <c r="F439" i="5" s="1"/>
  <c r="AM440" i="5" s="1"/>
  <c r="M449" i="5"/>
  <c r="F449" i="5" s="1"/>
  <c r="AM450" i="5" s="1"/>
  <c r="M369" i="5"/>
  <c r="F369" i="5" s="1"/>
  <c r="AM369" i="5" s="1"/>
  <c r="AP285" i="5"/>
  <c r="AQ285" i="5" s="1"/>
  <c r="M333" i="5"/>
  <c r="F333" i="5" s="1"/>
  <c r="AM334" i="5" s="1"/>
  <c r="M351" i="5"/>
  <c r="F351" i="5" s="1"/>
  <c r="AM351" i="5" s="1"/>
  <c r="M417" i="5"/>
  <c r="F417" i="5" s="1"/>
  <c r="M411" i="5"/>
  <c r="F411" i="5" s="1"/>
  <c r="AM412" i="5" s="1"/>
  <c r="M399" i="5"/>
  <c r="F399" i="5" s="1"/>
  <c r="M321" i="5"/>
  <c r="F321" i="5" s="1"/>
  <c r="AM322" i="5" s="1"/>
  <c r="M303" i="5"/>
  <c r="F303" i="5" s="1"/>
  <c r="M393" i="5"/>
  <c r="F393" i="5" s="1"/>
  <c r="AM394" i="5" s="1"/>
  <c r="M434" i="5"/>
  <c r="F434" i="5" s="1"/>
  <c r="AM435" i="5" s="1"/>
  <c r="AZ285" i="5"/>
  <c r="M291" i="5"/>
  <c r="F291" i="5" s="1"/>
  <c r="AM292" i="5" s="1"/>
  <c r="M309" i="5"/>
  <c r="F309" i="5" s="1"/>
  <c r="AM310" i="5" s="1"/>
  <c r="M339" i="5"/>
  <c r="F339" i="5" s="1"/>
  <c r="M405" i="5"/>
  <c r="F405" i="5" s="1"/>
  <c r="AM406" i="5" s="1"/>
  <c r="M423" i="5"/>
  <c r="F423" i="5" s="1"/>
  <c r="AM424" i="5" s="1"/>
  <c r="M444" i="5"/>
  <c r="F444" i="5" s="1"/>
  <c r="AM445" i="5" s="1"/>
  <c r="M357" i="5"/>
  <c r="F357" i="5" s="1"/>
  <c r="AM358" i="5" s="1"/>
  <c r="M429" i="5"/>
  <c r="F429" i="5" s="1"/>
  <c r="AM430" i="5" s="1"/>
  <c r="M363" i="5"/>
  <c r="F363" i="5" s="1"/>
  <c r="AM364" i="5" s="1"/>
  <c r="M1227" i="5"/>
  <c r="F1227" i="5" s="1"/>
  <c r="AY886" i="5"/>
  <c r="M1137" i="5"/>
  <c r="F1137" i="5" s="1"/>
  <c r="AM1138" i="5" s="1"/>
  <c r="M1109" i="5"/>
  <c r="F1109" i="5" s="1"/>
  <c r="AM1110" i="5" s="1"/>
  <c r="M969" i="5"/>
  <c r="F969" i="5" s="1"/>
  <c r="AM969" i="5" s="1"/>
  <c r="M920" i="5"/>
  <c r="F920" i="5" s="1"/>
  <c r="AM920" i="5" s="1"/>
  <c r="M1046" i="5"/>
  <c r="F1046" i="5" s="1"/>
  <c r="AM1047" i="5" s="1"/>
  <c r="M955" i="5"/>
  <c r="F955" i="5" s="1"/>
  <c r="AM956" i="5" s="1"/>
  <c r="M913" i="5"/>
  <c r="F913" i="5" s="1"/>
  <c r="AM914" i="5" s="1"/>
  <c r="M1151" i="5"/>
  <c r="F1151" i="5" s="1"/>
  <c r="AM1152" i="5" s="1"/>
  <c r="M983" i="5"/>
  <c r="F983" i="5" s="1"/>
  <c r="AM984" i="5" s="1"/>
  <c r="M1245" i="5"/>
  <c r="F1245" i="5" s="1"/>
  <c r="AM1246" i="5" s="1"/>
  <c r="M1165" i="5"/>
  <c r="F1165" i="5" s="1"/>
  <c r="M1032" i="5"/>
  <c r="F1032" i="5" s="1"/>
  <c r="AM1033" i="5" s="1"/>
  <c r="M1193" i="5"/>
  <c r="F1193" i="5" s="1"/>
  <c r="AM1194" i="5" s="1"/>
  <c r="M1172" i="5"/>
  <c r="F1172" i="5" s="1"/>
  <c r="M990" i="5"/>
  <c r="F990" i="5" s="1"/>
  <c r="AM991" i="5" s="1"/>
  <c r="M1214" i="5"/>
  <c r="F1214" i="5" s="1"/>
  <c r="M1088" i="5"/>
  <c r="F1088" i="5" s="1"/>
  <c r="AM1089" i="5" s="1"/>
  <c r="M1123" i="5"/>
  <c r="F1123" i="5" s="1"/>
  <c r="M1186" i="5"/>
  <c r="F1186" i="5" s="1"/>
  <c r="AM1187" i="5" s="1"/>
  <c r="M1207" i="5"/>
  <c r="F1207" i="5" s="1"/>
  <c r="M1067" i="5"/>
  <c r="F1067" i="5" s="1"/>
  <c r="AM1068" i="5" s="1"/>
  <c r="M976" i="5"/>
  <c r="F976" i="5" s="1"/>
  <c r="AM977" i="5" s="1"/>
  <c r="M934" i="5"/>
  <c r="F934" i="5" s="1"/>
  <c r="AM935" i="5" s="1"/>
  <c r="M1221" i="5"/>
  <c r="F1221" i="5" s="1"/>
  <c r="M1116" i="5"/>
  <c r="F1116" i="5" s="1"/>
  <c r="AM1117" i="5" s="1"/>
  <c r="M1018" i="5"/>
  <c r="F1018" i="5" s="1"/>
  <c r="AM1019" i="5" s="1"/>
  <c r="M899" i="5"/>
  <c r="F899" i="5" s="1"/>
  <c r="AM900" i="5" s="1"/>
  <c r="M1233" i="5"/>
  <c r="F1233" i="5" s="1"/>
  <c r="AM1233" i="5" s="1"/>
  <c r="M1004" i="5"/>
  <c r="F1004" i="5" s="1"/>
  <c r="AM1005" i="5" s="1"/>
  <c r="M1158" i="5"/>
  <c r="F1158" i="5" s="1"/>
  <c r="AM1159" i="5" s="1"/>
  <c r="M1095" i="5"/>
  <c r="F1095" i="5" s="1"/>
  <c r="AM1096" i="5" s="1"/>
  <c r="M1130" i="5"/>
  <c r="F1130" i="5" s="1"/>
  <c r="AM1131" i="5" s="1"/>
  <c r="M1179" i="5"/>
  <c r="F1179" i="5" s="1"/>
  <c r="AM1180" i="5" s="1"/>
  <c r="M1200" i="5"/>
  <c r="F1200" i="5" s="1"/>
  <c r="AM1201" i="5" s="1"/>
  <c r="M941" i="5"/>
  <c r="F941" i="5" s="1"/>
  <c r="AM942" i="5" s="1"/>
  <c r="M892" i="5"/>
  <c r="F892" i="5" s="1"/>
  <c r="M1039" i="5"/>
  <c r="F1039" i="5" s="1"/>
  <c r="AM1040" i="5" s="1"/>
  <c r="M1144" i="5"/>
  <c r="F1144" i="5" s="1"/>
  <c r="AM1145" i="5" s="1"/>
  <c r="AP886" i="5"/>
  <c r="AQ886" i="5" s="1"/>
  <c r="M962" i="5"/>
  <c r="F962" i="5" s="1"/>
  <c r="M1081" i="5"/>
  <c r="F1081" i="5" s="1"/>
  <c r="AM1082" i="5" s="1"/>
  <c r="M1060" i="5"/>
  <c r="F1060" i="5" s="1"/>
  <c r="AM1060" i="5" s="1"/>
  <c r="AI2553" i="5"/>
  <c r="AU2552" i="5"/>
  <c r="AV2552" i="5" s="1"/>
  <c r="AR2552" i="5"/>
  <c r="AT2552" i="5" s="1"/>
  <c r="AZ2552" i="5"/>
  <c r="AW2552" i="5"/>
  <c r="AX2552" i="5" s="1"/>
  <c r="AL2552" i="5"/>
  <c r="AY2545" i="5"/>
  <c r="AZ2545" i="5"/>
  <c r="AM2545" i="5"/>
  <c r="AI2546" i="5"/>
  <c r="AK2545" i="5"/>
  <c r="AL2545" i="5"/>
  <c r="AI2545" i="5"/>
  <c r="AY2543" i="5"/>
  <c r="AK2543" i="5"/>
  <c r="AI2544" i="5"/>
  <c r="AZ2543" i="5"/>
  <c r="AJ2543" i="5"/>
  <c r="AL2543" i="5"/>
  <c r="AQ2543" i="5"/>
  <c r="AZ2539" i="5"/>
  <c r="AI2540" i="5"/>
  <c r="AY2539" i="5"/>
  <c r="AK2539" i="5"/>
  <c r="AL2539" i="5"/>
  <c r="AJ2539" i="5"/>
  <c r="AS2532" i="5"/>
  <c r="AT2532" i="5"/>
  <c r="AS2531" i="5"/>
  <c r="AT2531" i="5"/>
  <c r="AI2519" i="5"/>
  <c r="AJ2519" i="5"/>
  <c r="AY2519" i="5"/>
  <c r="AI2520" i="5"/>
  <c r="AK2519" i="5"/>
  <c r="AL2519" i="5"/>
  <c r="AZ2519" i="5"/>
  <c r="AK2515" i="5"/>
  <c r="AJ2515" i="5"/>
  <c r="AY2515" i="5"/>
  <c r="AI2516" i="5"/>
  <c r="AI2515" i="5"/>
  <c r="AZ2515" i="5"/>
  <c r="AM2515" i="5"/>
  <c r="AL2515" i="5"/>
  <c r="AT2507" i="5"/>
  <c r="AS2507" i="5"/>
  <c r="AS2503" i="5"/>
  <c r="AT2503" i="5"/>
  <c r="AL2501" i="5"/>
  <c r="AJ2501" i="5"/>
  <c r="AZ2501" i="5"/>
  <c r="AK2501" i="5"/>
  <c r="AQ2501" i="5"/>
  <c r="AY2501" i="5"/>
  <c r="AK2495" i="5"/>
  <c r="AZ2495" i="5"/>
  <c r="AY2495" i="5"/>
  <c r="AM2495" i="5"/>
  <c r="AJ2495" i="5"/>
  <c r="AL2495" i="5"/>
  <c r="AQ2495" i="5"/>
  <c r="AI2496" i="5"/>
  <c r="AT2487" i="5"/>
  <c r="AS2487" i="5"/>
  <c r="AY2484" i="5"/>
  <c r="AK2484" i="5"/>
  <c r="AW2484" i="5"/>
  <c r="AX2484" i="5" s="1"/>
  <c r="AL2484" i="5"/>
  <c r="AU2484" i="5"/>
  <c r="AV2484" i="5" s="1"/>
  <c r="AQ2484" i="5"/>
  <c r="AI2479" i="5"/>
  <c r="AZ2479" i="5"/>
  <c r="AY2479" i="5"/>
  <c r="AQ2479" i="5"/>
  <c r="AJ2479" i="5"/>
  <c r="AL2479" i="5"/>
  <c r="AI2480" i="5"/>
  <c r="AK2479" i="5"/>
  <c r="AL2475" i="5"/>
  <c r="AI2475" i="5"/>
  <c r="AI2476" i="5"/>
  <c r="AJ2475" i="5"/>
  <c r="AZ2475" i="5"/>
  <c r="AY2475" i="5"/>
  <c r="AK2475" i="5"/>
  <c r="AS2471" i="5"/>
  <c r="AT2471" i="5"/>
  <c r="AT2467" i="5"/>
  <c r="AS2467" i="5"/>
  <c r="AZ2459" i="5"/>
  <c r="AJ2459" i="5"/>
  <c r="AL2459" i="5"/>
  <c r="AK2459" i="5"/>
  <c r="AY2459" i="5"/>
  <c r="AI2460" i="5"/>
  <c r="AM2459" i="5"/>
  <c r="AJ2455" i="5"/>
  <c r="AR2455" i="5"/>
  <c r="AT2455" i="5" s="1"/>
  <c r="AY2455" i="5"/>
  <c r="AK2455" i="5"/>
  <c r="AU2455" i="5"/>
  <c r="AV2455" i="5" s="1"/>
  <c r="AL2455" i="5"/>
  <c r="AQ2455" i="5"/>
  <c r="AW2455" i="5"/>
  <c r="AX2455" i="5" s="1"/>
  <c r="AZ2455" i="5"/>
  <c r="AT2451" i="5"/>
  <c r="AS2451" i="5"/>
  <c r="AS2447" i="5"/>
  <c r="AT2447" i="5"/>
  <c r="AK2439" i="5"/>
  <c r="AL2439" i="5"/>
  <c r="AZ2439" i="5"/>
  <c r="AY2439" i="5"/>
  <c r="AJ2439" i="5"/>
  <c r="AI2440" i="5"/>
  <c r="AI2439" i="5"/>
  <c r="AT2431" i="5"/>
  <c r="AS2431" i="5"/>
  <c r="AQ2428" i="5"/>
  <c r="AU2428" i="5"/>
  <c r="AV2428" i="5" s="1"/>
  <c r="AI2429" i="5"/>
  <c r="AW2428" i="5"/>
  <c r="AX2428" i="5" s="1"/>
  <c r="AI2428" i="5"/>
  <c r="AL2428" i="5"/>
  <c r="AY2428" i="5"/>
  <c r="AJ2428" i="5"/>
  <c r="AO3970" i="5"/>
  <c r="AP3970" i="5" s="1"/>
  <c r="AR3970" i="5" s="1"/>
  <c r="AQ3970" i="5"/>
  <c r="AS831" i="5"/>
  <c r="AT831" i="5"/>
  <c r="AP1288" i="5"/>
  <c r="AQ1288" i="5" s="1"/>
  <c r="M1288" i="5"/>
  <c r="F1288" i="5" s="1"/>
  <c r="G1288" i="5" s="1"/>
  <c r="H1288" i="5" s="1"/>
  <c r="Q5002" i="5"/>
  <c r="Q5003" i="5" s="1"/>
  <c r="AM348" i="5"/>
  <c r="AM347" i="5"/>
  <c r="AM810" i="5"/>
  <c r="AM809" i="5"/>
  <c r="AM711" i="5"/>
  <c r="AM712" i="5"/>
  <c r="AM923" i="5"/>
  <c r="AM924" i="5"/>
  <c r="AM1654" i="5"/>
  <c r="AM1653" i="5"/>
  <c r="AM1563" i="5"/>
  <c r="AM1564" i="5"/>
  <c r="AM2327" i="5"/>
  <c r="AM2326" i="5"/>
  <c r="G222" i="5"/>
  <c r="H222" i="5" s="1"/>
  <c r="Q221" i="5"/>
  <c r="F222" i="5" s="1"/>
  <c r="A3508" i="5"/>
  <c r="AM2017" i="5"/>
  <c r="AM2018" i="5"/>
  <c r="AM1864" i="5"/>
  <c r="AM1863" i="5"/>
  <c r="AM2078" i="5"/>
  <c r="AM641" i="5"/>
  <c r="M997" i="5"/>
  <c r="F997" i="5" s="1"/>
  <c r="AM396" i="5"/>
  <c r="AM1522" i="5"/>
  <c r="M1053" i="5"/>
  <c r="F1053" i="5" s="1"/>
  <c r="AM1054" i="5" s="1"/>
  <c r="AJ2545" i="5"/>
  <c r="A3970" i="5"/>
  <c r="AM1779" i="5"/>
  <c r="AM1989" i="5"/>
  <c r="AM2243" i="5"/>
  <c r="AM2073" i="5"/>
  <c r="M1102" i="5"/>
  <c r="F1102" i="5" s="1"/>
  <c r="AM1103" i="5" s="1"/>
  <c r="C4920" i="5"/>
  <c r="G4920" i="5"/>
  <c r="H4920" i="5" s="1"/>
  <c r="AM1092" i="5"/>
  <c r="AM1091" i="5"/>
  <c r="AM993" i="5"/>
  <c r="AM994" i="5"/>
  <c r="AM896" i="5"/>
  <c r="AM895" i="5"/>
  <c r="AM1934" i="5"/>
  <c r="AM1933" i="5"/>
  <c r="AM1835" i="5"/>
  <c r="AM1836" i="5"/>
  <c r="M3144" i="5"/>
  <c r="F3144" i="5" s="1"/>
  <c r="L3144" i="5" s="1"/>
  <c r="D3970" i="5"/>
  <c r="AM628" i="5"/>
  <c r="AM614" i="5"/>
  <c r="AM1452" i="5"/>
  <c r="AM980" i="5"/>
  <c r="AM1550" i="5"/>
  <c r="M387" i="5"/>
  <c r="F387" i="5" s="1"/>
  <c r="AM388" i="5" s="1"/>
  <c r="AI2501" i="5"/>
  <c r="AS2019" i="5"/>
  <c r="AT2019" i="5"/>
  <c r="AM862" i="5"/>
  <c r="AM858" i="5"/>
  <c r="AM1148" i="5"/>
  <c r="AM1147" i="5"/>
  <c r="AM1050" i="5"/>
  <c r="AM1049" i="5"/>
  <c r="AM1438" i="5"/>
  <c r="AM1437" i="5"/>
  <c r="AM1382" i="5"/>
  <c r="AM1381" i="5"/>
  <c r="AM1892" i="5"/>
  <c r="AM1891" i="5"/>
  <c r="M1263" i="5"/>
  <c r="F1263" i="5" s="1"/>
  <c r="AM725" i="5"/>
  <c r="AM1751" i="5"/>
  <c r="AM1948" i="5"/>
  <c r="AM2313" i="5"/>
  <c r="AM1326" i="5"/>
  <c r="AM1684" i="5"/>
  <c r="AM910" i="5"/>
  <c r="AY2552" i="5"/>
  <c r="M2946" i="5"/>
  <c r="L2946" i="5" s="1"/>
  <c r="M906" i="5"/>
  <c r="F906" i="5" s="1"/>
  <c r="AM907" i="5" s="1"/>
  <c r="A3962" i="5"/>
  <c r="AQ3962" i="5"/>
  <c r="D3962" i="5"/>
  <c r="AO3962" i="5"/>
  <c r="AP3962" i="5" s="1"/>
  <c r="AR3962" i="5" s="1"/>
  <c r="AS1262" i="5"/>
  <c r="C4956" i="5"/>
  <c r="A4957" i="5"/>
  <c r="C4957" i="5" s="1"/>
  <c r="AM840" i="5"/>
  <c r="AM841" i="5"/>
  <c r="AM753" i="5"/>
  <c r="AM754" i="5"/>
  <c r="AM1162" i="5"/>
  <c r="AM1161" i="5"/>
  <c r="AM951" i="5"/>
  <c r="AM952" i="5"/>
  <c r="AM1976" i="5"/>
  <c r="AM1975" i="5"/>
  <c r="AM2355" i="5"/>
  <c r="AM1793" i="5"/>
  <c r="AM1822" i="5"/>
  <c r="F5084" i="5"/>
  <c r="M1239" i="5"/>
  <c r="F1239" i="5" s="1"/>
  <c r="AM739" i="5"/>
  <c r="AM1354" i="5"/>
  <c r="M1257" i="5"/>
  <c r="F1257" i="5" s="1"/>
  <c r="AM1258" i="5" s="1"/>
  <c r="AQ2552" i="5"/>
  <c r="M1074" i="5"/>
  <c r="F1074" i="5" s="1"/>
  <c r="AM1075" i="5" s="1"/>
  <c r="AI2543" i="5"/>
  <c r="M297" i="5"/>
  <c r="F297" i="5" s="1"/>
  <c r="AM298" i="5" s="1"/>
  <c r="AS1206" i="5"/>
  <c r="C4769" i="5"/>
  <c r="F4769" i="5"/>
  <c r="A4770" i="5"/>
  <c r="C4770" i="5" s="1"/>
  <c r="AM767" i="5"/>
  <c r="AM768" i="5"/>
  <c r="AM1410" i="5"/>
  <c r="AM1409" i="5"/>
  <c r="AM2003" i="5"/>
  <c r="AM2004" i="5"/>
  <c r="AM781" i="5"/>
  <c r="AM599" i="5"/>
  <c r="Q4654" i="5"/>
  <c r="F4654" i="5" s="1"/>
  <c r="AM1905" i="5"/>
  <c r="AM2060" i="5"/>
  <c r="AM1849" i="5"/>
  <c r="AM1064" i="5"/>
  <c r="M1011" i="5"/>
  <c r="F1011" i="5" s="1"/>
  <c r="AM1012" i="5" s="1"/>
  <c r="AM1424" i="5"/>
  <c r="AM1720" i="5"/>
  <c r="D3874" i="5"/>
  <c r="AM2501" i="5"/>
  <c r="G4924" i="5"/>
  <c r="H4924" i="5" s="1"/>
  <c r="AM655" i="5"/>
  <c r="M3151" i="5"/>
  <c r="F3151" i="5" s="1"/>
  <c r="L3151" i="5" s="1"/>
  <c r="M948" i="5"/>
  <c r="F948" i="5" s="1"/>
  <c r="AM949" i="5" s="1"/>
  <c r="M454" i="5"/>
  <c r="F454" i="5" s="1"/>
  <c r="A3965" i="5"/>
  <c r="AO3965" i="5"/>
  <c r="AP3965" i="5" s="1"/>
  <c r="AR3965" i="5" s="1"/>
  <c r="AQ3965" i="5"/>
  <c r="AT404" i="5"/>
  <c r="AS404" i="5"/>
  <c r="AM2284" i="5"/>
  <c r="AS1150" i="5"/>
  <c r="AM2046" i="5"/>
  <c r="M3152" i="5"/>
  <c r="F3152" i="5" s="1"/>
  <c r="L3152" i="5" s="1"/>
  <c r="M927" i="5"/>
  <c r="F927" i="5" s="1"/>
  <c r="AM928" i="5" s="1"/>
  <c r="AT337" i="5"/>
  <c r="AT2527" i="5"/>
  <c r="AZ2423" i="5"/>
  <c r="AY2423" i="5"/>
  <c r="AL2423" i="5"/>
  <c r="AS2411" i="5"/>
  <c r="AT2411" i="5"/>
  <c r="AL2403" i="5"/>
  <c r="AZ2403" i="5"/>
  <c r="AY2403" i="5"/>
  <c r="AJ2403" i="5"/>
  <c r="AK2399" i="5"/>
  <c r="AI2399" i="5"/>
  <c r="AJ2399" i="5"/>
  <c r="AU2399" i="5"/>
  <c r="AV2399" i="5" s="1"/>
  <c r="AL2399" i="5"/>
  <c r="AR2399" i="5"/>
  <c r="AT2399" i="5" s="1"/>
  <c r="AT2396" i="5"/>
  <c r="AS2396" i="5"/>
  <c r="AS2391" i="5"/>
  <c r="AT2391" i="5"/>
  <c r="AK2383" i="5"/>
  <c r="AJ2383" i="5"/>
  <c r="AY2383" i="5"/>
  <c r="AZ2383" i="5"/>
  <c r="AZ2357" i="5"/>
  <c r="AW2357" i="5"/>
  <c r="AX2357" i="5" s="1"/>
  <c r="AY2357" i="5"/>
  <c r="AR2357" i="5"/>
  <c r="AI2358" i="5"/>
  <c r="AT2353" i="5"/>
  <c r="AS2353" i="5"/>
  <c r="AS2349" i="5"/>
  <c r="AT2349" i="5"/>
  <c r="AY2341" i="5"/>
  <c r="AK2341" i="5"/>
  <c r="AL2341" i="5"/>
  <c r="AK2330" i="5"/>
  <c r="AU2330" i="5"/>
  <c r="AV2330" i="5" s="1"/>
  <c r="AR2330" i="5"/>
  <c r="AS2330" i="5" s="1"/>
  <c r="AQ2330" i="5"/>
  <c r="AZ2330" i="5"/>
  <c r="AL2330" i="5"/>
  <c r="AY2325" i="5"/>
  <c r="AI2325" i="5"/>
  <c r="AL2325" i="5"/>
  <c r="AZ2325" i="5"/>
  <c r="AL2321" i="5"/>
  <c r="AY2321" i="5"/>
  <c r="AZ2321" i="5"/>
  <c r="AK2305" i="5"/>
  <c r="AL2305" i="5"/>
  <c r="AZ2305" i="5"/>
  <c r="AJ2285" i="5"/>
  <c r="AL2285" i="5"/>
  <c r="AY2285" i="5"/>
  <c r="AR2274" i="5"/>
  <c r="AL2274" i="5"/>
  <c r="AI2275" i="5"/>
  <c r="AU2274" i="5"/>
  <c r="AV2274" i="5" s="1"/>
  <c r="AY2274" i="5"/>
  <c r="AJ2274" i="5"/>
  <c r="AZ2274" i="5"/>
  <c r="AW2274" i="5"/>
  <c r="AX2274" i="5" s="1"/>
  <c r="AK2269" i="5"/>
  <c r="AJ2269" i="5"/>
  <c r="AI2269" i="5"/>
  <c r="AY2269" i="5"/>
  <c r="AL2245" i="5"/>
  <c r="AI2246" i="5"/>
  <c r="AI2245" i="5"/>
  <c r="AJ2245" i="5"/>
  <c r="AS2241" i="5"/>
  <c r="AT2241" i="5"/>
  <c r="AY2218" i="5"/>
  <c r="AK2218" i="5"/>
  <c r="AJ2218" i="5"/>
  <c r="AR2218" i="5"/>
  <c r="AT2218" i="5" s="1"/>
  <c r="AI2219" i="5"/>
  <c r="AL2218" i="5"/>
  <c r="AQ2218" i="5"/>
  <c r="AZ2218" i="5"/>
  <c r="AK2213" i="5"/>
  <c r="AI2213" i="5"/>
  <c r="AL2213" i="5"/>
  <c r="AZ2209" i="5"/>
  <c r="AY2209" i="5"/>
  <c r="AS2205" i="5"/>
  <c r="AT2205" i="5"/>
  <c r="AL2193" i="5"/>
  <c r="AZ2193" i="5"/>
  <c r="AK2193" i="5"/>
  <c r="AJ2189" i="5"/>
  <c r="AY2189" i="5"/>
  <c r="AT2181" i="5"/>
  <c r="AS2181" i="5"/>
  <c r="AJ2173" i="5"/>
  <c r="AL2173" i="5"/>
  <c r="AK2173" i="5"/>
  <c r="AZ2173" i="5"/>
  <c r="AL2123" i="5"/>
  <c r="AR2123" i="5"/>
  <c r="AI2124" i="5"/>
  <c r="AZ2123" i="5"/>
  <c r="AJ2123" i="5"/>
  <c r="AK2123" i="5"/>
  <c r="AZ2115" i="5"/>
  <c r="AY2115" i="5"/>
  <c r="AJ2115" i="5"/>
  <c r="AQ2115" i="5"/>
  <c r="AY2111" i="5"/>
  <c r="AK2111" i="5"/>
  <c r="AW2111" i="5"/>
  <c r="AX2111" i="5" s="1"/>
  <c r="AI2111" i="5"/>
  <c r="AR2100" i="5"/>
  <c r="AL2100" i="5"/>
  <c r="AQ2100" i="5"/>
  <c r="AY2100" i="5"/>
  <c r="AJ2100" i="5"/>
  <c r="AI2101" i="5"/>
  <c r="AK2100" i="5"/>
  <c r="AI2100" i="5"/>
  <c r="AZ2091" i="5"/>
  <c r="AJ2091" i="5"/>
  <c r="AQ2091" i="5"/>
  <c r="AI2091" i="5"/>
  <c r="AI2092" i="5"/>
  <c r="AY2085" i="5"/>
  <c r="AZ2085" i="5"/>
  <c r="AL2085" i="5"/>
  <c r="AJ2085" i="5"/>
  <c r="AL2081" i="5"/>
  <c r="AK2081" i="5"/>
  <c r="AZ2081" i="5"/>
  <c r="AI2082" i="5"/>
  <c r="AQ2081" i="5"/>
  <c r="AJ2081" i="5"/>
  <c r="AW2081" i="5"/>
  <c r="AX2081" i="5" s="1"/>
  <c r="AU2081" i="5"/>
  <c r="AV2081" i="5" s="1"/>
  <c r="AT2077" i="5"/>
  <c r="AS2077" i="5"/>
  <c r="AZ2065" i="5"/>
  <c r="AK2065" i="5"/>
  <c r="AL2065" i="5"/>
  <c r="AJ2065" i="5"/>
  <c r="AY2061" i="5"/>
  <c r="AR2061" i="5"/>
  <c r="AW2061" i="5"/>
  <c r="AX2061" i="5" s="1"/>
  <c r="AI2062" i="5"/>
  <c r="AQ2061" i="5"/>
  <c r="AI2061" i="5"/>
  <c r="AS2057" i="5"/>
  <c r="AT2057" i="5"/>
  <c r="AT2053" i="5"/>
  <c r="AS2053" i="5"/>
  <c r="AI2045" i="5"/>
  <c r="AJ2045" i="5"/>
  <c r="AK2045" i="5"/>
  <c r="AQ2045" i="5"/>
  <c r="AY2045" i="5"/>
  <c r="AL2045" i="5"/>
  <c r="AS2037" i="5"/>
  <c r="AT2037" i="5"/>
  <c r="AI2035" i="5"/>
  <c r="AU2034" i="5"/>
  <c r="AV2034" i="5" s="1"/>
  <c r="AZ2034" i="5"/>
  <c r="AR2034" i="5"/>
  <c r="AY2034" i="5"/>
  <c r="AJ2034" i="5"/>
  <c r="AQ2034" i="5"/>
  <c r="AW2034" i="5"/>
  <c r="AX2034" i="5" s="1"/>
  <c r="AZ2029" i="5"/>
  <c r="AL2029" i="5"/>
  <c r="AY2029" i="5"/>
  <c r="AI2029" i="5"/>
  <c r="AQ2029" i="5"/>
  <c r="AI2025" i="5"/>
  <c r="AK2025" i="5"/>
  <c r="AY2025" i="5"/>
  <c r="AZ2025" i="5"/>
  <c r="AS2021" i="5"/>
  <c r="AT2021" i="5"/>
  <c r="AT2017" i="5"/>
  <c r="AS2017" i="5"/>
  <c r="AK2009" i="5"/>
  <c r="AQ2009" i="5"/>
  <c r="AY2009" i="5"/>
  <c r="AL2009" i="5"/>
  <c r="AK2005" i="5"/>
  <c r="AW2005" i="5"/>
  <c r="AX2005" i="5" s="1"/>
  <c r="AI2006" i="5"/>
  <c r="AI2005" i="5"/>
  <c r="AL2005" i="5"/>
  <c r="AY2005" i="5"/>
  <c r="AU2005" i="5"/>
  <c r="AV2005" i="5" s="1"/>
  <c r="AR2005" i="5"/>
  <c r="AT2005" i="5" s="1"/>
  <c r="AT2001" i="5"/>
  <c r="AS2001" i="5"/>
  <c r="AQ1989" i="5"/>
  <c r="AZ1989" i="5"/>
  <c r="AY1989" i="5"/>
  <c r="AK1989" i="5"/>
  <c r="AL1989" i="5"/>
  <c r="AS1981" i="5"/>
  <c r="AT1981" i="5"/>
  <c r="AI1979" i="5"/>
  <c r="AI1978" i="5"/>
  <c r="AZ1978" i="5"/>
  <c r="AJ1978" i="5"/>
  <c r="AW1978" i="5"/>
  <c r="AX1978" i="5" s="1"/>
  <c r="AL1978" i="5"/>
  <c r="AY1978" i="5"/>
  <c r="AY1973" i="5"/>
  <c r="AK1973" i="5"/>
  <c r="AJ1973" i="5"/>
  <c r="AL1973" i="5"/>
  <c r="AQ1973" i="5"/>
  <c r="AL1969" i="5"/>
  <c r="AJ1969" i="5"/>
  <c r="AI1969" i="5"/>
  <c r="AQ1969" i="5"/>
  <c r="AI1970" i="5"/>
  <c r="AS1965" i="5"/>
  <c r="AT1965" i="5"/>
  <c r="AS1961" i="5"/>
  <c r="AT1961" i="5"/>
  <c r="AL1953" i="5"/>
  <c r="AZ1953" i="5"/>
  <c r="AK1953" i="5"/>
  <c r="AJ1953" i="5"/>
  <c r="AQ1953" i="5"/>
  <c r="AI1953" i="5"/>
  <c r="AL1949" i="5"/>
  <c r="AR1949" i="5"/>
  <c r="AW1949" i="5"/>
  <c r="AX1949" i="5" s="1"/>
  <c r="AI1950" i="5"/>
  <c r="AQ1949" i="5"/>
  <c r="AI1949" i="5"/>
  <c r="AK1949" i="5"/>
  <c r="AI1934" i="5"/>
  <c r="AL1933" i="5"/>
  <c r="AZ1933" i="5"/>
  <c r="AY1933" i="5"/>
  <c r="AJ1933" i="5"/>
  <c r="AK1933" i="5"/>
  <c r="AI1923" i="5"/>
  <c r="AL1922" i="5"/>
  <c r="AK1922" i="5"/>
  <c r="AW1922" i="5"/>
  <c r="AX1922" i="5" s="1"/>
  <c r="AI1922" i="5"/>
  <c r="AU1922" i="5"/>
  <c r="AV1922" i="5" s="1"/>
  <c r="AQ1922" i="5"/>
  <c r="AY1917" i="5"/>
  <c r="AK1917" i="5"/>
  <c r="AQ1917" i="5"/>
  <c r="AZ1917" i="5"/>
  <c r="AJ1917" i="5"/>
  <c r="AZ1913" i="5"/>
  <c r="AK1913" i="5"/>
  <c r="AL1913" i="5"/>
  <c r="AM1913" i="5"/>
  <c r="AJ1897" i="5"/>
  <c r="AK1897" i="5"/>
  <c r="AI1897" i="5"/>
  <c r="AI1898" i="5"/>
  <c r="AL1897" i="5"/>
  <c r="AZ1893" i="5"/>
  <c r="AJ1893" i="5"/>
  <c r="AI1894" i="5"/>
  <c r="AU1893" i="5"/>
  <c r="AV1893" i="5" s="1"/>
  <c r="AK1893" i="5"/>
  <c r="AY1893" i="5"/>
  <c r="AI1893" i="5"/>
  <c r="AW1893" i="5"/>
  <c r="AX1893" i="5" s="1"/>
  <c r="AL1893" i="5"/>
  <c r="AQ1893" i="5"/>
  <c r="AK2423" i="5"/>
  <c r="AJ2321" i="5"/>
  <c r="AI2326" i="5"/>
  <c r="AI2424" i="5"/>
  <c r="AI2210" i="5"/>
  <c r="AI2081" i="5"/>
  <c r="AZ2229" i="5"/>
  <c r="AQ2341" i="5"/>
  <c r="AW2399" i="5"/>
  <c r="AX2399" i="5" s="1"/>
  <c r="AU2100" i="5"/>
  <c r="AV2100" i="5" s="1"/>
  <c r="AS2395" i="5"/>
  <c r="AK2274" i="5"/>
  <c r="AI2112" i="5"/>
  <c r="AJ2357" i="5"/>
  <c r="AK2325" i="5"/>
  <c r="AI2420" i="5"/>
  <c r="AQ2419" i="5"/>
  <c r="AL2419" i="5"/>
  <c r="AK2361" i="5"/>
  <c r="AI2194" i="5"/>
  <c r="AM1682" i="5"/>
  <c r="AW2189" i="5"/>
  <c r="AX2189" i="5" s="1"/>
  <c r="AI2193" i="5"/>
  <c r="AQ2025" i="5"/>
  <c r="AI2065" i="5"/>
  <c r="AK2245" i="5"/>
  <c r="AI2400" i="5"/>
  <c r="AZ2100" i="5"/>
  <c r="AI2274" i="5"/>
  <c r="AS1945" i="5"/>
  <c r="AZ2111" i="5"/>
  <c r="AU2357" i="5"/>
  <c r="AV2357" i="5" s="1"/>
  <c r="AK2115" i="5"/>
  <c r="AJ2029" i="5"/>
  <c r="AJ2325" i="5"/>
  <c r="AQ2383" i="5"/>
  <c r="AI2373" i="5"/>
  <c r="AM2419" i="5"/>
  <c r="AJ2423" i="5"/>
  <c r="AQ2423" i="5"/>
  <c r="AK2419" i="5"/>
  <c r="AL2357" i="5"/>
  <c r="AI2116" i="5"/>
  <c r="AI2066" i="5"/>
  <c r="AL2115" i="5"/>
  <c r="AQ2085" i="5"/>
  <c r="AY2229" i="5"/>
  <c r="AJ1949" i="5"/>
  <c r="AR2245" i="5"/>
  <c r="AS2245" i="5" s="1"/>
  <c r="AW2100" i="5"/>
  <c r="AX2100" i="5" s="1"/>
  <c r="AS2297" i="5"/>
  <c r="AK1978" i="5"/>
  <c r="AS2237" i="5"/>
  <c r="AL2383" i="5"/>
  <c r="AT2169" i="5"/>
  <c r="AK2029" i="5"/>
  <c r="AJ2419" i="5"/>
  <c r="AI2423" i="5"/>
  <c r="AW2372" i="5"/>
  <c r="AX2372" i="5" s="1"/>
  <c r="AI2404" i="5"/>
  <c r="AI2174" i="5"/>
  <c r="AT2201" i="5"/>
  <c r="AR2111" i="5"/>
  <c r="AI2085" i="5"/>
  <c r="AY2305" i="5"/>
  <c r="AY2245" i="5"/>
  <c r="AR2189" i="5"/>
  <c r="AZ1973" i="5"/>
  <c r="AK2403" i="5"/>
  <c r="AU1978" i="5"/>
  <c r="AV1978" i="5" s="1"/>
  <c r="AT2415" i="5"/>
  <c r="AZ2269" i="5"/>
  <c r="AT2293" i="5"/>
  <c r="AY2419" i="5"/>
  <c r="AZ2372" i="5"/>
  <c r="AM2325" i="5"/>
  <c r="AI2403" i="5"/>
  <c r="AT2317" i="5"/>
  <c r="AY2330" i="5"/>
  <c r="AY2193" i="5"/>
  <c r="AU2111" i="5"/>
  <c r="AV2111" i="5" s="1"/>
  <c r="AR2081" i="5"/>
  <c r="AS2081" i="5" s="1"/>
  <c r="AI2357" i="5"/>
  <c r="AQ2111" i="5"/>
  <c r="AY1949" i="5"/>
  <c r="AK2321" i="5"/>
  <c r="AS1997" i="5"/>
  <c r="AL2189" i="5"/>
  <c r="AI1973" i="5"/>
  <c r="AR1978" i="5"/>
  <c r="AT1978" i="5" s="1"/>
  <c r="AL2061" i="5"/>
  <c r="AL2269" i="5"/>
  <c r="AI2419" i="5"/>
  <c r="AI2214" i="5"/>
  <c r="AZ2189" i="5"/>
  <c r="AY2065" i="5"/>
  <c r="AJ2025" i="5"/>
  <c r="AJ2341" i="5"/>
  <c r="AJ2005" i="5"/>
  <c r="AS2221" i="5"/>
  <c r="AY2091" i="5"/>
  <c r="AT2073" i="5"/>
  <c r="AZ2061" i="5"/>
  <c r="AQ2403" i="5"/>
  <c r="AK2372" i="5"/>
  <c r="AI2330" i="5"/>
  <c r="AK2209" i="5"/>
  <c r="AL2025" i="5"/>
  <c r="AJ2061" i="5"/>
  <c r="AI2115" i="5"/>
  <c r="AI2341" i="5"/>
  <c r="AI2189" i="5"/>
  <c r="AQ2193" i="5"/>
  <c r="AI2009" i="5"/>
  <c r="AZ2341" i="5"/>
  <c r="AK2034" i="5"/>
  <c r="AI2331" i="5"/>
  <c r="AL2091" i="5"/>
  <c r="AU2061" i="5"/>
  <c r="AV2061" i="5" s="1"/>
  <c r="AY1953" i="5"/>
  <c r="AK1969" i="5"/>
  <c r="AZ1866" i="5"/>
  <c r="AI1866" i="5"/>
  <c r="AL1861" i="5"/>
  <c r="AJ1861" i="5"/>
  <c r="AZ1861" i="5"/>
  <c r="AY1857" i="5"/>
  <c r="AZ1857" i="5"/>
  <c r="AI1857" i="5"/>
  <c r="AI1841" i="5"/>
  <c r="AY1841" i="5"/>
  <c r="AJ1821" i="5"/>
  <c r="AY1821" i="5"/>
  <c r="AL1805" i="5"/>
  <c r="AZ1805" i="5"/>
  <c r="AJ1805" i="5"/>
  <c r="AJ1801" i="5"/>
  <c r="AL1801" i="5"/>
  <c r="AZ1801" i="5"/>
  <c r="AL1765" i="5"/>
  <c r="AY1765" i="5"/>
  <c r="AI1737" i="5"/>
  <c r="AZ1737" i="5"/>
  <c r="AJ1691" i="5"/>
  <c r="AL1691" i="5"/>
  <c r="AR1668" i="5"/>
  <c r="AY1668" i="5"/>
  <c r="AJ1668" i="5"/>
  <c r="AQ1668" i="5"/>
  <c r="AL1668" i="5"/>
  <c r="AQ1657" i="5"/>
  <c r="AU1657" i="5"/>
  <c r="AV1657" i="5" s="1"/>
  <c r="AZ1657" i="5"/>
  <c r="AZ1648" i="5"/>
  <c r="AJ1648" i="5"/>
  <c r="AZ1644" i="5"/>
  <c r="AY1644" i="5"/>
  <c r="AU1644" i="5"/>
  <c r="AV1644" i="5" s="1"/>
  <c r="AR1644" i="5"/>
  <c r="AT1644" i="5" s="1"/>
  <c r="AW1617" i="5"/>
  <c r="AX1617" i="5" s="1"/>
  <c r="AL1617" i="5"/>
  <c r="AQ1612" i="5"/>
  <c r="AJ1612" i="5"/>
  <c r="AJ1608" i="5"/>
  <c r="AY1608" i="5"/>
  <c r="AI1608" i="5"/>
  <c r="AZ1608" i="5"/>
  <c r="AL1592" i="5"/>
  <c r="AJ1592" i="5"/>
  <c r="AK1572" i="5"/>
  <c r="AI1572" i="5"/>
  <c r="AJ1567" i="5"/>
  <c r="AI1568" i="5"/>
  <c r="AW1567" i="5"/>
  <c r="AX1567" i="5" s="1"/>
  <c r="AK1567" i="5"/>
  <c r="AL1567" i="5"/>
  <c r="AQ1565" i="5"/>
  <c r="AL1565" i="5"/>
  <c r="AZ1529" i="5"/>
  <c r="AI1529" i="5"/>
  <c r="AK1529" i="5"/>
  <c r="AK1672" i="5"/>
  <c r="AT1793" i="5"/>
  <c r="AK1810" i="5"/>
  <c r="AU1681" i="5"/>
  <c r="AV1681" i="5" s="1"/>
  <c r="AJ1744" i="5"/>
  <c r="AI1781" i="5"/>
  <c r="AK1781" i="5"/>
  <c r="AL1837" i="5"/>
  <c r="AQ1866" i="5"/>
  <c r="AI1645" i="5"/>
  <c r="AQ1737" i="5"/>
  <c r="AI1785" i="5"/>
  <c r="AU1691" i="5"/>
  <c r="AV1691" i="5" s="1"/>
  <c r="AK1801" i="5"/>
  <c r="AK1861" i="5"/>
  <c r="AZ1617" i="5"/>
  <c r="AI1765" i="5"/>
  <c r="AL1821" i="5"/>
  <c r="AK1592" i="5"/>
  <c r="AJ1628" i="5"/>
  <c r="AW1657" i="5"/>
  <c r="AX1657" i="5" s="1"/>
  <c r="AI1805" i="5"/>
  <c r="AK1608" i="5"/>
  <c r="AS1849" i="5"/>
  <c r="AT1588" i="5"/>
  <c r="AM2245" i="5"/>
  <c r="AM379" i="5"/>
  <c r="AJ1810" i="5"/>
  <c r="AI1782" i="5"/>
  <c r="AK1837" i="5"/>
  <c r="AT1853" i="5"/>
  <c r="AL1866" i="5"/>
  <c r="AY1861" i="5"/>
  <c r="AJ1785" i="5"/>
  <c r="AS1833" i="5"/>
  <c r="AI1861" i="5"/>
  <c r="AQ1765" i="5"/>
  <c r="AI1821" i="5"/>
  <c r="AS1869" i="5"/>
  <c r="AL1857" i="5"/>
  <c r="AQ1672" i="5"/>
  <c r="AW1810" i="5"/>
  <c r="AX1810" i="5" s="1"/>
  <c r="AY1810" i="5"/>
  <c r="AZ1681" i="5"/>
  <c r="AZ1744" i="5"/>
  <c r="AZ1781" i="5"/>
  <c r="AJ1837" i="5"/>
  <c r="AI1867" i="5"/>
  <c r="AY1866" i="5"/>
  <c r="AY1612" i="5"/>
  <c r="AL1644" i="5"/>
  <c r="AK1737" i="5"/>
  <c r="AL1785" i="5"/>
  <c r="AJ1857" i="5"/>
  <c r="AI1691" i="5"/>
  <c r="AJ1877" i="5"/>
  <c r="AI1618" i="5"/>
  <c r="AZ1765" i="5"/>
  <c r="AZ1821" i="5"/>
  <c r="AI1648" i="5"/>
  <c r="AJ1657" i="5"/>
  <c r="AI1669" i="5"/>
  <c r="AK1857" i="5"/>
  <c r="AM2427" i="5"/>
  <c r="AR1810" i="5"/>
  <c r="AR1837" i="5"/>
  <c r="AS1837" i="5" s="1"/>
  <c r="AK1866" i="5"/>
  <c r="AZ1841" i="5"/>
  <c r="AI1877" i="5"/>
  <c r="AZ1668" i="5"/>
  <c r="AQ1861" i="5"/>
  <c r="AQ1810" i="5"/>
  <c r="AR1781" i="5"/>
  <c r="AU1837" i="5"/>
  <c r="AV1837" i="5" s="1"/>
  <c r="AW1866" i="5"/>
  <c r="AX1866" i="5" s="1"/>
  <c r="AI1644" i="5"/>
  <c r="AT1829" i="5"/>
  <c r="AY1801" i="5"/>
  <c r="AL1841" i="5"/>
  <c r="AL1877" i="5"/>
  <c r="AQ1617" i="5"/>
  <c r="AT1688" i="5"/>
  <c r="AZ1628" i="5"/>
  <c r="AI1657" i="5"/>
  <c r="AY1805" i="5"/>
  <c r="AU1668" i="5"/>
  <c r="AV1668" i="5" s="1"/>
  <c r="AL1525" i="5"/>
  <c r="M4380" i="5"/>
  <c r="F4381" i="5" s="1"/>
  <c r="L4380" i="5" s="1"/>
  <c r="M4169" i="5"/>
  <c r="F4169" i="5" s="1"/>
  <c r="L4169" i="5" s="1"/>
  <c r="M3939" i="5"/>
  <c r="F3939" i="5" s="1"/>
  <c r="L3939" i="5" s="1"/>
  <c r="M3832" i="5"/>
  <c r="L3832" i="5" s="1"/>
  <c r="M2974" i="5"/>
  <c r="L2974" i="5" s="1"/>
  <c r="M2950" i="5"/>
  <c r="L2950" i="5" s="1"/>
  <c r="M2926" i="5"/>
  <c r="L2926" i="5" s="1"/>
  <c r="M2902" i="5"/>
  <c r="L2902" i="5" s="1"/>
  <c r="AM1231" i="5"/>
  <c r="AM1433" i="5"/>
  <c r="AM1321" i="5"/>
  <c r="AM1847" i="5"/>
  <c r="AM2383" i="5"/>
  <c r="AN3953" i="5"/>
  <c r="AO3953" i="5" s="1"/>
  <c r="AP3953" i="5" s="1"/>
  <c r="AR3953" i="5" s="1"/>
  <c r="AN3860" i="5"/>
  <c r="A3860" i="5" s="1"/>
  <c r="AN3855" i="5"/>
  <c r="AO3855" i="5" s="1"/>
  <c r="AP3855" i="5" s="1"/>
  <c r="AR3855" i="5" s="1"/>
  <c r="AN3634" i="5"/>
  <c r="AO3634" i="5" s="1"/>
  <c r="AP3634" i="5" s="1"/>
  <c r="AR3634" i="5" s="1"/>
  <c r="AQ2530" i="5"/>
  <c r="AQ2506" i="5"/>
  <c r="AQ2409" i="5"/>
  <c r="AM2369" i="5"/>
  <c r="AQ2316" i="5"/>
  <c r="AQ2296" i="5"/>
  <c r="AQ2287" i="5"/>
  <c r="AQ2106" i="5"/>
  <c r="AQ2102" i="5"/>
  <c r="AQ2072" i="5"/>
  <c r="AQ2041" i="5"/>
  <c r="AQ2012" i="5"/>
  <c r="AQ1561" i="5"/>
  <c r="AI1400" i="5"/>
  <c r="AU1525" i="5"/>
  <c r="AV1525" i="5" s="1"/>
  <c r="AM1367" i="5"/>
  <c r="AM1493" i="5"/>
  <c r="AM1535" i="5"/>
  <c r="AM1507" i="5"/>
  <c r="M3929" i="5"/>
  <c r="L3929" i="5" s="1"/>
  <c r="M3055" i="5"/>
  <c r="F3055" i="5" s="1"/>
  <c r="L3055" i="5" s="1"/>
  <c r="M3047" i="5"/>
  <c r="F3047" i="5" s="1"/>
  <c r="L3047" i="5" s="1"/>
  <c r="AM324" i="5"/>
  <c r="AM293" i="5"/>
  <c r="AM733" i="5"/>
  <c r="AM635" i="5"/>
  <c r="AM594" i="5"/>
  <c r="AM550" i="5"/>
  <c r="AM494" i="5"/>
  <c r="AM1243" i="5"/>
  <c r="AM1212" i="5"/>
  <c r="AM1169" i="5"/>
  <c r="AM1072" i="5"/>
  <c r="AM917" i="5"/>
  <c r="AM903" i="5"/>
  <c r="AM889" i="5"/>
  <c r="AM1678" i="5"/>
  <c r="AM1661" i="5"/>
  <c r="AM1647" i="5"/>
  <c r="AM1633" i="5"/>
  <c r="AM1591" i="5"/>
  <c r="AM1558" i="5"/>
  <c r="AM1543" i="5"/>
  <c r="AM1501" i="5"/>
  <c r="AM1460" i="5"/>
  <c r="AM1375" i="5"/>
  <c r="AM1347" i="5"/>
  <c r="AM1333" i="5"/>
  <c r="AM2115" i="5"/>
  <c r="AM2025" i="5"/>
  <c r="AM1983" i="5"/>
  <c r="AM1955" i="5"/>
  <c r="AM1885" i="5"/>
  <c r="AM1871" i="5"/>
  <c r="AM1857" i="5"/>
  <c r="AM1815" i="5"/>
  <c r="AM2539" i="5"/>
  <c r="AM2349" i="5"/>
  <c r="AM2321" i="5"/>
  <c r="M3000" i="5"/>
  <c r="L3000" i="5" s="1"/>
  <c r="M3219" i="5"/>
  <c r="F3219" i="5" s="1"/>
  <c r="L3219" i="5" s="1"/>
  <c r="M3170" i="5"/>
  <c r="F3170" i="5" s="1"/>
  <c r="L3170" i="5" s="1"/>
  <c r="M3269" i="5"/>
  <c r="F3269" i="5" s="1"/>
  <c r="L3269" i="5" s="1"/>
  <c r="AI2511" i="5"/>
  <c r="AQ2456" i="5"/>
  <c r="AI1261" i="5"/>
  <c r="AY1525" i="5"/>
  <c r="M2929" i="5"/>
  <c r="L2929" i="5" s="1"/>
  <c r="M2921" i="5"/>
  <c r="L2921" i="5" s="1"/>
  <c r="AM796" i="5"/>
  <c r="AM684" i="5"/>
  <c r="AM1236" i="5"/>
  <c r="AM1218" i="5"/>
  <c r="AM1036" i="5"/>
  <c r="AM1008" i="5"/>
  <c r="AM1565" i="5"/>
  <c r="AM1480" i="5"/>
  <c r="AM1396" i="5"/>
  <c r="AM2032" i="5"/>
  <c r="AM1878" i="5"/>
  <c r="AM1766" i="5"/>
  <c r="AM2341" i="5"/>
  <c r="AM2229" i="5"/>
  <c r="M3265" i="5"/>
  <c r="F3265" i="5" s="1"/>
  <c r="L3265" i="5" s="1"/>
  <c r="AI2209" i="5"/>
  <c r="AT1226" i="5"/>
  <c r="AT1977" i="5"/>
  <c r="AS1977" i="5"/>
  <c r="AS968" i="5"/>
  <c r="AT968" i="5"/>
  <c r="AT1233" i="5"/>
  <c r="AS1233" i="5"/>
  <c r="P5003" i="5"/>
  <c r="U5002" i="5"/>
  <c r="C5185" i="5"/>
  <c r="A5186" i="5"/>
  <c r="C5186" i="5" s="1"/>
  <c r="A5276" i="5"/>
  <c r="I5275" i="5"/>
  <c r="AT1094" i="5"/>
  <c r="AS1094" i="5"/>
  <c r="G4882" i="5"/>
  <c r="H4882" i="5" s="1"/>
  <c r="A4883" i="5"/>
  <c r="G4883" i="5" s="1"/>
  <c r="H4883" i="5" s="1"/>
  <c r="A3868" i="5"/>
  <c r="AQ3868" i="5"/>
  <c r="AO3868" i="5"/>
  <c r="AP3868" i="5" s="1"/>
  <c r="AR3868" i="5" s="1"/>
  <c r="AQ3653" i="5"/>
  <c r="D3653" i="5"/>
  <c r="A3653" i="5"/>
  <c r="AO3653" i="5"/>
  <c r="AP3653" i="5" s="1"/>
  <c r="AR3653" i="5" s="1"/>
  <c r="A3428" i="5"/>
  <c r="AV3428" i="5"/>
  <c r="AW3428" i="5" s="1"/>
  <c r="AY3428" i="5" s="1"/>
  <c r="A3420" i="5"/>
  <c r="AO3641" i="5"/>
  <c r="AP3641" i="5" s="1"/>
  <c r="AR3641" i="5" s="1"/>
  <c r="D3641" i="5"/>
  <c r="AQ3641" i="5"/>
  <c r="Q3529" i="5"/>
  <c r="G3539" i="5" s="1"/>
  <c r="H3539" i="5" s="1"/>
  <c r="G3535" i="5"/>
  <c r="H3535" i="5" s="1"/>
  <c r="AT962" i="5"/>
  <c r="AS962" i="5"/>
  <c r="AS1575" i="5"/>
  <c r="AT1575" i="5"/>
  <c r="AS700" i="5"/>
  <c r="AT700" i="5"/>
  <c r="AS1922" i="5"/>
  <c r="AT1922" i="5"/>
  <c r="AT1214" i="5"/>
  <c r="M3043" i="5"/>
  <c r="F3043" i="5" s="1"/>
  <c r="L3043" i="5" s="1"/>
  <c r="M3042" i="5"/>
  <c r="F3042" i="5" s="1"/>
  <c r="L3042" i="5" s="1"/>
  <c r="AT567" i="5"/>
  <c r="AS1250" i="5"/>
  <c r="AS561" i="5"/>
  <c r="AT561" i="5"/>
  <c r="AT1165" i="5"/>
  <c r="AS1165" i="5"/>
  <c r="L4020" i="5"/>
  <c r="M4174" i="5"/>
  <c r="F4174" i="5" s="1"/>
  <c r="L4174" i="5" s="1"/>
  <c r="M4176" i="5"/>
  <c r="F4176" i="5" s="1"/>
  <c r="L4176" i="5" s="1"/>
  <c r="M2994" i="5"/>
  <c r="L2994" i="5" s="1"/>
  <c r="M3011" i="5"/>
  <c r="L3011" i="5" s="1"/>
  <c r="M3225" i="5"/>
  <c r="F3225" i="5" s="1"/>
  <c r="L3225" i="5" s="1"/>
  <c r="M3217" i="5"/>
  <c r="F3217" i="5" s="1"/>
  <c r="L3217" i="5" s="1"/>
  <c r="M3201" i="5"/>
  <c r="F3201" i="5" s="1"/>
  <c r="L3201" i="5" s="1"/>
  <c r="M3169" i="5"/>
  <c r="F3169" i="5" s="1"/>
  <c r="L3169" i="5" s="1"/>
  <c r="M3145" i="5"/>
  <c r="F3145" i="5" s="1"/>
  <c r="L3145" i="5" s="1"/>
  <c r="M3129" i="5"/>
  <c r="F3129" i="5" s="1"/>
  <c r="L3129" i="5" s="1"/>
  <c r="M3113" i="5"/>
  <c r="F3113" i="5" s="1"/>
  <c r="L3113" i="5" s="1"/>
  <c r="M3072" i="5"/>
  <c r="F3072" i="5" s="1"/>
  <c r="L3072" i="5" s="1"/>
  <c r="AM441" i="5"/>
  <c r="AM407" i="5"/>
  <c r="AM390" i="5"/>
  <c r="AM342" i="5"/>
  <c r="AM835" i="5"/>
  <c r="AM804" i="5"/>
  <c r="AM790" i="5"/>
  <c r="AM776" i="5"/>
  <c r="AM762" i="5"/>
  <c r="AM734" i="5"/>
  <c r="AM720" i="5"/>
  <c r="AM706" i="5"/>
  <c r="AM678" i="5"/>
  <c r="AM664" i="5"/>
  <c r="AM650" i="5"/>
  <c r="AM636" i="5"/>
  <c r="AM622" i="5"/>
  <c r="AM608" i="5"/>
  <c r="AM537" i="5"/>
  <c r="AM509" i="5"/>
  <c r="AM495" i="5"/>
  <c r="AM1170" i="5"/>
  <c r="AM1086" i="5"/>
  <c r="AM1058" i="5"/>
  <c r="AM1044" i="5"/>
  <c r="AM1030" i="5"/>
  <c r="AM1016" i="5"/>
  <c r="AM1002" i="5"/>
  <c r="AM988" i="5"/>
  <c r="AM974" i="5"/>
  <c r="AM960" i="5"/>
  <c r="AM946" i="5"/>
  <c r="AM932" i="5"/>
  <c r="AM918" i="5"/>
  <c r="AM904" i="5"/>
  <c r="AM1679" i="5"/>
  <c r="AM1634" i="5"/>
  <c r="AM1620" i="5"/>
  <c r="AM1592" i="5"/>
  <c r="AM1578" i="5"/>
  <c r="AM1544" i="5"/>
  <c r="AM1516" i="5"/>
  <c r="AM1488" i="5"/>
  <c r="AM1390" i="5"/>
  <c r="AM1376" i="5"/>
  <c r="AM1348" i="5"/>
  <c r="AM1334" i="5"/>
  <c r="AM2116" i="5"/>
  <c r="AM2085" i="5"/>
  <c r="AM1861" i="5"/>
  <c r="AM2526" i="5"/>
  <c r="AM2509" i="5"/>
  <c r="AM2494" i="5"/>
  <c r="AM2480" i="5"/>
  <c r="AM2466" i="5"/>
  <c r="AM2438" i="5"/>
  <c r="AM2424" i="5"/>
  <c r="AM2363" i="5"/>
  <c r="AM2293" i="5"/>
  <c r="AM2265" i="5"/>
  <c r="AM2237" i="5"/>
  <c r="AM2223" i="5"/>
  <c r="AM2181" i="5"/>
  <c r="M3074" i="5"/>
  <c r="F3074" i="5" s="1"/>
  <c r="L3074" i="5" s="1"/>
  <c r="AN3955" i="5"/>
  <c r="A3955" i="5" s="1"/>
  <c r="AN3631" i="5"/>
  <c r="AX3353" i="5"/>
  <c r="D3328" i="5"/>
  <c r="AU3312" i="5"/>
  <c r="A3312" i="5" s="1"/>
  <c r="AX3310" i="5"/>
  <c r="AU3304" i="5"/>
  <c r="AV3304" i="5" s="1"/>
  <c r="AW3304" i="5" s="1"/>
  <c r="AY3304" i="5" s="1"/>
  <c r="AX3300" i="5"/>
  <c r="AU3297" i="5"/>
  <c r="AV3297" i="5" s="1"/>
  <c r="AW3297" i="5" s="1"/>
  <c r="AY3297" i="5" s="1"/>
  <c r="D3287" i="5"/>
  <c r="AQ2550" i="5"/>
  <c r="AQ2546" i="5"/>
  <c r="AQ2535" i="5"/>
  <c r="AQ2532" i="5"/>
  <c r="AQ2526" i="5"/>
  <c r="AQ2522" i="5"/>
  <c r="AQ2502" i="5"/>
  <c r="AQ2491" i="5"/>
  <c r="AQ2486" i="5"/>
  <c r="AQ2462" i="5"/>
  <c r="AQ2446" i="5"/>
  <c r="AQ2432" i="5"/>
  <c r="AQ2395" i="5"/>
  <c r="AQ2375" i="5"/>
  <c r="AQ2370" i="5"/>
  <c r="AQ2350" i="5"/>
  <c r="AI2348" i="5"/>
  <c r="AQ2332" i="5"/>
  <c r="AQ2272" i="5"/>
  <c r="AQ2267" i="5"/>
  <c r="AQ2252" i="5"/>
  <c r="AS362" i="5"/>
  <c r="AS1477" i="5"/>
  <c r="A3873" i="5"/>
  <c r="AY2466" i="5"/>
  <c r="AY2550" i="5"/>
  <c r="M1687" i="5"/>
  <c r="F1687" i="5" s="1"/>
  <c r="AM1688" i="5" s="1"/>
  <c r="M1435" i="5"/>
  <c r="F1435" i="5" s="1"/>
  <c r="AM1436" i="5" s="1"/>
  <c r="M1421" i="5"/>
  <c r="F1421" i="5" s="1"/>
  <c r="AM1422" i="5" s="1"/>
  <c r="AY1310" i="5"/>
  <c r="M1372" i="5"/>
  <c r="F1372" i="5" s="1"/>
  <c r="AM1373" i="5" s="1"/>
  <c r="M1505" i="5"/>
  <c r="F1505" i="5" s="1"/>
  <c r="AM1506" i="5" s="1"/>
  <c r="M819" i="5"/>
  <c r="F819" i="5" s="1"/>
  <c r="AJ2486" i="5"/>
  <c r="AL2491" i="5"/>
  <c r="AL2535" i="5"/>
  <c r="AR2546" i="5"/>
  <c r="AT2546" i="5" s="1"/>
  <c r="M750" i="5"/>
  <c r="F750" i="5" s="1"/>
  <c r="M547" i="5"/>
  <c r="F547" i="5" s="1"/>
  <c r="M743" i="5"/>
  <c r="F743" i="5" s="1"/>
  <c r="M785" i="5"/>
  <c r="F785" i="5" s="1"/>
  <c r="M855" i="5"/>
  <c r="F855" i="5" s="1"/>
  <c r="M631" i="5"/>
  <c r="F631" i="5" s="1"/>
  <c r="M3637" i="5"/>
  <c r="F3637" i="5" s="1"/>
  <c r="L3637" i="5" s="1"/>
  <c r="C4912" i="5"/>
  <c r="G4463" i="5"/>
  <c r="H4463" i="5" s="1"/>
  <c r="AM593" i="5"/>
  <c r="AS750" i="5"/>
  <c r="P4295" i="5"/>
  <c r="G4297" i="5" s="1"/>
  <c r="H4297" i="5" s="1"/>
  <c r="AI2502" i="5"/>
  <c r="M1400" i="5"/>
  <c r="F1400" i="5" s="1"/>
  <c r="AM1401" i="5" s="1"/>
  <c r="M3075" i="5"/>
  <c r="F3075" i="5" s="1"/>
  <c r="L3075" i="5" s="1"/>
  <c r="AM1211" i="5"/>
  <c r="AZ2466" i="5"/>
  <c r="AZ2550" i="5"/>
  <c r="M1351" i="5"/>
  <c r="F1351" i="5" s="1"/>
  <c r="M1365" i="5"/>
  <c r="F1365" i="5" s="1"/>
  <c r="AM1366" i="5" s="1"/>
  <c r="M1540" i="5"/>
  <c r="F1540" i="5" s="1"/>
  <c r="AM1541" i="5" s="1"/>
  <c r="M1407" i="5"/>
  <c r="F1407" i="5" s="1"/>
  <c r="AM1408" i="5" s="1"/>
  <c r="M1554" i="5"/>
  <c r="F1554" i="5" s="1"/>
  <c r="AM1555" i="5" s="1"/>
  <c r="M1358" i="5"/>
  <c r="F1358" i="5" s="1"/>
  <c r="AM1359" i="5" s="1"/>
  <c r="AY2446" i="5"/>
  <c r="AI2486" i="5"/>
  <c r="AT2538" i="5"/>
  <c r="AT2360" i="5"/>
  <c r="AZ2491" i="5"/>
  <c r="AK2526" i="5"/>
  <c r="AU2535" i="5"/>
  <c r="AV2535" i="5" s="1"/>
  <c r="AU2546" i="5"/>
  <c r="AV2546" i="5" s="1"/>
  <c r="M526" i="5"/>
  <c r="F526" i="5" s="1"/>
  <c r="M561" i="5"/>
  <c r="F561" i="5" s="1"/>
  <c r="M568" i="5"/>
  <c r="F568" i="5" s="1"/>
  <c r="M729" i="5"/>
  <c r="F729" i="5" s="1"/>
  <c r="M484" i="5"/>
  <c r="F484" i="5" s="1"/>
  <c r="M575" i="5"/>
  <c r="F575" i="5" s="1"/>
  <c r="M1568" i="5"/>
  <c r="F1568" i="5" s="1"/>
  <c r="AM1569" i="5" s="1"/>
  <c r="AJ2482" i="5"/>
  <c r="M659" i="5"/>
  <c r="F659" i="5" s="1"/>
  <c r="A3475" i="5"/>
  <c r="G4886" i="5"/>
  <c r="H4886" i="5" s="1"/>
  <c r="AM1557" i="5"/>
  <c r="AL2466" i="5"/>
  <c r="AW2522" i="5"/>
  <c r="AX2522" i="5" s="1"/>
  <c r="AK2550" i="5"/>
  <c r="M1330" i="5"/>
  <c r="F1330" i="5" s="1"/>
  <c r="AM1331" i="5" s="1"/>
  <c r="M1663" i="5"/>
  <c r="F1663" i="5" s="1"/>
  <c r="AM1664" i="5" s="1"/>
  <c r="M1575" i="5"/>
  <c r="F1575" i="5" s="1"/>
  <c r="AM1576" i="5" s="1"/>
  <c r="M1456" i="5"/>
  <c r="F1456" i="5" s="1"/>
  <c r="AM1457" i="5" s="1"/>
  <c r="M1442" i="5"/>
  <c r="F1442" i="5" s="1"/>
  <c r="AM1443" i="5" s="1"/>
  <c r="M1484" i="5"/>
  <c r="F1484" i="5" s="1"/>
  <c r="AM1485" i="5" s="1"/>
  <c r="F4568" i="5"/>
  <c r="AL2446" i="5"/>
  <c r="AY2486" i="5"/>
  <c r="AY2491" i="5"/>
  <c r="AZ2526" i="5"/>
  <c r="AR2535" i="5"/>
  <c r="AT2535" i="5" s="1"/>
  <c r="AK2546" i="5"/>
  <c r="M701" i="5"/>
  <c r="F701" i="5" s="1"/>
  <c r="M757" i="5"/>
  <c r="F757" i="5" s="1"/>
  <c r="M673" i="5"/>
  <c r="F673" i="5" s="1"/>
  <c r="M792" i="5"/>
  <c r="F792" i="5" s="1"/>
  <c r="M722" i="5"/>
  <c r="F722" i="5" s="1"/>
  <c r="M3226" i="5"/>
  <c r="F3226" i="5" s="1"/>
  <c r="L3226" i="5" s="1"/>
  <c r="AY2482" i="5"/>
  <c r="AZ2502" i="5"/>
  <c r="AM1704" i="5"/>
  <c r="AM1229" i="5"/>
  <c r="AM1527" i="5"/>
  <c r="AO3873" i="5"/>
  <c r="AP3873" i="5" s="1"/>
  <c r="AR3873" i="5" s="1"/>
  <c r="AT302" i="5"/>
  <c r="AV3426" i="5"/>
  <c r="AW3426" i="5" s="1"/>
  <c r="AY3426" i="5" s="1"/>
  <c r="M1393" i="5"/>
  <c r="F1393" i="5" s="1"/>
  <c r="AM1394" i="5" s="1"/>
  <c r="M1692" i="5"/>
  <c r="F1692" i="5" s="1"/>
  <c r="AM1693" i="5" s="1"/>
  <c r="M1610" i="5"/>
  <c r="F1610" i="5" s="1"/>
  <c r="AM1611" i="5" s="1"/>
  <c r="M1344" i="5"/>
  <c r="F1344" i="5" s="1"/>
  <c r="AM1345" i="5" s="1"/>
  <c r="M1582" i="5"/>
  <c r="F1582" i="5" s="1"/>
  <c r="AM1583" i="5" s="1"/>
  <c r="M1512" i="5"/>
  <c r="F1512" i="5" s="1"/>
  <c r="AM1513" i="5" s="1"/>
  <c r="AJ2502" i="5"/>
  <c r="AK2491" i="5"/>
  <c r="AY2526" i="5"/>
  <c r="AY2546" i="5"/>
  <c r="M589" i="5"/>
  <c r="F589" i="5" s="1"/>
  <c r="M849" i="5"/>
  <c r="F849" i="5" s="1"/>
  <c r="M843" i="5"/>
  <c r="F843" i="5" s="1"/>
  <c r="M687" i="5"/>
  <c r="F687" i="5" s="1"/>
  <c r="M3136" i="5"/>
  <c r="F3136" i="5" s="1"/>
  <c r="L3136" i="5" s="1"/>
  <c r="AM2086" i="5"/>
  <c r="AM1593" i="5"/>
  <c r="AT1337" i="5"/>
  <c r="AS1337" i="5"/>
  <c r="AS2417" i="5"/>
  <c r="AM359" i="5"/>
  <c r="AM360" i="5"/>
  <c r="AM566" i="5"/>
  <c r="AM565" i="5"/>
  <c r="AM1648" i="5"/>
  <c r="AM1649" i="5"/>
  <c r="AM1606" i="5"/>
  <c r="AM1607" i="5"/>
  <c r="AM1405" i="5"/>
  <c r="AM1404" i="5"/>
  <c r="AM2058" i="5"/>
  <c r="AM1932" i="5"/>
  <c r="AM1791" i="5"/>
  <c r="AM1792" i="5"/>
  <c r="AM2452" i="5"/>
  <c r="AM2453" i="5"/>
  <c r="AM2397" i="5"/>
  <c r="AM2396" i="5"/>
  <c r="M2804" i="5"/>
  <c r="L2804" i="5" s="1"/>
  <c r="M2972" i="5"/>
  <c r="L2972" i="5" s="1"/>
  <c r="M2901" i="5"/>
  <c r="L2901" i="5" s="1"/>
  <c r="M2949" i="5"/>
  <c r="L2949" i="5" s="1"/>
  <c r="M2925" i="5"/>
  <c r="L2925" i="5" s="1"/>
  <c r="M2852" i="5"/>
  <c r="L2852" i="5" s="1"/>
  <c r="M2876" i="5"/>
  <c r="L2876" i="5" s="1"/>
  <c r="M2878" i="5"/>
  <c r="L2878" i="5" s="1"/>
  <c r="M3012" i="5"/>
  <c r="L3012" i="5" s="1"/>
  <c r="M2968" i="5"/>
  <c r="L2968" i="5" s="1"/>
  <c r="M2967" i="5"/>
  <c r="L2967" i="5" s="1"/>
  <c r="M2880" i="5"/>
  <c r="L2880" i="5" s="1"/>
  <c r="M3009" i="5"/>
  <c r="L3009" i="5" s="1"/>
  <c r="W3246" i="5"/>
  <c r="Z3246" i="5" s="1"/>
  <c r="Y3246" i="5"/>
  <c r="N3964" i="5"/>
  <c r="M3964" i="5" s="1"/>
  <c r="F3964" i="5" s="1"/>
  <c r="L3964" i="5" s="1"/>
  <c r="N3956" i="5"/>
  <c r="M3955" i="5"/>
  <c r="F3955" i="5" s="1"/>
  <c r="L3955" i="5" s="1"/>
  <c r="F4749" i="5"/>
  <c r="F4739" i="5"/>
  <c r="M812" i="5"/>
  <c r="F812" i="5" s="1"/>
  <c r="AM812" i="5" s="1"/>
  <c r="M490" i="5"/>
  <c r="F490" i="5" s="1"/>
  <c r="AM490" i="5" s="1"/>
  <c r="M749" i="5"/>
  <c r="F749" i="5" s="1"/>
  <c r="AM749" i="5" s="1"/>
  <c r="M700" i="5"/>
  <c r="F700" i="5" s="1"/>
  <c r="AM700" i="5" s="1"/>
  <c r="M504" i="5"/>
  <c r="F504" i="5" s="1"/>
  <c r="AM504" i="5" s="1"/>
  <c r="M651" i="5"/>
  <c r="F651" i="5" s="1"/>
  <c r="AM651" i="5" s="1"/>
  <c r="M630" i="5"/>
  <c r="F630" i="5" s="1"/>
  <c r="M609" i="5"/>
  <c r="F609" i="5" s="1"/>
  <c r="AM609" i="5" s="1"/>
  <c r="M859" i="5"/>
  <c r="F859" i="5" s="1"/>
  <c r="AM859" i="5" s="1"/>
  <c r="M518" i="5"/>
  <c r="F518" i="5" s="1"/>
  <c r="M770" i="5"/>
  <c r="F770" i="5" s="1"/>
  <c r="M763" i="5"/>
  <c r="F763" i="5" s="1"/>
  <c r="M798" i="5"/>
  <c r="F798" i="5" s="1"/>
  <c r="AM798" i="5" s="1"/>
  <c r="M693" i="5"/>
  <c r="F693" i="5" s="1"/>
  <c r="AM693" i="5" s="1"/>
  <c r="M602" i="5"/>
  <c r="F602" i="5" s="1"/>
  <c r="AM602" i="5" s="1"/>
  <c r="M574" i="5"/>
  <c r="F574" i="5" s="1"/>
  <c r="AM574" i="5" s="1"/>
  <c r="M848" i="5"/>
  <c r="F848" i="5" s="1"/>
  <c r="AM848" i="5" s="1"/>
  <c r="M511" i="5"/>
  <c r="F511" i="5" s="1"/>
  <c r="AM511" i="5" s="1"/>
  <c r="M777" i="5"/>
  <c r="F777" i="5" s="1"/>
  <c r="AM777" i="5" s="1"/>
  <c r="M735" i="5"/>
  <c r="F735" i="5" s="1"/>
  <c r="M637" i="5"/>
  <c r="F637" i="5" s="1"/>
  <c r="AM637" i="5" s="1"/>
  <c r="M714" i="5"/>
  <c r="F714" i="5" s="1"/>
  <c r="AM714" i="5" s="1"/>
  <c r="M824" i="5"/>
  <c r="F824" i="5" s="1"/>
  <c r="AM824" i="5" s="1"/>
  <c r="M553" i="5"/>
  <c r="F553" i="5" s="1"/>
  <c r="AM553" i="5" s="1"/>
  <c r="M560" i="5"/>
  <c r="F560" i="5" s="1"/>
  <c r="AM560" i="5" s="1"/>
  <c r="M842" i="5"/>
  <c r="F842" i="5" s="1"/>
  <c r="AM842" i="5" s="1"/>
  <c r="M854" i="5"/>
  <c r="F854" i="5" s="1"/>
  <c r="AM854" i="5" s="1"/>
  <c r="M623" i="5"/>
  <c r="F623" i="5" s="1"/>
  <c r="AM623" i="5" s="1"/>
  <c r="M532" i="5"/>
  <c r="F532" i="5" s="1"/>
  <c r="M616" i="5"/>
  <c r="F616" i="5" s="1"/>
  <c r="M818" i="5"/>
  <c r="F818" i="5" s="1"/>
  <c r="AM818" i="5" s="1"/>
  <c r="M525" i="5"/>
  <c r="F525" i="5" s="1"/>
  <c r="AM525" i="5" s="1"/>
  <c r="M588" i="5"/>
  <c r="F588" i="5" s="1"/>
  <c r="AM588" i="5" s="1"/>
  <c r="M728" i="5"/>
  <c r="F728" i="5" s="1"/>
  <c r="AM728" i="5" s="1"/>
  <c r="M836" i="5"/>
  <c r="F836" i="5" s="1"/>
  <c r="M721" i="5"/>
  <c r="F721" i="5" s="1"/>
  <c r="AM721" i="5" s="1"/>
  <c r="M595" i="5"/>
  <c r="F595" i="5" s="1"/>
  <c r="AM595" i="5" s="1"/>
  <c r="M784" i="5"/>
  <c r="F784" i="5" s="1"/>
  <c r="AM784" i="5" s="1"/>
  <c r="M679" i="5"/>
  <c r="F679" i="5" s="1"/>
  <c r="AM679" i="5" s="1"/>
  <c r="M665" i="5"/>
  <c r="F665" i="5" s="1"/>
  <c r="AM665" i="5" s="1"/>
  <c r="M546" i="5"/>
  <c r="F546" i="5" s="1"/>
  <c r="AM546" i="5" s="1"/>
  <c r="M742" i="5"/>
  <c r="F742" i="5" s="1"/>
  <c r="AM742" i="5" s="1"/>
  <c r="M581" i="5"/>
  <c r="F581" i="5" s="1"/>
  <c r="AM581" i="5" s="1"/>
  <c r="M672" i="5"/>
  <c r="F672" i="5" s="1"/>
  <c r="AM672" i="5" s="1"/>
  <c r="M686" i="5"/>
  <c r="F686" i="5" s="1"/>
  <c r="AM686" i="5" s="1"/>
  <c r="M1385" i="5"/>
  <c r="F1385" i="5" s="1"/>
  <c r="AM1385" i="5" s="1"/>
  <c r="M1420" i="5"/>
  <c r="F1420" i="5" s="1"/>
  <c r="M1546" i="5"/>
  <c r="F1546" i="5" s="1"/>
  <c r="AM1546" i="5" s="1"/>
  <c r="M1650" i="5"/>
  <c r="F1650" i="5" s="1"/>
  <c r="AM1650" i="5" s="1"/>
  <c r="M1656" i="5"/>
  <c r="F1656" i="5" s="1"/>
  <c r="AM1656" i="5" s="1"/>
  <c r="M1574" i="5"/>
  <c r="F1574" i="5" s="1"/>
  <c r="M1462" i="5"/>
  <c r="F1462" i="5" s="1"/>
  <c r="AM1462" i="5" s="1"/>
  <c r="M1630" i="5"/>
  <c r="F1630" i="5" s="1"/>
  <c r="M1637" i="5"/>
  <c r="F1637" i="5" s="1"/>
  <c r="M1581" i="5"/>
  <c r="F1581" i="5" s="1"/>
  <c r="AM1581" i="5" s="1"/>
  <c r="M1434" i="5"/>
  <c r="F1434" i="5" s="1"/>
  <c r="AM1434" i="5" s="1"/>
  <c r="M1343" i="5"/>
  <c r="F1343" i="5" s="1"/>
  <c r="M1406" i="5"/>
  <c r="F1406" i="5" s="1"/>
  <c r="AM1406" i="5" s="1"/>
  <c r="M1616" i="5"/>
  <c r="F1616" i="5" s="1"/>
  <c r="AM1616" i="5" s="1"/>
  <c r="M1662" i="5"/>
  <c r="F1662" i="5" s="1"/>
  <c r="AM1662" i="5" s="1"/>
  <c r="M1448" i="5"/>
  <c r="F1448" i="5" s="1"/>
  <c r="M1567" i="5"/>
  <c r="F1567" i="5" s="1"/>
  <c r="AM1567" i="5" s="1"/>
  <c r="M1609" i="5"/>
  <c r="F1609" i="5" s="1"/>
  <c r="AM1609" i="5" s="1"/>
  <c r="M1441" i="5"/>
  <c r="F1441" i="5" s="1"/>
  <c r="M1371" i="5"/>
  <c r="F1371" i="5" s="1"/>
  <c r="AM1371" i="5" s="1"/>
  <c r="M1455" i="5"/>
  <c r="F1455" i="5" s="1"/>
  <c r="AM1455" i="5" s="1"/>
  <c r="M1518" i="5"/>
  <c r="F1518" i="5" s="1"/>
  <c r="AM1518" i="5" s="1"/>
  <c r="M1686" i="5"/>
  <c r="F1686" i="5" s="1"/>
  <c r="M1497" i="5"/>
  <c r="F1497" i="5" s="1"/>
  <c r="AM1497" i="5" s="1"/>
  <c r="M1668" i="5"/>
  <c r="F1668" i="5" s="1"/>
  <c r="M1329" i="5"/>
  <c r="F1329" i="5" s="1"/>
  <c r="AM1329" i="5" s="1"/>
  <c r="M1623" i="5"/>
  <c r="F1623" i="5" s="1"/>
  <c r="M1644" i="5"/>
  <c r="F1644" i="5" s="1"/>
  <c r="AM1644" i="5" s="1"/>
  <c r="M1364" i="5"/>
  <c r="F1364" i="5" s="1"/>
  <c r="AM1364" i="5" s="1"/>
  <c r="AP1310" i="5"/>
  <c r="AQ1310" i="5" s="1"/>
  <c r="M1511" i="5"/>
  <c r="F1511" i="5" s="1"/>
  <c r="AM1511" i="5" s="1"/>
  <c r="M1490" i="5"/>
  <c r="F1490" i="5" s="1"/>
  <c r="AM1490" i="5" s="1"/>
  <c r="M1532" i="5"/>
  <c r="F1532" i="5" s="1"/>
  <c r="AM1533" i="5" s="1"/>
  <c r="M1539" i="5"/>
  <c r="F1539" i="5" s="1"/>
  <c r="AM1539" i="5" s="1"/>
  <c r="M1427" i="5"/>
  <c r="F1427" i="5" s="1"/>
  <c r="M1553" i="5"/>
  <c r="F1553" i="5" s="1"/>
  <c r="AM1553" i="5" s="1"/>
  <c r="M1525" i="5"/>
  <c r="F1525" i="5" s="1"/>
  <c r="AM1526" i="5" s="1"/>
  <c r="M1336" i="5"/>
  <c r="F1336" i="5" s="1"/>
  <c r="AM1336" i="5" s="1"/>
  <c r="M1588" i="5"/>
  <c r="F1588" i="5" s="1"/>
  <c r="AM1588" i="5" s="1"/>
  <c r="M1560" i="5"/>
  <c r="F1560" i="5" s="1"/>
  <c r="AM1560" i="5" s="1"/>
  <c r="M1392" i="5"/>
  <c r="F1392" i="5" s="1"/>
  <c r="AM1392" i="5" s="1"/>
  <c r="M1691" i="5"/>
  <c r="F1691" i="5" s="1"/>
  <c r="AM1691" i="5" s="1"/>
  <c r="M1595" i="5"/>
  <c r="F1595" i="5" s="1"/>
  <c r="AM1595" i="5" s="1"/>
  <c r="M1602" i="5"/>
  <c r="F1602" i="5" s="1"/>
  <c r="AM1602" i="5" s="1"/>
  <c r="D3290" i="5"/>
  <c r="AY2549" i="5"/>
  <c r="AI2549" i="5"/>
  <c r="AI2550" i="5"/>
  <c r="AT2533" i="5"/>
  <c r="AS2533" i="5"/>
  <c r="AL2525" i="5"/>
  <c r="AI2526" i="5"/>
  <c r="AK2521" i="5"/>
  <c r="AZ2521" i="5"/>
  <c r="AY2521" i="5"/>
  <c r="AI2522" i="5"/>
  <c r="AL2521" i="5"/>
  <c r="AI2521" i="5"/>
  <c r="AS2509" i="5"/>
  <c r="AT2509" i="5"/>
  <c r="AR2497" i="5"/>
  <c r="AY2497" i="5"/>
  <c r="AZ2497" i="5"/>
  <c r="AU2497" i="5"/>
  <c r="AV2497" i="5" s="1"/>
  <c r="AQ2497" i="5"/>
  <c r="AI2497" i="5"/>
  <c r="AT2489" i="5"/>
  <c r="AS2489" i="5"/>
  <c r="AK2481" i="5"/>
  <c r="AY2481" i="5"/>
  <c r="AI2482" i="5"/>
  <c r="AL2481" i="5"/>
  <c r="AQ2481" i="5"/>
  <c r="AZ2481" i="5"/>
  <c r="AS2473" i="5"/>
  <c r="AT2473" i="5"/>
  <c r="AK2470" i="5"/>
  <c r="AI2471" i="5"/>
  <c r="AY2470" i="5"/>
  <c r="AI2462" i="5"/>
  <c r="AQ2461" i="5"/>
  <c r="AT2453" i="5"/>
  <c r="AS2453" i="5"/>
  <c r="AJ2425" i="5"/>
  <c r="AI2426" i="5"/>
  <c r="AI2425" i="5"/>
  <c r="AQ2405" i="5"/>
  <c r="AZ2405" i="5"/>
  <c r="AQ2389" i="5"/>
  <c r="AJ2389" i="5"/>
  <c r="AI2389" i="5"/>
  <c r="AJ2385" i="5"/>
  <c r="AQ2385" i="5"/>
  <c r="AK2385" i="5"/>
  <c r="AM1230" i="5"/>
  <c r="AM852" i="5"/>
  <c r="AM538" i="5"/>
  <c r="AM510" i="5"/>
  <c r="AM1335" i="5"/>
  <c r="A5154" i="5"/>
  <c r="C5154" i="5" s="1"/>
  <c r="AM1973" i="5"/>
  <c r="AM2464" i="5"/>
  <c r="M2973" i="5"/>
  <c r="L2973" i="5" s="1"/>
  <c r="AM1377" i="5"/>
  <c r="M1378" i="5"/>
  <c r="F1378" i="5" s="1"/>
  <c r="AM1378" i="5" s="1"/>
  <c r="M1680" i="5"/>
  <c r="F1680" i="5" s="1"/>
  <c r="AM1681" i="5" s="1"/>
  <c r="AM1635" i="5"/>
  <c r="AM408" i="5"/>
  <c r="AM1362" i="5"/>
  <c r="AM2425" i="5"/>
  <c r="F3665" i="5"/>
  <c r="M2970" i="5"/>
  <c r="L2970" i="5" s="1"/>
  <c r="AT2493" i="5"/>
  <c r="AI2461" i="5"/>
  <c r="A3872" i="5"/>
  <c r="AO3872" i="5"/>
  <c r="AP3872" i="5" s="1"/>
  <c r="AR3872" i="5" s="1"/>
  <c r="M2806" i="5"/>
  <c r="L2806" i="5" s="1"/>
  <c r="AM1474" i="5"/>
  <c r="M2828" i="5"/>
  <c r="L2828" i="5" s="1"/>
  <c r="AM1489" i="5"/>
  <c r="AM1502" i="5"/>
  <c r="AM1432" i="5"/>
  <c r="AS798" i="5"/>
  <c r="U3666" i="5"/>
  <c r="F3669" i="5" s="1"/>
  <c r="G5153" i="5"/>
  <c r="H5153" i="5" s="1"/>
  <c r="AM1446" i="5"/>
  <c r="M2882" i="5"/>
  <c r="L2882" i="5" s="1"/>
  <c r="F4689" i="5"/>
  <c r="F3666" i="5"/>
  <c r="T3666" i="5"/>
  <c r="F3668" i="5" s="1"/>
  <c r="X3246" i="5"/>
  <c r="AA3246" i="5" s="1"/>
  <c r="M1357" i="5"/>
  <c r="F1357" i="5" s="1"/>
  <c r="AM1357" i="5" s="1"/>
  <c r="M3010" i="5"/>
  <c r="L3010" i="5" s="1"/>
  <c r="AM1418" i="5"/>
  <c r="AM1391" i="5"/>
  <c r="M2830" i="5"/>
  <c r="L2830" i="5" s="1"/>
  <c r="AM1862" i="5"/>
  <c r="M1315" i="5"/>
  <c r="F1315" i="5" s="1"/>
  <c r="AM1315" i="5" s="1"/>
  <c r="M2854" i="5"/>
  <c r="L2854" i="5" s="1"/>
  <c r="AM2030" i="5"/>
  <c r="C4968" i="5"/>
  <c r="AM1517" i="5"/>
  <c r="M1469" i="5"/>
  <c r="F1469" i="5" s="1"/>
  <c r="AM1469" i="5" s="1"/>
  <c r="AI2195" i="5"/>
  <c r="AQ2199" i="5"/>
  <c r="AQ2363" i="5"/>
  <c r="AM1059" i="5"/>
  <c r="AZ2327" i="5"/>
  <c r="AI2328" i="5"/>
  <c r="AJ2255" i="5"/>
  <c r="AI2256" i="5"/>
  <c r="AT2243" i="5"/>
  <c r="AS2243" i="5"/>
  <c r="AS2207" i="5"/>
  <c r="AT2207" i="5"/>
  <c r="AL2204" i="5"/>
  <c r="AK2204" i="5"/>
  <c r="AJ2175" i="5"/>
  <c r="AI2176" i="5"/>
  <c r="AR2175" i="5"/>
  <c r="AS2171" i="5"/>
  <c r="AT2171" i="5"/>
  <c r="AK2106" i="5"/>
  <c r="AJ2106" i="5"/>
  <c r="AZ2106" i="5"/>
  <c r="AR2106" i="5"/>
  <c r="AK2097" i="5"/>
  <c r="AI2098" i="5"/>
  <c r="AL2093" i="5"/>
  <c r="AZ2093" i="5"/>
  <c r="AW2093" i="5"/>
  <c r="AX2093" i="5" s="1"/>
  <c r="AL2087" i="5"/>
  <c r="AK2087" i="5"/>
  <c r="AU2076" i="5"/>
  <c r="AV2076" i="5" s="1"/>
  <c r="AI2077" i="5"/>
  <c r="AL2047" i="5"/>
  <c r="AU2047" i="5"/>
  <c r="AV2047" i="5" s="1"/>
  <c r="AZ2047" i="5"/>
  <c r="AK2047" i="5"/>
  <c r="AK2011" i="5"/>
  <c r="AZ2011" i="5"/>
  <c r="AJ2011" i="5"/>
  <c r="AL1995" i="5"/>
  <c r="AZ1995" i="5"/>
  <c r="AJ1991" i="5"/>
  <c r="AK1991" i="5"/>
  <c r="AY1991" i="5"/>
  <c r="AL1991" i="5"/>
  <c r="AJ1975" i="5"/>
  <c r="AK1975" i="5"/>
  <c r="AR1964" i="5"/>
  <c r="AZ1964" i="5"/>
  <c r="AI1959" i="5"/>
  <c r="AY1959" i="5"/>
  <c r="AZ1939" i="5"/>
  <c r="AL1939" i="5"/>
  <c r="AJ1939" i="5"/>
  <c r="AL1935" i="5"/>
  <c r="AI1935" i="5"/>
  <c r="AY1935" i="5"/>
  <c r="AZ1935" i="5"/>
  <c r="AW1935" i="5"/>
  <c r="AX1935" i="5" s="1"/>
  <c r="AS1931" i="5"/>
  <c r="AT1931" i="5"/>
  <c r="AW1908" i="5"/>
  <c r="AX1908" i="5" s="1"/>
  <c r="AL1908" i="5"/>
  <c r="AK1908" i="5"/>
  <c r="AJ1903" i="5"/>
  <c r="AI1904" i="5"/>
  <c r="AL1903" i="5"/>
  <c r="AY1899" i="5"/>
  <c r="AJ1899" i="5"/>
  <c r="AZ1899" i="5"/>
  <c r="AL1899" i="5"/>
  <c r="AK1899" i="5"/>
  <c r="AJ1883" i="5"/>
  <c r="AK1883" i="5"/>
  <c r="AS1875" i="5"/>
  <c r="AT1875" i="5"/>
  <c r="AK1863" i="5"/>
  <c r="AL1863" i="5"/>
  <c r="AY1863" i="5"/>
  <c r="AS1855" i="5"/>
  <c r="AT1855" i="5"/>
  <c r="AK1852" i="5"/>
  <c r="AU1852" i="5"/>
  <c r="AV1852" i="5" s="1"/>
  <c r="AZ1852" i="5"/>
  <c r="AJ1852" i="5"/>
  <c r="AR1852" i="5"/>
  <c r="AJ1847" i="5"/>
  <c r="AZ1847" i="5"/>
  <c r="AZ1843" i="5"/>
  <c r="AK1843" i="5"/>
  <c r="AL1843" i="5"/>
  <c r="AY1843" i="5"/>
  <c r="AJ1843" i="5"/>
  <c r="AS1839" i="5"/>
  <c r="AT1839" i="5"/>
  <c r="AJ1827" i="5"/>
  <c r="AY1827" i="5"/>
  <c r="AZ1827" i="5"/>
  <c r="AK1827" i="5"/>
  <c r="AL1827" i="5"/>
  <c r="AL1823" i="5"/>
  <c r="AZ1823" i="5"/>
  <c r="AW1823" i="5"/>
  <c r="AX1823" i="5" s="1"/>
  <c r="AK1823" i="5"/>
  <c r="AY1823" i="5"/>
  <c r="AJ1823" i="5"/>
  <c r="AU1823" i="5"/>
  <c r="AV1823" i="5" s="1"/>
  <c r="AI1824" i="5"/>
  <c r="AS1819" i="5"/>
  <c r="AT1819" i="5"/>
  <c r="AS1815" i="5"/>
  <c r="AT1815" i="5"/>
  <c r="AY1807" i="5"/>
  <c r="AL1807" i="5"/>
  <c r="AZ1807" i="5"/>
  <c r="AR1796" i="5"/>
  <c r="AJ1796" i="5"/>
  <c r="AU1796" i="5"/>
  <c r="AV1796" i="5" s="1"/>
  <c r="AI1797" i="5"/>
  <c r="AZ1796" i="5"/>
  <c r="AY1796" i="5"/>
  <c r="AL1796" i="5"/>
  <c r="AU2106" i="5"/>
  <c r="AV2106" i="5" s="1"/>
  <c r="AZ1955" i="5"/>
  <c r="AT1871" i="5"/>
  <c r="AT2283" i="5"/>
  <c r="AL2199" i="5"/>
  <c r="G211" i="5"/>
  <c r="H211" i="5" s="1"/>
  <c r="U220" i="5"/>
  <c r="AM1777" i="5"/>
  <c r="AI2291" i="5"/>
  <c r="AK2255" i="5"/>
  <c r="AY2011" i="5"/>
  <c r="AL2287" i="5"/>
  <c r="AZ1908" i="5"/>
  <c r="AZ2367" i="5"/>
  <c r="AZ2271" i="5"/>
  <c r="AL2277" i="5"/>
  <c r="AQ2255" i="5"/>
  <c r="AM2549" i="5"/>
  <c r="AI2175" i="5"/>
  <c r="AQ2327" i="5"/>
  <c r="AL2011" i="5"/>
  <c r="AK1935" i="5"/>
  <c r="AL1883" i="5"/>
  <c r="AL2175" i="5"/>
  <c r="AY1883" i="5"/>
  <c r="AM919" i="5"/>
  <c r="AI1864" i="5"/>
  <c r="AR1879" i="5"/>
  <c r="AQ2291" i="5"/>
  <c r="AQ2347" i="5"/>
  <c r="AI2093" i="5"/>
  <c r="AJ2031" i="5"/>
  <c r="AU2175" i="5"/>
  <c r="AV2175" i="5" s="1"/>
  <c r="AW2117" i="5"/>
  <c r="AX2117" i="5" s="1"/>
  <c r="AL1959" i="5"/>
  <c r="AY1791" i="5"/>
  <c r="AL1771" i="5"/>
  <c r="AW1484" i="5"/>
  <c r="AX1484" i="5" s="1"/>
  <c r="AS1670" i="5"/>
  <c r="AZ1650" i="5"/>
  <c r="AT1666" i="5"/>
  <c r="AK1678" i="5"/>
  <c r="AZ1687" i="5"/>
  <c r="AJ1787" i="5"/>
  <c r="AI1663" i="5"/>
  <c r="AS1642" i="5"/>
  <c r="AY1614" i="5"/>
  <c r="AK1327" i="5"/>
  <c r="AK1495" i="5"/>
  <c r="AK1484" i="5"/>
  <c r="AT1471" i="5"/>
  <c r="AW1428" i="5"/>
  <c r="AX1428" i="5" s="1"/>
  <c r="AJ1630" i="5"/>
  <c r="AY1372" i="5"/>
  <c r="AL1403" i="5"/>
  <c r="AS1523" i="5"/>
  <c r="AJ1316" i="5"/>
  <c r="AU1316" i="5"/>
  <c r="AV1316" i="5" s="1"/>
  <c r="AI1635" i="5"/>
  <c r="AI1792" i="5"/>
  <c r="AI1599" i="5"/>
  <c r="AK1347" i="5"/>
  <c r="AJ1419" i="5"/>
  <c r="AI1603" i="5"/>
  <c r="AW1372" i="5"/>
  <c r="AX1372" i="5" s="1"/>
  <c r="AR1130" i="5"/>
  <c r="AS1130" i="5" s="1"/>
  <c r="AJ1181" i="5"/>
  <c r="AL1484" i="5"/>
  <c r="AL1746" i="5"/>
  <c r="AJ1423" i="5"/>
  <c r="AI1747" i="5"/>
  <c r="AJ1650" i="5"/>
  <c r="AW1343" i="5"/>
  <c r="AX1343" i="5" s="1"/>
  <c r="AY1363" i="5"/>
  <c r="AL1678" i="5"/>
  <c r="AI1688" i="5"/>
  <c r="AZ1787" i="5"/>
  <c r="AU1663" i="5"/>
  <c r="AV1663" i="5" s="1"/>
  <c r="AZ1634" i="5"/>
  <c r="AL1217" i="5"/>
  <c r="AL1327" i="5"/>
  <c r="AK1428" i="5"/>
  <c r="AZ1399" i="5"/>
  <c r="AR1101" i="5"/>
  <c r="AI1541" i="5"/>
  <c r="AL1614" i="5"/>
  <c r="AY1428" i="5"/>
  <c r="AY1383" i="5"/>
  <c r="AU1455" i="5"/>
  <c r="AV1455" i="5" s="1"/>
  <c r="AZ1439" i="5"/>
  <c r="AK1399" i="5"/>
  <c r="AL1511" i="5"/>
  <c r="AI1479" i="5"/>
  <c r="AY1515" i="5"/>
  <c r="AZ1372" i="5"/>
  <c r="AY1484" i="5"/>
  <c r="AY1746" i="5"/>
  <c r="AL1423" i="5"/>
  <c r="AR1511" i="5"/>
  <c r="AK1654" i="5"/>
  <c r="AT1569" i="5"/>
  <c r="AT1335" i="5"/>
  <c r="AR1343" i="5"/>
  <c r="AL1363" i="5"/>
  <c r="AZ1674" i="5"/>
  <c r="AY1678" i="5"/>
  <c r="AS1693" i="5"/>
  <c r="AY1787" i="5"/>
  <c r="AJ1663" i="5"/>
  <c r="AS1646" i="5"/>
  <c r="AT1689" i="5"/>
  <c r="AR1428" i="5"/>
  <c r="AJ1399" i="5"/>
  <c r="AS1415" i="5"/>
  <c r="AZ1511" i="5"/>
  <c r="AU1540" i="5"/>
  <c r="AV1540" i="5" s="1"/>
  <c r="AJ1217" i="5"/>
  <c r="AK1540" i="5"/>
  <c r="AK1383" i="5"/>
  <c r="AW1455" i="5"/>
  <c r="AX1455" i="5" s="1"/>
  <c r="AY1439" i="5"/>
  <c r="AS1527" i="5"/>
  <c r="AI1631" i="5"/>
  <c r="AK1531" i="5"/>
  <c r="AK1634" i="5"/>
  <c r="AI1485" i="5"/>
  <c r="AW1746" i="5"/>
  <c r="AX1746" i="5" s="1"/>
  <c r="AY1551" i="5"/>
  <c r="AR1663" i="5"/>
  <c r="AY1511" i="5"/>
  <c r="AJ1363" i="5"/>
  <c r="AY1343" i="5"/>
  <c r="AR1674" i="5"/>
  <c r="AJ1687" i="5"/>
  <c r="AZ1791" i="5"/>
  <c r="AL1739" i="5"/>
  <c r="AR1630" i="5"/>
  <c r="AJ1428" i="5"/>
  <c r="AW1399" i="5"/>
  <c r="AX1399" i="5" s="1"/>
  <c r="AZ1475" i="5"/>
  <c r="AI1535" i="5"/>
  <c r="AY1399" i="5"/>
  <c r="AL1428" i="5"/>
  <c r="AJ1535" i="5"/>
  <c r="AK1372" i="5"/>
  <c r="AL1455" i="5"/>
  <c r="AU1630" i="5"/>
  <c r="AV1630" i="5" s="1"/>
  <c r="AT1169" i="5"/>
  <c r="AK1630" i="5"/>
  <c r="AY1630" i="5"/>
  <c r="M4379" i="5"/>
  <c r="F4380" i="5" s="1"/>
  <c r="L4379" i="5" s="1"/>
  <c r="AL1531" i="5"/>
  <c r="AZ1484" i="5"/>
  <c r="AZ1746" i="5"/>
  <c r="AL1551" i="5"/>
  <c r="AZ1663" i="5"/>
  <c r="AW1674" i="5"/>
  <c r="AX1674" i="5" s="1"/>
  <c r="AR1687" i="5"/>
  <c r="AJ1791" i="5"/>
  <c r="AK1767" i="5"/>
  <c r="AZ1654" i="5"/>
  <c r="AY1739" i="5"/>
  <c r="AZ1630" i="5"/>
  <c r="AZ1459" i="5"/>
  <c r="AZ1428" i="5"/>
  <c r="AU1399" i="5"/>
  <c r="AV1399" i="5" s="1"/>
  <c r="AL1419" i="5"/>
  <c r="AY1535" i="5"/>
  <c r="AK1475" i="5"/>
  <c r="AJ1495" i="5"/>
  <c r="AT1225" i="5"/>
  <c r="AS1253" i="5"/>
  <c r="AJ1347" i="5"/>
  <c r="AR1186" i="5"/>
  <c r="AS1186" i="5" s="1"/>
  <c r="M3833" i="5"/>
  <c r="L3833" i="5" s="1"/>
  <c r="M2832" i="5"/>
  <c r="L2832" i="5" s="1"/>
  <c r="M2824" i="5"/>
  <c r="L2824" i="5" s="1"/>
  <c r="M3273" i="5"/>
  <c r="F3273" i="5" s="1"/>
  <c r="L3273" i="5" s="1"/>
  <c r="AN3858" i="5"/>
  <c r="A3858" i="5" s="1"/>
  <c r="AQ2553" i="5"/>
  <c r="AQ2545" i="5"/>
  <c r="AI1560" i="5"/>
  <c r="AQ1678" i="5"/>
  <c r="AY1403" i="5"/>
  <c r="AT1355" i="5"/>
  <c r="AZ1515" i="5"/>
  <c r="AZ1419" i="5"/>
  <c r="AR1484" i="5"/>
  <c r="AJ1746" i="5"/>
  <c r="AL1663" i="5"/>
  <c r="AL1650" i="5"/>
  <c r="AU1674" i="5"/>
  <c r="AV1674" i="5" s="1"/>
  <c r="AL1687" i="5"/>
  <c r="AS1742" i="5"/>
  <c r="AK1791" i="5"/>
  <c r="AL1654" i="5"/>
  <c r="AZ1739" i="5"/>
  <c r="AJ1459" i="5"/>
  <c r="AI1604" i="5"/>
  <c r="AR1540" i="5"/>
  <c r="AL1630" i="5"/>
  <c r="AL1535" i="5"/>
  <c r="AJ1614" i="5"/>
  <c r="AS1117" i="5"/>
  <c r="AZ1455" i="5"/>
  <c r="AZ1367" i="5"/>
  <c r="AW1511" i="5"/>
  <c r="AX1511" i="5" s="1"/>
  <c r="AM2465" i="5"/>
  <c r="AT1232" i="5"/>
  <c r="AT1207" i="5"/>
  <c r="AS729" i="5"/>
  <c r="AS1595" i="5"/>
  <c r="AT568" i="5"/>
  <c r="AM1709" i="5"/>
  <c r="M539" i="5"/>
  <c r="F539" i="5" s="1"/>
  <c r="AM539" i="5" s="1"/>
  <c r="M707" i="5"/>
  <c r="F707" i="5" s="1"/>
  <c r="AM707" i="5" s="1"/>
  <c r="M483" i="5"/>
  <c r="F483" i="5" s="1"/>
  <c r="AM483" i="5" s="1"/>
  <c r="M1399" i="5"/>
  <c r="F1399" i="5" s="1"/>
  <c r="AM1399" i="5" s="1"/>
  <c r="M1674" i="5"/>
  <c r="F1674" i="5" s="1"/>
  <c r="AM1674" i="5" s="1"/>
  <c r="M1504" i="5"/>
  <c r="F1504" i="5" s="1"/>
  <c r="AM1504" i="5" s="1"/>
  <c r="M1322" i="5"/>
  <c r="F1322" i="5" s="1"/>
  <c r="M756" i="5"/>
  <c r="F756" i="5" s="1"/>
  <c r="AM756" i="5" s="1"/>
  <c r="M805" i="5"/>
  <c r="F805" i="5" s="1"/>
  <c r="AM805" i="5" s="1"/>
  <c r="M658" i="5"/>
  <c r="F658" i="5" s="1"/>
  <c r="AM658" i="5" s="1"/>
  <c r="M2483" i="5"/>
  <c r="F2483" i="5" s="1"/>
  <c r="AM2483" i="5" s="1"/>
  <c r="M2301" i="5"/>
  <c r="F2301" i="5" s="1"/>
  <c r="AM2301" i="5" s="1"/>
  <c r="M2490" i="5"/>
  <c r="F2490" i="5" s="1"/>
  <c r="AM2490" i="5" s="1"/>
  <c r="AR2442" i="5"/>
  <c r="M567" i="5"/>
  <c r="F567" i="5" s="1"/>
  <c r="AM567" i="5" s="1"/>
  <c r="AM1784" i="5"/>
  <c r="M2977" i="5"/>
  <c r="L2977" i="5" s="1"/>
  <c r="M2856" i="5"/>
  <c r="L2856" i="5" s="1"/>
  <c r="AM366" i="5"/>
  <c r="AM741" i="5"/>
  <c r="AM713" i="5"/>
  <c r="AM629" i="5"/>
  <c r="AM601" i="5"/>
  <c r="AM558" i="5"/>
  <c r="AM530" i="5"/>
  <c r="AM516" i="5"/>
  <c r="AM502" i="5"/>
  <c r="AM1121" i="5"/>
  <c r="AM1453" i="5"/>
  <c r="AM1341" i="5"/>
  <c r="AM2403" i="5"/>
  <c r="AM2375" i="5"/>
  <c r="AM2314" i="5"/>
  <c r="AM2299" i="5"/>
  <c r="AM2244" i="5"/>
  <c r="AN3956" i="5"/>
  <c r="AN3954" i="5"/>
  <c r="AN3627" i="5"/>
  <c r="D3627" i="5" s="1"/>
  <c r="AQ2549" i="5"/>
  <c r="AQ2521" i="5"/>
  <c r="AQ2515" i="5"/>
  <c r="AQ2499" i="5"/>
  <c r="AQ2475" i="5"/>
  <c r="AI2474" i="5"/>
  <c r="AQ2443" i="5"/>
  <c r="AI2418" i="5"/>
  <c r="AQ2399" i="5"/>
  <c r="AQ2345" i="5"/>
  <c r="AQ2325" i="5"/>
  <c r="AQ2228" i="5"/>
  <c r="AQ2198" i="5"/>
  <c r="AQ2189" i="5"/>
  <c r="AQ2065" i="5"/>
  <c r="AQ2060" i="5"/>
  <c r="M331" i="5"/>
  <c r="F331" i="5" s="1"/>
  <c r="AM331" i="5" s="1"/>
  <c r="M2266" i="5"/>
  <c r="F2266" i="5" s="1"/>
  <c r="AM2266" i="5" s="1"/>
  <c r="M2294" i="5"/>
  <c r="F2294" i="5" s="1"/>
  <c r="AM2294" i="5" s="1"/>
  <c r="M2231" i="5"/>
  <c r="F2231" i="5" s="1"/>
  <c r="AM2231" i="5" s="1"/>
  <c r="AT1831" i="5"/>
  <c r="A3424" i="5"/>
  <c r="S227" i="5"/>
  <c r="G231" i="5" s="1"/>
  <c r="H231" i="5" s="1"/>
  <c r="M1292" i="5"/>
  <c r="F1292" i="5" s="1"/>
  <c r="AM1292" i="5" s="1"/>
  <c r="AT1680" i="5"/>
  <c r="F4709" i="5"/>
  <c r="F4717" i="5" s="1"/>
  <c r="W4718" i="5" s="1"/>
  <c r="F4695" i="5"/>
  <c r="F4703" i="5" s="1"/>
  <c r="W4704" i="5" s="1"/>
  <c r="AM1298" i="5"/>
  <c r="AT825" i="5"/>
  <c r="AT1122" i="5"/>
  <c r="AS1336" i="5"/>
  <c r="M830" i="5"/>
  <c r="F830" i="5" s="1"/>
  <c r="AM830" i="5" s="1"/>
  <c r="AJ2481" i="5"/>
  <c r="M4175" i="5"/>
  <c r="F4175" i="5" s="1"/>
  <c r="L4175" i="5" s="1"/>
  <c r="M3843" i="5"/>
  <c r="F3843" i="5" s="1"/>
  <c r="L3843" i="5" s="1"/>
  <c r="M2999" i="5"/>
  <c r="L2999" i="5" s="1"/>
  <c r="M3228" i="5"/>
  <c r="F3228" i="5" s="1"/>
  <c r="L3228" i="5" s="1"/>
  <c r="AM2550" i="5"/>
  <c r="M3261" i="5"/>
  <c r="F3261" i="5" s="1"/>
  <c r="L3261" i="5" s="1"/>
  <c r="D3320" i="5"/>
  <c r="AM2172" i="5"/>
  <c r="N5152" i="5"/>
  <c r="N5153" i="5" s="1"/>
  <c r="N5154" i="5" s="1"/>
  <c r="N5155" i="5" s="1"/>
  <c r="A5160" i="5"/>
  <c r="C5160" i="5" s="1"/>
  <c r="AT2470" i="5"/>
  <c r="AT1519" i="5"/>
  <c r="M3395" i="5"/>
  <c r="F3395" i="5" s="1"/>
  <c r="L3395" i="5" s="1"/>
  <c r="AT1003" i="5"/>
  <c r="M3190" i="5"/>
  <c r="F3190" i="5" s="1"/>
  <c r="L3190" i="5" s="1"/>
  <c r="M3094" i="5"/>
  <c r="F3094" i="5" s="1"/>
  <c r="L3094" i="5" s="1"/>
  <c r="AS983" i="5"/>
  <c r="AT623" i="5"/>
  <c r="M3257" i="5"/>
  <c r="F3257" i="5" s="1"/>
  <c r="L3257" i="5" s="1"/>
  <c r="AX3307" i="5"/>
  <c r="AT2322" i="5"/>
  <c r="M2962" i="5"/>
  <c r="L2962" i="5" s="1"/>
  <c r="M2985" i="5"/>
  <c r="L2985" i="5" s="1"/>
  <c r="M2983" i="5"/>
  <c r="L2983" i="5" s="1"/>
  <c r="M2961" i="5"/>
  <c r="L2961" i="5" s="1"/>
  <c r="AA2798" i="5"/>
  <c r="M2940" i="5" s="1"/>
  <c r="L2940" i="5" s="1"/>
  <c r="M2960" i="5"/>
  <c r="L2960" i="5" s="1"/>
  <c r="M2959" i="5"/>
  <c r="L2959" i="5" s="1"/>
  <c r="M2986" i="5"/>
  <c r="L2986" i="5" s="1"/>
  <c r="M2914" i="5"/>
  <c r="L2914" i="5" s="1"/>
  <c r="G4904" i="5"/>
  <c r="H4904" i="5" s="1"/>
  <c r="A3410" i="5"/>
  <c r="A4977" i="5"/>
  <c r="C4977" i="5" s="1"/>
  <c r="AU2547" i="5"/>
  <c r="AV2547" i="5" s="1"/>
  <c r="AW2547" i="5"/>
  <c r="AX2547" i="5" s="1"/>
  <c r="M2253" i="5"/>
  <c r="F2253" i="5" s="1"/>
  <c r="M1073" i="5"/>
  <c r="F1073" i="5" s="1"/>
  <c r="AM1073" i="5" s="1"/>
  <c r="M1143" i="5"/>
  <c r="F1143" i="5" s="1"/>
  <c r="AM1143" i="5" s="1"/>
  <c r="M1122" i="5"/>
  <c r="F1122" i="5" s="1"/>
  <c r="AT2550" i="5"/>
  <c r="M438" i="5"/>
  <c r="F438" i="5" s="1"/>
  <c r="M2976" i="5"/>
  <c r="L2976" i="5" s="1"/>
  <c r="AJ2538" i="5"/>
  <c r="M2393" i="5"/>
  <c r="F2393" i="5" s="1"/>
  <c r="M410" i="5"/>
  <c r="F410" i="5" s="1"/>
  <c r="AM410" i="5" s="1"/>
  <c r="N3284" i="5"/>
  <c r="N3285" i="5" s="1"/>
  <c r="M3285" i="5" s="1"/>
  <c r="F3285" i="5" s="1"/>
  <c r="L3285" i="5" s="1"/>
  <c r="M2547" i="5"/>
  <c r="F2547" i="5" s="1"/>
  <c r="M1045" i="5"/>
  <c r="F1045" i="5" s="1"/>
  <c r="AM1045" i="5" s="1"/>
  <c r="AI2547" i="5"/>
  <c r="AT2530" i="5"/>
  <c r="AJ2547" i="5"/>
  <c r="AY2170" i="5"/>
  <c r="M1256" i="5"/>
  <c r="F1256" i="5" s="1"/>
  <c r="AM1256" i="5" s="1"/>
  <c r="M1220" i="5"/>
  <c r="F1220" i="5" s="1"/>
  <c r="AM1220" i="5" s="1"/>
  <c r="M1115" i="5"/>
  <c r="F1115" i="5" s="1"/>
  <c r="AM1115" i="5" s="1"/>
  <c r="AY2490" i="5"/>
  <c r="M433" i="5"/>
  <c r="F433" i="5" s="1"/>
  <c r="M2975" i="5"/>
  <c r="L2975" i="5" s="1"/>
  <c r="D3952" i="5"/>
  <c r="A3476" i="5"/>
  <c r="M1108" i="5"/>
  <c r="F1108" i="5" s="1"/>
  <c r="AM1108" i="5" s="1"/>
  <c r="M2414" i="5"/>
  <c r="F2414" i="5" s="1"/>
  <c r="M1164" i="5"/>
  <c r="F1164" i="5" s="1"/>
  <c r="AM1164" i="5" s="1"/>
  <c r="M2511" i="5"/>
  <c r="F2511" i="5" s="1"/>
  <c r="AY2538" i="5"/>
  <c r="AR2534" i="5"/>
  <c r="M2190" i="5"/>
  <c r="F2190" i="5" s="1"/>
  <c r="M2498" i="5"/>
  <c r="F2498" i="5" s="1"/>
  <c r="M1136" i="5"/>
  <c r="F1136" i="5" s="1"/>
  <c r="AM1136" i="5" s="1"/>
  <c r="M947" i="5"/>
  <c r="F947" i="5" s="1"/>
  <c r="AM947" i="5" s="1"/>
  <c r="M2879" i="5"/>
  <c r="L2879" i="5" s="1"/>
  <c r="AU2490" i="5"/>
  <c r="AV2490" i="5" s="1"/>
  <c r="AT2506" i="5"/>
  <c r="AY285" i="5"/>
  <c r="M332" i="5"/>
  <c r="F332" i="5" s="1"/>
  <c r="AM1397" i="5"/>
  <c r="A3402" i="5"/>
  <c r="AS912" i="5"/>
  <c r="AV3397" i="5"/>
  <c r="AW3397" i="5" s="1"/>
  <c r="AY3397" i="5" s="1"/>
  <c r="U4882" i="5"/>
  <c r="F4888" i="5" s="1"/>
  <c r="AK2510" i="5"/>
  <c r="M2831" i="5"/>
  <c r="L2831" i="5" s="1"/>
  <c r="M2470" i="5"/>
  <c r="F2470" i="5" s="1"/>
  <c r="AT2486" i="5"/>
  <c r="M2491" i="5"/>
  <c r="F2491" i="5" s="1"/>
  <c r="M1129" i="5"/>
  <c r="F1129" i="5" s="1"/>
  <c r="AM1129" i="5" s="1"/>
  <c r="AS2374" i="5"/>
  <c r="AY2398" i="5"/>
  <c r="AS2430" i="5"/>
  <c r="M443" i="5"/>
  <c r="F443" i="5" s="1"/>
  <c r="AM1340" i="5"/>
  <c r="M3930" i="5"/>
  <c r="L3930" i="5" s="1"/>
  <c r="M3934" i="5"/>
  <c r="L3934" i="5" s="1"/>
  <c r="M2927" i="5"/>
  <c r="L2927" i="5" s="1"/>
  <c r="Y2798" i="5"/>
  <c r="M2907" i="5" s="1"/>
  <c r="L2907" i="5" s="1"/>
  <c r="M2807" i="5"/>
  <c r="L2807" i="5" s="1"/>
  <c r="W2798" i="5"/>
  <c r="M2866" i="5" s="1"/>
  <c r="L2866" i="5" s="1"/>
  <c r="M320" i="5"/>
  <c r="F320" i="5" s="1"/>
  <c r="M428" i="5"/>
  <c r="F428" i="5" s="1"/>
  <c r="M398" i="5"/>
  <c r="F398" i="5" s="1"/>
  <c r="AM399" i="5" s="1"/>
  <c r="M344" i="5"/>
  <c r="F344" i="5" s="1"/>
  <c r="M386" i="5"/>
  <c r="F386" i="5" s="1"/>
  <c r="M392" i="5"/>
  <c r="F392" i="5" s="1"/>
  <c r="M448" i="5"/>
  <c r="F448" i="5" s="1"/>
  <c r="M290" i="5"/>
  <c r="F290" i="5" s="1"/>
  <c r="AM290" i="5" s="1"/>
  <c r="M1094" i="5"/>
  <c r="F1094" i="5" s="1"/>
  <c r="AM1094" i="5" s="1"/>
  <c r="M1003" i="5"/>
  <c r="F1003" i="5" s="1"/>
  <c r="AM1003" i="5" s="1"/>
  <c r="M1087" i="5"/>
  <c r="F1087" i="5" s="1"/>
  <c r="AM1087" i="5" s="1"/>
  <c r="M1031" i="5"/>
  <c r="F1031" i="5" s="1"/>
  <c r="AM1031" i="5" s="1"/>
  <c r="M940" i="5"/>
  <c r="F940" i="5" s="1"/>
  <c r="AM940" i="5" s="1"/>
  <c r="M961" i="5"/>
  <c r="F961" i="5" s="1"/>
  <c r="AM961" i="5" s="1"/>
  <c r="M1185" i="5"/>
  <c r="F1185" i="5" s="1"/>
  <c r="AM1185" i="5" s="1"/>
  <c r="M975" i="5"/>
  <c r="F975" i="5" s="1"/>
  <c r="AM975" i="5" s="1"/>
  <c r="M982" i="5"/>
  <c r="F982" i="5" s="1"/>
  <c r="AM982" i="5" s="1"/>
  <c r="M912" i="5"/>
  <c r="F912" i="5" s="1"/>
  <c r="M1017" i="5"/>
  <c r="F1017" i="5" s="1"/>
  <c r="AM1017" i="5" s="1"/>
  <c r="M954" i="5"/>
  <c r="F954" i="5" s="1"/>
  <c r="AM954" i="5" s="1"/>
  <c r="M1262" i="5"/>
  <c r="F1262" i="5" s="1"/>
  <c r="AM1262" i="5" s="1"/>
  <c r="M1010" i="5"/>
  <c r="F1010" i="5" s="1"/>
  <c r="AM1010" i="5" s="1"/>
  <c r="M905" i="5"/>
  <c r="F905" i="5" s="1"/>
  <c r="AM905" i="5" s="1"/>
  <c r="M1250" i="5"/>
  <c r="F1250" i="5" s="1"/>
  <c r="AM1250" i="5" s="1"/>
  <c r="M989" i="5"/>
  <c r="F989" i="5" s="1"/>
  <c r="AM989" i="5" s="1"/>
  <c r="M898" i="5"/>
  <c r="F898" i="5" s="1"/>
  <c r="AM898" i="5" s="1"/>
  <c r="M2456" i="5"/>
  <c r="F2456" i="5" s="1"/>
  <c r="M2309" i="5"/>
  <c r="F2309" i="5" s="1"/>
  <c r="M2316" i="5"/>
  <c r="F2316" i="5" s="1"/>
  <c r="M2225" i="5"/>
  <c r="F2225" i="5" s="1"/>
  <c r="M2260" i="5"/>
  <c r="F2260" i="5" s="1"/>
  <c r="M2400" i="5"/>
  <c r="F2400" i="5" s="1"/>
  <c r="AM2401" i="5" s="1"/>
  <c r="M2302" i="5"/>
  <c r="F2302" i="5" s="1"/>
  <c r="AM2303" i="5" s="1"/>
  <c r="M2407" i="5"/>
  <c r="F2407" i="5" s="1"/>
  <c r="M2421" i="5"/>
  <c r="F2421" i="5" s="1"/>
  <c r="M2379" i="5"/>
  <c r="F2379" i="5" s="1"/>
  <c r="AM2380" i="5" s="1"/>
  <c r="M2442" i="5"/>
  <c r="F2442" i="5" s="1"/>
  <c r="M2176" i="5"/>
  <c r="F2176" i="5" s="1"/>
  <c r="M2267" i="5"/>
  <c r="F2267" i="5" s="1"/>
  <c r="AM2268" i="5" s="1"/>
  <c r="AK2538" i="5"/>
  <c r="AI2539" i="5"/>
  <c r="AZ2538" i="5"/>
  <c r="AI2535" i="5"/>
  <c r="AJ2534" i="5"/>
  <c r="AW2534" i="5"/>
  <c r="AX2534" i="5" s="1"/>
  <c r="AU2523" i="5"/>
  <c r="AV2523" i="5" s="1"/>
  <c r="AI2523" i="5"/>
  <c r="AR2523" i="5"/>
  <c r="AZ2514" i="5"/>
  <c r="AK2514" i="5"/>
  <c r="AY2514" i="5"/>
  <c r="AY2510" i="5"/>
  <c r="AJ2510" i="5"/>
  <c r="AZ2510" i="5"/>
  <c r="AI2495" i="5"/>
  <c r="AJ2494" i="5"/>
  <c r="AY2494" i="5"/>
  <c r="AW2490" i="5"/>
  <c r="AX2490" i="5" s="1"/>
  <c r="AZ2490" i="5"/>
  <c r="AI2490" i="5"/>
  <c r="AL2474" i="5"/>
  <c r="AY2474" i="5"/>
  <c r="AJ2474" i="5"/>
  <c r="AI2464" i="5"/>
  <c r="AZ2463" i="5"/>
  <c r="AK2463" i="5"/>
  <c r="AW2463" i="5"/>
  <c r="AX2463" i="5" s="1"/>
  <c r="AY2458" i="5"/>
  <c r="AJ2458" i="5"/>
  <c r="AY2438" i="5"/>
  <c r="AK2438" i="5"/>
  <c r="AJ2438" i="5"/>
  <c r="AR2434" i="5"/>
  <c r="AZ2434" i="5"/>
  <c r="AW2434" i="5"/>
  <c r="AX2434" i="5" s="1"/>
  <c r="AJ2402" i="5"/>
  <c r="AY2402" i="5"/>
  <c r="AQ2384" i="5"/>
  <c r="AI2384" i="5"/>
  <c r="AR2378" i="5"/>
  <c r="AI2378" i="5"/>
  <c r="AW2378" i="5"/>
  <c r="AX2378" i="5" s="1"/>
  <c r="AL2365" i="5"/>
  <c r="AJ2365" i="5"/>
  <c r="AR2365" i="5"/>
  <c r="AU2365" i="5"/>
  <c r="AV2365" i="5" s="1"/>
  <c r="AY2365" i="5"/>
  <c r="AL2360" i="5"/>
  <c r="AK2360" i="5"/>
  <c r="AY2356" i="5"/>
  <c r="AI2356" i="5"/>
  <c r="AM2356" i="5"/>
  <c r="AZ2340" i="5"/>
  <c r="AM2340" i="5"/>
  <c r="AZ2336" i="5"/>
  <c r="AU2336" i="5"/>
  <c r="AV2336" i="5" s="1"/>
  <c r="AK2309" i="5"/>
  <c r="AL2309" i="5"/>
  <c r="AZ2309" i="5"/>
  <c r="AJ2304" i="5"/>
  <c r="AI2304" i="5"/>
  <c r="AY2284" i="5"/>
  <c r="AI2284" i="5"/>
  <c r="AJ2280" i="5"/>
  <c r="AQ2280" i="5"/>
  <c r="AI2280" i="5"/>
  <c r="AT519" i="5"/>
  <c r="AS519" i="5"/>
  <c r="AS308" i="5"/>
  <c r="AT1681" i="5"/>
  <c r="AT588" i="5"/>
  <c r="M2881" i="5"/>
  <c r="L2881" i="5" s="1"/>
  <c r="M2295" i="5"/>
  <c r="F2295" i="5" s="1"/>
  <c r="M326" i="5"/>
  <c r="F326" i="5" s="1"/>
  <c r="M1052" i="5"/>
  <c r="F1052" i="5" s="1"/>
  <c r="AM1052" i="5" s="1"/>
  <c r="M380" i="5"/>
  <c r="F380" i="5" s="1"/>
  <c r="AM380" i="5" s="1"/>
  <c r="M2449" i="5"/>
  <c r="F2449" i="5" s="1"/>
  <c r="M362" i="5"/>
  <c r="F362" i="5" s="1"/>
  <c r="M2855" i="5"/>
  <c r="L2855" i="5" s="1"/>
  <c r="M2552" i="5"/>
  <c r="F2552" i="5" s="1"/>
  <c r="AM2552" i="5" s="1"/>
  <c r="AM2514" i="5"/>
  <c r="N3362" i="5"/>
  <c r="M3362" i="5" s="1"/>
  <c r="F3362" i="5" s="1"/>
  <c r="L3362" i="5" s="1"/>
  <c r="AR2547" i="5"/>
  <c r="AT2547" i="5" s="1"/>
  <c r="M2541" i="5"/>
  <c r="F2541" i="5" s="1"/>
  <c r="AM2541" i="5" s="1"/>
  <c r="Y3021" i="5"/>
  <c r="M3037" i="5" s="1"/>
  <c r="F3037" i="5" s="1"/>
  <c r="L3037" i="5" s="1"/>
  <c r="M1178" i="5"/>
  <c r="F1178" i="5" s="1"/>
  <c r="AM1178" i="5" s="1"/>
  <c r="M1101" i="5"/>
  <c r="F1101" i="5" s="1"/>
  <c r="AM1101" i="5" s="1"/>
  <c r="M1024" i="5"/>
  <c r="F1024" i="5" s="1"/>
  <c r="AM1024" i="5" s="1"/>
  <c r="AZ2494" i="5"/>
  <c r="AR2510" i="5"/>
  <c r="M296" i="5"/>
  <c r="F296" i="5" s="1"/>
  <c r="M2951" i="5"/>
  <c r="L2951" i="5" s="1"/>
  <c r="AM1253" i="5"/>
  <c r="AS2000" i="5"/>
  <c r="G5013" i="5"/>
  <c r="H5013" i="5" s="1"/>
  <c r="AM349" i="5"/>
  <c r="AJ2024" i="5"/>
  <c r="AM1217" i="5"/>
  <c r="AM1189" i="5"/>
  <c r="AL2264" i="5"/>
  <c r="AR2253" i="5"/>
  <c r="AQ2253" i="5"/>
  <c r="AL2228" i="5"/>
  <c r="AY2253" i="5"/>
  <c r="AM1783" i="5"/>
  <c r="AQ1988" i="5"/>
  <c r="AR2013" i="5"/>
  <c r="AZ1984" i="5"/>
  <c r="AM2171" i="5"/>
  <c r="AY2024" i="5"/>
  <c r="AI1968" i="5"/>
  <c r="AU1596" i="5"/>
  <c r="AV1596" i="5" s="1"/>
  <c r="AJ1840" i="5"/>
  <c r="AQ2004" i="5"/>
  <c r="AJ1984" i="5"/>
  <c r="AI1948" i="5"/>
  <c r="AR1984" i="5"/>
  <c r="AK2024" i="5"/>
  <c r="AK2060" i="5"/>
  <c r="AI2024" i="5"/>
  <c r="AZ2024" i="5"/>
  <c r="AT1659" i="5"/>
  <c r="AM1736" i="5"/>
  <c r="M3231" i="5"/>
  <c r="F3231" i="5" s="1"/>
  <c r="L3231" i="5" s="1"/>
  <c r="AQ2508" i="5"/>
  <c r="AI2172" i="5"/>
  <c r="AT1980" i="5"/>
  <c r="M3126" i="5"/>
  <c r="F3126" i="5" s="1"/>
  <c r="L3126" i="5" s="1"/>
  <c r="M3102" i="5"/>
  <c r="F3102" i="5" s="1"/>
  <c r="L3102" i="5" s="1"/>
  <c r="AM1534" i="5"/>
  <c r="AI2229" i="5"/>
  <c r="AQ1948" i="5"/>
  <c r="AQ2024" i="5"/>
  <c r="AK1872" i="5"/>
  <c r="AY1876" i="5"/>
  <c r="AL1780" i="5"/>
  <c r="AM318" i="5"/>
  <c r="AM811" i="5"/>
  <c r="AM657" i="5"/>
  <c r="AR2441" i="5"/>
  <c r="AJ2441" i="5"/>
  <c r="AZ2441" i="5"/>
  <c r="AW2441" i="5"/>
  <c r="AX2441" i="5" s="1"/>
  <c r="AY2441" i="5"/>
  <c r="AI2442" i="5"/>
  <c r="AL2441" i="5"/>
  <c r="AS2437" i="5"/>
  <c r="AT2437" i="5"/>
  <c r="AS2433" i="5"/>
  <c r="AT2433" i="5"/>
  <c r="AL2414" i="5"/>
  <c r="AI2415" i="5"/>
  <c r="AK2414" i="5"/>
  <c r="AZ2414" i="5"/>
  <c r="AJ2414" i="5"/>
  <c r="AR2414" i="5"/>
  <c r="AU2414" i="5"/>
  <c r="AV2414" i="5" s="1"/>
  <c r="AW2414" i="5"/>
  <c r="AX2414" i="5" s="1"/>
  <c r="AY2414" i="5"/>
  <c r="AK2409" i="5"/>
  <c r="AL2409" i="5"/>
  <c r="AY2409" i="5"/>
  <c r="AJ2409" i="5"/>
  <c r="AL2405" i="5"/>
  <c r="AJ2405" i="5"/>
  <c r="AY2389" i="5"/>
  <c r="AL2389" i="5"/>
  <c r="AU2385" i="5"/>
  <c r="AV2385" i="5" s="1"/>
  <c r="AW2385" i="5"/>
  <c r="AX2385" i="5" s="1"/>
  <c r="AS2377" i="5"/>
  <c r="AT2377" i="5"/>
  <c r="AL2369" i="5"/>
  <c r="AJ2369" i="5"/>
  <c r="AT2359" i="5"/>
  <c r="AS2359" i="5"/>
  <c r="AK2343" i="5"/>
  <c r="AI2344" i="5"/>
  <c r="AR2343" i="5"/>
  <c r="AW2329" i="5"/>
  <c r="AX2329" i="5" s="1"/>
  <c r="AZ2329" i="5"/>
  <c r="AU2329" i="5"/>
  <c r="AV2329" i="5" s="1"/>
  <c r="AI2317" i="5"/>
  <c r="AR2316" i="5"/>
  <c r="AS2316" i="5" s="1"/>
  <c r="AT2303" i="5"/>
  <c r="AS2303" i="5"/>
  <c r="AK2291" i="5"/>
  <c r="AY2291" i="5"/>
  <c r="AJ2291" i="5"/>
  <c r="AY2287" i="5"/>
  <c r="AZ2287" i="5"/>
  <c r="AK2287" i="5"/>
  <c r="AJ2287" i="5"/>
  <c r="AU2287" i="5"/>
  <c r="AV2287" i="5" s="1"/>
  <c r="AR2287" i="5"/>
  <c r="AW2287" i="5"/>
  <c r="AX2287" i="5" s="1"/>
  <c r="AZ2260" i="5"/>
  <c r="AY2260" i="5"/>
  <c r="AK2260" i="5"/>
  <c r="AW2260" i="5"/>
  <c r="AX2260" i="5" s="1"/>
  <c r="AL2255" i="5"/>
  <c r="AY2255" i="5"/>
  <c r="AI2255" i="5"/>
  <c r="AZ2255" i="5"/>
  <c r="AY2251" i="5"/>
  <c r="AL2251" i="5"/>
  <c r="AZ2251" i="5"/>
  <c r="AK2251" i="5"/>
  <c r="AT2247" i="5"/>
  <c r="AS2247" i="5"/>
  <c r="AY2231" i="5"/>
  <c r="AW2231" i="5"/>
  <c r="AX2231" i="5" s="1"/>
  <c r="AU2231" i="5"/>
  <c r="AV2231" i="5" s="1"/>
  <c r="AJ2231" i="5"/>
  <c r="AL2231" i="5"/>
  <c r="AR2231" i="5"/>
  <c r="AS2227" i="5"/>
  <c r="AT2227" i="5"/>
  <c r="AS2223" i="5"/>
  <c r="AT2223" i="5"/>
  <c r="AK2215" i="5"/>
  <c r="AZ2215" i="5"/>
  <c r="AY2215" i="5"/>
  <c r="AL2215" i="5"/>
  <c r="AJ2215" i="5"/>
  <c r="AW2204" i="5"/>
  <c r="AX2204" i="5" s="1"/>
  <c r="AI2205" i="5"/>
  <c r="AR2204" i="5"/>
  <c r="AY2204" i="5"/>
  <c r="AZ2204" i="5"/>
  <c r="AU2204" i="5"/>
  <c r="AV2204" i="5" s="1"/>
  <c r="AJ2204" i="5"/>
  <c r="AI2199" i="5"/>
  <c r="AY2199" i="5"/>
  <c r="AZ2199" i="5"/>
  <c r="AK2199" i="5"/>
  <c r="AK2195" i="5"/>
  <c r="AL2195" i="5"/>
  <c r="AY2195" i="5"/>
  <c r="AZ2195" i="5"/>
  <c r="M666" i="5"/>
  <c r="F666" i="5" s="1"/>
  <c r="M715" i="5"/>
  <c r="F715" i="5" s="1"/>
  <c r="M708" i="5"/>
  <c r="F708" i="5" s="1"/>
  <c r="M505" i="5"/>
  <c r="F505" i="5" s="1"/>
  <c r="M491" i="5"/>
  <c r="F491" i="5" s="1"/>
  <c r="M813" i="5"/>
  <c r="F813" i="5" s="1"/>
  <c r="M778" i="5"/>
  <c r="F778" i="5" s="1"/>
  <c r="M799" i="5"/>
  <c r="F799" i="5" s="1"/>
  <c r="M645" i="5"/>
  <c r="F645" i="5" s="1"/>
  <c r="AM645" i="5" s="1"/>
  <c r="M1463" i="5"/>
  <c r="F1463" i="5" s="1"/>
  <c r="M1386" i="5"/>
  <c r="F1386" i="5" s="1"/>
  <c r="AZ2522" i="5"/>
  <c r="AK2522" i="5"/>
  <c r="AT1010" i="5"/>
  <c r="M3167" i="5"/>
  <c r="F3167" i="5" s="1"/>
  <c r="L3167" i="5" s="1"/>
  <c r="M3119" i="5"/>
  <c r="F3119" i="5" s="1"/>
  <c r="L3119" i="5" s="1"/>
  <c r="M3070" i="5"/>
  <c r="F3070" i="5" s="1"/>
  <c r="L3070" i="5" s="1"/>
  <c r="AU2441" i="5"/>
  <c r="AV2441" i="5" s="1"/>
  <c r="AK2389" i="5"/>
  <c r="AL2291" i="5"/>
  <c r="AY2329" i="5"/>
  <c r="AT2401" i="5"/>
  <c r="AK2441" i="5"/>
  <c r="AJ2097" i="5"/>
  <c r="AI2094" i="5"/>
  <c r="AR2020" i="5"/>
  <c r="AJ2076" i="5"/>
  <c r="AZ2175" i="5"/>
  <c r="AW2175" i="5"/>
  <c r="AX2175" i="5" s="1"/>
  <c r="AY2093" i="5"/>
  <c r="AJ2117" i="5"/>
  <c r="AT1895" i="5"/>
  <c r="AR1935" i="5"/>
  <c r="AY1847" i="5"/>
  <c r="AY1650" i="5"/>
  <c r="AJ1674" i="5"/>
  <c r="AZ1678" i="5"/>
  <c r="AW1687" i="5"/>
  <c r="AX1687" i="5" s="1"/>
  <c r="AL1787" i="5"/>
  <c r="AY1663" i="5"/>
  <c r="AJ1654" i="5"/>
  <c r="AW1796" i="5"/>
  <c r="AX1796" i="5" s="1"/>
  <c r="AS2170" i="5"/>
  <c r="AR1603" i="5"/>
  <c r="AK1515" i="5"/>
  <c r="AR1908" i="5"/>
  <c r="AS1908" i="5" s="1"/>
  <c r="AS1590" i="5"/>
  <c r="AZ1903" i="5"/>
  <c r="AY1908" i="5"/>
  <c r="AM2071" i="5"/>
  <c r="AM1903" i="5"/>
  <c r="AM2008" i="5"/>
  <c r="M4023" i="5"/>
  <c r="L4023" i="5" s="1"/>
  <c r="M4173" i="5"/>
  <c r="F4173" i="5" s="1"/>
  <c r="L4173" i="5" s="1"/>
  <c r="M4170" i="5"/>
  <c r="F4170" i="5" s="1"/>
  <c r="L4170" i="5" s="1"/>
  <c r="M3937" i="5"/>
  <c r="F3937" i="5" s="1"/>
  <c r="L3937" i="5" s="1"/>
  <c r="M3837" i="5"/>
  <c r="L3837" i="5" s="1"/>
  <c r="M2971" i="5"/>
  <c r="L2971" i="5" s="1"/>
  <c r="M2923" i="5"/>
  <c r="L2923" i="5" s="1"/>
  <c r="M2899" i="5"/>
  <c r="L2899" i="5" s="1"/>
  <c r="M2874" i="5"/>
  <c r="L2874" i="5" s="1"/>
  <c r="M2858" i="5"/>
  <c r="L2858" i="5" s="1"/>
  <c r="M2850" i="5"/>
  <c r="L2850" i="5" s="1"/>
  <c r="M2834" i="5"/>
  <c r="L2834" i="5" s="1"/>
  <c r="M2826" i="5"/>
  <c r="L2826" i="5" s="1"/>
  <c r="M2810" i="5"/>
  <c r="L2810" i="5" s="1"/>
  <c r="M2802" i="5"/>
  <c r="L2802" i="5" s="1"/>
  <c r="M3005" i="5"/>
  <c r="L3005" i="5" s="1"/>
  <c r="M3230" i="5"/>
  <c r="F3230" i="5" s="1"/>
  <c r="L3230" i="5" s="1"/>
  <c r="M3222" i="5"/>
  <c r="F3222" i="5" s="1"/>
  <c r="L3222" i="5" s="1"/>
  <c r="M3206" i="5"/>
  <c r="F3206" i="5" s="1"/>
  <c r="L3206" i="5" s="1"/>
  <c r="M3174" i="5"/>
  <c r="F3174" i="5" s="1"/>
  <c r="L3174" i="5" s="1"/>
  <c r="M3166" i="5"/>
  <c r="F3166" i="5" s="1"/>
  <c r="L3166" i="5" s="1"/>
  <c r="M3150" i="5"/>
  <c r="F3150" i="5" s="1"/>
  <c r="L3150" i="5" s="1"/>
  <c r="M3142" i="5"/>
  <c r="F3142" i="5" s="1"/>
  <c r="L3142" i="5" s="1"/>
  <c r="M3078" i="5"/>
  <c r="F3078" i="5" s="1"/>
  <c r="L3078" i="5" s="1"/>
  <c r="M3053" i="5"/>
  <c r="F3053" i="5" s="1"/>
  <c r="L3053" i="5" s="1"/>
  <c r="M3029" i="5"/>
  <c r="F3029" i="5" s="1"/>
  <c r="L3029" i="5" s="1"/>
  <c r="M3845" i="5"/>
  <c r="F3845" i="5" s="1"/>
  <c r="L3845" i="5" s="1"/>
  <c r="AM419" i="5"/>
  <c r="AM384" i="5"/>
  <c r="AM371" i="5"/>
  <c r="AM353" i="5"/>
  <c r="AM336" i="5"/>
  <c r="AM846" i="5"/>
  <c r="AM774" i="5"/>
  <c r="AM760" i="5"/>
  <c r="AM746" i="5"/>
  <c r="AM732" i="5"/>
  <c r="AM718" i="5"/>
  <c r="AM704" i="5"/>
  <c r="AM690" i="5"/>
  <c r="AM676" i="5"/>
  <c r="AM648" i="5"/>
  <c r="AM634" i="5"/>
  <c r="AM606" i="5"/>
  <c r="AM592" i="5"/>
  <c r="AM573" i="5"/>
  <c r="AM559" i="5"/>
  <c r="AM531" i="5"/>
  <c r="AM517" i="5"/>
  <c r="AM503" i="5"/>
  <c r="AM489" i="5"/>
  <c r="AM1242" i="5"/>
  <c r="AM1224" i="5"/>
  <c r="AM1210" i="5"/>
  <c r="AM1196" i="5"/>
  <c r="AM1181" i="5"/>
  <c r="AM1154" i="5"/>
  <c r="AM1140" i="5"/>
  <c r="AM1112" i="5"/>
  <c r="AM1098" i="5"/>
  <c r="AM1084" i="5"/>
  <c r="AM1070" i="5"/>
  <c r="AM1056" i="5"/>
  <c r="AM1042" i="5"/>
  <c r="AM1014" i="5"/>
  <c r="AM1000" i="5"/>
  <c r="AM986" i="5"/>
  <c r="AM958" i="5"/>
  <c r="AM1673" i="5"/>
  <c r="AM1660" i="5"/>
  <c r="AM1628" i="5"/>
  <c r="AM1615" i="5"/>
  <c r="AM1600" i="5"/>
  <c r="AM1587" i="5"/>
  <c r="AM1572" i="5"/>
  <c r="AM1524" i="5"/>
  <c r="AM1510" i="5"/>
  <c r="AM1468" i="5"/>
  <c r="AM1454" i="5"/>
  <c r="AM1426" i="5"/>
  <c r="AM1412" i="5"/>
  <c r="AM1398" i="5"/>
  <c r="AM1384" i="5"/>
  <c r="AM1370" i="5"/>
  <c r="AM1356" i="5"/>
  <c r="AM1342" i="5"/>
  <c r="AM1328" i="5"/>
  <c r="AM2080" i="5"/>
  <c r="AM2066" i="5"/>
  <c r="AM2052" i="5"/>
  <c r="AM2038" i="5"/>
  <c r="AM2023" i="5"/>
  <c r="AM2010" i="5"/>
  <c r="AM1995" i="5"/>
  <c r="AM1981" i="5"/>
  <c r="AM1967" i="5"/>
  <c r="AM1953" i="5"/>
  <c r="AM1940" i="5"/>
  <c r="AM1898" i="5"/>
  <c r="AL2097" i="5"/>
  <c r="AR2087" i="5"/>
  <c r="AT2113" i="5"/>
  <c r="AY2179" i="5"/>
  <c r="AR2093" i="5"/>
  <c r="AK2117" i="5"/>
  <c r="AS2187" i="5"/>
  <c r="AR2117" i="5"/>
  <c r="AJ1908" i="5"/>
  <c r="M2857" i="5"/>
  <c r="L2857" i="5" s="1"/>
  <c r="M3229" i="5"/>
  <c r="F3229" i="5" s="1"/>
  <c r="L3229" i="5" s="1"/>
  <c r="AK2093" i="5"/>
  <c r="AJ2179" i="5"/>
  <c r="AR2047" i="5"/>
  <c r="AY2106" i="5"/>
  <c r="AY2117" i="5"/>
  <c r="AU2117" i="5"/>
  <c r="AV2117" i="5" s="1"/>
  <c r="AW2076" i="5"/>
  <c r="AX2076" i="5" s="1"/>
  <c r="AM1458" i="5"/>
  <c r="AU1908" i="5"/>
  <c r="AV1908" i="5" s="1"/>
  <c r="AT1911" i="5"/>
  <c r="AK1995" i="5"/>
  <c r="AJ2047" i="5"/>
  <c r="AJ2093" i="5"/>
  <c r="AJ2051" i="5"/>
  <c r="AW1991" i="5"/>
  <c r="AX1991" i="5" s="1"/>
  <c r="AZ2076" i="5"/>
  <c r="AI2107" i="5"/>
  <c r="AY1939" i="5"/>
  <c r="AL2117" i="5"/>
  <c r="AT1763" i="5"/>
  <c r="AI1791" i="5"/>
  <c r="AK1807" i="5"/>
  <c r="AI1664" i="5"/>
  <c r="AW1663" i="5"/>
  <c r="AX1663" i="5" s="1"/>
  <c r="AK1796" i="5"/>
  <c r="AY1634" i="5"/>
  <c r="AY1495" i="5"/>
  <c r="AY1540" i="5"/>
  <c r="AK1535" i="5"/>
  <c r="AZ1603" i="5"/>
  <c r="AT1563" i="5"/>
  <c r="AS2109" i="5"/>
  <c r="AY1903" i="5"/>
  <c r="AZ1540" i="5"/>
  <c r="AI2106" i="5"/>
  <c r="AZ2067" i="5"/>
  <c r="AU2093" i="5"/>
  <c r="AV2093" i="5" s="1"/>
  <c r="AK2175" i="5"/>
  <c r="AL2106" i="5"/>
  <c r="AY1964" i="5"/>
  <c r="AU1935" i="5"/>
  <c r="AV1935" i="5" s="1"/>
  <c r="AZ1883" i="5"/>
  <c r="AT2059" i="5"/>
  <c r="AK1939" i="5"/>
  <c r="AT1759" i="5"/>
  <c r="AJ1603" i="5"/>
  <c r="AL1603" i="5"/>
  <c r="AM1198" i="5"/>
  <c r="AM1184" i="5"/>
  <c r="AM1156" i="5"/>
  <c r="AI2071" i="5"/>
  <c r="AY2175" i="5"/>
  <c r="AT2083" i="5"/>
  <c r="AW2106" i="5"/>
  <c r="AX2106" i="5" s="1"/>
  <c r="AL1964" i="5"/>
  <c r="AJ1935" i="5"/>
  <c r="AK1903" i="5"/>
  <c r="AK1964" i="5"/>
  <c r="AI1903" i="5"/>
  <c r="AI1909" i="5"/>
  <c r="AM1141" i="5"/>
  <c r="AM1884" i="5"/>
  <c r="AM1842" i="5"/>
  <c r="AM1828" i="5"/>
  <c r="AM1814" i="5"/>
  <c r="AM1800" i="5"/>
  <c r="AM1785" i="5"/>
  <c r="AM1772" i="5"/>
  <c r="AM2502" i="5"/>
  <c r="AM2475" i="5"/>
  <c r="AM2433" i="5"/>
  <c r="AM2405" i="5"/>
  <c r="AM2377" i="5"/>
  <c r="AM2333" i="5"/>
  <c r="AM2319" i="5"/>
  <c r="AM2292" i="5"/>
  <c r="AM2277" i="5"/>
  <c r="AM2263" i="5"/>
  <c r="AM2250" i="5"/>
  <c r="AM2235" i="5"/>
  <c r="AM2207" i="5"/>
  <c r="AM2193" i="5"/>
  <c r="M3112" i="5"/>
  <c r="F3112" i="5" s="1"/>
  <c r="L3112" i="5" s="1"/>
  <c r="M3254" i="5"/>
  <c r="F3254" i="5" s="1"/>
  <c r="L3254" i="5" s="1"/>
  <c r="M3262" i="5"/>
  <c r="F3262" i="5" s="1"/>
  <c r="L3262" i="5" s="1"/>
  <c r="AN3957" i="5"/>
  <c r="AQ3957" i="5" s="1"/>
  <c r="AN3950" i="5"/>
  <c r="AO3950" i="5" s="1"/>
  <c r="AP3950" i="5" s="1"/>
  <c r="AR3950" i="5" s="1"/>
  <c r="AN3859" i="5"/>
  <c r="A3859" i="5" s="1"/>
  <c r="AN3857" i="5"/>
  <c r="AQ3857" i="5" s="1"/>
  <c r="AN3854" i="5"/>
  <c r="AN3633" i="5"/>
  <c r="AN3626" i="5"/>
  <c r="AU3354" i="5"/>
  <c r="A3354" i="5" s="1"/>
  <c r="D3353" i="5"/>
  <c r="AU3352" i="5"/>
  <c r="AV3352" i="5" s="1"/>
  <c r="AW3352" i="5" s="1"/>
  <c r="AY3352" i="5" s="1"/>
  <c r="AX3349" i="5"/>
  <c r="AU3344" i="5"/>
  <c r="AV3344" i="5" s="1"/>
  <c r="AW3344" i="5" s="1"/>
  <c r="AY3344" i="5" s="1"/>
  <c r="AX3341" i="5"/>
  <c r="D3340" i="5"/>
  <c r="AU3338" i="5"/>
  <c r="A3338" i="5" s="1"/>
  <c r="AU3337" i="5"/>
  <c r="AU3334" i="5"/>
  <c r="AX3330" i="5"/>
  <c r="AU3329" i="5"/>
  <c r="AV3329" i="5" s="1"/>
  <c r="AW3329" i="5" s="1"/>
  <c r="AY3329" i="5" s="1"/>
  <c r="D3327" i="5"/>
  <c r="AX3326" i="5"/>
  <c r="D3325" i="5"/>
  <c r="AU3320" i="5"/>
  <c r="A3320" i="5" s="1"/>
  <c r="AU3314" i="5"/>
  <c r="D3313" i="5"/>
  <c r="D3310" i="5"/>
  <c r="D3306" i="5"/>
  <c r="D3305" i="5"/>
  <c r="AU3303" i="5"/>
  <c r="A3303" i="5" s="1"/>
  <c r="D3300" i="5"/>
  <c r="AU3299" i="5"/>
  <c r="A3299" i="5" s="1"/>
  <c r="AU3298" i="5"/>
  <c r="D3297" i="5"/>
  <c r="D3294" i="5"/>
  <c r="AX3292" i="5"/>
  <c r="AU3291" i="5"/>
  <c r="AV3291" i="5" s="1"/>
  <c r="AW3291" i="5" s="1"/>
  <c r="AY3291" i="5" s="1"/>
  <c r="AU3288" i="5"/>
  <c r="A3288" i="5" s="1"/>
  <c r="AU3287" i="5"/>
  <c r="A3287" i="5" s="1"/>
  <c r="AX3285" i="5"/>
  <c r="AU3282" i="5"/>
  <c r="AZ3282" i="5" s="1"/>
  <c r="AQ2547" i="5"/>
  <c r="AQ2541" i="5"/>
  <c r="AQ2537" i="5"/>
  <c r="AQ2536" i="5"/>
  <c r="AQ2528" i="5"/>
  <c r="AQ2523" i="5"/>
  <c r="AQ2518" i="5"/>
  <c r="AQ2513" i="5"/>
  <c r="AQ2509" i="5"/>
  <c r="AQ2504" i="5"/>
  <c r="AQ2498" i="5"/>
  <c r="AQ2494" i="5"/>
  <c r="AQ2493" i="5"/>
  <c r="AQ2492" i="5"/>
  <c r="AQ2490" i="5"/>
  <c r="AQ2489" i="5"/>
  <c r="AQ2488" i="5"/>
  <c r="AQ2469" i="5"/>
  <c r="AQ2468" i="5"/>
  <c r="AQ2463" i="5"/>
  <c r="AQ2454" i="5"/>
  <c r="AQ2442" i="5"/>
  <c r="AQ2433" i="5"/>
  <c r="AQ2417" i="5"/>
  <c r="AQ2416" i="5"/>
  <c r="AQ2415" i="5"/>
  <c r="AQ2412" i="5"/>
  <c r="AQ2411" i="5"/>
  <c r="AQ2406" i="5"/>
  <c r="AQ2396" i="5"/>
  <c r="AQ2392" i="5"/>
  <c r="AQ2391" i="5"/>
  <c r="AQ2386" i="5"/>
  <c r="AQ2380" i="5"/>
  <c r="AQ2377" i="5"/>
  <c r="AQ2376" i="5"/>
  <c r="AQ2371" i="5"/>
  <c r="AQ2359" i="5"/>
  <c r="AQ2358" i="5"/>
  <c r="AQ2353" i="5"/>
  <c r="AQ2349" i="5"/>
  <c r="AQ2339" i="5"/>
  <c r="AQ2338" i="5"/>
  <c r="AQ2335" i="5"/>
  <c r="AQ2334" i="5"/>
  <c r="AQ2333" i="5"/>
  <c r="AQ2329" i="5"/>
  <c r="AQ2323" i="5"/>
  <c r="AQ2317" i="5"/>
  <c r="AQ2303" i="5"/>
  <c r="AQ2299" i="5"/>
  <c r="AQ2298" i="5"/>
  <c r="AQ2297" i="5"/>
  <c r="AQ2294" i="5"/>
  <c r="AQ2293" i="5"/>
  <c r="AQ2288" i="5"/>
  <c r="AQ2283" i="5"/>
  <c r="AQ2277" i="5"/>
  <c r="AQ2264" i="5"/>
  <c r="AQ2258" i="5"/>
  <c r="AQ2242" i="5"/>
  <c r="AQ2238" i="5"/>
  <c r="AQ2232" i="5"/>
  <c r="AQ2227" i="5"/>
  <c r="AQ2223" i="5"/>
  <c r="AQ2222" i="5"/>
  <c r="AQ2211" i="5"/>
  <c r="AQ2206" i="5"/>
  <c r="AQ2203" i="5"/>
  <c r="AQ2202" i="5"/>
  <c r="AQ2201" i="5"/>
  <c r="AQ2191" i="5"/>
  <c r="AQ2190" i="5"/>
  <c r="AQ2187" i="5"/>
  <c r="AQ2186" i="5"/>
  <c r="AQ2118" i="5"/>
  <c r="AQ2113" i="5"/>
  <c r="AQ2107" i="5"/>
  <c r="AQ2105" i="5"/>
  <c r="AQ2104" i="5"/>
  <c r="AQ2075" i="5"/>
  <c r="AQ2073" i="5"/>
  <c r="AQ2063" i="5"/>
  <c r="AQ2059" i="5"/>
  <c r="AQ2058" i="5"/>
  <c r="AQ2054" i="5"/>
  <c r="AQ2053" i="5"/>
  <c r="AQ2048" i="5"/>
  <c r="AQ2043" i="5"/>
  <c r="AQ2042" i="5"/>
  <c r="AQ2033" i="5"/>
  <c r="AQ2023" i="5"/>
  <c r="AQ2022" i="5"/>
  <c r="AQ2021" i="5"/>
  <c r="AQ2017" i="5"/>
  <c r="AQ2007" i="5"/>
  <c r="AQ1998" i="5"/>
  <c r="AQ1966" i="5"/>
  <c r="AQ1963" i="5"/>
  <c r="AQ1962" i="5"/>
  <c r="AQ1951" i="5"/>
  <c r="AQ1931" i="5"/>
  <c r="AQ1930" i="5"/>
  <c r="AM2249" i="5"/>
  <c r="AM1968" i="5"/>
  <c r="AM1813" i="5"/>
  <c r="G5078" i="5"/>
  <c r="H5078" i="5" s="1"/>
  <c r="AM1153" i="5"/>
  <c r="G5150" i="5"/>
  <c r="H5150" i="5" s="1"/>
  <c r="AM2079" i="5"/>
  <c r="AM2291" i="5"/>
  <c r="A5151" i="5"/>
  <c r="G5151" i="5" s="1"/>
  <c r="H5151" i="5" s="1"/>
  <c r="AX3287" i="5"/>
  <c r="AU3310" i="5"/>
  <c r="AV3310" i="5" s="1"/>
  <c r="AW3310" i="5" s="1"/>
  <c r="AY3310" i="5" s="1"/>
  <c r="AX3337" i="5"/>
  <c r="AX3320" i="5"/>
  <c r="AM2194" i="5"/>
  <c r="AM2264" i="5"/>
  <c r="AT437" i="5"/>
  <c r="AS437" i="5"/>
  <c r="N3378" i="5"/>
  <c r="M3299" i="5"/>
  <c r="F3299" i="5" s="1"/>
  <c r="L3299" i="5" s="1"/>
  <c r="N3300" i="5"/>
  <c r="M4520" i="5"/>
  <c r="F4520" i="5" s="1"/>
  <c r="M4517" i="5"/>
  <c r="F4514" i="5"/>
  <c r="M4518" i="5"/>
  <c r="F4518" i="5" s="1"/>
  <c r="AM929" i="5"/>
  <c r="AM930" i="5"/>
  <c r="AM1311" i="5"/>
  <c r="AM1312" i="5"/>
  <c r="AM1643" i="5"/>
  <c r="AM1642" i="5"/>
  <c r="AM2097" i="5"/>
  <c r="AM1926" i="5"/>
  <c r="AM1925" i="5"/>
  <c r="AM1869" i="5"/>
  <c r="AM1870" i="5"/>
  <c r="AM1743" i="5"/>
  <c r="AM1744" i="5"/>
  <c r="AM2521" i="5"/>
  <c r="AM2520" i="5"/>
  <c r="AM2488" i="5"/>
  <c r="AM2489" i="5"/>
  <c r="AM2305" i="5"/>
  <c r="AM2306" i="5"/>
  <c r="AM2221" i="5"/>
  <c r="AM2222" i="5"/>
  <c r="AM2179" i="5"/>
  <c r="AM2180" i="5"/>
  <c r="M3013" i="5"/>
  <c r="L3013" i="5" s="1"/>
  <c r="M2995" i="5"/>
  <c r="L2995" i="5" s="1"/>
  <c r="M3001" i="5"/>
  <c r="L3001" i="5" s="1"/>
  <c r="M3002" i="5"/>
  <c r="L3002" i="5" s="1"/>
  <c r="M3177" i="5"/>
  <c r="F3177" i="5" s="1"/>
  <c r="L3177" i="5" s="1"/>
  <c r="M3080" i="5"/>
  <c r="F3080" i="5" s="1"/>
  <c r="L3080" i="5" s="1"/>
  <c r="M3096" i="5"/>
  <c r="F3096" i="5" s="1"/>
  <c r="L3096" i="5" s="1"/>
  <c r="M3121" i="5"/>
  <c r="F3121" i="5" s="1"/>
  <c r="L3121" i="5" s="1"/>
  <c r="M3057" i="5"/>
  <c r="F3057" i="5" s="1"/>
  <c r="L3057" i="5" s="1"/>
  <c r="M3173" i="5"/>
  <c r="F3173" i="5" s="1"/>
  <c r="L3173" i="5" s="1"/>
  <c r="M3081" i="5"/>
  <c r="F3081" i="5" s="1"/>
  <c r="L3081" i="5" s="1"/>
  <c r="M3148" i="5"/>
  <c r="F3148" i="5" s="1"/>
  <c r="L3148" i="5" s="1"/>
  <c r="M3100" i="5"/>
  <c r="F3100" i="5" s="1"/>
  <c r="L3100" i="5" s="1"/>
  <c r="M3056" i="5"/>
  <c r="F3056" i="5" s="1"/>
  <c r="L3056" i="5" s="1"/>
  <c r="M3076" i="5"/>
  <c r="F3076" i="5" s="1"/>
  <c r="L3076" i="5" s="1"/>
  <c r="M3077" i="5"/>
  <c r="F3077" i="5" s="1"/>
  <c r="L3077" i="5" s="1"/>
  <c r="M3049" i="5"/>
  <c r="F3049" i="5" s="1"/>
  <c r="L3049" i="5" s="1"/>
  <c r="M3052" i="5"/>
  <c r="F3052" i="5" s="1"/>
  <c r="L3052" i="5" s="1"/>
  <c r="M3196" i="5"/>
  <c r="F3196" i="5" s="1"/>
  <c r="L3196" i="5" s="1"/>
  <c r="M3125" i="5"/>
  <c r="F3125" i="5" s="1"/>
  <c r="L3125" i="5" s="1"/>
  <c r="M3073" i="5"/>
  <c r="F3073" i="5" s="1"/>
  <c r="L3073" i="5" s="1"/>
  <c r="M3235" i="5"/>
  <c r="F3235" i="5" s="1"/>
  <c r="L3235" i="5" s="1"/>
  <c r="M3191" i="5"/>
  <c r="F3191" i="5" s="1"/>
  <c r="L3191" i="5" s="1"/>
  <c r="M3236" i="5"/>
  <c r="F3236" i="5" s="1"/>
  <c r="L3236" i="5" s="1"/>
  <c r="M3233" i="5"/>
  <c r="F3233" i="5" s="1"/>
  <c r="L3233" i="5" s="1"/>
  <c r="M3099" i="5"/>
  <c r="F3099" i="5" s="1"/>
  <c r="L3099" i="5" s="1"/>
  <c r="M3195" i="5"/>
  <c r="F3195" i="5" s="1"/>
  <c r="L3195" i="5" s="1"/>
  <c r="M3111" i="5"/>
  <c r="F3111" i="5" s="1"/>
  <c r="L3111" i="5" s="1"/>
  <c r="M3237" i="5"/>
  <c r="F3237" i="5" s="1"/>
  <c r="L3237" i="5" s="1"/>
  <c r="M3855" i="5"/>
  <c r="F3855" i="5" s="1"/>
  <c r="L3855" i="5" s="1"/>
  <c r="N3856" i="5"/>
  <c r="M3856" i="5" s="1"/>
  <c r="F3856" i="5" s="1"/>
  <c r="L3856" i="5" s="1"/>
  <c r="M807" i="5"/>
  <c r="F807" i="5" s="1"/>
  <c r="AM808" i="5" s="1"/>
  <c r="M838" i="5"/>
  <c r="F838" i="5" s="1"/>
  <c r="AM839" i="5" s="1"/>
  <c r="M716" i="5"/>
  <c r="F716" i="5" s="1"/>
  <c r="M688" i="5"/>
  <c r="F688" i="5" s="1"/>
  <c r="AM689" i="5" s="1"/>
  <c r="M786" i="5"/>
  <c r="F786" i="5" s="1"/>
  <c r="AM787" i="5" s="1"/>
  <c r="M646" i="5"/>
  <c r="F646" i="5" s="1"/>
  <c r="AM647" i="5" s="1"/>
  <c r="M520" i="5"/>
  <c r="F520" i="5" s="1"/>
  <c r="AM521" i="5" s="1"/>
  <c r="M513" i="5"/>
  <c r="F513" i="5" s="1"/>
  <c r="AM514" i="5" s="1"/>
  <c r="M758" i="5"/>
  <c r="F758" i="5" s="1"/>
  <c r="AM759" i="5" s="1"/>
  <c r="M844" i="5"/>
  <c r="F844" i="5" s="1"/>
  <c r="M576" i="5"/>
  <c r="F576" i="5" s="1"/>
  <c r="AM577" i="5" s="1"/>
  <c r="M800" i="5"/>
  <c r="F800" i="5" s="1"/>
  <c r="AM801" i="5" s="1"/>
  <c r="M861" i="5"/>
  <c r="F861" i="5" s="1"/>
  <c r="AM876" i="5" s="1"/>
  <c r="M820" i="5"/>
  <c r="F820" i="5" s="1"/>
  <c r="AM821" i="5" s="1"/>
  <c r="M625" i="5"/>
  <c r="F625" i="5" s="1"/>
  <c r="M772" i="5"/>
  <c r="F772" i="5" s="1"/>
  <c r="M850" i="5"/>
  <c r="F850" i="5" s="1"/>
  <c r="M541" i="5"/>
  <c r="F541" i="5" s="1"/>
  <c r="AM542" i="5" s="1"/>
  <c r="M702" i="5"/>
  <c r="F702" i="5" s="1"/>
  <c r="AM703" i="5" s="1"/>
  <c r="M1914" i="5"/>
  <c r="F1914" i="5" s="1"/>
  <c r="M1928" i="5"/>
  <c r="F1928" i="5" s="1"/>
  <c r="AM1928" i="5" s="1"/>
  <c r="M1886" i="5"/>
  <c r="F1886" i="5" s="1"/>
  <c r="AM1886" i="5" s="1"/>
  <c r="M1991" i="5"/>
  <c r="F1991" i="5" s="1"/>
  <c r="M2061" i="5"/>
  <c r="F2061" i="5" s="1"/>
  <c r="AM2061" i="5" s="1"/>
  <c r="M1998" i="5"/>
  <c r="F1998" i="5" s="1"/>
  <c r="AM1998" i="5" s="1"/>
  <c r="M1956" i="5"/>
  <c r="F1956" i="5" s="1"/>
  <c r="AM1956" i="5" s="1"/>
  <c r="M1949" i="5"/>
  <c r="F1949" i="5" s="1"/>
  <c r="AM1949" i="5" s="1"/>
  <c r="M1907" i="5"/>
  <c r="F1907" i="5" s="1"/>
  <c r="AM1907" i="5" s="1"/>
  <c r="M2075" i="5"/>
  <c r="F2075" i="5" s="1"/>
  <c r="M1977" i="5"/>
  <c r="F1977" i="5" s="1"/>
  <c r="AM1977" i="5" s="1"/>
  <c r="M1767" i="5"/>
  <c r="F1767" i="5" s="1"/>
  <c r="AM1767" i="5" s="1"/>
  <c r="M2026" i="5"/>
  <c r="F2026" i="5" s="1"/>
  <c r="AM2026" i="5" s="1"/>
  <c r="M1851" i="5"/>
  <c r="F1851" i="5" s="1"/>
  <c r="M2087" i="5"/>
  <c r="F2087" i="5" s="1"/>
  <c r="AM2087" i="5" s="1"/>
  <c r="M1900" i="5"/>
  <c r="F1900" i="5" s="1"/>
  <c r="AM1900" i="5" s="1"/>
  <c r="M1746" i="5"/>
  <c r="F1746" i="5" s="1"/>
  <c r="AM1746" i="5" s="1"/>
  <c r="M2019" i="5"/>
  <c r="F2019" i="5" s="1"/>
  <c r="AM2019" i="5" s="1"/>
  <c r="M2047" i="5"/>
  <c r="F2047" i="5" s="1"/>
  <c r="AM2047" i="5" s="1"/>
  <c r="M2040" i="5"/>
  <c r="F2040" i="5" s="1"/>
  <c r="AM2040" i="5" s="1"/>
  <c r="AP1741" i="5"/>
  <c r="AQ1741" i="5" s="1"/>
  <c r="M1809" i="5"/>
  <c r="F1809" i="5" s="1"/>
  <c r="AM1809" i="5" s="1"/>
  <c r="AU3351" i="5"/>
  <c r="D3351" i="5"/>
  <c r="AU3350" i="5"/>
  <c r="A3350" i="5" s="1"/>
  <c r="AX3350" i="5"/>
  <c r="D3350" i="5"/>
  <c r="AU3349" i="5"/>
  <c r="D3349" i="5"/>
  <c r="D3348" i="5"/>
  <c r="AU3348" i="5"/>
  <c r="AV3348" i="5" s="1"/>
  <c r="AW3348" i="5" s="1"/>
  <c r="AY3348" i="5" s="1"/>
  <c r="AX3348" i="5"/>
  <c r="D3347" i="5"/>
  <c r="AU3347" i="5"/>
  <c r="AV3347" i="5" s="1"/>
  <c r="AW3347" i="5" s="1"/>
  <c r="AY3347" i="5" s="1"/>
  <c r="AX3346" i="5"/>
  <c r="AU3346" i="5"/>
  <c r="AV3346" i="5" s="1"/>
  <c r="AW3346" i="5" s="1"/>
  <c r="AY3346" i="5" s="1"/>
  <c r="D3346" i="5"/>
  <c r="D3345" i="5"/>
  <c r="AX3345" i="5"/>
  <c r="AU3345" i="5"/>
  <c r="D3343" i="5"/>
  <c r="AX3343" i="5"/>
  <c r="AX3342" i="5"/>
  <c r="AU3342" i="5"/>
  <c r="D3339" i="5"/>
  <c r="AX3336" i="5"/>
  <c r="AU3336" i="5"/>
  <c r="D3336" i="5"/>
  <c r="D3335" i="5"/>
  <c r="AU3335" i="5"/>
  <c r="AV3335" i="5" s="1"/>
  <c r="AW3335" i="5" s="1"/>
  <c r="AY3335" i="5" s="1"/>
  <c r="AX3335" i="5"/>
  <c r="D3333" i="5"/>
  <c r="AX3333" i="5"/>
  <c r="AU3333" i="5"/>
  <c r="A3333" i="5" s="1"/>
  <c r="AX3332" i="5"/>
  <c r="D3332" i="5"/>
  <c r="AX3331" i="5"/>
  <c r="AU3331" i="5"/>
  <c r="AV3331" i="5" s="1"/>
  <c r="AW3331" i="5" s="1"/>
  <c r="AY3331" i="5" s="1"/>
  <c r="AU3328" i="5"/>
  <c r="AV3328" i="5" s="1"/>
  <c r="AW3328" i="5" s="1"/>
  <c r="AY3328" i="5" s="1"/>
  <c r="AX3328" i="5"/>
  <c r="AU3326" i="5"/>
  <c r="D3326" i="5"/>
  <c r="D3324" i="5"/>
  <c r="AX3324" i="5"/>
  <c r="AU3324" i="5"/>
  <c r="AU3323" i="5"/>
  <c r="A3323" i="5" s="1"/>
  <c r="AX3323" i="5"/>
  <c r="D3323" i="5"/>
  <c r="AU3322" i="5"/>
  <c r="D3322" i="5"/>
  <c r="AX3322" i="5"/>
  <c r="AU3321" i="5"/>
  <c r="D3321" i="5"/>
  <c r="D3319" i="5"/>
  <c r="AX3319" i="5"/>
  <c r="AU3319" i="5"/>
  <c r="AV3319" i="5" s="1"/>
  <c r="AW3319" i="5" s="1"/>
  <c r="AY3319" i="5" s="1"/>
  <c r="AU3318" i="5"/>
  <c r="D3318" i="5"/>
  <c r="AX3318" i="5"/>
  <c r="AX3317" i="5"/>
  <c r="AU3317" i="5"/>
  <c r="D3316" i="5"/>
  <c r="AX3316" i="5"/>
  <c r="AX3315" i="5"/>
  <c r="D3315" i="5"/>
  <c r="AX3312" i="5"/>
  <c r="D3312" i="5"/>
  <c r="D3311" i="5"/>
  <c r="AU3311" i="5"/>
  <c r="AX3309" i="5"/>
  <c r="AU3309" i="5"/>
  <c r="D3309" i="5"/>
  <c r="AU3308" i="5"/>
  <c r="AX3308" i="5"/>
  <c r="D3307" i="5"/>
  <c r="AU3307" i="5"/>
  <c r="A3307" i="5" s="1"/>
  <c r="AU3306" i="5"/>
  <c r="AX3306" i="5"/>
  <c r="D3304" i="5"/>
  <c r="AX3304" i="5"/>
  <c r="D3302" i="5"/>
  <c r="AX3302" i="5"/>
  <c r="AX3301" i="5"/>
  <c r="AU3301" i="5"/>
  <c r="A3301" i="5" s="1"/>
  <c r="D3301" i="5"/>
  <c r="AU3300" i="5"/>
  <c r="A3300" i="5" s="1"/>
  <c r="AX3297" i="5"/>
  <c r="AU3296" i="5"/>
  <c r="AV3296" i="5" s="1"/>
  <c r="AW3296" i="5" s="1"/>
  <c r="AY3296" i="5" s="1"/>
  <c r="D3296" i="5"/>
  <c r="D3295" i="5"/>
  <c r="AU3295" i="5"/>
  <c r="AX3295" i="5"/>
  <c r="AX3293" i="5"/>
  <c r="AU3292" i="5"/>
  <c r="D3292" i="5"/>
  <c r="AX3290" i="5"/>
  <c r="AU3290" i="5"/>
  <c r="AV3290" i="5" s="1"/>
  <c r="AW3290" i="5" s="1"/>
  <c r="AY3290" i="5" s="1"/>
  <c r="D3289" i="5"/>
  <c r="AX3289" i="5"/>
  <c r="AU3289" i="5"/>
  <c r="AV3289" i="5" s="1"/>
  <c r="AW3289" i="5" s="1"/>
  <c r="AY3289" i="5" s="1"/>
  <c r="AX3288" i="5"/>
  <c r="D3288" i="5"/>
  <c r="AU3286" i="5"/>
  <c r="A3286" i="5" s="1"/>
  <c r="AX3286" i="5"/>
  <c r="D3286" i="5"/>
  <c r="AU3285" i="5"/>
  <c r="AV3285" i="5" s="1"/>
  <c r="AW3285" i="5" s="1"/>
  <c r="AY3285" i="5" s="1"/>
  <c r="D3285" i="5"/>
  <c r="AU3284" i="5"/>
  <c r="AX3284" i="5"/>
  <c r="AX3283" i="5"/>
  <c r="AU3283" i="5"/>
  <c r="AV3283" i="5" s="1"/>
  <c r="AW3283" i="5" s="1"/>
  <c r="AY3283" i="5" s="1"/>
  <c r="D3283" i="5"/>
  <c r="AW2551" i="5"/>
  <c r="AX2551" i="5" s="1"/>
  <c r="AR2551" i="5"/>
  <c r="AS2551" i="5" s="1"/>
  <c r="AQ2551" i="5"/>
  <c r="AY2551" i="5"/>
  <c r="AL2551" i="5"/>
  <c r="AT2544" i="5"/>
  <c r="AS2544" i="5"/>
  <c r="AJ2533" i="5"/>
  <c r="AI2533" i="5"/>
  <c r="AZ2531" i="5"/>
  <c r="AL2531" i="5"/>
  <c r="AI2532" i="5"/>
  <c r="AQ2531" i="5"/>
  <c r="AJ2527" i="5"/>
  <c r="AI2527" i="5"/>
  <c r="AL2527" i="5"/>
  <c r="AM2527" i="5"/>
  <c r="AQ2527" i="5"/>
  <c r="AI2528" i="5"/>
  <c r="AT2519" i="5"/>
  <c r="AS2519" i="5"/>
  <c r="AT2515" i="5"/>
  <c r="AS2515" i="5"/>
  <c r="AI2507" i="5"/>
  <c r="AJ2507" i="5"/>
  <c r="AL2507" i="5"/>
  <c r="AL2503" i="5"/>
  <c r="AK2503" i="5"/>
  <c r="AZ2503" i="5"/>
  <c r="AQ2503" i="5"/>
  <c r="AT2500" i="5"/>
  <c r="AS2500" i="5"/>
  <c r="AS2499" i="5"/>
  <c r="AT2499" i="5"/>
  <c r="AL2487" i="5"/>
  <c r="AQ2487" i="5"/>
  <c r="AI2488" i="5"/>
  <c r="AI2487" i="5"/>
  <c r="AU2483" i="5"/>
  <c r="AV2483" i="5" s="1"/>
  <c r="AI2484" i="5"/>
  <c r="AR2483" i="5"/>
  <c r="AS2483" i="5" s="1"/>
  <c r="AY2483" i="5"/>
  <c r="AQ2483" i="5"/>
  <c r="AL2483" i="5"/>
  <c r="AT2479" i="5"/>
  <c r="AS2479" i="5"/>
  <c r="AJ2467" i="5"/>
  <c r="AY2467" i="5"/>
  <c r="AI2467" i="5"/>
  <c r="AQ2467" i="5"/>
  <c r="AT2459" i="5"/>
  <c r="AS2459" i="5"/>
  <c r="AJ2456" i="5"/>
  <c r="AZ2456" i="5"/>
  <c r="AW2456" i="5"/>
  <c r="AX2456" i="5" s="1"/>
  <c r="AI2456" i="5"/>
  <c r="AI2457" i="5"/>
  <c r="AL2456" i="5"/>
  <c r="AK2451" i="5"/>
  <c r="AZ2451" i="5"/>
  <c r="AI2451" i="5"/>
  <c r="AI2452" i="5"/>
  <c r="AJ2451" i="5"/>
  <c r="AL2451" i="5"/>
  <c r="AL2447" i="5"/>
  <c r="AI2447" i="5"/>
  <c r="AS2443" i="5"/>
  <c r="AT2443" i="5"/>
  <c r="AS2438" i="5"/>
  <c r="AT2438" i="5"/>
  <c r="AR2435" i="5"/>
  <c r="AI2436" i="5"/>
  <c r="AJ2435" i="5"/>
  <c r="AY2435" i="5"/>
  <c r="AK2435" i="5"/>
  <c r="AI2435" i="5"/>
  <c r="AW2435" i="5"/>
  <c r="AX2435" i="5" s="1"/>
  <c r="AL2435" i="5"/>
  <c r="AZ2435" i="5"/>
  <c r="AI2430" i="5"/>
  <c r="AL2430" i="5"/>
  <c r="AJ2430" i="5"/>
  <c r="AZ2430" i="5"/>
  <c r="AI2431" i="5"/>
  <c r="AY2430" i="5"/>
  <c r="AZ2426" i="5"/>
  <c r="AI2427" i="5"/>
  <c r="AJ2426" i="5"/>
  <c r="AK2426" i="5"/>
  <c r="AY2426" i="5"/>
  <c r="AQ2426" i="5"/>
  <c r="AT2418" i="5"/>
  <c r="AS2418" i="5"/>
  <c r="AL2410" i="5"/>
  <c r="AQ2410" i="5"/>
  <c r="AY2410" i="5"/>
  <c r="AK2410" i="5"/>
  <c r="AM2410" i="5"/>
  <c r="AI2410" i="5"/>
  <c r="AZ2410" i="5"/>
  <c r="AI2411" i="5"/>
  <c r="AU2406" i="5"/>
  <c r="AV2406" i="5" s="1"/>
  <c r="AJ2406" i="5"/>
  <c r="AI2407" i="5"/>
  <c r="AY2406" i="5"/>
  <c r="AZ2406" i="5"/>
  <c r="AI2406" i="5"/>
  <c r="AL2406" i="5"/>
  <c r="AW2406" i="5"/>
  <c r="AX2406" i="5" s="1"/>
  <c r="AS2402" i="5"/>
  <c r="AT2402" i="5"/>
  <c r="AM2390" i="5"/>
  <c r="AL2390" i="5"/>
  <c r="AI2390" i="5"/>
  <c r="AZ2390" i="5"/>
  <c r="AJ2390" i="5"/>
  <c r="AK2390" i="5"/>
  <c r="AQ2390" i="5"/>
  <c r="AY2390" i="5"/>
  <c r="AT2383" i="5"/>
  <c r="AS2383" i="5"/>
  <c r="AS2382" i="5"/>
  <c r="AT2382" i="5"/>
  <c r="AZ2379" i="5"/>
  <c r="AY2379" i="5"/>
  <c r="AJ2379" i="5"/>
  <c r="AI2379" i="5"/>
  <c r="AU2379" i="5"/>
  <c r="AV2379" i="5" s="1"/>
  <c r="AR2379" i="5"/>
  <c r="AQ2379" i="5"/>
  <c r="AK2379" i="5"/>
  <c r="AL2374" i="5"/>
  <c r="AK2374" i="5"/>
  <c r="AJ2374" i="5"/>
  <c r="AI2375" i="5"/>
  <c r="AI2374" i="5"/>
  <c r="AZ2374" i="5"/>
  <c r="AY2374" i="5"/>
  <c r="AI2370" i="5"/>
  <c r="AI2371" i="5"/>
  <c r="AJ2370" i="5"/>
  <c r="AM2370" i="5"/>
  <c r="AJ2368" i="5"/>
  <c r="AL2368" i="5"/>
  <c r="AI2369" i="5"/>
  <c r="AZ2368" i="5"/>
  <c r="AY2368" i="5"/>
  <c r="AQ2368" i="5"/>
  <c r="AL2364" i="5"/>
  <c r="AR2364" i="5"/>
  <c r="AK2364" i="5"/>
  <c r="AU2364" i="5"/>
  <c r="AV2364" i="5" s="1"/>
  <c r="AZ2364" i="5"/>
  <c r="AI2365" i="5"/>
  <c r="AJ2364" i="5"/>
  <c r="AY2364" i="5"/>
  <c r="AS2356" i="5"/>
  <c r="AT2356" i="5"/>
  <c r="AL2348" i="5"/>
  <c r="AK2348" i="5"/>
  <c r="AJ2348" i="5"/>
  <c r="AZ2348" i="5"/>
  <c r="AY2348" i="5"/>
  <c r="AI2349" i="5"/>
  <c r="AQ2348" i="5"/>
  <c r="AT2340" i="5"/>
  <c r="AS2340" i="5"/>
  <c r="AW2337" i="5"/>
  <c r="AX2337" i="5" s="1"/>
  <c r="AY2337" i="5"/>
  <c r="AI2337" i="5"/>
  <c r="AK2337" i="5"/>
  <c r="AZ2337" i="5"/>
  <c r="AJ2337" i="5"/>
  <c r="AR2337" i="5"/>
  <c r="AT2337" i="5" s="1"/>
  <c r="AQ2337" i="5"/>
  <c r="AM354" i="5"/>
  <c r="AS2540" i="5"/>
  <c r="AM1209" i="5"/>
  <c r="AM1714" i="5"/>
  <c r="AM2009" i="5"/>
  <c r="AM1771" i="5"/>
  <c r="M3032" i="5"/>
  <c r="F3032" i="5" s="1"/>
  <c r="L3032" i="5" s="1"/>
  <c r="M2996" i="5"/>
  <c r="L2996" i="5" s="1"/>
  <c r="AM1996" i="5"/>
  <c r="G197" i="5"/>
  <c r="H197" i="5" s="1"/>
  <c r="AX3329" i="5"/>
  <c r="M3234" i="5"/>
  <c r="F3234" i="5" s="1"/>
  <c r="L3234" i="5" s="1"/>
  <c r="AM1182" i="5"/>
  <c r="AX3291" i="5"/>
  <c r="AX3313" i="5"/>
  <c r="AX3305" i="5"/>
  <c r="AX3325" i="5"/>
  <c r="AU3353" i="5"/>
  <c r="A3353" i="5" s="1"/>
  <c r="AU3302" i="5"/>
  <c r="D3331" i="5"/>
  <c r="AU3339" i="5"/>
  <c r="AV3339" i="5" s="1"/>
  <c r="AW3339" i="5" s="1"/>
  <c r="AY3339" i="5" s="1"/>
  <c r="AX3327" i="5"/>
  <c r="M3104" i="5"/>
  <c r="F3104" i="5" s="1"/>
  <c r="L3104" i="5" s="1"/>
  <c r="AK2551" i="5"/>
  <c r="M765" i="5"/>
  <c r="F765" i="5" s="1"/>
  <c r="AM766" i="5" s="1"/>
  <c r="AI2483" i="5"/>
  <c r="AS2398" i="5"/>
  <c r="AM1712" i="5"/>
  <c r="F5078" i="5"/>
  <c r="AO3959" i="5"/>
  <c r="AP3959" i="5" s="1"/>
  <c r="AR3959" i="5" s="1"/>
  <c r="AM2537" i="5"/>
  <c r="M3014" i="5"/>
  <c r="L3014" i="5" s="1"/>
  <c r="O212" i="5"/>
  <c r="O213" i="5" s="1"/>
  <c r="F212" i="5" s="1"/>
  <c r="D3291" i="5"/>
  <c r="AU3313" i="5"/>
  <c r="AU3305" i="5"/>
  <c r="A3305" i="5" s="1"/>
  <c r="AU3325" i="5"/>
  <c r="A3325" i="5" s="1"/>
  <c r="AX3311" i="5"/>
  <c r="AU3332" i="5"/>
  <c r="AV3332" i="5" s="1"/>
  <c r="AW3332" i="5" s="1"/>
  <c r="AY3332" i="5" s="1"/>
  <c r="AX3339" i="5"/>
  <c r="AQ2451" i="5"/>
  <c r="AU3330" i="5"/>
  <c r="A3330" i="5" s="1"/>
  <c r="AI2508" i="5"/>
  <c r="AI2503" i="5"/>
  <c r="AR2406" i="5"/>
  <c r="W5077" i="5"/>
  <c r="F5087" i="5" s="1"/>
  <c r="R5078" i="5"/>
  <c r="AM1711" i="5"/>
  <c r="AS3959" i="5"/>
  <c r="M3161" i="5"/>
  <c r="F3161" i="5" s="1"/>
  <c r="L3161" i="5" s="1"/>
  <c r="M3088" i="5"/>
  <c r="F3088" i="5" s="1"/>
  <c r="L3088" i="5" s="1"/>
  <c r="M681" i="5"/>
  <c r="F681" i="5" s="1"/>
  <c r="AM682" i="5" s="1"/>
  <c r="M3048" i="5"/>
  <c r="F3048" i="5" s="1"/>
  <c r="L3048" i="5" s="1"/>
  <c r="AM1982" i="5"/>
  <c r="M3095" i="5"/>
  <c r="F3095" i="5" s="1"/>
  <c r="L3095" i="5" s="1"/>
  <c r="M3172" i="5"/>
  <c r="F3172" i="5" s="1"/>
  <c r="L3172" i="5" s="1"/>
  <c r="M3124" i="5"/>
  <c r="F3124" i="5" s="1"/>
  <c r="L3124" i="5" s="1"/>
  <c r="D3299" i="5"/>
  <c r="AX3340" i="5"/>
  <c r="D3329" i="5"/>
  <c r="AU3315" i="5"/>
  <c r="D3337" i="5"/>
  <c r="D3342" i="5"/>
  <c r="AX3338" i="5"/>
  <c r="M590" i="5"/>
  <c r="F590" i="5" s="1"/>
  <c r="AM591" i="5" s="1"/>
  <c r="M534" i="5"/>
  <c r="F534" i="5" s="1"/>
  <c r="AM1440" i="5"/>
  <c r="AK2406" i="5"/>
  <c r="M3033" i="5"/>
  <c r="F3033" i="5" s="1"/>
  <c r="L3033" i="5" s="1"/>
  <c r="AS490" i="5"/>
  <c r="AT490" i="5"/>
  <c r="AM1195" i="5"/>
  <c r="AM545" i="5"/>
  <c r="AM1629" i="5"/>
  <c r="M3089" i="5"/>
  <c r="F3089" i="5" s="1"/>
  <c r="L3089" i="5" s="1"/>
  <c r="AM1883" i="5"/>
  <c r="M1795" i="5"/>
  <c r="F1795" i="5" s="1"/>
  <c r="AM1796" i="5" s="1"/>
  <c r="AU3343" i="5"/>
  <c r="A3343" i="5" s="1"/>
  <c r="M3101" i="5"/>
  <c r="F3101" i="5" s="1"/>
  <c r="L3101" i="5" s="1"/>
  <c r="M3098" i="5"/>
  <c r="F3098" i="5" s="1"/>
  <c r="L3098" i="5" s="1"/>
  <c r="AX3321" i="5"/>
  <c r="AX3299" i="5"/>
  <c r="AU3340" i="5"/>
  <c r="A3340" i="5" s="1"/>
  <c r="D3308" i="5"/>
  <c r="D3341" i="5"/>
  <c r="AX3347" i="5"/>
  <c r="AY2503" i="5"/>
  <c r="M730" i="5"/>
  <c r="F730" i="5" s="1"/>
  <c r="AM731" i="5" s="1"/>
  <c r="AS2420" i="5"/>
  <c r="W4747" i="5"/>
  <c r="AM1841" i="5"/>
  <c r="AM1225" i="5"/>
  <c r="AM1586" i="5"/>
  <c r="M3209" i="5"/>
  <c r="F3209" i="5" s="1"/>
  <c r="L3209" i="5" s="1"/>
  <c r="M3041" i="5"/>
  <c r="F3041" i="5" s="1"/>
  <c r="L3041" i="5" s="1"/>
  <c r="AM2065" i="5"/>
  <c r="M2105" i="5"/>
  <c r="F2105" i="5" s="1"/>
  <c r="AM2106" i="5" s="1"/>
  <c r="AM1827" i="5"/>
  <c r="M3149" i="5"/>
  <c r="F3149" i="5" s="1"/>
  <c r="L3149" i="5" s="1"/>
  <c r="M3197" i="5"/>
  <c r="F3197" i="5" s="1"/>
  <c r="L3197" i="5" s="1"/>
  <c r="M3028" i="5"/>
  <c r="F3028" i="5" s="1"/>
  <c r="L3028" i="5" s="1"/>
  <c r="AX3344" i="5"/>
  <c r="AX3303" i="5"/>
  <c r="AM2278" i="5"/>
  <c r="AU3293" i="5"/>
  <c r="A3293" i="5" s="1"/>
  <c r="D3317" i="5"/>
  <c r="D3352" i="5"/>
  <c r="D3338" i="5"/>
  <c r="AU3341" i="5"/>
  <c r="M3008" i="5"/>
  <c r="L3008" i="5" s="1"/>
  <c r="AX3294" i="5"/>
  <c r="AX3351" i="5"/>
  <c r="AR2456" i="5"/>
  <c r="AS2456" i="5" s="1"/>
  <c r="AY2527" i="5"/>
  <c r="M3193" i="5"/>
  <c r="F3193" i="5" s="1"/>
  <c r="L3193" i="5" s="1"/>
  <c r="AK2430" i="5"/>
  <c r="AS1192" i="5"/>
  <c r="AS1256" i="5"/>
  <c r="M3941" i="5"/>
  <c r="F3941" i="5" s="1"/>
  <c r="L3941" i="5" s="1"/>
  <c r="AM1614" i="5"/>
  <c r="AM847" i="5"/>
  <c r="M3065" i="5"/>
  <c r="F3065" i="5" s="1"/>
  <c r="L3065" i="5" s="1"/>
  <c r="M2117" i="5"/>
  <c r="F2117" i="5" s="1"/>
  <c r="AM2117" i="5" s="1"/>
  <c r="AW2483" i="5"/>
  <c r="AX2483" i="5" s="1"/>
  <c r="AI2552" i="5"/>
  <c r="AM2236" i="5"/>
  <c r="F4535" i="5"/>
  <c r="AM2467" i="5"/>
  <c r="AU3316" i="5"/>
  <c r="D3303" i="5"/>
  <c r="AM2334" i="5"/>
  <c r="M3194" i="5"/>
  <c r="F3194" i="5" s="1"/>
  <c r="L3194" i="5" s="1"/>
  <c r="D3293" i="5"/>
  <c r="AX3352" i="5"/>
  <c r="AU3327" i="5"/>
  <c r="D3344" i="5"/>
  <c r="D3330" i="5"/>
  <c r="AU3294" i="5"/>
  <c r="AV3294" i="5" s="1"/>
  <c r="AW3294" i="5" s="1"/>
  <c r="AY3294" i="5" s="1"/>
  <c r="AX3296" i="5"/>
  <c r="D3284" i="5"/>
  <c r="AU2435" i="5"/>
  <c r="AV2435" i="5" s="1"/>
  <c r="AL2426" i="5"/>
  <c r="AJ2332" i="5"/>
  <c r="AL2332" i="5"/>
  <c r="AI2333" i="5"/>
  <c r="AY2332" i="5"/>
  <c r="AK2328" i="5"/>
  <c r="AY2328" i="5"/>
  <c r="AM2328" i="5"/>
  <c r="AL2328" i="5"/>
  <c r="AS2320" i="5"/>
  <c r="AT2320" i="5"/>
  <c r="AK2312" i="5"/>
  <c r="AJ2312" i="5"/>
  <c r="AY2312" i="5"/>
  <c r="AZ2312" i="5"/>
  <c r="AI2312" i="5"/>
  <c r="AI2309" i="5"/>
  <c r="AI2308" i="5"/>
  <c r="AK2308" i="5"/>
  <c r="AT2304" i="5"/>
  <c r="AS2304" i="5"/>
  <c r="AL2292" i="5"/>
  <c r="AI2293" i="5"/>
  <c r="AJ2281" i="5"/>
  <c r="AL2281" i="5"/>
  <c r="AK2281" i="5"/>
  <c r="AW2281" i="5"/>
  <c r="AX2281" i="5" s="1"/>
  <c r="AR2281" i="5"/>
  <c r="AU2281" i="5"/>
  <c r="AV2281" i="5" s="1"/>
  <c r="AZ2276" i="5"/>
  <c r="AI2276" i="5"/>
  <c r="AK2276" i="5"/>
  <c r="AY2276" i="5"/>
  <c r="AL2276" i="5"/>
  <c r="AJ2272" i="5"/>
  <c r="AK2272" i="5"/>
  <c r="AI2273" i="5"/>
  <c r="AI2257" i="5"/>
  <c r="AZ2256" i="5"/>
  <c r="AL2256" i="5"/>
  <c r="AM2256" i="5"/>
  <c r="AZ2252" i="5"/>
  <c r="AU2252" i="5"/>
  <c r="AV2252" i="5" s="1"/>
  <c r="AK2252" i="5"/>
  <c r="AI2252" i="5"/>
  <c r="AI2236" i="5"/>
  <c r="AJ2236" i="5"/>
  <c r="AL2236" i="5"/>
  <c r="AY2236" i="5"/>
  <c r="AK2236" i="5"/>
  <c r="AW2225" i="5"/>
  <c r="AX2225" i="5" s="1"/>
  <c r="AJ2225" i="5"/>
  <c r="AZ2225" i="5"/>
  <c r="AR2225" i="5"/>
  <c r="AS2225" i="5" s="1"/>
  <c r="AI2226" i="5"/>
  <c r="AI2225" i="5"/>
  <c r="AZ2220" i="5"/>
  <c r="AL2220" i="5"/>
  <c r="AK2216" i="5"/>
  <c r="AY2216" i="5"/>
  <c r="AZ2216" i="5"/>
  <c r="AT2212" i="5"/>
  <c r="AS2212" i="5"/>
  <c r="AT2208" i="5"/>
  <c r="AS2208" i="5"/>
  <c r="AJ2200" i="5"/>
  <c r="AK2200" i="5"/>
  <c r="AI2201" i="5"/>
  <c r="AM2200" i="5"/>
  <c r="AI2196" i="5"/>
  <c r="AZ2196" i="5"/>
  <c r="AY2196" i="5"/>
  <c r="AJ2196" i="5"/>
  <c r="AI2197" i="5"/>
  <c r="AK2196" i="5"/>
  <c r="AQ2196" i="5"/>
  <c r="AK2180" i="5"/>
  <c r="AJ2180" i="5"/>
  <c r="AL2180" i="5"/>
  <c r="AY2180" i="5"/>
  <c r="AS2172" i="5"/>
  <c r="AT2172" i="5"/>
  <c r="AJ2168" i="5"/>
  <c r="AK2168" i="5"/>
  <c r="AQ2168" i="5"/>
  <c r="AM2168" i="5"/>
  <c r="AL2121" i="5"/>
  <c r="AZ2121" i="5"/>
  <c r="AJ2121" i="5"/>
  <c r="AY2121" i="5"/>
  <c r="AS2114" i="5"/>
  <c r="AT2114" i="5"/>
  <c r="AS2110" i="5"/>
  <c r="AT2110" i="5"/>
  <c r="AK2102" i="5"/>
  <c r="AZ2102" i="5"/>
  <c r="AI2103" i="5"/>
  <c r="AY2102" i="5"/>
  <c r="AI2099" i="5"/>
  <c r="AZ2098" i="5"/>
  <c r="AJ2098" i="5"/>
  <c r="AL2098" i="5"/>
  <c r="AQ2098" i="5"/>
  <c r="AS2090" i="5"/>
  <c r="AT2090" i="5"/>
  <c r="AY2072" i="5"/>
  <c r="AM2072" i="5"/>
  <c r="AL2072" i="5"/>
  <c r="AJ2072" i="5"/>
  <c r="AZ2072" i="5"/>
  <c r="AL2068" i="5"/>
  <c r="AJ2068" i="5"/>
  <c r="AZ2068" i="5"/>
  <c r="AI2069" i="5"/>
  <c r="AQ2068" i="5"/>
  <c r="AR2068" i="5"/>
  <c r="AS2068" i="5" s="1"/>
  <c r="AJ2052" i="5"/>
  <c r="AZ2052" i="5"/>
  <c r="AL2052" i="5"/>
  <c r="AI2053" i="5"/>
  <c r="AK2052" i="5"/>
  <c r="AY2052" i="5"/>
  <c r="AT2044" i="5"/>
  <c r="AS2044" i="5"/>
  <c r="AI2042" i="5"/>
  <c r="AK2041" i="5"/>
  <c r="AR2041" i="5"/>
  <c r="AL2041" i="5"/>
  <c r="AZ2041" i="5"/>
  <c r="AJ2036" i="5"/>
  <c r="AI2037" i="5"/>
  <c r="AZ2036" i="5"/>
  <c r="AJ2032" i="5"/>
  <c r="AK2032" i="5"/>
  <c r="AI2032" i="5"/>
  <c r="AZ2032" i="5"/>
  <c r="AY2032" i="5"/>
  <c r="AI2033" i="5"/>
  <c r="AL2032" i="5"/>
  <c r="AS2024" i="5"/>
  <c r="AT2024" i="5"/>
  <c r="AK2016" i="5"/>
  <c r="AI2017" i="5"/>
  <c r="AY2016" i="5"/>
  <c r="AI2016" i="5"/>
  <c r="AL2012" i="5"/>
  <c r="AR2012" i="5"/>
  <c r="AT2012" i="5" s="1"/>
  <c r="AK2012" i="5"/>
  <c r="AW2012" i="5"/>
  <c r="AX2012" i="5" s="1"/>
  <c r="AJ2012" i="5"/>
  <c r="AI2012" i="5"/>
  <c r="AS2008" i="5"/>
  <c r="AT2008" i="5"/>
  <c r="AS2004" i="5"/>
  <c r="AT2004" i="5"/>
  <c r="AZ1960" i="5"/>
  <c r="AI1961" i="5"/>
  <c r="AM1960" i="5"/>
  <c r="AJ1960" i="5"/>
  <c r="AK1960" i="5"/>
  <c r="AQ1960" i="5"/>
  <c r="AI1956" i="5"/>
  <c r="AR1956" i="5"/>
  <c r="AS1956" i="5" s="1"/>
  <c r="AY1956" i="5"/>
  <c r="AU1956" i="5"/>
  <c r="AV1956" i="5" s="1"/>
  <c r="AQ1956" i="5"/>
  <c r="AK1956" i="5"/>
  <c r="AS1948" i="5"/>
  <c r="AT1948" i="5"/>
  <c r="AY1940" i="5"/>
  <c r="AI1941" i="5"/>
  <c r="AJ1940" i="5"/>
  <c r="AL1940" i="5"/>
  <c r="AI1940" i="5"/>
  <c r="AQ1940" i="5"/>
  <c r="AS1933" i="5"/>
  <c r="AT1933" i="5"/>
  <c r="AT1932" i="5"/>
  <c r="AS1932" i="5"/>
  <c r="AW1929" i="5"/>
  <c r="AX1929" i="5" s="1"/>
  <c r="AJ1929" i="5"/>
  <c r="AU1929" i="5"/>
  <c r="AV1929" i="5" s="1"/>
  <c r="AR1929" i="5"/>
  <c r="AK1929" i="5"/>
  <c r="AI1930" i="5"/>
  <c r="AL1929" i="5"/>
  <c r="AY1929" i="5"/>
  <c r="AZ1929" i="5"/>
  <c r="AT2284" i="5"/>
  <c r="AY2272" i="5"/>
  <c r="AY2292" i="5"/>
  <c r="AI2313" i="5"/>
  <c r="AZ2272" i="5"/>
  <c r="AR2308" i="5"/>
  <c r="AS2308" i="5" s="1"/>
  <c r="AS2091" i="5"/>
  <c r="AI2122" i="5"/>
  <c r="AI2180" i="5"/>
  <c r="AL2200" i="5"/>
  <c r="AU2225" i="5"/>
  <c r="AV2225" i="5" s="1"/>
  <c r="AI2253" i="5"/>
  <c r="AJ2276" i="5"/>
  <c r="AL2308" i="5"/>
  <c r="AZ2328" i="5"/>
  <c r="AI2217" i="5"/>
  <c r="AK2098" i="5"/>
  <c r="AK2121" i="5"/>
  <c r="AS2188" i="5"/>
  <c r="AI2200" i="5"/>
  <c r="AY2225" i="5"/>
  <c r="AY2256" i="5"/>
  <c r="AY2281" i="5"/>
  <c r="AZ2308" i="5"/>
  <c r="AI2329" i="5"/>
  <c r="AM1139" i="5"/>
  <c r="AM1111" i="5"/>
  <c r="AI2237" i="5"/>
  <c r="AQ2292" i="5"/>
  <c r="AQ2328" i="5"/>
  <c r="AI2121" i="5"/>
  <c r="AR2196" i="5"/>
  <c r="AM2216" i="5"/>
  <c r="AK2225" i="5"/>
  <c r="AJ2256" i="5"/>
  <c r="AI2282" i="5"/>
  <c r="AU2308" i="5"/>
  <c r="AV2308" i="5" s="1"/>
  <c r="AJ2328" i="5"/>
  <c r="AS2228" i="5"/>
  <c r="AM2332" i="5"/>
  <c r="AJ2216" i="5"/>
  <c r="AL2225" i="5"/>
  <c r="AK2256" i="5"/>
  <c r="AZ2281" i="5"/>
  <c r="AJ2308" i="5"/>
  <c r="AK2332" i="5"/>
  <c r="G210" i="5"/>
  <c r="H210" i="5" s="1"/>
  <c r="T206" i="5"/>
  <c r="F210" i="5" s="1"/>
  <c r="T220" i="5"/>
  <c r="AM436" i="5"/>
  <c r="AM402" i="5"/>
  <c r="AM323" i="5"/>
  <c r="AM288" i="5"/>
  <c r="AM816" i="5"/>
  <c r="AM802" i="5"/>
  <c r="AM662" i="5"/>
  <c r="AM620" i="5"/>
  <c r="F4785" i="5"/>
  <c r="M3838" i="5"/>
  <c r="L3838" i="5" s="1"/>
  <c r="AM829" i="5"/>
  <c r="F4538" i="5"/>
  <c r="AM1069" i="5"/>
  <c r="AM1027" i="5"/>
  <c r="M3134" i="5"/>
  <c r="F3134" i="5" s="1"/>
  <c r="L3134" i="5" s="1"/>
  <c r="AM1041" i="5"/>
  <c r="AM957" i="5"/>
  <c r="AM999" i="5"/>
  <c r="AT546" i="5"/>
  <c r="AS2259" i="5"/>
  <c r="AT2449" i="5"/>
  <c r="A5189" i="5"/>
  <c r="C5189" i="5" s="1"/>
  <c r="C5188" i="5"/>
  <c r="A3637" i="5"/>
  <c r="D3637" i="5"/>
  <c r="A3971" i="5"/>
  <c r="A3866" i="5"/>
  <c r="AQ3866" i="5"/>
  <c r="AO3866" i="5"/>
  <c r="AP3866" i="5" s="1"/>
  <c r="AR3866" i="5" s="1"/>
  <c r="A4839" i="5"/>
  <c r="C4839" i="5" s="1"/>
  <c r="C4838" i="5"/>
  <c r="AT1490" i="5"/>
  <c r="AS1490" i="5"/>
  <c r="AO3952" i="5"/>
  <c r="AP3952" i="5" s="1"/>
  <c r="AR3952" i="5" s="1"/>
  <c r="A3952" i="5"/>
  <c r="AV3382" i="5"/>
  <c r="AW3382" i="5" s="1"/>
  <c r="AY3382" i="5" s="1"/>
  <c r="A3382" i="5"/>
  <c r="AT2511" i="5"/>
  <c r="S221" i="5"/>
  <c r="F224" i="5" s="1"/>
  <c r="G224" i="5"/>
  <c r="H224" i="5" s="1"/>
  <c r="AT927" i="5"/>
  <c r="AS927" i="5"/>
  <c r="AS1385" i="5"/>
  <c r="AM1911" i="5"/>
  <c r="M632" i="5"/>
  <c r="F632" i="5" s="1"/>
  <c r="A4965" i="5"/>
  <c r="C4965" i="5" s="1"/>
  <c r="M569" i="5"/>
  <c r="F569" i="5" s="1"/>
  <c r="M695" i="5"/>
  <c r="F695" i="5" s="1"/>
  <c r="AM696" i="5" s="1"/>
  <c r="M737" i="5"/>
  <c r="F737" i="5" s="1"/>
  <c r="M555" i="5"/>
  <c r="F555" i="5" s="1"/>
  <c r="AM556" i="5" s="1"/>
  <c r="M1844" i="5"/>
  <c r="F1844" i="5" s="1"/>
  <c r="AM1844" i="5" s="1"/>
  <c r="M1837" i="5"/>
  <c r="F1837" i="5" s="1"/>
  <c r="AM1837" i="5" s="1"/>
  <c r="M2122" i="5"/>
  <c r="F2122" i="5" s="1"/>
  <c r="AM2122" i="5" s="1"/>
  <c r="M1816" i="5"/>
  <c r="F1816" i="5" s="1"/>
  <c r="M2111" i="5"/>
  <c r="F2111" i="5" s="1"/>
  <c r="AM2111" i="5" s="1"/>
  <c r="N3864" i="5"/>
  <c r="N3873" i="5" s="1"/>
  <c r="M3873" i="5" s="1"/>
  <c r="F3873" i="5" s="1"/>
  <c r="L3873" i="5" s="1"/>
  <c r="AM1920" i="5"/>
  <c r="M583" i="5"/>
  <c r="F583" i="5" s="1"/>
  <c r="AM584" i="5" s="1"/>
  <c r="M562" i="5"/>
  <c r="F562" i="5" s="1"/>
  <c r="M499" i="5"/>
  <c r="F499" i="5" s="1"/>
  <c r="M485" i="5"/>
  <c r="F485" i="5" s="1"/>
  <c r="M723" i="5"/>
  <c r="F723" i="5" s="1"/>
  <c r="AM724" i="5" s="1"/>
  <c r="M1781" i="5"/>
  <c r="F1781" i="5" s="1"/>
  <c r="M2068" i="5"/>
  <c r="F2068" i="5" s="1"/>
  <c r="AM2068" i="5" s="1"/>
  <c r="M1788" i="5"/>
  <c r="F1788" i="5" s="1"/>
  <c r="M1858" i="5"/>
  <c r="F1858" i="5" s="1"/>
  <c r="AM1858" i="5" s="1"/>
  <c r="M2093" i="5"/>
  <c r="F2093" i="5" s="1"/>
  <c r="AM2093" i="5" s="1"/>
  <c r="M1942" i="5"/>
  <c r="F1942" i="5" s="1"/>
  <c r="N3632" i="5"/>
  <c r="N3633" i="5" s="1"/>
  <c r="M3633" i="5" s="1"/>
  <c r="F3633" i="5" s="1"/>
  <c r="L3633" i="5" s="1"/>
  <c r="M3025" i="5"/>
  <c r="F3025" i="5" s="1"/>
  <c r="L3025" i="5" s="1"/>
  <c r="F4686" i="5"/>
  <c r="AI2534" i="5"/>
  <c r="AM1259" i="5"/>
  <c r="M3007" i="5"/>
  <c r="L3007" i="5" s="1"/>
  <c r="C4911" i="5"/>
  <c r="AT2324" i="5"/>
  <c r="AT2495" i="5"/>
  <c r="AK2456" i="5"/>
  <c r="M492" i="5"/>
  <c r="F492" i="5" s="1"/>
  <c r="AM493" i="5" s="1"/>
  <c r="M832" i="5"/>
  <c r="F832" i="5" s="1"/>
  <c r="AM833" i="5" s="1"/>
  <c r="M814" i="5"/>
  <c r="F814" i="5" s="1"/>
  <c r="M751" i="5"/>
  <c r="F751" i="5" s="1"/>
  <c r="AZ2507" i="5"/>
  <c r="M1935" i="5"/>
  <c r="F1935" i="5" s="1"/>
  <c r="M2099" i="5"/>
  <c r="F2099" i="5" s="1"/>
  <c r="M1893" i="5"/>
  <c r="F1893" i="5" s="1"/>
  <c r="AM1893" i="5" s="1"/>
  <c r="M2054" i="5"/>
  <c r="F2054" i="5" s="1"/>
  <c r="AJ2531" i="5"/>
  <c r="M779" i="5"/>
  <c r="F779" i="5" s="1"/>
  <c r="AM780" i="5" s="1"/>
  <c r="AY2451" i="5"/>
  <c r="AK2533" i="5"/>
  <c r="M744" i="5"/>
  <c r="F744" i="5" s="1"/>
  <c r="AM745" i="5" s="1"/>
  <c r="F4920" i="5"/>
  <c r="M2877" i="5"/>
  <c r="L2877" i="5" s="1"/>
  <c r="AM1142" i="5"/>
  <c r="AM1133" i="5"/>
  <c r="AM1077" i="5"/>
  <c r="F4815" i="5"/>
  <c r="M618" i="5"/>
  <c r="F618" i="5" s="1"/>
  <c r="AM619" i="5" s="1"/>
  <c r="AY2456" i="5"/>
  <c r="AZ478" i="5"/>
  <c r="M604" i="5"/>
  <c r="F604" i="5" s="1"/>
  <c r="AM605" i="5" s="1"/>
  <c r="M611" i="5"/>
  <c r="F611" i="5" s="1"/>
  <c r="AM612" i="5" s="1"/>
  <c r="M527" i="5"/>
  <c r="F527" i="5" s="1"/>
  <c r="AK2507" i="5"/>
  <c r="M1872" i="5"/>
  <c r="F1872" i="5" s="1"/>
  <c r="M2005" i="5"/>
  <c r="F2005" i="5" s="1"/>
  <c r="AM2005" i="5" s="1"/>
  <c r="M1970" i="5"/>
  <c r="F1970" i="5" s="1"/>
  <c r="M1760" i="5"/>
  <c r="F1760" i="5" s="1"/>
  <c r="AM1760" i="5" s="1"/>
  <c r="AI2531" i="5"/>
  <c r="M2081" i="5"/>
  <c r="F2081" i="5" s="1"/>
  <c r="AM2081" i="5" s="1"/>
  <c r="AK2527" i="5"/>
  <c r="AZ2533" i="5"/>
  <c r="AM985" i="5"/>
  <c r="AM1013" i="5"/>
  <c r="M1830" i="5"/>
  <c r="F1830" i="5" s="1"/>
  <c r="M548" i="5"/>
  <c r="F548" i="5" s="1"/>
  <c r="AM549" i="5" s="1"/>
  <c r="M793" i="5"/>
  <c r="F793" i="5" s="1"/>
  <c r="AM794" i="5" s="1"/>
  <c r="M660" i="5"/>
  <c r="F660" i="5" s="1"/>
  <c r="AM661" i="5" s="1"/>
  <c r="M709" i="5"/>
  <c r="F709" i="5" s="1"/>
  <c r="AM710" i="5" s="1"/>
  <c r="M506" i="5"/>
  <c r="F506" i="5" s="1"/>
  <c r="AM507" i="5" s="1"/>
  <c r="AY2507" i="5"/>
  <c r="M1963" i="5"/>
  <c r="F1963" i="5" s="1"/>
  <c r="AM1963" i="5" s="1"/>
  <c r="M1921" i="5"/>
  <c r="F1921" i="5" s="1"/>
  <c r="AM1922" i="5" s="1"/>
  <c r="M1753" i="5"/>
  <c r="F1753" i="5" s="1"/>
  <c r="AM1753" i="5" s="1"/>
  <c r="M1879" i="5"/>
  <c r="F1879" i="5" s="1"/>
  <c r="AM1879" i="5" s="1"/>
  <c r="M597" i="5"/>
  <c r="F597" i="5" s="1"/>
  <c r="AM598" i="5" s="1"/>
  <c r="AY2531" i="5"/>
  <c r="AZ2527" i="5"/>
  <c r="AL2533" i="5"/>
  <c r="AM644" i="5"/>
  <c r="AM2476" i="5"/>
  <c r="M3232" i="5"/>
  <c r="F3232" i="5" s="1"/>
  <c r="L3232" i="5" s="1"/>
  <c r="F4777" i="5"/>
  <c r="M3110" i="5"/>
  <c r="F3110" i="5" s="1"/>
  <c r="L3110" i="5" s="1"/>
  <c r="M639" i="5"/>
  <c r="F639" i="5" s="1"/>
  <c r="AM640" i="5" s="1"/>
  <c r="M856" i="5"/>
  <c r="F856" i="5" s="1"/>
  <c r="M826" i="5"/>
  <c r="F826" i="5" s="1"/>
  <c r="AM827" i="5" s="1"/>
  <c r="M653" i="5"/>
  <c r="F653" i="5" s="1"/>
  <c r="AM654" i="5" s="1"/>
  <c r="M1774" i="5"/>
  <c r="F1774" i="5" s="1"/>
  <c r="AM1774" i="5" s="1"/>
  <c r="AS2543" i="5"/>
  <c r="M2033" i="5"/>
  <c r="F2033" i="5" s="1"/>
  <c r="M1823" i="5"/>
  <c r="F1823" i="5" s="1"/>
  <c r="AM1823" i="5" s="1"/>
  <c r="M1984" i="5"/>
  <c r="F1984" i="5" s="1"/>
  <c r="AM1984" i="5" s="1"/>
  <c r="M1865" i="5"/>
  <c r="F1865" i="5" s="1"/>
  <c r="AM1865" i="5" s="1"/>
  <c r="M674" i="5"/>
  <c r="F674" i="5" s="1"/>
  <c r="AK2531" i="5"/>
  <c r="AY2533" i="5"/>
  <c r="AT2027" i="5"/>
  <c r="AZ3361" i="5"/>
  <c r="G4948" i="5"/>
  <c r="H4948" i="5" s="1"/>
  <c r="AM1477" i="5"/>
  <c r="AT1399" i="5"/>
  <c r="A3401" i="5"/>
  <c r="M3090" i="5"/>
  <c r="F3090" i="5" s="1"/>
  <c r="L3090" i="5" s="1"/>
  <c r="W5003" i="5"/>
  <c r="F5013" i="5" s="1"/>
  <c r="AS2323" i="5"/>
  <c r="F4759" i="5"/>
  <c r="M3091" i="5"/>
  <c r="F3091" i="5" s="1"/>
  <c r="L3091" i="5" s="1"/>
  <c r="A4908" i="5"/>
  <c r="C4908" i="5" s="1"/>
  <c r="AS1662" i="5"/>
  <c r="O4073" i="5"/>
  <c r="O4074" i="5" s="1"/>
  <c r="F4073" i="5" s="1"/>
  <c r="F4537" i="5"/>
  <c r="AT2463" i="5"/>
  <c r="AV3369" i="5"/>
  <c r="AW3369" i="5" s="1"/>
  <c r="AY3369" i="5" s="1"/>
  <c r="A3389" i="5"/>
  <c r="W5002" i="5"/>
  <c r="F5010" i="5" s="1"/>
  <c r="F4780" i="5"/>
  <c r="AS1039" i="5"/>
  <c r="F5149" i="5"/>
  <c r="R3528" i="5"/>
  <c r="R3529" i="5" s="1"/>
  <c r="G3540" i="5" s="1"/>
  <c r="H3540" i="5" s="1"/>
  <c r="N3861" i="5"/>
  <c r="M3861" i="5" s="1"/>
  <c r="F3861" i="5" s="1"/>
  <c r="L3861" i="5" s="1"/>
  <c r="AS1018" i="5"/>
  <c r="AO3636" i="5"/>
  <c r="AP3636" i="5" s="1"/>
  <c r="AR3636" i="5" s="1"/>
  <c r="M3067" i="5"/>
  <c r="F3067" i="5" s="1"/>
  <c r="L3067" i="5" s="1"/>
  <c r="AT343" i="5"/>
  <c r="C5149" i="5"/>
  <c r="R5004" i="5"/>
  <c r="W5004" i="5" s="1"/>
  <c r="F5016" i="5" s="1"/>
  <c r="M3117" i="5"/>
  <c r="F3117" i="5" s="1"/>
  <c r="L3117" i="5" s="1"/>
  <c r="M3044" i="5"/>
  <c r="F3044" i="5" s="1"/>
  <c r="L3044" i="5" s="1"/>
  <c r="M3068" i="5"/>
  <c r="F3068" i="5" s="1"/>
  <c r="L3068" i="5" s="1"/>
  <c r="AT1080" i="5"/>
  <c r="G4069" i="5"/>
  <c r="H4069" i="5" s="1"/>
  <c r="A3488" i="5"/>
  <c r="A3407" i="5"/>
  <c r="AT1567" i="5"/>
  <c r="A4774" i="5"/>
  <c r="C4774" i="5" s="1"/>
  <c r="M3860" i="5"/>
  <c r="F3860" i="5" s="1"/>
  <c r="L3860" i="5" s="1"/>
  <c r="AS1157" i="5"/>
  <c r="AM2493" i="5"/>
  <c r="F5004" i="5"/>
  <c r="G4944" i="5"/>
  <c r="H4944" i="5" s="1"/>
  <c r="M3069" i="5"/>
  <c r="F3069" i="5" s="1"/>
  <c r="L3069" i="5" s="1"/>
  <c r="AT1638" i="5"/>
  <c r="G5081" i="5"/>
  <c r="AT512" i="5"/>
  <c r="C5190" i="5"/>
  <c r="M3093" i="5"/>
  <c r="F3093" i="5" s="1"/>
  <c r="L3093" i="5" s="1"/>
  <c r="AT1344" i="5"/>
  <c r="M3045" i="5"/>
  <c r="F3045" i="5" s="1"/>
  <c r="L3045" i="5" s="1"/>
  <c r="F5081" i="5"/>
  <c r="AS1455" i="5"/>
  <c r="AO3640" i="5"/>
  <c r="AP3640" i="5" s="1"/>
  <c r="AR3640" i="5" s="1"/>
  <c r="AT1560" i="5"/>
  <c r="M3114" i="5"/>
  <c r="F3114" i="5" s="1"/>
  <c r="L3114" i="5" s="1"/>
  <c r="M3115" i="5"/>
  <c r="F3115" i="5" s="1"/>
  <c r="L3115" i="5" s="1"/>
  <c r="M3092" i="5"/>
  <c r="F3092" i="5" s="1"/>
  <c r="L3092" i="5" s="1"/>
  <c r="AT1427" i="5"/>
  <c r="P4655" i="5"/>
  <c r="P4656" i="5" s="1"/>
  <c r="Q4656" i="5" s="1"/>
  <c r="F4656" i="5" s="1"/>
  <c r="F4903" i="5"/>
  <c r="AS1505" i="5"/>
  <c r="AM1961" i="5"/>
  <c r="AM1962" i="5"/>
  <c r="AT1775" i="5"/>
  <c r="AM2119" i="5"/>
  <c r="A3385" i="5"/>
  <c r="M3184" i="5"/>
  <c r="F3184" i="5" s="1"/>
  <c r="L3184" i="5" s="1"/>
  <c r="AS2309" i="5"/>
  <c r="AS1900" i="5"/>
  <c r="M3207" i="5"/>
  <c r="F3207" i="5" s="1"/>
  <c r="L3207" i="5" s="1"/>
  <c r="AT1617" i="5"/>
  <c r="AY2504" i="5"/>
  <c r="AM1770" i="5"/>
  <c r="AT553" i="5"/>
  <c r="M3135" i="5"/>
  <c r="F3135" i="5" s="1"/>
  <c r="L3135" i="5" s="1"/>
  <c r="M3185" i="5"/>
  <c r="F3185" i="5" s="1"/>
  <c r="L3185" i="5" s="1"/>
  <c r="AT1017" i="5"/>
  <c r="AM551" i="5"/>
  <c r="C4814" i="5"/>
  <c r="AS997" i="5"/>
  <c r="AS1469" i="5"/>
  <c r="P4603" i="5"/>
  <c r="Q4603" i="5" s="1"/>
  <c r="F4603" i="5" s="1"/>
  <c r="R220" i="5"/>
  <c r="G223" i="5" s="1"/>
  <c r="H223" i="5" s="1"/>
  <c r="AS483" i="5"/>
  <c r="M2827" i="5"/>
  <c r="L2827" i="5" s="1"/>
  <c r="G208" i="5"/>
  <c r="H208" i="5" s="1"/>
  <c r="AS1136" i="5"/>
  <c r="AM2529" i="5"/>
  <c r="AS539" i="5"/>
  <c r="AS2295" i="5"/>
  <c r="AA3021" i="5"/>
  <c r="M3188" i="5" s="1"/>
  <c r="F3188" i="5" s="1"/>
  <c r="L3188" i="5" s="1"/>
  <c r="AM2430" i="5"/>
  <c r="M3160" i="5"/>
  <c r="F3160" i="5" s="1"/>
  <c r="L3160" i="5" s="1"/>
  <c r="AM1476" i="5"/>
  <c r="AU2504" i="5"/>
  <c r="AV2504" i="5" s="1"/>
  <c r="AQ957" i="5"/>
  <c r="AQ956" i="5"/>
  <c r="AQ953" i="5"/>
  <c r="AQ952" i="5"/>
  <c r="AQ947" i="5"/>
  <c r="AQ937" i="5"/>
  <c r="AQ936" i="5"/>
  <c r="AQ935" i="5"/>
  <c r="AQ933" i="5"/>
  <c r="AQ932" i="5"/>
  <c r="AQ931" i="5"/>
  <c r="AI927" i="5"/>
  <c r="AQ921" i="5"/>
  <c r="AQ920" i="5"/>
  <c r="AQ916" i="5"/>
  <c r="AQ911" i="5"/>
  <c r="AQ906" i="5"/>
  <c r="AQ901" i="5"/>
  <c r="AQ900" i="5"/>
  <c r="AQ897" i="5"/>
  <c r="AQ895" i="5"/>
  <c r="AQ891" i="5"/>
  <c r="AQ885" i="5"/>
  <c r="AQ844" i="5"/>
  <c r="AQ840" i="5"/>
  <c r="AQ839" i="5"/>
  <c r="AQ836" i="5"/>
  <c r="AQ835" i="5"/>
  <c r="AQ825" i="5"/>
  <c r="AQ819" i="5"/>
  <c r="AQ816" i="5"/>
  <c r="AQ815" i="5"/>
  <c r="AQ814" i="5"/>
  <c r="AQ812" i="5"/>
  <c r="AQ811" i="5"/>
  <c r="AQ810" i="5"/>
  <c r="AQ805" i="5"/>
  <c r="AQ799" i="5"/>
  <c r="AQ795" i="5"/>
  <c r="AQ794" i="5"/>
  <c r="AQ793" i="5"/>
  <c r="AQ790" i="5"/>
  <c r="AQ789" i="5"/>
  <c r="AQ779" i="5"/>
  <c r="AQ775" i="5"/>
  <c r="AQ774" i="5"/>
  <c r="AQ773" i="5"/>
  <c r="AQ770" i="5"/>
  <c r="AQ764" i="5"/>
  <c r="AQ759" i="5"/>
  <c r="AQ755" i="5"/>
  <c r="AQ754" i="5"/>
  <c r="AQ723" i="5"/>
  <c r="AQ719" i="5"/>
  <c r="AQ717" i="5"/>
  <c r="AQ714" i="5"/>
  <c r="AQ713" i="5"/>
  <c r="AQ702" i="5"/>
  <c r="AQ701" i="5"/>
  <c r="AQ698" i="5"/>
  <c r="AQ697" i="5"/>
  <c r="AQ696" i="5"/>
  <c r="AQ681" i="5"/>
  <c r="AQ645" i="5"/>
  <c r="AQ589" i="5"/>
  <c r="AQ580" i="5"/>
  <c r="AQ569" i="5"/>
  <c r="AQ525" i="5"/>
  <c r="AQ448" i="5"/>
  <c r="AQ435" i="5"/>
  <c r="AQ381" i="5"/>
  <c r="AQ379" i="5"/>
  <c r="AQ368" i="5"/>
  <c r="AQ359" i="5"/>
  <c r="AQ355" i="5"/>
  <c r="AQ339" i="5"/>
  <c r="AQ331" i="5"/>
  <c r="AQ320" i="5"/>
  <c r="AQ315" i="5"/>
  <c r="AQ307" i="5"/>
  <c r="AQ296" i="5"/>
  <c r="AQ291" i="5"/>
  <c r="F4768" i="5"/>
  <c r="AX3387" i="5"/>
  <c r="D3441" i="5"/>
  <c r="AX3444" i="5"/>
  <c r="AX3499" i="5"/>
  <c r="AN3654" i="5"/>
  <c r="AN3879" i="5"/>
  <c r="AN3969" i="5"/>
  <c r="AQ1269" i="5"/>
  <c r="G1706" i="5"/>
  <c r="H1706" i="5" s="1"/>
  <c r="AM1706" i="5"/>
  <c r="AM1710" i="5"/>
  <c r="AS763" i="5"/>
  <c r="AT763" i="5"/>
  <c r="AM1604" i="5"/>
  <c r="AS849" i="5"/>
  <c r="AT849" i="5"/>
  <c r="A3647" i="5"/>
  <c r="AO3647" i="5"/>
  <c r="AP3647" i="5" s="1"/>
  <c r="AR3647" i="5" s="1"/>
  <c r="D3647" i="5"/>
  <c r="AQ3647" i="5"/>
  <c r="A3449" i="5"/>
  <c r="N5281" i="5"/>
  <c r="A5292" i="5"/>
  <c r="A5293" i="5" s="1"/>
  <c r="C5293" i="5" s="1"/>
  <c r="A3406" i="5"/>
  <c r="AV3406" i="5"/>
  <c r="AW3406" i="5" s="1"/>
  <c r="AY3406" i="5" s="1"/>
  <c r="AT380" i="5"/>
  <c r="AS380" i="5"/>
  <c r="AT1053" i="5"/>
  <c r="AS1053" i="5"/>
  <c r="C4785" i="5"/>
  <c r="A4786" i="5"/>
  <c r="AT447" i="5"/>
  <c r="AS447" i="5"/>
  <c r="AS438" i="5"/>
  <c r="AT438" i="5"/>
  <c r="AS2522" i="5"/>
  <c r="AT2522" i="5"/>
  <c r="M2911" i="5"/>
  <c r="L2911" i="5" s="1"/>
  <c r="M2913" i="5"/>
  <c r="L2913" i="5" s="1"/>
  <c r="M2937" i="5"/>
  <c r="L2937" i="5" s="1"/>
  <c r="M2912" i="5"/>
  <c r="L2912" i="5" s="1"/>
  <c r="M2935" i="5"/>
  <c r="L2935" i="5" s="1"/>
  <c r="M2938" i="5"/>
  <c r="L2938" i="5" s="1"/>
  <c r="M2984" i="5"/>
  <c r="L2984" i="5" s="1"/>
  <c r="D5005" i="5"/>
  <c r="G5005" i="5" s="1"/>
  <c r="H5005" i="5" s="1"/>
  <c r="F5002" i="5"/>
  <c r="G5002" i="5"/>
  <c r="H5002" i="5" s="1"/>
  <c r="AM2331" i="5"/>
  <c r="AT1158" i="5"/>
  <c r="G4309" i="5"/>
  <c r="H4309" i="5" s="1"/>
  <c r="A3451" i="5"/>
  <c r="I5281" i="5"/>
  <c r="AO3629" i="5"/>
  <c r="AP3629" i="5" s="1"/>
  <c r="AR3629" i="5" s="1"/>
  <c r="AS792" i="5"/>
  <c r="A3467" i="5"/>
  <c r="Q4296" i="5"/>
  <c r="G4300" i="5" s="1"/>
  <c r="H4300" i="5" s="1"/>
  <c r="AS421" i="5"/>
  <c r="AT421" i="5"/>
  <c r="AM497" i="5"/>
  <c r="AM1151" i="5"/>
  <c r="AS1887" i="5"/>
  <c r="AT1251" i="5"/>
  <c r="AV3383" i="5"/>
  <c r="AW3383" i="5" s="1"/>
  <c r="AY3383" i="5" s="1"/>
  <c r="M2936" i="5"/>
  <c r="L2936" i="5" s="1"/>
  <c r="A3503" i="5"/>
  <c r="AT319" i="5"/>
  <c r="AS319" i="5"/>
  <c r="AT1245" i="5"/>
  <c r="AS1245" i="5"/>
  <c r="Q4307" i="5"/>
  <c r="Q4308" i="5" s="1"/>
  <c r="Q4309" i="5" s="1"/>
  <c r="U4309" i="5" s="1"/>
  <c r="F4315" i="5" s="1"/>
  <c r="AT2082" i="5"/>
  <c r="AM2416" i="5"/>
  <c r="F4570" i="5"/>
  <c r="AS941" i="5"/>
  <c r="AS2112" i="5"/>
  <c r="AM1802" i="5"/>
  <c r="U5151" i="5"/>
  <c r="A3384" i="5"/>
  <c r="AS680" i="5"/>
  <c r="F4756" i="5"/>
  <c r="W4744" i="5"/>
  <c r="AT673" i="5"/>
  <c r="AS673" i="5"/>
  <c r="A3495" i="5"/>
  <c r="A3477" i="5"/>
  <c r="A3375" i="5"/>
  <c r="AV3375" i="5"/>
  <c r="AW3375" i="5" s="1"/>
  <c r="AY3375" i="5" s="1"/>
  <c r="AT1407" i="5"/>
  <c r="AS1407" i="5"/>
  <c r="AM1986" i="5"/>
  <c r="F5001" i="5"/>
  <c r="G5001" i="5"/>
  <c r="H5001" i="5" s="1"/>
  <c r="AM1097" i="5"/>
  <c r="AT947" i="5"/>
  <c r="AS947" i="5"/>
  <c r="AI1694" i="5"/>
  <c r="AM1584" i="5"/>
  <c r="M4027" i="5"/>
  <c r="F4027" i="5" s="1"/>
  <c r="L4027" i="5" s="1"/>
  <c r="M4375" i="5"/>
  <c r="L4375" i="5" s="1"/>
  <c r="M3928" i="5"/>
  <c r="L3928" i="5" s="1"/>
  <c r="M2948" i="5"/>
  <c r="L2948" i="5" s="1"/>
  <c r="M2924" i="5"/>
  <c r="L2924" i="5" s="1"/>
  <c r="M2900" i="5"/>
  <c r="L2900" i="5" s="1"/>
  <c r="M3004" i="5"/>
  <c r="L3004" i="5" s="1"/>
  <c r="M3223" i="5"/>
  <c r="F3223" i="5" s="1"/>
  <c r="L3223" i="5" s="1"/>
  <c r="M3199" i="5"/>
  <c r="F3199" i="5" s="1"/>
  <c r="L3199" i="5" s="1"/>
  <c r="M3175" i="5"/>
  <c r="F3175" i="5" s="1"/>
  <c r="L3175" i="5" s="1"/>
  <c r="M3127" i="5"/>
  <c r="F3127" i="5" s="1"/>
  <c r="L3127" i="5" s="1"/>
  <c r="M3103" i="5"/>
  <c r="F3103" i="5" s="1"/>
  <c r="L3103" i="5" s="1"/>
  <c r="M3046" i="5"/>
  <c r="F3046" i="5" s="1"/>
  <c r="L3046" i="5" s="1"/>
  <c r="M3030" i="5"/>
  <c r="F3030" i="5" s="1"/>
  <c r="L3030" i="5" s="1"/>
  <c r="AM420" i="5"/>
  <c r="AM389" i="5"/>
  <c r="AM372" i="5"/>
  <c r="AM306" i="5"/>
  <c r="AM789" i="5"/>
  <c r="AM775" i="5"/>
  <c r="AM747" i="5"/>
  <c r="AM719" i="5"/>
  <c r="AM691" i="5"/>
  <c r="AM677" i="5"/>
  <c r="AM607" i="5"/>
  <c r="AS1357" i="5"/>
  <c r="AM2014" i="5"/>
  <c r="AT2094" i="5"/>
  <c r="C4773" i="5"/>
  <c r="AS3636" i="5"/>
  <c r="G4891" i="5"/>
  <c r="H4891" i="5" s="1"/>
  <c r="AS630" i="5"/>
  <c r="AQ1309" i="5"/>
  <c r="A3960" i="5"/>
  <c r="A3427" i="5"/>
  <c r="AM1222" i="5"/>
  <c r="AS582" i="5"/>
  <c r="AT1746" i="5"/>
  <c r="AM2090" i="5"/>
  <c r="A3361" i="5"/>
  <c r="AS819" i="5"/>
  <c r="AM307" i="5"/>
  <c r="AM1805" i="5"/>
  <c r="H3772" i="5"/>
  <c r="AK2231" i="5"/>
  <c r="AQ2478" i="5"/>
  <c r="AM1655" i="5"/>
  <c r="AM1467" i="5"/>
  <c r="AQ1548" i="5"/>
  <c r="G4007" i="5"/>
  <c r="H4007" i="5" s="1"/>
  <c r="G4006" i="5"/>
  <c r="H4006" i="5" s="1"/>
  <c r="AT1970" i="5"/>
  <c r="AS1970" i="5"/>
  <c r="AS1178" i="5"/>
  <c r="AT1178" i="5"/>
  <c r="AM578" i="5"/>
  <c r="AM579" i="5"/>
  <c r="M3315" i="5"/>
  <c r="F3315" i="5" s="1"/>
  <c r="L3315" i="5" s="1"/>
  <c r="N3394" i="5"/>
  <c r="M4167" i="5"/>
  <c r="F4167" i="5" s="1"/>
  <c r="L4167" i="5" s="1"/>
  <c r="M4168" i="5"/>
  <c r="F4168" i="5" s="1"/>
  <c r="L4168" i="5" s="1"/>
  <c r="M3942" i="5"/>
  <c r="F3942" i="5" s="1"/>
  <c r="L3942" i="5" s="1"/>
  <c r="M3938" i="5"/>
  <c r="F3938" i="5" s="1"/>
  <c r="L3938" i="5" s="1"/>
  <c r="M3183" i="5"/>
  <c r="F3183" i="5" s="1"/>
  <c r="L3183" i="5" s="1"/>
  <c r="C4904" i="5"/>
  <c r="M3159" i="5"/>
  <c r="F3159" i="5" s="1"/>
  <c r="L3159" i="5" s="1"/>
  <c r="M3182" i="5"/>
  <c r="F3182" i="5" s="1"/>
  <c r="L3182" i="5" s="1"/>
  <c r="M3137" i="5"/>
  <c r="F3137" i="5" s="1"/>
  <c r="L3137" i="5" s="1"/>
  <c r="M3158" i="5"/>
  <c r="F3158" i="5" s="1"/>
  <c r="L3158" i="5" s="1"/>
  <c r="AM2070" i="5"/>
  <c r="AV3365" i="5"/>
  <c r="AW3365" i="5" s="1"/>
  <c r="AY3365" i="5" s="1"/>
  <c r="AS1830" i="5"/>
  <c r="G5087" i="5"/>
  <c r="I5087" i="5" s="1"/>
  <c r="G5010" i="5"/>
  <c r="H5010" i="5" s="1"/>
  <c r="AT1651" i="5"/>
  <c r="A4807" i="5"/>
  <c r="C4806" i="5"/>
  <c r="I5239" i="5"/>
  <c r="C5239" i="5"/>
  <c r="AS1553" i="5"/>
  <c r="AT1553" i="5"/>
  <c r="AT958" i="5"/>
  <c r="AS958" i="5"/>
  <c r="AJ955" i="5"/>
  <c r="AZ955" i="5"/>
  <c r="AL955" i="5"/>
  <c r="AI956" i="5"/>
  <c r="AY950" i="5"/>
  <c r="AI950" i="5"/>
  <c r="AQ950" i="5"/>
  <c r="AY946" i="5"/>
  <c r="AK946" i="5"/>
  <c r="AZ946" i="5"/>
  <c r="AS938" i="5"/>
  <c r="AT938" i="5"/>
  <c r="AL859" i="5"/>
  <c r="AI859" i="5"/>
  <c r="AY859" i="5"/>
  <c r="AZ859" i="5"/>
  <c r="AJ859" i="5"/>
  <c r="AR859" i="5"/>
  <c r="AU854" i="5"/>
  <c r="AV854" i="5" s="1"/>
  <c r="AW854" i="5"/>
  <c r="AX854" i="5" s="1"/>
  <c r="AI854" i="5"/>
  <c r="AJ854" i="5"/>
  <c r="AK854" i="5"/>
  <c r="AY854" i="5"/>
  <c r="AR854" i="5"/>
  <c r="AQ854" i="5"/>
  <c r="AS850" i="5"/>
  <c r="AT850" i="5"/>
  <c r="AK843" i="5"/>
  <c r="AL843" i="5"/>
  <c r="AU843" i="5"/>
  <c r="AV843" i="5" s="1"/>
  <c r="AZ834" i="5"/>
  <c r="AI834" i="5"/>
  <c r="AJ834" i="5"/>
  <c r="AI835" i="5"/>
  <c r="AI831" i="5"/>
  <c r="AL830" i="5"/>
  <c r="AZ830" i="5"/>
  <c r="AI809" i="5"/>
  <c r="AZ809" i="5"/>
  <c r="AI810" i="5"/>
  <c r="AL809" i="5"/>
  <c r="AJ809" i="5"/>
  <c r="AI808" i="5"/>
  <c r="AL808" i="5"/>
  <c r="AK808" i="5"/>
  <c r="AY788" i="5"/>
  <c r="AJ788" i="5"/>
  <c r="AZ788" i="5"/>
  <c r="AL788" i="5"/>
  <c r="AK788" i="5"/>
  <c r="AK784" i="5"/>
  <c r="AR784" i="5"/>
  <c r="AW784" i="5"/>
  <c r="AX784" i="5" s="1"/>
  <c r="AZ784" i="5"/>
  <c r="AY784" i="5"/>
  <c r="AU784" i="5"/>
  <c r="AV784" i="5" s="1"/>
  <c r="AT780" i="5"/>
  <c r="AS780" i="5"/>
  <c r="AT776" i="5"/>
  <c r="AS776" i="5"/>
  <c r="AZ768" i="5"/>
  <c r="AY768" i="5"/>
  <c r="AL768" i="5"/>
  <c r="AK768" i="5"/>
  <c r="AI769" i="5"/>
  <c r="AJ768" i="5"/>
  <c r="AI758" i="5"/>
  <c r="AU757" i="5"/>
  <c r="AV757" i="5" s="1"/>
  <c r="AW757" i="5"/>
  <c r="AX757" i="5" s="1"/>
  <c r="AL757" i="5"/>
  <c r="AK757" i="5"/>
  <c r="AY757" i="5"/>
  <c r="AL752" i="5"/>
  <c r="AK752" i="5"/>
  <c r="AI752" i="5"/>
  <c r="AJ752" i="5"/>
  <c r="AZ752" i="5"/>
  <c r="AZ748" i="5"/>
  <c r="AY748" i="5"/>
  <c r="AJ748" i="5"/>
  <c r="AS740" i="5"/>
  <c r="AT740" i="5"/>
  <c r="AZ732" i="5"/>
  <c r="AY732" i="5"/>
  <c r="AL732" i="5"/>
  <c r="AK732" i="5"/>
  <c r="AK728" i="5"/>
  <c r="AZ728" i="5"/>
  <c r="AW728" i="5"/>
  <c r="AX728" i="5" s="1"/>
  <c r="AR728" i="5"/>
  <c r="AT662" i="5"/>
  <c r="AS662" i="5"/>
  <c r="AR659" i="5"/>
  <c r="AJ659" i="5"/>
  <c r="AI659" i="5"/>
  <c r="AU659" i="5"/>
  <c r="AV659" i="5" s="1"/>
  <c r="AZ659" i="5"/>
  <c r="AY654" i="5"/>
  <c r="AL654" i="5"/>
  <c r="AI654" i="5"/>
  <c r="AZ654" i="5"/>
  <c r="AL650" i="5"/>
  <c r="AK650" i="5"/>
  <c r="AY650" i="5"/>
  <c r="AJ650" i="5"/>
  <c r="AS646" i="5"/>
  <c r="AT646" i="5"/>
  <c r="AJ634" i="5"/>
  <c r="AL634" i="5"/>
  <c r="AK634" i="5"/>
  <c r="AY634" i="5"/>
  <c r="AL630" i="5"/>
  <c r="AY630" i="5"/>
  <c r="AZ630" i="5"/>
  <c r="AW630" i="5"/>
  <c r="AX630" i="5" s="1"/>
  <c r="AT626" i="5"/>
  <c r="AS626" i="5"/>
  <c r="AY614" i="5"/>
  <c r="AL614" i="5"/>
  <c r="AK614" i="5"/>
  <c r="AJ614" i="5"/>
  <c r="AI604" i="5"/>
  <c r="AY603" i="5"/>
  <c r="AL603" i="5"/>
  <c r="AJ603" i="5"/>
  <c r="AZ603" i="5"/>
  <c r="AW603" i="5"/>
  <c r="AX603" i="5" s="1"/>
  <c r="AK603" i="5"/>
  <c r="AJ598" i="5"/>
  <c r="AL598" i="5"/>
  <c r="AK598" i="5"/>
  <c r="AY598" i="5"/>
  <c r="AI598" i="5"/>
  <c r="AZ594" i="5"/>
  <c r="AJ594" i="5"/>
  <c r="AY594" i="5"/>
  <c r="AT590" i="5"/>
  <c r="AS590" i="5"/>
  <c r="AT586" i="5"/>
  <c r="AS586" i="5"/>
  <c r="AK578" i="5"/>
  <c r="AL578" i="5"/>
  <c r="AJ578" i="5"/>
  <c r="AZ578" i="5"/>
  <c r="AI579" i="5"/>
  <c r="AK574" i="5"/>
  <c r="AI575" i="5"/>
  <c r="AU574" i="5"/>
  <c r="AV574" i="5" s="1"/>
  <c r="AR574" i="5"/>
  <c r="AL574" i="5"/>
  <c r="AW574" i="5"/>
  <c r="AX574" i="5" s="1"/>
  <c r="AZ574" i="5"/>
  <c r="AT570" i="5"/>
  <c r="AS570" i="5"/>
  <c r="AS566" i="5"/>
  <c r="AT566" i="5"/>
  <c r="AY558" i="5"/>
  <c r="AL558" i="5"/>
  <c r="AZ558" i="5"/>
  <c r="AK558" i="5"/>
  <c r="AT550" i="5"/>
  <c r="AS550" i="5"/>
  <c r="AK547" i="5"/>
  <c r="AL547" i="5"/>
  <c r="AZ547" i="5"/>
  <c r="AR547" i="5"/>
  <c r="AU547" i="5"/>
  <c r="AV547" i="5" s="1"/>
  <c r="AY547" i="5"/>
  <c r="AJ547" i="5"/>
  <c r="AY542" i="5"/>
  <c r="AI542" i="5"/>
  <c r="AL542" i="5"/>
  <c r="AK542" i="5"/>
  <c r="AJ538" i="5"/>
  <c r="AZ538" i="5"/>
  <c r="AL538" i="5"/>
  <c r="AY538" i="5"/>
  <c r="AK538" i="5"/>
  <c r="AS534" i="5"/>
  <c r="AT534" i="5"/>
  <c r="AT530" i="5"/>
  <c r="AS530" i="5"/>
  <c r="AJ522" i="5"/>
  <c r="AL522" i="5"/>
  <c r="AY522" i="5"/>
  <c r="AR518" i="5"/>
  <c r="AW518" i="5"/>
  <c r="AX518" i="5" s="1"/>
  <c r="AI519" i="5"/>
  <c r="AK518" i="5"/>
  <c r="AS514" i="5"/>
  <c r="AT514" i="5"/>
  <c r="AZ502" i="5"/>
  <c r="AJ502" i="5"/>
  <c r="AL502" i="5"/>
  <c r="AK502" i="5"/>
  <c r="AS494" i="5"/>
  <c r="AT494" i="5"/>
  <c r="AL491" i="5"/>
  <c r="AI492" i="5"/>
  <c r="AI491" i="5"/>
  <c r="AZ491" i="5"/>
  <c r="AW491" i="5"/>
  <c r="AX491" i="5" s="1"/>
  <c r="AY491" i="5"/>
  <c r="AJ491" i="5"/>
  <c r="AR491" i="5"/>
  <c r="AS491" i="5" s="1"/>
  <c r="AK491" i="5"/>
  <c r="AU491" i="5"/>
  <c r="AV491" i="5" s="1"/>
  <c r="AL482" i="5"/>
  <c r="AJ482" i="5"/>
  <c r="AZ482" i="5"/>
  <c r="AT478" i="5"/>
  <c r="AS478" i="5"/>
  <c r="AJ475" i="5"/>
  <c r="AL475" i="5"/>
  <c r="AM475" i="5"/>
  <c r="AZ475" i="5"/>
  <c r="AK475" i="5"/>
  <c r="AI475" i="5"/>
  <c r="AR452" i="5"/>
  <c r="AZ452" i="5"/>
  <c r="AW452" i="5"/>
  <c r="AX452" i="5" s="1"/>
  <c r="AI461" i="5"/>
  <c r="AU452" i="5"/>
  <c r="AV452" i="5" s="1"/>
  <c r="AK452" i="5"/>
  <c r="AL452" i="5"/>
  <c r="AS440" i="5"/>
  <c r="AT440" i="5"/>
  <c r="AU433" i="5"/>
  <c r="AV433" i="5" s="1"/>
  <c r="AZ433" i="5"/>
  <c r="AR433" i="5"/>
  <c r="AI434" i="5"/>
  <c r="AL433" i="5"/>
  <c r="AK420" i="5"/>
  <c r="AZ420" i="5"/>
  <c r="AY420" i="5"/>
  <c r="AL420" i="5"/>
  <c r="AJ420" i="5"/>
  <c r="AT408" i="5"/>
  <c r="AS408" i="5"/>
  <c r="AY400" i="5"/>
  <c r="AI400" i="5"/>
  <c r="AL400" i="5"/>
  <c r="AZ400" i="5"/>
  <c r="AK400" i="5"/>
  <c r="AJ400" i="5"/>
  <c r="AT384" i="5"/>
  <c r="AS384" i="5"/>
  <c r="AZ376" i="5"/>
  <c r="AL376" i="5"/>
  <c r="AJ376" i="5"/>
  <c r="AK376" i="5"/>
  <c r="AI376" i="5"/>
  <c r="AZ372" i="5"/>
  <c r="AJ372" i="5"/>
  <c r="AL372" i="5"/>
  <c r="AI373" i="5"/>
  <c r="AS360" i="5"/>
  <c r="AT360" i="5"/>
  <c r="AZ352" i="5"/>
  <c r="AJ352" i="5"/>
  <c r="AY352" i="5"/>
  <c r="AK352" i="5"/>
  <c r="AK348" i="5"/>
  <c r="AZ348" i="5"/>
  <c r="AJ348" i="5"/>
  <c r="AL348" i="5"/>
  <c r="AY348" i="5"/>
  <c r="AI349" i="5"/>
  <c r="AK328" i="5"/>
  <c r="AZ328" i="5"/>
  <c r="AY328" i="5"/>
  <c r="AI329" i="5"/>
  <c r="AI328" i="5"/>
  <c r="AJ328" i="5"/>
  <c r="AL328" i="5"/>
  <c r="AL324" i="5"/>
  <c r="AJ324" i="5"/>
  <c r="AK324" i="5"/>
  <c r="AI325" i="5"/>
  <c r="AI784" i="5"/>
  <c r="AQ788" i="5"/>
  <c r="AI804" i="5"/>
  <c r="AL804" i="5"/>
  <c r="AL946" i="5"/>
  <c r="AS744" i="5"/>
  <c r="AI890" i="5"/>
  <c r="AY883" i="5"/>
  <c r="AJ894" i="5"/>
  <c r="AW899" i="5"/>
  <c r="AX899" i="5" s="1"/>
  <c r="AI910" i="5"/>
  <c r="AK926" i="5"/>
  <c r="AW926" i="5"/>
  <c r="AX926" i="5" s="1"/>
  <c r="AW830" i="5"/>
  <c r="AX830" i="5" s="1"/>
  <c r="AQ955" i="5"/>
  <c r="AJ950" i="5"/>
  <c r="AM817" i="5"/>
  <c r="AM788" i="5"/>
  <c r="AM1199" i="5"/>
  <c r="AI947" i="5"/>
  <c r="AI955" i="5"/>
  <c r="AI805" i="5"/>
  <c r="AJ946" i="5"/>
  <c r="AQ883" i="5"/>
  <c r="AY894" i="5"/>
  <c r="AU899" i="5"/>
  <c r="AV899" i="5" s="1"/>
  <c r="AQ910" i="5"/>
  <c r="AY926" i="5"/>
  <c r="AI930" i="5"/>
  <c r="AJ830" i="5"/>
  <c r="AL854" i="5"/>
  <c r="AZ950" i="5"/>
  <c r="AT724" i="5"/>
  <c r="AU728" i="5"/>
  <c r="AV728" i="5" s="1"/>
  <c r="AT2347" i="5"/>
  <c r="AS2347" i="5"/>
  <c r="AY1396" i="5"/>
  <c r="AQ1396" i="5"/>
  <c r="AI1370" i="5"/>
  <c r="AY1370" i="5"/>
  <c r="AL1350" i="5"/>
  <c r="AI1350" i="5"/>
  <c r="AT1326" i="5"/>
  <c r="AS1326" i="5"/>
  <c r="AJ1318" i="5"/>
  <c r="AL1318" i="5"/>
  <c r="AY1314" i="5"/>
  <c r="AI1314" i="5"/>
  <c r="AJ1241" i="5"/>
  <c r="AY1241" i="5"/>
  <c r="AK1237" i="5"/>
  <c r="AL1237" i="5"/>
  <c r="AT1229" i="5"/>
  <c r="AS1229" i="5"/>
  <c r="AM1157" i="5"/>
  <c r="AS703" i="5"/>
  <c r="AI860" i="5"/>
  <c r="AQ830" i="5"/>
  <c r="AQ757" i="5"/>
  <c r="AJ890" i="5"/>
  <c r="AI883" i="5"/>
  <c r="AL894" i="5"/>
  <c r="AR899" i="5"/>
  <c r="AJ910" i="5"/>
  <c r="AZ926" i="5"/>
  <c r="AT918" i="5"/>
  <c r="AZ930" i="5"/>
  <c r="AK830" i="5"/>
  <c r="AZ854" i="5"/>
  <c r="AR955" i="5"/>
  <c r="AY752" i="5"/>
  <c r="AR843" i="5"/>
  <c r="AL728" i="5"/>
  <c r="AM663" i="5"/>
  <c r="AM1132" i="5"/>
  <c r="AM950" i="5"/>
  <c r="AM289" i="5"/>
  <c r="AQ834" i="5"/>
  <c r="AQ732" i="5"/>
  <c r="AQ804" i="5"/>
  <c r="AQ843" i="5"/>
  <c r="AL950" i="5"/>
  <c r="AL711" i="5"/>
  <c r="AQ890" i="5"/>
  <c r="AK883" i="5"/>
  <c r="AQ930" i="5"/>
  <c r="AK894" i="5"/>
  <c r="AZ899" i="5"/>
  <c r="AY910" i="5"/>
  <c r="AU926" i="5"/>
  <c r="AV926" i="5" s="1"/>
  <c r="AS902" i="5"/>
  <c r="AY930" i="5"/>
  <c r="AS826" i="5"/>
  <c r="AY830" i="5"/>
  <c r="AW659" i="5"/>
  <c r="AX659" i="5" s="1"/>
  <c r="AT720" i="5"/>
  <c r="AZ542" i="5"/>
  <c r="AU859" i="5"/>
  <c r="AV859" i="5" s="1"/>
  <c r="AK2058" i="5"/>
  <c r="AU955" i="5"/>
  <c r="AV955" i="5" s="1"/>
  <c r="AY475" i="5"/>
  <c r="AT622" i="5"/>
  <c r="AZ650" i="5"/>
  <c r="AI844" i="5"/>
  <c r="AK594" i="5"/>
  <c r="AT2490" i="5"/>
  <c r="AM1061" i="5"/>
  <c r="AM834" i="5"/>
  <c r="AM748" i="5"/>
  <c r="AQ752" i="5"/>
  <c r="F4536" i="5"/>
  <c r="AM1090" i="5"/>
  <c r="AI951" i="5"/>
  <c r="AZ711" i="5"/>
  <c r="AQ808" i="5"/>
  <c r="AL748" i="5"/>
  <c r="AK950" i="5"/>
  <c r="AY711" i="5"/>
  <c r="AY890" i="5"/>
  <c r="AL883" i="5"/>
  <c r="AZ910" i="5"/>
  <c r="AZ894" i="5"/>
  <c r="AL899" i="5"/>
  <c r="AK910" i="5"/>
  <c r="AL926" i="5"/>
  <c r="AL930" i="5"/>
  <c r="AY659" i="5"/>
  <c r="AQ859" i="5"/>
  <c r="AI789" i="5"/>
  <c r="AY728" i="5"/>
  <c r="AJ757" i="5"/>
  <c r="AJ433" i="5"/>
  <c r="AZ598" i="5"/>
  <c r="AT642" i="5"/>
  <c r="AY502" i="5"/>
  <c r="AU630" i="5"/>
  <c r="AV630" i="5" s="1"/>
  <c r="AJ732" i="5"/>
  <c r="AY372" i="5"/>
  <c r="AQ768" i="5"/>
  <c r="AK748" i="5"/>
  <c r="AK955" i="5"/>
  <c r="AI757" i="5"/>
  <c r="AY804" i="5"/>
  <c r="AL890" i="5"/>
  <c r="AM883" i="5"/>
  <c r="AJ883" i="5"/>
  <c r="AK899" i="5"/>
  <c r="AR926" i="5"/>
  <c r="AJ930" i="5"/>
  <c r="AI830" i="5"/>
  <c r="AI946" i="5"/>
  <c r="AR757" i="5"/>
  <c r="AZ757" i="5"/>
  <c r="AL784" i="5"/>
  <c r="AS1608" i="5"/>
  <c r="AT1608" i="5"/>
  <c r="AW1553" i="5"/>
  <c r="AX1553" i="5" s="1"/>
  <c r="AZ1553" i="5"/>
  <c r="AS1489" i="5"/>
  <c r="AT1489" i="5"/>
  <c r="AI1471" i="5"/>
  <c r="AR1470" i="5"/>
  <c r="AZ1465" i="5"/>
  <c r="AY1465" i="5"/>
  <c r="AL1461" i="5"/>
  <c r="AI1462" i="5"/>
  <c r="AS1453" i="5"/>
  <c r="AT1453" i="5"/>
  <c r="AI768" i="5"/>
  <c r="AM1104" i="5"/>
  <c r="AI931" i="5"/>
  <c r="AI785" i="5"/>
  <c r="AI899" i="5"/>
  <c r="AW955" i="5"/>
  <c r="AX955" i="5" s="1"/>
  <c r="AI855" i="5"/>
  <c r="AS822" i="5"/>
  <c r="AQ899" i="5"/>
  <c r="AI926" i="5"/>
  <c r="AU830" i="5"/>
  <c r="AV830" i="5" s="1"/>
  <c r="AW859" i="5"/>
  <c r="AX859" i="5" s="1"/>
  <c r="AT800" i="5"/>
  <c r="AJ808" i="5"/>
  <c r="AJ784" i="5"/>
  <c r="AZ1998" i="5"/>
  <c r="AY1998" i="5"/>
  <c r="AY1966" i="5"/>
  <c r="AL1966" i="5"/>
  <c r="AJ1966" i="5"/>
  <c r="AI1966" i="5"/>
  <c r="AI1916" i="5"/>
  <c r="AZ1915" i="5"/>
  <c r="AI286" i="5"/>
  <c r="AT288" i="5"/>
  <c r="S3967" i="5"/>
  <c r="O3967" i="5" s="1"/>
  <c r="AM285" i="5"/>
  <c r="N4190" i="5"/>
  <c r="M4190" i="5" s="1"/>
  <c r="F4190" i="5" s="1"/>
  <c r="L4190" i="5" s="1"/>
  <c r="A4797" i="5"/>
  <c r="AS281" i="5"/>
  <c r="AI1695" i="5"/>
  <c r="AL300" i="5"/>
  <c r="AY304" i="5"/>
  <c r="AK300" i="5"/>
  <c r="AJ1694" i="5"/>
  <c r="AQ2519" i="5"/>
  <c r="AQ2516" i="5"/>
  <c r="AL1694" i="5"/>
  <c r="AY300" i="5"/>
  <c r="F112" i="5"/>
  <c r="A4851" i="5"/>
  <c r="C4817" i="5"/>
  <c r="AZ304" i="5"/>
  <c r="A4765" i="5"/>
  <c r="AS312" i="5"/>
  <c r="AL1689" i="5"/>
  <c r="AM2298" i="5"/>
  <c r="AM2201" i="5"/>
  <c r="M3221" i="5"/>
  <c r="F3221" i="5" s="1"/>
  <c r="L3221" i="5" s="1"/>
  <c r="AZ1694" i="5"/>
  <c r="AK304" i="5"/>
  <c r="AS292" i="5"/>
  <c r="AJ304" i="5"/>
  <c r="AT316" i="5"/>
  <c r="AM1988" i="5"/>
  <c r="AQ2200" i="5"/>
  <c r="AI2088" i="5"/>
  <c r="AQ2038" i="5"/>
  <c r="AQ2027" i="5"/>
  <c r="A4810" i="5"/>
  <c r="AB3439" i="5"/>
  <c r="X3439" i="5" s="1"/>
  <c r="F4764" i="5"/>
  <c r="AM1689" i="5"/>
  <c r="AQ1704" i="5"/>
  <c r="AQ1709" i="5"/>
  <c r="AM1106" i="5"/>
  <c r="AQ2387" i="5"/>
  <c r="AQ2324" i="5"/>
  <c r="P5153" i="5"/>
  <c r="U5152" i="5"/>
  <c r="AM1080" i="5"/>
  <c r="AM2504" i="5"/>
  <c r="AM2505" i="5"/>
  <c r="AR2428" i="5"/>
  <c r="AZ2428" i="5"/>
  <c r="F4776" i="5"/>
  <c r="C5004" i="5"/>
  <c r="W3549" i="5"/>
  <c r="F3559" i="5" s="1"/>
  <c r="A3505" i="5"/>
  <c r="A3379" i="5"/>
  <c r="G216" i="5"/>
  <c r="H216" i="5" s="1"/>
  <c r="Q4602" i="5"/>
  <c r="F4602" i="5" s="1"/>
  <c r="W4733" i="5"/>
  <c r="G3680" i="5"/>
  <c r="H3680" i="5" s="1"/>
  <c r="U3677" i="5"/>
  <c r="F3680" i="5" s="1"/>
  <c r="AS749" i="5"/>
  <c r="R4803" i="5"/>
  <c r="R4804" i="5" s="1"/>
  <c r="R4805" i="5" s="1"/>
  <c r="AT1316" i="5"/>
  <c r="AV3363" i="5"/>
  <c r="AW3363" i="5" s="1"/>
  <c r="AY3363" i="5" s="1"/>
  <c r="AY2547" i="5"/>
  <c r="AI2548" i="5"/>
  <c r="AL2534" i="5"/>
  <c r="AY2534" i="5"/>
  <c r="AS2526" i="5"/>
  <c r="AT2526" i="5"/>
  <c r="AW2498" i="5"/>
  <c r="AX2498" i="5" s="1"/>
  <c r="AY2498" i="5"/>
  <c r="G1722" i="5"/>
  <c r="H1722" i="5" s="1"/>
  <c r="F3614" i="5"/>
  <c r="M2805" i="5"/>
  <c r="L2805" i="5" s="1"/>
  <c r="M2853" i="5"/>
  <c r="L2853" i="5" s="1"/>
  <c r="M2833" i="5"/>
  <c r="L2833" i="5" s="1"/>
  <c r="M2829" i="5"/>
  <c r="L2829" i="5" s="1"/>
  <c r="M345" i="5"/>
  <c r="F345" i="5" s="1"/>
  <c r="M327" i="5"/>
  <c r="F327" i="5" s="1"/>
  <c r="AM328" i="5" s="1"/>
  <c r="M375" i="5"/>
  <c r="F375" i="5" s="1"/>
  <c r="M315" i="5"/>
  <c r="F315" i="5" s="1"/>
  <c r="AJ2552" i="5"/>
  <c r="AK2552" i="5"/>
  <c r="T4294" i="5"/>
  <c r="F4293" i="5"/>
  <c r="O4769" i="5"/>
  <c r="F4772" i="5"/>
  <c r="AT1421" i="5"/>
  <c r="AT1788" i="5"/>
  <c r="AM382" i="5"/>
  <c r="G3559" i="5"/>
  <c r="H3559" i="5" s="1"/>
  <c r="F4814" i="5"/>
  <c r="AS2260" i="5"/>
  <c r="A4961" i="5"/>
  <c r="C4961" i="5" s="1"/>
  <c r="A4876" i="5"/>
  <c r="C4876" i="5" s="1"/>
  <c r="AK2229" i="5"/>
  <c r="AJ2229" i="5"/>
  <c r="AU2218" i="5"/>
  <c r="AV2218" i="5" s="1"/>
  <c r="AI2218" i="5"/>
  <c r="AW2218" i="5"/>
  <c r="AX2218" i="5" s="1"/>
  <c r="AY2213" i="5"/>
  <c r="AJ2213" i="5"/>
  <c r="AZ2213" i="5"/>
  <c r="AL2209" i="5"/>
  <c r="AJ2209" i="5"/>
  <c r="AS2185" i="5"/>
  <c r="AT2185" i="5"/>
  <c r="X4909" i="5"/>
  <c r="G2569" i="5"/>
  <c r="H2569" i="5" s="1"/>
  <c r="AS1371" i="5"/>
  <c r="AS2400" i="5"/>
  <c r="AS1609" i="5"/>
  <c r="P4883" i="5"/>
  <c r="G4888" i="5"/>
  <c r="H4888" i="5" s="1"/>
  <c r="AY2407" i="5"/>
  <c r="AR2407" i="5"/>
  <c r="AI2402" i="5"/>
  <c r="AK2402" i="5"/>
  <c r="AZ2402" i="5"/>
  <c r="AZ2398" i="5"/>
  <c r="AJ2398" i="5"/>
  <c r="AK2384" i="5"/>
  <c r="AI2385" i="5"/>
  <c r="AI2382" i="5"/>
  <c r="AI2383" i="5"/>
  <c r="AL2378" i="5"/>
  <c r="AK2378" i="5"/>
  <c r="AY2377" i="5"/>
  <c r="AZ2377" i="5"/>
  <c r="AT2341" i="5"/>
  <c r="AS2341" i="5"/>
  <c r="AY2333" i="5"/>
  <c r="AJ2333" i="5"/>
  <c r="AL2333" i="5"/>
  <c r="AS2325" i="5"/>
  <c r="AT2325" i="5"/>
  <c r="AS2321" i="5"/>
  <c r="AT2321" i="5"/>
  <c r="AJ2313" i="5"/>
  <c r="AZ2313" i="5"/>
  <c r="AL2313" i="5"/>
  <c r="AL2293" i="5"/>
  <c r="AK2293" i="5"/>
  <c r="AY2293" i="5"/>
  <c r="AS2263" i="5"/>
  <c r="AT2263" i="5"/>
  <c r="AQ2309" i="5"/>
  <c r="AY2020" i="5"/>
  <c r="AU2087" i="5"/>
  <c r="AV2087" i="5" s="1"/>
  <c r="AY1995" i="5"/>
  <c r="M2849" i="5"/>
  <c r="L2849" i="5" s="1"/>
  <c r="AI2288" i="5"/>
  <c r="AQ2123" i="5"/>
  <c r="AM1160" i="5"/>
  <c r="AL2111" i="5"/>
  <c r="AY2123" i="5"/>
  <c r="AQ2031" i="5"/>
  <c r="AM437" i="5"/>
  <c r="AJ1995" i="5"/>
  <c r="AS1983" i="5"/>
  <c r="AI2072" i="5"/>
  <c r="AY1955" i="5"/>
  <c r="AZ1991" i="5"/>
  <c r="AI2020" i="5"/>
  <c r="AL2051" i="5"/>
  <c r="AL2076" i="5"/>
  <c r="G5084" i="5"/>
  <c r="AR1991" i="5"/>
  <c r="AS1599" i="5"/>
  <c r="AJ1571" i="5"/>
  <c r="AU1964" i="5"/>
  <c r="AV1964" i="5" s="1"/>
  <c r="AT2023" i="5"/>
  <c r="AY2087" i="5"/>
  <c r="AS1967" i="5"/>
  <c r="F4924" i="5"/>
  <c r="AM1954" i="5"/>
  <c r="AQ2366" i="5"/>
  <c r="AQ2352" i="5"/>
  <c r="AQ2173" i="5"/>
  <c r="AM1247" i="5"/>
  <c r="AM1055" i="5"/>
  <c r="AY2173" i="5"/>
  <c r="AJ2111" i="5"/>
  <c r="AT2103" i="5"/>
  <c r="AM2173" i="5"/>
  <c r="AI2123" i="5"/>
  <c r="AU2123" i="5"/>
  <c r="AV2123" i="5" s="1"/>
  <c r="AQ2071" i="5"/>
  <c r="AM2015" i="5"/>
  <c r="AL1955" i="5"/>
  <c r="AZ1959" i="5"/>
  <c r="AU1991" i="5"/>
  <c r="AV1991" i="5" s="1"/>
  <c r="AJ2020" i="5"/>
  <c r="AZ2051" i="5"/>
  <c r="AJ2087" i="5"/>
  <c r="AT1635" i="5"/>
  <c r="AS1619" i="5"/>
  <c r="AS2101" i="5"/>
  <c r="AJ1964" i="5"/>
  <c r="AJ1959" i="5"/>
  <c r="AS2003" i="5"/>
  <c r="AW2087" i="5"/>
  <c r="AX2087" i="5" s="1"/>
  <c r="F3716" i="5"/>
  <c r="AW2123" i="5"/>
  <c r="AX2123" i="5" s="1"/>
  <c r="AK1959" i="5"/>
  <c r="AU2020" i="5"/>
  <c r="AV2020" i="5" s="1"/>
  <c r="AL2067" i="5"/>
  <c r="AZ2087" i="5"/>
  <c r="AI1965" i="5"/>
  <c r="AM1683" i="5"/>
  <c r="AM1939" i="5"/>
  <c r="AN3630" i="5"/>
  <c r="AK2071" i="5"/>
  <c r="AK2031" i="5"/>
  <c r="AT1987" i="5"/>
  <c r="AW1964" i="5"/>
  <c r="AX1964" i="5" s="1"/>
  <c r="AT2007" i="5"/>
  <c r="AJ2071" i="5"/>
  <c r="AM2215" i="5"/>
  <c r="AI2434" i="5"/>
  <c r="AI2292" i="5"/>
  <c r="O3911" i="5"/>
  <c r="F3910" i="5" s="1"/>
  <c r="A3874" i="5"/>
  <c r="M3869" i="5"/>
  <c r="F3869" i="5" s="1"/>
  <c r="L3869" i="5" s="1"/>
  <c r="AQ3874" i="5"/>
  <c r="G3911" i="5"/>
  <c r="H3911" i="5" s="1"/>
  <c r="D3868" i="5"/>
  <c r="AM2124" i="5"/>
  <c r="AS2280" i="5"/>
  <c r="G4070" i="5"/>
  <c r="H4070" i="5" s="1"/>
  <c r="P4073" i="5"/>
  <c r="AM456" i="5"/>
  <c r="G456" i="5"/>
  <c r="H456" i="5" s="1"/>
  <c r="AJ2525" i="5"/>
  <c r="AZ2525" i="5"/>
  <c r="AK2525" i="5"/>
  <c r="AI2525" i="5"/>
  <c r="AJ2484" i="5"/>
  <c r="AI2485" i="5"/>
  <c r="AZ2484" i="5"/>
  <c r="AR2484" i="5"/>
  <c r="AL2469" i="5"/>
  <c r="AY2469" i="5"/>
  <c r="AW2469" i="5"/>
  <c r="AX2469" i="5" s="1"/>
  <c r="AL2361" i="5"/>
  <c r="AI2361" i="5"/>
  <c r="AL2340" i="5"/>
  <c r="AY2340" i="5"/>
  <c r="AY2336" i="5"/>
  <c r="AK2336" i="5"/>
  <c r="AS2332" i="5"/>
  <c r="AT2332" i="5"/>
  <c r="D4784" i="5"/>
  <c r="F4784" i="5" s="1"/>
  <c r="A5162" i="5"/>
  <c r="A5163" i="5" s="1"/>
  <c r="C5163" i="5" s="1"/>
  <c r="M3316" i="5"/>
  <c r="F3316" i="5" s="1"/>
  <c r="L3316" i="5" s="1"/>
  <c r="AT484" i="5"/>
  <c r="AS484" i="5"/>
  <c r="AT338" i="5"/>
  <c r="AS338" i="5"/>
  <c r="M4396" i="5"/>
  <c r="F4397" i="5" s="1"/>
  <c r="L4396" i="5" s="1"/>
  <c r="M4392" i="5"/>
  <c r="F4393" i="5" s="1"/>
  <c r="L4392" i="5" s="1"/>
  <c r="M4393" i="5"/>
  <c r="F4394" i="5" s="1"/>
  <c r="L4393" i="5" s="1"/>
  <c r="M2027" i="5"/>
  <c r="F2027" i="5" s="1"/>
  <c r="M1866" i="5"/>
  <c r="F1866" i="5" s="1"/>
  <c r="M1754" i="5"/>
  <c r="F1754" i="5" s="1"/>
  <c r="M1838" i="5"/>
  <c r="F1838" i="5" s="1"/>
  <c r="M1824" i="5"/>
  <c r="F1824" i="5" s="1"/>
  <c r="M1894" i="5"/>
  <c r="F1894" i="5" s="1"/>
  <c r="M1880" i="5"/>
  <c r="F1880" i="5" s="1"/>
  <c r="AM1881" i="5" s="1"/>
  <c r="M2006" i="5"/>
  <c r="F2006" i="5" s="1"/>
  <c r="AK2395" i="5"/>
  <c r="AL2395" i="5"/>
  <c r="AS2048" i="5"/>
  <c r="I5282" i="5"/>
  <c r="F4823" i="5"/>
  <c r="AS848" i="5"/>
  <c r="AS2198" i="5"/>
  <c r="AW2047" i="5"/>
  <c r="AX2047" i="5" s="1"/>
  <c r="AI2021" i="5"/>
  <c r="AK2076" i="5"/>
  <c r="AM972" i="5"/>
  <c r="AM890" i="5"/>
  <c r="AL2302" i="5"/>
  <c r="AJ2302" i="5"/>
  <c r="AI2302" i="5"/>
  <c r="AZ2031" i="5"/>
  <c r="AR2076" i="5"/>
  <c r="AW2302" i="5"/>
  <c r="AX2302" i="5" s="1"/>
  <c r="AI2048" i="5"/>
  <c r="AJ2067" i="5"/>
  <c r="AI1886" i="5"/>
  <c r="AY2031" i="5"/>
  <c r="AY2067" i="5"/>
  <c r="AL2206" i="5"/>
  <c r="AY2076" i="5"/>
  <c r="AM2391" i="5"/>
  <c r="AL2020" i="5"/>
  <c r="AK2190" i="5"/>
  <c r="AZ2302" i="5"/>
  <c r="AW2020" i="5"/>
  <c r="AX2020" i="5" s="1"/>
  <c r="AY2047" i="5"/>
  <c r="AZ2071" i="5"/>
  <c r="AZ1886" i="5"/>
  <c r="AK2051" i="5"/>
  <c r="AK2020" i="5"/>
  <c r="AT2079" i="5"/>
  <c r="AL2071" i="5"/>
  <c r="AQ1719" i="5"/>
  <c r="M3878" i="5"/>
  <c r="F3878" i="5" s="1"/>
  <c r="L3878" i="5" s="1"/>
  <c r="AY2222" i="5"/>
  <c r="AY1834" i="5"/>
  <c r="AM1773" i="5"/>
  <c r="C5284" i="5"/>
  <c r="AM2000" i="5"/>
  <c r="AM415" i="5"/>
  <c r="AT2405" i="5"/>
  <c r="AS2405" i="5"/>
  <c r="AR2211" i="5"/>
  <c r="AK2211" i="5"/>
  <c r="AY2202" i="5"/>
  <c r="AK2202" i="5"/>
  <c r="AL2202" i="5"/>
  <c r="AT2092" i="5"/>
  <c r="AS2092" i="5"/>
  <c r="C4815" i="5"/>
  <c r="F4819" i="5"/>
  <c r="W5150" i="5"/>
  <c r="N3317" i="5"/>
  <c r="M3317" i="5" s="1"/>
  <c r="F3317" i="5" s="1"/>
  <c r="L3317" i="5" s="1"/>
  <c r="A3506" i="5"/>
  <c r="U4294" i="5"/>
  <c r="AI2227" i="5"/>
  <c r="AK2227" i="5"/>
  <c r="AY2227" i="5"/>
  <c r="AL2227" i="5"/>
  <c r="AZ2227" i="5"/>
  <c r="F3537" i="5"/>
  <c r="AT824" i="5"/>
  <c r="AS824" i="5"/>
  <c r="AT2355" i="5"/>
  <c r="AS2355" i="5"/>
  <c r="AL2347" i="5"/>
  <c r="AK2347" i="5"/>
  <c r="AJ2347" i="5"/>
  <c r="AZ2347" i="5"/>
  <c r="R5152" i="5"/>
  <c r="W5152" i="5" s="1"/>
  <c r="G4903" i="5"/>
  <c r="H4903" i="5" s="1"/>
  <c r="P3667" i="5"/>
  <c r="G3670" i="5" s="1"/>
  <c r="H3670" i="5" s="1"/>
  <c r="A3501" i="5"/>
  <c r="C4915" i="5"/>
  <c r="A4916" i="5"/>
  <c r="AK2235" i="5"/>
  <c r="AY2235" i="5"/>
  <c r="AJ2235" i="5"/>
  <c r="AZ2235" i="5"/>
  <c r="AM2528" i="5"/>
  <c r="A5279" i="5"/>
  <c r="AM466" i="5"/>
  <c r="G466" i="5"/>
  <c r="H466" i="5" s="1"/>
  <c r="C5278" i="5"/>
  <c r="P3678" i="5"/>
  <c r="T3678" i="5" s="1"/>
  <c r="F3681" i="5" s="1"/>
  <c r="AZ2453" i="5"/>
  <c r="AL2453" i="5"/>
  <c r="AJ2453" i="5"/>
  <c r="AJ2334" i="5"/>
  <c r="AI2334" i="5"/>
  <c r="AL2334" i="5"/>
  <c r="AS2251" i="5"/>
  <c r="AT2251" i="5"/>
  <c r="AM2288" i="5"/>
  <c r="AL2335" i="5"/>
  <c r="AY2335" i="5"/>
  <c r="AK2335" i="5"/>
  <c r="AL2465" i="5"/>
  <c r="AK1886" i="5"/>
  <c r="AT1959" i="5"/>
  <c r="AI1847" i="5"/>
  <c r="AI1779" i="5"/>
  <c r="AM508" i="5"/>
  <c r="AM1093" i="5"/>
  <c r="AM1001" i="5"/>
  <c r="AM953" i="5"/>
  <c r="G4936" i="5"/>
  <c r="H4936" i="5" s="1"/>
  <c r="AM938" i="5"/>
  <c r="AM1941" i="5"/>
  <c r="AL1946" i="5"/>
  <c r="AW2421" i="5"/>
  <c r="AX2421" i="5" s="1"/>
  <c r="AS1766" i="5"/>
  <c r="AY1774" i="5"/>
  <c r="AM586" i="5"/>
  <c r="AM973" i="5"/>
  <c r="AM2368" i="5"/>
  <c r="AM2064" i="5"/>
  <c r="AM959" i="5"/>
  <c r="AM2447" i="5"/>
  <c r="AM2382" i="5"/>
  <c r="AM2540" i="5"/>
  <c r="AL1852" i="5"/>
  <c r="AL1847" i="5"/>
  <c r="AT1676" i="5"/>
  <c r="AT1791" i="5"/>
  <c r="AM698" i="5"/>
  <c r="AM670" i="5"/>
  <c r="AM1168" i="5"/>
  <c r="AI2228" i="5"/>
  <c r="AY1852" i="5"/>
  <c r="AK1847" i="5"/>
  <c r="AM1577" i="5"/>
  <c r="AM1882" i="5"/>
  <c r="O4806" i="5"/>
  <c r="O4807" i="5" s="1"/>
  <c r="O4808" i="5" s="1"/>
  <c r="O4809" i="5" s="1"/>
  <c r="F4818" i="5"/>
  <c r="S4805" i="5"/>
  <c r="S4806" i="5" s="1"/>
  <c r="S4807" i="5" s="1"/>
  <c r="F3536" i="5"/>
  <c r="AM2255" i="5"/>
  <c r="Q4539" i="5"/>
  <c r="F4539" i="5" s="1"/>
  <c r="AM1215" i="5"/>
  <c r="C4823" i="5"/>
  <c r="AM481" i="5"/>
  <c r="AM480" i="5"/>
  <c r="AM1113" i="5"/>
  <c r="AM1114" i="5"/>
  <c r="AS805" i="5"/>
  <c r="N3651" i="5"/>
  <c r="M3651" i="5" s="1"/>
  <c r="F3651" i="5" s="1"/>
  <c r="L3651" i="5" s="1"/>
  <c r="M3641" i="5"/>
  <c r="F3641" i="5" s="1"/>
  <c r="L3641" i="5" s="1"/>
  <c r="AM943" i="5"/>
  <c r="AM944" i="5"/>
  <c r="AM1562" i="5"/>
  <c r="F256" i="5"/>
  <c r="AT422" i="5"/>
  <c r="AS422" i="5"/>
  <c r="AS1067" i="5"/>
  <c r="AT1067" i="5"/>
  <c r="AM2233" i="5"/>
  <c r="AM2234" i="5"/>
  <c r="AM1264" i="5"/>
  <c r="AT2288" i="5"/>
  <c r="AS2288" i="5"/>
  <c r="G232" i="5"/>
  <c r="H232" i="5" s="1"/>
  <c r="N5189" i="5"/>
  <c r="AM2262" i="5"/>
  <c r="AS1024" i="5"/>
  <c r="AT1024" i="5"/>
  <c r="AT2273" i="5"/>
  <c r="M3116" i="5"/>
  <c r="F3116" i="5" s="1"/>
  <c r="L3116" i="5" s="1"/>
  <c r="M3066" i="5"/>
  <c r="F3066" i="5" s="1"/>
  <c r="L3066" i="5" s="1"/>
  <c r="G1299" i="5"/>
  <c r="H1299" i="5" s="1"/>
  <c r="AM1299" i="5"/>
  <c r="AT806" i="5"/>
  <c r="AS806" i="5"/>
  <c r="F4808" i="5"/>
  <c r="W4705" i="5"/>
  <c r="AM1902" i="5"/>
  <c r="A3482" i="5"/>
  <c r="AT1574" i="5"/>
  <c r="AT2385" i="5"/>
  <c r="C5156" i="5"/>
  <c r="A5157" i="5"/>
  <c r="AS356" i="5"/>
  <c r="AT356" i="5"/>
  <c r="D5009" i="5"/>
  <c r="G5007" i="5"/>
  <c r="H5007" i="5" s="1"/>
  <c r="AS511" i="5"/>
  <c r="AR2329" i="5"/>
  <c r="AJ2329" i="5"/>
  <c r="AL2329" i="5"/>
  <c r="AT497" i="5"/>
  <c r="AM2050" i="5"/>
  <c r="G271" i="5"/>
  <c r="H271" i="5" s="1"/>
  <c r="F257" i="5"/>
  <c r="G255" i="5"/>
  <c r="H255" i="5" s="1"/>
  <c r="AM1297" i="5"/>
  <c r="AM1295" i="5"/>
  <c r="G1295" i="5"/>
  <c r="H1295" i="5" s="1"/>
  <c r="AM2486" i="5"/>
  <c r="AM2192" i="5"/>
  <c r="V3529" i="5"/>
  <c r="F3538" i="5" s="1"/>
  <c r="D5289" i="5"/>
  <c r="R4903" i="5"/>
  <c r="G4907" i="5"/>
  <c r="H4907" i="5" s="1"/>
  <c r="AM2373" i="5"/>
  <c r="X3563" i="5"/>
  <c r="F3565" i="5" s="1"/>
  <c r="AM963" i="5"/>
  <c r="AM400" i="5"/>
  <c r="AM1769" i="5"/>
  <c r="AS672" i="5"/>
  <c r="AT672" i="5"/>
  <c r="AM2359" i="5"/>
  <c r="AM2409" i="5"/>
  <c r="W4699" i="5"/>
  <c r="W4698" i="5"/>
  <c r="AM1026" i="5"/>
  <c r="A5197" i="5"/>
  <c r="C5196" i="5"/>
  <c r="Q3564" i="5"/>
  <c r="W3564" i="5" s="1"/>
  <c r="F3568" i="5" s="1"/>
  <c r="G3564" i="5"/>
  <c r="H3564" i="5" s="1"/>
  <c r="W3563" i="5"/>
  <c r="F3564" i="5" s="1"/>
  <c r="F4907" i="5"/>
  <c r="W4903" i="5"/>
  <c r="W4904" i="5" s="1"/>
  <c r="AM339" i="5"/>
  <c r="AM340" i="5"/>
  <c r="AM2189" i="5"/>
  <c r="D5090" i="5"/>
  <c r="AM1924" i="5"/>
  <c r="AM1923" i="5"/>
  <c r="G253" i="5"/>
  <c r="H253" i="5" s="1"/>
  <c r="U256" i="5"/>
  <c r="F255" i="5"/>
  <c r="G256" i="5"/>
  <c r="H256" i="5" s="1"/>
  <c r="G257" i="5"/>
  <c r="G250" i="5"/>
  <c r="H250" i="5" s="1"/>
  <c r="F265" i="5"/>
  <c r="F250" i="5"/>
  <c r="G251" i="5"/>
  <c r="H251" i="5" s="1"/>
  <c r="G265" i="5"/>
  <c r="H265" i="5" s="1"/>
  <c r="F251" i="5"/>
  <c r="G252" i="5"/>
  <c r="H252" i="5" s="1"/>
  <c r="F271" i="5"/>
  <c r="F252" i="5"/>
  <c r="F253" i="5"/>
  <c r="G254" i="5"/>
  <c r="H254" i="5" s="1"/>
  <c r="F254" i="5"/>
  <c r="F270" i="5"/>
  <c r="F266" i="5"/>
  <c r="F267" i="5"/>
  <c r="G266" i="5"/>
  <c r="H266" i="5" s="1"/>
  <c r="F269" i="5"/>
  <c r="O271" i="5"/>
  <c r="G272" i="5" s="1"/>
  <c r="H272" i="5" s="1"/>
  <c r="P256" i="5"/>
  <c r="G259" i="5" s="1"/>
  <c r="R256" i="5"/>
  <c r="T256" i="5"/>
  <c r="F4812" i="5"/>
  <c r="Q4804" i="5"/>
  <c r="R5283" i="5"/>
  <c r="R5284" i="5" s="1"/>
  <c r="S5280" i="5"/>
  <c r="S5281" i="5" s="1"/>
  <c r="S5282" i="5" s="1"/>
  <c r="AV3399" i="5"/>
  <c r="AW3399" i="5" s="1"/>
  <c r="AY3399" i="5" s="1"/>
  <c r="A3399" i="5"/>
  <c r="A3395" i="5"/>
  <c r="AV3395" i="5"/>
  <c r="AW3395" i="5" s="1"/>
  <c r="AY3395" i="5" s="1"/>
  <c r="S4952" i="5"/>
  <c r="AM1252" i="5"/>
  <c r="U3684" i="5"/>
  <c r="F3685" i="5" s="1"/>
  <c r="Q3685" i="5"/>
  <c r="D5156" i="5"/>
  <c r="AT2006" i="5"/>
  <c r="AS2006" i="5"/>
  <c r="AT2505" i="5"/>
  <c r="AS2505" i="5"/>
  <c r="A3493" i="5"/>
  <c r="A3366" i="5"/>
  <c r="Q4573" i="5"/>
  <c r="AT1943" i="5"/>
  <c r="AS1943" i="5"/>
  <c r="AM2353" i="5"/>
  <c r="F3740" i="5"/>
  <c r="S3741" i="5"/>
  <c r="AS1372" i="5"/>
  <c r="AT1372" i="5"/>
  <c r="AS1802" i="5"/>
  <c r="AT1802" i="5"/>
  <c r="M4710" i="5"/>
  <c r="F4696" i="5"/>
  <c r="AM2185" i="5"/>
  <c r="AM2479" i="5"/>
  <c r="AS2232" i="5"/>
  <c r="AT2232" i="5"/>
  <c r="AM2471" i="5"/>
  <c r="AM2472" i="5"/>
  <c r="A3391" i="5"/>
  <c r="AV3391" i="5"/>
  <c r="AW3391" i="5" s="1"/>
  <c r="AY3391" i="5" s="1"/>
  <c r="AM350" i="5" l="1"/>
  <c r="AM2352" i="5"/>
  <c r="AM2324" i="5"/>
  <c r="AM2240" i="5"/>
  <c r="AV3506" i="5"/>
  <c r="AW3506" i="5" s="1"/>
  <c r="AV3482" i="5"/>
  <c r="AW3482" i="5" s="1"/>
  <c r="AV3495" i="5"/>
  <c r="AW3495" i="5" s="1"/>
  <c r="AM1958" i="5"/>
  <c r="A3387" i="5"/>
  <c r="AQ3971" i="5"/>
  <c r="AM1959" i="5"/>
  <c r="AM2470" i="5"/>
  <c r="I5280" i="5"/>
  <c r="AM1240" i="5"/>
  <c r="AM2101" i="5"/>
  <c r="U213" i="5"/>
  <c r="F218" i="5" s="1"/>
  <c r="D3971" i="5"/>
  <c r="AS2252" i="5"/>
  <c r="AM1979" i="5"/>
  <c r="C4781" i="5"/>
  <c r="G3537" i="5"/>
  <c r="H3537" i="5" s="1"/>
  <c r="AV3398" i="5"/>
  <c r="AW3398" i="5" s="1"/>
  <c r="AY3398" i="5" s="1"/>
  <c r="AS1602" i="5"/>
  <c r="W3528" i="5"/>
  <c r="F3535" i="5" s="1"/>
  <c r="AV3362" i="5"/>
  <c r="AW3362" i="5" s="1"/>
  <c r="AY3362" i="5" s="1"/>
  <c r="AT891" i="5"/>
  <c r="AQ3651" i="5"/>
  <c r="G218" i="5"/>
  <c r="H218" i="5" s="1"/>
  <c r="A4782" i="5"/>
  <c r="AT1692" i="5"/>
  <c r="AM1993" i="5"/>
  <c r="D3628" i="5"/>
  <c r="AT1463" i="5"/>
  <c r="AT2245" i="5"/>
  <c r="AM893" i="5"/>
  <c r="AM2366" i="5"/>
  <c r="G233" i="5"/>
  <c r="H233" i="5" s="1"/>
  <c r="AT575" i="5"/>
  <c r="AM1166" i="5"/>
  <c r="AM2530" i="5"/>
  <c r="AV3364" i="5"/>
  <c r="AW3364" i="5" s="1"/>
  <c r="AY3364" i="5" s="1"/>
  <c r="AM1124" i="5"/>
  <c r="AT1657" i="5"/>
  <c r="AT1568" i="5"/>
  <c r="AM2485" i="5"/>
  <c r="AT1525" i="5"/>
  <c r="AT1238" i="5"/>
  <c r="AM2225" i="5"/>
  <c r="AS1330" i="5"/>
  <c r="AM617" i="5"/>
  <c r="G5006" i="5"/>
  <c r="H5006" i="5" s="1"/>
  <c r="AS2197" i="5"/>
  <c r="AS2372" i="5"/>
  <c r="AM2462" i="5"/>
  <c r="AT1624" i="5"/>
  <c r="AS1088" i="5"/>
  <c r="AS905" i="5"/>
  <c r="AM2414" i="5"/>
  <c r="P3743" i="5"/>
  <c r="G3743" i="5" s="1"/>
  <c r="H3743" i="5" s="1"/>
  <c r="AS1171" i="5"/>
  <c r="AM356" i="5"/>
  <c r="AT1824" i="5"/>
  <c r="AM2457" i="5"/>
  <c r="AV3377" i="5"/>
  <c r="AW3377" i="5" s="1"/>
  <c r="AY3377" i="5" s="1"/>
  <c r="AM2351" i="5"/>
  <c r="AM2282" i="5"/>
  <c r="O3998" i="5"/>
  <c r="F3997" i="5" s="1"/>
  <c r="AM2407" i="5"/>
  <c r="AT2529" i="5"/>
  <c r="AT990" i="5"/>
  <c r="AS920" i="5"/>
  <c r="AM2429" i="5"/>
  <c r="P3752" i="5"/>
  <c r="G3752" i="5" s="1"/>
  <c r="H3752" i="5" s="1"/>
  <c r="AV3425" i="5"/>
  <c r="AW3425" i="5" s="1"/>
  <c r="AY3425" i="5" s="1"/>
  <c r="AS1456" i="5"/>
  <c r="AM374" i="5"/>
  <c r="P22" i="11"/>
  <c r="AM1214" i="5"/>
  <c r="AM837" i="5"/>
  <c r="AM792" i="5"/>
  <c r="AT443" i="5"/>
  <c r="C4793" i="5"/>
  <c r="AM2049" i="5"/>
  <c r="AS1393" i="5"/>
  <c r="AS1386" i="5"/>
  <c r="AM1227" i="5"/>
  <c r="AM1702" i="5"/>
  <c r="AS2075" i="5"/>
  <c r="A3429" i="5"/>
  <c r="V19" i="10"/>
  <c r="G3561" i="5"/>
  <c r="H3561" i="5" s="1"/>
  <c r="AM2309" i="5"/>
  <c r="AT898" i="5"/>
  <c r="AV3432" i="5"/>
  <c r="AW3432" i="5" s="1"/>
  <c r="AY3432" i="5" s="1"/>
  <c r="AS756" i="5"/>
  <c r="AM1888" i="5"/>
  <c r="S3563" i="5"/>
  <c r="AS2105" i="5"/>
  <c r="AM1937" i="5"/>
  <c r="AT2118" i="5"/>
  <c r="A3433" i="5"/>
  <c r="I28" i="11"/>
  <c r="M28" i="11"/>
  <c r="R19" i="10"/>
  <c r="AS1323" i="5"/>
  <c r="AM2113" i="5"/>
  <c r="AT1865" i="5"/>
  <c r="AM309" i="5"/>
  <c r="AS631" i="5"/>
  <c r="AM2436" i="5"/>
  <c r="AM2338" i="5"/>
  <c r="AS1999" i="5"/>
  <c r="AS2239" i="5"/>
  <c r="AM1638" i="5"/>
  <c r="AS1200" i="5"/>
  <c r="AV3421" i="5"/>
  <c r="AW3421" i="5" s="1"/>
  <c r="AY3421" i="5" s="1"/>
  <c r="AT2069" i="5"/>
  <c r="AS1066" i="5"/>
  <c r="A3651" i="5"/>
  <c r="AM2339" i="5"/>
  <c r="AM2219" i="5"/>
  <c r="AT1691" i="5"/>
  <c r="AT1032" i="5"/>
  <c r="AT2040" i="5"/>
  <c r="A4827" i="5"/>
  <c r="C4827" i="5" s="1"/>
  <c r="AM2345" i="5"/>
  <c r="AM373" i="5"/>
  <c r="AT976" i="5"/>
  <c r="AV3373" i="5"/>
  <c r="AW3373" i="5" s="1"/>
  <c r="AY3373" i="5" s="1"/>
  <c r="AM1207" i="5"/>
  <c r="A3381" i="5"/>
  <c r="AT1143" i="5"/>
  <c r="AS1546" i="5"/>
  <c r="AS1221" i="5"/>
  <c r="AS2224" i="5"/>
  <c r="A3414" i="5"/>
  <c r="Q4074" i="5"/>
  <c r="F4075" i="5" s="1"/>
  <c r="AM1039" i="5"/>
  <c r="AM303" i="5"/>
  <c r="AT1109" i="5"/>
  <c r="AO3651" i="5"/>
  <c r="AP3651" i="5" s="1"/>
  <c r="AR3651" i="5" s="1"/>
  <c r="AS1985" i="5"/>
  <c r="AM2289" i="5"/>
  <c r="AT1872" i="5"/>
  <c r="A3372" i="5"/>
  <c r="AT1844" i="5"/>
  <c r="AM1428" i="5"/>
  <c r="AS1413" i="5"/>
  <c r="AT836" i="5"/>
  <c r="AM308" i="5"/>
  <c r="A3297" i="5"/>
  <c r="AV3412" i="5"/>
  <c r="AW3412" i="5" s="1"/>
  <c r="AY3412" i="5" s="1"/>
  <c r="AT2190" i="5"/>
  <c r="AM2357" i="5"/>
  <c r="AT1448" i="5"/>
  <c r="AO3644" i="5"/>
  <c r="AP3644" i="5" s="1"/>
  <c r="AR3644" i="5" s="1"/>
  <c r="AM2198" i="5"/>
  <c r="AM2421" i="5"/>
  <c r="A3405" i="5"/>
  <c r="AS2182" i="5"/>
  <c r="G3556" i="5"/>
  <c r="H3556" i="5" s="1"/>
  <c r="X3548" i="5"/>
  <c r="F3556" i="5" s="1"/>
  <c r="AQ3870" i="5"/>
  <c r="C4830" i="5"/>
  <c r="G3565" i="5"/>
  <c r="H3565" i="5" s="1"/>
  <c r="F4889" i="5"/>
  <c r="P4296" i="5"/>
  <c r="G4299" i="5" s="1"/>
  <c r="H4299" i="5" s="1"/>
  <c r="F4707" i="5"/>
  <c r="F4711" i="5" s="1"/>
  <c r="W4712" i="5" s="1"/>
  <c r="AM2523" i="5"/>
  <c r="AS1108" i="5"/>
  <c r="AM2498" i="5"/>
  <c r="AM1669" i="5"/>
  <c r="Q212" i="5"/>
  <c r="Q227" i="5" s="1"/>
  <c r="AM1200" i="5"/>
  <c r="V4884" i="5"/>
  <c r="F4897" i="5" s="1"/>
  <c r="AS1907" i="5"/>
  <c r="AV3392" i="5"/>
  <c r="AW3392" i="5" s="1"/>
  <c r="AY3392" i="5" s="1"/>
  <c r="A3380" i="5"/>
  <c r="AT954" i="5"/>
  <c r="AS2088" i="5"/>
  <c r="A3972" i="5"/>
  <c r="AT1129" i="5"/>
  <c r="W4726" i="5"/>
  <c r="D3629" i="5"/>
  <c r="AM2435" i="5"/>
  <c r="AT2033" i="5"/>
  <c r="G3560" i="5"/>
  <c r="H3560" i="5" s="1"/>
  <c r="AT1378" i="5"/>
  <c r="A3870" i="5"/>
  <c r="AM416" i="5"/>
  <c r="AM2253" i="5"/>
  <c r="AS2210" i="5"/>
  <c r="AS919" i="5"/>
  <c r="AT1400" i="5"/>
  <c r="D3870" i="5"/>
  <c r="AM1909" i="5"/>
  <c r="AM2323" i="5"/>
  <c r="AT415" i="5"/>
  <c r="C4778" i="5"/>
  <c r="AT1498" i="5"/>
  <c r="AT1623" i="5"/>
  <c r="AV3378" i="5"/>
  <c r="AW3378" i="5" s="1"/>
  <c r="AY3378" i="5" s="1"/>
  <c r="AT505" i="5"/>
  <c r="AV3419" i="5"/>
  <c r="AW3419" i="5" s="1"/>
  <c r="AY3419" i="5" s="1"/>
  <c r="AT1322" i="5"/>
  <c r="X3549" i="5"/>
  <c r="F3560" i="5" s="1"/>
  <c r="AM2344" i="5"/>
  <c r="T3667" i="5"/>
  <c r="F3670" i="5" s="1"/>
  <c r="A3415" i="5"/>
  <c r="AV3430" i="5"/>
  <c r="AW3430" i="5" s="1"/>
  <c r="AY3430" i="5" s="1"/>
  <c r="AT2055" i="5"/>
  <c r="AM344" i="5"/>
  <c r="AS1894" i="5"/>
  <c r="AM452" i="5"/>
  <c r="AT1059" i="5"/>
  <c r="AM2021" i="5"/>
  <c r="AM1025" i="5"/>
  <c r="AT2026" i="5"/>
  <c r="AM1748" i="5"/>
  <c r="AO3865" i="5"/>
  <c r="AP3865" i="5" s="1"/>
  <c r="AR3865" i="5" s="1"/>
  <c r="AT1526" i="5"/>
  <c r="AT2476" i="5"/>
  <c r="AM2096" i="5"/>
  <c r="AT934" i="5"/>
  <c r="A3628" i="5"/>
  <c r="D3856" i="5"/>
  <c r="AS1838" i="5"/>
  <c r="AS1379" i="5"/>
  <c r="AM2260" i="5"/>
  <c r="AM764" i="5"/>
  <c r="AS1782" i="5"/>
  <c r="AT1227" i="5"/>
  <c r="F4802" i="5"/>
  <c r="M2939" i="5"/>
  <c r="L2939" i="5" s="1"/>
  <c r="M2918" i="5"/>
  <c r="L2918" i="5" s="1"/>
  <c r="AM2346" i="5"/>
  <c r="AM338" i="5"/>
  <c r="AT1060" i="5"/>
  <c r="AM2365" i="5"/>
  <c r="AV3458" i="5"/>
  <c r="AW3458" i="5" s="1"/>
  <c r="AS1442" i="5"/>
  <c r="AT1102" i="5"/>
  <c r="AV3467" i="5"/>
  <c r="AW3467" i="5" s="1"/>
  <c r="AT2238" i="5"/>
  <c r="AV3463" i="5"/>
  <c r="AW3463" i="5" s="1"/>
  <c r="N3363" i="5"/>
  <c r="N3442" i="5" s="1"/>
  <c r="M3442" i="5" s="1"/>
  <c r="F3442" i="5" s="1"/>
  <c r="L3442" i="5" s="1"/>
  <c r="AS1880" i="5"/>
  <c r="AM2055" i="5"/>
  <c r="AM2275" i="5"/>
  <c r="AM2536" i="5"/>
  <c r="I5244" i="5"/>
  <c r="F4803" i="5"/>
  <c r="C4803" i="5"/>
  <c r="T4307" i="5"/>
  <c r="F4310" i="5" s="1"/>
  <c r="AM2535" i="5"/>
  <c r="AV3441" i="5"/>
  <c r="AW3441" i="5" s="1"/>
  <c r="G4957" i="5"/>
  <c r="H4957" i="5" s="1"/>
  <c r="C5244" i="5"/>
  <c r="AT777" i="5"/>
  <c r="AM417" i="5"/>
  <c r="AT1817" i="5"/>
  <c r="AM2422" i="5"/>
  <c r="O206" i="5"/>
  <c r="F205" i="5" s="1"/>
  <c r="C4802" i="5"/>
  <c r="P198" i="5"/>
  <c r="F198" i="5" s="1"/>
  <c r="P212" i="5"/>
  <c r="G198" i="5"/>
  <c r="H198" i="5" s="1"/>
  <c r="AM1228" i="5"/>
  <c r="C4927" i="5"/>
  <c r="AM1631" i="5"/>
  <c r="AM533" i="5"/>
  <c r="A3422" i="5"/>
  <c r="A3416" i="5"/>
  <c r="O221" i="5"/>
  <c r="F220" i="5" s="1"/>
  <c r="AM825" i="5"/>
  <c r="AM534" i="5"/>
  <c r="AT367" i="5"/>
  <c r="A3867" i="5"/>
  <c r="AM1540" i="5"/>
  <c r="AS391" i="5"/>
  <c r="A5245" i="5"/>
  <c r="C5245" i="5" s="1"/>
  <c r="AS428" i="5"/>
  <c r="AS2462" i="5"/>
  <c r="AV3376" i="5"/>
  <c r="AW3376" i="5" s="1"/>
  <c r="AY3376" i="5" s="1"/>
  <c r="AM2276" i="5"/>
  <c r="N3877" i="5"/>
  <c r="M3877" i="5" s="1"/>
  <c r="F3877" i="5" s="1"/>
  <c r="L3877" i="5" s="1"/>
  <c r="A3370" i="5"/>
  <c r="P4309" i="5"/>
  <c r="T4309" i="5" s="1"/>
  <c r="F4314" i="5" s="1"/>
  <c r="AT2504" i="5"/>
  <c r="M2965" i="5"/>
  <c r="L2965" i="5" s="1"/>
  <c r="AM1819" i="5"/>
  <c r="AS694" i="5"/>
  <c r="N5240" i="5"/>
  <c r="A5246" i="5" s="1"/>
  <c r="A5247" i="5" s="1"/>
  <c r="C5247" i="5" s="1"/>
  <c r="AV3400" i="5"/>
  <c r="AW3400" i="5" s="1"/>
  <c r="AY3400" i="5" s="1"/>
  <c r="AV3444" i="5"/>
  <c r="AW3444" i="5" s="1"/>
  <c r="AM2296" i="5"/>
  <c r="AM519" i="5"/>
  <c r="AS1768" i="5"/>
  <c r="I5243" i="5"/>
  <c r="C5243" i="5"/>
  <c r="AT526" i="5"/>
  <c r="AS1351" i="5"/>
  <c r="Q4883" i="5"/>
  <c r="AM1351" i="5"/>
  <c r="AS638" i="5"/>
  <c r="G205" i="5"/>
  <c r="H205" i="5" s="1"/>
  <c r="AS1406" i="5"/>
  <c r="A3876" i="5"/>
  <c r="AM453" i="5"/>
  <c r="AM1245" i="5"/>
  <c r="AM2211" i="5"/>
  <c r="AM2183" i="5"/>
  <c r="AM2184" i="5"/>
  <c r="AS609" i="5"/>
  <c r="AM2197" i="5"/>
  <c r="AM2330" i="5"/>
  <c r="C5286" i="5"/>
  <c r="AT1449" i="5"/>
  <c r="AM1943" i="5"/>
  <c r="G3669" i="5"/>
  <c r="H3669" i="5" s="1"/>
  <c r="AM2519" i="5"/>
  <c r="N3441" i="5"/>
  <c r="M3441" i="5" s="1"/>
  <c r="F3441" i="5" s="1"/>
  <c r="L3441" i="5" s="1"/>
  <c r="AS2351" i="5"/>
  <c r="A5285" i="5"/>
  <c r="C5285" i="5" s="1"/>
  <c r="AM1724" i="5"/>
  <c r="AM1804" i="5"/>
  <c r="AQ3953" i="5"/>
  <c r="A3953" i="5"/>
  <c r="A3396" i="5"/>
  <c r="AS707" i="5"/>
  <c r="AM2247" i="5"/>
  <c r="AT2315" i="5"/>
  <c r="AS2399" i="5"/>
  <c r="AM2547" i="5"/>
  <c r="G3902" i="5"/>
  <c r="H3902" i="5" s="1"/>
  <c r="AM454" i="5"/>
  <c r="AM2083" i="5"/>
  <c r="AM2239" i="5"/>
  <c r="M4708" i="5"/>
  <c r="F4708" i="5" s="1"/>
  <c r="F4714" i="5" s="1"/>
  <c r="F4790" i="5"/>
  <c r="F3530" i="5"/>
  <c r="AM1244" i="5"/>
  <c r="AS1816" i="5"/>
  <c r="AM2442" i="5"/>
  <c r="AM2317" i="5"/>
  <c r="AM2274" i="5"/>
  <c r="AT2393" i="5"/>
  <c r="AM457" i="5"/>
  <c r="AV3431" i="5"/>
  <c r="AW3431" i="5" s="1"/>
  <c r="AY3431" i="5" s="1"/>
  <c r="AT1185" i="5"/>
  <c r="D4771" i="5"/>
  <c r="AM1414" i="5"/>
  <c r="G215" i="5"/>
  <c r="H215" i="5" s="1"/>
  <c r="A3403" i="5"/>
  <c r="AT2336" i="5"/>
  <c r="AT1434" i="5"/>
  <c r="AT295" i="5"/>
  <c r="AT1179" i="5"/>
  <c r="AM2204" i="5"/>
  <c r="AM2477" i="5"/>
  <c r="AM2218" i="5"/>
  <c r="AM422" i="5"/>
  <c r="G4464" i="5"/>
  <c r="H4464" i="5" s="1"/>
  <c r="Q4466" i="5"/>
  <c r="Q4463" i="5"/>
  <c r="F4464" i="5" s="1"/>
  <c r="AM2337" i="5"/>
  <c r="AM428" i="5"/>
  <c r="AS1901" i="5"/>
  <c r="AM1944" i="5"/>
  <c r="AV3386" i="5"/>
  <c r="AW3386" i="5" s="1"/>
  <c r="AY3386" i="5" s="1"/>
  <c r="F5154" i="5"/>
  <c r="A5241" i="5"/>
  <c r="C5240" i="5"/>
  <c r="AM1172" i="5"/>
  <c r="AM1088" i="5"/>
  <c r="AT1476" i="5"/>
  <c r="AT1873" i="5"/>
  <c r="C5283" i="5"/>
  <c r="R227" i="5"/>
  <c r="G230" i="5" s="1"/>
  <c r="H230" i="5" s="1"/>
  <c r="A3368" i="5"/>
  <c r="AT2491" i="5"/>
  <c r="AS1095" i="5"/>
  <c r="AM2281" i="5"/>
  <c r="Q5150" i="5"/>
  <c r="V5150" i="5" s="1"/>
  <c r="F5157" i="5" s="1"/>
  <c r="AM1067" i="5"/>
  <c r="AM934" i="5"/>
  <c r="AT1761" i="5"/>
  <c r="AT2477" i="5"/>
  <c r="AS2392" i="5"/>
  <c r="A3865" i="5"/>
  <c r="AM2364" i="5"/>
  <c r="I5291" i="5"/>
  <c r="AM1951" i="5"/>
  <c r="AT1760" i="5"/>
  <c r="AM2428" i="5"/>
  <c r="I26" i="11"/>
  <c r="Q19" i="10"/>
  <c r="AM2478" i="5"/>
  <c r="D3865" i="5"/>
  <c r="AS1963" i="5"/>
  <c r="AT1914" i="5"/>
  <c r="AS1859" i="5"/>
  <c r="AT2266" i="5"/>
  <c r="AM1323" i="5"/>
  <c r="AS1364" i="5"/>
  <c r="M26" i="11"/>
  <c r="AS1151" i="5"/>
  <c r="AM2212" i="5"/>
  <c r="AM2517" i="5"/>
  <c r="C5290" i="5"/>
  <c r="AM2506" i="5"/>
  <c r="AS2541" i="5"/>
  <c r="AT1936" i="5"/>
  <c r="AM2205" i="5"/>
  <c r="R20" i="11"/>
  <c r="R24" i="11" s="1"/>
  <c r="R28" i="11" s="1"/>
  <c r="AM997" i="5"/>
  <c r="P24" i="11"/>
  <c r="AM2042" i="5"/>
  <c r="AS1483" i="5"/>
  <c r="AM2177" i="5"/>
  <c r="AT1858" i="5"/>
  <c r="P20" i="11"/>
  <c r="AS1554" i="5"/>
  <c r="AV3393" i="5"/>
  <c r="AW3393" i="5" s="1"/>
  <c r="AY3393" i="5" s="1"/>
  <c r="AS736" i="5"/>
  <c r="C47" i="11"/>
  <c r="P41" i="11"/>
  <c r="C45" i="11"/>
  <c r="AT498" i="5"/>
  <c r="I5290" i="5"/>
  <c r="N4669" i="5"/>
  <c r="A4669" i="5" s="1"/>
  <c r="C4669" i="5" s="1"/>
  <c r="AT1866" i="5"/>
  <c r="AM302" i="5"/>
  <c r="D47" i="11"/>
  <c r="D45" i="11"/>
  <c r="F4883" i="5"/>
  <c r="AM1004" i="5"/>
  <c r="AT2081" i="5"/>
  <c r="AM314" i="5"/>
  <c r="AV3493" i="5"/>
  <c r="AW3493" i="5" s="1"/>
  <c r="AV3479" i="5"/>
  <c r="AW3479" i="5" s="1"/>
  <c r="AV3471" i="5"/>
  <c r="AW3471" i="5" s="1"/>
  <c r="AS785" i="5"/>
  <c r="AT785" i="5"/>
  <c r="AM367" i="5"/>
  <c r="AM1668" i="5"/>
  <c r="AV3446" i="5"/>
  <c r="AW3446" i="5" s="1"/>
  <c r="AV3502" i="5"/>
  <c r="AW3502" i="5" s="1"/>
  <c r="AV3451" i="5"/>
  <c r="AW3451" i="5" s="1"/>
  <c r="AV3497" i="5"/>
  <c r="AW3497" i="5" s="1"/>
  <c r="AV3485" i="5"/>
  <c r="AW3485" i="5" s="1"/>
  <c r="AV3440" i="5"/>
  <c r="AW3440" i="5" s="1"/>
  <c r="AV3447" i="5"/>
  <c r="AW3447" i="5" s="1"/>
  <c r="AM1972" i="5"/>
  <c r="AM1707" i="5"/>
  <c r="AM1687" i="5"/>
  <c r="M2916" i="5"/>
  <c r="L2916" i="5" s="1"/>
  <c r="AV3454" i="5"/>
  <c r="AW3454" i="5" s="1"/>
  <c r="M2987" i="5"/>
  <c r="L2987" i="5" s="1"/>
  <c r="AV3472" i="5"/>
  <c r="AW3472" i="5" s="1"/>
  <c r="AV3457" i="5"/>
  <c r="AW3457" i="5" s="1"/>
  <c r="AV3503" i="5"/>
  <c r="AW3503" i="5" s="1"/>
  <c r="AV3489" i="5"/>
  <c r="AW3489" i="5" s="1"/>
  <c r="AV3496" i="5"/>
  <c r="AW3496" i="5" s="1"/>
  <c r="AM304" i="5"/>
  <c r="AV3480" i="5"/>
  <c r="AW3480" i="5" s="1"/>
  <c r="AV3459" i="5"/>
  <c r="AW3459" i="5" s="1"/>
  <c r="AV3450" i="5"/>
  <c r="AW3450" i="5" s="1"/>
  <c r="AV3484" i="5"/>
  <c r="AW3484" i="5" s="1"/>
  <c r="AV3492" i="5"/>
  <c r="AW3492" i="5" s="1"/>
  <c r="AV3443" i="5"/>
  <c r="AW3443" i="5" s="1"/>
  <c r="AV3465" i="5"/>
  <c r="AW3465" i="5" s="1"/>
  <c r="AT2350" i="5"/>
  <c r="AM638" i="5"/>
  <c r="AV3445" i="5"/>
  <c r="AW3445" i="5" s="1"/>
  <c r="M2990" i="5"/>
  <c r="L2990" i="5" s="1"/>
  <c r="AM1686" i="5"/>
  <c r="AV3509" i="5"/>
  <c r="AW3509" i="5" s="1"/>
  <c r="AV3460" i="5"/>
  <c r="AW3460" i="5" s="1"/>
  <c r="AV3477" i="5"/>
  <c r="AW3477" i="5" s="1"/>
  <c r="AO3628" i="5"/>
  <c r="AP3628" i="5" s="1"/>
  <c r="AR3628" i="5" s="1"/>
  <c r="AV3473" i="5"/>
  <c r="AW3473" i="5" s="1"/>
  <c r="AV3461" i="5"/>
  <c r="AW3461" i="5" s="1"/>
  <c r="AV3466" i="5"/>
  <c r="AW3466" i="5" s="1"/>
  <c r="AV3456" i="5"/>
  <c r="AW3456" i="5" s="1"/>
  <c r="AV3510" i="5"/>
  <c r="AW3510" i="5" s="1"/>
  <c r="AV3491" i="5"/>
  <c r="AW3491" i="5" s="1"/>
  <c r="AV3464" i="5"/>
  <c r="AW3464" i="5" s="1"/>
  <c r="AM1854" i="5"/>
  <c r="AV3452" i="5"/>
  <c r="AW3452" i="5" s="1"/>
  <c r="M2917" i="5"/>
  <c r="L2917" i="5" s="1"/>
  <c r="W4719" i="5"/>
  <c r="AV3481" i="5"/>
  <c r="AW3481" i="5" s="1"/>
  <c r="AV3487" i="5"/>
  <c r="AW3487" i="5" s="1"/>
  <c r="AV3507" i="5"/>
  <c r="AW3507" i="5" s="1"/>
  <c r="AV3500" i="5"/>
  <c r="AW3500" i="5" s="1"/>
  <c r="AT1435" i="5"/>
  <c r="AM970" i="5"/>
  <c r="AT2448" i="5"/>
  <c r="AM444" i="5"/>
  <c r="AT2386" i="5"/>
  <c r="AM2372" i="5"/>
  <c r="M2966" i="5"/>
  <c r="L2966" i="5" s="1"/>
  <c r="AV3512" i="5"/>
  <c r="AW3512" i="5" s="1"/>
  <c r="AV3469" i="5"/>
  <c r="AW3469" i="5" s="1"/>
  <c r="AT1589" i="5"/>
  <c r="M2942" i="5"/>
  <c r="L2942" i="5" s="1"/>
  <c r="AV3504" i="5"/>
  <c r="AW3504" i="5" s="1"/>
  <c r="AM473" i="5"/>
  <c r="AV3470" i="5"/>
  <c r="AW3470" i="5" s="1"/>
  <c r="AM1630" i="5"/>
  <c r="AV3501" i="5"/>
  <c r="AW3501" i="5" s="1"/>
  <c r="AV3455" i="5"/>
  <c r="AW3455" i="5" s="1"/>
  <c r="AV3478" i="5"/>
  <c r="AW3478" i="5" s="1"/>
  <c r="M2964" i="5"/>
  <c r="L2964" i="5" s="1"/>
  <c r="AV3511" i="5"/>
  <c r="AW3511" i="5" s="1"/>
  <c r="AV3449" i="5"/>
  <c r="AW3449" i="5" s="1"/>
  <c r="AM423" i="5"/>
  <c r="AV3442" i="5"/>
  <c r="AW3442" i="5" s="1"/>
  <c r="AV3483" i="5"/>
  <c r="AW3483" i="5" s="1"/>
  <c r="AT996" i="5"/>
  <c r="AM1930" i="5"/>
  <c r="AM1053" i="5"/>
  <c r="A5168" i="5"/>
  <c r="C5168" i="5" s="1"/>
  <c r="AM2553" i="5"/>
  <c r="AM1144" i="5"/>
  <c r="AM1239" i="5"/>
  <c r="A3304" i="5"/>
  <c r="AM1547" i="5"/>
  <c r="AM603" i="5"/>
  <c r="AS2371" i="5"/>
  <c r="AM680" i="5"/>
  <c r="G212" i="5"/>
  <c r="H212" i="5" s="1"/>
  <c r="AM1352" i="5"/>
  <c r="O227" i="5"/>
  <c r="AM575" i="5"/>
  <c r="AS1978" i="5"/>
  <c r="N3643" i="5"/>
  <c r="M3643" i="5" s="1"/>
  <c r="F3643" i="5" s="1"/>
  <c r="L3643" i="5" s="1"/>
  <c r="M2988" i="5"/>
  <c r="L2988" i="5" s="1"/>
  <c r="M2963" i="5"/>
  <c r="L2963" i="5" s="1"/>
  <c r="M2989" i="5"/>
  <c r="L2989" i="5" s="1"/>
  <c r="M2915" i="5"/>
  <c r="L2915" i="5" s="1"/>
  <c r="M2941" i="5"/>
  <c r="L2941" i="5" s="1"/>
  <c r="AM404" i="5"/>
  <c r="AM596" i="5"/>
  <c r="G4310" i="5"/>
  <c r="H4310" i="5" s="1"/>
  <c r="AM1393" i="5"/>
  <c r="T213" i="5"/>
  <c r="F217" i="5" s="1"/>
  <c r="AM2524" i="5"/>
  <c r="T4308" i="5"/>
  <c r="F4312" i="5" s="1"/>
  <c r="AM694" i="5"/>
  <c r="AM2386" i="5"/>
  <c r="AS2546" i="5"/>
  <c r="AT2498" i="5"/>
  <c r="S3752" i="5"/>
  <c r="F3752" i="5" s="1"/>
  <c r="AS2516" i="5"/>
  <c r="AT1686" i="5"/>
  <c r="AT1123" i="5"/>
  <c r="AS1392" i="5"/>
  <c r="AS1504" i="5"/>
  <c r="AT1616" i="5"/>
  <c r="AM2022" i="5"/>
  <c r="AM771" i="5"/>
  <c r="AS1789" i="5"/>
  <c r="S228" i="5"/>
  <c r="F231" i="5" s="1"/>
  <c r="F5006" i="5"/>
  <c r="AS2054" i="5"/>
  <c r="AS2535" i="5"/>
  <c r="AS1115" i="5"/>
  <c r="P3753" i="5"/>
  <c r="AT1610" i="5"/>
  <c r="AT1144" i="5"/>
  <c r="AT1645" i="5"/>
  <c r="AT616" i="5"/>
  <c r="F3532" i="5"/>
  <c r="AS1774" i="5"/>
  <c r="AM1624" i="5"/>
  <c r="AT2217" i="5"/>
  <c r="AM1532" i="5"/>
  <c r="G217" i="5"/>
  <c r="H217" i="5" s="1"/>
  <c r="A3289" i="5"/>
  <c r="AM2449" i="5"/>
  <c r="AM2056" i="5"/>
  <c r="AS1950" i="5"/>
  <c r="M4522" i="5"/>
  <c r="F4522" i="5" s="1"/>
  <c r="N3638" i="5"/>
  <c r="N3648" i="5" s="1"/>
  <c r="M3648" i="5" s="1"/>
  <c r="F3648" i="5" s="1"/>
  <c r="L3648" i="5" s="1"/>
  <c r="N3629" i="5"/>
  <c r="AS1365" i="5"/>
  <c r="AT1365" i="5"/>
  <c r="AS1845" i="5"/>
  <c r="AT1845" i="5"/>
  <c r="AM526" i="5"/>
  <c r="AM624" i="5"/>
  <c r="AM2035" i="5"/>
  <c r="AM2013" i="5"/>
  <c r="AM1657" i="5"/>
  <c r="AM955" i="5"/>
  <c r="P3563" i="5"/>
  <c r="G3563" i="5" s="1"/>
  <c r="H3563" i="5" s="1"/>
  <c r="AM320" i="5"/>
  <c r="AM2350" i="5"/>
  <c r="AS2089" i="5"/>
  <c r="AM1449" i="5"/>
  <c r="AM948" i="5"/>
  <c r="G4953" i="5"/>
  <c r="H4953" i="5" s="1"/>
  <c r="AM1158" i="5"/>
  <c r="AM1917" i="5"/>
  <c r="A3856" i="5"/>
  <c r="AT1046" i="5"/>
  <c r="AM625" i="5"/>
  <c r="AM363" i="5"/>
  <c r="AM2057" i="5"/>
  <c r="AS2301" i="5"/>
  <c r="V3549" i="5"/>
  <c r="F3558" i="5" s="1"/>
  <c r="AM1470" i="5"/>
  <c r="AM392" i="5"/>
  <c r="AM2190" i="5"/>
  <c r="N3953" i="5"/>
  <c r="M3953" i="5" s="1"/>
  <c r="F3953" i="5" s="1"/>
  <c r="L3953" i="5" s="1"/>
  <c r="AS2469" i="5"/>
  <c r="AS778" i="5"/>
  <c r="AS1809" i="5"/>
  <c r="A5195" i="5"/>
  <c r="C5195" i="5" s="1"/>
  <c r="AT2183" i="5"/>
  <c r="AM518" i="5"/>
  <c r="AM433" i="5"/>
  <c r="AS525" i="5"/>
  <c r="AT2246" i="5"/>
  <c r="AM1173" i="5"/>
  <c r="U4883" i="5"/>
  <c r="M3213" i="5"/>
  <c r="F3213" i="5" s="1"/>
  <c r="L3213" i="5" s="1"/>
  <c r="AQ3856" i="5"/>
  <c r="M2816" i="5"/>
  <c r="L2816" i="5" s="1"/>
  <c r="M2840" i="5"/>
  <c r="L2840" i="5" s="1"/>
  <c r="M2817" i="5"/>
  <c r="L2817" i="5" s="1"/>
  <c r="M2842" i="5"/>
  <c r="L2842" i="5" s="1"/>
  <c r="AS701" i="5"/>
  <c r="AT1414" i="5"/>
  <c r="AM326" i="5"/>
  <c r="AM398" i="5"/>
  <c r="AM2511" i="5"/>
  <c r="C5193" i="5"/>
  <c r="AM2387" i="5"/>
  <c r="W4701" i="5"/>
  <c r="AM2450" i="5"/>
  <c r="M2841" i="5"/>
  <c r="L2841" i="5" s="1"/>
  <c r="M2864" i="5"/>
  <c r="L2864" i="5" s="1"/>
  <c r="M2890" i="5"/>
  <c r="L2890" i="5" s="1"/>
  <c r="M2839" i="5"/>
  <c r="L2839" i="5" s="1"/>
  <c r="AT1512" i="5"/>
  <c r="AS1512" i="5"/>
  <c r="AS2344" i="5"/>
  <c r="AT2344" i="5"/>
  <c r="Z2798" i="5"/>
  <c r="M2821" i="5" s="1"/>
  <c r="L2821" i="5" s="1"/>
  <c r="AT1747" i="5"/>
  <c r="AS1747" i="5"/>
  <c r="AS1631" i="5"/>
  <c r="AT1631" i="5"/>
  <c r="AS1795" i="5"/>
  <c r="AT1795" i="5"/>
  <c r="M2865" i="5"/>
  <c r="L2865" i="5" s="1"/>
  <c r="AT1992" i="5"/>
  <c r="AS1992" i="5"/>
  <c r="AM429" i="5"/>
  <c r="AM899" i="5"/>
  <c r="AM806" i="5"/>
  <c r="AT1886" i="5"/>
  <c r="F3272" i="5"/>
  <c r="L3272" i="5" s="1"/>
  <c r="AV3499" i="5"/>
  <c r="AW3499" i="5" s="1"/>
  <c r="AM352" i="5"/>
  <c r="AS2552" i="5"/>
  <c r="AM2408" i="5"/>
  <c r="AM554" i="5"/>
  <c r="AS1644" i="5"/>
  <c r="AM763" i="5"/>
  <c r="AM1589" i="5"/>
  <c r="AM701" i="5"/>
  <c r="AM393" i="5"/>
  <c r="A3634" i="5"/>
  <c r="AM962" i="5"/>
  <c r="AM1116" i="5"/>
  <c r="A5155" i="5"/>
  <c r="F5155" i="5" s="1"/>
  <c r="AO3951" i="5"/>
  <c r="AP3951" i="5" s="1"/>
  <c r="AR3951" i="5" s="1"/>
  <c r="AS1087" i="5"/>
  <c r="AM2443" i="5"/>
  <c r="AM1965" i="5"/>
  <c r="G5009" i="5"/>
  <c r="H5009" i="5" s="1"/>
  <c r="AM1081" i="5"/>
  <c r="V5002" i="5"/>
  <c r="F5009" i="5" s="1"/>
  <c r="AQ3951" i="5"/>
  <c r="AM750" i="5"/>
  <c r="AM1519" i="5"/>
  <c r="AM1400" i="5"/>
  <c r="D3951" i="5"/>
  <c r="AM1263" i="5"/>
  <c r="AM855" i="5"/>
  <c r="AM405" i="5"/>
  <c r="AM616" i="5"/>
  <c r="AM785" i="5"/>
  <c r="AM1568" i="5"/>
  <c r="AM2400" i="5"/>
  <c r="AM927" i="5"/>
  <c r="AM1637" i="5"/>
  <c r="AT554" i="5"/>
  <c r="AM387" i="5"/>
  <c r="AT1837" i="5"/>
  <c r="AT2483" i="5"/>
  <c r="AM715" i="5"/>
  <c r="AM1358" i="5"/>
  <c r="AM434" i="5"/>
  <c r="AM1234" i="5"/>
  <c r="F5151" i="5"/>
  <c r="AM443" i="5"/>
  <c r="AM765" i="5"/>
  <c r="AM513" i="5"/>
  <c r="AM1208" i="5"/>
  <c r="AM357" i="5"/>
  <c r="AT1441" i="5"/>
  <c r="AT1971" i="5"/>
  <c r="AM1074" i="5"/>
  <c r="A5152" i="5"/>
  <c r="G5152" i="5" s="1"/>
  <c r="H5152" i="5" s="1"/>
  <c r="AM921" i="5"/>
  <c r="AT1561" i="5"/>
  <c r="AM1251" i="5"/>
  <c r="AM460" i="5"/>
  <c r="AM976" i="5"/>
  <c r="AO3957" i="5"/>
  <c r="AP3957" i="5" s="1"/>
  <c r="AR3957" i="5" s="1"/>
  <c r="AM892" i="5"/>
  <c r="D3632" i="5"/>
  <c r="A5161" i="5"/>
  <c r="G5161" i="5" s="1"/>
  <c r="H5161" i="5" s="1"/>
  <c r="AM561" i="5"/>
  <c r="AS1004" i="5"/>
  <c r="AO3955" i="5"/>
  <c r="AP3955" i="5" s="1"/>
  <c r="AR3955" i="5" s="1"/>
  <c r="G28" i="11"/>
  <c r="N3870" i="5"/>
  <c r="N3879" i="5" s="1"/>
  <c r="M3879" i="5" s="1"/>
  <c r="F3879" i="5" s="1"/>
  <c r="L3879" i="5" s="1"/>
  <c r="AM998" i="5"/>
  <c r="AS1539" i="5"/>
  <c r="AV3287" i="5"/>
  <c r="AW3287" i="5" s="1"/>
  <c r="AY3287" i="5" s="1"/>
  <c r="AM983" i="5"/>
  <c r="AM1316" i="5"/>
  <c r="AS2218" i="5"/>
  <c r="AM362" i="5"/>
  <c r="AM751" i="5"/>
  <c r="AM1130" i="5"/>
  <c r="AM439" i="5"/>
  <c r="AT1532" i="5"/>
  <c r="AS1532" i="5"/>
  <c r="G4073" i="5"/>
  <c r="H4073" i="5" s="1"/>
  <c r="F4908" i="5"/>
  <c r="AQ3955" i="5"/>
  <c r="AM1491" i="5"/>
  <c r="AM532" i="5"/>
  <c r="AM370" i="5"/>
  <c r="AM1498" i="5"/>
  <c r="AM1186" i="5"/>
  <c r="D3955" i="5"/>
  <c r="N3286" i="5"/>
  <c r="N3287" i="5" s="1"/>
  <c r="N3366" i="5" s="1"/>
  <c r="N3445" i="5" s="1"/>
  <c r="M3445" i="5" s="1"/>
  <c r="F3445" i="5" s="1"/>
  <c r="L3445" i="5" s="1"/>
  <c r="AM1448" i="5"/>
  <c r="AM1561" i="5"/>
  <c r="S3750" i="5"/>
  <c r="F3750" i="5" s="1"/>
  <c r="AM722" i="5"/>
  <c r="AS1669" i="5"/>
  <c r="R221" i="5"/>
  <c r="F223" i="5" s="1"/>
  <c r="A3957" i="5"/>
  <c r="AM2316" i="5"/>
  <c r="AM941" i="5"/>
  <c r="AS589" i="5"/>
  <c r="AM836" i="5"/>
  <c r="AT1915" i="5"/>
  <c r="AM2094" i="5"/>
  <c r="A5165" i="5"/>
  <c r="C5165" i="5" s="1"/>
  <c r="AT2330" i="5"/>
  <c r="G5154" i="5"/>
  <c r="H5154" i="5" s="1"/>
  <c r="AT2062" i="5"/>
  <c r="N3634" i="5"/>
  <c r="M3634" i="5" s="1"/>
  <c r="F3634" i="5" s="1"/>
  <c r="L3634" i="5" s="1"/>
  <c r="N3973" i="5"/>
  <c r="M3973" i="5" s="1"/>
  <c r="F3973" i="5" s="1"/>
  <c r="L3973" i="5" s="1"/>
  <c r="AM1221" i="5"/>
  <c r="AM1095" i="5"/>
  <c r="AM491" i="5"/>
  <c r="AV3505" i="5"/>
  <c r="AW3505" i="5" s="1"/>
  <c r="M3284" i="5"/>
  <c r="F3284" i="5" s="1"/>
  <c r="L3284" i="5" s="1"/>
  <c r="N3364" i="5"/>
  <c r="N3443" i="5" s="1"/>
  <c r="M3443" i="5" s="1"/>
  <c r="F3443" i="5" s="1"/>
  <c r="L3443" i="5" s="1"/>
  <c r="AV3488" i="5"/>
  <c r="AW3488" i="5" s="1"/>
  <c r="M3162" i="5"/>
  <c r="F3162" i="5" s="1"/>
  <c r="L3162" i="5" s="1"/>
  <c r="AM1032" i="5"/>
  <c r="AM2379" i="5"/>
  <c r="M3163" i="5"/>
  <c r="F3163" i="5" s="1"/>
  <c r="L3163" i="5" s="1"/>
  <c r="AS2547" i="5"/>
  <c r="AM1372" i="5"/>
  <c r="AT2421" i="5"/>
  <c r="N3961" i="5"/>
  <c r="N3396" i="5"/>
  <c r="N3475" i="5" s="1"/>
  <c r="M3475" i="5" s="1"/>
  <c r="F3475" i="5" s="1"/>
  <c r="L3475" i="5" s="1"/>
  <c r="AM1505" i="5"/>
  <c r="AM2254" i="5"/>
  <c r="AM547" i="5"/>
  <c r="AM1680" i="5"/>
  <c r="AM1651" i="5"/>
  <c r="AM418" i="5"/>
  <c r="F4770" i="5"/>
  <c r="AM860" i="5"/>
  <c r="AM1692" i="5"/>
  <c r="D3953" i="5"/>
  <c r="M3085" i="5"/>
  <c r="F3085" i="5" s="1"/>
  <c r="L3085" i="5" s="1"/>
  <c r="AM535" i="5"/>
  <c r="F4774" i="5"/>
  <c r="M3178" i="5"/>
  <c r="F3178" i="5" s="1"/>
  <c r="L3178" i="5" s="1"/>
  <c r="AT975" i="5"/>
  <c r="A3291" i="5"/>
  <c r="AM1365" i="5"/>
  <c r="AM1109" i="5"/>
  <c r="AM1525" i="5"/>
  <c r="AM321" i="5"/>
  <c r="AM291" i="5"/>
  <c r="AM449" i="5"/>
  <c r="AT1193" i="5"/>
  <c r="Q4655" i="5"/>
  <c r="F4655" i="5" s="1"/>
  <c r="G4655" i="5"/>
  <c r="H4655" i="5" s="1"/>
  <c r="AS1518" i="5"/>
  <c r="A3861" i="5"/>
  <c r="AT1656" i="5"/>
  <c r="AV3468" i="5"/>
  <c r="AW3468" i="5" s="1"/>
  <c r="AQ3861" i="5"/>
  <c r="AM1945" i="5"/>
  <c r="AV3474" i="5"/>
  <c r="AW3474" i="5" s="1"/>
  <c r="AV3498" i="5"/>
  <c r="AW3498" i="5" s="1"/>
  <c r="D3861" i="5"/>
  <c r="A3632" i="5"/>
  <c r="AT1462" i="5"/>
  <c r="AQ3632" i="5"/>
  <c r="AM333" i="5"/>
  <c r="AM2261" i="5"/>
  <c r="AM1623" i="5"/>
  <c r="AM702" i="5"/>
  <c r="AM1435" i="5"/>
  <c r="AM2123" i="5"/>
  <c r="AV3301" i="5"/>
  <c r="AW3301" i="5" s="1"/>
  <c r="AY3301" i="5" s="1"/>
  <c r="AT666" i="5"/>
  <c r="AT1137" i="5"/>
  <c r="AM1901" i="5"/>
  <c r="AM2499" i="5"/>
  <c r="AM1179" i="5"/>
  <c r="AM1427" i="5"/>
  <c r="I5078" i="5"/>
  <c r="AV3307" i="5"/>
  <c r="AW3307" i="5" s="1"/>
  <c r="AY3307" i="5" s="1"/>
  <c r="AM610" i="5"/>
  <c r="AQ3629" i="5"/>
  <c r="AT1350" i="5"/>
  <c r="AM1950" i="5"/>
  <c r="AV3330" i="5"/>
  <c r="AW3330" i="5" s="1"/>
  <c r="AY3330" i="5" s="1"/>
  <c r="AT913" i="5"/>
  <c r="AS913" i="5"/>
  <c r="AM1761" i="5"/>
  <c r="AV3475" i="5"/>
  <c r="AW3475" i="5" s="1"/>
  <c r="AM778" i="5"/>
  <c r="AT1081" i="5"/>
  <c r="AS2122" i="5"/>
  <c r="AT2122" i="5"/>
  <c r="AS837" i="5"/>
  <c r="AT837" i="5"/>
  <c r="AM2107" i="5"/>
  <c r="AT504" i="5"/>
  <c r="AS504" i="5"/>
  <c r="AM786" i="5"/>
  <c r="AM831" i="5"/>
  <c r="AT1130" i="5"/>
  <c r="AS2005" i="5"/>
  <c r="AS892" i="5"/>
  <c r="AM1795" i="5"/>
  <c r="AS533" i="5"/>
  <c r="AT533" i="5"/>
  <c r="AM1344" i="5"/>
  <c r="D3857" i="5"/>
  <c r="AM800" i="5"/>
  <c r="AM2456" i="5"/>
  <c r="AV3312" i="5"/>
  <c r="AW3312" i="5" s="1"/>
  <c r="AY3312" i="5" s="1"/>
  <c r="D3855" i="5"/>
  <c r="AT1491" i="5"/>
  <c r="AM1343" i="5"/>
  <c r="AS1031" i="5"/>
  <c r="AM1603" i="5"/>
  <c r="AM813" i="5"/>
  <c r="AM1645" i="5"/>
  <c r="AM2267" i="5"/>
  <c r="A3857" i="5"/>
  <c r="AM1554" i="5"/>
  <c r="AM411" i="5"/>
  <c r="AO3857" i="5"/>
  <c r="AP3857" i="5" s="1"/>
  <c r="AR3857" i="5" s="1"/>
  <c r="AV3476" i="5"/>
  <c r="AW3476" i="5" s="1"/>
  <c r="AS1329" i="5"/>
  <c r="AT1329" i="5"/>
  <c r="AS3950" i="5"/>
  <c r="AT1172" i="5"/>
  <c r="AS1172" i="5"/>
  <c r="AS948" i="5"/>
  <c r="AT948" i="5"/>
  <c r="AS1116" i="5"/>
  <c r="AT1116" i="5"/>
  <c r="AT2316" i="5"/>
  <c r="AS813" i="5"/>
  <c r="AT813" i="5"/>
  <c r="AS645" i="5"/>
  <c r="AT645" i="5"/>
  <c r="AS1199" i="5"/>
  <c r="AT1199" i="5"/>
  <c r="AS1358" i="5"/>
  <c r="AT1358" i="5"/>
  <c r="AS1497" i="5"/>
  <c r="AT1497" i="5"/>
  <c r="AV3448" i="5"/>
  <c r="AW3448" i="5" s="1"/>
  <c r="AM1407" i="5"/>
  <c r="AV3353" i="5"/>
  <c r="AW3353" i="5" s="1"/>
  <c r="AY3353" i="5" s="1"/>
  <c r="AM1942" i="5"/>
  <c r="D3957" i="5"/>
  <c r="AM1999" i="5"/>
  <c r="AV3343" i="5"/>
  <c r="AW3343" i="5" s="1"/>
  <c r="AY3343" i="5" s="1"/>
  <c r="AV3333" i="5"/>
  <c r="AW3333" i="5" s="1"/>
  <c r="AY3333" i="5" s="1"/>
  <c r="AM512" i="5"/>
  <c r="AM576" i="5"/>
  <c r="I5293" i="5"/>
  <c r="A5294" i="5"/>
  <c r="C5294" i="5" s="1"/>
  <c r="C5292" i="5"/>
  <c r="AV3350" i="5"/>
  <c r="AW3350" i="5" s="1"/>
  <c r="AY3350" i="5" s="1"/>
  <c r="AS2427" i="5"/>
  <c r="AM838" i="5"/>
  <c r="A3950" i="5"/>
  <c r="AM1322" i="5"/>
  <c r="AM386" i="5"/>
  <c r="AM799" i="5"/>
  <c r="AM505" i="5"/>
  <c r="A3348" i="5"/>
  <c r="C5151" i="5"/>
  <c r="AM687" i="5"/>
  <c r="AM779" i="5"/>
  <c r="A3344" i="5"/>
  <c r="AM688" i="5"/>
  <c r="A3310" i="5"/>
  <c r="AQ3860" i="5"/>
  <c r="A3294" i="5"/>
  <c r="AM1957" i="5"/>
  <c r="A3290" i="5"/>
  <c r="AM2491" i="5"/>
  <c r="AM1484" i="5"/>
  <c r="AM1908" i="5"/>
  <c r="A3332" i="5"/>
  <c r="AM1582" i="5"/>
  <c r="AM743" i="5"/>
  <c r="G4656" i="5"/>
  <c r="H4656" i="5" s="1"/>
  <c r="P4657" i="5"/>
  <c r="Q4657" i="5" s="1"/>
  <c r="F4657" i="5" s="1"/>
  <c r="AM1747" i="5"/>
  <c r="AM555" i="5"/>
  <c r="AM2415" i="5"/>
  <c r="AM1617" i="5"/>
  <c r="AM2062" i="5"/>
  <c r="AV3303" i="5"/>
  <c r="AW3303" i="5" s="1"/>
  <c r="AY3303" i="5" s="1"/>
  <c r="AM744" i="5"/>
  <c r="AM1337" i="5"/>
  <c r="AO3858" i="5"/>
  <c r="AP3858" i="5" s="1"/>
  <c r="AR3858" i="5" s="1"/>
  <c r="AM1929" i="5"/>
  <c r="AM1193" i="5"/>
  <c r="AS2455" i="5"/>
  <c r="AV3323" i="5"/>
  <c r="AW3323" i="5" s="1"/>
  <c r="AY3323" i="5" s="1"/>
  <c r="AM2484" i="5"/>
  <c r="AM2088" i="5"/>
  <c r="AM541" i="5"/>
  <c r="AM1330" i="5"/>
  <c r="AT1921" i="5"/>
  <c r="AS1921" i="5"/>
  <c r="AM2295" i="5"/>
  <c r="A3285" i="5"/>
  <c r="A3352" i="5"/>
  <c r="AM1442" i="5"/>
  <c r="AM1512" i="5"/>
  <c r="G4908" i="5"/>
  <c r="H4908" i="5" s="1"/>
  <c r="AM1964" i="5"/>
  <c r="AM583" i="5"/>
  <c r="AM652" i="5"/>
  <c r="AM681" i="5"/>
  <c r="M3864" i="5"/>
  <c r="F3864" i="5" s="1"/>
  <c r="L3864" i="5" s="1"/>
  <c r="AM807" i="5"/>
  <c r="AM1596" i="5"/>
  <c r="AM589" i="5"/>
  <c r="AM1610" i="5"/>
  <c r="AT2551" i="5"/>
  <c r="AM2020" i="5"/>
  <c r="A3347" i="5"/>
  <c r="AM1985" i="5"/>
  <c r="AM758" i="5"/>
  <c r="AV3305" i="5"/>
  <c r="AW3305" i="5" s="1"/>
  <c r="AY3305" i="5" s="1"/>
  <c r="AM1810" i="5"/>
  <c r="AM1663" i="5"/>
  <c r="AM597" i="5"/>
  <c r="AV3299" i="5"/>
  <c r="AW3299" i="5" s="1"/>
  <c r="AY3299" i="5" s="1"/>
  <c r="AS1038" i="5"/>
  <c r="AT1038" i="5"/>
  <c r="AS1164" i="5"/>
  <c r="AT1164" i="5"/>
  <c r="AM520" i="5"/>
  <c r="A3339" i="5"/>
  <c r="AM770" i="5"/>
  <c r="AS637" i="5"/>
  <c r="AT637" i="5"/>
  <c r="AT1220" i="5"/>
  <c r="AS1220" i="5"/>
  <c r="AT1581" i="5"/>
  <c r="AS1581" i="5"/>
  <c r="AM2512" i="5"/>
  <c r="AM659" i="5"/>
  <c r="AT969" i="5"/>
  <c r="AS969" i="5"/>
  <c r="AT1998" i="5"/>
  <c r="AS1998" i="5"/>
  <c r="AT1803" i="5"/>
  <c r="AS1803" i="5"/>
  <c r="AT2456" i="5"/>
  <c r="AV3338" i="5"/>
  <c r="AW3338" i="5" s="1"/>
  <c r="AY3338" i="5" s="1"/>
  <c r="AM582" i="5"/>
  <c r="AS940" i="5"/>
  <c r="AT940" i="5"/>
  <c r="AT1025" i="5"/>
  <c r="AS1025" i="5"/>
  <c r="AS1052" i="5"/>
  <c r="AT1052" i="5"/>
  <c r="AM819" i="5"/>
  <c r="AS693" i="5"/>
  <c r="AT693" i="5"/>
  <c r="AT2358" i="5"/>
  <c r="AS2358" i="5"/>
  <c r="AS1753" i="5"/>
  <c r="AT1753" i="5"/>
  <c r="AM1768" i="5"/>
  <c r="A3319" i="5"/>
  <c r="H5087" i="5"/>
  <c r="AM1456" i="5"/>
  <c r="AM843" i="5"/>
  <c r="AS2294" i="5"/>
  <c r="AT2294" i="5"/>
  <c r="AM2041" i="5"/>
  <c r="AT610" i="5"/>
  <c r="AS610" i="5"/>
  <c r="AS722" i="5"/>
  <c r="AT722" i="5"/>
  <c r="AT1547" i="5"/>
  <c r="AS1547" i="5"/>
  <c r="AS1637" i="5"/>
  <c r="AT1637" i="5"/>
  <c r="AS1942" i="5"/>
  <c r="AT1942" i="5"/>
  <c r="AT1956" i="5"/>
  <c r="O4770" i="5"/>
  <c r="F4793" i="5" s="1"/>
  <c r="AS2012" i="5"/>
  <c r="AS2267" i="5"/>
  <c r="AT2267" i="5"/>
  <c r="AM832" i="5"/>
  <c r="M2818" i="5"/>
  <c r="L2818" i="5" s="1"/>
  <c r="AM2069" i="5"/>
  <c r="AM590" i="5"/>
  <c r="AM729" i="5"/>
  <c r="F4789" i="5"/>
  <c r="AT1908" i="5"/>
  <c r="H47" i="11"/>
  <c r="H45" i="11"/>
  <c r="N47" i="11"/>
  <c r="N45" i="11"/>
  <c r="K26" i="11"/>
  <c r="K28" i="11"/>
  <c r="R45" i="11"/>
  <c r="R47" i="11"/>
  <c r="N26" i="11"/>
  <c r="N28" i="11"/>
  <c r="E26" i="11"/>
  <c r="E28" i="11"/>
  <c r="I47" i="11"/>
  <c r="I45" i="11"/>
  <c r="L28" i="11"/>
  <c r="L26" i="11"/>
  <c r="P23" i="11"/>
  <c r="C28" i="11"/>
  <c r="C26" i="11"/>
  <c r="D14" i="14"/>
  <c r="E45" i="11"/>
  <c r="P42" i="11"/>
  <c r="E47" i="11"/>
  <c r="R26" i="11"/>
  <c r="J26" i="11"/>
  <c r="J28" i="11"/>
  <c r="N3642" i="5"/>
  <c r="M3642" i="5" s="1"/>
  <c r="F3642" i="5" s="1"/>
  <c r="L3642" i="5" s="1"/>
  <c r="AM2302" i="5"/>
  <c r="AM568" i="5"/>
  <c r="F47" i="11"/>
  <c r="F45" i="11"/>
  <c r="M45" i="11"/>
  <c r="M47" i="11"/>
  <c r="F26" i="11"/>
  <c r="F28" i="11"/>
  <c r="H26" i="11"/>
  <c r="H28" i="11"/>
  <c r="AM723" i="5"/>
  <c r="J47" i="11"/>
  <c r="J45" i="11"/>
  <c r="P43" i="11"/>
  <c r="D28" i="11"/>
  <c r="D26" i="11"/>
  <c r="G45" i="11"/>
  <c r="G47" i="11"/>
  <c r="D20" i="14"/>
  <c r="R22" i="14"/>
  <c r="K45" i="11"/>
  <c r="K47" i="11"/>
  <c r="L45" i="11"/>
  <c r="L47" i="11"/>
  <c r="G4569" i="5"/>
  <c r="H4569" i="5" s="1"/>
  <c r="P4570" i="5"/>
  <c r="AS2189" i="5"/>
  <c r="AT2189" i="5"/>
  <c r="AT2061" i="5"/>
  <c r="AS2061" i="5"/>
  <c r="AS2100" i="5"/>
  <c r="AT2100" i="5"/>
  <c r="G5016" i="5"/>
  <c r="H5016" i="5" s="1"/>
  <c r="M3061" i="5"/>
  <c r="F3061" i="5" s="1"/>
  <c r="L3061" i="5" s="1"/>
  <c r="AM666" i="5"/>
  <c r="AS1668" i="5"/>
  <c r="AT1668" i="5"/>
  <c r="AS1949" i="5"/>
  <c r="AT1949" i="5"/>
  <c r="M3107" i="5"/>
  <c r="F3107" i="5" s="1"/>
  <c r="L3107" i="5" s="1"/>
  <c r="AM906" i="5"/>
  <c r="AM757" i="5"/>
  <c r="AS2274" i="5"/>
  <c r="AT2274" i="5"/>
  <c r="R5005" i="5"/>
  <c r="W5005" i="5" s="1"/>
  <c r="F5019" i="5" s="1"/>
  <c r="AM2082" i="5"/>
  <c r="U4308" i="5"/>
  <c r="F4313" i="5" s="1"/>
  <c r="M3203" i="5"/>
  <c r="F3203" i="5" s="1"/>
  <c r="L3203" i="5" s="1"/>
  <c r="AV3354" i="5"/>
  <c r="AW3354" i="5" s="1"/>
  <c r="AY3354" i="5" s="1"/>
  <c r="AM626" i="5"/>
  <c r="U3667" i="5"/>
  <c r="F3671" i="5" s="1"/>
  <c r="AM1441" i="5"/>
  <c r="N3969" i="5"/>
  <c r="M3969" i="5" s="1"/>
  <c r="F3969" i="5" s="1"/>
  <c r="L3969" i="5" s="1"/>
  <c r="AM1288" i="5"/>
  <c r="AS1781" i="5"/>
  <c r="AT1781" i="5"/>
  <c r="U4307" i="5"/>
  <c r="F4311" i="5" s="1"/>
  <c r="A3296" i="5"/>
  <c r="AM448" i="5"/>
  <c r="AQ3855" i="5"/>
  <c r="A3855" i="5"/>
  <c r="AS1810" i="5"/>
  <c r="AT1810" i="5"/>
  <c r="AS2111" i="5"/>
  <c r="AT2111" i="5"/>
  <c r="AS2034" i="5"/>
  <c r="AT2034" i="5"/>
  <c r="AV3453" i="5"/>
  <c r="AW3453" i="5" s="1"/>
  <c r="AV3494" i="5"/>
  <c r="AW3494" i="5" s="1"/>
  <c r="AV3486" i="5"/>
  <c r="AW3486" i="5" s="1"/>
  <c r="AV3490" i="5"/>
  <c r="AW3490" i="5" s="1"/>
  <c r="AV3462" i="5"/>
  <c r="AW3462" i="5" s="1"/>
  <c r="AM1379" i="5"/>
  <c r="AM673" i="5"/>
  <c r="D3860" i="5"/>
  <c r="AO3860" i="5"/>
  <c r="AP3860" i="5" s="1"/>
  <c r="AR3860" i="5" s="1"/>
  <c r="AS2123" i="5"/>
  <c r="AT2123" i="5"/>
  <c r="AS2357" i="5"/>
  <c r="AT2357" i="5"/>
  <c r="D5008" i="5"/>
  <c r="F5008" i="5" s="1"/>
  <c r="F5005" i="5"/>
  <c r="AM2105" i="5"/>
  <c r="AM2112" i="5"/>
  <c r="AM708" i="5"/>
  <c r="A3346" i="5"/>
  <c r="AM730" i="5"/>
  <c r="AM849" i="5"/>
  <c r="A3627" i="5"/>
  <c r="AS2337" i="5"/>
  <c r="AT1186" i="5"/>
  <c r="AQ3627" i="5"/>
  <c r="AQ3631" i="5"/>
  <c r="A3631" i="5"/>
  <c r="AO3631" i="5"/>
  <c r="AP3631" i="5" s="1"/>
  <c r="AR3631" i="5" s="1"/>
  <c r="D3631" i="5"/>
  <c r="P5004" i="5"/>
  <c r="U5003" i="5"/>
  <c r="AT491" i="5"/>
  <c r="A3335" i="5"/>
  <c r="AT2225" i="5"/>
  <c r="G4313" i="5"/>
  <c r="H4313" i="5" s="1"/>
  <c r="AM2054" i="5"/>
  <c r="M3632" i="5"/>
  <c r="F3632" i="5" s="1"/>
  <c r="L3632" i="5" s="1"/>
  <c r="AM861" i="5"/>
  <c r="AM2118" i="5"/>
  <c r="G4311" i="5"/>
  <c r="H4311" i="5" s="1"/>
  <c r="AV3300" i="5"/>
  <c r="AW3300" i="5" s="1"/>
  <c r="AY3300" i="5" s="1"/>
  <c r="A3331" i="5"/>
  <c r="AM826" i="5"/>
  <c r="AO3627" i="5"/>
  <c r="AP3627" i="5" s="1"/>
  <c r="AR3627" i="5" s="1"/>
  <c r="C5276" i="5"/>
  <c r="I5276" i="5"/>
  <c r="G3536" i="5"/>
  <c r="H3536" i="5" s="1"/>
  <c r="F4817" i="5"/>
  <c r="AT1630" i="5"/>
  <c r="AS1630" i="5"/>
  <c r="AS1663" i="5"/>
  <c r="AT1663" i="5"/>
  <c r="AM540" i="5"/>
  <c r="AS1484" i="5"/>
  <c r="AT1484" i="5"/>
  <c r="AS1428" i="5"/>
  <c r="AT1428" i="5"/>
  <c r="U221" i="5"/>
  <c r="F226" i="5" s="1"/>
  <c r="G226" i="5"/>
  <c r="H226" i="5" s="1"/>
  <c r="W4740" i="5"/>
  <c r="W4741" i="5"/>
  <c r="F4753" i="5"/>
  <c r="Q4884" i="5"/>
  <c r="G4893" i="5"/>
  <c r="H4893" i="5" s="1"/>
  <c r="AM1845" i="5"/>
  <c r="AM484" i="5"/>
  <c r="AT1343" i="5"/>
  <c r="AS1343" i="5"/>
  <c r="AS1879" i="5"/>
  <c r="AT1879" i="5"/>
  <c r="AS2175" i="5"/>
  <c r="AT2175" i="5"/>
  <c r="AM1420" i="5"/>
  <c r="AM1421" i="5"/>
  <c r="AM631" i="5"/>
  <c r="AM630" i="5"/>
  <c r="F4813" i="5"/>
  <c r="AS1687" i="5"/>
  <c r="AT1687" i="5"/>
  <c r="AT1964" i="5"/>
  <c r="AS1964" i="5"/>
  <c r="G1292" i="5"/>
  <c r="H1292" i="5" s="1"/>
  <c r="AT1674" i="5"/>
  <c r="AS1674" i="5"/>
  <c r="AT2106" i="5"/>
  <c r="AS2106" i="5"/>
  <c r="N3965" i="5"/>
  <c r="M3956" i="5"/>
  <c r="F3956" i="5" s="1"/>
  <c r="L3956" i="5" s="1"/>
  <c r="N3957" i="5"/>
  <c r="AS1540" i="5"/>
  <c r="AT1540" i="5"/>
  <c r="AT1101" i="5"/>
  <c r="AS1101" i="5"/>
  <c r="AS1852" i="5"/>
  <c r="AT1852" i="5"/>
  <c r="AM735" i="5"/>
  <c r="AM736" i="5"/>
  <c r="AS1511" i="5"/>
  <c r="AT1511" i="5"/>
  <c r="AM1575" i="5"/>
  <c r="AM1574" i="5"/>
  <c r="AV3293" i="5"/>
  <c r="AW3293" i="5" s="1"/>
  <c r="AY3293" i="5" s="1"/>
  <c r="AM1859" i="5"/>
  <c r="AV3288" i="5"/>
  <c r="AW3288" i="5" s="1"/>
  <c r="AY3288" i="5" s="1"/>
  <c r="AT1796" i="5"/>
  <c r="AS1796" i="5"/>
  <c r="AT2497" i="5"/>
  <c r="AS2497" i="5"/>
  <c r="AM1921" i="5"/>
  <c r="AO3954" i="5"/>
  <c r="AP3954" i="5" s="1"/>
  <c r="AR3954" i="5" s="1"/>
  <c r="A3954" i="5"/>
  <c r="AT2442" i="5"/>
  <c r="AS2442" i="5"/>
  <c r="A3956" i="5"/>
  <c r="AQ3956" i="5"/>
  <c r="AO3956" i="5"/>
  <c r="AP3956" i="5" s="1"/>
  <c r="AR3956" i="5" s="1"/>
  <c r="D3956" i="5"/>
  <c r="M3186" i="5"/>
  <c r="F3186" i="5" s="1"/>
  <c r="L3186" i="5" s="1"/>
  <c r="M3138" i="5"/>
  <c r="F3138" i="5" s="1"/>
  <c r="L3138" i="5" s="1"/>
  <c r="AM1675" i="5"/>
  <c r="AM2232" i="5"/>
  <c r="F4831" i="5"/>
  <c r="AM1165" i="5"/>
  <c r="AM618" i="5"/>
  <c r="AM1011" i="5"/>
  <c r="AM2542" i="5"/>
  <c r="AM2191" i="5"/>
  <c r="AT2068" i="5"/>
  <c r="AT2308" i="5"/>
  <c r="AM1887" i="5"/>
  <c r="AV3325" i="5"/>
  <c r="AW3325" i="5" s="1"/>
  <c r="AY3325" i="5" s="1"/>
  <c r="AV3340" i="5"/>
  <c r="AW3340" i="5" s="1"/>
  <c r="AY3340" i="5" s="1"/>
  <c r="M2958" i="5"/>
  <c r="L2958" i="5" s="1"/>
  <c r="AM381" i="5"/>
  <c r="A3329" i="5"/>
  <c r="M2979" i="5"/>
  <c r="L2979" i="5" s="1"/>
  <c r="I5245" i="5"/>
  <c r="AM2048" i="5"/>
  <c r="AM1978" i="5"/>
  <c r="AM752" i="5"/>
  <c r="M2931" i="5"/>
  <c r="L2931" i="5" s="1"/>
  <c r="AV3286" i="5"/>
  <c r="AW3286" i="5" s="1"/>
  <c r="AY3286" i="5" s="1"/>
  <c r="AM2226" i="5"/>
  <c r="AM438" i="5"/>
  <c r="D3859" i="5"/>
  <c r="AM1046" i="5"/>
  <c r="AM332" i="5"/>
  <c r="AO3859" i="5"/>
  <c r="AP3859" i="5" s="1"/>
  <c r="AR3859" i="5" s="1"/>
  <c r="M2812" i="5"/>
  <c r="L2812" i="5" s="1"/>
  <c r="AQ3859" i="5"/>
  <c r="AM2176" i="5"/>
  <c r="M2883" i="5"/>
  <c r="L2883" i="5" s="1"/>
  <c r="AM646" i="5"/>
  <c r="A3328" i="5"/>
  <c r="AM820" i="5"/>
  <c r="AM793" i="5"/>
  <c r="A3283" i="5"/>
  <c r="AM912" i="5"/>
  <c r="AM913" i="5"/>
  <c r="AM2310" i="5"/>
  <c r="AM667" i="5"/>
  <c r="AT1984" i="5"/>
  <c r="AS1984" i="5"/>
  <c r="AT2434" i="5"/>
  <c r="AS2434" i="5"/>
  <c r="AV3320" i="5"/>
  <c r="AW3320" i="5" s="1"/>
  <c r="AY3320" i="5" s="1"/>
  <c r="AS2253" i="5"/>
  <c r="AT2253" i="5"/>
  <c r="AT2378" i="5"/>
  <c r="AS2378" i="5"/>
  <c r="AS2523" i="5"/>
  <c r="AT2523" i="5"/>
  <c r="M2887" i="5"/>
  <c r="L2887" i="5" s="1"/>
  <c r="M2863" i="5"/>
  <c r="L2863" i="5" s="1"/>
  <c r="M2888" i="5"/>
  <c r="L2888" i="5" s="1"/>
  <c r="M2815" i="5"/>
  <c r="L2815" i="5" s="1"/>
  <c r="M2889" i="5"/>
  <c r="L2889" i="5" s="1"/>
  <c r="M3109" i="5"/>
  <c r="F3109" i="5" s="1"/>
  <c r="L3109" i="5" s="1"/>
  <c r="M3034" i="5"/>
  <c r="F3034" i="5" s="1"/>
  <c r="L3034" i="5" s="1"/>
  <c r="M3108" i="5"/>
  <c r="F3108" i="5" s="1"/>
  <c r="L3108" i="5" s="1"/>
  <c r="M3181" i="5"/>
  <c r="F3181" i="5" s="1"/>
  <c r="L3181" i="5" s="1"/>
  <c r="M3036" i="5"/>
  <c r="F3036" i="5" s="1"/>
  <c r="L3036" i="5" s="1"/>
  <c r="M3179" i="5"/>
  <c r="F3179" i="5" s="1"/>
  <c r="L3179" i="5" s="1"/>
  <c r="M3133" i="5"/>
  <c r="F3133" i="5" s="1"/>
  <c r="L3133" i="5" s="1"/>
  <c r="M3059" i="5"/>
  <c r="F3059" i="5" s="1"/>
  <c r="L3059" i="5" s="1"/>
  <c r="M3106" i="5"/>
  <c r="F3106" i="5" s="1"/>
  <c r="L3106" i="5" s="1"/>
  <c r="M3131" i="5"/>
  <c r="F3131" i="5" s="1"/>
  <c r="L3131" i="5" s="1"/>
  <c r="M3082" i="5"/>
  <c r="F3082" i="5" s="1"/>
  <c r="L3082" i="5" s="1"/>
  <c r="M3180" i="5"/>
  <c r="F3180" i="5" s="1"/>
  <c r="L3180" i="5" s="1"/>
  <c r="M3157" i="5"/>
  <c r="F3157" i="5" s="1"/>
  <c r="L3157" i="5" s="1"/>
  <c r="M3154" i="5"/>
  <c r="F3154" i="5" s="1"/>
  <c r="L3154" i="5" s="1"/>
  <c r="M3035" i="5"/>
  <c r="F3035" i="5" s="1"/>
  <c r="L3035" i="5" s="1"/>
  <c r="M3202" i="5"/>
  <c r="F3202" i="5" s="1"/>
  <c r="L3202" i="5" s="1"/>
  <c r="M3084" i="5"/>
  <c r="F3084" i="5" s="1"/>
  <c r="L3084" i="5" s="1"/>
  <c r="M3060" i="5"/>
  <c r="F3060" i="5" s="1"/>
  <c r="L3060" i="5" s="1"/>
  <c r="M3155" i="5"/>
  <c r="F3155" i="5" s="1"/>
  <c r="L3155" i="5" s="1"/>
  <c r="M3204" i="5"/>
  <c r="F3204" i="5" s="1"/>
  <c r="L3204" i="5" s="1"/>
  <c r="M3132" i="5"/>
  <c r="F3132" i="5" s="1"/>
  <c r="L3132" i="5" s="1"/>
  <c r="M3083" i="5"/>
  <c r="F3083" i="5" s="1"/>
  <c r="L3083" i="5" s="1"/>
  <c r="M3130" i="5"/>
  <c r="F3130" i="5" s="1"/>
  <c r="L3130" i="5" s="1"/>
  <c r="M3156" i="5"/>
  <c r="F3156" i="5" s="1"/>
  <c r="L3156" i="5" s="1"/>
  <c r="M3058" i="5"/>
  <c r="F3058" i="5" s="1"/>
  <c r="L3058" i="5" s="1"/>
  <c r="M3205" i="5"/>
  <c r="F3205" i="5" s="1"/>
  <c r="L3205" i="5" s="1"/>
  <c r="AM1257" i="5"/>
  <c r="AM2570" i="5"/>
  <c r="AM2548" i="5"/>
  <c r="AT2013" i="5"/>
  <c r="AS2013" i="5"/>
  <c r="M2813" i="5"/>
  <c r="L2813" i="5" s="1"/>
  <c r="M2956" i="5"/>
  <c r="L2956" i="5" s="1"/>
  <c r="M2814" i="5"/>
  <c r="L2814" i="5" s="1"/>
  <c r="M2859" i="5"/>
  <c r="L2859" i="5" s="1"/>
  <c r="M2934" i="5"/>
  <c r="L2934" i="5" s="1"/>
  <c r="M2838" i="5"/>
  <c r="L2838" i="5" s="1"/>
  <c r="M2835" i="5"/>
  <c r="L2835" i="5" s="1"/>
  <c r="M2955" i="5"/>
  <c r="L2955" i="5" s="1"/>
  <c r="M2884" i="5"/>
  <c r="L2884" i="5" s="1"/>
  <c r="M2860" i="5"/>
  <c r="L2860" i="5" s="1"/>
  <c r="M2885" i="5"/>
  <c r="L2885" i="5" s="1"/>
  <c r="M2861" i="5"/>
  <c r="L2861" i="5" s="1"/>
  <c r="M2957" i="5"/>
  <c r="L2957" i="5" s="1"/>
  <c r="M2886" i="5"/>
  <c r="L2886" i="5" s="1"/>
  <c r="M2811" i="5"/>
  <c r="L2811" i="5" s="1"/>
  <c r="M2910" i="5"/>
  <c r="L2910" i="5" s="1"/>
  <c r="M2980" i="5"/>
  <c r="L2980" i="5" s="1"/>
  <c r="M2862" i="5"/>
  <c r="L2862" i="5" s="1"/>
  <c r="M2981" i="5"/>
  <c r="L2981" i="5" s="1"/>
  <c r="M2836" i="5"/>
  <c r="L2836" i="5" s="1"/>
  <c r="M2837" i="5"/>
  <c r="L2837" i="5" s="1"/>
  <c r="M2982" i="5"/>
  <c r="L2982" i="5" s="1"/>
  <c r="M2933" i="5"/>
  <c r="L2933" i="5" s="1"/>
  <c r="M2908" i="5"/>
  <c r="L2908" i="5" s="1"/>
  <c r="M2932" i="5"/>
  <c r="L2932" i="5" s="1"/>
  <c r="M2909" i="5"/>
  <c r="L2909" i="5" s="1"/>
  <c r="AM1018" i="5"/>
  <c r="AM1122" i="5"/>
  <c r="AM1123" i="5"/>
  <c r="AM296" i="5"/>
  <c r="AM297" i="5"/>
  <c r="AT2365" i="5"/>
  <c r="AS2365" i="5"/>
  <c r="AS2534" i="5"/>
  <c r="AT2534" i="5"/>
  <c r="AM1137" i="5"/>
  <c r="AT2510" i="5"/>
  <c r="AS2510" i="5"/>
  <c r="AM2492" i="5"/>
  <c r="AM2393" i="5"/>
  <c r="AM2394" i="5"/>
  <c r="AM990" i="5"/>
  <c r="AM1102" i="5"/>
  <c r="D4788" i="5"/>
  <c r="F4788" i="5" s="1"/>
  <c r="AS3854" i="5"/>
  <c r="AO3854" i="5"/>
  <c r="AP3854" i="5" s="1"/>
  <c r="AR3854" i="5" s="1"/>
  <c r="A3854" i="5"/>
  <c r="AS2204" i="5"/>
  <c r="AT2204" i="5"/>
  <c r="AM506" i="5"/>
  <c r="AM1386" i="5"/>
  <c r="AM1387" i="5"/>
  <c r="AS2287" i="5"/>
  <c r="AT2287" i="5"/>
  <c r="AS2343" i="5"/>
  <c r="AT2343" i="5"/>
  <c r="AS2087" i="5"/>
  <c r="AT2087" i="5"/>
  <c r="AT1603" i="5"/>
  <c r="AS1603" i="5"/>
  <c r="AM1464" i="5"/>
  <c r="AM1463" i="5"/>
  <c r="AM1880" i="5"/>
  <c r="N4670" i="5"/>
  <c r="A4670" i="5" s="1"/>
  <c r="C4670" i="5" s="1"/>
  <c r="AT2117" i="5"/>
  <c r="AS2117" i="5"/>
  <c r="AV3334" i="5"/>
  <c r="AW3334" i="5" s="1"/>
  <c r="AY3334" i="5" s="1"/>
  <c r="A3334" i="5"/>
  <c r="AT2020" i="5"/>
  <c r="AS2020" i="5"/>
  <c r="AT2231" i="5"/>
  <c r="AS2231" i="5"/>
  <c r="A3282" i="5"/>
  <c r="AV3282" i="5"/>
  <c r="AW3282" i="5" s="1"/>
  <c r="AY3282" i="5" s="1"/>
  <c r="AV3298" i="5"/>
  <c r="AW3298" i="5" s="1"/>
  <c r="AY3298" i="5" s="1"/>
  <c r="A3298" i="5"/>
  <c r="AV3314" i="5"/>
  <c r="AW3314" i="5" s="1"/>
  <c r="AY3314" i="5" s="1"/>
  <c r="A3314" i="5"/>
  <c r="AV3337" i="5"/>
  <c r="AW3337" i="5" s="1"/>
  <c r="AY3337" i="5" s="1"/>
  <c r="A3337" i="5"/>
  <c r="AS2047" i="5"/>
  <c r="AT2047" i="5"/>
  <c r="AT1935" i="5"/>
  <c r="AS1935" i="5"/>
  <c r="AO3626" i="5"/>
  <c r="AP3626" i="5" s="1"/>
  <c r="AR3626" i="5" s="1"/>
  <c r="AS3626" i="5"/>
  <c r="A3626" i="5"/>
  <c r="AS2093" i="5"/>
  <c r="AT2093" i="5"/>
  <c r="C4928" i="5"/>
  <c r="F4928" i="5"/>
  <c r="G4928" i="5"/>
  <c r="H4928" i="5" s="1"/>
  <c r="AQ3633" i="5"/>
  <c r="D3633" i="5"/>
  <c r="A3633" i="5"/>
  <c r="AO3633" i="5"/>
  <c r="AP3633" i="5" s="1"/>
  <c r="AR3633" i="5" s="1"/>
  <c r="AS2414" i="5"/>
  <c r="AT2414" i="5"/>
  <c r="AS2441" i="5"/>
  <c r="AT2441" i="5"/>
  <c r="AV3316" i="5"/>
  <c r="AW3316" i="5" s="1"/>
  <c r="AY3316" i="5" s="1"/>
  <c r="A3316" i="5"/>
  <c r="AV3313" i="5"/>
  <c r="AW3313" i="5" s="1"/>
  <c r="AY3313" i="5" s="1"/>
  <c r="A3313" i="5"/>
  <c r="A3306" i="5"/>
  <c r="AV3306" i="5"/>
  <c r="AW3306" i="5" s="1"/>
  <c r="AY3306" i="5" s="1"/>
  <c r="A3311" i="5"/>
  <c r="AV3311" i="5"/>
  <c r="AW3311" i="5" s="1"/>
  <c r="AY3311" i="5" s="1"/>
  <c r="A3317" i="5"/>
  <c r="AV3317" i="5"/>
  <c r="AW3317" i="5" s="1"/>
  <c r="AY3317" i="5" s="1"/>
  <c r="A3324" i="5"/>
  <c r="AV3324" i="5"/>
  <c r="AW3324" i="5" s="1"/>
  <c r="AY3324" i="5" s="1"/>
  <c r="AM1914" i="5"/>
  <c r="AM1915" i="5"/>
  <c r="AV3341" i="5"/>
  <c r="AW3341" i="5" s="1"/>
  <c r="AY3341" i="5" s="1"/>
  <c r="A3341" i="5"/>
  <c r="A3284" i="5"/>
  <c r="AV3284" i="5"/>
  <c r="AW3284" i="5" s="1"/>
  <c r="AY3284" i="5" s="1"/>
  <c r="A3321" i="5"/>
  <c r="AV3321" i="5"/>
  <c r="AW3321" i="5" s="1"/>
  <c r="AY3321" i="5" s="1"/>
  <c r="AV3345" i="5"/>
  <c r="AW3345" i="5" s="1"/>
  <c r="AY3345" i="5" s="1"/>
  <c r="A3345" i="5"/>
  <c r="AM717" i="5"/>
  <c r="AM716" i="5"/>
  <c r="M3378" i="5"/>
  <c r="F3378" i="5" s="1"/>
  <c r="L3378" i="5" s="1"/>
  <c r="N3457" i="5"/>
  <c r="M3457" i="5" s="1"/>
  <c r="F3457" i="5" s="1"/>
  <c r="L3457" i="5" s="1"/>
  <c r="AM653" i="5"/>
  <c r="A3327" i="5"/>
  <c r="AV3327" i="5"/>
  <c r="AW3327" i="5" s="1"/>
  <c r="AY3327" i="5" s="1"/>
  <c r="AV3302" i="5"/>
  <c r="AW3302" i="5" s="1"/>
  <c r="AY3302" i="5" s="1"/>
  <c r="A3302" i="5"/>
  <c r="A3295" i="5"/>
  <c r="AV3295" i="5"/>
  <c r="AW3295" i="5" s="1"/>
  <c r="AY3295" i="5" s="1"/>
  <c r="A3336" i="5"/>
  <c r="AV3336" i="5"/>
  <c r="AW3336" i="5" s="1"/>
  <c r="AY3336" i="5" s="1"/>
  <c r="AV3351" i="5"/>
  <c r="AW3351" i="5" s="1"/>
  <c r="AY3351" i="5" s="1"/>
  <c r="A3351" i="5"/>
  <c r="AM845" i="5"/>
  <c r="AM844" i="5"/>
  <c r="AT1929" i="5"/>
  <c r="AS1929" i="5"/>
  <c r="AS2041" i="5"/>
  <c r="AT2041" i="5"/>
  <c r="AM1851" i="5"/>
  <c r="AM1852" i="5"/>
  <c r="AM850" i="5"/>
  <c r="AM851" i="5"/>
  <c r="AM695" i="5"/>
  <c r="AT2196" i="5"/>
  <c r="AS2196" i="5"/>
  <c r="W5078" i="5"/>
  <c r="F5090" i="5" s="1"/>
  <c r="R5079" i="5"/>
  <c r="AS2379" i="5"/>
  <c r="AT2379" i="5"/>
  <c r="A3308" i="5"/>
  <c r="AV3308" i="5"/>
  <c r="AW3308" i="5" s="1"/>
  <c r="AY3308" i="5" s="1"/>
  <c r="AV3318" i="5"/>
  <c r="AW3318" i="5" s="1"/>
  <c r="AY3318" i="5" s="1"/>
  <c r="A3318" i="5"/>
  <c r="AV3322" i="5"/>
  <c r="AW3322" i="5" s="1"/>
  <c r="AY3322" i="5" s="1"/>
  <c r="A3322" i="5"/>
  <c r="AV3326" i="5"/>
  <c r="AW3326" i="5" s="1"/>
  <c r="AY3326" i="5" s="1"/>
  <c r="A3326" i="5"/>
  <c r="AM773" i="5"/>
  <c r="AM772" i="5"/>
  <c r="N3865" i="5"/>
  <c r="N3857" i="5"/>
  <c r="AV3315" i="5"/>
  <c r="AW3315" i="5" s="1"/>
  <c r="AY3315" i="5" s="1"/>
  <c r="A3315" i="5"/>
  <c r="A3342" i="5"/>
  <c r="AV3342" i="5"/>
  <c r="AW3342" i="5" s="1"/>
  <c r="AY3342" i="5" s="1"/>
  <c r="AV3349" i="5"/>
  <c r="AW3349" i="5" s="1"/>
  <c r="AY3349" i="5" s="1"/>
  <c r="A3349" i="5"/>
  <c r="AM1991" i="5"/>
  <c r="AM1992" i="5"/>
  <c r="F4517" i="5"/>
  <c r="M4521" i="5"/>
  <c r="G225" i="5"/>
  <c r="H225" i="5" s="1"/>
  <c r="T221" i="5"/>
  <c r="F225" i="5" s="1"/>
  <c r="AT2281" i="5"/>
  <c r="AS2281" i="5"/>
  <c r="AS2406" i="5"/>
  <c r="AT2406" i="5"/>
  <c r="AT2435" i="5"/>
  <c r="AS2435" i="5"/>
  <c r="AV3309" i="5"/>
  <c r="AW3309" i="5" s="1"/>
  <c r="AY3309" i="5" s="1"/>
  <c r="A3309" i="5"/>
  <c r="AT2364" i="5"/>
  <c r="AS2364" i="5"/>
  <c r="A3292" i="5"/>
  <c r="AV3292" i="5"/>
  <c r="AW3292" i="5" s="1"/>
  <c r="AY3292" i="5" s="1"/>
  <c r="AM2075" i="5"/>
  <c r="AM2076" i="5"/>
  <c r="N3379" i="5"/>
  <c r="N3301" i="5"/>
  <c r="M3300" i="5"/>
  <c r="F3300" i="5" s="1"/>
  <c r="L3300" i="5" s="1"/>
  <c r="AM1781" i="5"/>
  <c r="AM1782" i="5"/>
  <c r="AM604" i="5"/>
  <c r="AM548" i="5"/>
  <c r="Q4310" i="5"/>
  <c r="U4310" i="5" s="1"/>
  <c r="F4317" i="5" s="1"/>
  <c r="AM815" i="5"/>
  <c r="AM814" i="5"/>
  <c r="AM611" i="5"/>
  <c r="AM660" i="5"/>
  <c r="AM492" i="5"/>
  <c r="AM675" i="5"/>
  <c r="AM674" i="5"/>
  <c r="AM1970" i="5"/>
  <c r="AM1971" i="5"/>
  <c r="AM486" i="5"/>
  <c r="AM485" i="5"/>
  <c r="AM856" i="5"/>
  <c r="AM857" i="5"/>
  <c r="AM1831" i="5"/>
  <c r="AM1830" i="5"/>
  <c r="AM500" i="5"/>
  <c r="AM499" i="5"/>
  <c r="AM738" i="5"/>
  <c r="AM737" i="5"/>
  <c r="AM1872" i="5"/>
  <c r="AM1873" i="5"/>
  <c r="AM562" i="5"/>
  <c r="AM563" i="5"/>
  <c r="AM709" i="5"/>
  <c r="AM2100" i="5"/>
  <c r="AM2099" i="5"/>
  <c r="AM570" i="5"/>
  <c r="AM569" i="5"/>
  <c r="AM2033" i="5"/>
  <c r="AM2034" i="5"/>
  <c r="AM528" i="5"/>
  <c r="AM527" i="5"/>
  <c r="AM1935" i="5"/>
  <c r="AM1936" i="5"/>
  <c r="AM1788" i="5"/>
  <c r="AM1789" i="5"/>
  <c r="AM1816" i="5"/>
  <c r="AM1817" i="5"/>
  <c r="Q4540" i="5"/>
  <c r="F4540" i="5" s="1"/>
  <c r="AM1775" i="5"/>
  <c r="AM633" i="5"/>
  <c r="AM632" i="5"/>
  <c r="AM639" i="5"/>
  <c r="G4315" i="5"/>
  <c r="H4315" i="5" s="1"/>
  <c r="I5081" i="5"/>
  <c r="H5081" i="5"/>
  <c r="F4835" i="5"/>
  <c r="I5285" i="5"/>
  <c r="AQ3969" i="5"/>
  <c r="D3969" i="5"/>
  <c r="A3969" i="5"/>
  <c r="AO3969" i="5"/>
  <c r="AP3969" i="5" s="1"/>
  <c r="AR3969" i="5" s="1"/>
  <c r="G4603" i="5"/>
  <c r="H4603" i="5" s="1"/>
  <c r="P4604" i="5"/>
  <c r="C5162" i="5"/>
  <c r="A3879" i="5"/>
  <c r="D3879" i="5"/>
  <c r="AO3879" i="5"/>
  <c r="AP3879" i="5" s="1"/>
  <c r="AR3879" i="5" s="1"/>
  <c r="AQ3879" i="5"/>
  <c r="A3654" i="5"/>
  <c r="AO3654" i="5"/>
  <c r="AP3654" i="5" s="1"/>
  <c r="AR3654" i="5" s="1"/>
  <c r="M3189" i="5"/>
  <c r="F3189" i="5" s="1"/>
  <c r="L3189" i="5" s="1"/>
  <c r="M3211" i="5"/>
  <c r="F3211" i="5" s="1"/>
  <c r="L3211" i="5" s="1"/>
  <c r="M3187" i="5"/>
  <c r="F3187" i="5" s="1"/>
  <c r="L3187" i="5" s="1"/>
  <c r="M3210" i="5"/>
  <c r="F3210" i="5" s="1"/>
  <c r="L3210" i="5" s="1"/>
  <c r="M3212" i="5"/>
  <c r="F3212" i="5" s="1"/>
  <c r="L3212" i="5" s="1"/>
  <c r="M3139" i="5"/>
  <c r="F3139" i="5" s="1"/>
  <c r="L3139" i="5" s="1"/>
  <c r="M3141" i="5"/>
  <c r="F3141" i="5" s="1"/>
  <c r="L3141" i="5" s="1"/>
  <c r="M3140" i="5"/>
  <c r="F3140" i="5" s="1"/>
  <c r="L3140" i="5" s="1"/>
  <c r="M3164" i="5"/>
  <c r="F3164" i="5" s="1"/>
  <c r="L3164" i="5" s="1"/>
  <c r="M3165" i="5"/>
  <c r="F3165" i="5" s="1"/>
  <c r="L3165" i="5" s="1"/>
  <c r="V5003" i="5"/>
  <c r="Q5004" i="5"/>
  <c r="Q3565" i="5"/>
  <c r="Q3566" i="5" s="1"/>
  <c r="D5012" i="5"/>
  <c r="G5012" i="5" s="1"/>
  <c r="H5012" i="5" s="1"/>
  <c r="R5153" i="5"/>
  <c r="R5154" i="5" s="1"/>
  <c r="C4786" i="5"/>
  <c r="F4786" i="5"/>
  <c r="M4525" i="5"/>
  <c r="F4525" i="5" s="1"/>
  <c r="A5295" i="5"/>
  <c r="N5282" i="5"/>
  <c r="AT757" i="5"/>
  <c r="AS757" i="5"/>
  <c r="AS452" i="5"/>
  <c r="AT452" i="5"/>
  <c r="C4797" i="5"/>
  <c r="A4798" i="5"/>
  <c r="C4798" i="5" s="1"/>
  <c r="AT518" i="5"/>
  <c r="AS518" i="5"/>
  <c r="AS728" i="5"/>
  <c r="AT728" i="5"/>
  <c r="C4782" i="5"/>
  <c r="F4782" i="5"/>
  <c r="F4911" i="5"/>
  <c r="F4810" i="5"/>
  <c r="A4811" i="5"/>
  <c r="C4810" i="5"/>
  <c r="F4765" i="5"/>
  <c r="C4765" i="5"/>
  <c r="A4766" i="5"/>
  <c r="AS843" i="5"/>
  <c r="AT843" i="5"/>
  <c r="AT859" i="5"/>
  <c r="AS859" i="5"/>
  <c r="C4807" i="5"/>
  <c r="F4807" i="5"/>
  <c r="AT899" i="5"/>
  <c r="AS899" i="5"/>
  <c r="AT854" i="5"/>
  <c r="AS854" i="5"/>
  <c r="N3473" i="5"/>
  <c r="M3473" i="5" s="1"/>
  <c r="F3473" i="5" s="1"/>
  <c r="L3473" i="5" s="1"/>
  <c r="M3394" i="5"/>
  <c r="F3394" i="5" s="1"/>
  <c r="L3394" i="5" s="1"/>
  <c r="AS926" i="5"/>
  <c r="AT926" i="5"/>
  <c r="AS955" i="5"/>
  <c r="AT955" i="5"/>
  <c r="C4851" i="5"/>
  <c r="A4852" i="5"/>
  <c r="C4852" i="5" s="1"/>
  <c r="AT433" i="5"/>
  <c r="AS433" i="5"/>
  <c r="AS547" i="5"/>
  <c r="AT547" i="5"/>
  <c r="AS1470" i="5"/>
  <c r="AT1470" i="5"/>
  <c r="AT574" i="5"/>
  <c r="AS574" i="5"/>
  <c r="AS659" i="5"/>
  <c r="AT659" i="5"/>
  <c r="AS784" i="5"/>
  <c r="AT784" i="5"/>
  <c r="AS1991" i="5"/>
  <c r="AT1991" i="5"/>
  <c r="X4910" i="5"/>
  <c r="F4936" i="5"/>
  <c r="F4295" i="5"/>
  <c r="T4295" i="5"/>
  <c r="R5285" i="5"/>
  <c r="R5311" i="5" s="1"/>
  <c r="I5312" i="5" s="1"/>
  <c r="N3318" i="5"/>
  <c r="M3318" i="5" s="1"/>
  <c r="F3318" i="5" s="1"/>
  <c r="L3318" i="5" s="1"/>
  <c r="I5084" i="5"/>
  <c r="H5084" i="5"/>
  <c r="AO3630" i="5"/>
  <c r="AP3630" i="5" s="1"/>
  <c r="AR3630" i="5" s="1"/>
  <c r="A3630" i="5"/>
  <c r="P4884" i="5"/>
  <c r="G4892" i="5"/>
  <c r="H4892" i="5" s="1"/>
  <c r="V4901" i="5"/>
  <c r="A5164" i="5"/>
  <c r="F5164" i="5" s="1"/>
  <c r="AM316" i="5"/>
  <c r="AM315" i="5"/>
  <c r="AM376" i="5"/>
  <c r="AM375" i="5"/>
  <c r="AM327" i="5"/>
  <c r="AM346" i="5"/>
  <c r="AM345" i="5"/>
  <c r="AT2407" i="5"/>
  <c r="AS2407" i="5"/>
  <c r="AT2428" i="5"/>
  <c r="AS2428" i="5"/>
  <c r="U5153" i="5"/>
  <c r="P5154" i="5"/>
  <c r="AM1839" i="5"/>
  <c r="AM1838" i="5"/>
  <c r="AM1755" i="5"/>
  <c r="AM1754" i="5"/>
  <c r="AT2484" i="5"/>
  <c r="AS2484" i="5"/>
  <c r="AM1867" i="5"/>
  <c r="AM1866" i="5"/>
  <c r="F4826" i="5"/>
  <c r="AM2027" i="5"/>
  <c r="AM2028" i="5"/>
  <c r="AM2007" i="5"/>
  <c r="AM2006" i="5"/>
  <c r="G4074" i="5"/>
  <c r="H4074" i="5" s="1"/>
  <c r="P4074" i="5"/>
  <c r="F4074" i="5" s="1"/>
  <c r="AT2076" i="5"/>
  <c r="AS2076" i="5"/>
  <c r="AM1895" i="5"/>
  <c r="AM1894" i="5"/>
  <c r="AM1824" i="5"/>
  <c r="AM1825" i="5"/>
  <c r="AS2211" i="5"/>
  <c r="AT2211" i="5"/>
  <c r="U4295" i="5"/>
  <c r="F4296" i="5"/>
  <c r="I5279" i="5"/>
  <c r="C5279" i="5"/>
  <c r="C4916" i="5"/>
  <c r="G4916" i="5"/>
  <c r="H4916" i="5" s="1"/>
  <c r="F4916" i="5"/>
  <c r="P3684" i="5"/>
  <c r="G3681" i="5"/>
  <c r="H3681" i="5" s="1"/>
  <c r="F258" i="5"/>
  <c r="F4822" i="5"/>
  <c r="Q5278" i="5"/>
  <c r="I5283" i="5"/>
  <c r="F4821" i="5"/>
  <c r="R4806" i="5"/>
  <c r="G263" i="5"/>
  <c r="H263" i="5" s="1"/>
  <c r="G3568" i="5"/>
  <c r="H3568" i="5" s="1"/>
  <c r="F262" i="5"/>
  <c r="F4827" i="5"/>
  <c r="C5157" i="5"/>
  <c r="A5158" i="5"/>
  <c r="P3564" i="5"/>
  <c r="N5190" i="5"/>
  <c r="A5199" i="5"/>
  <c r="N5156" i="5"/>
  <c r="A5171" i="5"/>
  <c r="AT2329" i="5"/>
  <c r="AS2329" i="5"/>
  <c r="F272" i="5"/>
  <c r="G258" i="5"/>
  <c r="H258" i="5" s="1"/>
  <c r="F263" i="5"/>
  <c r="G260" i="5"/>
  <c r="H260" i="5" s="1"/>
  <c r="F260" i="5"/>
  <c r="G4911" i="5"/>
  <c r="H4911" i="5" s="1"/>
  <c r="R4904" i="5"/>
  <c r="G262" i="5"/>
  <c r="H262" i="5" s="1"/>
  <c r="D5292" i="5"/>
  <c r="F261" i="5"/>
  <c r="G261" i="5"/>
  <c r="H261" i="5" s="1"/>
  <c r="C5197" i="5"/>
  <c r="A5198" i="5"/>
  <c r="C5198" i="5" s="1"/>
  <c r="F259" i="5"/>
  <c r="G5090" i="5"/>
  <c r="D5093" i="5"/>
  <c r="D5256" i="5"/>
  <c r="P4658" i="5"/>
  <c r="R3565" i="5"/>
  <c r="G3569" i="5"/>
  <c r="H3569" i="5" s="1"/>
  <c r="X3564" i="5"/>
  <c r="F3569" i="5" s="1"/>
  <c r="H257" i="5"/>
  <c r="G278" i="5"/>
  <c r="H278" i="5" s="1"/>
  <c r="F275" i="5"/>
  <c r="F274" i="5"/>
  <c r="F277" i="5"/>
  <c r="F278" i="5"/>
  <c r="G273" i="5"/>
  <c r="H273" i="5" s="1"/>
  <c r="F273" i="5"/>
  <c r="G276" i="5"/>
  <c r="H276" i="5" s="1"/>
  <c r="G275" i="5"/>
  <c r="H275" i="5" s="1"/>
  <c r="G274" i="5"/>
  <c r="H274" i="5" s="1"/>
  <c r="F276" i="5"/>
  <c r="H259" i="5"/>
  <c r="G277" i="5"/>
  <c r="H277" i="5" s="1"/>
  <c r="F3741" i="5"/>
  <c r="S3742" i="5"/>
  <c r="G4961" i="5"/>
  <c r="H4961" i="5" s="1"/>
  <c r="S4953" i="5"/>
  <c r="F4892" i="5"/>
  <c r="U4884" i="5"/>
  <c r="D5159" i="5"/>
  <c r="G5156" i="5"/>
  <c r="H5156" i="5" s="1"/>
  <c r="F5156" i="5"/>
  <c r="Y3563" i="5"/>
  <c r="F3566" i="5" s="1"/>
  <c r="S3564" i="5"/>
  <c r="G3566" i="5"/>
  <c r="H3566" i="5" s="1"/>
  <c r="F4710" i="5"/>
  <c r="M4724" i="5"/>
  <c r="F4724" i="5" s="1"/>
  <c r="S5283" i="5"/>
  <c r="I5287" i="5"/>
  <c r="C5287" i="5"/>
  <c r="A5288" i="5"/>
  <c r="F4915" i="5"/>
  <c r="W4905" i="5"/>
  <c r="Q4805" i="5"/>
  <c r="F4816" i="5"/>
  <c r="U3685" i="5"/>
  <c r="F3687" i="5" s="1"/>
  <c r="G3687" i="5"/>
  <c r="H3687" i="5" s="1"/>
  <c r="Q3686" i="5"/>
  <c r="Q4574" i="5"/>
  <c r="F4573" i="5"/>
  <c r="O4810" i="5"/>
  <c r="F4839" i="5"/>
  <c r="S4808" i="5"/>
  <c r="F4830" i="5"/>
  <c r="G227" i="5"/>
  <c r="H227" i="5" s="1"/>
  <c r="O228" i="5"/>
  <c r="F227" i="5" s="1"/>
  <c r="M4722" i="5" l="1"/>
  <c r="F4722" i="5" s="1"/>
  <c r="F4728" i="5" s="1"/>
  <c r="R228" i="5"/>
  <c r="F230" i="5" s="1"/>
  <c r="W4713" i="5"/>
  <c r="G4314" i="5"/>
  <c r="H4314" i="5" s="1"/>
  <c r="P4310" i="5"/>
  <c r="T4310" i="5" s="1"/>
  <c r="F4316" i="5" s="1"/>
  <c r="G5155" i="5"/>
  <c r="H5155" i="5" s="1"/>
  <c r="W3529" i="5"/>
  <c r="F3539" i="5" s="1"/>
  <c r="M2819" i="5"/>
  <c r="L2819" i="5" s="1"/>
  <c r="M2870" i="5"/>
  <c r="L2870" i="5" s="1"/>
  <c r="M2891" i="5"/>
  <c r="L2891" i="5" s="1"/>
  <c r="M2822" i="5"/>
  <c r="L2822" i="5" s="1"/>
  <c r="I5246" i="5"/>
  <c r="M2894" i="5"/>
  <c r="L2894" i="5" s="1"/>
  <c r="I5247" i="5"/>
  <c r="M2867" i="5"/>
  <c r="L2867" i="5" s="1"/>
  <c r="M2844" i="5"/>
  <c r="L2844" i="5" s="1"/>
  <c r="M2892" i="5"/>
  <c r="L2892" i="5" s="1"/>
  <c r="M2845" i="5"/>
  <c r="L2845" i="5" s="1"/>
  <c r="M2846" i="5"/>
  <c r="L2846" i="5" s="1"/>
  <c r="M2843" i="5"/>
  <c r="L2843" i="5" s="1"/>
  <c r="N3962" i="5"/>
  <c r="N3971" i="5" s="1"/>
  <c r="M3971" i="5" s="1"/>
  <c r="F3971" i="5" s="1"/>
  <c r="L3971" i="5" s="1"/>
  <c r="N3653" i="5"/>
  <c r="M3653" i="5" s="1"/>
  <c r="F3653" i="5" s="1"/>
  <c r="L3653" i="5" s="1"/>
  <c r="M2868" i="5"/>
  <c r="L2868" i="5" s="1"/>
  <c r="N5241" i="5"/>
  <c r="N5242" i="5" s="1"/>
  <c r="N5243" i="5" s="1"/>
  <c r="N5244" i="5" s="1"/>
  <c r="F5152" i="5"/>
  <c r="C5152" i="5"/>
  <c r="A5248" i="5"/>
  <c r="C5246" i="5"/>
  <c r="Q213" i="5"/>
  <c r="F214" i="5" s="1"/>
  <c r="G214" i="5"/>
  <c r="H214" i="5" s="1"/>
  <c r="Q228" i="5"/>
  <c r="F229" i="5" s="1"/>
  <c r="G229" i="5"/>
  <c r="H229" i="5" s="1"/>
  <c r="M3363" i="5"/>
  <c r="F3363" i="5" s="1"/>
  <c r="L3363" i="5" s="1"/>
  <c r="P227" i="5"/>
  <c r="G213" i="5"/>
  <c r="H213" i="5" s="1"/>
  <c r="P213" i="5"/>
  <c r="F213" i="5" s="1"/>
  <c r="Q5151" i="5"/>
  <c r="G5160" i="5" s="1"/>
  <c r="H5160" i="5" s="1"/>
  <c r="D4775" i="5"/>
  <c r="F4771" i="5"/>
  <c r="A5242" i="5"/>
  <c r="C5241" i="5"/>
  <c r="I5241" i="5"/>
  <c r="G4467" i="5"/>
  <c r="H4467" i="5" s="1"/>
  <c r="Q4467" i="5"/>
  <c r="F4467" i="5" s="1"/>
  <c r="G5157" i="5"/>
  <c r="H5157" i="5" s="1"/>
  <c r="G4317" i="5"/>
  <c r="H4317" i="5" s="1"/>
  <c r="C5161" i="5"/>
  <c r="F5161" i="5"/>
  <c r="Q4311" i="5"/>
  <c r="C5155" i="5"/>
  <c r="N3644" i="5"/>
  <c r="N3654" i="5" s="1"/>
  <c r="M3654" i="5" s="1"/>
  <c r="F3654" i="5" s="1"/>
  <c r="L3654" i="5" s="1"/>
  <c r="A5169" i="5"/>
  <c r="A5170" i="5" s="1"/>
  <c r="C5170" i="5" s="1"/>
  <c r="F4794" i="5"/>
  <c r="O4771" i="5"/>
  <c r="F4797" i="5" s="1"/>
  <c r="S3753" i="5"/>
  <c r="F3753" i="5" s="1"/>
  <c r="P3754" i="5"/>
  <c r="G3753" i="5"/>
  <c r="H3753" i="5" s="1"/>
  <c r="V3563" i="5"/>
  <c r="F3563" i="5" s="1"/>
  <c r="M3638" i="5"/>
  <c r="F3638" i="5" s="1"/>
  <c r="L3638" i="5" s="1"/>
  <c r="M3629" i="5"/>
  <c r="F3629" i="5" s="1"/>
  <c r="L3629" i="5" s="1"/>
  <c r="N3639" i="5"/>
  <c r="I5294" i="5"/>
  <c r="M2869" i="5"/>
  <c r="L2869" i="5" s="1"/>
  <c r="M2893" i="5"/>
  <c r="L2893" i="5" s="1"/>
  <c r="M2820" i="5"/>
  <c r="L2820" i="5" s="1"/>
  <c r="N3365" i="5"/>
  <c r="A5166" i="5"/>
  <c r="C5166" i="5" s="1"/>
  <c r="M3286" i="5"/>
  <c r="F3286" i="5" s="1"/>
  <c r="L3286" i="5" s="1"/>
  <c r="M3287" i="5"/>
  <c r="F3287" i="5" s="1"/>
  <c r="L3287" i="5" s="1"/>
  <c r="M3366" i="5"/>
  <c r="F3366" i="5" s="1"/>
  <c r="L3366" i="5" s="1"/>
  <c r="M3364" i="5"/>
  <c r="F3364" i="5" s="1"/>
  <c r="L3364" i="5" s="1"/>
  <c r="N3288" i="5"/>
  <c r="M3870" i="5"/>
  <c r="F3870" i="5" s="1"/>
  <c r="L3870" i="5" s="1"/>
  <c r="M3396" i="5"/>
  <c r="F3396" i="5" s="1"/>
  <c r="L3396" i="5" s="1"/>
  <c r="D4792" i="5"/>
  <c r="D4796" i="5" s="1"/>
  <c r="N3970" i="5"/>
  <c r="M3970" i="5" s="1"/>
  <c r="F3970" i="5" s="1"/>
  <c r="L3970" i="5" s="1"/>
  <c r="M3961" i="5"/>
  <c r="F3961" i="5" s="1"/>
  <c r="L3961" i="5" s="1"/>
  <c r="W5153" i="5"/>
  <c r="G4657" i="5"/>
  <c r="H4657" i="5" s="1"/>
  <c r="W3565" i="5"/>
  <c r="F3572" i="5" s="1"/>
  <c r="G5008" i="5"/>
  <c r="H5008" i="5" s="1"/>
  <c r="G5019" i="5"/>
  <c r="H5019" i="5" s="1"/>
  <c r="N3652" i="5"/>
  <c r="M3652" i="5" s="1"/>
  <c r="F3652" i="5" s="1"/>
  <c r="L3652" i="5" s="1"/>
  <c r="D5011" i="5"/>
  <c r="F5011" i="5" s="1"/>
  <c r="R5006" i="5"/>
  <c r="R5007" i="5" s="1"/>
  <c r="G3572" i="5"/>
  <c r="H3572" i="5" s="1"/>
  <c r="P47" i="11"/>
  <c r="P45" i="11"/>
  <c r="P26" i="11"/>
  <c r="P28" i="11"/>
  <c r="N4671" i="5"/>
  <c r="A4671" i="5" s="1"/>
  <c r="C4671" i="5" s="1"/>
  <c r="P4571" i="5"/>
  <c r="G4570" i="5"/>
  <c r="H4570" i="5" s="1"/>
  <c r="M3962" i="5"/>
  <c r="F3962" i="5" s="1"/>
  <c r="L3962" i="5" s="1"/>
  <c r="U5004" i="5"/>
  <c r="P5005" i="5"/>
  <c r="N3974" i="5"/>
  <c r="M3974" i="5" s="1"/>
  <c r="F3974" i="5" s="1"/>
  <c r="L3974" i="5" s="1"/>
  <c r="M3965" i="5"/>
  <c r="F3965" i="5" s="1"/>
  <c r="L3965" i="5" s="1"/>
  <c r="G4897" i="5"/>
  <c r="H4897" i="5" s="1"/>
  <c r="Q4901" i="5"/>
  <c r="M3957" i="5"/>
  <c r="F3957" i="5" s="1"/>
  <c r="L3957" i="5" s="1"/>
  <c r="N3966" i="5"/>
  <c r="P4311" i="5"/>
  <c r="T4311" i="5" s="1"/>
  <c r="F4318" i="5" s="1"/>
  <c r="N3302" i="5"/>
  <c r="N3380" i="5"/>
  <c r="M3301" i="5"/>
  <c r="F3301" i="5" s="1"/>
  <c r="L3301" i="5" s="1"/>
  <c r="N3458" i="5"/>
  <c r="M3458" i="5" s="1"/>
  <c r="F3458" i="5" s="1"/>
  <c r="L3458" i="5" s="1"/>
  <c r="M3379" i="5"/>
  <c r="F3379" i="5" s="1"/>
  <c r="L3379" i="5" s="1"/>
  <c r="M4524" i="5"/>
  <c r="F4524" i="5" s="1"/>
  <c r="F4521" i="5"/>
  <c r="R5080" i="5"/>
  <c r="W5079" i="5"/>
  <c r="F5093" i="5" s="1"/>
  <c r="F5012" i="5"/>
  <c r="N3397" i="5"/>
  <c r="N3476" i="5" s="1"/>
  <c r="M3476" i="5" s="1"/>
  <c r="F3476" i="5" s="1"/>
  <c r="L3476" i="5" s="1"/>
  <c r="M3857" i="5"/>
  <c r="F3857" i="5" s="1"/>
  <c r="L3857" i="5" s="1"/>
  <c r="N3866" i="5"/>
  <c r="D5015" i="5"/>
  <c r="D5018" i="5" s="1"/>
  <c r="N3319" i="5"/>
  <c r="N3398" i="5" s="1"/>
  <c r="Q4541" i="5"/>
  <c r="N3874" i="5"/>
  <c r="M3874" i="5" s="1"/>
  <c r="F3874" i="5" s="1"/>
  <c r="L3874" i="5" s="1"/>
  <c r="M3865" i="5"/>
  <c r="F3865" i="5" s="1"/>
  <c r="L3865" i="5" s="1"/>
  <c r="Q4604" i="5"/>
  <c r="F4604" i="5" s="1"/>
  <c r="G4604" i="5"/>
  <c r="H4604" i="5" s="1"/>
  <c r="P4605" i="5"/>
  <c r="N5283" i="5"/>
  <c r="A5298" i="5"/>
  <c r="A5296" i="5"/>
  <c r="C5295" i="5"/>
  <c r="V5004" i="5"/>
  <c r="Q5005" i="5"/>
  <c r="C4766" i="5"/>
  <c r="F4766" i="5"/>
  <c r="C4811" i="5"/>
  <c r="F4811" i="5"/>
  <c r="V4902" i="5"/>
  <c r="F4902" i="5"/>
  <c r="P4901" i="5"/>
  <c r="G4896" i="5"/>
  <c r="H4896" i="5" s="1"/>
  <c r="F4297" i="5"/>
  <c r="T4296" i="5"/>
  <c r="F4299" i="5" s="1"/>
  <c r="S5284" i="5"/>
  <c r="P5155" i="5"/>
  <c r="U5154" i="5"/>
  <c r="X4911" i="5"/>
  <c r="F4940" i="5"/>
  <c r="C5164" i="5"/>
  <c r="G5164" i="5"/>
  <c r="H5164" i="5" s="1"/>
  <c r="U4296" i="5"/>
  <c r="F4300" i="5" s="1"/>
  <c r="F4298" i="5"/>
  <c r="P3685" i="5"/>
  <c r="G3684" i="5"/>
  <c r="H3684" i="5" s="1"/>
  <c r="T3684" i="5"/>
  <c r="F3684" i="5" s="1"/>
  <c r="W4729" i="5"/>
  <c r="W4730" i="5"/>
  <c r="W4715" i="5"/>
  <c r="W4716" i="5"/>
  <c r="Q5279" i="5"/>
  <c r="I5286" i="5"/>
  <c r="F4825" i="5"/>
  <c r="R4807" i="5"/>
  <c r="M3644" i="5"/>
  <c r="F3644" i="5" s="1"/>
  <c r="L3644" i="5" s="1"/>
  <c r="C5199" i="5"/>
  <c r="A5200" i="5"/>
  <c r="G5158" i="5"/>
  <c r="H5158" i="5" s="1"/>
  <c r="C5158" i="5"/>
  <c r="F5158" i="5"/>
  <c r="N5191" i="5"/>
  <c r="A5202" i="5"/>
  <c r="A5203" i="5" s="1"/>
  <c r="A5204" i="5" s="1"/>
  <c r="W5154" i="5"/>
  <c r="R5155" i="5"/>
  <c r="A5172" i="5"/>
  <c r="C5171" i="5"/>
  <c r="N5157" i="5"/>
  <c r="A5174" i="5"/>
  <c r="G3567" i="5"/>
  <c r="H3567" i="5" s="1"/>
  <c r="P3565" i="5"/>
  <c r="V3564" i="5"/>
  <c r="F3567" i="5" s="1"/>
  <c r="V5151" i="5"/>
  <c r="F5160" i="5" s="1"/>
  <c r="Q5152" i="5"/>
  <c r="D5259" i="5"/>
  <c r="D5096" i="5"/>
  <c r="G5093" i="5"/>
  <c r="I5090" i="5"/>
  <c r="H5090" i="5"/>
  <c r="R4905" i="5"/>
  <c r="G4915" i="5"/>
  <c r="H4915" i="5" s="1"/>
  <c r="G3573" i="5"/>
  <c r="H3573" i="5" s="1"/>
  <c r="R3566" i="5"/>
  <c r="X3565" i="5"/>
  <c r="F3573" i="5" s="1"/>
  <c r="D5295" i="5"/>
  <c r="P4659" i="5"/>
  <c r="G4658" i="5"/>
  <c r="H4658" i="5" s="1"/>
  <c r="Q4658" i="5"/>
  <c r="F4658" i="5" s="1"/>
  <c r="S4809" i="5"/>
  <c r="F4834" i="5"/>
  <c r="W4906" i="5"/>
  <c r="F4919" i="5"/>
  <c r="G3570" i="5"/>
  <c r="H3570" i="5" s="1"/>
  <c r="Y3564" i="5"/>
  <c r="F3570" i="5" s="1"/>
  <c r="S3565" i="5"/>
  <c r="D5162" i="5"/>
  <c r="F5159" i="5"/>
  <c r="G5159" i="5"/>
  <c r="H5159" i="5" s="1"/>
  <c r="S4954" i="5"/>
  <c r="G4965" i="5"/>
  <c r="H4965" i="5" s="1"/>
  <c r="Q3687" i="5"/>
  <c r="U3686" i="5"/>
  <c r="F3689" i="5" s="1"/>
  <c r="G3689" i="5"/>
  <c r="H3689" i="5" s="1"/>
  <c r="G4319" i="5"/>
  <c r="H4319" i="5" s="1"/>
  <c r="U4311" i="5"/>
  <c r="F4319" i="5" s="1"/>
  <c r="Q4312" i="5"/>
  <c r="I5288" i="5"/>
  <c r="C5288" i="5"/>
  <c r="O4811" i="5"/>
  <c r="F4852" i="5" s="1"/>
  <c r="F4843" i="5"/>
  <c r="F3742" i="5"/>
  <c r="S3743" i="5"/>
  <c r="F3743" i="5" s="1"/>
  <c r="W3566" i="5"/>
  <c r="F3576" i="5" s="1"/>
  <c r="G3576" i="5"/>
  <c r="H3576" i="5" s="1"/>
  <c r="Q3580" i="5"/>
  <c r="F4574" i="5"/>
  <c r="Q4575" i="5"/>
  <c r="F4820" i="5"/>
  <c r="Q4806" i="5"/>
  <c r="F4896" i="5"/>
  <c r="U4901" i="5"/>
  <c r="F5170" i="5" l="1"/>
  <c r="G4316" i="5"/>
  <c r="H4316" i="5" s="1"/>
  <c r="A5249" i="5"/>
  <c r="A5250" i="5" s="1"/>
  <c r="C5250" i="5" s="1"/>
  <c r="G5170" i="5"/>
  <c r="H5170" i="5" s="1"/>
  <c r="C5169" i="5"/>
  <c r="A5255" i="5"/>
  <c r="A5256" i="5" s="1"/>
  <c r="A5252" i="5"/>
  <c r="A5253" i="5" s="1"/>
  <c r="I5248" i="5"/>
  <c r="C5248" i="5"/>
  <c r="A5258" i="5"/>
  <c r="N5245" i="5"/>
  <c r="F4798" i="5"/>
  <c r="P228" i="5"/>
  <c r="F228" i="5" s="1"/>
  <c r="G228" i="5"/>
  <c r="H228" i="5" s="1"/>
  <c r="I5242" i="5"/>
  <c r="C5242" i="5"/>
  <c r="D4779" i="5"/>
  <c r="F4775" i="5"/>
  <c r="D5014" i="5"/>
  <c r="G5014" i="5" s="1"/>
  <c r="H5014" i="5" s="1"/>
  <c r="G5011" i="5"/>
  <c r="H5011" i="5" s="1"/>
  <c r="A5167" i="5"/>
  <c r="G5167" i="5" s="1"/>
  <c r="H5167" i="5" s="1"/>
  <c r="F4796" i="5"/>
  <c r="S3754" i="5"/>
  <c r="F3754" i="5" s="1"/>
  <c r="P3755" i="5"/>
  <c r="G3754" i="5"/>
  <c r="H3754" i="5" s="1"/>
  <c r="W5006" i="5"/>
  <c r="F5022" i="5" s="1"/>
  <c r="N3649" i="5"/>
  <c r="M3649" i="5" s="1"/>
  <c r="F3649" i="5" s="1"/>
  <c r="L3649" i="5" s="1"/>
  <c r="M3639" i="5"/>
  <c r="F3639" i="5" s="1"/>
  <c r="L3639" i="5" s="1"/>
  <c r="C5255" i="5"/>
  <c r="N3444" i="5"/>
  <c r="M3444" i="5" s="1"/>
  <c r="F3444" i="5" s="1"/>
  <c r="L3444" i="5" s="1"/>
  <c r="M3365" i="5"/>
  <c r="F3365" i="5" s="1"/>
  <c r="L3365" i="5" s="1"/>
  <c r="G5015" i="5"/>
  <c r="H5015" i="5" s="1"/>
  <c r="N3289" i="5"/>
  <c r="M3288" i="5"/>
  <c r="F3288" i="5" s="1"/>
  <c r="L3288" i="5" s="1"/>
  <c r="N3367" i="5"/>
  <c r="F4792" i="5"/>
  <c r="G5022" i="5"/>
  <c r="I5022" i="5" s="1"/>
  <c r="M3319" i="5"/>
  <c r="F3319" i="5" s="1"/>
  <c r="L3319" i="5" s="1"/>
  <c r="N3320" i="5"/>
  <c r="N3399" i="5" s="1"/>
  <c r="I5019" i="5"/>
  <c r="M3397" i="5"/>
  <c r="F3397" i="5" s="1"/>
  <c r="L3397" i="5" s="1"/>
  <c r="P4573" i="5"/>
  <c r="G4571" i="5"/>
  <c r="H4571" i="5" s="1"/>
  <c r="N4672" i="5"/>
  <c r="N4673" i="5" s="1"/>
  <c r="P5006" i="5"/>
  <c r="U5005" i="5"/>
  <c r="M3966" i="5"/>
  <c r="F3966" i="5" s="1"/>
  <c r="L3966" i="5" s="1"/>
  <c r="N3975" i="5"/>
  <c r="M3975" i="5" s="1"/>
  <c r="F3975" i="5" s="1"/>
  <c r="L3975" i="5" s="1"/>
  <c r="G4902" i="5"/>
  <c r="H4902" i="5" s="1"/>
  <c r="Q4902" i="5"/>
  <c r="F5015" i="5"/>
  <c r="P4312" i="5"/>
  <c r="T4312" i="5" s="1"/>
  <c r="F4320" i="5" s="1"/>
  <c r="G4318" i="5"/>
  <c r="H4318" i="5" s="1"/>
  <c r="M3866" i="5"/>
  <c r="F3866" i="5" s="1"/>
  <c r="L3866" i="5" s="1"/>
  <c r="N3875" i="5"/>
  <c r="M3875" i="5" s="1"/>
  <c r="F3875" i="5" s="1"/>
  <c r="L3875" i="5" s="1"/>
  <c r="N3459" i="5"/>
  <c r="M3459" i="5" s="1"/>
  <c r="F3459" i="5" s="1"/>
  <c r="L3459" i="5" s="1"/>
  <c r="M3380" i="5"/>
  <c r="F3380" i="5" s="1"/>
  <c r="L3380" i="5" s="1"/>
  <c r="N3303" i="5"/>
  <c r="N3381" i="5"/>
  <c r="M3302" i="5"/>
  <c r="F3302" i="5" s="1"/>
  <c r="L3302" i="5" s="1"/>
  <c r="Q4542" i="5"/>
  <c r="F4541" i="5"/>
  <c r="R5081" i="5"/>
  <c r="W5080" i="5"/>
  <c r="F5096" i="5" s="1"/>
  <c r="P4606" i="5"/>
  <c r="G4605" i="5"/>
  <c r="H4605" i="5" s="1"/>
  <c r="Q4605" i="5"/>
  <c r="F4605" i="5" s="1"/>
  <c r="Q5006" i="5"/>
  <c r="V5005" i="5"/>
  <c r="F5018" i="5" s="1"/>
  <c r="I5296" i="5"/>
  <c r="C5296" i="5"/>
  <c r="A5297" i="5"/>
  <c r="C5298" i="5"/>
  <c r="A5299" i="5"/>
  <c r="A5301" i="5"/>
  <c r="N5284" i="5"/>
  <c r="S5285" i="5"/>
  <c r="S5311" i="5" s="1"/>
  <c r="I5313" i="5" s="1"/>
  <c r="F4944" i="5"/>
  <c r="X4912" i="5"/>
  <c r="P4902" i="5"/>
  <c r="G4901" i="5"/>
  <c r="H4901" i="5" s="1"/>
  <c r="U5155" i="5"/>
  <c r="P5156" i="5"/>
  <c r="V4903" i="5"/>
  <c r="F4906" i="5"/>
  <c r="G3686" i="5"/>
  <c r="H3686" i="5" s="1"/>
  <c r="T3685" i="5"/>
  <c r="F3686" i="5" s="1"/>
  <c r="P3686" i="5"/>
  <c r="F4829" i="5"/>
  <c r="R4808" i="5"/>
  <c r="Q5280" i="5"/>
  <c r="I5289" i="5"/>
  <c r="A5173" i="5"/>
  <c r="C5172" i="5"/>
  <c r="V3565" i="5"/>
  <c r="F3571" i="5" s="1"/>
  <c r="G3571" i="5"/>
  <c r="H3571" i="5" s="1"/>
  <c r="P3566" i="5"/>
  <c r="W5007" i="5"/>
  <c r="F5025" i="5" s="1"/>
  <c r="R5008" i="5"/>
  <c r="G5025" i="5"/>
  <c r="M3398" i="5"/>
  <c r="F3398" i="5" s="1"/>
  <c r="L3398" i="5" s="1"/>
  <c r="N3477" i="5"/>
  <c r="M3477" i="5" s="1"/>
  <c r="F3477" i="5" s="1"/>
  <c r="L3477" i="5" s="1"/>
  <c r="R5156" i="5"/>
  <c r="W5155" i="5"/>
  <c r="A5201" i="5"/>
  <c r="C5201" i="5" s="1"/>
  <c r="C5200" i="5"/>
  <c r="A5175" i="5"/>
  <c r="C5174" i="5"/>
  <c r="G5163" i="5"/>
  <c r="H5163" i="5" s="1"/>
  <c r="V5152" i="5"/>
  <c r="F5163" i="5" s="1"/>
  <c r="Q5153" i="5"/>
  <c r="A5177" i="5"/>
  <c r="N5158" i="5"/>
  <c r="A5180" i="5" s="1"/>
  <c r="A547" i="6"/>
  <c r="N5192" i="5"/>
  <c r="G4659" i="5"/>
  <c r="H4659" i="5" s="1"/>
  <c r="Q4659" i="5"/>
  <c r="F4659" i="5" s="1"/>
  <c r="P4660" i="5"/>
  <c r="R3580" i="5"/>
  <c r="X3566" i="5"/>
  <c r="F3577" i="5" s="1"/>
  <c r="G3577" i="5"/>
  <c r="H3577" i="5" s="1"/>
  <c r="R4906" i="5"/>
  <c r="G4919" i="5"/>
  <c r="H4919" i="5" s="1"/>
  <c r="D5262" i="5"/>
  <c r="D5298" i="5"/>
  <c r="G5018" i="5"/>
  <c r="D5021" i="5"/>
  <c r="I5093" i="5"/>
  <c r="H5093" i="5"/>
  <c r="G5096" i="5"/>
  <c r="D5099" i="5"/>
  <c r="G3581" i="5"/>
  <c r="H3581" i="5" s="1"/>
  <c r="W3580" i="5"/>
  <c r="F3581" i="5" s="1"/>
  <c r="Q3581" i="5"/>
  <c r="F5162" i="5"/>
  <c r="G5162" i="5"/>
  <c r="H5162" i="5" s="1"/>
  <c r="D5165" i="5"/>
  <c r="Q4576" i="5"/>
  <c r="F4575" i="5"/>
  <c r="F4824" i="5"/>
  <c r="Q4807" i="5"/>
  <c r="S4810" i="5"/>
  <c r="F4838" i="5"/>
  <c r="W4907" i="5"/>
  <c r="F4923" i="5"/>
  <c r="F4860" i="5"/>
  <c r="F4876" i="5"/>
  <c r="F4872" i="5"/>
  <c r="F4856" i="5"/>
  <c r="F4847" i="5"/>
  <c r="Q4313" i="5"/>
  <c r="U4312" i="5"/>
  <c r="F4321" i="5" s="1"/>
  <c r="G4321" i="5"/>
  <c r="H4321" i="5" s="1"/>
  <c r="Q3693" i="5"/>
  <c r="U3687" i="5"/>
  <c r="F3691" i="5" s="1"/>
  <c r="G3691" i="5"/>
  <c r="H3691" i="5" s="1"/>
  <c r="F4868" i="5"/>
  <c r="G3574" i="5"/>
  <c r="H3574" i="5" s="1"/>
  <c r="Y3565" i="5"/>
  <c r="F3574" i="5" s="1"/>
  <c r="S3566" i="5"/>
  <c r="U4902" i="5"/>
  <c r="F4901" i="5"/>
  <c r="F4864" i="5"/>
  <c r="S4955" i="5"/>
  <c r="G4969" i="5"/>
  <c r="H4969" i="5" s="1"/>
  <c r="I5255" i="5" l="1"/>
  <c r="C5252" i="5"/>
  <c r="F5014" i="5"/>
  <c r="I5252" i="5"/>
  <c r="C5249" i="5"/>
  <c r="I5249" i="5"/>
  <c r="A5261" i="5"/>
  <c r="N5246" i="5"/>
  <c r="C5258" i="5"/>
  <c r="I5258" i="5"/>
  <c r="A5259" i="5"/>
  <c r="D5017" i="5"/>
  <c r="G5017" i="5" s="1"/>
  <c r="A5251" i="5"/>
  <c r="C5251" i="5" s="1"/>
  <c r="I5250" i="5"/>
  <c r="F4779" i="5"/>
  <c r="D4783" i="5"/>
  <c r="C5167" i="5"/>
  <c r="F5167" i="5"/>
  <c r="C5253" i="5"/>
  <c r="I5253" i="5"/>
  <c r="A5254" i="5"/>
  <c r="S3755" i="5"/>
  <c r="F3755" i="5" s="1"/>
  <c r="G3755" i="5"/>
  <c r="H3755" i="5" s="1"/>
  <c r="P3757" i="5"/>
  <c r="C5256" i="5"/>
  <c r="A5257" i="5"/>
  <c r="I5256" i="5"/>
  <c r="H5022" i="5"/>
  <c r="M3367" i="5"/>
  <c r="F3367" i="5" s="1"/>
  <c r="L3367" i="5" s="1"/>
  <c r="N3446" i="5"/>
  <c r="M3446" i="5" s="1"/>
  <c r="F3446" i="5" s="1"/>
  <c r="L3446" i="5" s="1"/>
  <c r="N3368" i="5"/>
  <c r="M3289" i="5"/>
  <c r="F3289" i="5" s="1"/>
  <c r="L3289" i="5" s="1"/>
  <c r="N3290" i="5"/>
  <c r="M3320" i="5"/>
  <c r="F3320" i="5" s="1"/>
  <c r="L3320" i="5" s="1"/>
  <c r="N3321" i="5"/>
  <c r="N3322" i="5" s="1"/>
  <c r="P4313" i="5"/>
  <c r="T4313" i="5" s="1"/>
  <c r="F4322" i="5" s="1"/>
  <c r="A4672" i="5"/>
  <c r="C4672" i="5" s="1"/>
  <c r="G4573" i="5"/>
  <c r="H4573" i="5" s="1"/>
  <c r="P4574" i="5"/>
  <c r="P5007" i="5"/>
  <c r="U5006" i="5"/>
  <c r="Q4903" i="5"/>
  <c r="G4906" i="5"/>
  <c r="H4906" i="5" s="1"/>
  <c r="G4320" i="5"/>
  <c r="H4320" i="5" s="1"/>
  <c r="F4542" i="5"/>
  <c r="Q4544" i="5"/>
  <c r="N3460" i="5"/>
  <c r="M3460" i="5" s="1"/>
  <c r="F3460" i="5" s="1"/>
  <c r="L3460" i="5" s="1"/>
  <c r="M3381" i="5"/>
  <c r="F3381" i="5" s="1"/>
  <c r="L3381" i="5" s="1"/>
  <c r="N3382" i="5"/>
  <c r="M3303" i="5"/>
  <c r="F3303" i="5" s="1"/>
  <c r="L3303" i="5" s="1"/>
  <c r="N3304" i="5"/>
  <c r="R5082" i="5"/>
  <c r="W5081" i="5"/>
  <c r="F5099" i="5" s="1"/>
  <c r="Q4606" i="5"/>
  <c r="F4606" i="5" s="1"/>
  <c r="G4606" i="5"/>
  <c r="H4606" i="5" s="1"/>
  <c r="P4607" i="5"/>
  <c r="C5301" i="5"/>
  <c r="A5302" i="5"/>
  <c r="C5299" i="5"/>
  <c r="I5299" i="5"/>
  <c r="A5300" i="5"/>
  <c r="C5297" i="5"/>
  <c r="I5297" i="5"/>
  <c r="A5304" i="5"/>
  <c r="N5285" i="5"/>
  <c r="V5006" i="5"/>
  <c r="F5021" i="5" s="1"/>
  <c r="Q5007" i="5"/>
  <c r="U5156" i="5"/>
  <c r="P5157" i="5"/>
  <c r="G4905" i="5"/>
  <c r="H4905" i="5" s="1"/>
  <c r="P4903" i="5"/>
  <c r="X4950" i="5"/>
  <c r="F4948" i="5"/>
  <c r="F4910" i="5"/>
  <c r="V4904" i="5"/>
  <c r="N4674" i="5"/>
  <c r="A4673" i="5"/>
  <c r="C4673" i="5" s="1"/>
  <c r="G3688" i="5"/>
  <c r="H3688" i="5" s="1"/>
  <c r="T3686" i="5"/>
  <c r="F3688" i="5" s="1"/>
  <c r="P3687" i="5"/>
  <c r="R4809" i="5"/>
  <c r="F4833" i="5"/>
  <c r="Q5281" i="5"/>
  <c r="I5292" i="5"/>
  <c r="M3399" i="5"/>
  <c r="F3399" i="5" s="1"/>
  <c r="L3399" i="5" s="1"/>
  <c r="N3478" i="5"/>
  <c r="M3478" i="5" s="1"/>
  <c r="F3478" i="5" s="1"/>
  <c r="L3478" i="5" s="1"/>
  <c r="P3580" i="5"/>
  <c r="G3575" i="5"/>
  <c r="H3575" i="5" s="1"/>
  <c r="V3566" i="5"/>
  <c r="F3575" i="5" s="1"/>
  <c r="A550" i="6"/>
  <c r="N5193" i="5"/>
  <c r="C5175" i="5"/>
  <c r="A5176" i="5"/>
  <c r="C547" i="6"/>
  <c r="A548" i="6"/>
  <c r="F547" i="6"/>
  <c r="A5181" i="5"/>
  <c r="C5180" i="5"/>
  <c r="A5178" i="5"/>
  <c r="C5177" i="5"/>
  <c r="G5166" i="5"/>
  <c r="H5166" i="5" s="1"/>
  <c r="Q5154" i="5"/>
  <c r="V5153" i="5"/>
  <c r="F5166" i="5" s="1"/>
  <c r="W5156" i="5"/>
  <c r="R5157" i="5"/>
  <c r="H5025" i="5"/>
  <c r="I5025" i="5"/>
  <c r="G5028" i="5"/>
  <c r="R5009" i="5"/>
  <c r="W5008" i="5"/>
  <c r="F5028" i="5" s="1"/>
  <c r="G5173" i="5"/>
  <c r="H5173" i="5" s="1"/>
  <c r="C5173" i="5"/>
  <c r="F5173" i="5"/>
  <c r="X3580" i="5"/>
  <c r="F3582" i="5" s="1"/>
  <c r="G3582" i="5"/>
  <c r="H3582" i="5" s="1"/>
  <c r="R3581" i="5"/>
  <c r="D5024" i="5"/>
  <c r="G5021" i="5"/>
  <c r="D5265" i="5"/>
  <c r="H5018" i="5"/>
  <c r="I5018" i="5"/>
  <c r="G5099" i="5"/>
  <c r="D5102" i="5"/>
  <c r="G4660" i="5"/>
  <c r="H4660" i="5" s="1"/>
  <c r="Q4660" i="5"/>
  <c r="F4660" i="5" s="1"/>
  <c r="P4661" i="5"/>
  <c r="H5096" i="5"/>
  <c r="I5096" i="5"/>
  <c r="D5301" i="5"/>
  <c r="G4923" i="5"/>
  <c r="H4923" i="5" s="1"/>
  <c r="R4907" i="5"/>
  <c r="F4905" i="5"/>
  <c r="U4903" i="5"/>
  <c r="G3694" i="5"/>
  <c r="H3694" i="5" s="1"/>
  <c r="U3693" i="5"/>
  <c r="F3694" i="5" s="1"/>
  <c r="Q3694" i="5"/>
  <c r="W4908" i="5"/>
  <c r="F4927" i="5"/>
  <c r="Q3582" i="5"/>
  <c r="G3585" i="5"/>
  <c r="H3585" i="5" s="1"/>
  <c r="W3581" i="5"/>
  <c r="F3585" i="5" s="1"/>
  <c r="S3580" i="5"/>
  <c r="Y3566" i="5"/>
  <c r="F3578" i="5" s="1"/>
  <c r="G3578" i="5"/>
  <c r="H3578" i="5" s="1"/>
  <c r="S4956" i="5"/>
  <c r="G4973" i="5"/>
  <c r="H4973" i="5" s="1"/>
  <c r="F4576" i="5"/>
  <c r="Q4577" i="5"/>
  <c r="F5165" i="5"/>
  <c r="D5168" i="5"/>
  <c r="G5165" i="5"/>
  <c r="H5165" i="5" s="1"/>
  <c r="Q4808" i="5"/>
  <c r="F4828" i="5"/>
  <c r="S4811" i="5"/>
  <c r="F4842" i="5"/>
  <c r="Q4314" i="5"/>
  <c r="G4323" i="5"/>
  <c r="H4323" i="5" s="1"/>
  <c r="U4313" i="5"/>
  <c r="F4323" i="5" s="1"/>
  <c r="F5017" i="5" l="1"/>
  <c r="D5020" i="5"/>
  <c r="I5251" i="5"/>
  <c r="G4322" i="5"/>
  <c r="H4322" i="5" s="1"/>
  <c r="A5260" i="5"/>
  <c r="I5259" i="5"/>
  <c r="C5259" i="5"/>
  <c r="A5264" i="5"/>
  <c r="N5247" i="5"/>
  <c r="A5262" i="5"/>
  <c r="I5261" i="5"/>
  <c r="C5261" i="5"/>
  <c r="F4783" i="5"/>
  <c r="D4787" i="5"/>
  <c r="C5254" i="5"/>
  <c r="I5254" i="5"/>
  <c r="G3757" i="5"/>
  <c r="H3757" i="5" s="1"/>
  <c r="P3758" i="5"/>
  <c r="S3757" i="5"/>
  <c r="F3757" i="5" s="1"/>
  <c r="I5257" i="5"/>
  <c r="C5257" i="5"/>
  <c r="M3321" i="5"/>
  <c r="F3321" i="5" s="1"/>
  <c r="L3321" i="5" s="1"/>
  <c r="P4314" i="5"/>
  <c r="G4324" i="5" s="1"/>
  <c r="H4324" i="5" s="1"/>
  <c r="N3291" i="5"/>
  <c r="M3290" i="5"/>
  <c r="F3290" i="5" s="1"/>
  <c r="L3290" i="5" s="1"/>
  <c r="N3369" i="5"/>
  <c r="N3400" i="5"/>
  <c r="N3479" i="5" s="1"/>
  <c r="M3479" i="5" s="1"/>
  <c r="F3479" i="5" s="1"/>
  <c r="L3479" i="5" s="1"/>
  <c r="N3447" i="5"/>
  <c r="M3447" i="5" s="1"/>
  <c r="F3447" i="5" s="1"/>
  <c r="L3447" i="5" s="1"/>
  <c r="M3368" i="5"/>
  <c r="F3368" i="5" s="1"/>
  <c r="L3368" i="5" s="1"/>
  <c r="A5307" i="5"/>
  <c r="C5307" i="5" s="1"/>
  <c r="G4574" i="5"/>
  <c r="H4574" i="5" s="1"/>
  <c r="P4575" i="5"/>
  <c r="U5007" i="5"/>
  <c r="P5008" i="5"/>
  <c r="Q4904" i="5"/>
  <c r="G4910" i="5"/>
  <c r="H4910" i="5" s="1"/>
  <c r="R5083" i="5"/>
  <c r="W5082" i="5"/>
  <c r="F5102" i="5" s="1"/>
  <c r="N3383" i="5"/>
  <c r="M3304" i="5"/>
  <c r="F3304" i="5" s="1"/>
  <c r="L3304" i="5" s="1"/>
  <c r="N3305" i="5"/>
  <c r="N3461" i="5"/>
  <c r="M3461" i="5" s="1"/>
  <c r="F3461" i="5" s="1"/>
  <c r="L3461" i="5" s="1"/>
  <c r="M3382" i="5"/>
  <c r="F3382" i="5" s="1"/>
  <c r="L3382" i="5" s="1"/>
  <c r="F4544" i="5"/>
  <c r="Q4545" i="5"/>
  <c r="Q4607" i="5"/>
  <c r="F4607" i="5" s="1"/>
  <c r="P4608" i="5"/>
  <c r="G4607" i="5"/>
  <c r="H4607" i="5" s="1"/>
  <c r="C5300" i="5"/>
  <c r="I5300" i="5"/>
  <c r="Q5008" i="5"/>
  <c r="V5007" i="5"/>
  <c r="F5024" i="5" s="1"/>
  <c r="A5303" i="5"/>
  <c r="C5302" i="5"/>
  <c r="I5302" i="5"/>
  <c r="C5304" i="5"/>
  <c r="A5305" i="5"/>
  <c r="F4914" i="5"/>
  <c r="V4905" i="5"/>
  <c r="F4953" i="5"/>
  <c r="X4951" i="5"/>
  <c r="G4909" i="5"/>
  <c r="H4909" i="5" s="1"/>
  <c r="P4904" i="5"/>
  <c r="P5158" i="5"/>
  <c r="U5157" i="5"/>
  <c r="G3690" i="5"/>
  <c r="H3690" i="5" s="1"/>
  <c r="T3687" i="5"/>
  <c r="F3690" i="5" s="1"/>
  <c r="P3693" i="5"/>
  <c r="N4675" i="5"/>
  <c r="A4675" i="5" s="1"/>
  <c r="C4675" i="5" s="1"/>
  <c r="A4674" i="5"/>
  <c r="C4674" i="5" s="1"/>
  <c r="Q5282" i="5"/>
  <c r="I5295" i="5"/>
  <c r="R4810" i="5"/>
  <c r="F4837" i="5"/>
  <c r="A551" i="6"/>
  <c r="C550" i="6"/>
  <c r="F550" i="6"/>
  <c r="C548" i="6"/>
  <c r="F548" i="6"/>
  <c r="A549" i="6"/>
  <c r="R5010" i="5"/>
  <c r="G5031" i="5"/>
  <c r="W5009" i="5"/>
  <c r="F5031" i="5" s="1"/>
  <c r="A5179" i="5"/>
  <c r="C5178" i="5"/>
  <c r="H5028" i="5"/>
  <c r="I5028" i="5"/>
  <c r="N3323" i="5"/>
  <c r="M3322" i="5"/>
  <c r="F3322" i="5" s="1"/>
  <c r="L3322" i="5" s="1"/>
  <c r="N3401" i="5"/>
  <c r="W5157" i="5"/>
  <c r="R5158" i="5"/>
  <c r="G5176" i="5"/>
  <c r="H5176" i="5" s="1"/>
  <c r="F5176" i="5"/>
  <c r="C5176" i="5"/>
  <c r="P3581" i="5"/>
  <c r="V3580" i="5"/>
  <c r="F3580" i="5" s="1"/>
  <c r="G3580" i="5"/>
  <c r="H3580" i="5" s="1"/>
  <c r="G5169" i="5"/>
  <c r="H5169" i="5" s="1"/>
  <c r="V5154" i="5"/>
  <c r="F5169" i="5" s="1"/>
  <c r="Q5155" i="5"/>
  <c r="A5182" i="5"/>
  <c r="C5181" i="5"/>
  <c r="N5194" i="5"/>
  <c r="A553" i="6"/>
  <c r="P4662" i="5"/>
  <c r="Q4661" i="5"/>
  <c r="F4661" i="5" s="1"/>
  <c r="G4661" i="5"/>
  <c r="H4661" i="5" s="1"/>
  <c r="D5268" i="5"/>
  <c r="R3582" i="5"/>
  <c r="G3586" i="5"/>
  <c r="H3586" i="5" s="1"/>
  <c r="X3581" i="5"/>
  <c r="F3586" i="5" s="1"/>
  <c r="I5021" i="5"/>
  <c r="H5021" i="5"/>
  <c r="R4908" i="5"/>
  <c r="G4927" i="5"/>
  <c r="H4927" i="5" s="1"/>
  <c r="G5102" i="5"/>
  <c r="D5105" i="5"/>
  <c r="D5304" i="5"/>
  <c r="D5307" i="5" s="1"/>
  <c r="D5027" i="5"/>
  <c r="G5024" i="5"/>
  <c r="I5099" i="5"/>
  <c r="H5099" i="5"/>
  <c r="S4849" i="5"/>
  <c r="F4846" i="5"/>
  <c r="Q3695" i="5"/>
  <c r="U3694" i="5"/>
  <c r="F3696" i="5" s="1"/>
  <c r="G3696" i="5"/>
  <c r="H3696" i="5" s="1"/>
  <c r="Q4315" i="5"/>
  <c r="G4325" i="5"/>
  <c r="H4325" i="5" s="1"/>
  <c r="U4314" i="5"/>
  <c r="F4325" i="5" s="1"/>
  <c r="Y3580" i="5"/>
  <c r="F3583" i="5" s="1"/>
  <c r="G3583" i="5"/>
  <c r="H3583" i="5" s="1"/>
  <c r="S3581" i="5"/>
  <c r="Q4578" i="5"/>
  <c r="F4577" i="5"/>
  <c r="W4909" i="5"/>
  <c r="F4931" i="5"/>
  <c r="Q4809" i="5"/>
  <c r="F4832" i="5"/>
  <c r="F5020" i="5"/>
  <c r="G5020" i="5"/>
  <c r="D5023" i="5"/>
  <c r="U4904" i="5"/>
  <c r="F4909" i="5"/>
  <c r="I5017" i="5"/>
  <c r="H5017" i="5"/>
  <c r="G5168" i="5"/>
  <c r="H5168" i="5" s="1"/>
  <c r="D5171" i="5"/>
  <c r="F5168" i="5"/>
  <c r="G4977" i="5"/>
  <c r="H4977" i="5" s="1"/>
  <c r="S4957" i="5"/>
  <c r="W3582" i="5"/>
  <c r="F3589" i="5" s="1"/>
  <c r="Q3583" i="5"/>
  <c r="G3589" i="5"/>
  <c r="H3589" i="5" s="1"/>
  <c r="M3400" i="5" l="1"/>
  <c r="F3400" i="5" s="1"/>
  <c r="L3400" i="5" s="1"/>
  <c r="N5248" i="5"/>
  <c r="A5270" i="5" s="1"/>
  <c r="A5267" i="5"/>
  <c r="I5264" i="5"/>
  <c r="C5264" i="5"/>
  <c r="A5265" i="5"/>
  <c r="C5262" i="5"/>
  <c r="A5263" i="5"/>
  <c r="I5262" i="5"/>
  <c r="I5260" i="5"/>
  <c r="C5260" i="5"/>
  <c r="D4791" i="5"/>
  <c r="F4787" i="5"/>
  <c r="G3758" i="5"/>
  <c r="H3758" i="5" s="1"/>
  <c r="S3758" i="5"/>
  <c r="F3758" i="5" s="1"/>
  <c r="P3759" i="5"/>
  <c r="T4314" i="5"/>
  <c r="F4324" i="5" s="1"/>
  <c r="P4315" i="5"/>
  <c r="G4326" i="5" s="1"/>
  <c r="H4326" i="5" s="1"/>
  <c r="N3448" i="5"/>
  <c r="M3448" i="5" s="1"/>
  <c r="F3448" i="5" s="1"/>
  <c r="L3448" i="5" s="1"/>
  <c r="M3369" i="5"/>
  <c r="F3369" i="5" s="1"/>
  <c r="L3369" i="5" s="1"/>
  <c r="N3370" i="5"/>
  <c r="M3291" i="5"/>
  <c r="F3291" i="5" s="1"/>
  <c r="L3291" i="5" s="1"/>
  <c r="N3292" i="5"/>
  <c r="A5308" i="5"/>
  <c r="A5309" i="5" s="1"/>
  <c r="P4576" i="5"/>
  <c r="G4575" i="5"/>
  <c r="H4575" i="5" s="1"/>
  <c r="P5009" i="5"/>
  <c r="U5008" i="5"/>
  <c r="Q4905" i="5"/>
  <c r="G4914" i="5"/>
  <c r="H4914" i="5" s="1"/>
  <c r="N3384" i="5"/>
  <c r="M3305" i="5"/>
  <c r="F3305" i="5" s="1"/>
  <c r="L3305" i="5" s="1"/>
  <c r="N3306" i="5"/>
  <c r="M3383" i="5"/>
  <c r="F3383" i="5" s="1"/>
  <c r="L3383" i="5" s="1"/>
  <c r="N3462" i="5"/>
  <c r="M3462" i="5" s="1"/>
  <c r="F3462" i="5" s="1"/>
  <c r="L3462" i="5" s="1"/>
  <c r="F4545" i="5"/>
  <c r="Q4546" i="5"/>
  <c r="R5084" i="5"/>
  <c r="W5083" i="5"/>
  <c r="F5105" i="5" s="1"/>
  <c r="P4609" i="5"/>
  <c r="G4608" i="5"/>
  <c r="H4608" i="5" s="1"/>
  <c r="Q4608" i="5"/>
  <c r="F4608" i="5" s="1"/>
  <c r="C5303" i="5"/>
  <c r="I5303" i="5"/>
  <c r="C5305" i="5"/>
  <c r="A5306" i="5"/>
  <c r="I5305" i="5"/>
  <c r="Q5009" i="5"/>
  <c r="V5008" i="5"/>
  <c r="F5027" i="5" s="1"/>
  <c r="P5184" i="5"/>
  <c r="U5158" i="5"/>
  <c r="P4905" i="5"/>
  <c r="G4913" i="5"/>
  <c r="H4913" i="5" s="1"/>
  <c r="F4957" i="5"/>
  <c r="X4952" i="5"/>
  <c r="V4906" i="5"/>
  <c r="F4918" i="5"/>
  <c r="P3694" i="5"/>
  <c r="T3693" i="5"/>
  <c r="F3693" i="5" s="1"/>
  <c r="G3693" i="5"/>
  <c r="H3693" i="5" s="1"/>
  <c r="R4811" i="5"/>
  <c r="F4841" i="5"/>
  <c r="Q5283" i="5"/>
  <c r="I5298" i="5"/>
  <c r="C5182" i="5"/>
  <c r="G5182" i="5"/>
  <c r="H5182" i="5" s="1"/>
  <c r="G5172" i="5"/>
  <c r="H5172" i="5" s="1"/>
  <c r="V5155" i="5"/>
  <c r="F5172" i="5" s="1"/>
  <c r="Q5156" i="5"/>
  <c r="V3581" i="5"/>
  <c r="F3584" i="5" s="1"/>
  <c r="P3582" i="5"/>
  <c r="G3584" i="5"/>
  <c r="H3584" i="5" s="1"/>
  <c r="R5184" i="5"/>
  <c r="W5158" i="5"/>
  <c r="F5182" i="5" s="1"/>
  <c r="I5031" i="5"/>
  <c r="H5031" i="5"/>
  <c r="R5036" i="5"/>
  <c r="G5034" i="5"/>
  <c r="W5010" i="5"/>
  <c r="F5034" i="5" s="1"/>
  <c r="M3401" i="5"/>
  <c r="F3401" i="5" s="1"/>
  <c r="L3401" i="5" s="1"/>
  <c r="N3480" i="5"/>
  <c r="M3480" i="5" s="1"/>
  <c r="F3480" i="5" s="1"/>
  <c r="L3480" i="5" s="1"/>
  <c r="C549" i="6"/>
  <c r="F549" i="6"/>
  <c r="A554" i="6"/>
  <c r="C553" i="6"/>
  <c r="F553" i="6"/>
  <c r="N3324" i="5"/>
  <c r="M3323" i="5"/>
  <c r="F3323" i="5" s="1"/>
  <c r="L3323" i="5" s="1"/>
  <c r="N3402" i="5"/>
  <c r="A556" i="6"/>
  <c r="N5195" i="5"/>
  <c r="A559" i="6" s="1"/>
  <c r="G5179" i="5"/>
  <c r="H5179" i="5" s="1"/>
  <c r="C5179" i="5"/>
  <c r="F5179" i="5"/>
  <c r="C551" i="6"/>
  <c r="A552" i="6"/>
  <c r="F551" i="6"/>
  <c r="I5102" i="5"/>
  <c r="H5102" i="5"/>
  <c r="I5024" i="5"/>
  <c r="H5024" i="5"/>
  <c r="R4909" i="5"/>
  <c r="G4931" i="5"/>
  <c r="H4931" i="5" s="1"/>
  <c r="G5027" i="5"/>
  <c r="D5030" i="5"/>
  <c r="R3583" i="5"/>
  <c r="G3590" i="5"/>
  <c r="H3590" i="5" s="1"/>
  <c r="X3582" i="5"/>
  <c r="F3590" i="5" s="1"/>
  <c r="P4664" i="5"/>
  <c r="Q4662" i="5"/>
  <c r="F4662" i="5" s="1"/>
  <c r="G4662" i="5"/>
  <c r="H4662" i="5" s="1"/>
  <c r="D5271" i="5"/>
  <c r="D5108" i="5"/>
  <c r="G5105" i="5"/>
  <c r="F4935" i="5"/>
  <c r="W4910" i="5"/>
  <c r="U4905" i="5"/>
  <c r="F4913" i="5"/>
  <c r="F5023" i="5"/>
  <c r="D5026" i="5"/>
  <c r="G5023" i="5"/>
  <c r="H5020" i="5"/>
  <c r="I5020" i="5"/>
  <c r="Q4579" i="5"/>
  <c r="F4578" i="5"/>
  <c r="S3582" i="5"/>
  <c r="Y3581" i="5"/>
  <c r="F3587" i="5" s="1"/>
  <c r="G3587" i="5"/>
  <c r="H3587" i="5" s="1"/>
  <c r="U3695" i="5"/>
  <c r="F3698" i="5" s="1"/>
  <c r="Q3696" i="5"/>
  <c r="G3698" i="5"/>
  <c r="H3698" i="5" s="1"/>
  <c r="S4850" i="5"/>
  <c r="F4851" i="5"/>
  <c r="G3593" i="5"/>
  <c r="H3593" i="5" s="1"/>
  <c r="W3583" i="5"/>
  <c r="F3593" i="5" s="1"/>
  <c r="Q3597" i="5"/>
  <c r="S4958" i="5"/>
  <c r="G4981" i="5"/>
  <c r="H4981" i="5" s="1"/>
  <c r="F5171" i="5"/>
  <c r="D5174" i="5"/>
  <c r="G5171" i="5"/>
  <c r="H5171" i="5" s="1"/>
  <c r="Q4810" i="5"/>
  <c r="F4836" i="5"/>
  <c r="U4315" i="5"/>
  <c r="F4327" i="5" s="1"/>
  <c r="Q4329" i="5"/>
  <c r="G4327" i="5"/>
  <c r="H4327" i="5" s="1"/>
  <c r="I5263" i="5" l="1"/>
  <c r="C5263" i="5"/>
  <c r="C5265" i="5"/>
  <c r="A5266" i="5"/>
  <c r="I5266" i="5" s="1"/>
  <c r="I5265" i="5"/>
  <c r="A5268" i="5"/>
  <c r="C5267" i="5"/>
  <c r="I5267" i="5"/>
  <c r="A5271" i="5"/>
  <c r="I5271" i="5" s="1"/>
  <c r="I5270" i="5"/>
  <c r="C5270" i="5"/>
  <c r="D4795" i="5"/>
  <c r="F4795" i="5" s="1"/>
  <c r="F4791" i="5"/>
  <c r="P3760" i="5"/>
  <c r="G3759" i="5"/>
  <c r="H3759" i="5" s="1"/>
  <c r="S3759" i="5"/>
  <c r="F3759" i="5" s="1"/>
  <c r="T4315" i="5"/>
  <c r="F4326" i="5" s="1"/>
  <c r="P4329" i="5"/>
  <c r="G4329" i="5" s="1"/>
  <c r="H4329" i="5" s="1"/>
  <c r="M3292" i="5"/>
  <c r="F3292" i="5" s="1"/>
  <c r="L3292" i="5" s="1"/>
  <c r="N3293" i="5"/>
  <c r="N3371" i="5"/>
  <c r="N3449" i="5"/>
  <c r="M3449" i="5" s="1"/>
  <c r="F3449" i="5" s="1"/>
  <c r="L3449" i="5" s="1"/>
  <c r="M3370" i="5"/>
  <c r="F3370" i="5" s="1"/>
  <c r="L3370" i="5" s="1"/>
  <c r="I5308" i="5"/>
  <c r="C5308" i="5"/>
  <c r="P4577" i="5"/>
  <c r="G4576" i="5"/>
  <c r="H4576" i="5" s="1"/>
  <c r="U5009" i="5"/>
  <c r="P5010" i="5"/>
  <c r="G4918" i="5"/>
  <c r="H4918" i="5" s="1"/>
  <c r="Q4906" i="5"/>
  <c r="W5084" i="5"/>
  <c r="F5108" i="5" s="1"/>
  <c r="R5110" i="5"/>
  <c r="F4546" i="5"/>
  <c r="Q4547" i="5"/>
  <c r="M3306" i="5"/>
  <c r="F3306" i="5" s="1"/>
  <c r="L3306" i="5" s="1"/>
  <c r="N3385" i="5"/>
  <c r="N3307" i="5"/>
  <c r="N3463" i="5"/>
  <c r="M3463" i="5" s="1"/>
  <c r="F3463" i="5" s="1"/>
  <c r="L3463" i="5" s="1"/>
  <c r="M3384" i="5"/>
  <c r="F3384" i="5" s="1"/>
  <c r="L3384" i="5" s="1"/>
  <c r="G4609" i="5"/>
  <c r="H4609" i="5" s="1"/>
  <c r="P4610" i="5"/>
  <c r="Q4609" i="5"/>
  <c r="F4609" i="5" s="1"/>
  <c r="C5306" i="5"/>
  <c r="I5306" i="5"/>
  <c r="C5309" i="5"/>
  <c r="I5309" i="5"/>
  <c r="Q5010" i="5"/>
  <c r="V5009" i="5"/>
  <c r="F5030" i="5" s="1"/>
  <c r="V4907" i="5"/>
  <c r="F4922" i="5"/>
  <c r="F4961" i="5"/>
  <c r="X4953" i="5"/>
  <c r="G4917" i="5"/>
  <c r="H4917" i="5" s="1"/>
  <c r="P4906" i="5"/>
  <c r="I5301" i="5"/>
  <c r="Q5284" i="5"/>
  <c r="U5184" i="5"/>
  <c r="F5184" i="5" s="1"/>
  <c r="G5184" i="5"/>
  <c r="H5184" i="5" s="1"/>
  <c r="P5185" i="5"/>
  <c r="P3695" i="5"/>
  <c r="T3694" i="5"/>
  <c r="F3695" i="5" s="1"/>
  <c r="G3695" i="5"/>
  <c r="H3695" i="5" s="1"/>
  <c r="R4849" i="5"/>
  <c r="F4845" i="5"/>
  <c r="F556" i="6"/>
  <c r="C556" i="6"/>
  <c r="A557" i="6"/>
  <c r="F554" i="6"/>
  <c r="C554" i="6"/>
  <c r="A555" i="6"/>
  <c r="P3583" i="5"/>
  <c r="V3582" i="5"/>
  <c r="F3588" i="5" s="1"/>
  <c r="G3588" i="5"/>
  <c r="H3588" i="5" s="1"/>
  <c r="I5034" i="5"/>
  <c r="H5034" i="5"/>
  <c r="C552" i="6"/>
  <c r="F552" i="6"/>
  <c r="W5036" i="5"/>
  <c r="F5038" i="5" s="1"/>
  <c r="R5037" i="5"/>
  <c r="G5038" i="5"/>
  <c r="V5156" i="5"/>
  <c r="F5175" i="5" s="1"/>
  <c r="G5175" i="5"/>
  <c r="H5175" i="5" s="1"/>
  <c r="Q5157" i="5"/>
  <c r="N3481" i="5"/>
  <c r="M3481" i="5" s="1"/>
  <c r="F3481" i="5" s="1"/>
  <c r="L3481" i="5" s="1"/>
  <c r="M3402" i="5"/>
  <c r="F3402" i="5" s="1"/>
  <c r="L3402" i="5" s="1"/>
  <c r="N3325" i="5"/>
  <c r="N3403" i="5"/>
  <c r="M3324" i="5"/>
  <c r="F3324" i="5" s="1"/>
  <c r="L3324" i="5" s="1"/>
  <c r="G5186" i="5"/>
  <c r="H5186" i="5" s="1"/>
  <c r="R5185" i="5"/>
  <c r="W5184" i="5"/>
  <c r="F5186" i="5" s="1"/>
  <c r="F559" i="6"/>
  <c r="C559" i="6"/>
  <c r="A560" i="6"/>
  <c r="I5105" i="5"/>
  <c r="H5105" i="5"/>
  <c r="G5108" i="5"/>
  <c r="X3583" i="5"/>
  <c r="F3594" i="5" s="1"/>
  <c r="G3594" i="5"/>
  <c r="H3594" i="5" s="1"/>
  <c r="R3597" i="5"/>
  <c r="G5030" i="5"/>
  <c r="D5033" i="5"/>
  <c r="H5027" i="5"/>
  <c r="I5027" i="5"/>
  <c r="R4910" i="5"/>
  <c r="G4935" i="5"/>
  <c r="H4935" i="5" s="1"/>
  <c r="Q4664" i="5"/>
  <c r="F4664" i="5" s="1"/>
  <c r="G4664" i="5"/>
  <c r="H4664" i="5" s="1"/>
  <c r="P4665" i="5"/>
  <c r="U4906" i="5"/>
  <c r="F4917" i="5"/>
  <c r="U3696" i="5"/>
  <c r="F3700" i="5" s="1"/>
  <c r="Q3702" i="5"/>
  <c r="G3700" i="5"/>
  <c r="H3700" i="5" s="1"/>
  <c r="G4985" i="5"/>
  <c r="H4985" i="5" s="1"/>
  <c r="S4959" i="5"/>
  <c r="W3597" i="5"/>
  <c r="F3598" i="5" s="1"/>
  <c r="Q3598" i="5"/>
  <c r="G3598" i="5"/>
  <c r="H3598" i="5" s="1"/>
  <c r="F4939" i="5"/>
  <c r="W4911" i="5"/>
  <c r="Y3582" i="5"/>
  <c r="F3591" i="5" s="1"/>
  <c r="S3583" i="5"/>
  <c r="G3591" i="5"/>
  <c r="H3591" i="5" s="1"/>
  <c r="Q4330" i="5"/>
  <c r="U4329" i="5"/>
  <c r="F4330" i="5" s="1"/>
  <c r="G4330" i="5"/>
  <c r="H4330" i="5" s="1"/>
  <c r="H5023" i="5"/>
  <c r="I5023" i="5"/>
  <c r="Q4811" i="5"/>
  <c r="F4840" i="5"/>
  <c r="F4579" i="5"/>
  <c r="Q4580" i="5"/>
  <c r="D5029" i="5"/>
  <c r="G5026" i="5"/>
  <c r="F5026" i="5"/>
  <c r="D5177" i="5"/>
  <c r="G5174" i="5"/>
  <c r="H5174" i="5" s="1"/>
  <c r="F5174" i="5"/>
  <c r="S4851" i="5"/>
  <c r="F4855" i="5"/>
  <c r="A5269" i="5" l="1"/>
  <c r="C5268" i="5"/>
  <c r="I5268" i="5"/>
  <c r="C5266" i="5"/>
  <c r="A5272" i="5"/>
  <c r="C5271" i="5"/>
  <c r="G3760" i="5"/>
  <c r="H3760" i="5" s="1"/>
  <c r="S3760" i="5"/>
  <c r="F3760" i="5" s="1"/>
  <c r="P3762" i="5"/>
  <c r="P4330" i="5"/>
  <c r="P4331" i="5" s="1"/>
  <c r="T4329" i="5"/>
  <c r="F4329" i="5" s="1"/>
  <c r="M3371" i="5"/>
  <c r="F3371" i="5" s="1"/>
  <c r="L3371" i="5" s="1"/>
  <c r="N3450" i="5"/>
  <c r="M3450" i="5" s="1"/>
  <c r="F3450" i="5" s="1"/>
  <c r="L3450" i="5" s="1"/>
  <c r="M3293" i="5"/>
  <c r="F3293" i="5" s="1"/>
  <c r="L3293" i="5" s="1"/>
  <c r="N3372" i="5"/>
  <c r="N3294" i="5"/>
  <c r="G4577" i="5"/>
  <c r="H4577" i="5" s="1"/>
  <c r="P4578" i="5"/>
  <c r="U5010" i="5"/>
  <c r="P5036" i="5"/>
  <c r="G4922" i="5"/>
  <c r="H4922" i="5" s="1"/>
  <c r="Q4907" i="5"/>
  <c r="N3308" i="5"/>
  <c r="N3386" i="5"/>
  <c r="M3307" i="5"/>
  <c r="F3307" i="5" s="1"/>
  <c r="L3307" i="5" s="1"/>
  <c r="N3464" i="5"/>
  <c r="M3464" i="5" s="1"/>
  <c r="F3464" i="5" s="1"/>
  <c r="L3464" i="5" s="1"/>
  <c r="M3385" i="5"/>
  <c r="F3385" i="5" s="1"/>
  <c r="L3385" i="5" s="1"/>
  <c r="F4547" i="5"/>
  <c r="Q4548" i="5"/>
  <c r="G5112" i="5"/>
  <c r="W5110" i="5"/>
  <c r="F5112" i="5" s="1"/>
  <c r="R5111" i="5"/>
  <c r="G4610" i="5"/>
  <c r="H4610" i="5" s="1"/>
  <c r="P4612" i="5"/>
  <c r="Q4610" i="5"/>
  <c r="F4610" i="5" s="1"/>
  <c r="V5010" i="5"/>
  <c r="F5033" i="5" s="1"/>
  <c r="Q5036" i="5"/>
  <c r="I5304" i="5"/>
  <c r="Q5285" i="5"/>
  <c r="P4907" i="5"/>
  <c r="G4921" i="5"/>
  <c r="H4921" i="5" s="1"/>
  <c r="F4965" i="5"/>
  <c r="X4954" i="5"/>
  <c r="P5186" i="5"/>
  <c r="U5185" i="5"/>
  <c r="F5187" i="5" s="1"/>
  <c r="G5187" i="5"/>
  <c r="H5187" i="5" s="1"/>
  <c r="V4908" i="5"/>
  <c r="F4926" i="5"/>
  <c r="G3697" i="5"/>
  <c r="H3697" i="5" s="1"/>
  <c r="P3696" i="5"/>
  <c r="T3695" i="5"/>
  <c r="F3697" i="5" s="1"/>
  <c r="R4850" i="5"/>
  <c r="F4850" i="5"/>
  <c r="Q5158" i="5"/>
  <c r="V5157" i="5"/>
  <c r="F5178" i="5" s="1"/>
  <c r="G5178" i="5"/>
  <c r="H5178" i="5" s="1"/>
  <c r="R5186" i="5"/>
  <c r="W5185" i="5"/>
  <c r="F5189" i="5" s="1"/>
  <c r="G5189" i="5"/>
  <c r="H5189" i="5" s="1"/>
  <c r="P3597" i="5"/>
  <c r="G3592" i="5"/>
  <c r="H3592" i="5" s="1"/>
  <c r="V3583" i="5"/>
  <c r="F3592" i="5" s="1"/>
  <c r="C555" i="6"/>
  <c r="F555" i="6"/>
  <c r="I5038" i="5"/>
  <c r="H5038" i="5"/>
  <c r="N3482" i="5"/>
  <c r="M3482" i="5" s="1"/>
  <c r="F3482" i="5" s="1"/>
  <c r="L3482" i="5" s="1"/>
  <c r="M3403" i="5"/>
  <c r="F3403" i="5" s="1"/>
  <c r="L3403" i="5" s="1"/>
  <c r="R5038" i="5"/>
  <c r="W5037" i="5"/>
  <c r="F5041" i="5" s="1"/>
  <c r="G5041" i="5"/>
  <c r="C560" i="6"/>
  <c r="A561" i="6"/>
  <c r="F560" i="6"/>
  <c r="N3404" i="5"/>
  <c r="M3325" i="5"/>
  <c r="F3325" i="5" s="1"/>
  <c r="L3325" i="5" s="1"/>
  <c r="N3326" i="5"/>
  <c r="C557" i="6"/>
  <c r="A558" i="6"/>
  <c r="F557" i="6"/>
  <c r="P4666" i="5"/>
  <c r="G4665" i="5"/>
  <c r="H4665" i="5" s="1"/>
  <c r="Q4665" i="5"/>
  <c r="F4665" i="5" s="1"/>
  <c r="H5108" i="5"/>
  <c r="I5108" i="5"/>
  <c r="G5033" i="5"/>
  <c r="H5030" i="5"/>
  <c r="I5030" i="5"/>
  <c r="G4939" i="5"/>
  <c r="H4939" i="5" s="1"/>
  <c r="R4911" i="5"/>
  <c r="X3597" i="5"/>
  <c r="F3599" i="5" s="1"/>
  <c r="R3598" i="5"/>
  <c r="G3599" i="5"/>
  <c r="H3599" i="5" s="1"/>
  <c r="S4852" i="5"/>
  <c r="F4859" i="5"/>
  <c r="F5029" i="5"/>
  <c r="D5032" i="5"/>
  <c r="G5029" i="5"/>
  <c r="D5180" i="5"/>
  <c r="G5177" i="5"/>
  <c r="H5177" i="5" s="1"/>
  <c r="F5177" i="5"/>
  <c r="Q4581" i="5"/>
  <c r="F4580" i="5"/>
  <c r="U3702" i="5"/>
  <c r="F3703" i="5" s="1"/>
  <c r="G3703" i="5"/>
  <c r="H3703" i="5" s="1"/>
  <c r="Q3703" i="5"/>
  <c r="Q4849" i="5"/>
  <c r="F4844" i="5"/>
  <c r="U4330" i="5"/>
  <c r="F4332" i="5" s="1"/>
  <c r="G4332" i="5"/>
  <c r="H4332" i="5" s="1"/>
  <c r="Q4331" i="5"/>
  <c r="S3597" i="5"/>
  <c r="G3595" i="5"/>
  <c r="H3595" i="5" s="1"/>
  <c r="Y3583" i="5"/>
  <c r="F3595" i="5" s="1"/>
  <c r="Q3599" i="5"/>
  <c r="G3602" i="5"/>
  <c r="H3602" i="5" s="1"/>
  <c r="W3598" i="5"/>
  <c r="F3602" i="5" s="1"/>
  <c r="S4960" i="5"/>
  <c r="G4989" i="5"/>
  <c r="H4989" i="5" s="1"/>
  <c r="U4907" i="5"/>
  <c r="F4921" i="5"/>
  <c r="H5026" i="5"/>
  <c r="I5026" i="5"/>
  <c r="W4912" i="5"/>
  <c r="F4943" i="5"/>
  <c r="T4330" i="5" l="1"/>
  <c r="F4331" i="5" s="1"/>
  <c r="I5272" i="5"/>
  <c r="C5272" i="5"/>
  <c r="I5269" i="5"/>
  <c r="C5269" i="5"/>
  <c r="S3762" i="5"/>
  <c r="F3762" i="5" s="1"/>
  <c r="P3763" i="5"/>
  <c r="G3762" i="5"/>
  <c r="H3762" i="5" s="1"/>
  <c r="G4331" i="5"/>
  <c r="H4331" i="5" s="1"/>
  <c r="N3373" i="5"/>
  <c r="N3295" i="5"/>
  <c r="M3294" i="5"/>
  <c r="F3294" i="5" s="1"/>
  <c r="L3294" i="5" s="1"/>
  <c r="M3372" i="5"/>
  <c r="F3372" i="5" s="1"/>
  <c r="L3372" i="5" s="1"/>
  <c r="N3451" i="5"/>
  <c r="M3451" i="5" s="1"/>
  <c r="F3451" i="5" s="1"/>
  <c r="L3451" i="5" s="1"/>
  <c r="I5307" i="5"/>
  <c r="Q5311" i="5"/>
  <c r="I5311" i="5" s="1"/>
  <c r="P4579" i="5"/>
  <c r="G4578" i="5"/>
  <c r="H4578" i="5" s="1"/>
  <c r="P5037" i="5"/>
  <c r="G5036" i="5"/>
  <c r="U5036" i="5"/>
  <c r="F5036" i="5" s="1"/>
  <c r="Q4908" i="5"/>
  <c r="G4926" i="5"/>
  <c r="H4926" i="5" s="1"/>
  <c r="H5112" i="5"/>
  <c r="I5112" i="5"/>
  <c r="F4548" i="5"/>
  <c r="Q4549" i="5"/>
  <c r="W5111" i="5"/>
  <c r="F5115" i="5" s="1"/>
  <c r="G5115" i="5"/>
  <c r="R5112" i="5"/>
  <c r="M3386" i="5"/>
  <c r="F3386" i="5" s="1"/>
  <c r="L3386" i="5" s="1"/>
  <c r="N3465" i="5"/>
  <c r="M3465" i="5" s="1"/>
  <c r="F3465" i="5" s="1"/>
  <c r="L3465" i="5" s="1"/>
  <c r="M3308" i="5"/>
  <c r="F3308" i="5" s="1"/>
  <c r="L3308" i="5" s="1"/>
  <c r="N3387" i="5"/>
  <c r="N3309" i="5"/>
  <c r="G4612" i="5"/>
  <c r="H4612" i="5" s="1"/>
  <c r="Q4612" i="5"/>
  <c r="F4612" i="5" s="1"/>
  <c r="P4613" i="5"/>
  <c r="G5037" i="5"/>
  <c r="V5036" i="5"/>
  <c r="F5037" i="5" s="1"/>
  <c r="Q5037" i="5"/>
  <c r="U5186" i="5"/>
  <c r="F5190" i="5" s="1"/>
  <c r="G5190" i="5"/>
  <c r="H5190" i="5" s="1"/>
  <c r="P5187" i="5"/>
  <c r="X4955" i="5"/>
  <c r="F4969" i="5"/>
  <c r="P4908" i="5"/>
  <c r="G4925" i="5"/>
  <c r="H4925" i="5" s="1"/>
  <c r="F4930" i="5"/>
  <c r="V4909" i="5"/>
  <c r="G3699" i="5"/>
  <c r="H3699" i="5" s="1"/>
  <c r="T3696" i="5"/>
  <c r="F3699" i="5" s="1"/>
  <c r="P3702" i="5"/>
  <c r="R4851" i="5"/>
  <c r="F4854" i="5"/>
  <c r="I5041" i="5"/>
  <c r="H5041" i="5"/>
  <c r="V3597" i="5"/>
  <c r="F3597" i="5" s="1"/>
  <c r="P3598" i="5"/>
  <c r="G3597" i="5"/>
  <c r="H3597" i="5" s="1"/>
  <c r="M3326" i="5"/>
  <c r="F3326" i="5" s="1"/>
  <c r="L3326" i="5" s="1"/>
  <c r="N3405" i="5"/>
  <c r="N3327" i="5"/>
  <c r="R5039" i="5"/>
  <c r="G5044" i="5"/>
  <c r="W5038" i="5"/>
  <c r="F5044" i="5" s="1"/>
  <c r="T4331" i="5"/>
  <c r="F4333" i="5" s="1"/>
  <c r="G4333" i="5"/>
  <c r="H4333" i="5" s="1"/>
  <c r="P4332" i="5"/>
  <c r="W5186" i="5"/>
  <c r="F5192" i="5" s="1"/>
  <c r="G5192" i="5"/>
  <c r="H5192" i="5" s="1"/>
  <c r="R5187" i="5"/>
  <c r="M3404" i="5"/>
  <c r="F3404" i="5" s="1"/>
  <c r="L3404" i="5" s="1"/>
  <c r="N3483" i="5"/>
  <c r="M3483" i="5" s="1"/>
  <c r="F3483" i="5" s="1"/>
  <c r="L3483" i="5" s="1"/>
  <c r="C558" i="6"/>
  <c r="F558" i="6"/>
  <c r="C561" i="6"/>
  <c r="F561" i="6"/>
  <c r="G5181" i="5"/>
  <c r="H5181" i="5" s="1"/>
  <c r="Q5184" i="5"/>
  <c r="V5158" i="5"/>
  <c r="F5181" i="5" s="1"/>
  <c r="G4943" i="5"/>
  <c r="H4943" i="5" s="1"/>
  <c r="R4912" i="5"/>
  <c r="H5033" i="5"/>
  <c r="I5033" i="5"/>
  <c r="P4667" i="5"/>
  <c r="Q4666" i="5"/>
  <c r="F4666" i="5" s="1"/>
  <c r="G4666" i="5"/>
  <c r="H4666" i="5" s="1"/>
  <c r="G3603" i="5"/>
  <c r="H3603" i="5" s="1"/>
  <c r="R3599" i="5"/>
  <c r="X3598" i="5"/>
  <c r="F3603" i="5" s="1"/>
  <c r="F5180" i="5"/>
  <c r="G5180" i="5"/>
  <c r="H5180" i="5" s="1"/>
  <c r="G4993" i="5"/>
  <c r="H4993" i="5" s="1"/>
  <c r="S4961" i="5"/>
  <c r="G4997" i="5" s="1"/>
  <c r="H4997" i="5" s="1"/>
  <c r="F4925" i="5"/>
  <c r="U4908" i="5"/>
  <c r="Q3600" i="5"/>
  <c r="W3599" i="5"/>
  <c r="F3606" i="5" s="1"/>
  <c r="G3606" i="5"/>
  <c r="H3606" i="5" s="1"/>
  <c r="U3703" i="5"/>
  <c r="F3705" i="5" s="1"/>
  <c r="Q3704" i="5"/>
  <c r="G3705" i="5"/>
  <c r="H3705" i="5" s="1"/>
  <c r="F4581" i="5"/>
  <c r="Q4582" i="5"/>
  <c r="I5029" i="5"/>
  <c r="H5029" i="5"/>
  <c r="F5032" i="5"/>
  <c r="G5032" i="5"/>
  <c r="Y3597" i="5"/>
  <c r="F3600" i="5" s="1"/>
  <c r="S3598" i="5"/>
  <c r="G3600" i="5"/>
  <c r="H3600" i="5" s="1"/>
  <c r="F4947" i="5"/>
  <c r="W4950" i="5"/>
  <c r="Q4332" i="5"/>
  <c r="U4331" i="5"/>
  <c r="F4334" i="5" s="1"/>
  <c r="G4334" i="5"/>
  <c r="H4334" i="5" s="1"/>
  <c r="Q4850" i="5"/>
  <c r="F4849" i="5"/>
  <c r="S4853" i="5"/>
  <c r="F4863" i="5"/>
  <c r="G3763" i="5" l="1"/>
  <c r="H3763" i="5" s="1"/>
  <c r="P3764" i="5"/>
  <c r="S3763" i="5"/>
  <c r="F3763" i="5" s="1"/>
  <c r="M3295" i="5"/>
  <c r="F3295" i="5" s="1"/>
  <c r="L3295" i="5" s="1"/>
  <c r="N3296" i="5"/>
  <c r="N3374" i="5"/>
  <c r="M3373" i="5"/>
  <c r="F3373" i="5" s="1"/>
  <c r="L3373" i="5" s="1"/>
  <c r="N3452" i="5"/>
  <c r="M3452" i="5" s="1"/>
  <c r="F3452" i="5" s="1"/>
  <c r="L3452" i="5" s="1"/>
  <c r="G4579" i="5"/>
  <c r="H4579" i="5" s="1"/>
  <c r="P4580" i="5"/>
  <c r="H5036" i="5"/>
  <c r="I5036" i="5"/>
  <c r="G5039" i="5"/>
  <c r="P5038" i="5"/>
  <c r="U5037" i="5"/>
  <c r="F5039" i="5" s="1"/>
  <c r="G4930" i="5"/>
  <c r="H4930" i="5" s="1"/>
  <c r="Q4909" i="5"/>
  <c r="G5118" i="5"/>
  <c r="W5112" i="5"/>
  <c r="F5118" i="5" s="1"/>
  <c r="R5113" i="5"/>
  <c r="I5115" i="5"/>
  <c r="H5115" i="5"/>
  <c r="N3310" i="5"/>
  <c r="M3309" i="5"/>
  <c r="F3309" i="5" s="1"/>
  <c r="L3309" i="5" s="1"/>
  <c r="N3388" i="5"/>
  <c r="Q4550" i="5"/>
  <c r="F4549" i="5"/>
  <c r="M3387" i="5"/>
  <c r="F3387" i="5" s="1"/>
  <c r="L3387" i="5" s="1"/>
  <c r="N3466" i="5"/>
  <c r="M3466" i="5" s="1"/>
  <c r="F3466" i="5" s="1"/>
  <c r="L3466" i="5" s="1"/>
  <c r="Q4613" i="5"/>
  <c r="F4613" i="5" s="1"/>
  <c r="P4614" i="5"/>
  <c r="G4613" i="5"/>
  <c r="H4613" i="5" s="1"/>
  <c r="Q5038" i="5"/>
  <c r="G5040" i="5"/>
  <c r="V5037" i="5"/>
  <c r="F5040" i="5" s="1"/>
  <c r="H5037" i="5"/>
  <c r="I5037" i="5"/>
  <c r="P4909" i="5"/>
  <c r="G4929" i="5"/>
  <c r="H4929" i="5" s="1"/>
  <c r="X4956" i="5"/>
  <c r="F4973" i="5"/>
  <c r="U5187" i="5"/>
  <c r="F5193" i="5" s="1"/>
  <c r="P5188" i="5"/>
  <c r="G5193" i="5"/>
  <c r="H5193" i="5" s="1"/>
  <c r="F4934" i="5"/>
  <c r="V4910" i="5"/>
  <c r="G3702" i="5"/>
  <c r="H3702" i="5" s="1"/>
  <c r="P3703" i="5"/>
  <c r="T3702" i="5"/>
  <c r="F3702" i="5" s="1"/>
  <c r="R4852" i="5"/>
  <c r="F4858" i="5"/>
  <c r="I5044" i="5"/>
  <c r="H5044" i="5"/>
  <c r="W5187" i="5"/>
  <c r="F5195" i="5" s="1"/>
  <c r="G5195" i="5"/>
  <c r="H5195" i="5" s="1"/>
  <c r="R5188" i="5"/>
  <c r="G5047" i="5"/>
  <c r="R5040" i="5"/>
  <c r="W5039" i="5"/>
  <c r="F5047" i="5" s="1"/>
  <c r="N3406" i="5"/>
  <c r="N3328" i="5"/>
  <c r="M3327" i="5"/>
  <c r="F3327" i="5" s="1"/>
  <c r="L3327" i="5" s="1"/>
  <c r="M3405" i="5"/>
  <c r="F3405" i="5" s="1"/>
  <c r="L3405" i="5" s="1"/>
  <c r="N3484" i="5"/>
  <c r="M3484" i="5" s="1"/>
  <c r="F3484" i="5" s="1"/>
  <c r="L3484" i="5" s="1"/>
  <c r="G5185" i="5"/>
  <c r="H5185" i="5" s="1"/>
  <c r="V5184" i="5"/>
  <c r="F5185" i="5" s="1"/>
  <c r="Q5185" i="5"/>
  <c r="G4335" i="5"/>
  <c r="H4335" i="5" s="1"/>
  <c r="P4333" i="5"/>
  <c r="T4332" i="5"/>
  <c r="F4335" i="5" s="1"/>
  <c r="P3599" i="5"/>
  <c r="V3598" i="5"/>
  <c r="F3601" i="5" s="1"/>
  <c r="G3601" i="5"/>
  <c r="H3601" i="5" s="1"/>
  <c r="R3600" i="5"/>
  <c r="G3607" i="5"/>
  <c r="H3607" i="5" s="1"/>
  <c r="X3599" i="5"/>
  <c r="F3607" i="5" s="1"/>
  <c r="G4947" i="5"/>
  <c r="H4947" i="5" s="1"/>
  <c r="R4950" i="5"/>
  <c r="P4668" i="5"/>
  <c r="Q4667" i="5"/>
  <c r="F4667" i="5" s="1"/>
  <c r="G4667" i="5"/>
  <c r="H4667" i="5" s="1"/>
  <c r="Q4851" i="5"/>
  <c r="F4853" i="5"/>
  <c r="Q4333" i="5"/>
  <c r="G4336" i="5"/>
  <c r="H4336" i="5" s="1"/>
  <c r="U4332" i="5"/>
  <c r="F4336" i="5" s="1"/>
  <c r="G3610" i="5"/>
  <c r="H3610" i="5" s="1"/>
  <c r="W3600" i="5"/>
  <c r="F3610" i="5" s="1"/>
  <c r="S4854" i="5"/>
  <c r="F4867" i="5"/>
  <c r="F4582" i="5"/>
  <c r="Q4583" i="5"/>
  <c r="F4952" i="5"/>
  <c r="W4951" i="5"/>
  <c r="Y3598" i="5"/>
  <c r="F3604" i="5" s="1"/>
  <c r="S3599" i="5"/>
  <c r="G3604" i="5"/>
  <c r="H3604" i="5" s="1"/>
  <c r="F4929" i="5"/>
  <c r="U4909" i="5"/>
  <c r="I5032" i="5"/>
  <c r="H5032" i="5"/>
  <c r="U3704" i="5"/>
  <c r="F3707" i="5" s="1"/>
  <c r="Q3705" i="5"/>
  <c r="G3707" i="5"/>
  <c r="H3707" i="5" s="1"/>
  <c r="S3764" i="5" l="1"/>
  <c r="F3764" i="5" s="1"/>
  <c r="P3765" i="5"/>
  <c r="G3764" i="5"/>
  <c r="H3764" i="5" s="1"/>
  <c r="N3453" i="5"/>
  <c r="M3453" i="5" s="1"/>
  <c r="F3453" i="5" s="1"/>
  <c r="L3453" i="5" s="1"/>
  <c r="M3374" i="5"/>
  <c r="F3374" i="5" s="1"/>
  <c r="L3374" i="5" s="1"/>
  <c r="M3296" i="5"/>
  <c r="F3296" i="5" s="1"/>
  <c r="L3296" i="5" s="1"/>
  <c r="N3375" i="5"/>
  <c r="N3297" i="5"/>
  <c r="P4581" i="5"/>
  <c r="G4580" i="5"/>
  <c r="H4580" i="5" s="1"/>
  <c r="U5038" i="5"/>
  <c r="F5042" i="5" s="1"/>
  <c r="G5042" i="5"/>
  <c r="P5039" i="5"/>
  <c r="H5039" i="5"/>
  <c r="I5039" i="5"/>
  <c r="Q4910" i="5"/>
  <c r="G4934" i="5"/>
  <c r="H4934" i="5" s="1"/>
  <c r="N3467" i="5"/>
  <c r="M3467" i="5" s="1"/>
  <c r="F3467" i="5" s="1"/>
  <c r="L3467" i="5" s="1"/>
  <c r="M3388" i="5"/>
  <c r="F3388" i="5" s="1"/>
  <c r="L3388" i="5" s="1"/>
  <c r="N3311" i="5"/>
  <c r="N3389" i="5"/>
  <c r="M3310" i="5"/>
  <c r="F3310" i="5" s="1"/>
  <c r="L3310" i="5" s="1"/>
  <c r="G5121" i="5"/>
  <c r="R5114" i="5"/>
  <c r="W5113" i="5"/>
  <c r="F5121" i="5" s="1"/>
  <c r="Q4551" i="5"/>
  <c r="F4550" i="5"/>
  <c r="H5118" i="5"/>
  <c r="I5118" i="5"/>
  <c r="Q4614" i="5"/>
  <c r="F4614" i="5" s="1"/>
  <c r="P4615" i="5"/>
  <c r="G4614" i="5"/>
  <c r="H4614" i="5" s="1"/>
  <c r="I5040" i="5"/>
  <c r="H5040" i="5"/>
  <c r="G5043" i="5"/>
  <c r="Q5039" i="5"/>
  <c r="V5038" i="5"/>
  <c r="F5043" i="5" s="1"/>
  <c r="U5188" i="5"/>
  <c r="F5196" i="5" s="1"/>
  <c r="G5196" i="5"/>
  <c r="H5196" i="5" s="1"/>
  <c r="P5189" i="5"/>
  <c r="F4977" i="5"/>
  <c r="X4957" i="5"/>
  <c r="V4911" i="5"/>
  <c r="F4938" i="5"/>
  <c r="G4933" i="5"/>
  <c r="H4933" i="5" s="1"/>
  <c r="P4910" i="5"/>
  <c r="T3703" i="5"/>
  <c r="F3704" i="5" s="1"/>
  <c r="G3704" i="5"/>
  <c r="H3704" i="5" s="1"/>
  <c r="P3704" i="5"/>
  <c r="R4853" i="5"/>
  <c r="F4862" i="5"/>
  <c r="G4337" i="5"/>
  <c r="H4337" i="5" s="1"/>
  <c r="P4334" i="5"/>
  <c r="T4333" i="5"/>
  <c r="F4337" i="5" s="1"/>
  <c r="G5050" i="5"/>
  <c r="R5041" i="5"/>
  <c r="W5040" i="5"/>
  <c r="F5050" i="5" s="1"/>
  <c r="I5047" i="5"/>
  <c r="H5047" i="5"/>
  <c r="P3600" i="5"/>
  <c r="V3599" i="5"/>
  <c r="F3605" i="5" s="1"/>
  <c r="G3605" i="5"/>
  <c r="H3605" i="5" s="1"/>
  <c r="R5189" i="5"/>
  <c r="W5188" i="5"/>
  <c r="F5198" i="5" s="1"/>
  <c r="G5198" i="5"/>
  <c r="H5198" i="5" s="1"/>
  <c r="G5188" i="5"/>
  <c r="H5188" i="5" s="1"/>
  <c r="V5185" i="5"/>
  <c r="F5188" i="5" s="1"/>
  <c r="Q5186" i="5"/>
  <c r="N3329" i="5"/>
  <c r="M3328" i="5"/>
  <c r="F3328" i="5" s="1"/>
  <c r="L3328" i="5" s="1"/>
  <c r="N3407" i="5"/>
  <c r="M3406" i="5"/>
  <c r="F3406" i="5" s="1"/>
  <c r="L3406" i="5" s="1"/>
  <c r="N3485" i="5"/>
  <c r="M3485" i="5" s="1"/>
  <c r="F3485" i="5" s="1"/>
  <c r="L3485" i="5" s="1"/>
  <c r="G3611" i="5"/>
  <c r="H3611" i="5" s="1"/>
  <c r="X3600" i="5"/>
  <c r="F3611" i="5" s="1"/>
  <c r="P4669" i="5"/>
  <c r="Q4668" i="5"/>
  <c r="F4668" i="5" s="1"/>
  <c r="G4668" i="5"/>
  <c r="H4668" i="5" s="1"/>
  <c r="R4951" i="5"/>
  <c r="G4952" i="5"/>
  <c r="H4952" i="5" s="1"/>
  <c r="U4910" i="5"/>
  <c r="F4933" i="5"/>
  <c r="U3705" i="5"/>
  <c r="F3709" i="5" s="1"/>
  <c r="G3709" i="5"/>
  <c r="H3709" i="5" s="1"/>
  <c r="S4855" i="5"/>
  <c r="F4875" i="5" s="1"/>
  <c r="F4871" i="5"/>
  <c r="Y3599" i="5"/>
  <c r="F3608" i="5" s="1"/>
  <c r="S3600" i="5"/>
  <c r="G3608" i="5"/>
  <c r="H3608" i="5" s="1"/>
  <c r="W4952" i="5"/>
  <c r="F4956" i="5"/>
  <c r="F4583" i="5"/>
  <c r="Q4584" i="5"/>
  <c r="G4338" i="5"/>
  <c r="H4338" i="5" s="1"/>
  <c r="Q4334" i="5"/>
  <c r="U4333" i="5"/>
  <c r="F4338" i="5" s="1"/>
  <c r="Q4852" i="5"/>
  <c r="F4857" i="5"/>
  <c r="S3765" i="5" l="1"/>
  <c r="F3765" i="5" s="1"/>
  <c r="G3765" i="5"/>
  <c r="H3765" i="5" s="1"/>
  <c r="N3376" i="5"/>
  <c r="M3297" i="5"/>
  <c r="F3297" i="5" s="1"/>
  <c r="L3297" i="5" s="1"/>
  <c r="M3375" i="5"/>
  <c r="F3375" i="5" s="1"/>
  <c r="L3375" i="5" s="1"/>
  <c r="N3454" i="5"/>
  <c r="M3454" i="5" s="1"/>
  <c r="F3454" i="5" s="1"/>
  <c r="L3454" i="5" s="1"/>
  <c r="G4581" i="5"/>
  <c r="H4581" i="5" s="1"/>
  <c r="P4582" i="5"/>
  <c r="P5040" i="5"/>
  <c r="G5045" i="5"/>
  <c r="U5039" i="5"/>
  <c r="F5045" i="5" s="1"/>
  <c r="I5042" i="5"/>
  <c r="H5042" i="5"/>
  <c r="G4938" i="5"/>
  <c r="H4938" i="5" s="1"/>
  <c r="Q4911" i="5"/>
  <c r="W5114" i="5"/>
  <c r="F5124" i="5" s="1"/>
  <c r="R5115" i="5"/>
  <c r="G5124" i="5"/>
  <c r="I5121" i="5"/>
  <c r="H5121" i="5"/>
  <c r="N3468" i="5"/>
  <c r="M3468" i="5" s="1"/>
  <c r="F3468" i="5" s="1"/>
  <c r="L3468" i="5" s="1"/>
  <c r="M3389" i="5"/>
  <c r="F3389" i="5" s="1"/>
  <c r="L3389" i="5" s="1"/>
  <c r="N3312" i="5"/>
  <c r="N3390" i="5"/>
  <c r="M3311" i="5"/>
  <c r="F3311" i="5" s="1"/>
  <c r="L3311" i="5" s="1"/>
  <c r="F4551" i="5"/>
  <c r="Q4552" i="5"/>
  <c r="Q4615" i="5"/>
  <c r="F4615" i="5" s="1"/>
  <c r="G4615" i="5"/>
  <c r="H4615" i="5" s="1"/>
  <c r="P4616" i="5"/>
  <c r="Q5040" i="5"/>
  <c r="V5039" i="5"/>
  <c r="F5046" i="5" s="1"/>
  <c r="G5046" i="5"/>
  <c r="H5043" i="5"/>
  <c r="I5043" i="5"/>
  <c r="F4942" i="5"/>
  <c r="V4912" i="5"/>
  <c r="X4958" i="5"/>
  <c r="F4981" i="5"/>
  <c r="P5190" i="5"/>
  <c r="U5189" i="5"/>
  <c r="F5199" i="5" s="1"/>
  <c r="G5199" i="5"/>
  <c r="H5199" i="5" s="1"/>
  <c r="P4911" i="5"/>
  <c r="G4937" i="5"/>
  <c r="H4937" i="5" s="1"/>
  <c r="G3706" i="5"/>
  <c r="H3706" i="5" s="1"/>
  <c r="P3705" i="5"/>
  <c r="T3704" i="5"/>
  <c r="F3706" i="5" s="1"/>
  <c r="R4854" i="5"/>
  <c r="F4866" i="5"/>
  <c r="M3329" i="5"/>
  <c r="F3329" i="5" s="1"/>
  <c r="L3329" i="5" s="1"/>
  <c r="N3408" i="5"/>
  <c r="N3330" i="5"/>
  <c r="G3609" i="5"/>
  <c r="H3609" i="5" s="1"/>
  <c r="V3600" i="5"/>
  <c r="F3609" i="5" s="1"/>
  <c r="W5041" i="5"/>
  <c r="F5053" i="5" s="1"/>
  <c r="R5042" i="5"/>
  <c r="G5053" i="5"/>
  <c r="V5186" i="5"/>
  <c r="F5191" i="5" s="1"/>
  <c r="G5191" i="5"/>
  <c r="H5191" i="5" s="1"/>
  <c r="Q5187" i="5"/>
  <c r="G5201" i="5"/>
  <c r="H5201" i="5" s="1"/>
  <c r="W5189" i="5"/>
  <c r="F5201" i="5" s="1"/>
  <c r="R5190" i="5"/>
  <c r="H5050" i="5"/>
  <c r="I5050" i="5"/>
  <c r="M3407" i="5"/>
  <c r="F3407" i="5" s="1"/>
  <c r="L3407" i="5" s="1"/>
  <c r="N3486" i="5"/>
  <c r="M3486" i="5" s="1"/>
  <c r="F3486" i="5" s="1"/>
  <c r="L3486" i="5" s="1"/>
  <c r="P4335" i="5"/>
  <c r="T4334" i="5"/>
  <c r="F4339" i="5" s="1"/>
  <c r="G4339" i="5"/>
  <c r="H4339" i="5" s="1"/>
  <c r="G4669" i="5"/>
  <c r="H4669" i="5" s="1"/>
  <c r="Q4669" i="5"/>
  <c r="F4669" i="5" s="1"/>
  <c r="P4670" i="5"/>
  <c r="R4952" i="5"/>
  <c r="G4956" i="5"/>
  <c r="H4956" i="5" s="1"/>
  <c r="G4340" i="5"/>
  <c r="H4340" i="5" s="1"/>
  <c r="U4334" i="5"/>
  <c r="F4340" i="5" s="1"/>
  <c r="Q4335" i="5"/>
  <c r="F4937" i="5"/>
  <c r="U4911" i="5"/>
  <c r="Q4586" i="5"/>
  <c r="F4584" i="5"/>
  <c r="F4960" i="5"/>
  <c r="W4953" i="5"/>
  <c r="Y3600" i="5"/>
  <c r="F3612" i="5" s="1"/>
  <c r="G3612" i="5"/>
  <c r="H3612" i="5" s="1"/>
  <c r="Q4853" i="5"/>
  <c r="F4861" i="5"/>
  <c r="M3376" i="5" l="1"/>
  <c r="F3376" i="5" s="1"/>
  <c r="L3376" i="5" s="1"/>
  <c r="N3455" i="5"/>
  <c r="M3455" i="5" s="1"/>
  <c r="F3455" i="5" s="1"/>
  <c r="L3455" i="5" s="1"/>
  <c r="P4583" i="5"/>
  <c r="G4582" i="5"/>
  <c r="H4582" i="5" s="1"/>
  <c r="I5045" i="5"/>
  <c r="H5045" i="5"/>
  <c r="U5040" i="5"/>
  <c r="F5048" i="5" s="1"/>
  <c r="G5048" i="5"/>
  <c r="P5041" i="5"/>
  <c r="Q4912" i="5"/>
  <c r="G4942" i="5"/>
  <c r="H4942" i="5" s="1"/>
  <c r="N3391" i="5"/>
  <c r="M3312" i="5"/>
  <c r="F3312" i="5" s="1"/>
  <c r="L3312" i="5" s="1"/>
  <c r="N3313" i="5"/>
  <c r="Q4553" i="5"/>
  <c r="F4552" i="5"/>
  <c r="H5124" i="5"/>
  <c r="I5124" i="5"/>
  <c r="W5115" i="5"/>
  <c r="F5127" i="5" s="1"/>
  <c r="G5127" i="5"/>
  <c r="R5116" i="5"/>
  <c r="M3390" i="5"/>
  <c r="F3390" i="5" s="1"/>
  <c r="L3390" i="5" s="1"/>
  <c r="N3469" i="5"/>
  <c r="M3469" i="5" s="1"/>
  <c r="F3469" i="5" s="1"/>
  <c r="L3469" i="5" s="1"/>
  <c r="G4616" i="5"/>
  <c r="H4616" i="5" s="1"/>
  <c r="Q4616" i="5"/>
  <c r="F4616" i="5" s="1"/>
  <c r="P4617" i="5"/>
  <c r="H5046" i="5"/>
  <c r="I5046" i="5"/>
  <c r="Q5041" i="5"/>
  <c r="G5049" i="5"/>
  <c r="V5040" i="5"/>
  <c r="F5049" i="5" s="1"/>
  <c r="P4912" i="5"/>
  <c r="G4941" i="5"/>
  <c r="H4941" i="5" s="1"/>
  <c r="G5202" i="5"/>
  <c r="H5202" i="5" s="1"/>
  <c r="U5190" i="5"/>
  <c r="F5202" i="5" s="1"/>
  <c r="X4959" i="5"/>
  <c r="F4985" i="5"/>
  <c r="V4950" i="5"/>
  <c r="F4946" i="5"/>
  <c r="T3705" i="5"/>
  <c r="F3708" i="5" s="1"/>
  <c r="G3708" i="5"/>
  <c r="H3708" i="5" s="1"/>
  <c r="F4870" i="5"/>
  <c r="R4855" i="5"/>
  <c r="F4874" i="5" s="1"/>
  <c r="P4336" i="5"/>
  <c r="G4341" i="5"/>
  <c r="H4341" i="5" s="1"/>
  <c r="T4335" i="5"/>
  <c r="F4341" i="5" s="1"/>
  <c r="V5187" i="5"/>
  <c r="F5194" i="5" s="1"/>
  <c r="G5194" i="5"/>
  <c r="H5194" i="5" s="1"/>
  <c r="Q5188" i="5"/>
  <c r="H5053" i="5"/>
  <c r="I5053" i="5"/>
  <c r="R5043" i="5"/>
  <c r="W5042" i="5"/>
  <c r="F5056" i="5" s="1"/>
  <c r="G5056" i="5"/>
  <c r="G5204" i="5"/>
  <c r="H5204" i="5" s="1"/>
  <c r="W5190" i="5"/>
  <c r="F5204" i="5" s="1"/>
  <c r="M3330" i="5"/>
  <c r="F3330" i="5" s="1"/>
  <c r="L3330" i="5" s="1"/>
  <c r="N3409" i="5"/>
  <c r="N3331" i="5"/>
  <c r="N3487" i="5"/>
  <c r="M3487" i="5" s="1"/>
  <c r="F3487" i="5" s="1"/>
  <c r="L3487" i="5" s="1"/>
  <c r="M3408" i="5"/>
  <c r="F3408" i="5" s="1"/>
  <c r="L3408" i="5" s="1"/>
  <c r="P4671" i="5"/>
  <c r="G4670" i="5"/>
  <c r="H4670" i="5" s="1"/>
  <c r="Q4670" i="5"/>
  <c r="F4670" i="5" s="1"/>
  <c r="R4953" i="5"/>
  <c r="G4960" i="5"/>
  <c r="H4960" i="5" s="1"/>
  <c r="W4954" i="5"/>
  <c r="F4964" i="5"/>
  <c r="F4586" i="5"/>
  <c r="Q4587" i="5"/>
  <c r="Q4854" i="5"/>
  <c r="F4865" i="5"/>
  <c r="F4941" i="5"/>
  <c r="U4912" i="5"/>
  <c r="Q4336" i="5"/>
  <c r="U4335" i="5"/>
  <c r="F4342" i="5" s="1"/>
  <c r="G4342" i="5"/>
  <c r="H4342" i="5" s="1"/>
  <c r="P4584" i="5" l="1"/>
  <c r="G4583" i="5"/>
  <c r="H4583" i="5" s="1"/>
  <c r="G5051" i="5"/>
  <c r="U5041" i="5"/>
  <c r="F5051" i="5" s="1"/>
  <c r="P5042" i="5"/>
  <c r="I5048" i="5"/>
  <c r="H5048" i="5"/>
  <c r="G4946" i="5"/>
  <c r="H4946" i="5" s="1"/>
  <c r="Q4950" i="5"/>
  <c r="Q4554" i="5"/>
  <c r="F4553" i="5"/>
  <c r="N3392" i="5"/>
  <c r="M3313" i="5"/>
  <c r="F3313" i="5" s="1"/>
  <c r="L3313" i="5" s="1"/>
  <c r="G5130" i="5"/>
  <c r="R5117" i="5"/>
  <c r="W5116" i="5"/>
  <c r="F5130" i="5" s="1"/>
  <c r="I5127" i="5"/>
  <c r="H5127" i="5"/>
  <c r="N3470" i="5"/>
  <c r="M3470" i="5" s="1"/>
  <c r="F3470" i="5" s="1"/>
  <c r="L3470" i="5" s="1"/>
  <c r="M3391" i="5"/>
  <c r="F3391" i="5" s="1"/>
  <c r="L3391" i="5" s="1"/>
  <c r="G4617" i="5"/>
  <c r="H4617" i="5" s="1"/>
  <c r="P4618" i="5"/>
  <c r="Q4617" i="5"/>
  <c r="F4617" i="5" s="1"/>
  <c r="H5049" i="5"/>
  <c r="I5049" i="5"/>
  <c r="Q5042" i="5"/>
  <c r="V5041" i="5"/>
  <c r="F5052" i="5" s="1"/>
  <c r="G5052" i="5"/>
  <c r="F4951" i="5"/>
  <c r="V4951" i="5"/>
  <c r="X4960" i="5"/>
  <c r="F4989" i="5"/>
  <c r="G4945" i="5"/>
  <c r="H4945" i="5" s="1"/>
  <c r="P4950" i="5"/>
  <c r="I5056" i="5"/>
  <c r="H5056" i="5"/>
  <c r="R5044" i="5"/>
  <c r="W5043" i="5"/>
  <c r="F5059" i="5" s="1"/>
  <c r="G5059" i="5"/>
  <c r="Q5189" i="5"/>
  <c r="G5197" i="5"/>
  <c r="H5197" i="5" s="1"/>
  <c r="V5188" i="5"/>
  <c r="F5197" i="5" s="1"/>
  <c r="N3410" i="5"/>
  <c r="M3331" i="5"/>
  <c r="F3331" i="5" s="1"/>
  <c r="L3331" i="5" s="1"/>
  <c r="N3332" i="5"/>
  <c r="N3488" i="5"/>
  <c r="M3488" i="5" s="1"/>
  <c r="F3488" i="5" s="1"/>
  <c r="L3488" i="5" s="1"/>
  <c r="M3409" i="5"/>
  <c r="F3409" i="5" s="1"/>
  <c r="L3409" i="5" s="1"/>
  <c r="P4337" i="5"/>
  <c r="T4336" i="5"/>
  <c r="F4343" i="5" s="1"/>
  <c r="G4343" i="5"/>
  <c r="H4343" i="5" s="1"/>
  <c r="P4672" i="5"/>
  <c r="Q4671" i="5"/>
  <c r="F4671" i="5" s="1"/>
  <c r="G4671" i="5"/>
  <c r="H4671" i="5" s="1"/>
  <c r="R4954" i="5"/>
  <c r="G4964" i="5"/>
  <c r="H4964" i="5" s="1"/>
  <c r="F4945" i="5"/>
  <c r="U4950" i="5"/>
  <c r="Q4337" i="5"/>
  <c r="U4336" i="5"/>
  <c r="F4344" i="5" s="1"/>
  <c r="G4344" i="5"/>
  <c r="H4344" i="5" s="1"/>
  <c r="F4968" i="5"/>
  <c r="W4955" i="5"/>
  <c r="Q4855" i="5"/>
  <c r="F4873" i="5" s="1"/>
  <c r="F4869" i="5"/>
  <c r="F4587" i="5"/>
  <c r="Q4588" i="5"/>
  <c r="P4586" i="5" l="1"/>
  <c r="G4584" i="5"/>
  <c r="H4584" i="5" s="1"/>
  <c r="G5054" i="5"/>
  <c r="P5043" i="5"/>
  <c r="U5042" i="5"/>
  <c r="F5054" i="5" s="1"/>
  <c r="I5051" i="5"/>
  <c r="H5051" i="5"/>
  <c r="G4951" i="5"/>
  <c r="H4951" i="5" s="1"/>
  <c r="Q4951" i="5"/>
  <c r="W5117" i="5"/>
  <c r="F5133" i="5" s="1"/>
  <c r="R5118" i="5"/>
  <c r="G5133" i="5"/>
  <c r="H5130" i="5"/>
  <c r="I5130" i="5"/>
  <c r="N3471" i="5"/>
  <c r="M3471" i="5" s="1"/>
  <c r="F3471" i="5" s="1"/>
  <c r="L3471" i="5" s="1"/>
  <c r="M3392" i="5"/>
  <c r="F3392" i="5" s="1"/>
  <c r="L3392" i="5" s="1"/>
  <c r="Q4555" i="5"/>
  <c r="F4554" i="5"/>
  <c r="Q4618" i="5"/>
  <c r="F4618" i="5" s="1"/>
  <c r="P4619" i="5"/>
  <c r="G4618" i="5"/>
  <c r="H4618" i="5" s="1"/>
  <c r="H5052" i="5"/>
  <c r="I5052" i="5"/>
  <c r="G5055" i="5"/>
  <c r="Q5043" i="5"/>
  <c r="V5042" i="5"/>
  <c r="F5055" i="5" s="1"/>
  <c r="P4951" i="5"/>
  <c r="G4950" i="5"/>
  <c r="H4950" i="5" s="1"/>
  <c r="X4961" i="5"/>
  <c r="F4997" i="5" s="1"/>
  <c r="F4993" i="5"/>
  <c r="V4952" i="5"/>
  <c r="F4955" i="5"/>
  <c r="V5189" i="5"/>
  <c r="F5200" i="5" s="1"/>
  <c r="G5200" i="5"/>
  <c r="H5200" i="5" s="1"/>
  <c r="Q5190" i="5"/>
  <c r="I5059" i="5"/>
  <c r="H5059" i="5"/>
  <c r="N3333" i="5"/>
  <c r="N3411" i="5"/>
  <c r="M3332" i="5"/>
  <c r="F3332" i="5" s="1"/>
  <c r="L3332" i="5" s="1"/>
  <c r="G5062" i="5"/>
  <c r="W5044" i="5"/>
  <c r="F5062" i="5" s="1"/>
  <c r="R5045" i="5"/>
  <c r="G4345" i="5"/>
  <c r="H4345" i="5" s="1"/>
  <c r="P4338" i="5"/>
  <c r="T4337" i="5"/>
  <c r="F4345" i="5" s="1"/>
  <c r="M3410" i="5"/>
  <c r="F3410" i="5" s="1"/>
  <c r="L3410" i="5" s="1"/>
  <c r="N3489" i="5"/>
  <c r="M3489" i="5" s="1"/>
  <c r="F3489" i="5" s="1"/>
  <c r="L3489" i="5" s="1"/>
  <c r="R4955" i="5"/>
  <c r="G4968" i="5"/>
  <c r="H4968" i="5" s="1"/>
  <c r="G4672" i="5"/>
  <c r="H4672" i="5" s="1"/>
  <c r="P4673" i="5"/>
  <c r="Q4672" i="5"/>
  <c r="F4672" i="5" s="1"/>
  <c r="F4588" i="5"/>
  <c r="Q4589" i="5"/>
  <c r="F4950" i="5"/>
  <c r="U4951" i="5"/>
  <c r="W4956" i="5"/>
  <c r="F4972" i="5"/>
  <c r="G4346" i="5"/>
  <c r="H4346" i="5" s="1"/>
  <c r="U4337" i="5"/>
  <c r="F4346" i="5" s="1"/>
  <c r="Q4338" i="5"/>
  <c r="G4586" i="5" l="1"/>
  <c r="H4586" i="5" s="1"/>
  <c r="P4587" i="5"/>
  <c r="P5044" i="5"/>
  <c r="G5057" i="5"/>
  <c r="U5043" i="5"/>
  <c r="F5057" i="5" s="1"/>
  <c r="I5054" i="5"/>
  <c r="H5054" i="5"/>
  <c r="Q4952" i="5"/>
  <c r="G4955" i="5"/>
  <c r="H4955" i="5" s="1"/>
  <c r="Q4557" i="5"/>
  <c r="F4555" i="5"/>
  <c r="H5133" i="5"/>
  <c r="I5133" i="5"/>
  <c r="R5119" i="5"/>
  <c r="W5118" i="5"/>
  <c r="F5136" i="5" s="1"/>
  <c r="G5136" i="5"/>
  <c r="G4619" i="5"/>
  <c r="H4619" i="5" s="1"/>
  <c r="Q4619" i="5"/>
  <c r="F4619" i="5" s="1"/>
  <c r="P4620" i="5"/>
  <c r="V5043" i="5"/>
  <c r="F5058" i="5" s="1"/>
  <c r="Q5044" i="5"/>
  <c r="G5058" i="5"/>
  <c r="H5055" i="5"/>
  <c r="I5055" i="5"/>
  <c r="V4953" i="5"/>
  <c r="F4959" i="5"/>
  <c r="G4954" i="5"/>
  <c r="H4954" i="5" s="1"/>
  <c r="P4952" i="5"/>
  <c r="M3333" i="5"/>
  <c r="F3333" i="5" s="1"/>
  <c r="L3333" i="5" s="1"/>
  <c r="N3412" i="5"/>
  <c r="N3334" i="5"/>
  <c r="T4338" i="5"/>
  <c r="F4347" i="5" s="1"/>
  <c r="P4339" i="5"/>
  <c r="G4347" i="5"/>
  <c r="H4347" i="5" s="1"/>
  <c r="W5045" i="5"/>
  <c r="F5065" i="5" s="1"/>
  <c r="G5065" i="5"/>
  <c r="R5046" i="5"/>
  <c r="G5203" i="5"/>
  <c r="H5203" i="5" s="1"/>
  <c r="V5190" i="5"/>
  <c r="F5203" i="5" s="1"/>
  <c r="I5062" i="5"/>
  <c r="H5062" i="5"/>
  <c r="N3490" i="5"/>
  <c r="M3490" i="5" s="1"/>
  <c r="F3490" i="5" s="1"/>
  <c r="L3490" i="5" s="1"/>
  <c r="M3411" i="5"/>
  <c r="F3411" i="5" s="1"/>
  <c r="L3411" i="5" s="1"/>
  <c r="P4674" i="5"/>
  <c r="Q4673" i="5"/>
  <c r="F4673" i="5" s="1"/>
  <c r="G4673" i="5"/>
  <c r="H4673" i="5" s="1"/>
  <c r="R4956" i="5"/>
  <c r="G4972" i="5"/>
  <c r="H4972" i="5" s="1"/>
  <c r="U4952" i="5"/>
  <c r="F4954" i="5"/>
  <c r="U4338" i="5"/>
  <c r="F4348" i="5" s="1"/>
  <c r="Q4339" i="5"/>
  <c r="G4348" i="5"/>
  <c r="H4348" i="5" s="1"/>
  <c r="F4589" i="5"/>
  <c r="Q4590" i="5"/>
  <c r="W4957" i="5"/>
  <c r="F4976" i="5"/>
  <c r="P4588" i="5" l="1"/>
  <c r="G4587" i="5"/>
  <c r="H4587" i="5" s="1"/>
  <c r="I5057" i="5"/>
  <c r="H5057" i="5"/>
  <c r="U5044" i="5"/>
  <c r="F5060" i="5" s="1"/>
  <c r="G5060" i="5"/>
  <c r="P5045" i="5"/>
  <c r="Q4953" i="5"/>
  <c r="G4959" i="5"/>
  <c r="H4959" i="5" s="1"/>
  <c r="H5136" i="5"/>
  <c r="I5136" i="5"/>
  <c r="G5139" i="5"/>
  <c r="W5119" i="5"/>
  <c r="F5139" i="5" s="1"/>
  <c r="R5120" i="5"/>
  <c r="Q4558" i="5"/>
  <c r="F4557" i="5"/>
  <c r="G4620" i="5"/>
  <c r="H4620" i="5" s="1"/>
  <c r="Q4620" i="5"/>
  <c r="F4620" i="5" s="1"/>
  <c r="P4621" i="5"/>
  <c r="H5058" i="5"/>
  <c r="I5058" i="5"/>
  <c r="G5061" i="5"/>
  <c r="V5044" i="5"/>
  <c r="F5061" i="5" s="1"/>
  <c r="Q5045" i="5"/>
  <c r="G4958" i="5"/>
  <c r="H4958" i="5" s="1"/>
  <c r="P4953" i="5"/>
  <c r="V4954" i="5"/>
  <c r="F4963" i="5"/>
  <c r="P4340" i="5"/>
  <c r="G4349" i="5"/>
  <c r="H4349" i="5" s="1"/>
  <c r="T4339" i="5"/>
  <c r="F4349" i="5" s="1"/>
  <c r="R5047" i="5"/>
  <c r="W5046" i="5"/>
  <c r="F5068" i="5" s="1"/>
  <c r="G5068" i="5"/>
  <c r="N3413" i="5"/>
  <c r="M3334" i="5"/>
  <c r="F3334" i="5" s="1"/>
  <c r="L3334" i="5" s="1"/>
  <c r="N3335" i="5"/>
  <c r="I5065" i="5"/>
  <c r="H5065" i="5"/>
  <c r="N3491" i="5"/>
  <c r="M3491" i="5" s="1"/>
  <c r="F3491" i="5" s="1"/>
  <c r="L3491" i="5" s="1"/>
  <c r="M3412" i="5"/>
  <c r="F3412" i="5" s="1"/>
  <c r="L3412" i="5" s="1"/>
  <c r="G4674" i="5"/>
  <c r="H4674" i="5" s="1"/>
  <c r="P4675" i="5"/>
  <c r="Q4674" i="5"/>
  <c r="F4674" i="5" s="1"/>
  <c r="R4957" i="5"/>
  <c r="G4976" i="5"/>
  <c r="H4976" i="5" s="1"/>
  <c r="W4958" i="5"/>
  <c r="F4980" i="5"/>
  <c r="Q4340" i="5"/>
  <c r="U4339" i="5"/>
  <c r="F4350" i="5" s="1"/>
  <c r="G4350" i="5"/>
  <c r="H4350" i="5" s="1"/>
  <c r="U4953" i="5"/>
  <c r="F4958" i="5"/>
  <c r="F4590" i="5"/>
  <c r="Q4591" i="5"/>
  <c r="Q4677" i="5" l="1"/>
  <c r="F4677" i="5" s="1"/>
  <c r="G4677" i="5"/>
  <c r="H4677" i="5" s="1"/>
  <c r="G4588" i="5"/>
  <c r="H4588" i="5" s="1"/>
  <c r="P4589" i="5"/>
  <c r="P5046" i="5"/>
  <c r="G5063" i="5"/>
  <c r="U5045" i="5"/>
  <c r="F5063" i="5" s="1"/>
  <c r="I5060" i="5"/>
  <c r="H5060" i="5"/>
  <c r="Q4954" i="5"/>
  <c r="G4963" i="5"/>
  <c r="H4963" i="5" s="1"/>
  <c r="Q4559" i="5"/>
  <c r="F4558" i="5"/>
  <c r="G5142" i="5"/>
  <c r="W5120" i="5"/>
  <c r="F5142" i="5" s="1"/>
  <c r="R5121" i="5"/>
  <c r="I5139" i="5"/>
  <c r="H5139" i="5"/>
  <c r="P4622" i="5"/>
  <c r="G4621" i="5"/>
  <c r="H4621" i="5" s="1"/>
  <c r="Q4621" i="5"/>
  <c r="F4621" i="5" s="1"/>
  <c r="G5064" i="5"/>
  <c r="V5045" i="5"/>
  <c r="F5064" i="5" s="1"/>
  <c r="Q5046" i="5"/>
  <c r="I5061" i="5"/>
  <c r="H5061" i="5"/>
  <c r="V4955" i="5"/>
  <c r="F4967" i="5"/>
  <c r="G4962" i="5"/>
  <c r="H4962" i="5" s="1"/>
  <c r="P4954" i="5"/>
  <c r="H5068" i="5"/>
  <c r="I5068" i="5"/>
  <c r="W5047" i="5"/>
  <c r="F5071" i="5" s="1"/>
  <c r="R5073" i="5"/>
  <c r="G5071" i="5"/>
  <c r="N3414" i="5"/>
  <c r="N3336" i="5"/>
  <c r="M3335" i="5"/>
  <c r="F3335" i="5" s="1"/>
  <c r="L3335" i="5" s="1"/>
  <c r="T4340" i="5"/>
  <c r="F4351" i="5" s="1"/>
  <c r="G4351" i="5"/>
  <c r="H4351" i="5" s="1"/>
  <c r="N3492" i="5"/>
  <c r="M3492" i="5" s="1"/>
  <c r="F3492" i="5" s="1"/>
  <c r="L3492" i="5" s="1"/>
  <c r="M3413" i="5"/>
  <c r="F3413" i="5" s="1"/>
  <c r="L3413" i="5" s="1"/>
  <c r="Q4675" i="5"/>
  <c r="F4675" i="5" s="1"/>
  <c r="G4675" i="5"/>
  <c r="H4675" i="5" s="1"/>
  <c r="G4980" i="5"/>
  <c r="H4980" i="5" s="1"/>
  <c r="R4958" i="5"/>
  <c r="F4591" i="5"/>
  <c r="Q4592" i="5"/>
  <c r="G4352" i="5"/>
  <c r="H4352" i="5" s="1"/>
  <c r="U4340" i="5"/>
  <c r="F4352" i="5" s="1"/>
  <c r="F4962" i="5"/>
  <c r="U4954" i="5"/>
  <c r="F4984" i="5"/>
  <c r="W4959" i="5"/>
  <c r="P4590" i="5" l="1"/>
  <c r="G4589" i="5"/>
  <c r="H4589" i="5" s="1"/>
  <c r="I5063" i="5"/>
  <c r="H5063" i="5"/>
  <c r="U5046" i="5"/>
  <c r="F5066" i="5" s="1"/>
  <c r="P5047" i="5"/>
  <c r="G5066" i="5"/>
  <c r="Q4955" i="5"/>
  <c r="G4967" i="5"/>
  <c r="H4967" i="5" s="1"/>
  <c r="W5121" i="5"/>
  <c r="F5145" i="5" s="1"/>
  <c r="G5145" i="5"/>
  <c r="I5142" i="5"/>
  <c r="H5142" i="5"/>
  <c r="F4559" i="5"/>
  <c r="Q4560" i="5"/>
  <c r="G4622" i="5"/>
  <c r="H4622" i="5" s="1"/>
  <c r="Q4622" i="5"/>
  <c r="F4622" i="5" s="1"/>
  <c r="P4623" i="5"/>
  <c r="G5067" i="5"/>
  <c r="Q5047" i="5"/>
  <c r="V5046" i="5"/>
  <c r="F5067" i="5" s="1"/>
  <c r="H5064" i="5"/>
  <c r="I5064" i="5"/>
  <c r="P4955" i="5"/>
  <c r="G4966" i="5"/>
  <c r="H4966" i="5" s="1"/>
  <c r="V4956" i="5"/>
  <c r="F4971" i="5"/>
  <c r="N3337" i="5"/>
  <c r="N3415" i="5"/>
  <c r="M3336" i="5"/>
  <c r="F3336" i="5" s="1"/>
  <c r="L3336" i="5" s="1"/>
  <c r="N3493" i="5"/>
  <c r="M3493" i="5" s="1"/>
  <c r="F3493" i="5" s="1"/>
  <c r="L3493" i="5" s="1"/>
  <c r="M3414" i="5"/>
  <c r="F3414" i="5" s="1"/>
  <c r="L3414" i="5" s="1"/>
  <c r="I5071" i="5"/>
  <c r="H5071" i="5"/>
  <c r="G5075" i="5"/>
  <c r="W5073" i="5"/>
  <c r="F5075" i="5" s="1"/>
  <c r="G4984" i="5"/>
  <c r="H4984" i="5" s="1"/>
  <c r="R4959" i="5"/>
  <c r="W4960" i="5"/>
  <c r="F4988" i="5"/>
  <c r="Q4593" i="5"/>
  <c r="F4592" i="5"/>
  <c r="U4955" i="5"/>
  <c r="F4966" i="5"/>
  <c r="P4591" i="5" l="1"/>
  <c r="G4590" i="5"/>
  <c r="H4590" i="5" s="1"/>
  <c r="I5066" i="5"/>
  <c r="H5066" i="5"/>
  <c r="U5047" i="5"/>
  <c r="F5069" i="5" s="1"/>
  <c r="G5069" i="5"/>
  <c r="P5073" i="5"/>
  <c r="G4971" i="5"/>
  <c r="H4971" i="5" s="1"/>
  <c r="Q4956" i="5"/>
  <c r="F4560" i="5"/>
  <c r="Q4561" i="5"/>
  <c r="I5145" i="5"/>
  <c r="H5145" i="5"/>
  <c r="P4625" i="5"/>
  <c r="G4623" i="5"/>
  <c r="H4623" i="5" s="1"/>
  <c r="Q4623" i="5"/>
  <c r="F4623" i="5" s="1"/>
  <c r="H5067" i="5"/>
  <c r="I5067" i="5"/>
  <c r="Q5073" i="5"/>
  <c r="G5070" i="5"/>
  <c r="V5047" i="5"/>
  <c r="F5070" i="5" s="1"/>
  <c r="P4956" i="5"/>
  <c r="G4970" i="5"/>
  <c r="H4970" i="5" s="1"/>
  <c r="F4975" i="5"/>
  <c r="V4957" i="5"/>
  <c r="H5075" i="5"/>
  <c r="I5075" i="5"/>
  <c r="M3415" i="5"/>
  <c r="F3415" i="5" s="1"/>
  <c r="L3415" i="5" s="1"/>
  <c r="N3494" i="5"/>
  <c r="M3494" i="5" s="1"/>
  <c r="F3494" i="5" s="1"/>
  <c r="L3494" i="5" s="1"/>
  <c r="M3337" i="5"/>
  <c r="F3337" i="5" s="1"/>
  <c r="L3337" i="5" s="1"/>
  <c r="N3416" i="5"/>
  <c r="N3338" i="5"/>
  <c r="G4988" i="5"/>
  <c r="H4988" i="5" s="1"/>
  <c r="R4960" i="5"/>
  <c r="Q4594" i="5"/>
  <c r="F4593" i="5"/>
  <c r="F4970" i="5"/>
  <c r="U4956" i="5"/>
  <c r="W4961" i="5"/>
  <c r="F4996" i="5" s="1"/>
  <c r="F4992" i="5"/>
  <c r="P4592" i="5" l="1"/>
  <c r="G4591" i="5"/>
  <c r="H4591" i="5" s="1"/>
  <c r="G5073" i="5"/>
  <c r="U5073" i="5"/>
  <c r="F5073" i="5" s="1"/>
  <c r="P5074" i="5"/>
  <c r="H5069" i="5"/>
  <c r="I5069" i="5"/>
  <c r="G4975" i="5"/>
  <c r="H4975" i="5" s="1"/>
  <c r="Q4957" i="5"/>
  <c r="F4561" i="5"/>
  <c r="Q4562" i="5"/>
  <c r="Q4625" i="5"/>
  <c r="F4625" i="5" s="1"/>
  <c r="G4625" i="5"/>
  <c r="H4625" i="5" s="1"/>
  <c r="P4626" i="5"/>
  <c r="H5070" i="5"/>
  <c r="I5070" i="5"/>
  <c r="V5073" i="5"/>
  <c r="F5074" i="5" s="1"/>
  <c r="G5074" i="5"/>
  <c r="Q5074" i="5"/>
  <c r="G4974" i="5"/>
  <c r="H4974" i="5" s="1"/>
  <c r="P4957" i="5"/>
  <c r="F4979" i="5"/>
  <c r="V4958" i="5"/>
  <c r="N3417" i="5"/>
  <c r="M3338" i="5"/>
  <c r="F3338" i="5" s="1"/>
  <c r="L3338" i="5" s="1"/>
  <c r="N3339" i="5"/>
  <c r="M3416" i="5"/>
  <c r="F3416" i="5" s="1"/>
  <c r="L3416" i="5" s="1"/>
  <c r="N3495" i="5"/>
  <c r="M3495" i="5" s="1"/>
  <c r="F3495" i="5" s="1"/>
  <c r="L3495" i="5" s="1"/>
  <c r="G4992" i="5"/>
  <c r="H4992" i="5" s="1"/>
  <c r="R4961" i="5"/>
  <c r="G4996" i="5" s="1"/>
  <c r="H4996" i="5" s="1"/>
  <c r="F4974" i="5"/>
  <c r="U4957" i="5"/>
  <c r="Q4595" i="5"/>
  <c r="F4594" i="5"/>
  <c r="G4592" i="5" l="1"/>
  <c r="H4592" i="5" s="1"/>
  <c r="P4593" i="5"/>
  <c r="G5076" i="5"/>
  <c r="P5075" i="5"/>
  <c r="U5074" i="5"/>
  <c r="F5076" i="5" s="1"/>
  <c r="H5073" i="5"/>
  <c r="I5073" i="5"/>
  <c r="G4979" i="5"/>
  <c r="H4979" i="5" s="1"/>
  <c r="Q4958" i="5"/>
  <c r="Q4563" i="5"/>
  <c r="F4563" i="5" s="1"/>
  <c r="F4562" i="5"/>
  <c r="G4626" i="5"/>
  <c r="H4626" i="5" s="1"/>
  <c r="P4627" i="5"/>
  <c r="Q4626" i="5"/>
  <c r="F4626" i="5" s="1"/>
  <c r="G5077" i="5"/>
  <c r="Q5075" i="5"/>
  <c r="V5074" i="5"/>
  <c r="F5077" i="5" s="1"/>
  <c r="I5074" i="5"/>
  <c r="H5074" i="5"/>
  <c r="V4959" i="5"/>
  <c r="F4983" i="5"/>
  <c r="G4978" i="5"/>
  <c r="H4978" i="5" s="1"/>
  <c r="P4958" i="5"/>
  <c r="N3418" i="5"/>
  <c r="N3340" i="5"/>
  <c r="M3339" i="5"/>
  <c r="F3339" i="5" s="1"/>
  <c r="L3339" i="5" s="1"/>
  <c r="N3496" i="5"/>
  <c r="M3496" i="5" s="1"/>
  <c r="F3496" i="5" s="1"/>
  <c r="L3496" i="5" s="1"/>
  <c r="M3417" i="5"/>
  <c r="F3417" i="5" s="1"/>
  <c r="L3417" i="5" s="1"/>
  <c r="F4595" i="5"/>
  <c r="Q4596" i="5"/>
  <c r="U4958" i="5"/>
  <c r="F4978" i="5"/>
  <c r="G4593" i="5" l="1"/>
  <c r="H4593" i="5" s="1"/>
  <c r="P4594" i="5"/>
  <c r="G5079" i="5"/>
  <c r="U5075" i="5"/>
  <c r="F5079" i="5" s="1"/>
  <c r="P5076" i="5"/>
  <c r="H5076" i="5"/>
  <c r="I5076" i="5"/>
  <c r="Q4959" i="5"/>
  <c r="G4983" i="5"/>
  <c r="H4983" i="5" s="1"/>
  <c r="P4628" i="5"/>
  <c r="G4627" i="5"/>
  <c r="H4627" i="5" s="1"/>
  <c r="Q4627" i="5"/>
  <c r="F4627" i="5" s="1"/>
  <c r="G5080" i="5"/>
  <c r="V5075" i="5"/>
  <c r="F5080" i="5" s="1"/>
  <c r="Q5076" i="5"/>
  <c r="I5077" i="5"/>
  <c r="H5077" i="5"/>
  <c r="F4987" i="5"/>
  <c r="V4960" i="5"/>
  <c r="P4959" i="5"/>
  <c r="G4982" i="5"/>
  <c r="H4982" i="5" s="1"/>
  <c r="N3341" i="5"/>
  <c r="N3419" i="5"/>
  <c r="M3340" i="5"/>
  <c r="F3340" i="5" s="1"/>
  <c r="L3340" i="5" s="1"/>
  <c r="N3497" i="5"/>
  <c r="M3497" i="5" s="1"/>
  <c r="F3497" i="5" s="1"/>
  <c r="L3497" i="5" s="1"/>
  <c r="M3418" i="5"/>
  <c r="F3418" i="5" s="1"/>
  <c r="L3418" i="5" s="1"/>
  <c r="F4982" i="5"/>
  <c r="U4959" i="5"/>
  <c r="F4596" i="5"/>
  <c r="Q4597" i="5"/>
  <c r="F4597" i="5" s="1"/>
  <c r="P4595" i="5" l="1"/>
  <c r="G4594" i="5"/>
  <c r="H4594" i="5" s="1"/>
  <c r="P5077" i="5"/>
  <c r="G5082" i="5"/>
  <c r="U5076" i="5"/>
  <c r="F5082" i="5" s="1"/>
  <c r="I5079" i="5"/>
  <c r="H5079" i="5"/>
  <c r="Q4960" i="5"/>
  <c r="G4987" i="5"/>
  <c r="H4987" i="5" s="1"/>
  <c r="G4628" i="5"/>
  <c r="H4628" i="5" s="1"/>
  <c r="P4629" i="5"/>
  <c r="Q4628" i="5"/>
  <c r="F4628" i="5" s="1"/>
  <c r="G5083" i="5"/>
  <c r="V5076" i="5"/>
  <c r="F5083" i="5" s="1"/>
  <c r="Q5077" i="5"/>
  <c r="H5080" i="5"/>
  <c r="I5080" i="5"/>
  <c r="P4960" i="5"/>
  <c r="G4986" i="5"/>
  <c r="H4986" i="5" s="1"/>
  <c r="V4961" i="5"/>
  <c r="F4995" i="5" s="1"/>
  <c r="F4991" i="5"/>
  <c r="M3419" i="5"/>
  <c r="F3419" i="5" s="1"/>
  <c r="L3419" i="5" s="1"/>
  <c r="N3498" i="5"/>
  <c r="M3498" i="5" s="1"/>
  <c r="F3498" i="5" s="1"/>
  <c r="L3498" i="5" s="1"/>
  <c r="N3420" i="5"/>
  <c r="M3341" i="5"/>
  <c r="F3341" i="5" s="1"/>
  <c r="L3341" i="5" s="1"/>
  <c r="N3342" i="5"/>
  <c r="U4960" i="5"/>
  <c r="F4986" i="5"/>
  <c r="P4596" i="5" l="1"/>
  <c r="G4595" i="5"/>
  <c r="H4595" i="5" s="1"/>
  <c r="I5082" i="5"/>
  <c r="H5082" i="5"/>
  <c r="G5085" i="5"/>
  <c r="U5077" i="5"/>
  <c r="F5085" i="5" s="1"/>
  <c r="P5078" i="5"/>
  <c r="G4991" i="5"/>
  <c r="H4991" i="5" s="1"/>
  <c r="Q4961" i="5"/>
  <c r="G4995" i="5" s="1"/>
  <c r="H4995" i="5" s="1"/>
  <c r="P4630" i="5"/>
  <c r="G4629" i="5"/>
  <c r="H4629" i="5" s="1"/>
  <c r="Q4629" i="5"/>
  <c r="F4629" i="5" s="1"/>
  <c r="Q5078" i="5"/>
  <c r="V5077" i="5"/>
  <c r="F5086" i="5" s="1"/>
  <c r="G5086" i="5"/>
  <c r="H5083" i="5"/>
  <c r="I5083" i="5"/>
  <c r="P4961" i="5"/>
  <c r="G4994" i="5" s="1"/>
  <c r="H4994" i="5" s="1"/>
  <c r="G4990" i="5"/>
  <c r="H4990" i="5" s="1"/>
  <c r="N3421" i="5"/>
  <c r="N3343" i="5"/>
  <c r="M3342" i="5"/>
  <c r="F3342" i="5" s="1"/>
  <c r="L3342" i="5" s="1"/>
  <c r="M3420" i="5"/>
  <c r="F3420" i="5" s="1"/>
  <c r="L3420" i="5" s="1"/>
  <c r="N3499" i="5"/>
  <c r="M3499" i="5" s="1"/>
  <c r="F3499" i="5" s="1"/>
  <c r="L3499" i="5" s="1"/>
  <c r="F4990" i="5"/>
  <c r="U4961" i="5"/>
  <c r="F4994" i="5" s="1"/>
  <c r="P4597" i="5" l="1"/>
  <c r="G4597" i="5" s="1"/>
  <c r="H4597" i="5" s="1"/>
  <c r="G4596" i="5"/>
  <c r="H4596" i="5" s="1"/>
  <c r="G5088" i="5"/>
  <c r="U5078" i="5"/>
  <c r="F5088" i="5" s="1"/>
  <c r="P5079" i="5"/>
  <c r="I5085" i="5"/>
  <c r="H5085" i="5"/>
  <c r="P4631" i="5"/>
  <c r="G4630" i="5"/>
  <c r="H4630" i="5" s="1"/>
  <c r="Q4630" i="5"/>
  <c r="F4630" i="5" s="1"/>
  <c r="I5086" i="5"/>
  <c r="H5086" i="5"/>
  <c r="V5078" i="5"/>
  <c r="F5089" i="5" s="1"/>
  <c r="G5089" i="5"/>
  <c r="Q5079" i="5"/>
  <c r="M3343" i="5"/>
  <c r="F3343" i="5" s="1"/>
  <c r="L3343" i="5" s="1"/>
  <c r="N3422" i="5"/>
  <c r="N3344" i="5"/>
  <c r="N3500" i="5"/>
  <c r="M3500" i="5" s="1"/>
  <c r="F3500" i="5" s="1"/>
  <c r="L3500" i="5" s="1"/>
  <c r="M3421" i="5"/>
  <c r="F3421" i="5" s="1"/>
  <c r="L3421" i="5" s="1"/>
  <c r="G5091" i="5" l="1"/>
  <c r="P5080" i="5"/>
  <c r="U5079" i="5"/>
  <c r="F5091" i="5" s="1"/>
  <c r="I5088" i="5"/>
  <c r="H5088" i="5"/>
  <c r="G4631" i="5"/>
  <c r="H4631" i="5" s="1"/>
  <c r="P4632" i="5"/>
  <c r="Q4631" i="5"/>
  <c r="F4631" i="5" s="1"/>
  <c r="I5089" i="5"/>
  <c r="H5089" i="5"/>
  <c r="G5092" i="5"/>
  <c r="V5079" i="5"/>
  <c r="F5092" i="5" s="1"/>
  <c r="Q5080" i="5"/>
  <c r="N3345" i="5"/>
  <c r="N3423" i="5"/>
  <c r="M3344" i="5"/>
  <c r="F3344" i="5" s="1"/>
  <c r="L3344" i="5" s="1"/>
  <c r="N3501" i="5"/>
  <c r="M3501" i="5" s="1"/>
  <c r="F3501" i="5" s="1"/>
  <c r="L3501" i="5" s="1"/>
  <c r="M3422" i="5"/>
  <c r="F3422" i="5" s="1"/>
  <c r="L3422" i="5" s="1"/>
  <c r="G5094" i="5" l="1"/>
  <c r="U5080" i="5"/>
  <c r="F5094" i="5" s="1"/>
  <c r="P5081" i="5"/>
  <c r="H5091" i="5"/>
  <c r="I5091" i="5"/>
  <c r="G4632" i="5"/>
  <c r="H4632" i="5" s="1"/>
  <c r="Q4632" i="5"/>
  <c r="F4632" i="5" s="1"/>
  <c r="P4633" i="5"/>
  <c r="V5080" i="5"/>
  <c r="F5095" i="5" s="1"/>
  <c r="Q5081" i="5"/>
  <c r="G5095" i="5"/>
  <c r="H5092" i="5"/>
  <c r="I5092" i="5"/>
  <c r="M3423" i="5"/>
  <c r="F3423" i="5" s="1"/>
  <c r="L3423" i="5" s="1"/>
  <c r="N3502" i="5"/>
  <c r="M3502" i="5" s="1"/>
  <c r="F3502" i="5" s="1"/>
  <c r="L3502" i="5" s="1"/>
  <c r="N3346" i="5"/>
  <c r="M3345" i="5"/>
  <c r="F3345" i="5" s="1"/>
  <c r="L3345" i="5" s="1"/>
  <c r="N3424" i="5"/>
  <c r="U5081" i="5" l="1"/>
  <c r="F5097" i="5" s="1"/>
  <c r="P5082" i="5"/>
  <c r="G5097" i="5"/>
  <c r="H5094" i="5"/>
  <c r="I5094" i="5"/>
  <c r="Q4633" i="5"/>
  <c r="F4633" i="5" s="1"/>
  <c r="G4633" i="5"/>
  <c r="H4633" i="5" s="1"/>
  <c r="P4634" i="5"/>
  <c r="I5095" i="5"/>
  <c r="H5095" i="5"/>
  <c r="G5098" i="5"/>
  <c r="Q5082" i="5"/>
  <c r="V5081" i="5"/>
  <c r="F5098" i="5" s="1"/>
  <c r="M3424" i="5"/>
  <c r="F3424" i="5" s="1"/>
  <c r="L3424" i="5" s="1"/>
  <c r="N3503" i="5"/>
  <c r="M3503" i="5" s="1"/>
  <c r="F3503" i="5" s="1"/>
  <c r="L3503" i="5" s="1"/>
  <c r="N3347" i="5"/>
  <c r="N3425" i="5"/>
  <c r="M3346" i="5"/>
  <c r="F3346" i="5" s="1"/>
  <c r="L3346" i="5" s="1"/>
  <c r="I5097" i="5" l="1"/>
  <c r="H5097" i="5"/>
  <c r="U5082" i="5"/>
  <c r="F5100" i="5" s="1"/>
  <c r="G5100" i="5"/>
  <c r="P5083" i="5"/>
  <c r="G4634" i="5"/>
  <c r="H4634" i="5" s="1"/>
  <c r="Q4634" i="5"/>
  <c r="F4634" i="5" s="1"/>
  <c r="P4635" i="5"/>
  <c r="Q5083" i="5"/>
  <c r="V5082" i="5"/>
  <c r="F5101" i="5" s="1"/>
  <c r="G5101" i="5"/>
  <c r="I5098" i="5"/>
  <c r="H5098" i="5"/>
  <c r="M3425" i="5"/>
  <c r="F3425" i="5" s="1"/>
  <c r="L3425" i="5" s="1"/>
  <c r="N3504" i="5"/>
  <c r="M3504" i="5" s="1"/>
  <c r="F3504" i="5" s="1"/>
  <c r="L3504" i="5" s="1"/>
  <c r="M3347" i="5"/>
  <c r="F3347" i="5" s="1"/>
  <c r="L3347" i="5" s="1"/>
  <c r="N3426" i="5"/>
  <c r="N3348" i="5"/>
  <c r="U5083" i="5" l="1"/>
  <c r="F5103" i="5" s="1"/>
  <c r="G5103" i="5"/>
  <c r="P5084" i="5"/>
  <c r="I5100" i="5"/>
  <c r="H5100" i="5"/>
  <c r="P4636" i="5"/>
  <c r="Q4635" i="5"/>
  <c r="F4635" i="5" s="1"/>
  <c r="G4635" i="5"/>
  <c r="H4635" i="5" s="1"/>
  <c r="G5104" i="5"/>
  <c r="Q5084" i="5"/>
  <c r="V5083" i="5"/>
  <c r="F5104" i="5" s="1"/>
  <c r="H5101" i="5"/>
  <c r="I5101" i="5"/>
  <c r="N3349" i="5"/>
  <c r="M3348" i="5"/>
  <c r="F3348" i="5" s="1"/>
  <c r="L3348" i="5" s="1"/>
  <c r="N3427" i="5"/>
  <c r="M3426" i="5"/>
  <c r="F3426" i="5" s="1"/>
  <c r="L3426" i="5" s="1"/>
  <c r="N3505" i="5"/>
  <c r="M3505" i="5" s="1"/>
  <c r="F3505" i="5" s="1"/>
  <c r="L3505" i="5" s="1"/>
  <c r="U5084" i="5" l="1"/>
  <c r="F5106" i="5" s="1"/>
  <c r="G5106" i="5"/>
  <c r="P5110" i="5"/>
  <c r="H5103" i="5"/>
  <c r="I5103" i="5"/>
  <c r="G4636" i="5"/>
  <c r="H4636" i="5" s="1"/>
  <c r="P4638" i="5"/>
  <c r="Q4636" i="5"/>
  <c r="F4636" i="5" s="1"/>
  <c r="I5104" i="5"/>
  <c r="H5104" i="5"/>
  <c r="Q5110" i="5"/>
  <c r="V5084" i="5"/>
  <c r="F5107" i="5" s="1"/>
  <c r="G5107" i="5"/>
  <c r="M3427" i="5"/>
  <c r="F3427" i="5" s="1"/>
  <c r="L3427" i="5" s="1"/>
  <c r="N3506" i="5"/>
  <c r="M3506" i="5" s="1"/>
  <c r="F3506" i="5" s="1"/>
  <c r="L3506" i="5" s="1"/>
  <c r="M3349" i="5"/>
  <c r="F3349" i="5" s="1"/>
  <c r="L3349" i="5" s="1"/>
  <c r="N3428" i="5"/>
  <c r="N3350" i="5"/>
  <c r="U5110" i="5" l="1"/>
  <c r="F5110" i="5" s="1"/>
  <c r="P5111" i="5"/>
  <c r="G5110" i="5"/>
  <c r="I5106" i="5"/>
  <c r="H5106" i="5"/>
  <c r="Q4638" i="5"/>
  <c r="F4638" i="5" s="1"/>
  <c r="G4638" i="5"/>
  <c r="H4638" i="5" s="1"/>
  <c r="P4639" i="5"/>
  <c r="I5107" i="5"/>
  <c r="H5107" i="5"/>
  <c r="G5111" i="5"/>
  <c r="V5110" i="5"/>
  <c r="F5111" i="5" s="1"/>
  <c r="Q5111" i="5"/>
  <c r="N3351" i="5"/>
  <c r="N3429" i="5"/>
  <c r="M3350" i="5"/>
  <c r="F3350" i="5" s="1"/>
  <c r="L3350" i="5" s="1"/>
  <c r="M3428" i="5"/>
  <c r="F3428" i="5" s="1"/>
  <c r="L3428" i="5" s="1"/>
  <c r="N3507" i="5"/>
  <c r="M3507" i="5" s="1"/>
  <c r="F3507" i="5" s="1"/>
  <c r="L3507" i="5" s="1"/>
  <c r="H5110" i="5" l="1"/>
  <c r="I5110" i="5"/>
  <c r="P5112" i="5"/>
  <c r="U5111" i="5"/>
  <c r="F5113" i="5" s="1"/>
  <c r="G5113" i="5"/>
  <c r="Q4639" i="5"/>
  <c r="F4639" i="5" s="1"/>
  <c r="P4640" i="5"/>
  <c r="G4639" i="5"/>
  <c r="H4639" i="5" s="1"/>
  <c r="V5111" i="5"/>
  <c r="F5114" i="5" s="1"/>
  <c r="Q5112" i="5"/>
  <c r="G5114" i="5"/>
  <c r="H5111" i="5"/>
  <c r="I5111" i="5"/>
  <c r="N3508" i="5"/>
  <c r="M3508" i="5" s="1"/>
  <c r="F3508" i="5" s="1"/>
  <c r="L3508" i="5" s="1"/>
  <c r="M3429" i="5"/>
  <c r="F3429" i="5" s="1"/>
  <c r="L3429" i="5" s="1"/>
  <c r="N3430" i="5"/>
  <c r="M3351" i="5"/>
  <c r="F3351" i="5" s="1"/>
  <c r="L3351" i="5" s="1"/>
  <c r="N3352" i="5"/>
  <c r="H5113" i="5" l="1"/>
  <c r="I5113" i="5"/>
  <c r="U5112" i="5"/>
  <c r="F5116" i="5" s="1"/>
  <c r="P5113" i="5"/>
  <c r="G5116" i="5"/>
  <c r="P4641" i="5"/>
  <c r="G4640" i="5"/>
  <c r="H4640" i="5" s="1"/>
  <c r="Q4640" i="5"/>
  <c r="F4640" i="5" s="1"/>
  <c r="I5114" i="5"/>
  <c r="H5114" i="5"/>
  <c r="G5117" i="5"/>
  <c r="Q5113" i="5"/>
  <c r="V5112" i="5"/>
  <c r="F5117" i="5" s="1"/>
  <c r="M3352" i="5"/>
  <c r="F3352" i="5" s="1"/>
  <c r="L3352" i="5" s="1"/>
  <c r="N3353" i="5"/>
  <c r="N3431" i="5"/>
  <c r="M3430" i="5"/>
  <c r="F3430" i="5" s="1"/>
  <c r="L3430" i="5" s="1"/>
  <c r="N3509" i="5"/>
  <c r="M3509" i="5" s="1"/>
  <c r="F3509" i="5" s="1"/>
  <c r="L3509" i="5" s="1"/>
  <c r="H5116" i="5" l="1"/>
  <c r="I5116" i="5"/>
  <c r="U5113" i="5"/>
  <c r="F5119" i="5" s="1"/>
  <c r="P5114" i="5"/>
  <c r="G5119" i="5"/>
  <c r="P4642" i="5"/>
  <c r="Q4641" i="5"/>
  <c r="F4641" i="5" s="1"/>
  <c r="G4641" i="5"/>
  <c r="H4641" i="5" s="1"/>
  <c r="V5113" i="5"/>
  <c r="F5120" i="5" s="1"/>
  <c r="Q5114" i="5"/>
  <c r="G5120" i="5"/>
  <c r="I5117" i="5"/>
  <c r="H5117" i="5"/>
  <c r="M3431" i="5"/>
  <c r="F3431" i="5" s="1"/>
  <c r="L3431" i="5" s="1"/>
  <c r="N3510" i="5"/>
  <c r="M3510" i="5" s="1"/>
  <c r="F3510" i="5" s="1"/>
  <c r="L3510" i="5" s="1"/>
  <c r="M3353" i="5"/>
  <c r="F3353" i="5" s="1"/>
  <c r="L3353" i="5" s="1"/>
  <c r="N3432" i="5"/>
  <c r="I5119" i="5" l="1"/>
  <c r="H5119" i="5"/>
  <c r="P5115" i="5"/>
  <c r="G5122" i="5"/>
  <c r="U5114" i="5"/>
  <c r="F5122" i="5" s="1"/>
  <c r="G4642" i="5"/>
  <c r="H4642" i="5" s="1"/>
  <c r="P4643" i="5"/>
  <c r="Q4642" i="5"/>
  <c r="F4642" i="5" s="1"/>
  <c r="H5120" i="5"/>
  <c r="I5120" i="5"/>
  <c r="Q5115" i="5"/>
  <c r="G5123" i="5"/>
  <c r="V5114" i="5"/>
  <c r="F5123" i="5" s="1"/>
  <c r="M3432" i="5"/>
  <c r="F3432" i="5" s="1"/>
  <c r="L3432" i="5" s="1"/>
  <c r="N3511" i="5"/>
  <c r="M3511" i="5" s="1"/>
  <c r="F3511" i="5" s="1"/>
  <c r="L3511" i="5" s="1"/>
  <c r="I5122" i="5" l="1"/>
  <c r="H5122" i="5"/>
  <c r="U5115" i="5"/>
  <c r="F5125" i="5" s="1"/>
  <c r="P5116" i="5"/>
  <c r="G5125" i="5"/>
  <c r="P4644" i="5"/>
  <c r="Q4643" i="5"/>
  <c r="F4643" i="5" s="1"/>
  <c r="G4643" i="5"/>
  <c r="H4643" i="5" s="1"/>
  <c r="H5123" i="5"/>
  <c r="I5123" i="5"/>
  <c r="V5115" i="5"/>
  <c r="F5126" i="5" s="1"/>
  <c r="Q5116" i="5"/>
  <c r="G5126" i="5"/>
  <c r="I5125" i="5" l="1"/>
  <c r="H5125" i="5"/>
  <c r="G5128" i="5"/>
  <c r="U5116" i="5"/>
  <c r="F5128" i="5" s="1"/>
  <c r="P5117" i="5"/>
  <c r="P4645" i="5"/>
  <c r="Q4644" i="5"/>
  <c r="F4644" i="5" s="1"/>
  <c r="G4644" i="5"/>
  <c r="H4644" i="5" s="1"/>
  <c r="I5126" i="5"/>
  <c r="H5126" i="5"/>
  <c r="V5116" i="5"/>
  <c r="F5129" i="5" s="1"/>
  <c r="Q5117" i="5"/>
  <c r="G5129" i="5"/>
  <c r="U5117" i="5" l="1"/>
  <c r="F5131" i="5" s="1"/>
  <c r="P5118" i="5"/>
  <c r="G5131" i="5"/>
  <c r="I5128" i="5"/>
  <c r="H5128" i="5"/>
  <c r="Q4645" i="5"/>
  <c r="F4645" i="5" s="1"/>
  <c r="G4645" i="5"/>
  <c r="H4645" i="5" s="1"/>
  <c r="P4646" i="5"/>
  <c r="H5129" i="5"/>
  <c r="I5129" i="5"/>
  <c r="G5132" i="5"/>
  <c r="V5117" i="5"/>
  <c r="F5132" i="5" s="1"/>
  <c r="Q5118" i="5"/>
  <c r="I5131" i="5" l="1"/>
  <c r="H5131" i="5"/>
  <c r="U5118" i="5"/>
  <c r="F5134" i="5" s="1"/>
  <c r="P5119" i="5"/>
  <c r="G5134" i="5"/>
  <c r="G4646" i="5"/>
  <c r="H4646" i="5" s="1"/>
  <c r="Q4646" i="5"/>
  <c r="F4646" i="5" s="1"/>
  <c r="P4647" i="5"/>
  <c r="V5118" i="5"/>
  <c r="F5135" i="5" s="1"/>
  <c r="Q5119" i="5"/>
  <c r="G5135" i="5"/>
  <c r="I5132" i="5"/>
  <c r="H5132" i="5"/>
  <c r="H5134" i="5" l="1"/>
  <c r="I5134" i="5"/>
  <c r="U5119" i="5"/>
  <c r="F5137" i="5" s="1"/>
  <c r="P5120" i="5"/>
  <c r="G5137" i="5"/>
  <c r="P4648" i="5"/>
  <c r="G4647" i="5"/>
  <c r="H4647" i="5" s="1"/>
  <c r="Q4647" i="5"/>
  <c r="F4647" i="5" s="1"/>
  <c r="H5135" i="5"/>
  <c r="I5135" i="5"/>
  <c r="Q5120" i="5"/>
  <c r="V5119" i="5"/>
  <c r="F5138" i="5" s="1"/>
  <c r="G5138" i="5"/>
  <c r="I5137" i="5" l="1"/>
  <c r="H5137" i="5"/>
  <c r="G5140" i="5"/>
  <c r="P5121" i="5"/>
  <c r="U5120" i="5"/>
  <c r="F5140" i="5" s="1"/>
  <c r="G4648" i="5"/>
  <c r="H4648" i="5" s="1"/>
  <c r="Q4648" i="5"/>
  <c r="F4648" i="5" s="1"/>
  <c r="P4649" i="5"/>
  <c r="I5138" i="5"/>
  <c r="H5138" i="5"/>
  <c r="V5120" i="5"/>
  <c r="F5141" i="5" s="1"/>
  <c r="Q5121" i="5"/>
  <c r="G5141" i="5"/>
  <c r="U5121" i="5" l="1"/>
  <c r="F5143" i="5" s="1"/>
  <c r="G5143" i="5"/>
  <c r="I5140" i="5"/>
  <c r="H5140" i="5"/>
  <c r="Q4649" i="5"/>
  <c r="F4649" i="5" s="1"/>
  <c r="G4649" i="5"/>
  <c r="H4649" i="5" s="1"/>
  <c r="H5141" i="5"/>
  <c r="I5141" i="5"/>
  <c r="V5121" i="5"/>
  <c r="F5144" i="5" s="1"/>
  <c r="G5144" i="5"/>
  <c r="H5143" i="5" l="1"/>
  <c r="I5143" i="5"/>
  <c r="I5144" i="5"/>
  <c r="H5144" i="5"/>
</calcChain>
</file>

<file path=xl/comments1.xml><?xml version="1.0" encoding="utf-8"?>
<comments xmlns="http://schemas.openxmlformats.org/spreadsheetml/2006/main">
  <authors>
    <author>Dr. Hagner, Gert</author>
    <author>Benjamin Düvel</author>
  </authors>
  <commentList>
    <comment ref="I43" authorId="0" shapeId="0">
      <text>
        <r>
          <rPr>
            <b/>
            <sz val="9"/>
            <color indexed="81"/>
            <rFont val="Tahoma"/>
            <family val="2"/>
          </rPr>
          <t>Inbetriebnahme 2012:</t>
        </r>
        <r>
          <rPr>
            <sz val="9"/>
            <color indexed="81"/>
            <rFont val="Tahoma"/>
            <family val="2"/>
          </rPr>
          <t xml:space="preserve">
Die Anwendbarkeit des EEG 2009 auf Anlagen mit Inbetriebnahme im Jahr 2012 ist durch die Übergangsregelungen des § 66 Abs. 5 und 6 EEG 2012 bestimmt und auf Wasserkraftanlagen und Biomasseanlagen mit fester Biomasse beschränkt.</t>
        </r>
      </text>
    </comment>
    <comment ref="B100" authorId="1" shapeId="0">
      <text>
        <r>
          <rPr>
            <b/>
            <sz val="8"/>
            <color indexed="81"/>
            <rFont val="Tahoma"/>
            <family val="2"/>
          </rPr>
          <t>Benjamin Düvel:</t>
        </r>
        <r>
          <rPr>
            <sz val="8"/>
            <color indexed="81"/>
            <rFont val="Tahoma"/>
            <family val="2"/>
          </rPr>
          <t xml:space="preserve">
Die Vergütungszone 0 bis 150 KW wurde für Biomasseanlagen der Inbetriebnahmejahre bis 2003 mit der EEG-Novelle 2009 neu eingeführt, vorher reichte der untere Vergütungsbereich von 0 bis 500 kW.</t>
        </r>
      </text>
    </comment>
    <comment ref="B137" authorId="1" shapeId="0">
      <text>
        <r>
          <rPr>
            <b/>
            <sz val="8"/>
            <color indexed="81"/>
            <rFont val="Tahoma"/>
            <family val="2"/>
          </rPr>
          <t>Benjamin Düvel:</t>
        </r>
        <r>
          <rPr>
            <sz val="8"/>
            <color indexed="81"/>
            <rFont val="Tahoma"/>
            <family val="2"/>
          </rPr>
          <t xml:space="preserve">
Da vor August 2004 keine Geothermieanlagen nach dem EEG in Betrieb genommen wurden, wurde von der nachträglichen Ergänzung der Vergütungskategorien mit Boni für die Inbetriebnahmejahre bis Juli 2004 abgesehen.</t>
        </r>
      </text>
    </comment>
    <comment ref="B144" authorId="1" shapeId="0">
      <text>
        <r>
          <rPr>
            <b/>
            <sz val="8"/>
            <color indexed="81"/>
            <rFont val="Tahoma"/>
            <family val="2"/>
          </rPr>
          <t>Benjamin Düvel:</t>
        </r>
        <r>
          <rPr>
            <sz val="8"/>
            <color indexed="81"/>
            <rFont val="Tahoma"/>
            <family val="2"/>
          </rPr>
          <t xml:space="preserve">
Dieser Bonus kann erst nach Inkrafttreten der Verordnung nach § 66 Abs. 1 Nr. 1 EEG beansprucht werden. Bei Windenergieanlagen, die die Bonusvoraussetzungen erfüllen, ist die Vergütungskategorie entsprechend zu ändern.</t>
        </r>
      </text>
    </comment>
    <comment ref="B150" authorId="1" shapeId="0">
      <text>
        <r>
          <rPr>
            <b/>
            <sz val="8"/>
            <color indexed="81"/>
            <rFont val="Tahoma"/>
            <family val="2"/>
          </rPr>
          <t>Benjamin Düvel:</t>
        </r>
        <r>
          <rPr>
            <sz val="8"/>
            <color indexed="81"/>
            <rFont val="Tahoma"/>
            <family val="2"/>
          </rPr>
          <t xml:space="preserve">
Die Kürzel für die Energiearten wurden bei Gasen, Windenergie und Solarenergie an oder auf Ge-bäuden aufgrund der Neuordnung des Gesetzes gegenüber den Bezeichnungen bei Anlagen der Inbetriebnahmejahre bis 2008 geändert.</t>
        </r>
      </text>
    </comment>
    <comment ref="A192" authorId="1" shapeId="0">
      <text>
        <r>
          <rPr>
            <b/>
            <sz val="8"/>
            <color indexed="81"/>
            <rFont val="Tahoma"/>
            <family val="2"/>
          </rPr>
          <t>Benjamin Düvel:</t>
        </r>
        <r>
          <rPr>
            <sz val="8"/>
            <color indexed="81"/>
            <rFont val="Tahoma"/>
            <family val="2"/>
          </rPr>
          <t xml:space="preserve">
auch bei den Repowering-Kategorien</t>
        </r>
      </text>
    </comment>
    <comment ref="B193" authorId="1" shapeId="0">
      <text>
        <r>
          <rPr>
            <b/>
            <sz val="8"/>
            <color indexed="81"/>
            <rFont val="Tahoma"/>
            <family val="2"/>
          </rPr>
          <t>Benjamin Düvel:</t>
        </r>
        <r>
          <rPr>
            <sz val="8"/>
            <color indexed="81"/>
            <rFont val="Tahoma"/>
            <family val="2"/>
          </rPr>
          <t xml:space="preserve">
Dieser Bonus kann erst nach Inkrafttreten der Verordnung nach § 66 Abs. 1 Nr. 1 EEG beansprucht werden. Bei Windenergieanlagen, die die Bonusvoraussetzungen erfüllen, ist die Vergütungskategorie entsprechend zu ändern.</t>
        </r>
      </text>
    </comment>
    <comment ref="B207" authorId="1" shapeId="0">
      <text>
        <r>
          <rPr>
            <b/>
            <sz val="8"/>
            <color indexed="81"/>
            <rFont val="Tahoma"/>
            <family val="2"/>
          </rPr>
          <t>Benjamin Düvel:</t>
        </r>
        <r>
          <rPr>
            <sz val="8"/>
            <color indexed="81"/>
            <rFont val="Tahoma"/>
            <family val="2"/>
          </rPr>
          <t xml:space="preserve">
Die Kürzel für die Energiearten wurden bei Gasen, Windenergie und Solarenergie an oder auf Ge-bäuden aufgrund der Neuordnung des Gesetzes gegenüber den Bezeichnungen bei Anlagen der Inbetriebnahmejahre bis 2008 geändert.</t>
        </r>
      </text>
    </comment>
    <comment ref="A262" authorId="1" shapeId="0">
      <text>
        <r>
          <rPr>
            <b/>
            <sz val="8"/>
            <color indexed="81"/>
            <rFont val="Tahoma"/>
            <family val="2"/>
          </rPr>
          <t>Benjamin Düvel:</t>
        </r>
        <r>
          <rPr>
            <sz val="8"/>
            <color indexed="81"/>
            <rFont val="Tahoma"/>
            <family val="2"/>
          </rPr>
          <t xml:space="preserve">
auch bei den Repowering-Kategorien</t>
        </r>
      </text>
    </comment>
    <comment ref="B263" authorId="1" shapeId="0">
      <text>
        <r>
          <rPr>
            <b/>
            <sz val="8"/>
            <color indexed="81"/>
            <rFont val="Tahoma"/>
            <family val="2"/>
          </rPr>
          <t>Benjamin Düvel:</t>
        </r>
        <r>
          <rPr>
            <sz val="8"/>
            <color indexed="81"/>
            <rFont val="Tahoma"/>
            <family val="2"/>
          </rPr>
          <t xml:space="preserve">
Dieser Bonus kann erst nach Inkrafttreten der Verordnung nach § 66 Abs. 1 Nr. 1 EEG beansprucht werden. Bei Windenergieanlagen, die die Bonusvoraussetzungen erfüllen, ist die Vergütungskategorie entsprechend zu ändern.</t>
        </r>
      </text>
    </comment>
  </commentList>
</comments>
</file>

<file path=xl/comments2.xml><?xml version="1.0" encoding="utf-8"?>
<comments xmlns="http://schemas.openxmlformats.org/spreadsheetml/2006/main">
  <authors>
    <author>admkar10</author>
    <author>Dr. Hagner, Gert</author>
    <author>Benjamin Düvel</author>
    <author>Kirchenbaur Stephan</author>
    <author>Koch, Andreas</author>
    <author>Ihr Benutzername</author>
    <author>Lipinski Sven (50HzT MC-C)</author>
    <author>Hagner, Gert, Dr.</author>
    <author>Andreas Koch</author>
    <author>Lipinski Sven (50HzT ME-A)</author>
    <author>Knuth Christian (50HzT ME-A)</author>
    <author>Kirchenbaur, Stephan</author>
  </authors>
  <commentList>
    <comment ref="F137"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8"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9"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40"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41"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42"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43"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2"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3"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4"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5"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6"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7"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8"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7"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8"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9"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70"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71"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72"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73" authorId="0"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P282" authorId="1" shapeId="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283" authorId="2" shapeId="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283" authorId="2" shapeId="0">
      <text>
        <r>
          <rPr>
            <b/>
            <sz val="8"/>
            <color indexed="81"/>
            <rFont val="Tahoma"/>
            <family val="2"/>
          </rPr>
          <t>KWK-Bonus nach Anlage 3 EEG 2009 erstmals 2009 erfüllt</t>
        </r>
        <r>
          <rPr>
            <sz val="8"/>
            <color indexed="81"/>
            <rFont val="Tahoma"/>
            <family val="2"/>
          </rPr>
          <t xml:space="preserve">
(§ 66 Abs. 1 Nr.3 Satz 1 EEG 2009)</t>
        </r>
      </text>
    </comment>
    <comment ref="R283" authorId="2" shapeId="0">
      <text>
        <r>
          <rPr>
            <b/>
            <sz val="8"/>
            <color indexed="81"/>
            <rFont val="Tahoma"/>
            <family val="2"/>
          </rPr>
          <t>KWK-Bonus nach Anlage 3 EEG 2009 erstmals 2010 erfüllt</t>
        </r>
        <r>
          <rPr>
            <sz val="8"/>
            <color indexed="81"/>
            <rFont val="Tahoma"/>
            <family val="2"/>
          </rPr>
          <t xml:space="preserve">
(§ 66 Abs. 1 Nr.3 Satz 1 EEG 2009)</t>
        </r>
      </text>
    </comment>
    <comment ref="S283" authorId="2" shapeId="0">
      <text>
        <r>
          <rPr>
            <b/>
            <sz val="8"/>
            <color indexed="81"/>
            <rFont val="Tahoma"/>
            <family val="2"/>
          </rPr>
          <t>KWK-Bonus nach Anlage 3 EEG 2009 erstmals 2011 erfüllt</t>
        </r>
        <r>
          <rPr>
            <sz val="8"/>
            <color indexed="81"/>
            <rFont val="Tahoma"/>
            <family val="2"/>
          </rPr>
          <t xml:space="preserve">
(§ 66 Abs. 1 Nr.3 Satz 1 EEG 2009)</t>
        </r>
      </text>
    </comment>
    <comment ref="T283" authorId="2" shapeId="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283" authorId="2" shapeId="0">
      <text>
        <r>
          <rPr>
            <b/>
            <sz val="8"/>
            <color indexed="81"/>
            <rFont val="Tahoma"/>
            <family val="2"/>
          </rPr>
          <t>BDEW:</t>
        </r>
        <r>
          <rPr>
            <sz val="8"/>
            <color indexed="81"/>
            <rFont val="Tahoma"/>
            <family val="2"/>
          </rPr>
          <t xml:space="preserve">
§ 66 (1) Nr. 4a EEG 2009</t>
        </r>
      </text>
    </comment>
    <comment ref="V283" authorId="2" shapeId="0">
      <text>
        <r>
          <rPr>
            <b/>
            <sz val="8"/>
            <color indexed="81"/>
            <rFont val="Tahoma"/>
            <family val="2"/>
          </rPr>
          <t>BDEW:</t>
        </r>
        <r>
          <rPr>
            <sz val="8"/>
            <color indexed="81"/>
            <rFont val="Tahoma"/>
            <family val="2"/>
          </rPr>
          <t xml:space="preserve">
§ 27 Abs. 4 S.1 Nr.2 EEG 2009 i.V.m. Anl. 2 Pkt. VI Nr. 1a (1)
entspricht § 8 Abs. 2 Satz 1 EEG 2004</t>
        </r>
      </text>
    </comment>
    <comment ref="W283" authorId="2" shapeId="0">
      <text>
        <r>
          <rPr>
            <b/>
            <sz val="8"/>
            <color indexed="81"/>
            <rFont val="Tahoma"/>
            <family val="2"/>
          </rPr>
          <t>BDEW:</t>
        </r>
        <r>
          <rPr>
            <sz val="8"/>
            <color indexed="81"/>
            <rFont val="Tahoma"/>
            <family val="2"/>
          </rPr>
          <t xml:space="preserve">
§ 27 Abs. 4 S.1 Nr.2 EEG 2009 i.V.m. Anl. 2 Pkt. VI Nr. 1a (2)
entspricht § 8 Abs. 2 Satz 1 EEG 2004</t>
        </r>
      </text>
    </comment>
    <comment ref="X283" authorId="2" shapeId="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283" authorId="2" shapeId="0">
      <text>
        <r>
          <rPr>
            <b/>
            <sz val="8"/>
            <color indexed="81"/>
            <rFont val="Tahoma"/>
            <family val="2"/>
          </rPr>
          <t>BDEW:</t>
        </r>
        <r>
          <rPr>
            <sz val="8"/>
            <color indexed="81"/>
            <rFont val="Tahoma"/>
            <family val="2"/>
          </rPr>
          <t xml:space="preserve">
§ 27 Abs. 4 S.1 Nr.2 EEG 2009 i.V.m. Anl. 2 Pkt. VI Nr. 2a</t>
        </r>
      </text>
    </comment>
    <comment ref="Z283" authorId="2" shapeId="0">
      <text>
        <r>
          <rPr>
            <b/>
            <sz val="8"/>
            <color indexed="81"/>
            <rFont val="Tahoma"/>
            <family val="2"/>
          </rPr>
          <t>BDEW:</t>
        </r>
        <r>
          <rPr>
            <sz val="8"/>
            <color indexed="81"/>
            <rFont val="Tahoma"/>
            <family val="2"/>
          </rPr>
          <t xml:space="preserve">
§ 27 Abs. 4 S.1 Nr.2 EEG 2009 i.V.m. Anl. 2 Pkt. VI Nr. 2b (1)</t>
        </r>
      </text>
    </comment>
    <comment ref="AA283" authorId="2" shapeId="0">
      <text>
        <r>
          <rPr>
            <b/>
            <sz val="8"/>
            <color indexed="81"/>
            <rFont val="Tahoma"/>
            <family val="2"/>
          </rPr>
          <t>BDEW:</t>
        </r>
        <r>
          <rPr>
            <sz val="8"/>
            <color indexed="81"/>
            <rFont val="Tahoma"/>
            <family val="2"/>
          </rPr>
          <t xml:space="preserve">
§ 27 Abs. 4 S.1 Nr.2 EEG 2009 i.V.m. Anl. 2 Pkt. VI Nr. 2b (2)</t>
        </r>
      </text>
    </comment>
    <comment ref="AB283" authorId="2" shapeId="0">
      <text>
        <r>
          <rPr>
            <b/>
            <sz val="8"/>
            <color indexed="81"/>
            <rFont val="Tahoma"/>
            <family val="2"/>
          </rPr>
          <t>BDEW:</t>
        </r>
        <r>
          <rPr>
            <sz val="8"/>
            <color indexed="81"/>
            <rFont val="Tahoma"/>
            <family val="2"/>
          </rPr>
          <t xml:space="preserve">
§ 27 Abs. 4 S.1 Nr.2 EEG 2009 i.V.m. Anl. 2 Pkt. VI Nr. 2c</t>
        </r>
      </text>
    </comment>
    <comment ref="AC283" authorId="2" shapeId="0">
      <text>
        <r>
          <rPr>
            <b/>
            <sz val="8"/>
            <color indexed="81"/>
            <rFont val="Tahoma"/>
            <family val="2"/>
          </rPr>
          <t>BDEW:</t>
        </r>
        <r>
          <rPr>
            <sz val="8"/>
            <color indexed="81"/>
            <rFont val="Tahoma"/>
            <family val="2"/>
          </rPr>
          <t xml:space="preserve">
§ 27 Abs. 4 S.1 Nr.2 EEG 2009 i.V.m. Anl. 2 Pkt. VI Nr. 2b (1) und Nr. 2c</t>
        </r>
      </text>
    </comment>
    <comment ref="AD283" authorId="2" shapeId="0">
      <text>
        <r>
          <rPr>
            <b/>
            <sz val="8"/>
            <color indexed="81"/>
            <rFont val="Tahoma"/>
            <family val="2"/>
          </rPr>
          <t>BDEW:</t>
        </r>
        <r>
          <rPr>
            <sz val="8"/>
            <color indexed="81"/>
            <rFont val="Tahoma"/>
            <family val="2"/>
          </rPr>
          <t xml:space="preserve">
§ 27 Abs. 4 S.1 Nr.2 EEG 2009 i.V.m. Anl. 2 Pkt. VI Nr. 2b (2) und Nr. 2c</t>
        </r>
      </text>
    </comment>
    <comment ref="X284" authorId="2" shapeId="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D450" authorId="2" shapeId="0">
      <text>
        <r>
          <rPr>
            <sz val="8"/>
            <color indexed="81"/>
            <rFont val="Tahoma"/>
            <family val="2"/>
          </rPr>
          <t>Voraussetzungen siehe § 66 Abs. 1 Nr. 5 EEG 2009</t>
        </r>
      </text>
    </comment>
    <comment ref="D451" authorId="2" shapeId="0">
      <text>
        <r>
          <rPr>
            <sz val="8"/>
            <color indexed="81"/>
            <rFont val="Tahoma"/>
            <family val="2"/>
          </rPr>
          <t>Voraussetzungen siehe § 66 Abs. 1 Nr. 5 EEG 2009</t>
        </r>
      </text>
    </comment>
    <comment ref="D452" authorId="2" shapeId="0">
      <text>
        <r>
          <rPr>
            <sz val="8"/>
            <color indexed="81"/>
            <rFont val="Tahoma"/>
            <family val="2"/>
          </rPr>
          <t>Voraussetzungen siehe § 66 Abs. 1 Nr. 5 EEG 2009</t>
        </r>
      </text>
    </comment>
    <comment ref="D453" authorId="2" shapeId="0">
      <text>
        <r>
          <rPr>
            <sz val="8"/>
            <color indexed="81"/>
            <rFont val="Tahoma"/>
            <family val="2"/>
          </rPr>
          <t>Voraussetzungen siehe § 66 Abs. 1 Nr. 5 EEG 2009</t>
        </r>
      </text>
    </comment>
    <comment ref="D454" authorId="2" shapeId="0">
      <text>
        <r>
          <rPr>
            <sz val="8"/>
            <color indexed="81"/>
            <rFont val="Tahoma"/>
            <family val="2"/>
          </rPr>
          <t>Voraussetzungen siehe § 66 Abs. 1 Nr. 5 EEG 2009</t>
        </r>
      </text>
    </comment>
    <comment ref="P475" authorId="1" shapeId="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476" authorId="2" shapeId="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476" authorId="2" shapeId="0">
      <text>
        <r>
          <rPr>
            <b/>
            <sz val="8"/>
            <color indexed="81"/>
            <rFont val="Tahoma"/>
            <family val="2"/>
          </rPr>
          <t>KWK-Bonus nach Anlage 3 EEG 2009 erstmals 2009 erfüllt</t>
        </r>
        <r>
          <rPr>
            <sz val="8"/>
            <color indexed="81"/>
            <rFont val="Tahoma"/>
            <family val="2"/>
          </rPr>
          <t xml:space="preserve">
(§ 66 Abs. 1 Nr.3 Satz 1 EEG 2009)</t>
        </r>
      </text>
    </comment>
    <comment ref="R476" authorId="2" shapeId="0">
      <text>
        <r>
          <rPr>
            <b/>
            <sz val="8"/>
            <color indexed="81"/>
            <rFont val="Tahoma"/>
            <family val="2"/>
          </rPr>
          <t>KWK-Bonus nach Anlage 3 EEG 2009 erstmals 2010 erfüllt</t>
        </r>
        <r>
          <rPr>
            <sz val="8"/>
            <color indexed="81"/>
            <rFont val="Tahoma"/>
            <family val="2"/>
          </rPr>
          <t xml:space="preserve">
(§ 66 Abs. 1 Nr.3 Satz 1 EEG 2009)</t>
        </r>
      </text>
    </comment>
    <comment ref="S476" authorId="2" shapeId="0">
      <text>
        <r>
          <rPr>
            <b/>
            <sz val="8"/>
            <color indexed="81"/>
            <rFont val="Tahoma"/>
            <family val="2"/>
          </rPr>
          <t>KWK-Bonus nach Anlage 3 EEG 2009 erstmals 2011 erfüllt</t>
        </r>
        <r>
          <rPr>
            <sz val="8"/>
            <color indexed="81"/>
            <rFont val="Tahoma"/>
            <family val="2"/>
          </rPr>
          <t xml:space="preserve">
(§ 66 Abs. 1 Nr.3 Satz 1 EEG 2009)</t>
        </r>
      </text>
    </comment>
    <comment ref="T476" authorId="2" shapeId="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476" authorId="2" shapeId="0">
      <text>
        <r>
          <rPr>
            <b/>
            <sz val="8"/>
            <color indexed="81"/>
            <rFont val="Tahoma"/>
            <family val="2"/>
          </rPr>
          <t>BDEW:</t>
        </r>
        <r>
          <rPr>
            <sz val="8"/>
            <color indexed="81"/>
            <rFont val="Tahoma"/>
            <family val="2"/>
          </rPr>
          <t xml:space="preserve">
§ 66 (1) Nr. 4a EEG 2009</t>
        </r>
      </text>
    </comment>
    <comment ref="V476" authorId="2" shapeId="0">
      <text>
        <r>
          <rPr>
            <b/>
            <sz val="8"/>
            <color indexed="81"/>
            <rFont val="Tahoma"/>
            <family val="2"/>
          </rPr>
          <t>BDEW:</t>
        </r>
        <r>
          <rPr>
            <sz val="8"/>
            <color indexed="81"/>
            <rFont val="Tahoma"/>
            <family val="2"/>
          </rPr>
          <t xml:space="preserve">
§ 27 Abs. 4 S.1 Nr.2 EEG 2009 i.V.m. Anl. 2 Pkt. VI Nr. 1a (1)
entspricht § 8 Abs. 2 Satz 1 EEG 2004</t>
        </r>
      </text>
    </comment>
    <comment ref="W476" authorId="2" shapeId="0">
      <text>
        <r>
          <rPr>
            <b/>
            <sz val="8"/>
            <color indexed="81"/>
            <rFont val="Tahoma"/>
            <family val="2"/>
          </rPr>
          <t>BDEW:</t>
        </r>
        <r>
          <rPr>
            <sz val="8"/>
            <color indexed="81"/>
            <rFont val="Tahoma"/>
            <family val="2"/>
          </rPr>
          <t xml:space="preserve">
§ 27 Abs. 4 S.1 Nr.2 EEG 2009 i.V.m. Anl. 2 Pkt. VI Nr. 1a (2)
entspricht § 8 Abs. 2 Satz 1 EEG 2004</t>
        </r>
      </text>
    </comment>
    <comment ref="X476" authorId="2" shapeId="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476" authorId="2" shapeId="0">
      <text>
        <r>
          <rPr>
            <b/>
            <sz val="8"/>
            <color indexed="81"/>
            <rFont val="Tahoma"/>
            <family val="2"/>
          </rPr>
          <t>BDEW:</t>
        </r>
        <r>
          <rPr>
            <sz val="8"/>
            <color indexed="81"/>
            <rFont val="Tahoma"/>
            <family val="2"/>
          </rPr>
          <t xml:space="preserve">
§ 27 Abs. 4 S.1 Nr.2 EEG 2009 i.V.m. Anl. 2 Pkt. VI Nr. 2a</t>
        </r>
      </text>
    </comment>
    <comment ref="Z476" authorId="2" shapeId="0">
      <text>
        <r>
          <rPr>
            <b/>
            <sz val="8"/>
            <color indexed="81"/>
            <rFont val="Tahoma"/>
            <family val="2"/>
          </rPr>
          <t>BDEW:</t>
        </r>
        <r>
          <rPr>
            <sz val="8"/>
            <color indexed="81"/>
            <rFont val="Tahoma"/>
            <family val="2"/>
          </rPr>
          <t xml:space="preserve">
§ 27 Abs. 4 S.1 Nr.2 EEG 2009 i.V.m. Anl. 2 Pkt. VI Nr. 2b (1)</t>
        </r>
      </text>
    </comment>
    <comment ref="AA476" authorId="2" shapeId="0">
      <text>
        <r>
          <rPr>
            <b/>
            <sz val="8"/>
            <color indexed="81"/>
            <rFont val="Tahoma"/>
            <family val="2"/>
          </rPr>
          <t>BDEW:</t>
        </r>
        <r>
          <rPr>
            <sz val="8"/>
            <color indexed="81"/>
            <rFont val="Tahoma"/>
            <family val="2"/>
          </rPr>
          <t xml:space="preserve">
§ 27 Abs. 4 S.1 Nr.2 EEG 2009 i.V.m. Anl. 2 Pkt. VI Nr. 2b (2)</t>
        </r>
      </text>
    </comment>
    <comment ref="AB476" authorId="2" shapeId="0">
      <text>
        <r>
          <rPr>
            <b/>
            <sz val="8"/>
            <color indexed="81"/>
            <rFont val="Tahoma"/>
            <family val="2"/>
          </rPr>
          <t>BDEW:</t>
        </r>
        <r>
          <rPr>
            <sz val="8"/>
            <color indexed="81"/>
            <rFont val="Tahoma"/>
            <family val="2"/>
          </rPr>
          <t xml:space="preserve">
§ 27 Abs. 4 S.1 Nr.2 EEG 2009 i.V.m. Anl. 2 Pkt. VI Nr. 2c</t>
        </r>
      </text>
    </comment>
    <comment ref="AC476" authorId="2" shapeId="0">
      <text>
        <r>
          <rPr>
            <b/>
            <sz val="8"/>
            <color indexed="81"/>
            <rFont val="Tahoma"/>
            <family val="2"/>
          </rPr>
          <t>BDEW:</t>
        </r>
        <r>
          <rPr>
            <sz val="8"/>
            <color indexed="81"/>
            <rFont val="Tahoma"/>
            <family val="2"/>
          </rPr>
          <t xml:space="preserve">
§ 27 Abs. 4 S.1 Nr.2 EEG 2009 i.V.m. Anl. 2 Pkt. VI Nr. 2b (1) und Nr. 2c</t>
        </r>
      </text>
    </comment>
    <comment ref="AD476" authorId="2" shapeId="0">
      <text>
        <r>
          <rPr>
            <b/>
            <sz val="8"/>
            <color indexed="81"/>
            <rFont val="Tahoma"/>
            <family val="2"/>
          </rPr>
          <t>BDEW:</t>
        </r>
        <r>
          <rPr>
            <sz val="8"/>
            <color indexed="81"/>
            <rFont val="Tahoma"/>
            <family val="2"/>
          </rPr>
          <t xml:space="preserve">
§ 27 Abs. 4 S.1 Nr.2 EEG 2009 i.V.m. Anl. 2 Pkt. VI Nr. 2b (2) und Nr. 2c</t>
        </r>
      </text>
    </comment>
    <comment ref="X477" authorId="2" shapeId="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D857" authorId="2" shapeId="0">
      <text>
        <r>
          <rPr>
            <sz val="8"/>
            <color indexed="81"/>
            <rFont val="Tahoma"/>
            <family val="2"/>
          </rPr>
          <t>Voraussetzungen siehe § 66 Abs. 1 Nr. 5 EEG 2009</t>
        </r>
      </text>
    </comment>
    <comment ref="D858" authorId="2" shapeId="0">
      <text>
        <r>
          <rPr>
            <sz val="8"/>
            <color indexed="81"/>
            <rFont val="Tahoma"/>
            <family val="2"/>
          </rPr>
          <t>Voraussetzungen siehe § 66 Abs. 1 Nr. 5 EEG 2009</t>
        </r>
      </text>
    </comment>
    <comment ref="D859" authorId="2" shapeId="0">
      <text>
        <r>
          <rPr>
            <sz val="8"/>
            <color indexed="81"/>
            <rFont val="Tahoma"/>
            <family val="2"/>
          </rPr>
          <t>Voraussetzungen siehe § 66 Abs. 1 Nr. 5 EEG 2009</t>
        </r>
      </text>
    </comment>
    <comment ref="D860" authorId="2" shapeId="0">
      <text>
        <r>
          <rPr>
            <sz val="8"/>
            <color indexed="81"/>
            <rFont val="Tahoma"/>
            <family val="2"/>
          </rPr>
          <t>Voraussetzungen siehe § 66 Abs. 1 Nr. 5 EEG 2009</t>
        </r>
      </text>
    </comment>
    <comment ref="D861" authorId="2" shapeId="0">
      <text>
        <r>
          <rPr>
            <sz val="8"/>
            <color indexed="81"/>
            <rFont val="Tahoma"/>
            <family val="2"/>
          </rPr>
          <t>Voraussetzungen siehe § 66 Abs. 1 Nr. 5 EEG 2009</t>
        </r>
      </text>
    </comment>
    <comment ref="P883" authorId="1" shapeId="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884" authorId="2" shapeId="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884" authorId="2" shapeId="0">
      <text>
        <r>
          <rPr>
            <b/>
            <sz val="8"/>
            <color indexed="81"/>
            <rFont val="Tahoma"/>
            <family val="2"/>
          </rPr>
          <t>KWK-Bonus nach Anlage 3 EEG 2009 erstmals 2009 erfüllt</t>
        </r>
        <r>
          <rPr>
            <sz val="8"/>
            <color indexed="81"/>
            <rFont val="Tahoma"/>
            <family val="2"/>
          </rPr>
          <t xml:space="preserve">
(§ 66 Abs. 1 Nr.3 Satz 1 EEG 2009)</t>
        </r>
      </text>
    </comment>
    <comment ref="R884" authorId="2" shapeId="0">
      <text>
        <r>
          <rPr>
            <b/>
            <sz val="8"/>
            <color indexed="81"/>
            <rFont val="Tahoma"/>
            <family val="2"/>
          </rPr>
          <t>KWK-Bonus nach Anlage 3 EEG 2009 erstmals 2010 erfüllt</t>
        </r>
        <r>
          <rPr>
            <sz val="8"/>
            <color indexed="81"/>
            <rFont val="Tahoma"/>
            <family val="2"/>
          </rPr>
          <t xml:space="preserve">
(§ 66 Abs. 1 Nr.3 Satz 1 EEG 2009)</t>
        </r>
      </text>
    </comment>
    <comment ref="S884" authorId="2" shapeId="0">
      <text>
        <r>
          <rPr>
            <b/>
            <sz val="8"/>
            <color indexed="81"/>
            <rFont val="Tahoma"/>
            <family val="2"/>
          </rPr>
          <t>KWK-Bonus nach Anlage 3 EEG 2009 erstmals 2011 erfüllt</t>
        </r>
        <r>
          <rPr>
            <sz val="8"/>
            <color indexed="81"/>
            <rFont val="Tahoma"/>
            <family val="2"/>
          </rPr>
          <t xml:space="preserve">
(§ 66 Abs. 1 Nr.3 Satz 1 EEG 2009)</t>
        </r>
      </text>
    </comment>
    <comment ref="T884" authorId="2" shapeId="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884" authorId="2" shapeId="0">
      <text>
        <r>
          <rPr>
            <b/>
            <sz val="8"/>
            <color indexed="81"/>
            <rFont val="Tahoma"/>
            <family val="2"/>
          </rPr>
          <t>BDEW:</t>
        </r>
        <r>
          <rPr>
            <sz val="8"/>
            <color indexed="81"/>
            <rFont val="Tahoma"/>
            <family val="2"/>
          </rPr>
          <t xml:space="preserve">
§ 66 (1) Nr. 4a EEG 2009</t>
        </r>
      </text>
    </comment>
    <comment ref="V884" authorId="2" shapeId="0">
      <text>
        <r>
          <rPr>
            <b/>
            <sz val="8"/>
            <color indexed="81"/>
            <rFont val="Tahoma"/>
            <family val="2"/>
          </rPr>
          <t>BDEW:</t>
        </r>
        <r>
          <rPr>
            <sz val="8"/>
            <color indexed="81"/>
            <rFont val="Tahoma"/>
            <family val="2"/>
          </rPr>
          <t xml:space="preserve">
§ 27 Abs. 4 S.1 Nr.2 EEG 2009 i.V.m. Anl. 2 Pkt. VI Nr. 1a (1)
entspricht § 8 Abs. 2 Satz 1 EEG 2004</t>
        </r>
      </text>
    </comment>
    <comment ref="W884" authorId="2" shapeId="0">
      <text>
        <r>
          <rPr>
            <b/>
            <sz val="8"/>
            <color indexed="81"/>
            <rFont val="Tahoma"/>
            <family val="2"/>
          </rPr>
          <t>BDEW:</t>
        </r>
        <r>
          <rPr>
            <sz val="8"/>
            <color indexed="81"/>
            <rFont val="Tahoma"/>
            <family val="2"/>
          </rPr>
          <t xml:space="preserve">
§ 27 Abs. 4 S.1 Nr.2 EEG 2009 i.V.m. Anl. 2 Pkt. VI Nr. 1a (2)
entspricht § 8 Abs. 2 Satz 1 EEG 2004</t>
        </r>
      </text>
    </comment>
    <comment ref="X884" authorId="2" shapeId="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884" authorId="2" shapeId="0">
      <text>
        <r>
          <rPr>
            <b/>
            <sz val="8"/>
            <color indexed="81"/>
            <rFont val="Tahoma"/>
            <family val="2"/>
          </rPr>
          <t>BDEW:</t>
        </r>
        <r>
          <rPr>
            <sz val="8"/>
            <color indexed="81"/>
            <rFont val="Tahoma"/>
            <family val="2"/>
          </rPr>
          <t xml:space="preserve">
§ 27 Abs. 4 S.1 Nr.2 EEG 2009 i.V.m. Anl. 2 Pkt. VI Nr. 2a</t>
        </r>
      </text>
    </comment>
    <comment ref="Z884" authorId="2" shapeId="0">
      <text>
        <r>
          <rPr>
            <b/>
            <sz val="8"/>
            <color indexed="81"/>
            <rFont val="Tahoma"/>
            <family val="2"/>
          </rPr>
          <t>BDEW:</t>
        </r>
        <r>
          <rPr>
            <sz val="8"/>
            <color indexed="81"/>
            <rFont val="Tahoma"/>
            <family val="2"/>
          </rPr>
          <t xml:space="preserve">
§ 27 Abs. 4 S.1 Nr.2 EEG 2009 i.V.m. Anl. 2 Pkt. VI Nr. 2b (1)</t>
        </r>
      </text>
    </comment>
    <comment ref="AA884" authorId="2" shapeId="0">
      <text>
        <r>
          <rPr>
            <b/>
            <sz val="8"/>
            <color indexed="81"/>
            <rFont val="Tahoma"/>
            <family val="2"/>
          </rPr>
          <t>BDEW:</t>
        </r>
        <r>
          <rPr>
            <sz val="8"/>
            <color indexed="81"/>
            <rFont val="Tahoma"/>
            <family val="2"/>
          </rPr>
          <t xml:space="preserve">
§ 27 Abs. 4 S.1 Nr.2 EEG 2009 i.V.m. Anl. 2 Pkt. VI Nr. 2b (2)</t>
        </r>
      </text>
    </comment>
    <comment ref="AB884" authorId="2" shapeId="0">
      <text>
        <r>
          <rPr>
            <b/>
            <sz val="8"/>
            <color indexed="81"/>
            <rFont val="Tahoma"/>
            <family val="2"/>
          </rPr>
          <t>BDEW:</t>
        </r>
        <r>
          <rPr>
            <sz val="8"/>
            <color indexed="81"/>
            <rFont val="Tahoma"/>
            <family val="2"/>
          </rPr>
          <t xml:space="preserve">
§ 27 Abs. 4 S.1 Nr.2 EEG 2009 i.V.m. Anl. 2 Pkt. VI Nr. 2c</t>
        </r>
      </text>
    </comment>
    <comment ref="AC884" authorId="2" shapeId="0">
      <text>
        <r>
          <rPr>
            <b/>
            <sz val="8"/>
            <color indexed="81"/>
            <rFont val="Tahoma"/>
            <family val="2"/>
          </rPr>
          <t>BDEW:</t>
        </r>
        <r>
          <rPr>
            <sz val="8"/>
            <color indexed="81"/>
            <rFont val="Tahoma"/>
            <family val="2"/>
          </rPr>
          <t xml:space="preserve">
§ 27 Abs. 4 S.1 Nr.2 EEG 2009 i.V.m. Anl. 2 Pkt. VI Nr. 2b (1) und Nr. 2c</t>
        </r>
      </text>
    </comment>
    <comment ref="AD884" authorId="2" shapeId="0">
      <text>
        <r>
          <rPr>
            <b/>
            <sz val="8"/>
            <color indexed="81"/>
            <rFont val="Tahoma"/>
            <family val="2"/>
          </rPr>
          <t>BDEW:</t>
        </r>
        <r>
          <rPr>
            <sz val="8"/>
            <color indexed="81"/>
            <rFont val="Tahoma"/>
            <family val="2"/>
          </rPr>
          <t xml:space="preserve">
§ 27 Abs. 4 S.1 Nr.2 EEG 2009 i.V.m. Anl. 2 Pkt. VI Nr. 2b (2) und Nr. 2c</t>
        </r>
      </text>
    </comment>
    <comment ref="X885" authorId="2" shapeId="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P1307" authorId="1" shapeId="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1308" authorId="2" shapeId="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1308" authorId="2" shapeId="0">
      <text>
        <r>
          <rPr>
            <b/>
            <sz val="8"/>
            <color indexed="81"/>
            <rFont val="Tahoma"/>
            <family val="2"/>
          </rPr>
          <t>KWK-Bonus nach Anlage 3 EEG 2009 erstmals 2009 erfüllt</t>
        </r>
        <r>
          <rPr>
            <sz val="8"/>
            <color indexed="81"/>
            <rFont val="Tahoma"/>
            <family val="2"/>
          </rPr>
          <t xml:space="preserve">
(§ 66 Abs. 1 Nr.3 Satz 1 EEG 2009)</t>
        </r>
      </text>
    </comment>
    <comment ref="R1308" authorId="2" shapeId="0">
      <text>
        <r>
          <rPr>
            <b/>
            <sz val="8"/>
            <color indexed="81"/>
            <rFont val="Tahoma"/>
            <family val="2"/>
          </rPr>
          <t>KWK-Bonus nach Anlage 3 EEG 2009 erstmals 2010 erfüllt</t>
        </r>
        <r>
          <rPr>
            <sz val="8"/>
            <color indexed="81"/>
            <rFont val="Tahoma"/>
            <family val="2"/>
          </rPr>
          <t xml:space="preserve">
(§ 66 Abs. 1 Nr.3 Satz 1 EEG 2009)</t>
        </r>
      </text>
    </comment>
    <comment ref="S1308" authorId="2" shapeId="0">
      <text>
        <r>
          <rPr>
            <b/>
            <sz val="8"/>
            <color indexed="81"/>
            <rFont val="Tahoma"/>
            <family val="2"/>
          </rPr>
          <t>KWK-Bonus nach Anlage 3 EEG 2009 erstmals 2011 erfüllt</t>
        </r>
        <r>
          <rPr>
            <sz val="8"/>
            <color indexed="81"/>
            <rFont val="Tahoma"/>
            <family val="2"/>
          </rPr>
          <t xml:space="preserve">
(§ 66 Abs. 1 Nr.3 Satz 1 EEG 2009)</t>
        </r>
      </text>
    </comment>
    <comment ref="T1308" authorId="2" shapeId="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1308" authorId="2" shapeId="0">
      <text>
        <r>
          <rPr>
            <b/>
            <sz val="8"/>
            <color indexed="81"/>
            <rFont val="Tahoma"/>
            <family val="2"/>
          </rPr>
          <t>BDEW:</t>
        </r>
        <r>
          <rPr>
            <sz val="8"/>
            <color indexed="81"/>
            <rFont val="Tahoma"/>
            <family val="2"/>
          </rPr>
          <t xml:space="preserve">
§ 66 (1) Nr. 4a EEG 2009</t>
        </r>
      </text>
    </comment>
    <comment ref="V1308" authorId="2" shapeId="0">
      <text>
        <r>
          <rPr>
            <b/>
            <sz val="8"/>
            <color indexed="81"/>
            <rFont val="Tahoma"/>
            <family val="2"/>
          </rPr>
          <t>BDEW:</t>
        </r>
        <r>
          <rPr>
            <sz val="8"/>
            <color indexed="81"/>
            <rFont val="Tahoma"/>
            <family val="2"/>
          </rPr>
          <t xml:space="preserve">
§ 27 Abs. 4 S.1 Nr.2 EEG 2009 i.V.m. Anl. 2 Pkt. VI Nr. 1a (1)
entspricht § 8 Abs. 2 Satz 1 EEG 2004</t>
        </r>
      </text>
    </comment>
    <comment ref="W1308" authorId="2" shapeId="0">
      <text>
        <r>
          <rPr>
            <b/>
            <sz val="8"/>
            <color indexed="81"/>
            <rFont val="Tahoma"/>
            <family val="2"/>
          </rPr>
          <t>BDEW:</t>
        </r>
        <r>
          <rPr>
            <sz val="8"/>
            <color indexed="81"/>
            <rFont val="Tahoma"/>
            <family val="2"/>
          </rPr>
          <t xml:space="preserve">
§ 27 Abs. 4 S.1 Nr.2 EEG 2009 i.V.m. Anl. 2 Pkt. VI Nr. 1a (2)
entspricht § 8 Abs. 2 Satz 1 EEG 2004</t>
        </r>
      </text>
    </comment>
    <comment ref="X1308" authorId="2" shapeId="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1308" authorId="2" shapeId="0">
      <text>
        <r>
          <rPr>
            <b/>
            <sz val="8"/>
            <color indexed="81"/>
            <rFont val="Tahoma"/>
            <family val="2"/>
          </rPr>
          <t>BDEW:</t>
        </r>
        <r>
          <rPr>
            <sz val="8"/>
            <color indexed="81"/>
            <rFont val="Tahoma"/>
            <family val="2"/>
          </rPr>
          <t xml:space="preserve">
§ 27 Abs. 4 S.1 Nr.2 EEG 2009 i.V.m. Anl. 2 Pkt. VI Nr. 2a</t>
        </r>
      </text>
    </comment>
    <comment ref="Z1308" authorId="2" shapeId="0">
      <text>
        <r>
          <rPr>
            <b/>
            <sz val="8"/>
            <color indexed="81"/>
            <rFont val="Tahoma"/>
            <family val="2"/>
          </rPr>
          <t>BDEW:</t>
        </r>
        <r>
          <rPr>
            <sz val="8"/>
            <color indexed="81"/>
            <rFont val="Tahoma"/>
            <family val="2"/>
          </rPr>
          <t xml:space="preserve">
§ 27 Abs. 4 S.1 Nr.2 EEG 2009 i.V.m. Anl. 2 Pkt. VI Nr. 2b (1)</t>
        </r>
      </text>
    </comment>
    <comment ref="AA1308" authorId="2" shapeId="0">
      <text>
        <r>
          <rPr>
            <b/>
            <sz val="8"/>
            <color indexed="81"/>
            <rFont val="Tahoma"/>
            <family val="2"/>
          </rPr>
          <t>BDEW:</t>
        </r>
        <r>
          <rPr>
            <sz val="8"/>
            <color indexed="81"/>
            <rFont val="Tahoma"/>
            <family val="2"/>
          </rPr>
          <t xml:space="preserve">
§ 27 Abs. 4 S.1 Nr.2 EEG 2009 i.V.m. Anl. 2 Pkt. VI Nr. 2b (2)</t>
        </r>
      </text>
    </comment>
    <comment ref="AB1308" authorId="2" shapeId="0">
      <text>
        <r>
          <rPr>
            <b/>
            <sz val="8"/>
            <color indexed="81"/>
            <rFont val="Tahoma"/>
            <family val="2"/>
          </rPr>
          <t>BDEW:</t>
        </r>
        <r>
          <rPr>
            <sz val="8"/>
            <color indexed="81"/>
            <rFont val="Tahoma"/>
            <family val="2"/>
          </rPr>
          <t xml:space="preserve">
§ 27 Abs. 4 S.1 Nr.2 EEG 2009 i.V.m. Anl. 2 Pkt. VI Nr. 2c</t>
        </r>
      </text>
    </comment>
    <comment ref="AC1308" authorId="2" shapeId="0">
      <text>
        <r>
          <rPr>
            <b/>
            <sz val="8"/>
            <color indexed="81"/>
            <rFont val="Tahoma"/>
            <family val="2"/>
          </rPr>
          <t>BDEW:</t>
        </r>
        <r>
          <rPr>
            <sz val="8"/>
            <color indexed="81"/>
            <rFont val="Tahoma"/>
            <family val="2"/>
          </rPr>
          <t xml:space="preserve">
§ 27 Abs. 4 S.1 Nr.2 EEG 2009 i.V.m. Anl. 2 Pkt. VI Nr. 2b (1) und Nr. 2c</t>
        </r>
      </text>
    </comment>
    <comment ref="AD1308" authorId="2" shapeId="0">
      <text>
        <r>
          <rPr>
            <b/>
            <sz val="8"/>
            <color indexed="81"/>
            <rFont val="Tahoma"/>
            <family val="2"/>
          </rPr>
          <t>BDEW:</t>
        </r>
        <r>
          <rPr>
            <sz val="8"/>
            <color indexed="81"/>
            <rFont val="Tahoma"/>
            <family val="2"/>
          </rPr>
          <t xml:space="preserve">
§ 27 Abs. 4 S.1 Nr.2 EEG 2009 i.V.m. Anl. 2 Pkt. VI Nr. 2b (2) und Nr. 2c</t>
        </r>
      </text>
    </comment>
    <comment ref="X1309" authorId="2" shapeId="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P1738" authorId="1" shapeId="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1739" authorId="2" shapeId="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1739" authorId="2" shapeId="0">
      <text>
        <r>
          <rPr>
            <b/>
            <sz val="8"/>
            <color indexed="81"/>
            <rFont val="Tahoma"/>
            <family val="2"/>
          </rPr>
          <t>KWK-Bonus nach Anlage 3 EEG 2009 erstmals 2009 erfüllt</t>
        </r>
        <r>
          <rPr>
            <sz val="8"/>
            <color indexed="81"/>
            <rFont val="Tahoma"/>
            <family val="2"/>
          </rPr>
          <t xml:space="preserve">
(§ 66 Abs. 1 Nr.3 Satz 1 EEG 2009)</t>
        </r>
      </text>
    </comment>
    <comment ref="R1739" authorId="2" shapeId="0">
      <text>
        <r>
          <rPr>
            <b/>
            <sz val="8"/>
            <color indexed="81"/>
            <rFont val="Tahoma"/>
            <family val="2"/>
          </rPr>
          <t>KWK-Bonus nach Anlage 3 EEG 2009 erstmals 2010 erfüllt</t>
        </r>
        <r>
          <rPr>
            <sz val="8"/>
            <color indexed="81"/>
            <rFont val="Tahoma"/>
            <family val="2"/>
          </rPr>
          <t xml:space="preserve">
(§ 66 Abs. 1 Nr.3 Satz 1 EEG 2009)</t>
        </r>
      </text>
    </comment>
    <comment ref="S1739" authorId="2" shapeId="0">
      <text>
        <r>
          <rPr>
            <b/>
            <sz val="8"/>
            <color indexed="81"/>
            <rFont val="Tahoma"/>
            <family val="2"/>
          </rPr>
          <t>KWK-Bonus nach Anlage 3 EEG 2009 erstmals 2011 erfüllt</t>
        </r>
        <r>
          <rPr>
            <sz val="8"/>
            <color indexed="81"/>
            <rFont val="Tahoma"/>
            <family val="2"/>
          </rPr>
          <t xml:space="preserve">
(§ 66 Abs. 1 Nr.3 Satz 1 EEG 2009)</t>
        </r>
      </text>
    </comment>
    <comment ref="T1739" authorId="2" shapeId="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1739" authorId="2" shapeId="0">
      <text>
        <r>
          <rPr>
            <b/>
            <sz val="8"/>
            <color indexed="81"/>
            <rFont val="Tahoma"/>
            <family val="2"/>
          </rPr>
          <t>BDEW:</t>
        </r>
        <r>
          <rPr>
            <sz val="8"/>
            <color indexed="81"/>
            <rFont val="Tahoma"/>
            <family val="2"/>
          </rPr>
          <t xml:space="preserve">
§ 66 (1) Nr. 4a EEG 2009</t>
        </r>
      </text>
    </comment>
    <comment ref="V1739" authorId="2" shapeId="0">
      <text>
        <r>
          <rPr>
            <b/>
            <sz val="8"/>
            <color indexed="81"/>
            <rFont val="Tahoma"/>
            <family val="2"/>
          </rPr>
          <t>BDEW:</t>
        </r>
        <r>
          <rPr>
            <sz val="8"/>
            <color indexed="81"/>
            <rFont val="Tahoma"/>
            <family val="2"/>
          </rPr>
          <t xml:space="preserve">
§ 27 Abs. 4 S.1 Nr.2 EEG 2009 i.V.m. Anl. 2 Pkt. VI Nr. 1a (1)
entspricht § 8 Abs. 2 Satz 1 EEG 2004</t>
        </r>
      </text>
    </comment>
    <comment ref="W1739" authorId="2" shapeId="0">
      <text>
        <r>
          <rPr>
            <b/>
            <sz val="8"/>
            <color indexed="81"/>
            <rFont val="Tahoma"/>
            <family val="2"/>
          </rPr>
          <t>BDEW:</t>
        </r>
        <r>
          <rPr>
            <sz val="8"/>
            <color indexed="81"/>
            <rFont val="Tahoma"/>
            <family val="2"/>
          </rPr>
          <t xml:space="preserve">
§ 27 Abs. 4 S.1 Nr.2 EEG 2009 i.V.m. Anl. 2 Pkt. VI Nr. 1a (2)
entspricht § 8 Abs. 2 Satz 1 EEG 2004</t>
        </r>
      </text>
    </comment>
    <comment ref="X1739" authorId="2" shapeId="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1739" authorId="2" shapeId="0">
      <text>
        <r>
          <rPr>
            <b/>
            <sz val="8"/>
            <color indexed="81"/>
            <rFont val="Tahoma"/>
            <family val="2"/>
          </rPr>
          <t>BDEW:</t>
        </r>
        <r>
          <rPr>
            <sz val="8"/>
            <color indexed="81"/>
            <rFont val="Tahoma"/>
            <family val="2"/>
          </rPr>
          <t xml:space="preserve">
§ 27 Abs. 4 S.1 Nr.2 EEG 2009 i.V.m. Anl. 2 Pkt. VI Nr. 2a</t>
        </r>
      </text>
    </comment>
    <comment ref="Z1739" authorId="2" shapeId="0">
      <text>
        <r>
          <rPr>
            <b/>
            <sz val="8"/>
            <color indexed="81"/>
            <rFont val="Tahoma"/>
            <family val="2"/>
          </rPr>
          <t>BDEW:</t>
        </r>
        <r>
          <rPr>
            <sz val="8"/>
            <color indexed="81"/>
            <rFont val="Tahoma"/>
            <family val="2"/>
          </rPr>
          <t xml:space="preserve">
§ 27 Abs. 4 S.1 Nr.2 EEG 2009 i.V.m. Anl. 2 Pkt. VI Nr. 2b (1)</t>
        </r>
      </text>
    </comment>
    <comment ref="AA1739" authorId="2" shapeId="0">
      <text>
        <r>
          <rPr>
            <b/>
            <sz val="8"/>
            <color indexed="81"/>
            <rFont val="Tahoma"/>
            <family val="2"/>
          </rPr>
          <t>BDEW:</t>
        </r>
        <r>
          <rPr>
            <sz val="8"/>
            <color indexed="81"/>
            <rFont val="Tahoma"/>
            <family val="2"/>
          </rPr>
          <t xml:space="preserve">
§ 27 Abs. 4 S.1 Nr.2 EEG 2009 i.V.m. Anl. 2 Pkt. VI Nr. 2b (2)</t>
        </r>
      </text>
    </comment>
    <comment ref="AB1739" authorId="2" shapeId="0">
      <text>
        <r>
          <rPr>
            <b/>
            <sz val="8"/>
            <color indexed="81"/>
            <rFont val="Tahoma"/>
            <family val="2"/>
          </rPr>
          <t>BDEW:</t>
        </r>
        <r>
          <rPr>
            <sz val="8"/>
            <color indexed="81"/>
            <rFont val="Tahoma"/>
            <family val="2"/>
          </rPr>
          <t xml:space="preserve">
§ 27 Abs. 4 S.1 Nr.2 EEG 2009 i.V.m. Anl. 2 Pkt. VI Nr. 2c</t>
        </r>
      </text>
    </comment>
    <comment ref="AC1739" authorId="2" shapeId="0">
      <text>
        <r>
          <rPr>
            <b/>
            <sz val="8"/>
            <color indexed="81"/>
            <rFont val="Tahoma"/>
            <family val="2"/>
          </rPr>
          <t>BDEW:</t>
        </r>
        <r>
          <rPr>
            <sz val="8"/>
            <color indexed="81"/>
            <rFont val="Tahoma"/>
            <family val="2"/>
          </rPr>
          <t xml:space="preserve">
§ 27 Abs. 4 S.1 Nr.2 EEG 2009 i.V.m. Anl. 2 Pkt. VI Nr. 2b (1) und Nr. 2c</t>
        </r>
      </text>
    </comment>
    <comment ref="AD1739" authorId="2" shapeId="0">
      <text>
        <r>
          <rPr>
            <b/>
            <sz val="8"/>
            <color indexed="81"/>
            <rFont val="Tahoma"/>
            <family val="2"/>
          </rPr>
          <t>BDEW:</t>
        </r>
        <r>
          <rPr>
            <sz val="8"/>
            <color indexed="81"/>
            <rFont val="Tahoma"/>
            <family val="2"/>
          </rPr>
          <t xml:space="preserve">
§ 27 Abs. 4 S.1 Nr.2 EEG 2009 i.V.m. Anl. 2 Pkt. VI Nr. 2b (2) und Nr. 2c</t>
        </r>
      </text>
    </comment>
    <comment ref="X1740" authorId="2" shapeId="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P2167" authorId="1" shapeId="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2168" authorId="2" shapeId="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2168" authorId="2" shapeId="0">
      <text>
        <r>
          <rPr>
            <b/>
            <sz val="8"/>
            <color indexed="81"/>
            <rFont val="Tahoma"/>
            <family val="2"/>
          </rPr>
          <t>KWK-Bonus nach Anlage 3 EEG 2009 erstmals 2009 erfüllt</t>
        </r>
        <r>
          <rPr>
            <sz val="8"/>
            <color indexed="81"/>
            <rFont val="Tahoma"/>
            <family val="2"/>
          </rPr>
          <t xml:space="preserve">
(§ 66 Abs. 1 Nr.3 Satz 1 EEG 2009)</t>
        </r>
      </text>
    </comment>
    <comment ref="R2168" authorId="2" shapeId="0">
      <text>
        <r>
          <rPr>
            <b/>
            <sz val="8"/>
            <color indexed="81"/>
            <rFont val="Tahoma"/>
            <family val="2"/>
          </rPr>
          <t>KWK-Bonus nach Anlage 3 EEG 2009 erstmals 2010 erfüllt</t>
        </r>
        <r>
          <rPr>
            <sz val="8"/>
            <color indexed="81"/>
            <rFont val="Tahoma"/>
            <family val="2"/>
          </rPr>
          <t xml:space="preserve">
(§ 66 Abs. 1 Nr.3 Satz 1 EEG 2009)</t>
        </r>
      </text>
    </comment>
    <comment ref="S2168" authorId="2" shapeId="0">
      <text>
        <r>
          <rPr>
            <b/>
            <sz val="8"/>
            <color indexed="81"/>
            <rFont val="Tahoma"/>
            <family val="2"/>
          </rPr>
          <t>KWK-Bonus nach Anlage 3 EEG 2009 erstmals 2011 erfüllt</t>
        </r>
        <r>
          <rPr>
            <sz val="8"/>
            <color indexed="81"/>
            <rFont val="Tahoma"/>
            <family val="2"/>
          </rPr>
          <t xml:space="preserve">
(§ 66 Abs. 1 Nr.3 Satz 1 EEG 2009)</t>
        </r>
      </text>
    </comment>
    <comment ref="T2168" authorId="2" shapeId="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2168" authorId="2" shapeId="0">
      <text>
        <r>
          <rPr>
            <b/>
            <sz val="8"/>
            <color indexed="81"/>
            <rFont val="Tahoma"/>
            <family val="2"/>
          </rPr>
          <t>BDEW:</t>
        </r>
        <r>
          <rPr>
            <sz val="8"/>
            <color indexed="81"/>
            <rFont val="Tahoma"/>
            <family val="2"/>
          </rPr>
          <t xml:space="preserve">
§ 66 (1) Nr. 4a EEG 2009</t>
        </r>
      </text>
    </comment>
    <comment ref="V2168" authorId="2" shapeId="0">
      <text>
        <r>
          <rPr>
            <b/>
            <sz val="8"/>
            <color indexed="81"/>
            <rFont val="Tahoma"/>
            <family val="2"/>
          </rPr>
          <t>BDEW:</t>
        </r>
        <r>
          <rPr>
            <sz val="8"/>
            <color indexed="81"/>
            <rFont val="Tahoma"/>
            <family val="2"/>
          </rPr>
          <t xml:space="preserve">
§ 27 Abs. 4 S.1 Nr.2 EEG 2009 i.V.m. Anl. 2 Pkt. VI Nr. 1a (1)
entspricht § 8 Abs. 2 Satz 1 EEG 2004</t>
        </r>
      </text>
    </comment>
    <comment ref="W2168" authorId="2" shapeId="0">
      <text>
        <r>
          <rPr>
            <b/>
            <sz val="8"/>
            <color indexed="81"/>
            <rFont val="Tahoma"/>
            <family val="2"/>
          </rPr>
          <t>BDEW:</t>
        </r>
        <r>
          <rPr>
            <sz val="8"/>
            <color indexed="81"/>
            <rFont val="Tahoma"/>
            <family val="2"/>
          </rPr>
          <t xml:space="preserve">
§ 27 Abs. 4 S.1 Nr.2 EEG 2009 i.V.m. Anl. 2 Pkt. VI Nr. 1a (2)
entspricht § 8 Abs. 2 Satz 1 EEG 2004</t>
        </r>
      </text>
    </comment>
    <comment ref="X2168" authorId="2" shapeId="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2168" authorId="2" shapeId="0">
      <text>
        <r>
          <rPr>
            <b/>
            <sz val="8"/>
            <color indexed="81"/>
            <rFont val="Tahoma"/>
            <family val="2"/>
          </rPr>
          <t>BDEW:</t>
        </r>
        <r>
          <rPr>
            <sz val="8"/>
            <color indexed="81"/>
            <rFont val="Tahoma"/>
            <family val="2"/>
          </rPr>
          <t xml:space="preserve">
§ 27 Abs. 4 S.1 Nr.2 EEG 2009 i.V.m. Anl. 2 Pkt. VI Nr. 2a</t>
        </r>
      </text>
    </comment>
    <comment ref="Z2168" authorId="2" shapeId="0">
      <text>
        <r>
          <rPr>
            <b/>
            <sz val="8"/>
            <color indexed="81"/>
            <rFont val="Tahoma"/>
            <family val="2"/>
          </rPr>
          <t>BDEW:</t>
        </r>
        <r>
          <rPr>
            <sz val="8"/>
            <color indexed="81"/>
            <rFont val="Tahoma"/>
            <family val="2"/>
          </rPr>
          <t xml:space="preserve">
§ 27 Abs. 4 S.1 Nr.2 EEG 2009 i.V.m. Anl. 2 Pkt. VI Nr. 2b (1)</t>
        </r>
      </text>
    </comment>
    <comment ref="AA2168" authorId="2" shapeId="0">
      <text>
        <r>
          <rPr>
            <b/>
            <sz val="8"/>
            <color indexed="81"/>
            <rFont val="Tahoma"/>
            <family val="2"/>
          </rPr>
          <t>BDEW:</t>
        </r>
        <r>
          <rPr>
            <sz val="8"/>
            <color indexed="81"/>
            <rFont val="Tahoma"/>
            <family val="2"/>
          </rPr>
          <t xml:space="preserve">
§ 27 Abs. 4 S.1 Nr.2 EEG 2009 i.V.m. Anl. 2 Pkt. VI Nr. 2b (2)</t>
        </r>
      </text>
    </comment>
    <comment ref="AB2168" authorId="2" shapeId="0">
      <text>
        <r>
          <rPr>
            <b/>
            <sz val="8"/>
            <color indexed="81"/>
            <rFont val="Tahoma"/>
            <family val="2"/>
          </rPr>
          <t>BDEW:</t>
        </r>
        <r>
          <rPr>
            <sz val="8"/>
            <color indexed="81"/>
            <rFont val="Tahoma"/>
            <family val="2"/>
          </rPr>
          <t xml:space="preserve">
§ 27 Abs. 4 S.1 Nr.2 EEG 2009 i.V.m. Anl. 2 Pkt. VI Nr. 2c</t>
        </r>
      </text>
    </comment>
    <comment ref="AC2168" authorId="2" shapeId="0">
      <text>
        <r>
          <rPr>
            <b/>
            <sz val="8"/>
            <color indexed="81"/>
            <rFont val="Tahoma"/>
            <family val="2"/>
          </rPr>
          <t>BDEW:</t>
        </r>
        <r>
          <rPr>
            <sz val="8"/>
            <color indexed="81"/>
            <rFont val="Tahoma"/>
            <family val="2"/>
          </rPr>
          <t xml:space="preserve">
§ 27 Abs. 4 S.1 Nr.2 EEG 2009 i.V.m. Anl. 2 Pkt. VI Nr. 2b (1) und Nr. 2c</t>
        </r>
      </text>
    </comment>
    <comment ref="AD2168" authorId="2" shapeId="0">
      <text>
        <r>
          <rPr>
            <b/>
            <sz val="8"/>
            <color indexed="81"/>
            <rFont val="Tahoma"/>
            <family val="2"/>
          </rPr>
          <t>BDEW:</t>
        </r>
        <r>
          <rPr>
            <sz val="8"/>
            <color indexed="81"/>
            <rFont val="Tahoma"/>
            <family val="2"/>
          </rPr>
          <t xml:space="preserve">
§ 27 Abs. 4 S.1 Nr.2 EEG 2009 i.V.m. Anl. 2 Pkt. VI Nr. 2b (2) und Nr. 2c</t>
        </r>
      </text>
    </comment>
    <comment ref="X2169" authorId="2" shapeId="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R2573" authorId="2" shapeId="0">
      <text>
        <r>
          <rPr>
            <b/>
            <sz val="8"/>
            <color indexed="81"/>
            <rFont val="Tahoma"/>
            <family val="2"/>
          </rPr>
          <t>BDEW:</t>
        </r>
        <r>
          <rPr>
            <sz val="8"/>
            <color indexed="81"/>
            <rFont val="Tahoma"/>
            <family val="2"/>
          </rPr>
          <t xml:space="preserve">
§ 27 (5) EEG 2009</t>
        </r>
      </text>
    </comment>
    <comment ref="S2573" authorId="2" shapeId="0">
      <text>
        <r>
          <rPr>
            <b/>
            <sz val="8"/>
            <color indexed="81"/>
            <rFont val="Tahoma"/>
            <family val="2"/>
          </rPr>
          <t>BDEW:</t>
        </r>
        <r>
          <rPr>
            <sz val="8"/>
            <color indexed="81"/>
            <rFont val="Tahoma"/>
            <family val="2"/>
          </rPr>
          <t xml:space="preserve">
§ 27 Abs. 4 S.1 Nr.2 EEG 2009 i.V.m. Anl. 2 Pkt. VI Nr. 1a (1)
entspricht § 8 Abs. 2 Satz 1 EEG 2004</t>
        </r>
      </text>
    </comment>
    <comment ref="T2573" authorId="2" shapeId="0">
      <text>
        <r>
          <rPr>
            <b/>
            <sz val="8"/>
            <color indexed="81"/>
            <rFont val="Tahoma"/>
            <family val="2"/>
          </rPr>
          <t>BDEW:</t>
        </r>
        <r>
          <rPr>
            <sz val="8"/>
            <color indexed="81"/>
            <rFont val="Tahoma"/>
            <family val="2"/>
          </rPr>
          <t xml:space="preserve">
§ 27 Abs. 4 S.1 Nr.2 EEG 2009 i.V.m. Anl. 2 Pkt. VI Nr. 1a (2)
entspricht § 8 Abs. 2 Satz 1 EEG 2004</t>
        </r>
      </text>
    </comment>
    <comment ref="U2573" authorId="2" shapeId="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2573" authorId="2" shapeId="0">
      <text>
        <r>
          <rPr>
            <b/>
            <sz val="8"/>
            <color indexed="81"/>
            <rFont val="Tahoma"/>
            <family val="2"/>
          </rPr>
          <t>BDEW:</t>
        </r>
        <r>
          <rPr>
            <sz val="8"/>
            <color indexed="81"/>
            <rFont val="Tahoma"/>
            <family val="2"/>
          </rPr>
          <t xml:space="preserve">
§ 27 Abs. 4 S.1 Nr.2 EEG 2009 i.V.m. Anl. 2 Pkt. VI Nr. 2a</t>
        </r>
      </text>
    </comment>
    <comment ref="W2573" authorId="2" shapeId="0">
      <text>
        <r>
          <rPr>
            <b/>
            <sz val="8"/>
            <color indexed="81"/>
            <rFont val="Tahoma"/>
            <family val="2"/>
          </rPr>
          <t>BDEW:</t>
        </r>
        <r>
          <rPr>
            <sz val="8"/>
            <color indexed="81"/>
            <rFont val="Tahoma"/>
            <family val="2"/>
          </rPr>
          <t xml:space="preserve">
§ 27 Abs. 4 S.1 Nr.2 EEG 2009 i.V.m. Anl. 2 Pkt. VI Nr. 2b (1)</t>
        </r>
      </text>
    </comment>
    <comment ref="X2573" authorId="2" shapeId="0">
      <text>
        <r>
          <rPr>
            <b/>
            <sz val="8"/>
            <color indexed="81"/>
            <rFont val="Tahoma"/>
            <family val="2"/>
          </rPr>
          <t>BDEW:</t>
        </r>
        <r>
          <rPr>
            <sz val="8"/>
            <color indexed="81"/>
            <rFont val="Tahoma"/>
            <family val="2"/>
          </rPr>
          <t xml:space="preserve">
§ 27 Abs. 4 S.1 Nr.2 EEG 2009 i.V.m. Anl. 2 Pkt. VI Nr. 2b (2)</t>
        </r>
      </text>
    </comment>
    <comment ref="Y2573" authorId="2" shapeId="0">
      <text>
        <r>
          <rPr>
            <b/>
            <sz val="8"/>
            <color indexed="81"/>
            <rFont val="Tahoma"/>
            <family val="2"/>
          </rPr>
          <t>BDEW:</t>
        </r>
        <r>
          <rPr>
            <sz val="8"/>
            <color indexed="81"/>
            <rFont val="Tahoma"/>
            <family val="2"/>
          </rPr>
          <t xml:space="preserve">
§ 27 Abs. 4 S.1 Nr.2 EEG 2009 i.V.m. Anl. 2 Pkt. VI Nr. 2c</t>
        </r>
      </text>
    </comment>
    <comment ref="Z2573" authorId="2" shapeId="0">
      <text>
        <r>
          <rPr>
            <b/>
            <sz val="8"/>
            <color indexed="81"/>
            <rFont val="Tahoma"/>
            <family val="2"/>
          </rPr>
          <t>BDEW:</t>
        </r>
        <r>
          <rPr>
            <sz val="8"/>
            <color indexed="81"/>
            <rFont val="Tahoma"/>
            <family val="2"/>
          </rPr>
          <t xml:space="preserve">
§ 27 Abs. 4 S.1 Nr.2 EEG 2009 i.V.m. Anl. 2 Pkt. VI Nr. 2b (1) und Nr. 2c</t>
        </r>
      </text>
    </comment>
    <comment ref="AA2573" authorId="2" shapeId="0">
      <text>
        <r>
          <rPr>
            <b/>
            <sz val="8"/>
            <color indexed="81"/>
            <rFont val="Tahoma"/>
            <family val="2"/>
          </rPr>
          <t>BDEW:</t>
        </r>
        <r>
          <rPr>
            <sz val="8"/>
            <color indexed="81"/>
            <rFont val="Tahoma"/>
            <family val="2"/>
          </rPr>
          <t xml:space="preserve">
§ 27 Abs. 4 S.1 Nr.2 EEG 2009 i.V.m. Anl. 2 Pkt. VI Nr. 2b (2) und Nr. 2c</t>
        </r>
      </text>
    </comment>
    <comment ref="AB2573" authorId="2" shapeId="0">
      <text>
        <r>
          <rPr>
            <b/>
            <sz val="8"/>
            <color indexed="81"/>
            <rFont val="Tahoma"/>
            <family val="2"/>
          </rPr>
          <t>BDEW:</t>
        </r>
        <r>
          <rPr>
            <sz val="8"/>
            <color indexed="81"/>
            <rFont val="Tahoma"/>
            <family val="2"/>
          </rPr>
          <t xml:space="preserve">
§ 27 Abs. 4 S.1 Nr.1 EEG 2009 i.V.m. Anl. 1 Pkt. I Nr. 2a</t>
        </r>
      </text>
    </comment>
    <comment ref="AC2573" authorId="2" shapeId="0">
      <text>
        <r>
          <rPr>
            <b/>
            <sz val="8"/>
            <color indexed="81"/>
            <rFont val="Tahoma"/>
            <family val="2"/>
          </rPr>
          <t>BDEW:</t>
        </r>
        <r>
          <rPr>
            <sz val="8"/>
            <color indexed="81"/>
            <rFont val="Tahoma"/>
            <family val="2"/>
          </rPr>
          <t xml:space="preserve">
§ 27 Abs. 4 S.1 Nr.1 EEG 2009 i.V.m. Anl. 1 Pkt. I Nr. 2b</t>
        </r>
      </text>
    </comment>
    <comment ref="AD2573" authorId="2" shapeId="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2796" authorId="2" shapeId="0">
      <text>
        <r>
          <rPr>
            <b/>
            <sz val="8"/>
            <color indexed="81"/>
            <rFont val="Tahoma"/>
            <family val="2"/>
          </rPr>
          <t>BDEW:</t>
        </r>
        <r>
          <rPr>
            <sz val="8"/>
            <color indexed="81"/>
            <rFont val="Tahoma"/>
            <family val="2"/>
          </rPr>
          <t xml:space="preserve">
§ 27 (5) EEG 2009</t>
        </r>
      </text>
    </comment>
    <comment ref="S2796" authorId="2" shapeId="0">
      <text>
        <r>
          <rPr>
            <b/>
            <sz val="8"/>
            <color indexed="81"/>
            <rFont val="Tahoma"/>
            <family val="2"/>
          </rPr>
          <t>BDEW:</t>
        </r>
        <r>
          <rPr>
            <sz val="8"/>
            <color indexed="81"/>
            <rFont val="Tahoma"/>
            <family val="2"/>
          </rPr>
          <t xml:space="preserve">
§ 27 Abs. 4 S.1 Nr.2 EEG 2009 i.V.m. Anl. 2 Pkt. VI Nr. 1a (1)
entspricht § 8 Abs. 2 Satz 1 EEG 2004</t>
        </r>
      </text>
    </comment>
    <comment ref="T2796" authorId="2" shapeId="0">
      <text>
        <r>
          <rPr>
            <b/>
            <sz val="8"/>
            <color indexed="81"/>
            <rFont val="Tahoma"/>
            <family val="2"/>
          </rPr>
          <t>BDEW:</t>
        </r>
        <r>
          <rPr>
            <sz val="8"/>
            <color indexed="81"/>
            <rFont val="Tahoma"/>
            <family val="2"/>
          </rPr>
          <t xml:space="preserve">
§ 27 Abs. 4 S.1 Nr.2 EEG 2009 i.V.m. Anl. 2 Pkt. VI Nr. 1a (2)
entspricht § 8 Abs. 2 Satz 1 EEG 2004</t>
        </r>
      </text>
    </comment>
    <comment ref="U2796" authorId="2" shapeId="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2796" authorId="2" shapeId="0">
      <text>
        <r>
          <rPr>
            <b/>
            <sz val="8"/>
            <color indexed="81"/>
            <rFont val="Tahoma"/>
            <family val="2"/>
          </rPr>
          <t>BDEW:</t>
        </r>
        <r>
          <rPr>
            <sz val="8"/>
            <color indexed="81"/>
            <rFont val="Tahoma"/>
            <family val="2"/>
          </rPr>
          <t xml:space="preserve">
§ 27 Abs. 4 S.1 Nr.2 EEG 2009 i.V.m. Anl. 2 Pkt. VI Nr. 2a</t>
        </r>
      </text>
    </comment>
    <comment ref="W2796" authorId="2" shapeId="0">
      <text>
        <r>
          <rPr>
            <b/>
            <sz val="8"/>
            <color indexed="81"/>
            <rFont val="Tahoma"/>
            <family val="2"/>
          </rPr>
          <t>BDEW:</t>
        </r>
        <r>
          <rPr>
            <sz val="8"/>
            <color indexed="81"/>
            <rFont val="Tahoma"/>
            <family val="2"/>
          </rPr>
          <t xml:space="preserve">
§ 27 Abs. 4 S.1 Nr.2 EEG 2009 i.V.m. Anl. 2 Pkt. VI Nr. 2b (1)</t>
        </r>
      </text>
    </comment>
    <comment ref="X2796" authorId="2" shapeId="0">
      <text>
        <r>
          <rPr>
            <b/>
            <sz val="8"/>
            <color indexed="81"/>
            <rFont val="Tahoma"/>
            <family val="2"/>
          </rPr>
          <t>BDEW:</t>
        </r>
        <r>
          <rPr>
            <sz val="8"/>
            <color indexed="81"/>
            <rFont val="Tahoma"/>
            <family val="2"/>
          </rPr>
          <t xml:space="preserve">
§ 27 Abs. 4 S.1 Nr.2 EEG 2009 i.V.m. Anl. 2 Pkt. VI Nr. 2b (2)</t>
        </r>
      </text>
    </comment>
    <comment ref="Y2796" authorId="2" shapeId="0">
      <text>
        <r>
          <rPr>
            <b/>
            <sz val="8"/>
            <color indexed="81"/>
            <rFont val="Tahoma"/>
            <family val="2"/>
          </rPr>
          <t>BDEW:</t>
        </r>
        <r>
          <rPr>
            <sz val="8"/>
            <color indexed="81"/>
            <rFont val="Tahoma"/>
            <family val="2"/>
          </rPr>
          <t xml:space="preserve">
§ 27 Abs. 4 S.1 Nr.2 EEG 2009 i.V.m. Anl. 2 Pkt. VI Nr. 2c</t>
        </r>
      </text>
    </comment>
    <comment ref="Z2796" authorId="2" shapeId="0">
      <text>
        <r>
          <rPr>
            <b/>
            <sz val="8"/>
            <color indexed="81"/>
            <rFont val="Tahoma"/>
            <family val="2"/>
          </rPr>
          <t>BDEW:</t>
        </r>
        <r>
          <rPr>
            <sz val="8"/>
            <color indexed="81"/>
            <rFont val="Tahoma"/>
            <family val="2"/>
          </rPr>
          <t xml:space="preserve">
§ 27 Abs. 4 S.1 Nr.2 EEG 2009 i.V.m. Anl. 2 Pkt. VI Nr. 2b (1) und Nr. 2c</t>
        </r>
      </text>
    </comment>
    <comment ref="AA2796" authorId="2" shapeId="0">
      <text>
        <r>
          <rPr>
            <b/>
            <sz val="8"/>
            <color indexed="81"/>
            <rFont val="Tahoma"/>
            <family val="2"/>
          </rPr>
          <t>BDEW:</t>
        </r>
        <r>
          <rPr>
            <sz val="8"/>
            <color indexed="81"/>
            <rFont val="Tahoma"/>
            <family val="2"/>
          </rPr>
          <t xml:space="preserve">
§ 27 Abs. 4 S.1 Nr.2 EEG 2009 i.V.m. Anl. 2 Pkt. VI Nr. 2b (2) und Nr. 2c</t>
        </r>
      </text>
    </comment>
    <comment ref="AB2796" authorId="2" shapeId="0">
      <text>
        <r>
          <rPr>
            <b/>
            <sz val="8"/>
            <color indexed="81"/>
            <rFont val="Tahoma"/>
            <family val="2"/>
          </rPr>
          <t>BDEW:</t>
        </r>
        <r>
          <rPr>
            <sz val="8"/>
            <color indexed="81"/>
            <rFont val="Tahoma"/>
            <family val="2"/>
          </rPr>
          <t xml:space="preserve">
§ 27 Abs. 4 S.1 Nr.1 EEG 2009 i.V.m. Anl. 1 Pkt. I Nr. 2a</t>
        </r>
      </text>
    </comment>
    <comment ref="AC2796" authorId="2" shapeId="0">
      <text>
        <r>
          <rPr>
            <b/>
            <sz val="8"/>
            <color indexed="81"/>
            <rFont val="Tahoma"/>
            <family val="2"/>
          </rPr>
          <t>BDEW:</t>
        </r>
        <r>
          <rPr>
            <sz val="8"/>
            <color indexed="81"/>
            <rFont val="Tahoma"/>
            <family val="2"/>
          </rPr>
          <t xml:space="preserve">
§ 27 Abs. 4 S.1 Nr.1 EEG 2009 i.V.m. Anl. 1 Pkt. I Nr. 2b</t>
        </r>
      </text>
    </comment>
    <comment ref="AD2796" authorId="2" shapeId="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3019" authorId="2" shapeId="0">
      <text>
        <r>
          <rPr>
            <b/>
            <sz val="8"/>
            <color indexed="81"/>
            <rFont val="Tahoma"/>
            <family val="2"/>
          </rPr>
          <t>BDEW:</t>
        </r>
        <r>
          <rPr>
            <sz val="8"/>
            <color indexed="81"/>
            <rFont val="Tahoma"/>
            <family val="2"/>
          </rPr>
          <t xml:space="preserve">
§ 27 (5) EEG 2009</t>
        </r>
      </text>
    </comment>
    <comment ref="S3019" authorId="2" shapeId="0">
      <text>
        <r>
          <rPr>
            <b/>
            <sz val="8"/>
            <color indexed="81"/>
            <rFont val="Tahoma"/>
            <family val="2"/>
          </rPr>
          <t>BDEW:</t>
        </r>
        <r>
          <rPr>
            <sz val="8"/>
            <color indexed="81"/>
            <rFont val="Tahoma"/>
            <family val="2"/>
          </rPr>
          <t xml:space="preserve">
§ 27 Abs. 4 S.1 Nr.2 EEG 2009 i.V.m. Anl. 2 Pkt. VI Nr. 1a (1)
entspricht § 8 Abs. 2 Satz 1 EEG 2004</t>
        </r>
      </text>
    </comment>
    <comment ref="T3019" authorId="2" shapeId="0">
      <text>
        <r>
          <rPr>
            <b/>
            <sz val="8"/>
            <color indexed="81"/>
            <rFont val="Tahoma"/>
            <family val="2"/>
          </rPr>
          <t>BDEW:</t>
        </r>
        <r>
          <rPr>
            <sz val="8"/>
            <color indexed="81"/>
            <rFont val="Tahoma"/>
            <family val="2"/>
          </rPr>
          <t xml:space="preserve">
§ 27 Abs. 4 S.1 Nr.2 EEG 2009 i.V.m. Anl. 2 Pkt. VI Nr. 1a (2)
entspricht § 8 Abs. 2 Satz 1 EEG 2004</t>
        </r>
      </text>
    </comment>
    <comment ref="U3019" authorId="2" shapeId="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3019" authorId="2" shapeId="0">
      <text>
        <r>
          <rPr>
            <b/>
            <sz val="8"/>
            <color indexed="81"/>
            <rFont val="Tahoma"/>
            <family val="2"/>
          </rPr>
          <t>BDEW:</t>
        </r>
        <r>
          <rPr>
            <sz val="8"/>
            <color indexed="81"/>
            <rFont val="Tahoma"/>
            <family val="2"/>
          </rPr>
          <t xml:space="preserve">
§ 27 Abs. 4 S.1 Nr.2 EEG 2009 i.V.m. Anl. 2 Pkt. VI Nr. 2a</t>
        </r>
      </text>
    </comment>
    <comment ref="W3019" authorId="2" shapeId="0">
      <text>
        <r>
          <rPr>
            <b/>
            <sz val="8"/>
            <color indexed="81"/>
            <rFont val="Tahoma"/>
            <family val="2"/>
          </rPr>
          <t>BDEW:</t>
        </r>
        <r>
          <rPr>
            <sz val="8"/>
            <color indexed="81"/>
            <rFont val="Tahoma"/>
            <family val="2"/>
          </rPr>
          <t xml:space="preserve">
§ 27 Abs. 4 S.1 Nr.2 EEG 2009 i.V.m. Anl. 2 Pkt. VI Nr. 2b (1)</t>
        </r>
      </text>
    </comment>
    <comment ref="X3019" authorId="2" shapeId="0">
      <text>
        <r>
          <rPr>
            <b/>
            <sz val="8"/>
            <color indexed="81"/>
            <rFont val="Tahoma"/>
            <family val="2"/>
          </rPr>
          <t>BDEW:</t>
        </r>
        <r>
          <rPr>
            <sz val="8"/>
            <color indexed="81"/>
            <rFont val="Tahoma"/>
            <family val="2"/>
          </rPr>
          <t xml:space="preserve">
§ 27 Abs. 4 S.1 Nr.2 EEG 2009 i.V.m. Anl. 2 Pkt. VI Nr. 2b (2)</t>
        </r>
      </text>
    </comment>
    <comment ref="Y3019" authorId="2" shapeId="0">
      <text>
        <r>
          <rPr>
            <b/>
            <sz val="8"/>
            <color indexed="81"/>
            <rFont val="Tahoma"/>
            <family val="2"/>
          </rPr>
          <t>BDEW:</t>
        </r>
        <r>
          <rPr>
            <sz val="8"/>
            <color indexed="81"/>
            <rFont val="Tahoma"/>
            <family val="2"/>
          </rPr>
          <t xml:space="preserve">
§ 27 Abs. 4 S.1 Nr.2 EEG 2009 i.V.m. Anl. 2 Pkt. VI Nr. 2c</t>
        </r>
      </text>
    </comment>
    <comment ref="Z3019" authorId="2" shapeId="0">
      <text>
        <r>
          <rPr>
            <b/>
            <sz val="8"/>
            <color indexed="81"/>
            <rFont val="Tahoma"/>
            <family val="2"/>
          </rPr>
          <t>BDEW:</t>
        </r>
        <r>
          <rPr>
            <sz val="8"/>
            <color indexed="81"/>
            <rFont val="Tahoma"/>
            <family val="2"/>
          </rPr>
          <t xml:space="preserve">
§ 27 Abs. 4 S.1 Nr.2 EEG 2009 i.V.m. Anl. 2 Pkt. VI Nr. 2b (1) und Nr. 2c</t>
        </r>
      </text>
    </comment>
    <comment ref="AA3019" authorId="2" shapeId="0">
      <text>
        <r>
          <rPr>
            <b/>
            <sz val="8"/>
            <color indexed="81"/>
            <rFont val="Tahoma"/>
            <family val="2"/>
          </rPr>
          <t>BDEW:</t>
        </r>
        <r>
          <rPr>
            <sz val="8"/>
            <color indexed="81"/>
            <rFont val="Tahoma"/>
            <family val="2"/>
          </rPr>
          <t xml:space="preserve">
§ 27 Abs. 4 S.1 Nr.2 EEG 2009 i.V.m. Anl. 2 Pkt. VI Nr. 2b (2) und Nr. 2c</t>
        </r>
      </text>
    </comment>
    <comment ref="AB3019" authorId="2" shapeId="0">
      <text>
        <r>
          <rPr>
            <b/>
            <sz val="8"/>
            <color indexed="81"/>
            <rFont val="Tahoma"/>
            <family val="2"/>
          </rPr>
          <t>BDEW:</t>
        </r>
        <r>
          <rPr>
            <sz val="8"/>
            <color indexed="81"/>
            <rFont val="Tahoma"/>
            <family val="2"/>
          </rPr>
          <t xml:space="preserve">
§ 27 Abs. 4 S.1 Nr.1 EEG 2009 i.V.m. Anl. 1 Pkt. I Nr. 2a</t>
        </r>
      </text>
    </comment>
    <comment ref="AC3019" authorId="2" shapeId="0">
      <text>
        <r>
          <rPr>
            <b/>
            <sz val="8"/>
            <color indexed="81"/>
            <rFont val="Tahoma"/>
            <family val="2"/>
          </rPr>
          <t>BDEW:</t>
        </r>
        <r>
          <rPr>
            <sz val="8"/>
            <color indexed="81"/>
            <rFont val="Tahoma"/>
            <family val="2"/>
          </rPr>
          <t xml:space="preserve">
§ 27 Abs. 4 S.1 Nr.1 EEG 2009 i.V.m. Anl. 1 Pkt. I Nr. 2b</t>
        </r>
      </text>
    </comment>
    <comment ref="AD3019" authorId="2" shapeId="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3244" authorId="2" shapeId="0">
      <text>
        <r>
          <rPr>
            <b/>
            <sz val="8"/>
            <color indexed="81"/>
            <rFont val="Tahoma"/>
            <family val="2"/>
          </rPr>
          <t>BDEW:</t>
        </r>
        <r>
          <rPr>
            <sz val="8"/>
            <color indexed="81"/>
            <rFont val="Tahoma"/>
            <family val="2"/>
          </rPr>
          <t xml:space="preserve">
§ 27 (5) EEG 2009</t>
        </r>
      </text>
    </comment>
    <comment ref="S3244" authorId="2" shapeId="0">
      <text>
        <r>
          <rPr>
            <b/>
            <sz val="8"/>
            <color indexed="81"/>
            <rFont val="Tahoma"/>
            <family val="2"/>
          </rPr>
          <t>BDEW:</t>
        </r>
        <r>
          <rPr>
            <sz val="8"/>
            <color indexed="81"/>
            <rFont val="Tahoma"/>
            <family val="2"/>
          </rPr>
          <t xml:space="preserve">
§ 27 Abs. 4 S.1 Nr.2 EEG 2009 i.V.m. Anl. 2 Pkt. VI Nr. 1a (1)
entspricht § 8 Abs. 2 Satz 1 EEG 2004</t>
        </r>
      </text>
    </comment>
    <comment ref="T3244" authorId="2" shapeId="0">
      <text>
        <r>
          <rPr>
            <b/>
            <sz val="8"/>
            <color indexed="81"/>
            <rFont val="Tahoma"/>
            <family val="2"/>
          </rPr>
          <t>BDEW:</t>
        </r>
        <r>
          <rPr>
            <sz val="8"/>
            <color indexed="81"/>
            <rFont val="Tahoma"/>
            <family val="2"/>
          </rPr>
          <t xml:space="preserve">
§ 27 Abs. 4 S.1 Nr.2 EEG 2009 i.V.m. Anl. 2 Pkt. VI Nr. 1a (2)
entspricht § 8 Abs. 2 Satz 1 EEG 2004</t>
        </r>
      </text>
    </comment>
    <comment ref="U3244" authorId="2" shapeId="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3244" authorId="2" shapeId="0">
      <text>
        <r>
          <rPr>
            <b/>
            <sz val="8"/>
            <color indexed="81"/>
            <rFont val="Tahoma"/>
            <family val="2"/>
          </rPr>
          <t>BDEW:</t>
        </r>
        <r>
          <rPr>
            <sz val="8"/>
            <color indexed="81"/>
            <rFont val="Tahoma"/>
            <family val="2"/>
          </rPr>
          <t xml:space="preserve">
§ 27 Abs. 4 S.1 Nr.2 EEG 2009 i.V.m. Anl. 2 Pkt. VI Nr. 2a</t>
        </r>
      </text>
    </comment>
    <comment ref="W3244" authorId="2" shapeId="0">
      <text>
        <r>
          <rPr>
            <b/>
            <sz val="8"/>
            <color indexed="81"/>
            <rFont val="Tahoma"/>
            <family val="2"/>
          </rPr>
          <t>BDEW:</t>
        </r>
        <r>
          <rPr>
            <sz val="8"/>
            <color indexed="81"/>
            <rFont val="Tahoma"/>
            <family val="2"/>
          </rPr>
          <t xml:space="preserve">
§ 27 Abs. 4 S.1 Nr.2 EEG 2009 i.V.m. Anl. 2 Pkt. VI Nr. 2b (1)</t>
        </r>
      </text>
    </comment>
    <comment ref="X3244" authorId="2" shapeId="0">
      <text>
        <r>
          <rPr>
            <b/>
            <sz val="8"/>
            <color indexed="81"/>
            <rFont val="Tahoma"/>
            <family val="2"/>
          </rPr>
          <t>BDEW:</t>
        </r>
        <r>
          <rPr>
            <sz val="8"/>
            <color indexed="81"/>
            <rFont val="Tahoma"/>
            <family val="2"/>
          </rPr>
          <t xml:space="preserve">
§ 27 Abs. 4 S.1 Nr.2 EEG 2009 i.V.m. Anl. 2 Pkt. VI Nr. 2b (2)</t>
        </r>
      </text>
    </comment>
    <comment ref="Y3244" authorId="2" shapeId="0">
      <text>
        <r>
          <rPr>
            <b/>
            <sz val="8"/>
            <color indexed="81"/>
            <rFont val="Tahoma"/>
            <family val="2"/>
          </rPr>
          <t>BDEW:</t>
        </r>
        <r>
          <rPr>
            <sz val="8"/>
            <color indexed="81"/>
            <rFont val="Tahoma"/>
            <family val="2"/>
          </rPr>
          <t xml:space="preserve">
§ 27 Abs. 4 S.1 Nr.2 EEG 2009 i.V.m. Anl. 2 Pkt. VI Nr. 2c</t>
        </r>
      </text>
    </comment>
    <comment ref="Z3244" authorId="2" shapeId="0">
      <text>
        <r>
          <rPr>
            <b/>
            <sz val="8"/>
            <color indexed="81"/>
            <rFont val="Tahoma"/>
            <family val="2"/>
          </rPr>
          <t>BDEW:</t>
        </r>
        <r>
          <rPr>
            <sz val="8"/>
            <color indexed="81"/>
            <rFont val="Tahoma"/>
            <family val="2"/>
          </rPr>
          <t xml:space="preserve">
§ 27 Abs. 4 S.1 Nr.2 EEG 2009 i.V.m. Anl. 2 Pkt. VI Nr. 2b (1) und Nr. 2c</t>
        </r>
      </text>
    </comment>
    <comment ref="AA3244" authorId="2" shapeId="0">
      <text>
        <r>
          <rPr>
            <b/>
            <sz val="8"/>
            <color indexed="81"/>
            <rFont val="Tahoma"/>
            <family val="2"/>
          </rPr>
          <t>BDEW:</t>
        </r>
        <r>
          <rPr>
            <sz val="8"/>
            <color indexed="81"/>
            <rFont val="Tahoma"/>
            <family val="2"/>
          </rPr>
          <t xml:space="preserve">
§ 27 Abs. 4 S.1 Nr.2 EEG 2009 i.V.m. Anl. 2 Pkt. VI Nr. 2b (2) und Nr. 2c</t>
        </r>
      </text>
    </comment>
    <comment ref="AB3244" authorId="2" shapeId="0">
      <text>
        <r>
          <rPr>
            <b/>
            <sz val="8"/>
            <color indexed="81"/>
            <rFont val="Tahoma"/>
            <family val="2"/>
          </rPr>
          <t>BDEW:</t>
        </r>
        <r>
          <rPr>
            <sz val="8"/>
            <color indexed="81"/>
            <rFont val="Tahoma"/>
            <family val="2"/>
          </rPr>
          <t xml:space="preserve">
§ 27 Abs. 4 S.1 Nr.1 EEG 2009 i.V.m. Anl. 1 Pkt. I Nr. 2a</t>
        </r>
      </text>
    </comment>
    <comment ref="AC3244" authorId="2" shapeId="0">
      <text>
        <r>
          <rPr>
            <b/>
            <sz val="8"/>
            <color indexed="81"/>
            <rFont val="Tahoma"/>
            <family val="2"/>
          </rPr>
          <t>BDEW:</t>
        </r>
        <r>
          <rPr>
            <sz val="8"/>
            <color indexed="81"/>
            <rFont val="Tahoma"/>
            <family val="2"/>
          </rPr>
          <t xml:space="preserve">
§ 27 Abs. 4 S.1 Nr.1 EEG 2009 i.V.m. Anl. 1 Pkt. I Nr. 2b</t>
        </r>
      </text>
    </comment>
    <comment ref="AD3244" authorId="2" shapeId="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3279" authorId="1" shapeId="0">
      <text>
        <r>
          <rPr>
            <b/>
            <sz val="9"/>
            <color indexed="81"/>
            <rFont val="Tahoma"/>
            <family val="2"/>
          </rPr>
          <t>Rinde und Waldrestholz:</t>
        </r>
        <r>
          <rPr>
            <sz val="9"/>
            <color indexed="81"/>
            <rFont val="Tahoma"/>
            <family val="2"/>
          </rPr>
          <t xml:space="preserve">
Für Rinde und Waldrestholz beträgt der Bonus abweichend zu § 27 Abs. 2 Nr. 1 Buchstaben b und c die Vergütung von 750 bis 5000 kW Bemessungsleistung nur 2,50 ct/kWh.</t>
        </r>
      </text>
    </comment>
    <comment ref="R3358" authorId="1" shapeId="0">
      <text>
        <r>
          <rPr>
            <b/>
            <sz val="9"/>
            <color indexed="81"/>
            <rFont val="Tahoma"/>
            <family val="2"/>
          </rPr>
          <t>Rinde und Waldrestholz:</t>
        </r>
        <r>
          <rPr>
            <sz val="9"/>
            <color indexed="81"/>
            <rFont val="Tahoma"/>
            <family val="2"/>
          </rPr>
          <t xml:space="preserve">
Für Rinde und Waldrestholz beträgt der Bonus abweichend zu § 27 Abs. 2 Nr. 1 Buchstaben b und c die Vergütung von 750 bis 5000 kW Bemessungsleistung nur 2,50 ct/kWh.</t>
        </r>
      </text>
    </comment>
    <comment ref="R3437" authorId="1" shapeId="0">
      <text>
        <r>
          <rPr>
            <b/>
            <sz val="9"/>
            <color indexed="81"/>
            <rFont val="Tahoma"/>
            <family val="2"/>
          </rPr>
          <t>Rinde und Waldrestholz:</t>
        </r>
        <r>
          <rPr>
            <sz val="9"/>
            <color indexed="81"/>
            <rFont val="Tahoma"/>
            <family val="2"/>
          </rPr>
          <t xml:space="preserve">
Für Rinde und Waldrestholz beträgt der Bonus abweichend zu § 27 Abs. 2 Nr. 1 Buchstaben b und c die Vergütung von 750 bis 5000 kW Bemessungsleistung nur 2,50 ct/kWh.</t>
        </r>
      </text>
    </comment>
    <comment ref="O3819" authorId="2" shapeId="0">
      <text>
        <r>
          <rPr>
            <b/>
            <sz val="8"/>
            <color indexed="81"/>
            <rFont val="Tahoma"/>
            <family val="2"/>
          </rPr>
          <t>BDEW:</t>
        </r>
        <r>
          <rPr>
            <sz val="8"/>
            <color indexed="81"/>
            <rFont val="Tahoma"/>
            <family val="2"/>
          </rPr>
          <t xml:space="preserve">
§ 24 Abs. 3 EEG 2009 i.V.m. Anl. 1 Pkt. I Nr. 2a</t>
        </r>
      </text>
    </comment>
    <comment ref="P3819" authorId="2" shapeId="0">
      <text>
        <r>
          <rPr>
            <b/>
            <sz val="8"/>
            <color indexed="81"/>
            <rFont val="Tahoma"/>
            <family val="2"/>
          </rPr>
          <t>BDEW:</t>
        </r>
        <r>
          <rPr>
            <sz val="8"/>
            <color indexed="81"/>
            <rFont val="Tahoma"/>
            <family val="2"/>
          </rPr>
          <t xml:space="preserve">
§ 24 Abs. 3 EEG 2009 i.V.m. Anl. 1 Pkt. I Nr. 2b</t>
        </r>
      </text>
    </comment>
    <comment ref="Q3819" authorId="2" shapeId="0">
      <text>
        <r>
          <rPr>
            <b/>
            <sz val="8"/>
            <color indexed="81"/>
            <rFont val="Tahoma"/>
            <family val="2"/>
          </rPr>
          <t>BDEW:</t>
        </r>
        <r>
          <rPr>
            <sz val="8"/>
            <color indexed="81"/>
            <rFont val="Tahoma"/>
            <family val="2"/>
          </rPr>
          <t xml:space="preserve">
§ 24 Abs. 3 EEG 2009 i.V.m. Anl. 1 Pkt. II Nr. 2</t>
        </r>
      </text>
    </comment>
    <comment ref="O3915" authorId="2" shapeId="0">
      <text>
        <r>
          <rPr>
            <b/>
            <sz val="8"/>
            <color indexed="81"/>
            <rFont val="Tahoma"/>
            <family val="2"/>
          </rPr>
          <t>BDEW:</t>
        </r>
        <r>
          <rPr>
            <sz val="8"/>
            <color indexed="81"/>
            <rFont val="Tahoma"/>
            <family val="2"/>
          </rPr>
          <t xml:space="preserve">
§ 25 Abs. 3 EEG 2009 i.V.m. Anl. 1 Pkt. I Nr. 2a</t>
        </r>
      </text>
    </comment>
    <comment ref="P3915" authorId="2" shapeId="0">
      <text>
        <r>
          <rPr>
            <b/>
            <sz val="8"/>
            <color indexed="81"/>
            <rFont val="Tahoma"/>
            <family val="2"/>
          </rPr>
          <t>BDEW:</t>
        </r>
        <r>
          <rPr>
            <sz val="8"/>
            <color indexed="81"/>
            <rFont val="Tahoma"/>
            <family val="2"/>
          </rPr>
          <t xml:space="preserve">
§ 25 Abs. 3 EEG 2009 i.V.m. Anl. 1 Pkt. I Nr. 2b</t>
        </r>
      </text>
    </comment>
    <comment ref="Q3915" authorId="2" shapeId="0">
      <text>
        <r>
          <rPr>
            <b/>
            <sz val="8"/>
            <color indexed="81"/>
            <rFont val="Tahoma"/>
            <family val="2"/>
          </rPr>
          <t>BDEW:</t>
        </r>
        <r>
          <rPr>
            <sz val="8"/>
            <color indexed="81"/>
            <rFont val="Tahoma"/>
            <family val="2"/>
          </rPr>
          <t xml:space="preserve">
§ 25 Abs. 3 EEG 2009 i.V.m. Anl. 1 Pkt. II Nr. 2</t>
        </r>
      </text>
    </comment>
    <comment ref="O4011" authorId="2" shapeId="0">
      <text>
        <r>
          <rPr>
            <b/>
            <sz val="8"/>
            <color indexed="81"/>
            <rFont val="Tahoma"/>
            <family val="2"/>
          </rPr>
          <t>BDEW:</t>
        </r>
        <r>
          <rPr>
            <sz val="8"/>
            <color indexed="81"/>
            <rFont val="Tahoma"/>
            <family val="2"/>
          </rPr>
          <t xml:space="preserve">
§ 26 Abs. 3 EEG 2009 i.V.m. Anl. 1 Pkt. I Nr. 2a</t>
        </r>
      </text>
    </comment>
    <comment ref="P4011" authorId="2" shapeId="0">
      <text>
        <r>
          <rPr>
            <b/>
            <sz val="8"/>
            <color indexed="81"/>
            <rFont val="Tahoma"/>
            <family val="2"/>
          </rPr>
          <t>BDEW:</t>
        </r>
        <r>
          <rPr>
            <sz val="8"/>
            <color indexed="81"/>
            <rFont val="Tahoma"/>
            <family val="2"/>
          </rPr>
          <t xml:space="preserve">
§ 26 Abs. 3 EEG 2009 i.V.m. Anl. 1 Pkt. I Nr. 2b</t>
        </r>
      </text>
    </comment>
    <comment ref="Q4011" authorId="2" shapeId="0">
      <text>
        <r>
          <rPr>
            <b/>
            <sz val="8"/>
            <color indexed="81"/>
            <rFont val="Tahoma"/>
            <family val="2"/>
          </rPr>
          <t>BDEW:</t>
        </r>
        <r>
          <rPr>
            <sz val="8"/>
            <color indexed="81"/>
            <rFont val="Tahoma"/>
            <family val="2"/>
          </rPr>
          <t xml:space="preserve">
§ 26 Abs. 3 EEG 2009 i.V.m. Anl. 1 Pkt. II Nr. 2</t>
        </r>
      </text>
    </comment>
    <comment ref="P4092" authorId="2" shapeId="0">
      <text>
        <r>
          <rPr>
            <b/>
            <sz val="8"/>
            <color indexed="81"/>
            <rFont val="Tahoma"/>
            <family val="2"/>
          </rPr>
          <t>BDEW:</t>
        </r>
        <r>
          <rPr>
            <sz val="8"/>
            <color indexed="81"/>
            <rFont val="Tahoma"/>
            <family val="2"/>
          </rPr>
          <t xml:space="preserve">
§ 28 Abs. 2 EEG 2009</t>
        </r>
      </text>
    </comment>
    <comment ref="Q4092" authorId="2" shapeId="0">
      <text>
        <r>
          <rPr>
            <b/>
            <sz val="8"/>
            <color indexed="81"/>
            <rFont val="Tahoma"/>
            <family val="2"/>
          </rPr>
          <t>BDEW:</t>
        </r>
        <r>
          <rPr>
            <sz val="8"/>
            <color indexed="81"/>
            <rFont val="Tahoma"/>
            <family val="2"/>
          </rPr>
          <t xml:space="preserve">
§ 28 Abs. 3 EEG 2009</t>
        </r>
      </text>
    </comment>
    <comment ref="P4158" authorId="2" shapeId="0">
      <text>
        <r>
          <rPr>
            <b/>
            <sz val="8"/>
            <color indexed="81"/>
            <rFont val="Tahoma"/>
            <family val="2"/>
          </rPr>
          <t>BDEW:</t>
        </r>
        <r>
          <rPr>
            <sz val="8"/>
            <color indexed="81"/>
            <rFont val="Tahoma"/>
            <family val="2"/>
          </rPr>
          <t xml:space="preserve">
§ 28 Abs. 2 EEG 2009</t>
        </r>
      </text>
    </comment>
    <comment ref="Q4158" authorId="2" shapeId="0">
      <text>
        <r>
          <rPr>
            <b/>
            <sz val="8"/>
            <color indexed="81"/>
            <rFont val="Tahoma"/>
            <family val="2"/>
          </rPr>
          <t>BDEW:</t>
        </r>
        <r>
          <rPr>
            <sz val="8"/>
            <color indexed="81"/>
            <rFont val="Tahoma"/>
            <family val="2"/>
          </rPr>
          <t xml:space="preserve">
§ 28 Abs. 3 EEG 2009</t>
        </r>
      </text>
    </comment>
    <comment ref="O4181" authorId="2" shapeId="0">
      <text>
        <r>
          <rPr>
            <b/>
            <sz val="8"/>
            <color indexed="81"/>
            <rFont val="Tahoma"/>
            <family val="2"/>
          </rPr>
          <t>BDEW:</t>
        </r>
        <r>
          <rPr>
            <sz val="8"/>
            <color indexed="81"/>
            <rFont val="Tahoma"/>
            <family val="2"/>
          </rPr>
          <t xml:space="preserve">
§ 28 Abs. 2 EEG 2012</t>
        </r>
      </text>
    </comment>
    <comment ref="O4253" authorId="2" shapeId="0">
      <text>
        <r>
          <rPr>
            <b/>
            <sz val="8"/>
            <color indexed="81"/>
            <rFont val="Tahoma"/>
            <family val="2"/>
          </rPr>
          <t>BDEW:</t>
        </r>
        <r>
          <rPr>
            <sz val="8"/>
            <color indexed="81"/>
            <rFont val="Tahoma"/>
            <family val="2"/>
          </rPr>
          <t xml:space="preserve">
§ 29 Abs. 2 S.4 EEG 2009</t>
        </r>
      </text>
    </comment>
    <comment ref="P4253" authorId="2" shapeId="0">
      <text>
        <r>
          <rPr>
            <b/>
            <sz val="8"/>
            <color indexed="81"/>
            <rFont val="Tahoma"/>
            <family val="2"/>
          </rPr>
          <t>BDEW:</t>
        </r>
        <r>
          <rPr>
            <sz val="8"/>
            <color indexed="81"/>
            <rFont val="Tahoma"/>
            <family val="2"/>
          </rPr>
          <t xml:space="preserve">
§ 30 EEG 2009</t>
        </r>
      </text>
    </comment>
    <comment ref="O4270" authorId="2" shapeId="0">
      <text>
        <r>
          <rPr>
            <b/>
            <sz val="8"/>
            <color indexed="81"/>
            <rFont val="Tahoma"/>
            <family val="2"/>
          </rPr>
          <t>BDEW:</t>
        </r>
        <r>
          <rPr>
            <sz val="8"/>
            <color indexed="81"/>
            <rFont val="Tahoma"/>
            <family val="2"/>
          </rPr>
          <t xml:space="preserve">
§ 29 Abs. 2 S.4 EEG 2009</t>
        </r>
      </text>
    </comment>
    <comment ref="P4270" authorId="2" shapeId="0">
      <text>
        <r>
          <rPr>
            <b/>
            <sz val="8"/>
            <color indexed="81"/>
            <rFont val="Tahoma"/>
            <family val="2"/>
          </rPr>
          <t>BDEW:</t>
        </r>
        <r>
          <rPr>
            <sz val="8"/>
            <color indexed="81"/>
            <rFont val="Tahoma"/>
            <family val="2"/>
          </rPr>
          <t xml:space="preserve">
§ 30 EEG 2009</t>
        </r>
      </text>
    </comment>
    <comment ref="F4356" authorId="3" shapeId="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356" authorId="3" shapeId="0">
      <text>
        <r>
          <rPr>
            <sz val="9"/>
            <color indexed="81"/>
            <rFont val="Segoe UI"/>
            <family val="2"/>
          </rPr>
          <t>Der hier angegebene anzulegende Wert gilt für den Referenzstandort bei einer Inbetriebnahme der Anlage im Jahr 2019. Er wurde von der BNetzA gemäß § 46b Abs. 2 EEG ermittelt und veröffentlicht.
Der anlagenindividuelle anzulegende Wert wird nach § 36h Abs. 1 EEG anhand des Gütefaktors der individuellen Anlage ermittelt und gemäß § 36h Abs. 2 bis 4 EEG zu bestimmten Stichtagen anhand des tatsächlichen Standortertrags anzupassen.</t>
        </r>
      </text>
    </comment>
    <comment ref="H4356" authorId="3" shapeId="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358" authorId="3" shapeId="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358" authorId="3" shapeId="0">
      <text>
        <r>
          <rPr>
            <sz val="9"/>
            <color indexed="81"/>
            <rFont val="Segoe UI"/>
            <family val="2"/>
          </rPr>
          <t>Der hier angegebene anzulegende Wert gilt für den Referenzstandort bei einer Inbetriebnahme der Anlage im Jahr 2020. Er wurde von der BNetzA gemäß § 46b Abs. 2 EEG ermittelt und veröffentlicht.
Der anlagenindividuelle anzulegende Wert wird nach § 36h Abs. 1 EEG anhand des Gütefaktors der individuellen Anlage ermittelt und gemäß § 36h Abs. 2 bis 4 EEG zu bestimmten Stichtagen anhand des tatsächlichen Standortertrags anzupassen.</t>
        </r>
      </text>
    </comment>
    <comment ref="H4358" authorId="3" shapeId="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360" authorId="3" shapeId="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360" authorId="3" shapeId="0">
      <text>
        <r>
          <rPr>
            <sz val="9"/>
            <color indexed="81"/>
            <rFont val="Segoe UI"/>
            <family val="2"/>
          </rPr>
          <t>Der hier angegebene anzulegende Wert gilt für den Referenzstandort bei einer Inbetriebnahme der Anlage im Jahr 2021. Er wurde von der BNetzA gemäß § 46 Abs. 2 EEG 2021 ermittelt und veröffentlicht.
Der anlagenindividuelle anzulegende Wert wird nach § 36h Abs. 1 EEG  anhand des Gütefaktors der individuellen Anlage ermittelt und gemäß § 36h Abs. 2 bis 4 EEG 2021 zu bestimmten Stichtagen anhand des tatsächlichen Standortertrags anzupassen.</t>
        </r>
      </text>
    </comment>
    <comment ref="H4360" authorId="3" shapeId="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362" authorId="3" shapeId="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362" authorId="3" shapeId="0">
      <text>
        <r>
          <rPr>
            <sz val="9"/>
            <color indexed="81"/>
            <rFont val="Segoe UI"/>
            <family val="2"/>
          </rPr>
          <t>Der hier angegebene anzulegende Wert gilt für den Referenzstandort bei einer Inbetriebnahme der Anlage im Jahr 2022. Er wurde von der BNetzA gemäß § 46 Abs. 2 EEG 2021 ermittelt und veröffentlicht.
Der anlagenindividuelle anzulegende Wert wird nach § 36h Abs. 1 EEG  anhand des Gütefaktors der individuellen Anlage ermittelt und gemäß § 36h Abs. 2 bis 4 EEG 2021 zu bestimmten Stichtagen anhand des tatsächlichen Standortertrags anzupassen.</t>
        </r>
      </text>
    </comment>
    <comment ref="H4362" authorId="3" shapeId="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364" authorId="3" shapeId="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364" authorId="3" shapeId="0">
      <text>
        <r>
          <rPr>
            <sz val="9"/>
            <color indexed="81"/>
            <rFont val="Segoe UI"/>
            <family val="2"/>
          </rPr>
          <t>Der hier angegebene anzulegende Wert gilt für den Referenzstandort bei einer Inbetriebnahme der Anlage im Jahr 2023. Er wurde von der BNetzA gemäß § 46 Abs. 2 EEG 2021 ermittelt und veröffentlicht.
Der anlagenindividuelle anzulegende Wert wird nach § 36h Abs. 1 EEG  anhand des Gütefaktors der individuellen Anlage ermittelt und gemäß § 36h Abs. 2 bis 4 EEG 2023 zu bestimmten Stichtagen anhand des tatsächlichen Standortertrags anzupassen.</t>
        </r>
      </text>
    </comment>
    <comment ref="H4364" authorId="3" shapeId="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O4368" authorId="2" shapeId="0">
      <text>
        <r>
          <rPr>
            <b/>
            <sz val="8"/>
            <color indexed="81"/>
            <rFont val="Tahoma"/>
            <family val="2"/>
          </rPr>
          <t>BDEW:</t>
        </r>
        <r>
          <rPr>
            <sz val="8"/>
            <color indexed="81"/>
            <rFont val="Tahoma"/>
            <family val="2"/>
          </rPr>
          <t xml:space="preserve">
§ 29 Abs. 2 S.4 EEG 2009</t>
        </r>
      </text>
    </comment>
    <comment ref="P4368" authorId="2" shapeId="0">
      <text>
        <r>
          <rPr>
            <b/>
            <sz val="8"/>
            <color indexed="81"/>
            <rFont val="Tahoma"/>
            <family val="2"/>
          </rPr>
          <t>BDEW:</t>
        </r>
        <r>
          <rPr>
            <sz val="8"/>
            <color indexed="81"/>
            <rFont val="Tahoma"/>
            <family val="2"/>
          </rPr>
          <t xml:space="preserve">
§ 30 EEG 2009</t>
        </r>
      </text>
    </comment>
    <comment ref="O4385" authorId="2" shapeId="0">
      <text>
        <r>
          <rPr>
            <b/>
            <sz val="8"/>
            <color indexed="81"/>
            <rFont val="Tahoma"/>
            <family val="2"/>
          </rPr>
          <t>BDEW:</t>
        </r>
        <r>
          <rPr>
            <sz val="8"/>
            <color indexed="81"/>
            <rFont val="Tahoma"/>
            <family val="2"/>
          </rPr>
          <t xml:space="preserve">
§ 29 Abs. 2 S.4 EEG 2009</t>
        </r>
      </text>
    </comment>
    <comment ref="P4385" authorId="2" shapeId="0">
      <text>
        <r>
          <rPr>
            <b/>
            <sz val="8"/>
            <color indexed="81"/>
            <rFont val="Tahoma"/>
            <family val="2"/>
          </rPr>
          <t>BDEW:</t>
        </r>
        <r>
          <rPr>
            <sz val="8"/>
            <color indexed="81"/>
            <rFont val="Tahoma"/>
            <family val="2"/>
          </rPr>
          <t xml:space="preserve">
§ 30 EEG 2009</t>
        </r>
      </text>
    </comment>
    <comment ref="O4651" authorId="4" shapeId="0">
      <text>
        <r>
          <rPr>
            <sz val="9"/>
            <color indexed="81"/>
            <rFont val="Segoe UI"/>
            <family val="2"/>
          </rPr>
          <t xml:space="preserve">
</t>
        </r>
      </text>
    </comment>
    <comment ref="E4683"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683" authorId="1" shapeId="0">
      <text>
        <r>
          <rPr>
            <b/>
            <sz val="9"/>
            <color indexed="81"/>
            <rFont val="Tahoma"/>
            <family val="2"/>
          </rPr>
          <t>Es ist bislang nicht juristisch analysiert, wie hoch die Selbstverbrauchsvergütung einer PV-Anlage in der Ausfallvermarktung ist.</t>
        </r>
      </text>
    </comment>
    <comment ref="E4684" authorId="5" shapeId="0">
      <text>
        <r>
          <rPr>
            <b/>
            <sz val="8"/>
            <color indexed="81"/>
            <rFont val="Tahoma"/>
            <family val="2"/>
          </rPr>
          <t xml:space="preserve">Hinweis:
</t>
        </r>
        <r>
          <rPr>
            <sz val="8"/>
            <color indexed="81"/>
            <rFont val="Tahoma"/>
            <family val="2"/>
          </rPr>
          <t xml:space="preserve">Die nach § 33 Abs. 2 EEG 2009 selbst verbrauchte Strommenge ist in dieser Kategorie mit </t>
        </r>
        <r>
          <rPr>
            <b/>
            <sz val="8"/>
            <color indexed="81"/>
            <rFont val="Tahoma"/>
            <family val="2"/>
          </rPr>
          <t xml:space="preserve">negativem </t>
        </r>
        <r>
          <rPr>
            <sz val="8"/>
            <color indexed="81"/>
            <rFont val="Tahoma"/>
            <family val="2"/>
          </rPr>
          <t>Vorzeichen zu erfassen</t>
        </r>
      </text>
    </comment>
    <comment ref="H4684" authorId="1" shapeId="0">
      <text>
        <r>
          <rPr>
            <b/>
            <sz val="9"/>
            <color indexed="81"/>
            <rFont val="Tahoma"/>
            <family val="2"/>
          </rPr>
          <t>Es ist bislang nicht juristisch analysiert, wie hoch die Selbstverbrauchsvergütung einer PV-Anlage in der Ausfallvermarktung ist.</t>
        </r>
      </text>
    </comment>
    <comment ref="E4690"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690" authorId="1" shapeId="0">
      <text>
        <r>
          <rPr>
            <b/>
            <sz val="9"/>
            <color indexed="81"/>
            <rFont val="Tahoma"/>
            <family val="2"/>
          </rPr>
          <t>Es ist bislang nicht juristisch analysiert, wie hoch die Selbstverbrauchsvergütung einer PV-Anlage in der Ausfallvermarktung ist.</t>
        </r>
      </text>
    </comment>
    <comment ref="E4691" authorId="5" shapeId="0">
      <text>
        <r>
          <rPr>
            <b/>
            <sz val="8"/>
            <color indexed="81"/>
            <rFont val="Tahoma"/>
            <family val="2"/>
          </rPr>
          <t xml:space="preserve">Hinweis:
</t>
        </r>
        <r>
          <rPr>
            <sz val="8"/>
            <color indexed="81"/>
            <rFont val="Tahoma"/>
            <family val="2"/>
          </rPr>
          <t xml:space="preserve">Die nach § 33 Abs. 2 EEG 2009 selbst verbrauchte Strommenge ist in dieser Kategorie mit </t>
        </r>
        <r>
          <rPr>
            <b/>
            <sz val="8"/>
            <color indexed="81"/>
            <rFont val="Tahoma"/>
            <family val="2"/>
          </rPr>
          <t xml:space="preserve">negativem </t>
        </r>
        <r>
          <rPr>
            <sz val="8"/>
            <color indexed="81"/>
            <rFont val="Tahoma"/>
            <family val="2"/>
          </rPr>
          <t>Vorzeichen zu erfassen</t>
        </r>
      </text>
    </comment>
    <comment ref="H4691" authorId="1" shapeId="0">
      <text>
        <r>
          <rPr>
            <b/>
            <sz val="9"/>
            <color indexed="81"/>
            <rFont val="Tahoma"/>
            <family val="2"/>
          </rPr>
          <t>Es ist bislang nicht juristisch analysiert, wie hoch die Selbstverbrauchsvergütung einer PV-Anlage in der Ausfallvermarktung ist.</t>
        </r>
      </text>
    </comment>
    <comment ref="E4697"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697" authorId="1" shapeId="0">
      <text>
        <r>
          <rPr>
            <b/>
            <sz val="9"/>
            <color indexed="81"/>
            <rFont val="Tahoma"/>
            <family val="2"/>
          </rPr>
          <t>Es ist bislang nicht juristisch analysiert, wie hoch die Selbstverbrauchsvergütung einer PV-Anlage in der Ausfallvermarktung ist.</t>
        </r>
      </text>
    </comment>
    <comment ref="E4698"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698" authorId="1" shapeId="0">
      <text>
        <r>
          <rPr>
            <b/>
            <sz val="9"/>
            <color indexed="81"/>
            <rFont val="Tahoma"/>
            <family val="2"/>
          </rPr>
          <t>Es ist bislang nicht juristisch analysiert, wie hoch die Selbstverbrauchsvergütung einer PV-Anlage in der Ausfallvermarktung ist.</t>
        </r>
      </text>
    </comment>
    <comment ref="E4699"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699" authorId="1" shapeId="0">
      <text>
        <r>
          <rPr>
            <b/>
            <sz val="9"/>
            <color indexed="81"/>
            <rFont val="Tahoma"/>
            <family val="2"/>
          </rPr>
          <t>Es ist bislang nicht juristisch analysiert, wie hoch die Selbstverbrauchsvergütung einer PV-Anlage in der Ausfallvermarktung ist.</t>
        </r>
      </text>
    </comment>
    <comment ref="E4700"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00" authorId="1" shapeId="0">
      <text>
        <r>
          <rPr>
            <b/>
            <sz val="9"/>
            <color indexed="81"/>
            <rFont val="Tahoma"/>
            <family val="2"/>
          </rPr>
          <t>Es ist bislang nicht juristisch analysiert, wie hoch die Selbstverbrauchsvergütung einer PV-Anlage in der Ausfallvermarktung ist.</t>
        </r>
      </text>
    </comment>
    <comment ref="E4701"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01" authorId="1" shapeId="0">
      <text>
        <r>
          <rPr>
            <b/>
            <sz val="9"/>
            <color indexed="81"/>
            <rFont val="Tahoma"/>
            <family val="2"/>
          </rPr>
          <t>Es ist bislang nicht juristisch analysiert, wie hoch die Selbstverbrauchsvergütung einer PV-Anlage in der Ausfallvermarktung ist.</t>
        </r>
      </text>
    </comment>
    <comment ref="E4702"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02" authorId="1" shapeId="0">
      <text>
        <r>
          <rPr>
            <b/>
            <sz val="9"/>
            <color indexed="81"/>
            <rFont val="Tahoma"/>
            <family val="2"/>
          </rPr>
          <t>Es ist bislang nicht juristisch analysiert, wie hoch die Selbstverbrauchsvergütung einer PV-Anlage in der Ausfallvermarktung ist.</t>
        </r>
      </text>
    </comment>
    <comment ref="E4703"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03" authorId="1" shapeId="0">
      <text>
        <r>
          <rPr>
            <b/>
            <sz val="9"/>
            <color indexed="81"/>
            <rFont val="Tahoma"/>
            <family val="2"/>
          </rPr>
          <t>Es ist bislang nicht juristisch analysiert, wie hoch die Selbstverbrauchsvergütung einer PV-Anlage in der Ausfallvermarktung ist.</t>
        </r>
      </text>
    </comment>
    <comment ref="E4704"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04" authorId="1" shapeId="0">
      <text>
        <r>
          <rPr>
            <b/>
            <sz val="9"/>
            <color indexed="81"/>
            <rFont val="Tahoma"/>
            <family val="2"/>
          </rPr>
          <t>Es ist bislang nicht juristisch analysiert, wie hoch die Selbstverbrauchsvergütung einer PV-Anlage in der Ausfallvermarktung ist.</t>
        </r>
      </text>
    </comment>
    <comment ref="E4705"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05" authorId="1" shapeId="0">
      <text>
        <r>
          <rPr>
            <b/>
            <sz val="9"/>
            <color indexed="81"/>
            <rFont val="Tahoma"/>
            <family val="2"/>
          </rPr>
          <t>Es ist bislang nicht juristisch analysiert, wie hoch die Selbstverbrauchsvergütung einer PV-Anlage in der Ausfallvermarktung ist.</t>
        </r>
      </text>
    </comment>
    <comment ref="E4711"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11" authorId="1" shapeId="0">
      <text>
        <r>
          <rPr>
            <b/>
            <sz val="9"/>
            <color indexed="81"/>
            <rFont val="Tahoma"/>
            <family val="2"/>
          </rPr>
          <t>Es ist bislang nicht juristisch analysiert, wie hoch die Selbstverbrauchsvergütung einer PV-Anlage in der Ausfallvermarktung ist.</t>
        </r>
      </text>
    </comment>
    <comment ref="E4712"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12" authorId="1" shapeId="0">
      <text>
        <r>
          <rPr>
            <b/>
            <sz val="9"/>
            <color indexed="81"/>
            <rFont val="Tahoma"/>
            <family val="2"/>
          </rPr>
          <t>Es ist bislang nicht juristisch analysiert, wie hoch die Selbstverbrauchsvergütung einer PV-Anlage in der Ausfallvermarktung ist.</t>
        </r>
      </text>
    </comment>
    <comment ref="E4713"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13" authorId="1" shapeId="0">
      <text>
        <r>
          <rPr>
            <b/>
            <sz val="9"/>
            <color indexed="81"/>
            <rFont val="Tahoma"/>
            <family val="2"/>
          </rPr>
          <t>Es ist bislang nicht juristisch analysiert, wie hoch die Selbstverbrauchsvergütung einer PV-Anlage in der Ausfallvermarktung ist.</t>
        </r>
      </text>
    </comment>
    <comment ref="E4714"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14" authorId="1" shapeId="0">
      <text>
        <r>
          <rPr>
            <b/>
            <sz val="9"/>
            <color indexed="81"/>
            <rFont val="Tahoma"/>
            <family val="2"/>
          </rPr>
          <t>Es ist bislang nicht juristisch analysiert, wie hoch die Selbstverbrauchsvergütung einer PV-Anlage in der Ausfallvermarktung ist.</t>
        </r>
      </text>
    </comment>
    <comment ref="E4715"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15" authorId="1" shapeId="0">
      <text>
        <r>
          <rPr>
            <b/>
            <sz val="9"/>
            <color indexed="81"/>
            <rFont val="Tahoma"/>
            <family val="2"/>
          </rPr>
          <t>Es ist bislang nicht juristisch analysiert, wie hoch die Selbstverbrauchsvergütung einer PV-Anlage in der Ausfallvermarktung ist.</t>
        </r>
      </text>
    </comment>
    <comment ref="E4716"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16" authorId="1" shapeId="0">
      <text>
        <r>
          <rPr>
            <b/>
            <sz val="9"/>
            <color indexed="81"/>
            <rFont val="Tahoma"/>
            <family val="2"/>
          </rPr>
          <t>Es ist bislang nicht juristisch analysiert, wie hoch die Selbstverbrauchsvergütung einer PV-Anlage in der Ausfallvermarktung ist.</t>
        </r>
      </text>
    </comment>
    <comment ref="E4717"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17" authorId="1" shapeId="0">
      <text>
        <r>
          <rPr>
            <b/>
            <sz val="9"/>
            <color indexed="81"/>
            <rFont val="Tahoma"/>
            <family val="2"/>
          </rPr>
          <t>Es ist bislang nicht juristisch analysiert, wie hoch die Selbstverbrauchsvergütung einer PV-Anlage in der Ausfallvermarktung ist.</t>
        </r>
      </text>
    </comment>
    <comment ref="E4718"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18" authorId="1" shapeId="0">
      <text>
        <r>
          <rPr>
            <b/>
            <sz val="9"/>
            <color indexed="81"/>
            <rFont val="Tahoma"/>
            <family val="2"/>
          </rPr>
          <t>Es ist bislang nicht juristisch analysiert, wie hoch die Selbstverbrauchsvergütung einer PV-Anlage in der Ausfallvermarktung ist.</t>
        </r>
      </text>
    </comment>
    <comment ref="E4719"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19" authorId="1" shapeId="0">
      <text>
        <r>
          <rPr>
            <b/>
            <sz val="9"/>
            <color indexed="81"/>
            <rFont val="Tahoma"/>
            <family val="2"/>
          </rPr>
          <t>Es ist bislang nicht juristisch analysiert, wie hoch die Selbstverbrauchsvergütung einer PV-Anlage in der Ausfallvermarktung ist.</t>
        </r>
      </text>
    </comment>
    <comment ref="E4725"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25" authorId="1" shapeId="0">
      <text>
        <r>
          <rPr>
            <b/>
            <sz val="9"/>
            <color indexed="81"/>
            <rFont val="Tahoma"/>
            <family val="2"/>
          </rPr>
          <t>Es ist bislang nicht juristisch analysiert, wie hoch die Selbstverbrauchsvergütung einer PV-Anlage in der Ausfallvermarktung ist.</t>
        </r>
      </text>
    </comment>
    <comment ref="E4726"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26" authorId="1" shapeId="0">
      <text>
        <r>
          <rPr>
            <b/>
            <sz val="9"/>
            <color indexed="81"/>
            <rFont val="Tahoma"/>
            <family val="2"/>
          </rPr>
          <t>Es ist bislang nicht juristisch analysiert, wie hoch die Selbstverbrauchsvergütung einer PV-Anlage in der Ausfallvermarktung ist.</t>
        </r>
      </text>
    </comment>
    <comment ref="E4727"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27" authorId="1" shapeId="0">
      <text>
        <r>
          <rPr>
            <b/>
            <sz val="9"/>
            <color indexed="81"/>
            <rFont val="Tahoma"/>
            <family val="2"/>
          </rPr>
          <t>Es ist bislang nicht juristisch analysiert, wie hoch die Selbstverbrauchsvergütung einer PV-Anlage in der Ausfallvermarktung ist.</t>
        </r>
      </text>
    </comment>
    <comment ref="E4728"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28" authorId="1" shapeId="0">
      <text>
        <r>
          <rPr>
            <b/>
            <sz val="9"/>
            <color indexed="81"/>
            <rFont val="Tahoma"/>
            <family val="2"/>
          </rPr>
          <t>Es ist bislang nicht juristisch analysiert, wie hoch die Selbstverbrauchsvergütung einer PV-Anlage in der Ausfallvermarktung ist.</t>
        </r>
      </text>
    </comment>
    <comment ref="E4729"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29" authorId="1" shapeId="0">
      <text>
        <r>
          <rPr>
            <b/>
            <sz val="9"/>
            <color indexed="81"/>
            <rFont val="Tahoma"/>
            <family val="2"/>
          </rPr>
          <t>Es ist bislang nicht juristisch analysiert, wie hoch die Selbstverbrauchsvergütung einer PV-Anlage in der Ausfallvermarktung ist.</t>
        </r>
      </text>
    </comment>
    <comment ref="E4730"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30" authorId="1" shapeId="0">
      <text>
        <r>
          <rPr>
            <b/>
            <sz val="9"/>
            <color indexed="81"/>
            <rFont val="Tahoma"/>
            <family val="2"/>
          </rPr>
          <t>Es ist bislang nicht juristisch analysiert, wie hoch die Selbstverbrauchsvergütung einer PV-Anlage in der Ausfallvermarktung ist.</t>
        </r>
      </text>
    </comment>
    <comment ref="E4731"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31" authorId="1" shapeId="0">
      <text>
        <r>
          <rPr>
            <b/>
            <sz val="9"/>
            <color indexed="81"/>
            <rFont val="Tahoma"/>
            <family val="2"/>
          </rPr>
          <t>Es ist bislang nicht juristisch analysiert, wie hoch die Selbstverbrauchsvergütung einer PV-Anlage in der Ausfallvermarktung ist.</t>
        </r>
      </text>
    </comment>
    <comment ref="E4732"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32" authorId="1" shapeId="0">
      <text>
        <r>
          <rPr>
            <b/>
            <sz val="9"/>
            <color indexed="81"/>
            <rFont val="Tahoma"/>
            <family val="2"/>
          </rPr>
          <t>Es ist bislang nicht juristisch analysiert, wie hoch die Selbstverbrauchsvergütung einer PV-Anlage in der Ausfallvermarktung ist.</t>
        </r>
      </text>
    </comment>
    <comment ref="E4733"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33" authorId="1" shapeId="0">
      <text>
        <r>
          <rPr>
            <b/>
            <sz val="9"/>
            <color indexed="81"/>
            <rFont val="Tahoma"/>
            <family val="2"/>
          </rPr>
          <t>Es ist bislang nicht juristisch analysiert, wie hoch die Selbstverbrauchsvergütung einer PV-Anlage in der Ausfallvermarktung ist.</t>
        </r>
      </text>
    </comment>
    <comment ref="E4739"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39" authorId="1" shapeId="0">
      <text>
        <r>
          <rPr>
            <b/>
            <sz val="9"/>
            <color indexed="81"/>
            <rFont val="Tahoma"/>
            <family val="2"/>
          </rPr>
          <t>Es ist bislang nicht juristisch analysiert, wie hoch die Selbstverbrauchsvergütung einer PV-Anlage in der Ausfallvermarktung ist.</t>
        </r>
      </text>
    </comment>
    <comment ref="E4740"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40" authorId="1" shapeId="0">
      <text>
        <r>
          <rPr>
            <b/>
            <sz val="9"/>
            <color indexed="81"/>
            <rFont val="Tahoma"/>
            <family val="2"/>
          </rPr>
          <t>Es ist bislang nicht juristisch analysiert, wie hoch die Selbstverbrauchsvergütung einer PV-Anlage in der Ausfallvermarktung ist.</t>
        </r>
      </text>
    </comment>
    <comment ref="E4741"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41" authorId="1" shapeId="0">
      <text>
        <r>
          <rPr>
            <b/>
            <sz val="9"/>
            <color indexed="81"/>
            <rFont val="Tahoma"/>
            <family val="2"/>
          </rPr>
          <t>Es ist bislang nicht juristisch analysiert, wie hoch die Selbstverbrauchsvergütung einer PV-Anlage in der Ausfallvermarktung ist.</t>
        </r>
      </text>
    </comment>
    <comment ref="E4742"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42" authorId="1" shapeId="0">
      <text>
        <r>
          <rPr>
            <b/>
            <sz val="9"/>
            <color indexed="81"/>
            <rFont val="Tahoma"/>
            <family val="2"/>
          </rPr>
          <t>Es ist bislang nicht juristisch analysiert, wie hoch die Selbstverbrauchsvergütung einer PV-Anlage in der Ausfallvermarktung ist.</t>
        </r>
      </text>
    </comment>
    <comment ref="E4743"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43" authorId="1" shapeId="0">
      <text>
        <r>
          <rPr>
            <b/>
            <sz val="9"/>
            <color indexed="81"/>
            <rFont val="Tahoma"/>
            <family val="2"/>
          </rPr>
          <t>Es ist bislang nicht juristisch analysiert, wie hoch die Selbstverbrauchsvergütung einer PV-Anlage in der Ausfallvermarktung ist.</t>
        </r>
      </text>
    </comment>
    <comment ref="E4744"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44" authorId="1" shapeId="0">
      <text>
        <r>
          <rPr>
            <b/>
            <sz val="9"/>
            <color indexed="81"/>
            <rFont val="Tahoma"/>
            <family val="2"/>
          </rPr>
          <t>Es ist bislang nicht juristisch analysiert, wie hoch die Selbstverbrauchsvergütung einer PV-Anlage in der Ausfallvermarktung ist.</t>
        </r>
      </text>
    </comment>
    <comment ref="E4745"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45" authorId="1" shapeId="0">
      <text>
        <r>
          <rPr>
            <b/>
            <sz val="9"/>
            <color indexed="81"/>
            <rFont val="Tahoma"/>
            <family val="2"/>
          </rPr>
          <t>Es ist bislang nicht juristisch analysiert, wie hoch die Selbstverbrauchsvergütung einer PV-Anlage in der Ausfallvermarktung ist.</t>
        </r>
      </text>
    </comment>
    <comment ref="E4746"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46" authorId="1" shapeId="0">
      <text>
        <r>
          <rPr>
            <b/>
            <sz val="9"/>
            <color indexed="81"/>
            <rFont val="Tahoma"/>
            <family val="2"/>
          </rPr>
          <t>Es ist bislang nicht juristisch analysiert, wie hoch die Selbstverbrauchsvergütung einer PV-Anlage in der Ausfallvermarktung ist.</t>
        </r>
      </text>
    </comment>
    <comment ref="E4747"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47" authorId="1" shapeId="0">
      <text>
        <r>
          <rPr>
            <b/>
            <sz val="9"/>
            <color indexed="81"/>
            <rFont val="Tahoma"/>
            <family val="2"/>
          </rPr>
          <t>Es ist bislang nicht juristisch analysiert, wie hoch die Selbstverbrauchsvergütung einer PV-Anlage in der Ausfallvermarktung ist.</t>
        </r>
      </text>
    </comment>
    <comment ref="E4753"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53" authorId="1" shapeId="0">
      <text>
        <r>
          <rPr>
            <b/>
            <sz val="9"/>
            <color indexed="81"/>
            <rFont val="Tahoma"/>
            <family val="2"/>
          </rPr>
          <t>Es ist bislang nicht juristisch analysiert, wie hoch die Selbstverbrauchsvergütung einer PV-Anlage in der Ausfallvermarktung ist.</t>
        </r>
      </text>
    </comment>
    <comment ref="E4754"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54" authorId="1" shapeId="0">
      <text>
        <r>
          <rPr>
            <b/>
            <sz val="9"/>
            <color indexed="81"/>
            <rFont val="Tahoma"/>
            <family val="2"/>
          </rPr>
          <t>Es ist bislang nicht juristisch analysiert, wie hoch die Selbstverbrauchsvergütung einer PV-Anlage in der Ausfallvermarktung ist.</t>
        </r>
      </text>
    </comment>
    <comment ref="E4755"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55" authorId="1" shapeId="0">
      <text>
        <r>
          <rPr>
            <b/>
            <sz val="9"/>
            <color indexed="81"/>
            <rFont val="Tahoma"/>
            <family val="2"/>
          </rPr>
          <t>Es ist bislang nicht juristisch analysiert, wie hoch die Selbstverbrauchsvergütung einer PV-Anlage in der Ausfallvermarktung ist.</t>
        </r>
      </text>
    </comment>
    <comment ref="E4756"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56" authorId="1" shapeId="0">
      <text>
        <r>
          <rPr>
            <b/>
            <sz val="9"/>
            <color indexed="81"/>
            <rFont val="Tahoma"/>
            <family val="2"/>
          </rPr>
          <t>Es ist bislang nicht juristisch analysiert, wie hoch die Selbstverbrauchsvergütung einer PV-Anlage in der Ausfallvermarktung ist.</t>
        </r>
      </text>
    </comment>
    <comment ref="E4757"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57" authorId="1" shapeId="0">
      <text>
        <r>
          <rPr>
            <b/>
            <sz val="9"/>
            <color indexed="81"/>
            <rFont val="Tahoma"/>
            <family val="2"/>
          </rPr>
          <t>Es ist bislang nicht juristisch analysiert, wie hoch die Selbstverbrauchsvergütung einer PV-Anlage in der Ausfallvermarktung ist.</t>
        </r>
      </text>
    </comment>
    <comment ref="E4758"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58" authorId="1" shapeId="0">
      <text>
        <r>
          <rPr>
            <b/>
            <sz val="9"/>
            <color indexed="81"/>
            <rFont val="Tahoma"/>
            <family val="2"/>
          </rPr>
          <t>Es ist bislang nicht juristisch analysiert, wie hoch die Selbstverbrauchsvergütung einer PV-Anlage in der Ausfallvermarktung ist.</t>
        </r>
      </text>
    </comment>
    <comment ref="E4759" authorId="5" shapeId="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759" authorId="1" shapeId="0">
      <text>
        <r>
          <rPr>
            <b/>
            <sz val="9"/>
            <color indexed="81"/>
            <rFont val="Tahoma"/>
            <family val="2"/>
          </rPr>
          <t>Es ist bislang nicht juristisch analysiert, wie hoch die Selbstverbrauchsvergütung einer PV-Anlage in der Ausfallvermarktung ist.</t>
        </r>
      </text>
    </comment>
    <comment ref="E4760" authorId="5" shapeId="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760" authorId="1" shapeId="0">
      <text>
        <r>
          <rPr>
            <b/>
            <sz val="9"/>
            <color indexed="81"/>
            <rFont val="Tahoma"/>
            <family val="2"/>
          </rPr>
          <t>Es ist bislang nicht juristisch analysiert, wie hoch die Selbstverbrauchsvergütung einer PV-Anlage in der Ausfallvermarktung ist.</t>
        </r>
      </text>
    </comment>
    <comment ref="E4761" authorId="5" shapeId="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761" authorId="1" shapeId="0">
      <text>
        <r>
          <rPr>
            <b/>
            <sz val="9"/>
            <color indexed="81"/>
            <rFont val="Tahoma"/>
            <family val="2"/>
          </rPr>
          <t>Es ist bislang nicht juristisch analysiert, wie hoch die Selbstverbrauchsvergütung einer PV-Anlage in der Ausfallvermarktung ist.</t>
        </r>
      </text>
    </comment>
    <comment ref="I5017"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18"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19"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20"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21"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22"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23"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24"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25"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26"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27"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28"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29"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30"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5031" authorId="4" shapeId="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R5074" authorId="6" shapeId="0">
      <text>
        <r>
          <rPr>
            <b/>
            <sz val="9"/>
            <color indexed="81"/>
            <rFont val="Tahoma"/>
            <family val="2"/>
          </rPr>
          <t>Lipinski Sven (50HzT MC-C):</t>
        </r>
        <r>
          <rPr>
            <sz val="9"/>
            <color indexed="81"/>
            <rFont val="Tahoma"/>
            <family val="2"/>
          </rPr>
          <t xml:space="preserve">
Festlegung der anzulegenden Werte im Rahmen des Energiesammelgesetzes zur Neufassung des § 48 Abs. 2 Nr. 3 EEG</t>
        </r>
      </text>
    </comment>
    <comment ref="I5075" authorId="7" shapeId="0">
      <text>
        <r>
          <rPr>
            <b/>
            <sz val="9"/>
            <color indexed="81"/>
            <rFont val="Tahoma"/>
            <family val="2"/>
          </rPr>
          <t>Änderung durch  Artikel 5 Nr. 15 Buchstabe c NABEG 2.0</t>
        </r>
        <r>
          <rPr>
            <sz val="9"/>
            <color indexed="81"/>
            <rFont val="Tahoma"/>
            <family val="2"/>
          </rPr>
          <t xml:space="preserve">
</t>
        </r>
      </text>
    </comment>
    <comment ref="R5075" authorId="6" shapeId="0">
      <text>
        <r>
          <rPr>
            <b/>
            <sz val="9"/>
            <color indexed="81"/>
            <rFont val="Tahoma"/>
            <family val="2"/>
          </rPr>
          <t>Lipinski Sven (50HzT MC-C):</t>
        </r>
        <r>
          <rPr>
            <sz val="9"/>
            <color indexed="81"/>
            <rFont val="Tahoma"/>
            <family val="2"/>
          </rPr>
          <t xml:space="preserve">
Festlegung der anzulegenden Werte im Rahmen des Energiesammelgesetzes zur Neufassung des § 48 Abs. 2 Nr. 3 EEG</t>
        </r>
      </text>
    </comment>
    <comment ref="R5076" authorId="6" shapeId="0">
      <text>
        <r>
          <rPr>
            <b/>
            <sz val="9"/>
            <color indexed="81"/>
            <rFont val="Tahoma"/>
            <family val="2"/>
          </rPr>
          <t>Lipinski Sven (50HzT MC-C):</t>
        </r>
        <r>
          <rPr>
            <sz val="9"/>
            <color indexed="81"/>
            <rFont val="Tahoma"/>
            <family val="2"/>
          </rPr>
          <t xml:space="preserve">
Festlegung der anzulegenden Werte im Rahmen des Energiesammelgesetzes zur Neufassung des § 48 Abs. 2 Nr. 3 EEG</t>
        </r>
      </text>
    </comment>
    <comment ref="O5147" authorId="4" shapeId="0">
      <text>
        <r>
          <rPr>
            <sz val="9"/>
            <color indexed="81"/>
            <rFont val="Segoe UI"/>
            <family val="2"/>
          </rPr>
          <t xml:space="preserve">
</t>
        </r>
      </text>
    </comment>
    <comment ref="F5225" authorId="3" shapeId="0">
      <text>
        <r>
          <rPr>
            <sz val="9"/>
            <color indexed="81"/>
            <rFont val="Segoe UI"/>
            <family val="2"/>
          </rPr>
          <t xml:space="preserve">Die anlagenindividuelle Einspeisevergütung berechnet sich aus dem nach § 48 Abs. 1a EEG 2023  ermittelten anzulegenden Wert unter Berücksichtigung von § 53 EEG.
</t>
        </r>
      </text>
    </comment>
    <comment ref="G5225" authorId="3" shapeId="0">
      <text>
        <r>
          <rPr>
            <sz val="9"/>
            <color indexed="81"/>
            <rFont val="Segoe UI"/>
            <family val="2"/>
          </rPr>
          <t xml:space="preserve">Der hier angegebene anzulegende Wert gilt  bei einer Inbetriebnahme der Anlage im Jahr 2023. Er wird von der BNetzA gemäß § 48 Abs. 1a  EEG zum 31. Januar 2023 ermittelt und veröffentlicht.
Der anzulegende Wert wird nach § 48 Abs.1 a EEG  anhand des Durchschnitt aus den Gebotwerten des jeweils noch höchsten bezuschlagten Gebots der Gebotsterminne für Solaranlagen des ersten Segments in dem der Inbetriebnahme vorangegangenen Kalenderjahr berechnet.
</t>
        </r>
      </text>
    </comment>
    <comment ref="H5225" authorId="3" shapeId="0">
      <text>
        <r>
          <rPr>
            <sz val="9"/>
            <color indexed="81"/>
            <rFont val="Segoe UI"/>
            <family val="2"/>
          </rPr>
          <t xml:space="preserve">Die anlagenindividuelle Ausfallvergütung berechnet sich aus dem nach § 48 Abs. 1a EEG 2023 ermittelten anzulegenden Wert unter Berücksichtigung von § 53 EEG.
</t>
        </r>
      </text>
    </comment>
    <comment ref="F5226" authorId="3" shapeId="0">
      <text>
        <r>
          <rPr>
            <sz val="9"/>
            <color indexed="81"/>
            <rFont val="Segoe UI"/>
            <family val="2"/>
          </rPr>
          <t xml:space="preserve">Die anlagenindividuelle Einspeisevergütung berechnet sich aus dem nach § 48 Abs. 1a EEG 2023  ermittelten anzulegenden Wert unter Berücksichtigung von § 53 EEG.
</t>
        </r>
      </text>
    </comment>
    <comment ref="G5226" authorId="3" shapeId="0">
      <text>
        <r>
          <rPr>
            <sz val="9"/>
            <color indexed="81"/>
            <rFont val="Segoe UI"/>
            <family val="2"/>
          </rPr>
          <t xml:space="preserve">Der hier angegebene anzulegende Wert gilt  bei einer Inbetriebnahme der Anlage im Jahr 2023. Er wird von der BNetzA gemäß § 48 Abs. 1a  EEG zum 31. Januar 2023 ermittelt und veröffentlicht.
Der anzulegende Wert wird nach § 48 Abs.1 a EEG  anhand des Durchschnitt aus den Gebotwerten des jeweils noch höchsten bezuschlagten Gebots der Gebotsterminne für Solaranlagen des zweiten Segments in dem der Inbetriebnahme vorangegangenen Kalenderjahr berechnet.
</t>
        </r>
      </text>
    </comment>
    <comment ref="H5226" authorId="3" shapeId="0">
      <text>
        <r>
          <rPr>
            <sz val="9"/>
            <color indexed="81"/>
            <rFont val="Segoe UI"/>
            <family val="2"/>
          </rPr>
          <t xml:space="preserve">Die anlagenindividuelle Ausfallvergütung berechnet sich aus dem nach § 48 Abs. 1a EEG 2023 ermittelten anzulegenden Wert unter Berücksichtigung von § 53 EEG.
</t>
        </r>
      </text>
    </comment>
    <comment ref="F5234" authorId="1" shapeId="0">
      <text>
        <r>
          <rPr>
            <sz val="9"/>
            <color indexed="81"/>
            <rFont val="Tahoma"/>
            <family val="2"/>
          </rPr>
          <t>Die Einspeisevergütung nach § 21 Abs. 1  ist über die entsprechenden  Förder-Kategorien zu melden</t>
        </r>
      </text>
    </comment>
    <comment ref="G5234" authorId="1" shapeId="0">
      <text>
        <r>
          <rPr>
            <sz val="9"/>
            <color indexed="81"/>
            <rFont val="Tahoma"/>
            <family val="2"/>
          </rPr>
          <t>Die Marktprämie nach § 20  ist über die entsprechenden  Förder-Kategorien zu melden</t>
        </r>
      </text>
    </comment>
    <comment ref="H5234" authorId="1" shapeId="0">
      <text>
        <r>
          <rPr>
            <sz val="9"/>
            <color indexed="81"/>
            <rFont val="Tahoma"/>
            <family val="2"/>
          </rPr>
          <t>Die Ausfallvergütung ist im Fall des Mieterstromzuschlags irrelevant, da sich beide gegenseitig ausschließen.</t>
        </r>
      </text>
    </comment>
    <comment ref="I5234" authorId="3" shapeId="0">
      <text>
        <r>
          <rPr>
            <b/>
            <sz val="9"/>
            <color indexed="81"/>
            <rFont val="Segoe UI"/>
            <family val="2"/>
          </rPr>
          <t xml:space="preserve">Der Mieterstromzuschlag ergibt sich aus 
* dem jeweiligen Anzulegenden Wert, der bei fristgerechter Registrierung bzw. Meldung gezahlt worden wäre, abzüglich 8,5 ct/kWh (§ 23b Abs. 1 EEG 2017) </t>
        </r>
        <r>
          <rPr>
            <b/>
            <u/>
            <sz val="9"/>
            <color indexed="81"/>
            <rFont val="Segoe UI"/>
            <family val="2"/>
          </rPr>
          <t>und</t>
        </r>
        <r>
          <rPr>
            <b/>
            <sz val="9"/>
            <color indexed="81"/>
            <rFont val="Segoe UI"/>
            <family val="2"/>
          </rPr>
          <t xml:space="preserve"> abzüglich 0,4 ct/kWh (§ 53 Satz 1 EEG).</t>
        </r>
      </text>
    </comment>
    <comment ref="O5237" authorId="4" shapeId="0">
      <text/>
    </comment>
    <comment ref="F5318" authorId="8" shapeId="0">
      <text>
        <r>
          <rPr>
            <sz val="8"/>
            <color indexed="81"/>
            <rFont val="Tahoma"/>
            <family val="2"/>
          </rPr>
          <t>Der Einspeisevergütung ergibt sich aus dem anzulegendem Wert der Förderberechtigung der jeweiligen Freiflächenanlage nach Abzug von 0,4 ct/kWh.</t>
        </r>
      </text>
    </comment>
    <comment ref="G5318" authorId="8" shapeId="0">
      <text>
        <r>
          <rPr>
            <sz val="8"/>
            <color indexed="81"/>
            <rFont val="Tahoma"/>
            <family val="2"/>
          </rPr>
          <t>Der Anzulegende Wert ergibt sich aus der Förderberechtigung der jeweiligen Freiflächenanlage.</t>
        </r>
      </text>
    </comment>
    <comment ref="H5318" authorId="8" shapeId="0">
      <text>
        <r>
          <rPr>
            <sz val="8"/>
            <color indexed="81"/>
            <rFont val="Tahoma"/>
            <family val="2"/>
          </rPr>
          <t>Die Ausfallvergütung ergibt sich aus dem Anzulegendem Wert der Förderberechtigung der jeweiligen Freiflächenanlage, der mit 0,8 zu multiplizieren und auf zwei Nachkommastellen (bezogen auf ct/kWh) zu runden ist.</t>
        </r>
      </text>
    </comment>
    <comment ref="F5320" authorId="8" shapeId="0">
      <text>
        <r>
          <rPr>
            <sz val="8"/>
            <color indexed="81"/>
            <rFont val="Tahoma"/>
            <family val="2"/>
          </rPr>
          <t>Die Einspeisevergütung ist für Anlagen, die einen Zuschlag bei einer Ausschreibung erhalten haben, nicht zulässig.</t>
        </r>
      </text>
    </comment>
    <comment ref="G5320" authorId="8" shapeId="0">
      <text>
        <r>
          <rPr>
            <sz val="8"/>
            <color indexed="81"/>
            <rFont val="Tahoma"/>
            <family val="2"/>
          </rPr>
          <t>Der Anzulegende Wert ergibt sich aus der Förderberechtigung der jeweiligen Biomasseanlage.</t>
        </r>
      </text>
    </comment>
    <comment ref="H5320" authorId="8" shapeId="0">
      <text>
        <r>
          <rPr>
            <sz val="8"/>
            <color indexed="81"/>
            <rFont val="Tahoma"/>
            <family val="2"/>
          </rPr>
          <t>Die Ausfallvergütung ergibt sich aus dem Anzulegendem Wert der Förderberechtigung der jeweiligen Biomasseanlage, der mit 0,8 zu multiplizieren und auf zwei Nachkommastellen (bezogen auf ct/kWh) zu runden ist.</t>
        </r>
      </text>
    </comment>
    <comment ref="F5321" authorId="8" shapeId="0">
      <text>
        <r>
          <rPr>
            <sz val="8"/>
            <color indexed="81"/>
            <rFont val="Tahoma"/>
            <family val="2"/>
          </rPr>
          <t>Die Einspeisevergütung ist für Anlagen, die einen Zuschlag bei einer Ausschreibung erhalten haben, nicht zulässig.</t>
        </r>
      </text>
    </comment>
    <comment ref="G5321" authorId="8" shapeId="0">
      <text>
        <r>
          <rPr>
            <sz val="8"/>
            <color indexed="81"/>
            <rFont val="Tahoma"/>
            <family val="2"/>
          </rPr>
          <t>Der Anzulegende Wert ergibt sich aus der Förderberechtigung der jeweiligen Windenergieanlage.</t>
        </r>
      </text>
    </comment>
    <comment ref="H5321" authorId="8" shapeId="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322" authorId="8" shapeId="0">
      <text>
        <r>
          <rPr>
            <sz val="8"/>
            <color indexed="81"/>
            <rFont val="Tahoma"/>
            <family val="2"/>
          </rPr>
          <t>Die Einspeisevergütung ist für Anlagen, die einen Zuschlag bei einer Ausschreibung erhalten haben, nicht zulässig.</t>
        </r>
      </text>
    </comment>
    <comment ref="G5322" authorId="8" shapeId="0">
      <text>
        <r>
          <rPr>
            <sz val="8"/>
            <color indexed="81"/>
            <rFont val="Tahoma"/>
            <family val="2"/>
          </rPr>
          <t>Der Anzulegende Wert ergibt sich aus der Förderberechtigung der jeweiligen Windenergieanlage.</t>
        </r>
      </text>
    </comment>
    <comment ref="H5322" authorId="8" shapeId="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323" authorId="8" shapeId="0">
      <text>
        <r>
          <rPr>
            <sz val="8"/>
            <color indexed="81"/>
            <rFont val="Tahoma"/>
            <family val="2"/>
          </rPr>
          <t>Die Einspeisevergütung ist für Anlagen, die einen Zuschlag bei einer Ausschreibung erhalten haben, nicht zulässig.</t>
        </r>
      </text>
    </comment>
    <comment ref="G5323" authorId="8" shapeId="0">
      <text>
        <r>
          <rPr>
            <sz val="8"/>
            <color indexed="81"/>
            <rFont val="Tahoma"/>
            <family val="2"/>
          </rPr>
          <t>Der Anzulegende Wert ergibt sich aus der Förderberechtigung der jeweiligen Solaranlage (Freifläche oder Nicht-Gebäude) ggf. nach Abzug der Kürzung gemäß § 54 EEG 2017.</t>
        </r>
      </text>
    </comment>
    <comment ref="H5323" authorId="8" shapeId="0">
      <text>
        <r>
          <rPr>
            <sz val="8"/>
            <color indexed="81"/>
            <rFont val="Tahoma"/>
            <family val="2"/>
          </rPr>
          <t>Die Ausfallvergütung ergibt sich aus dem Anzulegendem Wert der Förderberechtigung der jeweiligen Solaranlage (Freifläche oder Nicht-Gebäude), der mit 0,8 zu multiplizieren und auf zwei Nachkommastellen (bezogen auf ct/kWh) zu runden ist. Sofern eine Kürzung gemäß § 54 EEG 2017 vorzunehmen ist, erfolgt diese erst anschließend von dem bereits gerundeten Wert.</t>
        </r>
      </text>
    </comment>
    <comment ref="F5324" authorId="8" shapeId="0">
      <text>
        <r>
          <rPr>
            <sz val="8"/>
            <color indexed="81"/>
            <rFont val="Tahoma"/>
            <family val="2"/>
          </rPr>
          <t>Die Einspeisevergütung ist für Anlagen, die einen Zuschlag bei einer Ausschreibung erhalten haben, nicht zulässig.</t>
        </r>
      </text>
    </comment>
    <comment ref="G5324" authorId="8" shapeId="0">
      <text>
        <r>
          <rPr>
            <sz val="8"/>
            <color indexed="81"/>
            <rFont val="Tahoma"/>
            <family val="2"/>
          </rPr>
          <t>Der Anzulegende Wert ergibt sich aus der Förderberechtigung der jeweiligen Solaranlage (Gebäude) ggf. nach Abzug der Kürzung gemäß § 54 EEG 2017.</t>
        </r>
      </text>
    </comment>
    <comment ref="H5324" authorId="8" shapeId="0">
      <text>
        <r>
          <rPr>
            <sz val="8"/>
            <color indexed="81"/>
            <rFont val="Tahoma"/>
            <family val="2"/>
          </rPr>
          <t>Die Ausfallvergütung ergibt sich aus dem Anzulegendem Wert der Förderberechtigung der jeweiligen Solaranlage (Gebäude), der mit 0,8 zu multiplizieren und auf zwei Nachkommastellen (bezogen auf ct/kWh) zu runden ist. Sofern eine Kürzung gemäß § 54 EEG 2017 vorzunehmen ist, erfolgt diese erst anschließend von dem bereits gerundeten Wert.</t>
        </r>
      </text>
    </comment>
    <comment ref="I5324" authorId="1" shapeId="0">
      <text>
        <r>
          <rPr>
            <sz val="9"/>
            <color indexed="81"/>
            <rFont val="Tahoma"/>
            <family val="2"/>
          </rPr>
          <t>Der Mieterstromzuschlag ist im Fall eines Ausschreibungsverfahren  irrelevant, da sich beide gegenseitig ausschließen.</t>
        </r>
      </text>
    </comment>
    <comment ref="F5326" authorId="8" shapeId="0">
      <text>
        <r>
          <rPr>
            <sz val="8"/>
            <color indexed="81"/>
            <rFont val="Tahoma"/>
            <family val="2"/>
          </rPr>
          <t>Die Einspeisevergütung ist für Anlagen, die einen Zuschlag bei einer Ausschreibung erhalten haben, nicht zulässig.</t>
        </r>
      </text>
    </comment>
    <comment ref="G5326" authorId="8" shapeId="0">
      <text>
        <r>
          <rPr>
            <sz val="8"/>
            <color indexed="81"/>
            <rFont val="Tahoma"/>
            <family val="2"/>
          </rPr>
          <t>Der Anzulegende Wert ergibt sich aus der Förderberechtigung der jeweiligen Biomasseanlage.</t>
        </r>
      </text>
    </comment>
    <comment ref="H5326" authorId="8" shapeId="0">
      <text>
        <r>
          <rPr>
            <sz val="8"/>
            <color indexed="81"/>
            <rFont val="Tahoma"/>
            <family val="2"/>
          </rPr>
          <t>Die Ausfallvergütung ergibt sich aus dem Anzulegendem Wert der Förderberechtigung der jeweiligen Biomasseanlage, der mit 0,8 zu multiplizieren und auf zwei Nachkommastellen (bezogen auf ct/kWh) zu runden ist.</t>
        </r>
      </text>
    </comment>
    <comment ref="F5327" authorId="8" shapeId="0">
      <text>
        <r>
          <rPr>
            <sz val="8"/>
            <color indexed="81"/>
            <rFont val="Tahoma"/>
            <family val="2"/>
          </rPr>
          <t>Die Einspeisevergütung ist für Anlagen, die einen Zuschlag bei einer Ausschreibung erhalten haben, nicht zulässig.</t>
        </r>
      </text>
    </comment>
    <comment ref="G5327" authorId="8" shapeId="0">
      <text>
        <r>
          <rPr>
            <sz val="8"/>
            <color indexed="81"/>
            <rFont val="Tahoma"/>
            <family val="2"/>
          </rPr>
          <t>Der Anzulegende Wert ergibt sich aus der Förderberechtigung der jeweiligen Windenergieanlage.</t>
        </r>
      </text>
    </comment>
    <comment ref="H5327" authorId="8" shapeId="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328" authorId="8" shapeId="0">
      <text>
        <r>
          <rPr>
            <sz val="8"/>
            <color indexed="81"/>
            <rFont val="Tahoma"/>
            <family val="2"/>
          </rPr>
          <t>Die Einspeisevergütung ist für Anlagen, die einen Zuschlag bei einer Ausschreibung erhalten haben, nicht zulässig.</t>
        </r>
      </text>
    </comment>
    <comment ref="G5328" authorId="8" shapeId="0">
      <text>
        <r>
          <rPr>
            <sz val="8"/>
            <color indexed="81"/>
            <rFont val="Tahoma"/>
            <family val="2"/>
          </rPr>
          <t>Der Anzulegende Wert ergibt sich aus der Förderberechtigung der jeweiligen Windenergieanlage.</t>
        </r>
      </text>
    </comment>
    <comment ref="H5328" authorId="8" shapeId="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329" authorId="8" shapeId="0">
      <text>
        <r>
          <rPr>
            <sz val="8"/>
            <color indexed="81"/>
            <rFont val="Tahoma"/>
            <family val="2"/>
          </rPr>
          <t>Die Einspeisevergütung ist für Anlagen, die einen Zuschlag bei einer Ausschreibung erhalten haben, nicht zulässig.</t>
        </r>
      </text>
    </comment>
    <comment ref="G5329" authorId="8" shapeId="0">
      <text>
        <r>
          <rPr>
            <sz val="8"/>
            <color indexed="81"/>
            <rFont val="Tahoma"/>
            <family val="2"/>
          </rPr>
          <t>Der Anzulegende Wert ergibt sich aus der Förderberechtigung der jeweiligen Solaranlage (Freifläche oder Nicht-Gebäude) ggf. nach Abzug der Kürzung gemäß § 54 EEG 2017.</t>
        </r>
      </text>
    </comment>
    <comment ref="H5329" authorId="8" shapeId="0">
      <text>
        <r>
          <rPr>
            <sz val="8"/>
            <color indexed="81"/>
            <rFont val="Tahoma"/>
            <family val="2"/>
          </rPr>
          <t>Die Ausfallvergütung ergibt sich aus dem Anzulegendem Wert der Förderberechtigung der jeweiligen Solaranlage (Freifläche oder Nicht-Gebäude), der mit 0,8 zu multiplizieren und auf zwei Nachkommastellen (bezogen auf ct/kWh) zu runden ist. Sofern eine Kürzung gemäß § 54 EEG 2017 vorzunehmen ist, erfolgt diese erst anschließend von dem bereits gerundeten Wert.</t>
        </r>
      </text>
    </comment>
    <comment ref="F5330" authorId="8" shapeId="0">
      <text>
        <r>
          <rPr>
            <sz val="8"/>
            <color indexed="81"/>
            <rFont val="Tahoma"/>
            <family val="2"/>
          </rPr>
          <t>Die Einspeisevergütung ist für Anlagen, die einen Zuschlag bei einer Ausschreibung erhalten haben, nicht zulässig.</t>
        </r>
      </text>
    </comment>
    <comment ref="G5330" authorId="8" shapeId="0">
      <text>
        <r>
          <rPr>
            <sz val="8"/>
            <color indexed="81"/>
            <rFont val="Tahoma"/>
            <family val="2"/>
          </rPr>
          <t>Der Anzulegende Wert ergibt sich aus der Förderberechtigung der jeweiligen Solaranlage (Gebäude) ggf. nach Abzug der Kürzung gemäß § 54 EEG 2017.</t>
        </r>
      </text>
    </comment>
    <comment ref="H5330" authorId="8" shapeId="0">
      <text>
        <r>
          <rPr>
            <sz val="8"/>
            <color indexed="81"/>
            <rFont val="Tahoma"/>
            <family val="2"/>
          </rPr>
          <t>Die Ausfallvergütung ergibt sich aus dem Anzulegendem Wert der Förderberechtigung der jeweiligen Solaranlage (Gebäude), der mit 0,8 zu multiplizieren und auf zwei Nachkommastellen (bezogen auf ct/kWh) zu runden ist. Sofern eine Kürzung gemäß § 54 EEG 2017 vorzunehmen ist, erfolgt diese erst anschließend von dem bereits gerundeten Wert.</t>
        </r>
      </text>
    </comment>
    <comment ref="I5330" authorId="1" shapeId="0">
      <text>
        <r>
          <rPr>
            <sz val="9"/>
            <color indexed="81"/>
            <rFont val="Tahoma"/>
            <family val="2"/>
          </rPr>
          <t>Der Mieterstromzuschlag ist im Fall eines Ausschreibungsverfahren  irrelevant, da sich beide gegenseitig ausschließen.</t>
        </r>
      </text>
    </comment>
    <comment ref="C5349" authorId="9" shapeId="0">
      <text>
        <r>
          <rPr>
            <sz val="9"/>
            <color indexed="81"/>
            <rFont val="Segoe UI"/>
            <family val="2"/>
          </rPr>
          <t xml:space="preserve">Inbetriebnahme in Klärung
</t>
        </r>
      </text>
    </comment>
    <comment ref="F5357" authorId="4"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357" authorId="4" shapeId="0">
      <text>
        <r>
          <rPr>
            <sz val="9"/>
            <color indexed="81"/>
            <rFont val="Segoe UI"/>
            <family val="2"/>
          </rPr>
          <t>Die Angabe einer Marktprämie ist nicht zulässig</t>
        </r>
      </text>
    </comment>
    <comment ref="H5357" authorId="4" shapeId="0">
      <text>
        <r>
          <rPr>
            <sz val="9"/>
            <color indexed="81"/>
            <rFont val="Segoe UI"/>
            <family val="2"/>
          </rPr>
          <t xml:space="preserve">Die Angabe einer Ausfallvergütung
 ist nicht zulässig </t>
        </r>
      </text>
    </comment>
    <comment ref="F5358" authorId="4"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358" authorId="4" shapeId="0">
      <text>
        <r>
          <rPr>
            <sz val="9"/>
            <color indexed="81"/>
            <rFont val="Segoe UI"/>
            <family val="2"/>
          </rPr>
          <t>Die Angabe einer Marktprämie ist nicht zulässig</t>
        </r>
      </text>
    </comment>
    <comment ref="H5358" authorId="4" shapeId="0">
      <text>
        <r>
          <rPr>
            <sz val="9"/>
            <color indexed="81"/>
            <rFont val="Segoe UI"/>
            <family val="2"/>
          </rPr>
          <t xml:space="preserve">Die Angabe einer Ausfallvergütung
 ist nicht zulässig </t>
        </r>
      </text>
    </comment>
    <comment ref="F5359" authorId="4"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359" authorId="4" shapeId="0">
      <text>
        <r>
          <rPr>
            <sz val="9"/>
            <color indexed="81"/>
            <rFont val="Segoe UI"/>
            <family val="2"/>
          </rPr>
          <t>Die Angabe einer Marktprämie ist nicht zulässig</t>
        </r>
      </text>
    </comment>
    <comment ref="H5359" authorId="4" shapeId="0">
      <text>
        <r>
          <rPr>
            <sz val="9"/>
            <color indexed="81"/>
            <rFont val="Segoe UI"/>
            <family val="2"/>
          </rPr>
          <t xml:space="preserve">Die Angabe einer Ausfallvergütung
 ist nicht zulässig </t>
        </r>
      </text>
    </comment>
    <comment ref="F5360" authorId="4"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360" authorId="4" shapeId="0">
      <text>
        <r>
          <rPr>
            <sz val="9"/>
            <color indexed="81"/>
            <rFont val="Segoe UI"/>
            <family val="2"/>
          </rPr>
          <t>Die Angabe einer Marktprämie ist nicht zulässig</t>
        </r>
      </text>
    </comment>
    <comment ref="H5360" authorId="4" shapeId="0">
      <text>
        <r>
          <rPr>
            <sz val="9"/>
            <color indexed="81"/>
            <rFont val="Segoe UI"/>
            <family val="2"/>
          </rPr>
          <t xml:space="preserve">Die Angabe einer Ausfallvergütung
 ist nicht zulässig </t>
        </r>
      </text>
    </comment>
    <comment ref="F5361" authorId="4"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361" authorId="4" shapeId="0">
      <text>
        <r>
          <rPr>
            <sz val="9"/>
            <color indexed="81"/>
            <rFont val="Segoe UI"/>
            <family val="2"/>
          </rPr>
          <t>Die Angabe einer Marktprämie ist nicht zulässig</t>
        </r>
      </text>
    </comment>
    <comment ref="H5361" authorId="4" shapeId="0">
      <text>
        <r>
          <rPr>
            <sz val="9"/>
            <color indexed="81"/>
            <rFont val="Segoe UI"/>
            <family val="2"/>
          </rPr>
          <t xml:space="preserve">Die Angabe einer Ausfallvergütung
 ist nicht zulässig </t>
        </r>
      </text>
    </comment>
    <comment ref="F5363" authorId="4"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363" authorId="4" shapeId="0">
      <text>
        <r>
          <rPr>
            <sz val="9"/>
            <color indexed="81"/>
            <rFont val="Segoe UI"/>
            <family val="2"/>
          </rPr>
          <t>Die Angabe einer Marktprämie ist nicht zulässig</t>
        </r>
      </text>
    </comment>
    <comment ref="H5363" authorId="4" shapeId="0">
      <text>
        <r>
          <rPr>
            <sz val="9"/>
            <color indexed="81"/>
            <rFont val="Segoe UI"/>
            <family val="2"/>
          </rPr>
          <t xml:space="preserve">Die Angabe einer Ausfallvergütung
 ist nicht zulässig </t>
        </r>
      </text>
    </comment>
    <comment ref="F5364" authorId="4"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364" authorId="4" shapeId="0">
      <text>
        <r>
          <rPr>
            <sz val="9"/>
            <color indexed="81"/>
            <rFont val="Segoe UI"/>
            <family val="2"/>
          </rPr>
          <t>Die Angabe einer Marktprämie ist nicht zulässig</t>
        </r>
      </text>
    </comment>
    <comment ref="H5364" authorId="4" shapeId="0">
      <text>
        <r>
          <rPr>
            <sz val="9"/>
            <color indexed="81"/>
            <rFont val="Segoe UI"/>
            <family val="2"/>
          </rPr>
          <t xml:space="preserve">Die Angabe einer Ausfallvergütung
 ist nicht zulässig </t>
        </r>
      </text>
    </comment>
    <comment ref="F5365" authorId="4"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365" authorId="4" shapeId="0">
      <text>
        <r>
          <rPr>
            <sz val="9"/>
            <color indexed="81"/>
            <rFont val="Segoe UI"/>
            <family val="2"/>
          </rPr>
          <t>Die Angabe einer Marktprämie ist nicht zulässig</t>
        </r>
      </text>
    </comment>
    <comment ref="H5365" authorId="4" shapeId="0">
      <text>
        <r>
          <rPr>
            <sz val="9"/>
            <color indexed="81"/>
            <rFont val="Segoe UI"/>
            <family val="2"/>
          </rPr>
          <t xml:space="preserve">Die Angabe einer Ausfallvergütung
 ist nicht zulässig </t>
        </r>
      </text>
    </comment>
    <comment ref="F5366" authorId="4"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366" authorId="4" shapeId="0">
      <text>
        <r>
          <rPr>
            <sz val="9"/>
            <color indexed="81"/>
            <rFont val="Segoe UI"/>
            <family val="2"/>
          </rPr>
          <t>Die Angabe einer Marktprämie ist nicht zulässig</t>
        </r>
      </text>
    </comment>
    <comment ref="H5366" authorId="4" shapeId="0">
      <text>
        <r>
          <rPr>
            <sz val="9"/>
            <color indexed="81"/>
            <rFont val="Segoe UI"/>
            <family val="2"/>
          </rPr>
          <t xml:space="preserve">Die Angabe einer Ausfallvergütung
 ist nicht zulässig </t>
        </r>
      </text>
    </comment>
    <comment ref="F5367" authorId="4"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367" authorId="4" shapeId="0">
      <text>
        <r>
          <rPr>
            <sz val="9"/>
            <color indexed="81"/>
            <rFont val="Segoe UI"/>
            <family val="2"/>
          </rPr>
          <t>Die Angabe einer Marktprämie ist nicht zulässig</t>
        </r>
      </text>
    </comment>
    <comment ref="H5367" authorId="4" shapeId="0">
      <text>
        <r>
          <rPr>
            <sz val="9"/>
            <color indexed="81"/>
            <rFont val="Segoe UI"/>
            <family val="2"/>
          </rPr>
          <t xml:space="preserve">Die Angabe einer Ausfallvergütung
 ist nicht zulässig </t>
        </r>
      </text>
    </comment>
    <comment ref="F5373" authorId="4" shapeId="0">
      <text>
        <r>
          <rPr>
            <sz val="9"/>
            <color indexed="81"/>
            <rFont val="Segoe UI"/>
            <family val="2"/>
          </rPr>
          <t>Die Ermittlung der Einspeisevergütung  erfolgt eigenverantwortlich durch den Netzbetreiber unter Berücksichtigung der jeweils zu berücksichtigenden gesetzlichen Regelungen.</t>
        </r>
      </text>
    </comment>
    <comment ref="G5374" authorId="4" shapeId="0">
      <text>
        <r>
          <rPr>
            <sz val="9"/>
            <color indexed="81"/>
            <rFont val="Segoe UI"/>
            <family val="2"/>
          </rPr>
          <t>Die Ermittlung der Marktprämie  erfolgt eigenverantwortlich durch den Netzbetreiber unter Berücksichtigung der jeweils zu berücksichtigenden gesetzlichen Regelungen.</t>
        </r>
      </text>
    </comment>
    <comment ref="F5462" authorId="1" shapeId="0">
      <text>
        <r>
          <rPr>
            <sz val="9"/>
            <color indexed="81"/>
            <rFont val="Tahoma"/>
            <family val="2"/>
          </rPr>
          <t>Die Einspeisevergütung ist im Fall der Marktprämien-Direktvermarktung irrelevant, da sich beide gegenseitig ausschließen.</t>
        </r>
      </text>
    </comment>
    <comment ref="G546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2" authorId="1" shapeId="0">
      <text>
        <r>
          <rPr>
            <sz val="9"/>
            <color indexed="81"/>
            <rFont val="Tahoma"/>
            <family val="2"/>
          </rPr>
          <t>Die Ausfallvergütung ist im Fall der Marktprämien-Direktvermarktung irrelevant, da sich beide gegenseitig ausschließen.</t>
        </r>
      </text>
    </comment>
    <comment ref="F5463" authorId="1" shapeId="0">
      <text>
        <r>
          <rPr>
            <sz val="9"/>
            <color indexed="81"/>
            <rFont val="Tahoma"/>
            <family val="2"/>
          </rPr>
          <t>Die Einspeisevergütung ist im Fall der Marktprämien-Direktvermarktung irrelevant, da sich beide gegenseitig ausschließen.</t>
        </r>
      </text>
    </comment>
    <comment ref="G546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3" authorId="1" shapeId="0">
      <text>
        <r>
          <rPr>
            <sz val="9"/>
            <color indexed="81"/>
            <rFont val="Tahoma"/>
            <family val="2"/>
          </rPr>
          <t>Die Ausfallvergütung ist im Fall der Marktprämien-Direktvermarktung irrelevant, da sich beide gegenseitig ausschließen.</t>
        </r>
      </text>
    </comment>
    <comment ref="F5464" authorId="1" shapeId="0">
      <text>
        <r>
          <rPr>
            <sz val="9"/>
            <color indexed="81"/>
            <rFont val="Tahoma"/>
            <family val="2"/>
          </rPr>
          <t>Die Einspeisevergütung ist im Fall der Marktprämien-Direktvermarktung irrelevant, da sich beide gegenseitig ausschließen.</t>
        </r>
      </text>
    </comment>
    <comment ref="G546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4" authorId="1" shapeId="0">
      <text>
        <r>
          <rPr>
            <sz val="9"/>
            <color indexed="81"/>
            <rFont val="Tahoma"/>
            <family val="2"/>
          </rPr>
          <t>Die Ausfallvergütung ist im Fall der Marktprämien-Direktvermarktung irrelevant, da sich beide gegenseitig ausschließen.</t>
        </r>
      </text>
    </comment>
    <comment ref="F5465" authorId="1" shapeId="0">
      <text>
        <r>
          <rPr>
            <sz val="9"/>
            <color indexed="81"/>
            <rFont val="Tahoma"/>
            <family val="2"/>
          </rPr>
          <t>Die Einspeisevergütung ist im Fall der Marktprämien-Direktvermarktung irrelevant, da sich beide gegenseitig ausschließen.</t>
        </r>
      </text>
    </comment>
    <comment ref="G546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5" authorId="1" shapeId="0">
      <text>
        <r>
          <rPr>
            <sz val="9"/>
            <color indexed="81"/>
            <rFont val="Tahoma"/>
            <family val="2"/>
          </rPr>
          <t>Die Ausfallvergütung ist im Fall der Marktprämien-Direktvermarktung irrelevant, da sich beide gegenseitig ausschließen.</t>
        </r>
      </text>
    </comment>
    <comment ref="F5466" authorId="1" shapeId="0">
      <text>
        <r>
          <rPr>
            <sz val="9"/>
            <color indexed="81"/>
            <rFont val="Tahoma"/>
            <family val="2"/>
          </rPr>
          <t>Die Einspeisevergütung ist im Fall der Marktprämien-Direktvermarktung irrelevant, da sich beide gegenseitig ausschließen.</t>
        </r>
      </text>
    </comment>
    <comment ref="G546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6" authorId="1" shapeId="0">
      <text>
        <r>
          <rPr>
            <sz val="9"/>
            <color indexed="81"/>
            <rFont val="Tahoma"/>
            <family val="2"/>
          </rPr>
          <t>Die Ausfallvergütung ist im Fall der Marktprämien-Direktvermarktung irrelevant, da sich beide gegenseitig ausschließen.</t>
        </r>
      </text>
    </comment>
    <comment ref="F5467" authorId="1" shapeId="0">
      <text>
        <r>
          <rPr>
            <sz val="9"/>
            <color indexed="81"/>
            <rFont val="Tahoma"/>
            <family val="2"/>
          </rPr>
          <t>Die Einspeisevergütung ist im Fall der Marktprämien-Direktvermarktung irrelevant, da sich beide gegenseitig ausschließen.</t>
        </r>
      </text>
    </comment>
    <comment ref="G546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7" authorId="1" shapeId="0">
      <text>
        <r>
          <rPr>
            <sz val="9"/>
            <color indexed="81"/>
            <rFont val="Tahoma"/>
            <family val="2"/>
          </rPr>
          <t>Die Ausfallvergütung ist im Fall der Marktprämien-Direktvermarktung irrelevant, da sich beide gegenseitig ausschließen.</t>
        </r>
      </text>
    </comment>
    <comment ref="F5468" authorId="1" shapeId="0">
      <text>
        <r>
          <rPr>
            <sz val="9"/>
            <color indexed="81"/>
            <rFont val="Tahoma"/>
            <family val="2"/>
          </rPr>
          <t>Die Einspeisevergütung ist im Fall der Marktprämien-Direktvermarktung irrelevant, da sich beide gegenseitig ausschließen.</t>
        </r>
      </text>
    </comment>
    <comment ref="G546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8" authorId="1" shapeId="0">
      <text>
        <r>
          <rPr>
            <sz val="9"/>
            <color indexed="81"/>
            <rFont val="Tahoma"/>
            <family val="2"/>
          </rPr>
          <t>Die Ausfallvergütung ist im Fall der Marktprämien-Direktvermarktung irrelevant, da sich beide gegenseitig ausschließen.</t>
        </r>
      </text>
    </comment>
    <comment ref="F5469" authorId="1" shapeId="0">
      <text>
        <r>
          <rPr>
            <sz val="9"/>
            <color indexed="81"/>
            <rFont val="Tahoma"/>
            <family val="2"/>
          </rPr>
          <t>Die Einspeisevergütung ist im Fall der Marktprämien-Direktvermarktung irrelevant, da sich beide gegenseitig ausschließen.</t>
        </r>
      </text>
    </comment>
    <comment ref="G546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9" authorId="1" shapeId="0">
      <text>
        <r>
          <rPr>
            <sz val="9"/>
            <color indexed="81"/>
            <rFont val="Tahoma"/>
            <family val="2"/>
          </rPr>
          <t>Die Ausfallvergütung ist im Fall der Marktprämien-Direktvermarktung irrelevant, da sich beide gegenseitig ausschließen.</t>
        </r>
      </text>
    </comment>
    <comment ref="F5470" authorId="1" shapeId="0">
      <text>
        <r>
          <rPr>
            <sz val="9"/>
            <color indexed="81"/>
            <rFont val="Tahoma"/>
            <family val="2"/>
          </rPr>
          <t>Die Einspeisevergütung ist im Fall der Marktprämien-Direktvermarktung irrelevant, da sich beide gegenseitig ausschließen.</t>
        </r>
      </text>
    </comment>
    <comment ref="G547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0" authorId="1" shapeId="0">
      <text>
        <r>
          <rPr>
            <sz val="9"/>
            <color indexed="81"/>
            <rFont val="Tahoma"/>
            <family val="2"/>
          </rPr>
          <t>Die Ausfallvergütung ist im Fall der Marktprämien-Direktvermarktung irrelevant, da sich beide gegenseitig ausschließen.</t>
        </r>
      </text>
    </comment>
    <comment ref="F5471" authorId="1" shapeId="0">
      <text>
        <r>
          <rPr>
            <sz val="9"/>
            <color indexed="81"/>
            <rFont val="Tahoma"/>
            <family val="2"/>
          </rPr>
          <t>Die Einspeisevergütung ist im Fall der Marktprämien-Direktvermarktung irrelevant, da sich beide gegenseitig ausschließen.</t>
        </r>
      </text>
    </comment>
    <comment ref="G547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1" authorId="1" shapeId="0">
      <text>
        <r>
          <rPr>
            <sz val="9"/>
            <color indexed="81"/>
            <rFont val="Tahoma"/>
            <family val="2"/>
          </rPr>
          <t>Die Ausfallvergütung ist im Fall der Marktprämien-Direktvermarktung irrelevant, da sich beide gegenseitig ausschließen.</t>
        </r>
      </text>
    </comment>
    <comment ref="F5472" authorId="1" shapeId="0">
      <text>
        <r>
          <rPr>
            <sz val="9"/>
            <color indexed="81"/>
            <rFont val="Tahoma"/>
            <family val="2"/>
          </rPr>
          <t>Die Einspeisevergütung ist im Fall der Marktprämien-Direktvermarktung irrelevant, da sich beide gegenseitig ausschließen.</t>
        </r>
      </text>
    </comment>
    <comment ref="G547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2" authorId="1" shapeId="0">
      <text>
        <r>
          <rPr>
            <sz val="9"/>
            <color indexed="81"/>
            <rFont val="Tahoma"/>
            <family val="2"/>
          </rPr>
          <t>Die Ausfallvergütung ist im Fall der Marktprämien-Direktvermarktung irrelevant, da sich beide gegenseitig ausschließen.</t>
        </r>
      </text>
    </comment>
    <comment ref="F5473" authorId="1" shapeId="0">
      <text>
        <r>
          <rPr>
            <sz val="9"/>
            <color indexed="81"/>
            <rFont val="Tahoma"/>
            <family val="2"/>
          </rPr>
          <t>Die Einspeisevergütung ist im Fall der Marktprämien-Direktvermarktung irrelevant, da sich beide gegenseitig ausschließen.</t>
        </r>
      </text>
    </comment>
    <comment ref="G547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3" authorId="1" shapeId="0">
      <text>
        <r>
          <rPr>
            <sz val="9"/>
            <color indexed="81"/>
            <rFont val="Tahoma"/>
            <family val="2"/>
          </rPr>
          <t>Die Ausfallvergütung ist im Fall der Marktprämien-Direktvermarktung irrelevant, da sich beide gegenseitig ausschließen.</t>
        </r>
      </text>
    </comment>
    <comment ref="F5475" authorId="1" shapeId="0">
      <text>
        <r>
          <rPr>
            <sz val="9"/>
            <color indexed="81"/>
            <rFont val="Tahoma"/>
            <family val="2"/>
          </rPr>
          <t>Die Einspeisevergütung ist im Fall der Marktprämien-Direktvermarktung irrelevant, da sich beide gegenseitig ausschließen.</t>
        </r>
      </text>
    </comment>
    <comment ref="G547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5" authorId="1" shapeId="0">
      <text>
        <r>
          <rPr>
            <sz val="9"/>
            <color indexed="81"/>
            <rFont val="Tahoma"/>
            <family val="2"/>
          </rPr>
          <t>Die Ausfallvergütung ist im Fall der Marktprämien-Direktvermarktung irrelevant, da sich beide gegenseitig ausschließen.</t>
        </r>
      </text>
    </comment>
    <comment ref="F5476" authorId="1" shapeId="0">
      <text>
        <r>
          <rPr>
            <sz val="9"/>
            <color indexed="81"/>
            <rFont val="Tahoma"/>
            <family val="2"/>
          </rPr>
          <t>Die Einspeisevergütung ist im Fall der Marktprämien-Direktvermarktung irrelevant, da sich beide gegenseitig ausschließen.</t>
        </r>
      </text>
    </comment>
    <comment ref="G547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6" authorId="1" shapeId="0">
      <text>
        <r>
          <rPr>
            <sz val="9"/>
            <color indexed="81"/>
            <rFont val="Tahoma"/>
            <family val="2"/>
          </rPr>
          <t>Die Ausfallvergütung ist im Fall der Marktprämien-Direktvermarktung irrelevant, da sich beide gegenseitig ausschließen.</t>
        </r>
      </text>
    </comment>
    <comment ref="F5477" authorId="1" shapeId="0">
      <text>
        <r>
          <rPr>
            <sz val="9"/>
            <color indexed="81"/>
            <rFont val="Tahoma"/>
            <family val="2"/>
          </rPr>
          <t>Die Einspeisevergütung ist im Fall der Marktprämien-Direktvermarktung irrelevant, da sich beide gegenseitig ausschließen.</t>
        </r>
      </text>
    </comment>
    <comment ref="G547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7" authorId="1" shapeId="0">
      <text>
        <r>
          <rPr>
            <sz val="9"/>
            <color indexed="81"/>
            <rFont val="Tahoma"/>
            <family val="2"/>
          </rPr>
          <t>Die Ausfallvergütung ist im Fall der Marktprämien-Direktvermarktung irrelevant, da sich beide gegenseitig ausschließen.</t>
        </r>
      </text>
    </comment>
    <comment ref="F5478" authorId="1" shapeId="0">
      <text>
        <r>
          <rPr>
            <sz val="9"/>
            <color indexed="81"/>
            <rFont val="Tahoma"/>
            <family val="2"/>
          </rPr>
          <t>Die Einspeisevergütung ist im Fall der Marktprämien-Direktvermarktung irrelevant, da sich beide gegenseitig ausschließen.</t>
        </r>
      </text>
    </comment>
    <comment ref="G547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8" authorId="1" shapeId="0">
      <text>
        <r>
          <rPr>
            <sz val="9"/>
            <color indexed="81"/>
            <rFont val="Tahoma"/>
            <family val="2"/>
          </rPr>
          <t>Die Ausfallvergütung ist im Fall der Marktprämien-Direktvermarktung irrelevant, da sich beide gegenseitig ausschließen.</t>
        </r>
      </text>
    </comment>
    <comment ref="F5479" authorId="1" shapeId="0">
      <text>
        <r>
          <rPr>
            <sz val="9"/>
            <color indexed="81"/>
            <rFont val="Tahoma"/>
            <family val="2"/>
          </rPr>
          <t>Die Einspeisevergütung ist im Fall der Marktprämien-Direktvermarktung irrelevant, da sich beide gegenseitig ausschließen.</t>
        </r>
      </text>
    </comment>
    <comment ref="G547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9" authorId="1" shapeId="0">
      <text>
        <r>
          <rPr>
            <sz val="9"/>
            <color indexed="81"/>
            <rFont val="Tahoma"/>
            <family val="2"/>
          </rPr>
          <t>Die Ausfallvergütung ist im Fall der Marktprämien-Direktvermarktung irrelevant, da sich beide gegenseitig ausschließen.</t>
        </r>
      </text>
    </comment>
    <comment ref="F5480" authorId="1" shapeId="0">
      <text>
        <r>
          <rPr>
            <sz val="9"/>
            <color indexed="81"/>
            <rFont val="Tahoma"/>
            <family val="2"/>
          </rPr>
          <t>Die Einspeisevergütung ist im Fall der Marktprämien-Direktvermarktung irrelevant, da sich beide gegenseitig ausschließen.</t>
        </r>
      </text>
    </comment>
    <comment ref="G548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0" authorId="1" shapeId="0">
      <text>
        <r>
          <rPr>
            <sz val="9"/>
            <color indexed="81"/>
            <rFont val="Tahoma"/>
            <family val="2"/>
          </rPr>
          <t>Die Ausfallvergütung ist im Fall der Marktprämien-Direktvermarktung irrelevant, da sich beide gegenseitig ausschließen.</t>
        </r>
      </text>
    </comment>
    <comment ref="F5481" authorId="1" shapeId="0">
      <text>
        <r>
          <rPr>
            <sz val="9"/>
            <color indexed="81"/>
            <rFont val="Tahoma"/>
            <family val="2"/>
          </rPr>
          <t>Die Einspeisevergütung ist im Fall der Marktprämien-Direktvermarktung irrelevant, da sich beide gegenseitig ausschließen.</t>
        </r>
      </text>
    </comment>
    <comment ref="G548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1" authorId="1" shapeId="0">
      <text>
        <r>
          <rPr>
            <sz val="9"/>
            <color indexed="81"/>
            <rFont val="Tahoma"/>
            <family val="2"/>
          </rPr>
          <t>Die Ausfallvergütung ist im Fall der Marktprämien-Direktvermarktung irrelevant, da sich beide gegenseitig ausschließen.</t>
        </r>
      </text>
    </comment>
    <comment ref="F5482" authorId="1" shapeId="0">
      <text>
        <r>
          <rPr>
            <sz val="9"/>
            <color indexed="81"/>
            <rFont val="Tahoma"/>
            <family val="2"/>
          </rPr>
          <t>Die Einspeisevergütung ist im Fall der Marktprämien-Direktvermarktung irrelevant, da sich beide gegenseitig ausschließen.</t>
        </r>
      </text>
    </comment>
    <comment ref="G548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2" authorId="1" shapeId="0">
      <text>
        <r>
          <rPr>
            <sz val="9"/>
            <color indexed="81"/>
            <rFont val="Tahoma"/>
            <family val="2"/>
          </rPr>
          <t>Die Ausfallvergütung ist im Fall der Marktprämien-Direktvermarktung irrelevant, da sich beide gegenseitig ausschließen.</t>
        </r>
      </text>
    </comment>
    <comment ref="F5483" authorId="1" shapeId="0">
      <text>
        <r>
          <rPr>
            <sz val="9"/>
            <color indexed="81"/>
            <rFont val="Tahoma"/>
            <family val="2"/>
          </rPr>
          <t>Die Einspeisevergütung ist im Fall der Marktprämien-Direktvermarktung irrelevant, da sich beide gegenseitig ausschließen.</t>
        </r>
      </text>
    </comment>
    <comment ref="G548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3" authorId="1" shapeId="0">
      <text>
        <r>
          <rPr>
            <sz val="9"/>
            <color indexed="81"/>
            <rFont val="Tahoma"/>
            <family val="2"/>
          </rPr>
          <t>Die Ausfallvergütung ist im Fall der Marktprämien-Direktvermarktung irrelevant, da sich beide gegenseitig ausschließen.</t>
        </r>
      </text>
    </comment>
    <comment ref="F5484" authorId="1" shapeId="0">
      <text>
        <r>
          <rPr>
            <sz val="9"/>
            <color indexed="81"/>
            <rFont val="Tahoma"/>
            <family val="2"/>
          </rPr>
          <t>Die Einspeisevergütung ist im Fall der Marktprämien-Direktvermarktung irrelevant, da sich beide gegenseitig ausschließen.</t>
        </r>
      </text>
    </comment>
    <comment ref="G548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4" authorId="1" shapeId="0">
      <text>
        <r>
          <rPr>
            <sz val="9"/>
            <color indexed="81"/>
            <rFont val="Tahoma"/>
            <family val="2"/>
          </rPr>
          <t>Die Ausfallvergütung ist im Fall der Marktprämien-Direktvermarktung irrelevant, da sich beide gegenseitig ausschließen.</t>
        </r>
      </text>
    </comment>
    <comment ref="F5485" authorId="1" shapeId="0">
      <text>
        <r>
          <rPr>
            <sz val="9"/>
            <color indexed="81"/>
            <rFont val="Tahoma"/>
            <family val="2"/>
          </rPr>
          <t>Die Einspeisevergütung ist im Fall der Marktprämien-Direktvermarktung irrelevant, da sich beide gegenseitig ausschließen.</t>
        </r>
      </text>
    </comment>
    <comment ref="G548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5" authorId="1" shapeId="0">
      <text>
        <r>
          <rPr>
            <sz val="9"/>
            <color indexed="81"/>
            <rFont val="Tahoma"/>
            <family val="2"/>
          </rPr>
          <t>Die Ausfallvergütung ist im Fall der Marktprämien-Direktvermarktung irrelevant, da sich beide gegenseitig ausschließen.</t>
        </r>
      </text>
    </comment>
    <comment ref="F5486" authorId="1" shapeId="0">
      <text>
        <r>
          <rPr>
            <sz val="9"/>
            <color indexed="81"/>
            <rFont val="Tahoma"/>
            <family val="2"/>
          </rPr>
          <t>Die Einspeisevergütung ist im Fall der Marktprämien-Direktvermarktung irrelevant, da sich beide gegenseitig ausschließen.</t>
        </r>
      </text>
    </comment>
    <comment ref="G548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6" authorId="1" shapeId="0">
      <text>
        <r>
          <rPr>
            <sz val="9"/>
            <color indexed="81"/>
            <rFont val="Tahoma"/>
            <family val="2"/>
          </rPr>
          <t>Die Ausfallvergütung ist im Fall der Marktprämien-Direktvermarktung irrelevant, da sich beide gegenseitig ausschließen.</t>
        </r>
      </text>
    </comment>
    <comment ref="F5488" authorId="1" shapeId="0">
      <text>
        <r>
          <rPr>
            <sz val="9"/>
            <color indexed="81"/>
            <rFont val="Tahoma"/>
            <family val="2"/>
          </rPr>
          <t>Die Einspeisevergütung ist im Fall der Marktprämien-Direktvermarktung irrelevant, da sich beide gegenseitig ausschließen.</t>
        </r>
      </text>
    </comment>
    <comment ref="G548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8" authorId="1" shapeId="0">
      <text>
        <r>
          <rPr>
            <sz val="9"/>
            <color indexed="81"/>
            <rFont val="Tahoma"/>
            <family val="2"/>
          </rPr>
          <t>Die Ausfallvergütung ist im Fall der Marktprämien-Direktvermarktung irrelevant, da sich beide gegenseitig ausschließen.</t>
        </r>
      </text>
    </comment>
    <comment ref="F5489" authorId="1" shapeId="0">
      <text>
        <r>
          <rPr>
            <sz val="9"/>
            <color indexed="81"/>
            <rFont val="Tahoma"/>
            <family val="2"/>
          </rPr>
          <t>Die Einspeisevergütung ist im Fall der Marktprämien-Direktvermarktung irrelevant, da sich beide gegenseitig ausschließen.</t>
        </r>
      </text>
    </comment>
    <comment ref="G548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9" authorId="1" shapeId="0">
      <text>
        <r>
          <rPr>
            <sz val="9"/>
            <color indexed="81"/>
            <rFont val="Tahoma"/>
            <family val="2"/>
          </rPr>
          <t>Die Ausfallvergütung ist im Fall der Marktprämien-Direktvermarktung irrelevant, da sich beide gegenseitig ausschließen.</t>
        </r>
      </text>
    </comment>
    <comment ref="F5490" authorId="1" shapeId="0">
      <text>
        <r>
          <rPr>
            <sz val="9"/>
            <color indexed="81"/>
            <rFont val="Tahoma"/>
            <family val="2"/>
          </rPr>
          <t>Die Einspeisevergütung ist im Fall der Marktprämien-Direktvermarktung irrelevant, da sich beide gegenseitig ausschließen.</t>
        </r>
      </text>
    </comment>
    <comment ref="G549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0" authorId="1" shapeId="0">
      <text>
        <r>
          <rPr>
            <sz val="9"/>
            <color indexed="81"/>
            <rFont val="Tahoma"/>
            <family val="2"/>
          </rPr>
          <t>Die Ausfallvergütung ist im Fall der Marktprämien-Direktvermarktung irrelevant, da sich beide gegenseitig ausschließen.</t>
        </r>
      </text>
    </comment>
    <comment ref="F5491" authorId="1" shapeId="0">
      <text>
        <r>
          <rPr>
            <sz val="9"/>
            <color indexed="81"/>
            <rFont val="Tahoma"/>
            <family val="2"/>
          </rPr>
          <t>Die Einspeisevergütung ist im Fall der Marktprämien-Direktvermarktung irrelevant, da sich beide gegenseitig ausschließen.</t>
        </r>
      </text>
    </comment>
    <comment ref="G549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1" authorId="1" shapeId="0">
      <text>
        <r>
          <rPr>
            <sz val="9"/>
            <color indexed="81"/>
            <rFont val="Tahoma"/>
            <family val="2"/>
          </rPr>
          <t>Die Ausfallvergütung ist im Fall der Marktprämien-Direktvermarktung irrelevant, da sich beide gegenseitig ausschließen.</t>
        </r>
      </text>
    </comment>
    <comment ref="F5492" authorId="1" shapeId="0">
      <text>
        <r>
          <rPr>
            <sz val="9"/>
            <color indexed="81"/>
            <rFont val="Tahoma"/>
            <family val="2"/>
          </rPr>
          <t>Die Einspeisevergütung ist im Fall der Marktprämien-Direktvermarktung irrelevant, da sich beide gegenseitig ausschließen.</t>
        </r>
      </text>
    </comment>
    <comment ref="G549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2" authorId="1" shapeId="0">
      <text>
        <r>
          <rPr>
            <sz val="9"/>
            <color indexed="81"/>
            <rFont val="Tahoma"/>
            <family val="2"/>
          </rPr>
          <t>Die Ausfallvergütung ist im Fall der Marktprämien-Direktvermarktung irrelevant, da sich beide gegenseitig ausschließen.</t>
        </r>
      </text>
    </comment>
    <comment ref="F5493" authorId="1" shapeId="0">
      <text>
        <r>
          <rPr>
            <sz val="9"/>
            <color indexed="81"/>
            <rFont val="Tahoma"/>
            <family val="2"/>
          </rPr>
          <t>Die Einspeisevergütung ist im Fall der Marktprämien-Direktvermarktung irrelevant, da sich beide gegenseitig ausschließen.</t>
        </r>
      </text>
    </comment>
    <comment ref="G549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3" authorId="1" shapeId="0">
      <text>
        <r>
          <rPr>
            <sz val="9"/>
            <color indexed="81"/>
            <rFont val="Tahoma"/>
            <family val="2"/>
          </rPr>
          <t>Die Ausfallvergütung ist im Fall der Marktprämien-Direktvermarktung irrelevant, da sich beide gegenseitig ausschließen.</t>
        </r>
      </text>
    </comment>
    <comment ref="F5494" authorId="1" shapeId="0">
      <text>
        <r>
          <rPr>
            <sz val="9"/>
            <color indexed="81"/>
            <rFont val="Tahoma"/>
            <family val="2"/>
          </rPr>
          <t>Die Einspeisevergütung ist im Fall der Marktprämien-Direktvermarktung irrelevant, da sich beide gegenseitig ausschließen.</t>
        </r>
      </text>
    </comment>
    <comment ref="G549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4" authorId="1" shapeId="0">
      <text>
        <r>
          <rPr>
            <sz val="9"/>
            <color indexed="81"/>
            <rFont val="Tahoma"/>
            <family val="2"/>
          </rPr>
          <t>Die Ausfallvergütung ist im Fall der Marktprämien-Direktvermarktung irrelevant, da sich beide gegenseitig ausschließen.</t>
        </r>
      </text>
    </comment>
    <comment ref="F5495" authorId="1" shapeId="0">
      <text>
        <r>
          <rPr>
            <sz val="9"/>
            <color indexed="81"/>
            <rFont val="Tahoma"/>
            <family val="2"/>
          </rPr>
          <t>Die Einspeisevergütung ist im Fall der Marktprämien-Direktvermarktung irrelevant, da sich beide gegenseitig ausschließen.</t>
        </r>
      </text>
    </comment>
    <comment ref="G549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5" authorId="1" shapeId="0">
      <text>
        <r>
          <rPr>
            <sz val="9"/>
            <color indexed="81"/>
            <rFont val="Tahoma"/>
            <family val="2"/>
          </rPr>
          <t>Die Ausfallvergütung ist im Fall der Marktprämien-Direktvermarktung irrelevant, da sich beide gegenseitig ausschließen.</t>
        </r>
      </text>
    </comment>
    <comment ref="F5496" authorId="1" shapeId="0">
      <text>
        <r>
          <rPr>
            <sz val="9"/>
            <color indexed="81"/>
            <rFont val="Tahoma"/>
            <family val="2"/>
          </rPr>
          <t>Die Einspeisevergütung ist im Fall der Marktprämien-Direktvermarktung irrelevant, da sich beide gegenseitig ausschließen.</t>
        </r>
      </text>
    </comment>
    <comment ref="G549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6" authorId="1" shapeId="0">
      <text>
        <r>
          <rPr>
            <sz val="9"/>
            <color indexed="81"/>
            <rFont val="Tahoma"/>
            <family val="2"/>
          </rPr>
          <t>Die Ausfallvergütung ist im Fall der Marktprämien-Direktvermarktung irrelevant, da sich beide gegenseitig ausschließen.</t>
        </r>
      </text>
    </comment>
    <comment ref="F5497" authorId="1" shapeId="0">
      <text>
        <r>
          <rPr>
            <sz val="9"/>
            <color indexed="81"/>
            <rFont val="Tahoma"/>
            <family val="2"/>
          </rPr>
          <t>Die Einspeisevergütung ist im Fall der Marktprämien-Direktvermarktung irrelevant, da sich beide gegenseitig ausschließen.</t>
        </r>
      </text>
    </comment>
    <comment ref="G549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7" authorId="1" shapeId="0">
      <text>
        <r>
          <rPr>
            <sz val="9"/>
            <color indexed="81"/>
            <rFont val="Tahoma"/>
            <family val="2"/>
          </rPr>
          <t>Die Ausfallvergütung ist im Fall der Marktprämien-Direktvermarktung irrelevant, da sich beide gegenseitig ausschließen.</t>
        </r>
      </text>
    </comment>
    <comment ref="F5498" authorId="1" shapeId="0">
      <text>
        <r>
          <rPr>
            <sz val="9"/>
            <color indexed="81"/>
            <rFont val="Tahoma"/>
            <family val="2"/>
          </rPr>
          <t>Die Einspeisevergütung ist im Fall der Marktprämien-Direktvermarktung irrelevant, da sich beide gegenseitig ausschließen.</t>
        </r>
      </text>
    </comment>
    <comment ref="G549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8" authorId="1" shapeId="0">
      <text>
        <r>
          <rPr>
            <sz val="9"/>
            <color indexed="81"/>
            <rFont val="Tahoma"/>
            <family val="2"/>
          </rPr>
          <t>Die Ausfallvergütung ist im Fall der Marktprämien-Direktvermarktung irrelevant, da sich beide gegenseitig ausschließen.</t>
        </r>
      </text>
    </comment>
    <comment ref="F5499" authorId="1" shapeId="0">
      <text>
        <r>
          <rPr>
            <sz val="9"/>
            <color indexed="81"/>
            <rFont val="Tahoma"/>
            <family val="2"/>
          </rPr>
          <t>Die Einspeisevergütung ist im Fall der Marktprämien-Direktvermarktung irrelevant, da sich beide gegenseitig ausschließen.</t>
        </r>
      </text>
    </comment>
    <comment ref="G549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9" authorId="1" shapeId="0">
      <text>
        <r>
          <rPr>
            <sz val="9"/>
            <color indexed="81"/>
            <rFont val="Tahoma"/>
            <family val="2"/>
          </rPr>
          <t>Die Ausfallvergütung ist im Fall der Marktprämien-Direktvermarktung irrelevant, da sich beide gegenseitig ausschließen.</t>
        </r>
      </text>
    </comment>
    <comment ref="F5501" authorId="1" shapeId="0">
      <text>
        <r>
          <rPr>
            <sz val="9"/>
            <color indexed="81"/>
            <rFont val="Tahoma"/>
            <family val="2"/>
          </rPr>
          <t>Die Einspeisevergütung ist im Fall der Marktprämien-Direktvermarktung irrelevant, da sich beide gegenseitig ausschließen.</t>
        </r>
      </text>
    </comment>
    <comment ref="G550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1" authorId="1" shapeId="0">
      <text>
        <r>
          <rPr>
            <sz val="9"/>
            <color indexed="81"/>
            <rFont val="Tahoma"/>
            <family val="2"/>
          </rPr>
          <t>Die Ausfallvergütung ist im Fall der Marktprämien-Direktvermarktung irrelevant, da sich beide gegenseitig ausschließen.</t>
        </r>
      </text>
    </comment>
    <comment ref="F5502" authorId="1" shapeId="0">
      <text>
        <r>
          <rPr>
            <sz val="9"/>
            <color indexed="81"/>
            <rFont val="Tahoma"/>
            <family val="2"/>
          </rPr>
          <t>Die Einspeisevergütung ist im Fall der Marktprämien-Direktvermarktung irrelevant, da sich beide gegenseitig ausschließen.</t>
        </r>
      </text>
    </comment>
    <comment ref="G550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2" authorId="1" shapeId="0">
      <text>
        <r>
          <rPr>
            <sz val="9"/>
            <color indexed="81"/>
            <rFont val="Tahoma"/>
            <family val="2"/>
          </rPr>
          <t>Die Ausfallvergütung ist im Fall der Marktprämien-Direktvermarktung irrelevant, da sich beide gegenseitig ausschließen.</t>
        </r>
      </text>
    </comment>
    <comment ref="F5503" authorId="1" shapeId="0">
      <text>
        <r>
          <rPr>
            <sz val="9"/>
            <color indexed="81"/>
            <rFont val="Tahoma"/>
            <family val="2"/>
          </rPr>
          <t>Die Einspeisevergütung ist im Fall der Marktprämien-Direktvermarktung irrelevant, da sich beide gegenseitig ausschließen.</t>
        </r>
      </text>
    </comment>
    <comment ref="G550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3" authorId="1" shapeId="0">
      <text>
        <r>
          <rPr>
            <sz val="9"/>
            <color indexed="81"/>
            <rFont val="Tahoma"/>
            <family val="2"/>
          </rPr>
          <t>Die Ausfallvergütung ist im Fall der Marktprämien-Direktvermarktung irrelevant, da sich beide gegenseitig ausschließen.</t>
        </r>
      </text>
    </comment>
    <comment ref="F5504" authorId="1" shapeId="0">
      <text>
        <r>
          <rPr>
            <sz val="9"/>
            <color indexed="81"/>
            <rFont val="Tahoma"/>
            <family val="2"/>
          </rPr>
          <t>Die Einspeisevergütung ist im Fall der Marktprämien-Direktvermarktung irrelevant, da sich beide gegenseitig ausschließen.</t>
        </r>
      </text>
    </comment>
    <comment ref="G550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4" authorId="1" shapeId="0">
      <text>
        <r>
          <rPr>
            <sz val="9"/>
            <color indexed="81"/>
            <rFont val="Tahoma"/>
            <family val="2"/>
          </rPr>
          <t>Die Ausfallvergütung ist im Fall der Marktprämien-Direktvermarktung irrelevant, da sich beide gegenseitig ausschließen.</t>
        </r>
      </text>
    </comment>
    <comment ref="F5505" authorId="1" shapeId="0">
      <text>
        <r>
          <rPr>
            <sz val="9"/>
            <color indexed="81"/>
            <rFont val="Tahoma"/>
            <family val="2"/>
          </rPr>
          <t>Die Einspeisevergütung ist im Fall der Marktprämien-Direktvermarktung irrelevant, da sich beide gegenseitig ausschließen.</t>
        </r>
      </text>
    </comment>
    <comment ref="G550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5" authorId="1" shapeId="0">
      <text>
        <r>
          <rPr>
            <sz val="9"/>
            <color indexed="81"/>
            <rFont val="Tahoma"/>
            <family val="2"/>
          </rPr>
          <t>Die Ausfallvergütung ist im Fall der Marktprämien-Direktvermarktung irrelevant, da sich beide gegenseitig ausschließen.</t>
        </r>
      </text>
    </comment>
    <comment ref="F5506" authorId="1" shapeId="0">
      <text>
        <r>
          <rPr>
            <sz val="9"/>
            <color indexed="81"/>
            <rFont val="Tahoma"/>
            <family val="2"/>
          </rPr>
          <t>Die Einspeisevergütung ist im Fall der Marktprämien-Direktvermarktung irrelevant, da sich beide gegenseitig ausschließen.</t>
        </r>
      </text>
    </comment>
    <comment ref="G550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6" authorId="1" shapeId="0">
      <text>
        <r>
          <rPr>
            <sz val="9"/>
            <color indexed="81"/>
            <rFont val="Tahoma"/>
            <family val="2"/>
          </rPr>
          <t>Die Ausfallvergütung ist im Fall der Marktprämien-Direktvermarktung irrelevant, da sich beide gegenseitig ausschließen.</t>
        </r>
      </text>
    </comment>
    <comment ref="F5507" authorId="1" shapeId="0">
      <text>
        <r>
          <rPr>
            <sz val="9"/>
            <color indexed="81"/>
            <rFont val="Tahoma"/>
            <family val="2"/>
          </rPr>
          <t>Die Einspeisevergütung ist im Fall der Marktprämien-Direktvermarktung irrelevant, da sich beide gegenseitig ausschließen.</t>
        </r>
      </text>
    </comment>
    <comment ref="G550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7" authorId="1" shapeId="0">
      <text>
        <r>
          <rPr>
            <sz val="9"/>
            <color indexed="81"/>
            <rFont val="Tahoma"/>
            <family val="2"/>
          </rPr>
          <t>Die Ausfallvergütung ist im Fall der Marktprämien-Direktvermarktung irrelevant, da sich beide gegenseitig ausschließen.</t>
        </r>
      </text>
    </comment>
    <comment ref="F5508" authorId="1" shapeId="0">
      <text>
        <r>
          <rPr>
            <sz val="9"/>
            <color indexed="81"/>
            <rFont val="Tahoma"/>
            <family val="2"/>
          </rPr>
          <t>Die Einspeisevergütung ist im Fall der Marktprämien-Direktvermarktung irrelevant, da sich beide gegenseitig ausschließen.</t>
        </r>
      </text>
    </comment>
    <comment ref="G550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8" authorId="1" shapeId="0">
      <text>
        <r>
          <rPr>
            <sz val="9"/>
            <color indexed="81"/>
            <rFont val="Tahoma"/>
            <family val="2"/>
          </rPr>
          <t>Die Ausfallvergütung ist im Fall der Marktprämien-Direktvermarktung irrelevant, da sich beide gegenseitig ausschließen.</t>
        </r>
      </text>
    </comment>
    <comment ref="F5509" authorId="1" shapeId="0">
      <text>
        <r>
          <rPr>
            <sz val="9"/>
            <color indexed="81"/>
            <rFont val="Tahoma"/>
            <family val="2"/>
          </rPr>
          <t>Die Einspeisevergütung ist im Fall der Marktprämien-Direktvermarktung irrelevant, da sich beide gegenseitig ausschließen.</t>
        </r>
      </text>
    </comment>
    <comment ref="G550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9" authorId="1" shapeId="0">
      <text>
        <r>
          <rPr>
            <sz val="9"/>
            <color indexed="81"/>
            <rFont val="Tahoma"/>
            <family val="2"/>
          </rPr>
          <t>Die Ausfallvergütung ist im Fall der Marktprämien-Direktvermarktung irrelevant, da sich beide gegenseitig ausschließen.</t>
        </r>
      </text>
    </comment>
    <comment ref="F5510" authorId="1" shapeId="0">
      <text>
        <r>
          <rPr>
            <sz val="9"/>
            <color indexed="81"/>
            <rFont val="Tahoma"/>
            <family val="2"/>
          </rPr>
          <t>Die Einspeisevergütung ist im Fall der Marktprämien-Direktvermarktung irrelevant, da sich beide gegenseitig ausschließen.</t>
        </r>
      </text>
    </comment>
    <comment ref="G551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0" authorId="1" shapeId="0">
      <text>
        <r>
          <rPr>
            <sz val="9"/>
            <color indexed="81"/>
            <rFont val="Tahoma"/>
            <family val="2"/>
          </rPr>
          <t>Die Ausfallvergütung ist im Fall der Marktprämien-Direktvermarktung irrelevant, da sich beide gegenseitig ausschließen.</t>
        </r>
      </text>
    </comment>
    <comment ref="F5511" authorId="1" shapeId="0">
      <text>
        <r>
          <rPr>
            <sz val="9"/>
            <color indexed="81"/>
            <rFont val="Tahoma"/>
            <family val="2"/>
          </rPr>
          <t>Die Einspeisevergütung ist im Fall der Marktprämien-Direktvermarktung irrelevant, da sich beide gegenseitig ausschließen.</t>
        </r>
      </text>
    </comment>
    <comment ref="G551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1" authorId="1" shapeId="0">
      <text>
        <r>
          <rPr>
            <sz val="9"/>
            <color indexed="81"/>
            <rFont val="Tahoma"/>
            <family val="2"/>
          </rPr>
          <t>Die Ausfallvergütung ist im Fall der Marktprämien-Direktvermarktung irrelevant, da sich beide gegenseitig ausschließen.</t>
        </r>
      </text>
    </comment>
    <comment ref="F5512" authorId="1" shapeId="0">
      <text>
        <r>
          <rPr>
            <sz val="9"/>
            <color indexed="81"/>
            <rFont val="Tahoma"/>
            <family val="2"/>
          </rPr>
          <t>Die Einspeisevergütung ist im Fall der Marktprämien-Direktvermarktung irrelevant, da sich beide gegenseitig ausschließen.</t>
        </r>
      </text>
    </comment>
    <comment ref="G551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2" authorId="1" shapeId="0">
      <text>
        <r>
          <rPr>
            <sz val="9"/>
            <color indexed="81"/>
            <rFont val="Tahoma"/>
            <family val="2"/>
          </rPr>
          <t>Die Ausfallvergütung ist im Fall der Marktprämien-Direktvermarktung irrelevant, da sich beide gegenseitig ausschließen.</t>
        </r>
      </text>
    </comment>
    <comment ref="F5514" authorId="1" shapeId="0">
      <text>
        <r>
          <rPr>
            <sz val="9"/>
            <color indexed="81"/>
            <rFont val="Tahoma"/>
            <family val="2"/>
          </rPr>
          <t>Die Einspeisevergütung ist im Fall der Marktprämien-Direktvermarktung irrelevant, da sich beide gegenseitig ausschließen.</t>
        </r>
      </text>
    </comment>
    <comment ref="G551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4" authorId="1" shapeId="0">
      <text>
        <r>
          <rPr>
            <sz val="9"/>
            <color indexed="81"/>
            <rFont val="Tahoma"/>
            <family val="2"/>
          </rPr>
          <t>Die Ausfallvergütung ist im Fall der Marktprämien-Direktvermarktung irrelevant, da sich beide gegenseitig ausschließen.</t>
        </r>
      </text>
    </comment>
    <comment ref="F5515" authorId="1" shapeId="0">
      <text>
        <r>
          <rPr>
            <sz val="9"/>
            <color indexed="81"/>
            <rFont val="Tahoma"/>
            <family val="2"/>
          </rPr>
          <t>Die Einspeisevergütung ist im Fall der Marktprämien-Direktvermarktung irrelevant, da sich beide gegenseitig ausschließen.</t>
        </r>
      </text>
    </comment>
    <comment ref="G551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5" authorId="1" shapeId="0">
      <text>
        <r>
          <rPr>
            <sz val="9"/>
            <color indexed="81"/>
            <rFont val="Tahoma"/>
            <family val="2"/>
          </rPr>
          <t>Die Ausfallvergütung ist im Fall der Marktprämien-Direktvermarktung irrelevant, da sich beide gegenseitig ausschließen.</t>
        </r>
      </text>
    </comment>
    <comment ref="F5516" authorId="1" shapeId="0">
      <text>
        <r>
          <rPr>
            <sz val="9"/>
            <color indexed="81"/>
            <rFont val="Tahoma"/>
            <family val="2"/>
          </rPr>
          <t>Die Einspeisevergütung ist im Fall der Marktprämien-Direktvermarktung irrelevant, da sich beide gegenseitig ausschließen.</t>
        </r>
      </text>
    </comment>
    <comment ref="G551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6" authorId="1" shapeId="0">
      <text>
        <r>
          <rPr>
            <sz val="9"/>
            <color indexed="81"/>
            <rFont val="Tahoma"/>
            <family val="2"/>
          </rPr>
          <t>Die Ausfallvergütung ist im Fall der Marktprämien-Direktvermarktung irrelevant, da sich beide gegenseitig ausschließen.</t>
        </r>
      </text>
    </comment>
    <comment ref="F5517" authorId="1" shapeId="0">
      <text>
        <r>
          <rPr>
            <sz val="9"/>
            <color indexed="81"/>
            <rFont val="Tahoma"/>
            <family val="2"/>
          </rPr>
          <t>Die Einspeisevergütung ist im Fall der Marktprämien-Direktvermarktung irrelevant, da sich beide gegenseitig ausschließen.</t>
        </r>
      </text>
    </comment>
    <comment ref="G551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7" authorId="1" shapeId="0">
      <text>
        <r>
          <rPr>
            <sz val="9"/>
            <color indexed="81"/>
            <rFont val="Tahoma"/>
            <family val="2"/>
          </rPr>
          <t>Die Ausfallvergütung ist im Fall der Marktprämien-Direktvermarktung irrelevant, da sich beide gegenseitig ausschließen.</t>
        </r>
      </text>
    </comment>
    <comment ref="F5518" authorId="1" shapeId="0">
      <text>
        <r>
          <rPr>
            <sz val="9"/>
            <color indexed="81"/>
            <rFont val="Tahoma"/>
            <family val="2"/>
          </rPr>
          <t>Die Einspeisevergütung ist im Fall der Marktprämien-Direktvermarktung irrelevant, da sich beide gegenseitig ausschließen.</t>
        </r>
      </text>
    </comment>
    <comment ref="G551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8" authorId="1" shapeId="0">
      <text>
        <r>
          <rPr>
            <sz val="9"/>
            <color indexed="81"/>
            <rFont val="Tahoma"/>
            <family val="2"/>
          </rPr>
          <t>Die Ausfallvergütung ist im Fall der Marktprämien-Direktvermarktung irrelevant, da sich beide gegenseitig ausschließen.</t>
        </r>
      </text>
    </comment>
    <comment ref="F5519" authorId="1" shapeId="0">
      <text>
        <r>
          <rPr>
            <sz val="9"/>
            <color indexed="81"/>
            <rFont val="Tahoma"/>
            <family val="2"/>
          </rPr>
          <t>Die Einspeisevergütung ist im Fall der Marktprämien-Direktvermarktung irrelevant, da sich beide gegenseitig ausschließen.</t>
        </r>
      </text>
    </comment>
    <comment ref="G551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9" authorId="1" shapeId="0">
      <text>
        <r>
          <rPr>
            <sz val="9"/>
            <color indexed="81"/>
            <rFont val="Tahoma"/>
            <family val="2"/>
          </rPr>
          <t>Die Ausfallvergütung ist im Fall der Marktprämien-Direktvermarktung irrelevant, da sich beide gegenseitig ausschließen.</t>
        </r>
      </text>
    </comment>
    <comment ref="F5520" authorId="1" shapeId="0">
      <text>
        <r>
          <rPr>
            <sz val="9"/>
            <color indexed="81"/>
            <rFont val="Tahoma"/>
            <family val="2"/>
          </rPr>
          <t>Die Einspeisevergütung ist im Fall der Marktprämien-Direktvermarktung irrelevant, da sich beide gegenseitig ausschließen.</t>
        </r>
      </text>
    </comment>
    <comment ref="G552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0" authorId="1" shapeId="0">
      <text>
        <r>
          <rPr>
            <sz val="9"/>
            <color indexed="81"/>
            <rFont val="Tahoma"/>
            <family val="2"/>
          </rPr>
          <t>Die Ausfallvergütung ist im Fall der Marktprämien-Direktvermarktung irrelevant, da sich beide gegenseitig ausschließen.</t>
        </r>
      </text>
    </comment>
    <comment ref="F5521" authorId="1" shapeId="0">
      <text>
        <r>
          <rPr>
            <sz val="9"/>
            <color indexed="81"/>
            <rFont val="Tahoma"/>
            <family val="2"/>
          </rPr>
          <t>Die Einspeisevergütung ist im Fall der Marktprämien-Direktvermarktung irrelevant, da sich beide gegenseitig ausschließen.</t>
        </r>
      </text>
    </comment>
    <comment ref="G552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1" authorId="1" shapeId="0">
      <text>
        <r>
          <rPr>
            <sz val="9"/>
            <color indexed="81"/>
            <rFont val="Tahoma"/>
            <family val="2"/>
          </rPr>
          <t>Die Ausfallvergütung ist im Fall der Marktprämien-Direktvermarktung irrelevant, da sich beide gegenseitig ausschließen.</t>
        </r>
      </text>
    </comment>
    <comment ref="F5522" authorId="1" shapeId="0">
      <text>
        <r>
          <rPr>
            <sz val="9"/>
            <color indexed="81"/>
            <rFont val="Tahoma"/>
            <family val="2"/>
          </rPr>
          <t>Die Einspeisevergütung ist im Fall der Marktprämien-Direktvermarktung irrelevant, da sich beide gegenseitig ausschließen.</t>
        </r>
      </text>
    </comment>
    <comment ref="G552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2" authorId="1" shapeId="0">
      <text>
        <r>
          <rPr>
            <sz val="9"/>
            <color indexed="81"/>
            <rFont val="Tahoma"/>
            <family val="2"/>
          </rPr>
          <t>Die Ausfallvergütung ist im Fall der Marktprämien-Direktvermarktung irrelevant, da sich beide gegenseitig ausschließen.</t>
        </r>
      </text>
    </comment>
    <comment ref="F5523" authorId="1" shapeId="0">
      <text>
        <r>
          <rPr>
            <sz val="9"/>
            <color indexed="81"/>
            <rFont val="Tahoma"/>
            <family val="2"/>
          </rPr>
          <t>Die Einspeisevergütung ist im Fall der Marktprämien-Direktvermarktung irrelevant, da sich beide gegenseitig ausschließen.</t>
        </r>
      </text>
    </comment>
    <comment ref="G552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3" authorId="1" shapeId="0">
      <text>
        <r>
          <rPr>
            <sz val="9"/>
            <color indexed="81"/>
            <rFont val="Tahoma"/>
            <family val="2"/>
          </rPr>
          <t>Die Ausfallvergütung ist im Fall der Marktprämien-Direktvermarktung irrelevant, da sich beide gegenseitig ausschließen.</t>
        </r>
      </text>
    </comment>
    <comment ref="F5524" authorId="1" shapeId="0">
      <text>
        <r>
          <rPr>
            <sz val="9"/>
            <color indexed="81"/>
            <rFont val="Tahoma"/>
            <family val="2"/>
          </rPr>
          <t>Die Einspeisevergütung ist im Fall der Marktprämien-Direktvermarktung irrelevant, da sich beide gegenseitig ausschließen.</t>
        </r>
      </text>
    </comment>
    <comment ref="G552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4" authorId="1" shapeId="0">
      <text>
        <r>
          <rPr>
            <sz val="9"/>
            <color indexed="81"/>
            <rFont val="Tahoma"/>
            <family val="2"/>
          </rPr>
          <t>Die Ausfallvergütung ist im Fall der Marktprämien-Direktvermarktung irrelevant, da sich beide gegenseitig ausschließen.</t>
        </r>
      </text>
    </comment>
    <comment ref="F5525" authorId="1" shapeId="0">
      <text>
        <r>
          <rPr>
            <sz val="9"/>
            <color indexed="81"/>
            <rFont val="Tahoma"/>
            <family val="2"/>
          </rPr>
          <t>Die Einspeisevergütung ist im Fall der Marktprämien-Direktvermarktung irrelevant, da sich beide gegenseitig ausschließen.</t>
        </r>
      </text>
    </comment>
    <comment ref="G552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5" authorId="1" shapeId="0">
      <text>
        <r>
          <rPr>
            <sz val="9"/>
            <color indexed="81"/>
            <rFont val="Tahoma"/>
            <family val="2"/>
          </rPr>
          <t>Die Ausfallvergütung ist im Fall der Marktprämien-Direktvermarktung irrelevant, da sich beide gegenseitig ausschließen.</t>
        </r>
      </text>
    </comment>
    <comment ref="F5527" authorId="1" shapeId="0">
      <text>
        <r>
          <rPr>
            <sz val="9"/>
            <color indexed="81"/>
            <rFont val="Tahoma"/>
            <family val="2"/>
          </rPr>
          <t>Die Einspeisevergütung ist im Fall der Marktprämien-Direktvermarktung irrelevant, da sich beide gegenseitig ausschließen.</t>
        </r>
      </text>
    </comment>
    <comment ref="G552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7" authorId="1" shapeId="0">
      <text>
        <r>
          <rPr>
            <sz val="9"/>
            <color indexed="81"/>
            <rFont val="Tahoma"/>
            <family val="2"/>
          </rPr>
          <t>Die Ausfallvergütung ist im Fall der Marktprämien-Direktvermarktung irrelevant, da sich beide gegenseitig ausschließen.</t>
        </r>
      </text>
    </comment>
    <comment ref="F5528" authorId="1" shapeId="0">
      <text>
        <r>
          <rPr>
            <sz val="9"/>
            <color indexed="81"/>
            <rFont val="Tahoma"/>
            <family val="2"/>
          </rPr>
          <t>Die Einspeisevergütung ist im Fall der Marktprämien-Direktvermarktung irrelevant, da sich beide gegenseitig ausschließen.</t>
        </r>
      </text>
    </comment>
    <comment ref="G552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8" authorId="1" shapeId="0">
      <text>
        <r>
          <rPr>
            <sz val="9"/>
            <color indexed="81"/>
            <rFont val="Tahoma"/>
            <family val="2"/>
          </rPr>
          <t>Die Ausfallvergütung ist im Fall der Marktprämien-Direktvermarktung irrelevant, da sich beide gegenseitig ausschließen.</t>
        </r>
      </text>
    </comment>
    <comment ref="F5529" authorId="1" shapeId="0">
      <text>
        <r>
          <rPr>
            <sz val="9"/>
            <color indexed="81"/>
            <rFont val="Tahoma"/>
            <family val="2"/>
          </rPr>
          <t>Die Einspeisevergütung ist im Fall der Marktprämien-Direktvermarktung irrelevant, da sich beide gegenseitig ausschließen.</t>
        </r>
      </text>
    </comment>
    <comment ref="G552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9" authorId="1" shapeId="0">
      <text>
        <r>
          <rPr>
            <sz val="9"/>
            <color indexed="81"/>
            <rFont val="Tahoma"/>
            <family val="2"/>
          </rPr>
          <t>Die Ausfallvergütung ist im Fall der Marktprämien-Direktvermarktung irrelevant, da sich beide gegenseitig ausschließen.</t>
        </r>
      </text>
    </comment>
    <comment ref="F5530" authorId="1" shapeId="0">
      <text>
        <r>
          <rPr>
            <sz val="9"/>
            <color indexed="81"/>
            <rFont val="Tahoma"/>
            <family val="2"/>
          </rPr>
          <t>Die Einspeisevergütung ist im Fall der Marktprämien-Direktvermarktung irrelevant, da sich beide gegenseitig ausschließen.</t>
        </r>
      </text>
    </comment>
    <comment ref="G553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30" authorId="1" shapeId="0">
      <text>
        <r>
          <rPr>
            <sz val="9"/>
            <color indexed="81"/>
            <rFont val="Tahoma"/>
            <family val="2"/>
          </rPr>
          <t>Die Ausfallvergütung ist im Fall der Marktprämien-Direktvermarktung irrelevant, da sich beide gegenseitig ausschließen.</t>
        </r>
      </text>
    </comment>
    <comment ref="F5531" authorId="1" shapeId="0">
      <text>
        <r>
          <rPr>
            <sz val="9"/>
            <color indexed="81"/>
            <rFont val="Tahoma"/>
            <family val="2"/>
          </rPr>
          <t>Die Einspeisevergütung ist im Fall der Marktprämien-Direktvermarktung irrelevant, da sich beide gegenseitig ausschließen.</t>
        </r>
      </text>
    </comment>
    <comment ref="G553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31" authorId="1" shapeId="0">
      <text>
        <r>
          <rPr>
            <sz val="9"/>
            <color indexed="81"/>
            <rFont val="Tahoma"/>
            <family val="2"/>
          </rPr>
          <t>Die Ausfallvergütung ist im Fall der Marktprämien-Direktvermarktung irrelevant, da sich beide gegenseitig ausschließen.</t>
        </r>
      </text>
    </comment>
    <comment ref="F5532" authorId="1" shapeId="0">
      <text>
        <r>
          <rPr>
            <sz val="9"/>
            <color indexed="81"/>
            <rFont val="Tahoma"/>
            <family val="2"/>
          </rPr>
          <t>Die Einspeisevergütung ist im Fall der Marktprämien-Direktvermarktung irrelevant, da sich beide gegenseitig ausschließen.</t>
        </r>
      </text>
    </comment>
    <comment ref="G553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32" authorId="1" shapeId="0">
      <text>
        <r>
          <rPr>
            <sz val="9"/>
            <color indexed="81"/>
            <rFont val="Tahoma"/>
            <family val="2"/>
          </rPr>
          <t>Die Ausfallvergütung ist im Fall der Marktprämien-Direktvermarktung irrelevant, da sich beide gegenseitig ausschließen.</t>
        </r>
      </text>
    </comment>
    <comment ref="F5533" authorId="1" shapeId="0">
      <text>
        <r>
          <rPr>
            <sz val="9"/>
            <color indexed="81"/>
            <rFont val="Tahoma"/>
            <family val="2"/>
          </rPr>
          <t>Die Einspeisevergütung ist im Fall der Marktprämien-Direktvermarktung irrelevant, da sich beide gegenseitig ausschließen.</t>
        </r>
      </text>
    </comment>
    <comment ref="G553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33" authorId="1" shapeId="0">
      <text>
        <r>
          <rPr>
            <sz val="9"/>
            <color indexed="81"/>
            <rFont val="Tahoma"/>
            <family val="2"/>
          </rPr>
          <t>Die Ausfallvergütung ist im Fall der Marktprämien-Direktvermarktung irrelevant, da sich beide gegenseitig ausschließen.</t>
        </r>
      </text>
    </comment>
    <comment ref="F5534" authorId="1" shapeId="0">
      <text>
        <r>
          <rPr>
            <sz val="9"/>
            <color indexed="81"/>
            <rFont val="Tahoma"/>
            <family val="2"/>
          </rPr>
          <t>Die Einspeisevergütung ist im Fall der Marktprämien-Direktvermarktung irrelevant, da sich beide gegenseitig ausschließen.</t>
        </r>
      </text>
    </comment>
    <comment ref="G553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34" authorId="1" shapeId="0">
      <text>
        <r>
          <rPr>
            <sz val="9"/>
            <color indexed="81"/>
            <rFont val="Tahoma"/>
            <family val="2"/>
          </rPr>
          <t>Die Ausfallvergütung ist im Fall der Marktprämien-Direktvermarktung irrelevant, da sich beide gegenseitig ausschließen.</t>
        </r>
      </text>
    </comment>
    <comment ref="F5535" authorId="1" shapeId="0">
      <text>
        <r>
          <rPr>
            <sz val="9"/>
            <color indexed="81"/>
            <rFont val="Tahoma"/>
            <family val="2"/>
          </rPr>
          <t>Die Einspeisevergütung ist im Fall der Marktprämien-Direktvermarktung irrelevant, da sich beide gegenseitig ausschließen.</t>
        </r>
      </text>
    </comment>
    <comment ref="G553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35" authorId="1" shapeId="0">
      <text>
        <r>
          <rPr>
            <sz val="9"/>
            <color indexed="81"/>
            <rFont val="Tahoma"/>
            <family val="2"/>
          </rPr>
          <t>Die Ausfallvergütung ist im Fall der Marktprämien-Direktvermarktung irrelevant, da sich beide gegenseitig ausschließen.</t>
        </r>
      </text>
    </comment>
    <comment ref="F5536" authorId="1" shapeId="0">
      <text>
        <r>
          <rPr>
            <sz val="9"/>
            <color indexed="81"/>
            <rFont val="Tahoma"/>
            <family val="2"/>
          </rPr>
          <t>Die Einspeisevergütung ist im Fall der Marktprämien-Direktvermarktung irrelevant, da sich beide gegenseitig ausschließen.</t>
        </r>
      </text>
    </comment>
    <comment ref="G553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36" authorId="1" shapeId="0">
      <text>
        <r>
          <rPr>
            <sz val="9"/>
            <color indexed="81"/>
            <rFont val="Tahoma"/>
            <family val="2"/>
          </rPr>
          <t>Die Ausfallvergütung ist im Fall der Marktprämien-Direktvermarktung irrelevant, da sich beide gegenseitig ausschließen.</t>
        </r>
      </text>
    </comment>
    <comment ref="F5537" authorId="1" shapeId="0">
      <text>
        <r>
          <rPr>
            <sz val="9"/>
            <color indexed="81"/>
            <rFont val="Tahoma"/>
            <family val="2"/>
          </rPr>
          <t>Die Einspeisevergütung ist im Fall der Marktprämien-Direktvermarktung irrelevant, da sich beide gegenseitig ausschließen.</t>
        </r>
      </text>
    </comment>
    <comment ref="G553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37" authorId="1" shapeId="0">
      <text>
        <r>
          <rPr>
            <sz val="9"/>
            <color indexed="81"/>
            <rFont val="Tahoma"/>
            <family val="2"/>
          </rPr>
          <t>Die Ausfallvergütung ist im Fall der Marktprämien-Direktvermarktung irrelevant, da sich beide gegenseitig ausschließen.</t>
        </r>
      </text>
    </comment>
    <comment ref="F5538" authorId="1" shapeId="0">
      <text>
        <r>
          <rPr>
            <sz val="9"/>
            <color indexed="81"/>
            <rFont val="Tahoma"/>
            <family val="2"/>
          </rPr>
          <t>Die Einspeisevergütung ist im Fall der Marktprämien-Direktvermarktung irrelevant, da sich beide gegenseitig ausschließen.</t>
        </r>
      </text>
    </comment>
    <comment ref="G553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38" authorId="1" shapeId="0">
      <text>
        <r>
          <rPr>
            <sz val="9"/>
            <color indexed="81"/>
            <rFont val="Tahoma"/>
            <family val="2"/>
          </rPr>
          <t>Die Ausfallvergütung ist im Fall der Marktprämien-Direktvermarktung irrelevant, da sich beide gegenseitig ausschließen.</t>
        </r>
      </text>
    </comment>
    <comment ref="F5540" authorId="1" shapeId="0">
      <text>
        <r>
          <rPr>
            <sz val="9"/>
            <color indexed="81"/>
            <rFont val="Tahoma"/>
            <family val="2"/>
          </rPr>
          <t>Die Einspeisevergütung ist im Fall der Marktprämien-Direktvermarktung irrelevant, da sich beide gegenseitig ausschließen.</t>
        </r>
      </text>
    </comment>
    <comment ref="G554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40" authorId="1" shapeId="0">
      <text>
        <r>
          <rPr>
            <sz val="9"/>
            <color indexed="81"/>
            <rFont val="Tahoma"/>
            <family val="2"/>
          </rPr>
          <t>Die Ausfallvergütung ist im Fall der Marktprämien-Direktvermarktung irrelevant, da sich beide gegenseitig ausschließen.</t>
        </r>
      </text>
    </comment>
    <comment ref="F5541" authorId="1" shapeId="0">
      <text>
        <r>
          <rPr>
            <sz val="9"/>
            <color indexed="81"/>
            <rFont val="Tahoma"/>
            <family val="2"/>
          </rPr>
          <t>Die Einspeisevergütung ist im Fall der Marktprämien-Direktvermarktung irrelevant, da sich beide gegenseitig ausschließen.</t>
        </r>
      </text>
    </comment>
    <comment ref="G554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41" authorId="1" shapeId="0">
      <text>
        <r>
          <rPr>
            <sz val="9"/>
            <color indexed="81"/>
            <rFont val="Tahoma"/>
            <family val="2"/>
          </rPr>
          <t>Die Ausfallvergütung ist im Fall der Marktprämien-Direktvermarktung irrelevant, da sich beide gegenseitig ausschließen.</t>
        </r>
      </text>
    </comment>
    <comment ref="F5542" authorId="1" shapeId="0">
      <text>
        <r>
          <rPr>
            <sz val="9"/>
            <color indexed="81"/>
            <rFont val="Tahoma"/>
            <family val="2"/>
          </rPr>
          <t>Die Einspeisevergütung ist im Fall der Marktprämien-Direktvermarktung irrelevant, da sich beide gegenseitig ausschließen.</t>
        </r>
      </text>
    </comment>
    <comment ref="G554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42" authorId="1" shapeId="0">
      <text>
        <r>
          <rPr>
            <sz val="9"/>
            <color indexed="81"/>
            <rFont val="Tahoma"/>
            <family val="2"/>
          </rPr>
          <t>Die Ausfallvergütung ist im Fall der Marktprämien-Direktvermarktung irrelevant, da sich beide gegenseitig ausschließen.</t>
        </r>
      </text>
    </comment>
    <comment ref="F5543" authorId="1" shapeId="0">
      <text>
        <r>
          <rPr>
            <sz val="9"/>
            <color indexed="81"/>
            <rFont val="Tahoma"/>
            <family val="2"/>
          </rPr>
          <t>Die Einspeisevergütung ist im Fall der Marktprämien-Direktvermarktung irrelevant, da sich beide gegenseitig ausschließen.</t>
        </r>
      </text>
    </comment>
    <comment ref="G554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43" authorId="1" shapeId="0">
      <text>
        <r>
          <rPr>
            <sz val="9"/>
            <color indexed="81"/>
            <rFont val="Tahoma"/>
            <family val="2"/>
          </rPr>
          <t>Die Ausfallvergütung ist im Fall der Marktprämien-Direktvermarktung irrelevant, da sich beide gegenseitig ausschließen.</t>
        </r>
      </text>
    </comment>
    <comment ref="F5544" authorId="1" shapeId="0">
      <text>
        <r>
          <rPr>
            <sz val="9"/>
            <color indexed="81"/>
            <rFont val="Tahoma"/>
            <family val="2"/>
          </rPr>
          <t>Die Einspeisevergütung ist im Fall der Marktprämien-Direktvermarktung irrelevant, da sich beide gegenseitig ausschließen.</t>
        </r>
      </text>
    </comment>
    <comment ref="G554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44" authorId="1" shapeId="0">
      <text>
        <r>
          <rPr>
            <sz val="9"/>
            <color indexed="81"/>
            <rFont val="Tahoma"/>
            <family val="2"/>
          </rPr>
          <t>Die Ausfallvergütung ist im Fall der Marktprämien-Direktvermarktung irrelevant, da sich beide gegenseitig ausschließen.</t>
        </r>
      </text>
    </comment>
    <comment ref="F5545" authorId="1" shapeId="0">
      <text>
        <r>
          <rPr>
            <sz val="9"/>
            <color indexed="81"/>
            <rFont val="Tahoma"/>
            <family val="2"/>
          </rPr>
          <t>Die Einspeisevergütung ist im Fall der Marktprämien-Direktvermarktung irrelevant, da sich beide gegenseitig ausschließen.</t>
        </r>
      </text>
    </comment>
    <comment ref="G554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45" authorId="1" shapeId="0">
      <text>
        <r>
          <rPr>
            <sz val="9"/>
            <color indexed="81"/>
            <rFont val="Tahoma"/>
            <family val="2"/>
          </rPr>
          <t>Die Ausfallvergütung ist im Fall der Marktprämien-Direktvermarktung irrelevant, da sich beide gegenseitig ausschließen.</t>
        </r>
      </text>
    </comment>
    <comment ref="F5546" authorId="1" shapeId="0">
      <text>
        <r>
          <rPr>
            <sz val="9"/>
            <color indexed="81"/>
            <rFont val="Tahoma"/>
            <family val="2"/>
          </rPr>
          <t>Die Einspeisevergütung ist im Fall der Marktprämien-Direktvermarktung irrelevant, da sich beide gegenseitig ausschließen.</t>
        </r>
      </text>
    </comment>
    <comment ref="G554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46" authorId="1" shapeId="0">
      <text>
        <r>
          <rPr>
            <sz val="9"/>
            <color indexed="81"/>
            <rFont val="Tahoma"/>
            <family val="2"/>
          </rPr>
          <t>Die Ausfallvergütung ist im Fall der Marktprämien-Direktvermarktung irrelevant, da sich beide gegenseitig ausschließen.</t>
        </r>
      </text>
    </comment>
    <comment ref="F5547" authorId="1" shapeId="0">
      <text>
        <r>
          <rPr>
            <sz val="9"/>
            <color indexed="81"/>
            <rFont val="Tahoma"/>
            <family val="2"/>
          </rPr>
          <t>Die Einspeisevergütung ist im Fall der Marktprämien-Direktvermarktung irrelevant, da sich beide gegenseitig ausschließen.</t>
        </r>
      </text>
    </comment>
    <comment ref="G554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47" authorId="1" shapeId="0">
      <text>
        <r>
          <rPr>
            <sz val="9"/>
            <color indexed="81"/>
            <rFont val="Tahoma"/>
            <family val="2"/>
          </rPr>
          <t>Die Ausfallvergütung ist im Fall der Marktprämien-Direktvermarktung irrelevant, da sich beide gegenseitig ausschließen.</t>
        </r>
      </text>
    </comment>
    <comment ref="F5548" authorId="1" shapeId="0">
      <text>
        <r>
          <rPr>
            <sz val="9"/>
            <color indexed="81"/>
            <rFont val="Tahoma"/>
            <family val="2"/>
          </rPr>
          <t>Die Einspeisevergütung ist im Fall der Marktprämien-Direktvermarktung irrelevant, da sich beide gegenseitig ausschließen.</t>
        </r>
      </text>
    </comment>
    <comment ref="G554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48" authorId="1" shapeId="0">
      <text>
        <r>
          <rPr>
            <sz val="9"/>
            <color indexed="81"/>
            <rFont val="Tahoma"/>
            <family val="2"/>
          </rPr>
          <t>Die Ausfallvergütung ist im Fall der Marktprämien-Direktvermarktung irrelevant, da sich beide gegenseitig ausschließen.</t>
        </r>
      </text>
    </comment>
    <comment ref="F5549" authorId="1" shapeId="0">
      <text>
        <r>
          <rPr>
            <sz val="9"/>
            <color indexed="81"/>
            <rFont val="Tahoma"/>
            <family val="2"/>
          </rPr>
          <t>Die Einspeisevergütung ist im Fall der Marktprämien-Direktvermarktung irrelevant, da sich beide gegenseitig ausschließen.</t>
        </r>
      </text>
    </comment>
    <comment ref="G554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49" authorId="1" shapeId="0">
      <text>
        <r>
          <rPr>
            <sz val="9"/>
            <color indexed="81"/>
            <rFont val="Tahoma"/>
            <family val="2"/>
          </rPr>
          <t>Die Ausfallvergütung ist im Fall der Marktprämien-Direktvermarktung irrelevant, da sich beide gegenseitig ausschließen.</t>
        </r>
      </text>
    </comment>
    <comment ref="F5550" authorId="1" shapeId="0">
      <text>
        <r>
          <rPr>
            <sz val="9"/>
            <color indexed="81"/>
            <rFont val="Tahoma"/>
            <family val="2"/>
          </rPr>
          <t>Die Einspeisevergütung ist im Fall der Marktprämien-Direktvermarktung irrelevant, da sich beide gegenseitig ausschließen.</t>
        </r>
      </text>
    </comment>
    <comment ref="G555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50" authorId="1" shapeId="0">
      <text>
        <r>
          <rPr>
            <sz val="9"/>
            <color indexed="81"/>
            <rFont val="Tahoma"/>
            <family val="2"/>
          </rPr>
          <t>Die Ausfallvergütung ist im Fall der Marktprämien-Direktvermarktung irrelevant, da sich beide gegenseitig ausschließen.</t>
        </r>
      </text>
    </comment>
    <comment ref="F5551" authorId="1" shapeId="0">
      <text>
        <r>
          <rPr>
            <sz val="9"/>
            <color indexed="81"/>
            <rFont val="Tahoma"/>
            <family val="2"/>
          </rPr>
          <t>Die Einspeisevergütung ist im Fall der Marktprämien-Direktvermarktung irrelevant, da sich beide gegenseitig ausschließen.</t>
        </r>
      </text>
    </comment>
    <comment ref="G555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51" authorId="1" shapeId="0">
      <text>
        <r>
          <rPr>
            <sz val="9"/>
            <color indexed="81"/>
            <rFont val="Tahoma"/>
            <family val="2"/>
          </rPr>
          <t>Die Ausfallvergütung ist im Fall der Marktprämien-Direktvermarktung irrelevant, da sich beide gegenseitig ausschließen.</t>
        </r>
      </text>
    </comment>
    <comment ref="F5553" authorId="1" shapeId="0">
      <text>
        <r>
          <rPr>
            <sz val="9"/>
            <color indexed="81"/>
            <rFont val="Tahoma"/>
            <family val="2"/>
          </rPr>
          <t>Die Einspeisevergütung ist im Fall der Marktprämien-Direktvermarktung irrelevant, da sich beide gegenseitig ausschließen.</t>
        </r>
      </text>
    </comment>
    <comment ref="G555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53" authorId="1" shapeId="0">
      <text>
        <r>
          <rPr>
            <sz val="9"/>
            <color indexed="81"/>
            <rFont val="Tahoma"/>
            <family val="2"/>
          </rPr>
          <t>Die Ausfallvergütung ist im Fall der Marktprämien-Direktvermarktung irrelevant, da sich beide gegenseitig ausschließen.</t>
        </r>
      </text>
    </comment>
    <comment ref="F5554" authorId="1" shapeId="0">
      <text>
        <r>
          <rPr>
            <sz val="9"/>
            <color indexed="81"/>
            <rFont val="Tahoma"/>
            <family val="2"/>
          </rPr>
          <t>Die Einspeisevergütung ist im Fall der Marktprämien-Direktvermarktung irrelevant, da sich beide gegenseitig ausschließen.</t>
        </r>
      </text>
    </comment>
    <comment ref="G555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54" authorId="1" shapeId="0">
      <text>
        <r>
          <rPr>
            <sz val="9"/>
            <color indexed="81"/>
            <rFont val="Tahoma"/>
            <family val="2"/>
          </rPr>
          <t>Die Ausfallvergütung ist im Fall der Marktprämien-Direktvermarktung irrelevant, da sich beide gegenseitig ausschließen.</t>
        </r>
      </text>
    </comment>
    <comment ref="F5555" authorId="1" shapeId="0">
      <text>
        <r>
          <rPr>
            <sz val="9"/>
            <color indexed="81"/>
            <rFont val="Tahoma"/>
            <family val="2"/>
          </rPr>
          <t>Die Einspeisevergütung ist im Fall der Marktprämien-Direktvermarktung irrelevant, da sich beide gegenseitig ausschließen.</t>
        </r>
      </text>
    </comment>
    <comment ref="G555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55" authorId="1" shapeId="0">
      <text>
        <r>
          <rPr>
            <sz val="9"/>
            <color indexed="81"/>
            <rFont val="Tahoma"/>
            <family val="2"/>
          </rPr>
          <t>Die Ausfallvergütung ist im Fall der Marktprämien-Direktvermarktung irrelevant, da sich beide gegenseitig ausschließen.</t>
        </r>
      </text>
    </comment>
    <comment ref="F5556" authorId="1" shapeId="0">
      <text>
        <r>
          <rPr>
            <sz val="9"/>
            <color indexed="81"/>
            <rFont val="Tahoma"/>
            <family val="2"/>
          </rPr>
          <t>Die Einspeisevergütung ist im Fall der Marktprämien-Direktvermarktung irrelevant, da sich beide gegenseitig ausschließen.</t>
        </r>
      </text>
    </comment>
    <comment ref="G555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56" authorId="1" shapeId="0">
      <text>
        <r>
          <rPr>
            <sz val="9"/>
            <color indexed="81"/>
            <rFont val="Tahoma"/>
            <family val="2"/>
          </rPr>
          <t>Die Ausfallvergütung ist im Fall der Marktprämien-Direktvermarktung irrelevant, da sich beide gegenseitig ausschließen.</t>
        </r>
      </text>
    </comment>
    <comment ref="F5557" authorId="1" shapeId="0">
      <text>
        <r>
          <rPr>
            <sz val="9"/>
            <color indexed="81"/>
            <rFont val="Tahoma"/>
            <family val="2"/>
          </rPr>
          <t>Die Einspeisevergütung ist im Fall der Marktprämien-Direktvermarktung irrelevant, da sich beide gegenseitig ausschließen.</t>
        </r>
      </text>
    </comment>
    <comment ref="G555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57" authorId="1" shapeId="0">
      <text>
        <r>
          <rPr>
            <sz val="9"/>
            <color indexed="81"/>
            <rFont val="Tahoma"/>
            <family val="2"/>
          </rPr>
          <t>Die Ausfallvergütung ist im Fall der Marktprämien-Direktvermarktung irrelevant, da sich beide gegenseitig ausschließen.</t>
        </r>
      </text>
    </comment>
    <comment ref="F5558" authorId="1" shapeId="0">
      <text>
        <r>
          <rPr>
            <sz val="9"/>
            <color indexed="81"/>
            <rFont val="Tahoma"/>
            <family val="2"/>
          </rPr>
          <t>Die Einspeisevergütung ist im Fall der Marktprämien-Direktvermarktung irrelevant, da sich beide gegenseitig ausschließen.</t>
        </r>
      </text>
    </comment>
    <comment ref="G555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58" authorId="1" shapeId="0">
      <text>
        <r>
          <rPr>
            <sz val="9"/>
            <color indexed="81"/>
            <rFont val="Tahoma"/>
            <family val="2"/>
          </rPr>
          <t>Die Ausfallvergütung ist im Fall der Marktprämien-Direktvermarktung irrelevant, da sich beide gegenseitig ausschließen.</t>
        </r>
      </text>
    </comment>
    <comment ref="F5559" authorId="1" shapeId="0">
      <text>
        <r>
          <rPr>
            <sz val="9"/>
            <color indexed="81"/>
            <rFont val="Tahoma"/>
            <family val="2"/>
          </rPr>
          <t>Die Einspeisevergütung ist im Fall der Marktprämien-Direktvermarktung irrelevant, da sich beide gegenseitig ausschließen.</t>
        </r>
      </text>
    </comment>
    <comment ref="G555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59" authorId="1" shapeId="0">
      <text>
        <r>
          <rPr>
            <sz val="9"/>
            <color indexed="81"/>
            <rFont val="Tahoma"/>
            <family val="2"/>
          </rPr>
          <t>Die Ausfallvergütung ist im Fall der Marktprämien-Direktvermarktung irrelevant, da sich beide gegenseitig ausschließen.</t>
        </r>
      </text>
    </comment>
    <comment ref="F5560" authorId="1" shapeId="0">
      <text>
        <r>
          <rPr>
            <sz val="9"/>
            <color indexed="81"/>
            <rFont val="Tahoma"/>
            <family val="2"/>
          </rPr>
          <t>Die Einspeisevergütung ist im Fall der Marktprämien-Direktvermarktung irrelevant, da sich beide gegenseitig ausschließen.</t>
        </r>
      </text>
    </comment>
    <comment ref="G556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60" authorId="1" shapeId="0">
      <text>
        <r>
          <rPr>
            <sz val="9"/>
            <color indexed="81"/>
            <rFont val="Tahoma"/>
            <family val="2"/>
          </rPr>
          <t>Die Ausfallvergütung ist im Fall der Marktprämien-Direktvermarktung irrelevant, da sich beide gegenseitig ausschließen.</t>
        </r>
      </text>
    </comment>
    <comment ref="F5561" authorId="1" shapeId="0">
      <text>
        <r>
          <rPr>
            <sz val="9"/>
            <color indexed="81"/>
            <rFont val="Tahoma"/>
            <family val="2"/>
          </rPr>
          <t>Die Einspeisevergütung ist im Fall der Marktprämien-Direktvermarktung irrelevant, da sich beide gegenseitig ausschließen.</t>
        </r>
      </text>
    </comment>
    <comment ref="G556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61" authorId="1" shapeId="0">
      <text>
        <r>
          <rPr>
            <sz val="9"/>
            <color indexed="81"/>
            <rFont val="Tahoma"/>
            <family val="2"/>
          </rPr>
          <t>Die Ausfallvergütung ist im Fall der Marktprämien-Direktvermarktung irrelevant, da sich beide gegenseitig ausschließen.</t>
        </r>
      </text>
    </comment>
    <comment ref="F5562" authorId="1" shapeId="0">
      <text>
        <r>
          <rPr>
            <sz val="9"/>
            <color indexed="81"/>
            <rFont val="Tahoma"/>
            <family val="2"/>
          </rPr>
          <t>Die Einspeisevergütung ist im Fall der Marktprämien-Direktvermarktung irrelevant, da sich beide gegenseitig ausschließen.</t>
        </r>
      </text>
    </comment>
    <comment ref="G556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62" authorId="1" shapeId="0">
      <text>
        <r>
          <rPr>
            <sz val="9"/>
            <color indexed="81"/>
            <rFont val="Tahoma"/>
            <family val="2"/>
          </rPr>
          <t>Die Ausfallvergütung ist im Fall der Marktprämien-Direktvermarktung irrelevant, da sich beide gegenseitig ausschließen.</t>
        </r>
      </text>
    </comment>
    <comment ref="F5563" authorId="1" shapeId="0">
      <text>
        <r>
          <rPr>
            <sz val="9"/>
            <color indexed="81"/>
            <rFont val="Tahoma"/>
            <family val="2"/>
          </rPr>
          <t>Die Einspeisevergütung ist im Fall der Marktprämien-Direktvermarktung irrelevant, da sich beide gegenseitig ausschließen.</t>
        </r>
      </text>
    </comment>
    <comment ref="G556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63" authorId="1" shapeId="0">
      <text>
        <r>
          <rPr>
            <sz val="9"/>
            <color indexed="81"/>
            <rFont val="Tahoma"/>
            <family val="2"/>
          </rPr>
          <t>Die Ausfallvergütung ist im Fall der Marktprämien-Direktvermarktung irrelevant, da sich beide gegenseitig ausschließen.</t>
        </r>
      </text>
    </comment>
    <comment ref="F5564" authorId="1" shapeId="0">
      <text>
        <r>
          <rPr>
            <sz val="9"/>
            <color indexed="81"/>
            <rFont val="Tahoma"/>
            <family val="2"/>
          </rPr>
          <t>Die Einspeisevergütung ist im Fall der Marktprämien-Direktvermarktung irrelevant, da sich beide gegenseitig ausschließen.</t>
        </r>
      </text>
    </comment>
    <comment ref="G556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64" authorId="1" shapeId="0">
      <text>
        <r>
          <rPr>
            <sz val="9"/>
            <color indexed="81"/>
            <rFont val="Tahoma"/>
            <family val="2"/>
          </rPr>
          <t>Die Ausfallvergütung ist im Fall der Marktprämien-Direktvermarktung irrelevant, da sich beide gegenseitig ausschließen.</t>
        </r>
      </text>
    </comment>
    <comment ref="F5566" authorId="1" shapeId="0">
      <text>
        <r>
          <rPr>
            <sz val="9"/>
            <color indexed="81"/>
            <rFont val="Tahoma"/>
            <family val="2"/>
          </rPr>
          <t>Die Einspeisevergütung ist im Fall der Marktprämien-Direktvermarktung irrelevant, da sich beide gegenseitig ausschließen.</t>
        </r>
      </text>
    </comment>
    <comment ref="G556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66" authorId="1" shapeId="0">
      <text>
        <r>
          <rPr>
            <sz val="9"/>
            <color indexed="81"/>
            <rFont val="Tahoma"/>
            <family val="2"/>
          </rPr>
          <t>Die Ausfallvergütung ist im Fall der Marktprämien-Direktvermarktung irrelevant, da sich beide gegenseitig ausschließen.</t>
        </r>
      </text>
    </comment>
    <comment ref="F5567" authorId="1" shapeId="0">
      <text>
        <r>
          <rPr>
            <sz val="9"/>
            <color indexed="81"/>
            <rFont val="Tahoma"/>
            <family val="2"/>
          </rPr>
          <t>Die Einspeisevergütung ist im Fall der Marktprämien-Direktvermarktung irrelevant, da sich beide gegenseitig ausschließen.</t>
        </r>
      </text>
    </comment>
    <comment ref="G556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67" authorId="1" shapeId="0">
      <text>
        <r>
          <rPr>
            <sz val="9"/>
            <color indexed="81"/>
            <rFont val="Tahoma"/>
            <family val="2"/>
          </rPr>
          <t>Die Ausfallvergütung ist im Fall der Marktprämien-Direktvermarktung irrelevant, da sich beide gegenseitig ausschließen.</t>
        </r>
      </text>
    </comment>
    <comment ref="F5568" authorId="1" shapeId="0">
      <text>
        <r>
          <rPr>
            <sz val="9"/>
            <color indexed="81"/>
            <rFont val="Tahoma"/>
            <family val="2"/>
          </rPr>
          <t>Die Einspeisevergütung ist im Fall der Marktprämien-Direktvermarktung irrelevant, da sich beide gegenseitig ausschließen.</t>
        </r>
      </text>
    </comment>
    <comment ref="G556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68" authorId="1" shapeId="0">
      <text>
        <r>
          <rPr>
            <sz val="9"/>
            <color indexed="81"/>
            <rFont val="Tahoma"/>
            <family val="2"/>
          </rPr>
          <t>Die Ausfallvergütung ist im Fall der Marktprämien-Direktvermarktung irrelevant, da sich beide gegenseitig ausschließen.</t>
        </r>
      </text>
    </comment>
    <comment ref="F5569" authorId="1" shapeId="0">
      <text>
        <r>
          <rPr>
            <sz val="9"/>
            <color indexed="81"/>
            <rFont val="Tahoma"/>
            <family val="2"/>
          </rPr>
          <t>Die Einspeisevergütung ist im Fall der Marktprämien-Direktvermarktung irrelevant, da sich beide gegenseitig ausschließen.</t>
        </r>
      </text>
    </comment>
    <comment ref="G556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69" authorId="1" shapeId="0">
      <text>
        <r>
          <rPr>
            <sz val="9"/>
            <color indexed="81"/>
            <rFont val="Tahoma"/>
            <family val="2"/>
          </rPr>
          <t>Die Ausfallvergütung ist im Fall der Marktprämien-Direktvermarktung irrelevant, da sich beide gegenseitig ausschließen.</t>
        </r>
      </text>
    </comment>
    <comment ref="F5570" authorId="1" shapeId="0">
      <text>
        <r>
          <rPr>
            <sz val="9"/>
            <color indexed="81"/>
            <rFont val="Tahoma"/>
            <family val="2"/>
          </rPr>
          <t>Die Einspeisevergütung ist im Fall der Marktprämien-Direktvermarktung irrelevant, da sich beide gegenseitig ausschließen.</t>
        </r>
      </text>
    </comment>
    <comment ref="G557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70" authorId="1" shapeId="0">
      <text>
        <r>
          <rPr>
            <sz val="9"/>
            <color indexed="81"/>
            <rFont val="Tahoma"/>
            <family val="2"/>
          </rPr>
          <t>Die Ausfallvergütung ist im Fall der Marktprämien-Direktvermarktung irrelevant, da sich beide gegenseitig ausschließen.</t>
        </r>
      </text>
    </comment>
    <comment ref="F5571" authorId="1" shapeId="0">
      <text>
        <r>
          <rPr>
            <sz val="9"/>
            <color indexed="81"/>
            <rFont val="Tahoma"/>
            <family val="2"/>
          </rPr>
          <t>Die Einspeisevergütung ist im Fall der Marktprämien-Direktvermarktung irrelevant, da sich beide gegenseitig ausschließen.</t>
        </r>
      </text>
    </comment>
    <comment ref="G557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71" authorId="1" shapeId="0">
      <text>
        <r>
          <rPr>
            <sz val="9"/>
            <color indexed="81"/>
            <rFont val="Tahoma"/>
            <family val="2"/>
          </rPr>
          <t>Die Ausfallvergütung ist im Fall der Marktprämien-Direktvermarktung irrelevant, da sich beide gegenseitig ausschließen.</t>
        </r>
      </text>
    </comment>
    <comment ref="F5572" authorId="1" shapeId="0">
      <text>
        <r>
          <rPr>
            <sz val="9"/>
            <color indexed="81"/>
            <rFont val="Tahoma"/>
            <family val="2"/>
          </rPr>
          <t>Die Einspeisevergütung ist im Fall der Marktprämien-Direktvermarktung irrelevant, da sich beide gegenseitig ausschließen.</t>
        </r>
      </text>
    </comment>
    <comment ref="G557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72" authorId="1" shapeId="0">
      <text>
        <r>
          <rPr>
            <sz val="9"/>
            <color indexed="81"/>
            <rFont val="Tahoma"/>
            <family val="2"/>
          </rPr>
          <t>Die Ausfallvergütung ist im Fall der Marktprämien-Direktvermarktung irrelevant, da sich beide gegenseitig ausschließen.</t>
        </r>
      </text>
    </comment>
    <comment ref="F5573" authorId="1" shapeId="0">
      <text>
        <r>
          <rPr>
            <sz val="9"/>
            <color indexed="81"/>
            <rFont val="Tahoma"/>
            <family val="2"/>
          </rPr>
          <t>Die Einspeisevergütung ist im Fall der Marktprämien-Direktvermarktung irrelevant, da sich beide gegenseitig ausschließen.</t>
        </r>
      </text>
    </comment>
    <comment ref="G557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73" authorId="1" shapeId="0">
      <text>
        <r>
          <rPr>
            <sz val="9"/>
            <color indexed="81"/>
            <rFont val="Tahoma"/>
            <family val="2"/>
          </rPr>
          <t>Die Ausfallvergütung ist im Fall der Marktprämien-Direktvermarktung irrelevant, da sich beide gegenseitig ausschließen.</t>
        </r>
      </text>
    </comment>
    <comment ref="F5574" authorId="1" shapeId="0">
      <text>
        <r>
          <rPr>
            <sz val="9"/>
            <color indexed="81"/>
            <rFont val="Tahoma"/>
            <family val="2"/>
          </rPr>
          <t>Die Einspeisevergütung ist im Fall der Marktprämien-Direktvermarktung irrelevant, da sich beide gegenseitig ausschließen.</t>
        </r>
      </text>
    </comment>
    <comment ref="G557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74" authorId="1" shapeId="0">
      <text>
        <r>
          <rPr>
            <sz val="9"/>
            <color indexed="81"/>
            <rFont val="Tahoma"/>
            <family val="2"/>
          </rPr>
          <t>Die Ausfallvergütung ist im Fall der Marktprämien-Direktvermarktung irrelevant, da sich beide gegenseitig ausschließen.</t>
        </r>
      </text>
    </comment>
    <comment ref="F5575" authorId="1" shapeId="0">
      <text>
        <r>
          <rPr>
            <sz val="9"/>
            <color indexed="81"/>
            <rFont val="Tahoma"/>
            <family val="2"/>
          </rPr>
          <t>Die Einspeisevergütung ist im Fall der Marktprämien-Direktvermarktung irrelevant, da sich beide gegenseitig ausschließen.</t>
        </r>
      </text>
    </comment>
    <comment ref="G557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75" authorId="1" shapeId="0">
      <text>
        <r>
          <rPr>
            <sz val="9"/>
            <color indexed="81"/>
            <rFont val="Tahoma"/>
            <family val="2"/>
          </rPr>
          <t>Die Ausfallvergütung ist im Fall der Marktprämien-Direktvermarktung irrelevant, da sich beide gegenseitig ausschließen.</t>
        </r>
      </text>
    </comment>
    <comment ref="F5576" authorId="1" shapeId="0">
      <text>
        <r>
          <rPr>
            <sz val="9"/>
            <color indexed="81"/>
            <rFont val="Tahoma"/>
            <family val="2"/>
          </rPr>
          <t>Die Einspeisevergütung ist im Fall der Marktprämien-Direktvermarktung irrelevant, da sich beide gegenseitig ausschließen.</t>
        </r>
      </text>
    </comment>
    <comment ref="G557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76" authorId="1" shapeId="0">
      <text>
        <r>
          <rPr>
            <sz val="9"/>
            <color indexed="81"/>
            <rFont val="Tahoma"/>
            <family val="2"/>
          </rPr>
          <t>Die Ausfallvergütung ist im Fall der Marktprämien-Direktvermarktung irrelevant, da sich beide gegenseitig ausschließen.</t>
        </r>
      </text>
    </comment>
    <comment ref="F5577" authorId="1" shapeId="0">
      <text>
        <r>
          <rPr>
            <sz val="9"/>
            <color indexed="81"/>
            <rFont val="Tahoma"/>
            <family val="2"/>
          </rPr>
          <t>Die Einspeisevergütung ist im Fall der Marktprämien-Direktvermarktung irrelevant, da sich beide gegenseitig ausschließen.</t>
        </r>
      </text>
    </comment>
    <comment ref="G557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77" authorId="1" shapeId="0">
      <text>
        <r>
          <rPr>
            <sz val="9"/>
            <color indexed="81"/>
            <rFont val="Tahoma"/>
            <family val="2"/>
          </rPr>
          <t>Die Ausfallvergütung ist im Fall der Marktprämien-Direktvermarktung irrelevant, da sich beide gegenseitig ausschließen.</t>
        </r>
      </text>
    </comment>
    <comment ref="F5579" authorId="1" shapeId="0">
      <text>
        <r>
          <rPr>
            <sz val="9"/>
            <color indexed="81"/>
            <rFont val="Tahoma"/>
            <family val="2"/>
          </rPr>
          <t>Die Einspeisevergütung ist im Fall der Marktprämien-Direktvermarktung irrelevant, da sich beide gegenseitig ausschließen.</t>
        </r>
      </text>
    </comment>
    <comment ref="G557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79" authorId="1" shapeId="0">
      <text>
        <r>
          <rPr>
            <sz val="9"/>
            <color indexed="81"/>
            <rFont val="Tahoma"/>
            <family val="2"/>
          </rPr>
          <t>Die Ausfallvergütung ist im Fall der Marktprämien-Direktvermarktung irrelevant, da sich beide gegenseitig ausschließen.</t>
        </r>
      </text>
    </comment>
    <comment ref="F5580" authorId="1" shapeId="0">
      <text>
        <r>
          <rPr>
            <sz val="9"/>
            <color indexed="81"/>
            <rFont val="Tahoma"/>
            <family val="2"/>
          </rPr>
          <t>Die Einspeisevergütung ist im Fall der Marktprämien-Direktvermarktung irrelevant, da sich beide gegenseitig ausschließen.</t>
        </r>
      </text>
    </comment>
    <comment ref="G558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80" authorId="1" shapeId="0">
      <text>
        <r>
          <rPr>
            <sz val="9"/>
            <color indexed="81"/>
            <rFont val="Tahoma"/>
            <family val="2"/>
          </rPr>
          <t>Die Ausfallvergütung ist im Fall der Marktprämien-Direktvermarktung irrelevant, da sich beide gegenseitig ausschließen.</t>
        </r>
      </text>
    </comment>
    <comment ref="F5581" authorId="1" shapeId="0">
      <text>
        <r>
          <rPr>
            <sz val="9"/>
            <color indexed="81"/>
            <rFont val="Tahoma"/>
            <family val="2"/>
          </rPr>
          <t>Die Einspeisevergütung ist im Fall der Marktprämien-Direktvermarktung irrelevant, da sich beide gegenseitig ausschließen.</t>
        </r>
      </text>
    </comment>
    <comment ref="G558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81" authorId="1" shapeId="0">
      <text>
        <r>
          <rPr>
            <sz val="9"/>
            <color indexed="81"/>
            <rFont val="Tahoma"/>
            <family val="2"/>
          </rPr>
          <t>Die Ausfallvergütung ist im Fall der Marktprämien-Direktvermarktung irrelevant, da sich beide gegenseitig ausschließen.</t>
        </r>
      </text>
    </comment>
    <comment ref="F5582" authorId="1" shapeId="0">
      <text>
        <r>
          <rPr>
            <sz val="9"/>
            <color indexed="81"/>
            <rFont val="Tahoma"/>
            <family val="2"/>
          </rPr>
          <t>Die Einspeisevergütung ist im Fall der Marktprämien-Direktvermarktung irrelevant, da sich beide gegenseitig ausschließen.</t>
        </r>
      </text>
    </comment>
    <comment ref="G558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82" authorId="1" shapeId="0">
      <text>
        <r>
          <rPr>
            <sz val="9"/>
            <color indexed="81"/>
            <rFont val="Tahoma"/>
            <family val="2"/>
          </rPr>
          <t>Die Ausfallvergütung ist im Fall der Marktprämien-Direktvermarktung irrelevant, da sich beide gegenseitig ausschließen.</t>
        </r>
      </text>
    </comment>
    <comment ref="F5583" authorId="1" shapeId="0">
      <text>
        <r>
          <rPr>
            <sz val="9"/>
            <color indexed="81"/>
            <rFont val="Tahoma"/>
            <family val="2"/>
          </rPr>
          <t>Die Einspeisevergütung ist im Fall der Marktprämien-Direktvermarktung irrelevant, da sich beide gegenseitig ausschließen.</t>
        </r>
      </text>
    </comment>
    <comment ref="G558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83" authorId="1" shapeId="0">
      <text>
        <r>
          <rPr>
            <sz val="9"/>
            <color indexed="81"/>
            <rFont val="Tahoma"/>
            <family val="2"/>
          </rPr>
          <t>Die Ausfallvergütung ist im Fall der Marktprämien-Direktvermarktung irrelevant, da sich beide gegenseitig ausschließen.</t>
        </r>
      </text>
    </comment>
    <comment ref="F5584" authorId="1" shapeId="0">
      <text>
        <r>
          <rPr>
            <sz val="9"/>
            <color indexed="81"/>
            <rFont val="Tahoma"/>
            <family val="2"/>
          </rPr>
          <t>Die Einspeisevergütung ist im Fall der Marktprämien-Direktvermarktung irrelevant, da sich beide gegenseitig ausschließen.</t>
        </r>
      </text>
    </comment>
    <comment ref="G558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84" authorId="1" shapeId="0">
      <text>
        <r>
          <rPr>
            <sz val="9"/>
            <color indexed="81"/>
            <rFont val="Tahoma"/>
            <family val="2"/>
          </rPr>
          <t>Die Ausfallvergütung ist im Fall der Marktprämien-Direktvermarktung irrelevant, da sich beide gegenseitig ausschließen.</t>
        </r>
      </text>
    </comment>
    <comment ref="F5585" authorId="1" shapeId="0">
      <text>
        <r>
          <rPr>
            <sz val="9"/>
            <color indexed="81"/>
            <rFont val="Tahoma"/>
            <family val="2"/>
          </rPr>
          <t>Die Einspeisevergütung ist im Fall der Marktprämien-Direktvermarktung irrelevant, da sich beide gegenseitig ausschließen.</t>
        </r>
      </text>
    </comment>
    <comment ref="G558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85" authorId="1" shapeId="0">
      <text>
        <r>
          <rPr>
            <sz val="9"/>
            <color indexed="81"/>
            <rFont val="Tahoma"/>
            <family val="2"/>
          </rPr>
          <t>Die Ausfallvergütung ist im Fall der Marktprämien-Direktvermarktung irrelevant, da sich beide gegenseitig ausschließen.</t>
        </r>
      </text>
    </comment>
    <comment ref="F5586" authorId="1" shapeId="0">
      <text>
        <r>
          <rPr>
            <sz val="9"/>
            <color indexed="81"/>
            <rFont val="Tahoma"/>
            <family val="2"/>
          </rPr>
          <t>Die Einspeisevergütung ist im Fall der Marktprämien-Direktvermarktung irrelevant, da sich beide gegenseitig ausschließen.</t>
        </r>
      </text>
    </comment>
    <comment ref="G558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86" authorId="1" shapeId="0">
      <text>
        <r>
          <rPr>
            <sz val="9"/>
            <color indexed="81"/>
            <rFont val="Tahoma"/>
            <family val="2"/>
          </rPr>
          <t>Die Ausfallvergütung ist im Fall der Marktprämien-Direktvermarktung irrelevant, da sich beide gegenseitig ausschließen.</t>
        </r>
      </text>
    </comment>
    <comment ref="F5587" authorId="1" shapeId="0">
      <text>
        <r>
          <rPr>
            <sz val="9"/>
            <color indexed="81"/>
            <rFont val="Tahoma"/>
            <family val="2"/>
          </rPr>
          <t>Die Einspeisevergütung ist im Fall der Marktprämien-Direktvermarktung irrelevant, da sich beide gegenseitig ausschließen.</t>
        </r>
      </text>
    </comment>
    <comment ref="G558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87" authorId="1" shapeId="0">
      <text>
        <r>
          <rPr>
            <sz val="9"/>
            <color indexed="81"/>
            <rFont val="Tahoma"/>
            <family val="2"/>
          </rPr>
          <t>Die Ausfallvergütung ist im Fall der Marktprämien-Direktvermarktung irrelevant, da sich beide gegenseitig ausschließen.</t>
        </r>
      </text>
    </comment>
    <comment ref="F5588" authorId="1" shapeId="0">
      <text>
        <r>
          <rPr>
            <sz val="9"/>
            <color indexed="81"/>
            <rFont val="Tahoma"/>
            <family val="2"/>
          </rPr>
          <t>Die Einspeisevergütung ist im Fall der Marktprämien-Direktvermarktung irrelevant, da sich beide gegenseitig ausschließen.</t>
        </r>
      </text>
    </comment>
    <comment ref="G558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88" authorId="1" shapeId="0">
      <text>
        <r>
          <rPr>
            <sz val="9"/>
            <color indexed="81"/>
            <rFont val="Tahoma"/>
            <family val="2"/>
          </rPr>
          <t>Die Ausfallvergütung ist im Fall der Marktprämien-Direktvermarktung irrelevant, da sich beide gegenseitig ausschließen.</t>
        </r>
      </text>
    </comment>
    <comment ref="F5589" authorId="1" shapeId="0">
      <text>
        <r>
          <rPr>
            <sz val="9"/>
            <color indexed="81"/>
            <rFont val="Tahoma"/>
            <family val="2"/>
          </rPr>
          <t>Die Einspeisevergütung ist im Fall der Marktprämien-Direktvermarktung irrelevant, da sich beide gegenseitig ausschließen.</t>
        </r>
      </text>
    </comment>
    <comment ref="G558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89" authorId="1" shapeId="0">
      <text>
        <r>
          <rPr>
            <sz val="9"/>
            <color indexed="81"/>
            <rFont val="Tahoma"/>
            <family val="2"/>
          </rPr>
          <t>Die Ausfallvergütung ist im Fall der Marktprämien-Direktvermarktung irrelevant, da sich beide gegenseitig ausschließen.</t>
        </r>
      </text>
    </comment>
    <comment ref="F5590" authorId="1" shapeId="0">
      <text>
        <r>
          <rPr>
            <sz val="9"/>
            <color indexed="81"/>
            <rFont val="Tahoma"/>
            <family val="2"/>
          </rPr>
          <t>Die Einspeisevergütung ist im Fall der Marktprämien-Direktvermarktung irrelevant, da sich beide gegenseitig ausschließen.</t>
        </r>
      </text>
    </comment>
    <comment ref="G559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90" authorId="1" shapeId="0">
      <text>
        <r>
          <rPr>
            <sz val="9"/>
            <color indexed="81"/>
            <rFont val="Tahoma"/>
            <family val="2"/>
          </rPr>
          <t>Die Ausfallvergütung ist im Fall der Marktprämien-Direktvermarktung irrelevant, da sich beide gegenseitig ausschließen.</t>
        </r>
      </text>
    </comment>
    <comment ref="F5592" authorId="1" shapeId="0">
      <text>
        <r>
          <rPr>
            <sz val="9"/>
            <color indexed="81"/>
            <rFont val="Tahoma"/>
            <family val="2"/>
          </rPr>
          <t>Die Einspeisevergütung ist im Fall der Marktprämien-Direktvermarktung irrelevant, da sich beide gegenseitig ausschließen.</t>
        </r>
      </text>
    </comment>
    <comment ref="G559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92" authorId="1" shapeId="0">
      <text>
        <r>
          <rPr>
            <sz val="9"/>
            <color indexed="81"/>
            <rFont val="Tahoma"/>
            <family val="2"/>
          </rPr>
          <t>Die Ausfallvergütung ist im Fall der Marktprämien-Direktvermarktung irrelevant, da sich beide gegenseitig ausschließen.</t>
        </r>
      </text>
    </comment>
    <comment ref="F5593" authorId="1" shapeId="0">
      <text>
        <r>
          <rPr>
            <sz val="9"/>
            <color indexed="81"/>
            <rFont val="Tahoma"/>
            <family val="2"/>
          </rPr>
          <t>Die Einspeisevergütung ist im Fall der Marktprämien-Direktvermarktung irrelevant, da sich beide gegenseitig ausschließen.</t>
        </r>
      </text>
    </comment>
    <comment ref="G559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93" authorId="1" shapeId="0">
      <text>
        <r>
          <rPr>
            <sz val="9"/>
            <color indexed="81"/>
            <rFont val="Tahoma"/>
            <family val="2"/>
          </rPr>
          <t>Die Ausfallvergütung ist im Fall der Marktprämien-Direktvermarktung irrelevant, da sich beide gegenseitig ausschließen.</t>
        </r>
      </text>
    </comment>
    <comment ref="F5594" authorId="1" shapeId="0">
      <text>
        <r>
          <rPr>
            <sz val="9"/>
            <color indexed="81"/>
            <rFont val="Tahoma"/>
            <family val="2"/>
          </rPr>
          <t>Die Einspeisevergütung ist im Fall der Marktprämien-Direktvermarktung irrelevant, da sich beide gegenseitig ausschließen.</t>
        </r>
      </text>
    </comment>
    <comment ref="G559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94" authorId="1" shapeId="0">
      <text>
        <r>
          <rPr>
            <sz val="9"/>
            <color indexed="81"/>
            <rFont val="Tahoma"/>
            <family val="2"/>
          </rPr>
          <t>Die Ausfallvergütung ist im Fall der Marktprämien-Direktvermarktung irrelevant, da sich beide gegenseitig ausschließen.</t>
        </r>
      </text>
    </comment>
    <comment ref="F5595" authorId="1" shapeId="0">
      <text>
        <r>
          <rPr>
            <sz val="9"/>
            <color indexed="81"/>
            <rFont val="Tahoma"/>
            <family val="2"/>
          </rPr>
          <t>Die Einspeisevergütung ist im Fall der Marktprämien-Direktvermarktung irrelevant, da sich beide gegenseitig ausschließen.</t>
        </r>
      </text>
    </comment>
    <comment ref="G559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95" authorId="1" shapeId="0">
      <text>
        <r>
          <rPr>
            <sz val="9"/>
            <color indexed="81"/>
            <rFont val="Tahoma"/>
            <family val="2"/>
          </rPr>
          <t>Die Ausfallvergütung ist im Fall der Marktprämien-Direktvermarktung irrelevant, da sich beide gegenseitig ausschließen.</t>
        </r>
      </text>
    </comment>
    <comment ref="F5596" authorId="1" shapeId="0">
      <text>
        <r>
          <rPr>
            <sz val="9"/>
            <color indexed="81"/>
            <rFont val="Tahoma"/>
            <family val="2"/>
          </rPr>
          <t>Die Einspeisevergütung ist im Fall der Marktprämien-Direktvermarktung irrelevant, da sich beide gegenseitig ausschließen.</t>
        </r>
      </text>
    </comment>
    <comment ref="G559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96" authorId="1" shapeId="0">
      <text>
        <r>
          <rPr>
            <sz val="9"/>
            <color indexed="81"/>
            <rFont val="Tahoma"/>
            <family val="2"/>
          </rPr>
          <t>Die Ausfallvergütung ist im Fall der Marktprämien-Direktvermarktung irrelevant, da sich beide gegenseitig ausschließen.</t>
        </r>
      </text>
    </comment>
    <comment ref="F5597" authorId="1" shapeId="0">
      <text>
        <r>
          <rPr>
            <sz val="9"/>
            <color indexed="81"/>
            <rFont val="Tahoma"/>
            <family val="2"/>
          </rPr>
          <t>Die Einspeisevergütung ist im Fall der Marktprämien-Direktvermarktung irrelevant, da sich beide gegenseitig ausschließen.</t>
        </r>
      </text>
    </comment>
    <comment ref="G559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97" authorId="1" shapeId="0">
      <text>
        <r>
          <rPr>
            <sz val="9"/>
            <color indexed="81"/>
            <rFont val="Tahoma"/>
            <family val="2"/>
          </rPr>
          <t>Die Ausfallvergütung ist im Fall der Marktprämien-Direktvermarktung irrelevant, da sich beide gegenseitig ausschließen.</t>
        </r>
      </text>
    </comment>
    <comment ref="F5598" authorId="1" shapeId="0">
      <text>
        <r>
          <rPr>
            <sz val="9"/>
            <color indexed="81"/>
            <rFont val="Tahoma"/>
            <family val="2"/>
          </rPr>
          <t>Die Einspeisevergütung ist im Fall der Marktprämien-Direktvermarktung irrelevant, da sich beide gegenseitig ausschließen.</t>
        </r>
      </text>
    </comment>
    <comment ref="G559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98" authorId="1" shapeId="0">
      <text>
        <r>
          <rPr>
            <sz val="9"/>
            <color indexed="81"/>
            <rFont val="Tahoma"/>
            <family val="2"/>
          </rPr>
          <t>Die Ausfallvergütung ist im Fall der Marktprämien-Direktvermarktung irrelevant, da sich beide gegenseitig ausschließen.</t>
        </r>
      </text>
    </comment>
    <comment ref="F5599" authorId="1" shapeId="0">
      <text>
        <r>
          <rPr>
            <sz val="9"/>
            <color indexed="81"/>
            <rFont val="Tahoma"/>
            <family val="2"/>
          </rPr>
          <t>Die Einspeisevergütung ist im Fall der Marktprämien-Direktvermarktung irrelevant, da sich beide gegenseitig ausschließen.</t>
        </r>
      </text>
    </comment>
    <comment ref="G559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99" authorId="1" shapeId="0">
      <text>
        <r>
          <rPr>
            <sz val="9"/>
            <color indexed="81"/>
            <rFont val="Tahoma"/>
            <family val="2"/>
          </rPr>
          <t>Die Ausfallvergütung ist im Fall der Marktprämien-Direktvermarktung irrelevant, da sich beide gegenseitig ausschließen.</t>
        </r>
      </text>
    </comment>
    <comment ref="F5600" authorId="1" shapeId="0">
      <text>
        <r>
          <rPr>
            <sz val="9"/>
            <color indexed="81"/>
            <rFont val="Tahoma"/>
            <family val="2"/>
          </rPr>
          <t>Die Einspeisevergütung ist im Fall der Marktprämien-Direktvermarktung irrelevant, da sich beide gegenseitig ausschließen.</t>
        </r>
      </text>
    </comment>
    <comment ref="G560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00" authorId="1" shapeId="0">
      <text>
        <r>
          <rPr>
            <sz val="9"/>
            <color indexed="81"/>
            <rFont val="Tahoma"/>
            <family val="2"/>
          </rPr>
          <t>Die Ausfallvergütung ist im Fall der Marktprämien-Direktvermarktung irrelevant, da sich beide gegenseitig ausschließen.</t>
        </r>
      </text>
    </comment>
    <comment ref="F5601" authorId="1" shapeId="0">
      <text>
        <r>
          <rPr>
            <sz val="9"/>
            <color indexed="81"/>
            <rFont val="Tahoma"/>
            <family val="2"/>
          </rPr>
          <t>Die Einspeisevergütung ist im Fall der Marktprämien-Direktvermarktung irrelevant, da sich beide gegenseitig ausschließen.</t>
        </r>
      </text>
    </comment>
    <comment ref="G560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01" authorId="1" shapeId="0">
      <text>
        <r>
          <rPr>
            <sz val="9"/>
            <color indexed="81"/>
            <rFont val="Tahoma"/>
            <family val="2"/>
          </rPr>
          <t>Die Ausfallvergütung ist im Fall der Marktprämien-Direktvermarktung irrelevant, da sich beide gegenseitig ausschließen.</t>
        </r>
      </text>
    </comment>
    <comment ref="F5602" authorId="1" shapeId="0">
      <text>
        <r>
          <rPr>
            <sz val="9"/>
            <color indexed="81"/>
            <rFont val="Tahoma"/>
            <family val="2"/>
          </rPr>
          <t>Die Einspeisevergütung ist im Fall der Marktprämien-Direktvermarktung irrelevant, da sich beide gegenseitig ausschließen.</t>
        </r>
      </text>
    </comment>
    <comment ref="G560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02" authorId="1" shapeId="0">
      <text>
        <r>
          <rPr>
            <sz val="9"/>
            <color indexed="81"/>
            <rFont val="Tahoma"/>
            <family val="2"/>
          </rPr>
          <t>Die Ausfallvergütung ist im Fall der Marktprämien-Direktvermarktung irrelevant, da sich beide gegenseitig ausschließen.</t>
        </r>
      </text>
    </comment>
    <comment ref="F5603" authorId="1" shapeId="0">
      <text>
        <r>
          <rPr>
            <sz val="9"/>
            <color indexed="81"/>
            <rFont val="Tahoma"/>
            <family val="2"/>
          </rPr>
          <t>Die Einspeisevergütung ist im Fall der Marktprämien-Direktvermarktung irrelevant, da sich beide gegenseitig ausschließen.</t>
        </r>
      </text>
    </comment>
    <comment ref="G560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03" authorId="1" shapeId="0">
      <text>
        <r>
          <rPr>
            <sz val="9"/>
            <color indexed="81"/>
            <rFont val="Tahoma"/>
            <family val="2"/>
          </rPr>
          <t>Die Ausfallvergütung ist im Fall der Marktprämien-Direktvermarktung irrelevant, da sich beide gegenseitig ausschließen.</t>
        </r>
      </text>
    </comment>
    <comment ref="F5605" authorId="1" shapeId="0">
      <text>
        <r>
          <rPr>
            <sz val="9"/>
            <color indexed="81"/>
            <rFont val="Tahoma"/>
            <family val="2"/>
          </rPr>
          <t>Die Einspeisevergütung ist im Fall der Marktprämien-Direktvermarktung irrelevant, da sich beide gegenseitig ausschließen.</t>
        </r>
      </text>
    </comment>
    <comment ref="G560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05" authorId="1" shapeId="0">
      <text>
        <r>
          <rPr>
            <sz val="9"/>
            <color indexed="81"/>
            <rFont val="Tahoma"/>
            <family val="2"/>
          </rPr>
          <t>Die Ausfallvergütung ist im Fall der Marktprämien-Direktvermarktung irrelevant, da sich beide gegenseitig ausschließen.</t>
        </r>
      </text>
    </comment>
    <comment ref="F5606" authorId="1" shapeId="0">
      <text>
        <r>
          <rPr>
            <sz val="9"/>
            <color indexed="81"/>
            <rFont val="Tahoma"/>
            <family val="2"/>
          </rPr>
          <t>Die Einspeisevergütung ist im Fall der Marktprämien-Direktvermarktung irrelevant, da sich beide gegenseitig ausschließen.</t>
        </r>
      </text>
    </comment>
    <comment ref="G560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06" authorId="1" shapeId="0">
      <text>
        <r>
          <rPr>
            <sz val="9"/>
            <color indexed="81"/>
            <rFont val="Tahoma"/>
            <family val="2"/>
          </rPr>
          <t>Die Ausfallvergütung ist im Fall der Marktprämien-Direktvermarktung irrelevant, da sich beide gegenseitig ausschließen.</t>
        </r>
      </text>
    </comment>
    <comment ref="F5607" authorId="1" shapeId="0">
      <text>
        <r>
          <rPr>
            <sz val="9"/>
            <color indexed="81"/>
            <rFont val="Tahoma"/>
            <family val="2"/>
          </rPr>
          <t>Die Einspeisevergütung ist im Fall der Marktprämien-Direktvermarktung irrelevant, da sich beide gegenseitig ausschließen.</t>
        </r>
      </text>
    </comment>
    <comment ref="G560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07" authorId="1" shapeId="0">
      <text>
        <r>
          <rPr>
            <sz val="9"/>
            <color indexed="81"/>
            <rFont val="Tahoma"/>
            <family val="2"/>
          </rPr>
          <t>Die Ausfallvergütung ist im Fall der Marktprämien-Direktvermarktung irrelevant, da sich beide gegenseitig ausschließen.</t>
        </r>
      </text>
    </comment>
    <comment ref="F5608" authorId="1" shapeId="0">
      <text>
        <r>
          <rPr>
            <sz val="9"/>
            <color indexed="81"/>
            <rFont val="Tahoma"/>
            <family val="2"/>
          </rPr>
          <t>Die Einspeisevergütung ist im Fall der Marktprämien-Direktvermarktung irrelevant, da sich beide gegenseitig ausschließen.</t>
        </r>
      </text>
    </comment>
    <comment ref="G560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08" authorId="1" shapeId="0">
      <text>
        <r>
          <rPr>
            <sz val="9"/>
            <color indexed="81"/>
            <rFont val="Tahoma"/>
            <family val="2"/>
          </rPr>
          <t>Die Ausfallvergütung ist im Fall der Marktprämien-Direktvermarktung irrelevant, da sich beide gegenseitig ausschließen.</t>
        </r>
      </text>
    </comment>
    <comment ref="F5609" authorId="1" shapeId="0">
      <text>
        <r>
          <rPr>
            <sz val="9"/>
            <color indexed="81"/>
            <rFont val="Tahoma"/>
            <family val="2"/>
          </rPr>
          <t>Die Einspeisevergütung ist im Fall der Marktprämien-Direktvermarktung irrelevant, da sich beide gegenseitig ausschließen.</t>
        </r>
      </text>
    </comment>
    <comment ref="G560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09" authorId="1" shapeId="0">
      <text>
        <r>
          <rPr>
            <sz val="9"/>
            <color indexed="81"/>
            <rFont val="Tahoma"/>
            <family val="2"/>
          </rPr>
          <t>Die Ausfallvergütung ist im Fall der Marktprämien-Direktvermarktung irrelevant, da sich beide gegenseitig ausschließen.</t>
        </r>
      </text>
    </comment>
    <comment ref="F5610" authorId="1" shapeId="0">
      <text>
        <r>
          <rPr>
            <sz val="9"/>
            <color indexed="81"/>
            <rFont val="Tahoma"/>
            <family val="2"/>
          </rPr>
          <t>Die Einspeisevergütung ist im Fall der Marktprämien-Direktvermarktung irrelevant, da sich beide gegenseitig ausschließen.</t>
        </r>
      </text>
    </comment>
    <comment ref="G561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10" authorId="1" shapeId="0">
      <text>
        <r>
          <rPr>
            <sz val="9"/>
            <color indexed="81"/>
            <rFont val="Tahoma"/>
            <family val="2"/>
          </rPr>
          <t>Die Ausfallvergütung ist im Fall der Marktprämien-Direktvermarktung irrelevant, da sich beide gegenseitig ausschließen.</t>
        </r>
      </text>
    </comment>
    <comment ref="F5611" authorId="1" shapeId="0">
      <text>
        <r>
          <rPr>
            <sz val="9"/>
            <color indexed="81"/>
            <rFont val="Tahoma"/>
            <family val="2"/>
          </rPr>
          <t>Die Einspeisevergütung ist im Fall der Marktprämien-Direktvermarktung irrelevant, da sich beide gegenseitig ausschließen.</t>
        </r>
      </text>
    </comment>
    <comment ref="G561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11" authorId="1" shapeId="0">
      <text>
        <r>
          <rPr>
            <sz val="9"/>
            <color indexed="81"/>
            <rFont val="Tahoma"/>
            <family val="2"/>
          </rPr>
          <t>Die Ausfallvergütung ist im Fall der Marktprämien-Direktvermarktung irrelevant, da sich beide gegenseitig ausschließen.</t>
        </r>
      </text>
    </comment>
    <comment ref="F5612" authorId="1" shapeId="0">
      <text>
        <r>
          <rPr>
            <sz val="9"/>
            <color indexed="81"/>
            <rFont val="Tahoma"/>
            <family val="2"/>
          </rPr>
          <t>Die Einspeisevergütung ist im Fall der Marktprämien-Direktvermarktung irrelevant, da sich beide gegenseitig ausschließen.</t>
        </r>
      </text>
    </comment>
    <comment ref="G561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12" authorId="1" shapeId="0">
      <text>
        <r>
          <rPr>
            <sz val="9"/>
            <color indexed="81"/>
            <rFont val="Tahoma"/>
            <family val="2"/>
          </rPr>
          <t>Die Ausfallvergütung ist im Fall der Marktprämien-Direktvermarktung irrelevant, da sich beide gegenseitig ausschließen.</t>
        </r>
      </text>
    </comment>
    <comment ref="F5613" authorId="1" shapeId="0">
      <text>
        <r>
          <rPr>
            <sz val="9"/>
            <color indexed="81"/>
            <rFont val="Tahoma"/>
            <family val="2"/>
          </rPr>
          <t>Die Einspeisevergütung ist im Fall der Marktprämien-Direktvermarktung irrelevant, da sich beide gegenseitig ausschließen.</t>
        </r>
      </text>
    </comment>
    <comment ref="G561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13" authorId="1" shapeId="0">
      <text>
        <r>
          <rPr>
            <sz val="9"/>
            <color indexed="81"/>
            <rFont val="Tahoma"/>
            <family val="2"/>
          </rPr>
          <t>Die Ausfallvergütung ist im Fall der Marktprämien-Direktvermarktung irrelevant, da sich beide gegenseitig ausschließen.</t>
        </r>
      </text>
    </comment>
    <comment ref="F5614" authorId="1" shapeId="0">
      <text>
        <r>
          <rPr>
            <sz val="9"/>
            <color indexed="81"/>
            <rFont val="Tahoma"/>
            <family val="2"/>
          </rPr>
          <t>Die Einspeisevergütung ist im Fall der Marktprämien-Direktvermarktung irrelevant, da sich beide gegenseitig ausschließen.</t>
        </r>
      </text>
    </comment>
    <comment ref="G561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14" authorId="1" shapeId="0">
      <text>
        <r>
          <rPr>
            <sz val="9"/>
            <color indexed="81"/>
            <rFont val="Tahoma"/>
            <family val="2"/>
          </rPr>
          <t>Die Ausfallvergütung ist im Fall der Marktprämien-Direktvermarktung irrelevant, da sich beide gegenseitig ausschließen.</t>
        </r>
      </text>
    </comment>
    <comment ref="F5615" authorId="1" shapeId="0">
      <text>
        <r>
          <rPr>
            <sz val="9"/>
            <color indexed="81"/>
            <rFont val="Tahoma"/>
            <family val="2"/>
          </rPr>
          <t>Die Einspeisevergütung ist im Fall der Marktprämien-Direktvermarktung irrelevant, da sich beide gegenseitig ausschließen.</t>
        </r>
      </text>
    </comment>
    <comment ref="G561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15" authorId="1" shapeId="0">
      <text>
        <r>
          <rPr>
            <sz val="9"/>
            <color indexed="81"/>
            <rFont val="Tahoma"/>
            <family val="2"/>
          </rPr>
          <t>Die Ausfallvergütung ist im Fall der Marktprämien-Direktvermarktung irrelevant, da sich beide gegenseitig ausschließen.</t>
        </r>
      </text>
    </comment>
    <comment ref="F5616" authorId="1" shapeId="0">
      <text>
        <r>
          <rPr>
            <sz val="9"/>
            <color indexed="81"/>
            <rFont val="Tahoma"/>
            <family val="2"/>
          </rPr>
          <t>Die Einspeisevergütung ist im Fall der Marktprämien-Direktvermarktung irrelevant, da sich beide gegenseitig ausschließen.</t>
        </r>
      </text>
    </comment>
    <comment ref="G561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16" authorId="1" shapeId="0">
      <text>
        <r>
          <rPr>
            <sz val="9"/>
            <color indexed="81"/>
            <rFont val="Tahoma"/>
            <family val="2"/>
          </rPr>
          <t>Die Ausfallvergütung ist im Fall der Marktprämien-Direktvermarktung irrelevant, da sich beide gegenseitig ausschließen.</t>
        </r>
      </text>
    </comment>
    <comment ref="F5618" authorId="1" shapeId="0">
      <text>
        <r>
          <rPr>
            <sz val="9"/>
            <color indexed="81"/>
            <rFont val="Tahoma"/>
            <family val="2"/>
          </rPr>
          <t>Die Einspeisevergütung ist im Fall der Marktprämien-Direktvermarktung irrelevant, da sich beide gegenseitig ausschließen.</t>
        </r>
      </text>
    </comment>
    <comment ref="G561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18" authorId="1" shapeId="0">
      <text>
        <r>
          <rPr>
            <sz val="9"/>
            <color indexed="81"/>
            <rFont val="Tahoma"/>
            <family val="2"/>
          </rPr>
          <t>Die Ausfallvergütung ist im Fall der Marktprämien-Direktvermarktung irrelevant, da sich beide gegenseitig ausschließen.</t>
        </r>
      </text>
    </comment>
    <comment ref="I5618" authorId="1" shapeId="0">
      <text>
        <r>
          <rPr>
            <sz val="9"/>
            <color indexed="81"/>
            <rFont val="Tahoma"/>
            <family val="2"/>
          </rPr>
          <t>Die Mieterstromzuschlag im Fall Marktprämien- Direktvermarktung  ist über die entsprechenden Förder-Kategorien zu melden</t>
        </r>
      </text>
    </comment>
    <comment ref="F5619" authorId="1" shapeId="0">
      <text>
        <r>
          <rPr>
            <sz val="9"/>
            <color indexed="81"/>
            <rFont val="Tahoma"/>
            <family val="2"/>
          </rPr>
          <t>Die Einspeisevergütung ist im Fall der Marktprämien-Direktvermarktung irrelevant, da sich beide gegenseitig ausschließen.</t>
        </r>
      </text>
    </comment>
    <comment ref="G561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19" authorId="1" shapeId="0">
      <text>
        <r>
          <rPr>
            <sz val="9"/>
            <color indexed="81"/>
            <rFont val="Tahoma"/>
            <family val="2"/>
          </rPr>
          <t>Die Ausfallvergütung ist im Fall der Marktprämien-Direktvermarktung irrelevant, da sich beide gegenseitig ausschließen.</t>
        </r>
      </text>
    </comment>
    <comment ref="I5619" authorId="1" shapeId="0">
      <text>
        <r>
          <rPr>
            <sz val="9"/>
            <color indexed="81"/>
            <rFont val="Tahoma"/>
            <family val="2"/>
          </rPr>
          <t>Die Mieterstromzuschlag im Fall Marktprämien- Direktvermarktung  ist über die entsprechenden Förder-Kategorien zu melden</t>
        </r>
      </text>
    </comment>
    <comment ref="F5620" authorId="1" shapeId="0">
      <text>
        <r>
          <rPr>
            <sz val="9"/>
            <color indexed="81"/>
            <rFont val="Tahoma"/>
            <family val="2"/>
          </rPr>
          <t>Die Einspeisevergütung ist im Fall der Marktprämien-Direktvermarktung irrelevant, da sich beide gegenseitig ausschließen.</t>
        </r>
      </text>
    </comment>
    <comment ref="G5620"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20" authorId="1" shapeId="0">
      <text>
        <r>
          <rPr>
            <sz val="9"/>
            <color indexed="81"/>
            <rFont val="Tahoma"/>
            <family val="2"/>
          </rPr>
          <t>Die Ausfallvergütung ist im Fall der Marktprämien-Direktvermarktung irrelevant, da sich beide gegenseitig ausschließen.</t>
        </r>
      </text>
    </comment>
    <comment ref="I5620" authorId="1" shapeId="0">
      <text>
        <r>
          <rPr>
            <sz val="9"/>
            <color indexed="81"/>
            <rFont val="Tahoma"/>
            <family val="2"/>
          </rPr>
          <t>Die Mieterstromzuschlag im Fall Marktprämien- Direktvermarktung  ist über die entsprechenden Förder-Kategorien zu melden</t>
        </r>
      </text>
    </comment>
    <comment ref="F5621" authorId="1" shapeId="0">
      <text>
        <r>
          <rPr>
            <sz val="9"/>
            <color indexed="81"/>
            <rFont val="Tahoma"/>
            <family val="2"/>
          </rPr>
          <t>Die Einspeisevergütung ist im Fall der Marktprämien-Direktvermarktung irrelevant, da sich beide gegenseitig ausschließen.</t>
        </r>
      </text>
    </comment>
    <comment ref="G5621"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21" authorId="1" shapeId="0">
      <text>
        <r>
          <rPr>
            <sz val="9"/>
            <color indexed="81"/>
            <rFont val="Tahoma"/>
            <family val="2"/>
          </rPr>
          <t>Die Ausfallvergütung ist im Fall der Marktprämien-Direktvermarktung irrelevant, da sich beide gegenseitig ausschließen.</t>
        </r>
      </text>
    </comment>
    <comment ref="I5621" authorId="1" shapeId="0">
      <text>
        <r>
          <rPr>
            <sz val="9"/>
            <color indexed="81"/>
            <rFont val="Tahoma"/>
            <family val="2"/>
          </rPr>
          <t>Die Mieterstromzuschlag im Fall Marktprämien- Direktvermarktung  ist über die entsprechenden Förder-Kategorien zu melden</t>
        </r>
      </text>
    </comment>
    <comment ref="F5622" authorId="1" shapeId="0">
      <text>
        <r>
          <rPr>
            <sz val="9"/>
            <color indexed="81"/>
            <rFont val="Tahoma"/>
            <family val="2"/>
          </rPr>
          <t>Die Einspeisevergütung ist im Fall der Marktprämien-Direktvermarktung irrelevant, da sich beide gegenseitig ausschließen.</t>
        </r>
      </text>
    </comment>
    <comment ref="G5622"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22" authorId="1" shapeId="0">
      <text>
        <r>
          <rPr>
            <sz val="9"/>
            <color indexed="81"/>
            <rFont val="Tahoma"/>
            <family val="2"/>
          </rPr>
          <t>Die Ausfallvergütung ist im Fall der Marktprämien-Direktvermarktung irrelevant, da sich beide gegenseitig ausschließen.</t>
        </r>
      </text>
    </comment>
    <comment ref="I5622" authorId="1" shapeId="0">
      <text>
        <r>
          <rPr>
            <sz val="9"/>
            <color indexed="81"/>
            <rFont val="Tahoma"/>
            <family val="2"/>
          </rPr>
          <t>Die Mieterstromzuschlag im Fall Marktprämien- Direktvermarktung  ist über die entsprechenden Förder-Kategorien zu melden</t>
        </r>
      </text>
    </comment>
    <comment ref="F5623" authorId="1" shapeId="0">
      <text>
        <r>
          <rPr>
            <sz val="9"/>
            <color indexed="81"/>
            <rFont val="Tahoma"/>
            <family val="2"/>
          </rPr>
          <t>Die Einspeisevergütung ist im Fall der Marktprämien-Direktvermarktung irrelevant, da sich beide gegenseitig ausschließen.</t>
        </r>
      </text>
    </comment>
    <comment ref="G5623"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23" authorId="1" shapeId="0">
      <text>
        <r>
          <rPr>
            <sz val="9"/>
            <color indexed="81"/>
            <rFont val="Tahoma"/>
            <family val="2"/>
          </rPr>
          <t>Die Ausfallvergütung ist im Fall der Marktprämien-Direktvermarktung irrelevant, da sich beide gegenseitig ausschließen.</t>
        </r>
      </text>
    </comment>
    <comment ref="I5623" authorId="1" shapeId="0">
      <text>
        <r>
          <rPr>
            <sz val="9"/>
            <color indexed="81"/>
            <rFont val="Tahoma"/>
            <family val="2"/>
          </rPr>
          <t>Die Mieterstromzuschlag im Fall Marktprämien- Direktvermarktung  ist über die entsprechenden Förder-Kategorien zu melden</t>
        </r>
      </text>
    </comment>
    <comment ref="F5624" authorId="1" shapeId="0">
      <text>
        <r>
          <rPr>
            <sz val="9"/>
            <color indexed="81"/>
            <rFont val="Tahoma"/>
            <family val="2"/>
          </rPr>
          <t>Die Einspeisevergütung ist im Fall der Marktprämien-Direktvermarktung irrelevant, da sich beide gegenseitig ausschließen.</t>
        </r>
      </text>
    </comment>
    <comment ref="G5624"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24" authorId="1" shapeId="0">
      <text>
        <r>
          <rPr>
            <sz val="9"/>
            <color indexed="81"/>
            <rFont val="Tahoma"/>
            <family val="2"/>
          </rPr>
          <t>Die Ausfallvergütung ist im Fall der Marktprämien-Direktvermarktung irrelevant, da sich beide gegenseitig ausschließen.</t>
        </r>
      </text>
    </comment>
    <comment ref="I5624" authorId="1" shapeId="0">
      <text>
        <r>
          <rPr>
            <sz val="9"/>
            <color indexed="81"/>
            <rFont val="Tahoma"/>
            <family val="2"/>
          </rPr>
          <t>Die Mieterstromzuschlag im Fall Marktprämien- Direktvermarktung  ist über die entsprechenden Förder-Kategorien zu melden</t>
        </r>
      </text>
    </comment>
    <comment ref="F5625" authorId="1" shapeId="0">
      <text>
        <r>
          <rPr>
            <sz val="9"/>
            <color indexed="81"/>
            <rFont val="Tahoma"/>
            <family val="2"/>
          </rPr>
          <t>Die Einspeisevergütung ist im Fall der Marktprämien-Direktvermarktung irrelevant, da sich beide gegenseitig ausschließen.</t>
        </r>
      </text>
    </comment>
    <comment ref="G5625"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25" authorId="1" shapeId="0">
      <text>
        <r>
          <rPr>
            <sz val="9"/>
            <color indexed="81"/>
            <rFont val="Tahoma"/>
            <family val="2"/>
          </rPr>
          <t>Die Ausfallvergütung ist im Fall der Marktprämien-Direktvermarktung irrelevant, da sich beide gegenseitig ausschließen.</t>
        </r>
      </text>
    </comment>
    <comment ref="I5625" authorId="1" shapeId="0">
      <text>
        <r>
          <rPr>
            <sz val="9"/>
            <color indexed="81"/>
            <rFont val="Tahoma"/>
            <family val="2"/>
          </rPr>
          <t>Die Mieterstromzuschlag im Fall Marktprämien- Direktvermarktung  ist über die entsprechenden Förder-Kategorien zu melden</t>
        </r>
      </text>
    </comment>
    <comment ref="F5626" authorId="1" shapeId="0">
      <text>
        <r>
          <rPr>
            <sz val="9"/>
            <color indexed="81"/>
            <rFont val="Tahoma"/>
            <family val="2"/>
          </rPr>
          <t>Die Einspeisevergütung ist im Fall der Marktprämien-Direktvermarktung irrelevant, da sich beide gegenseitig ausschließen.</t>
        </r>
      </text>
    </comment>
    <comment ref="G5626"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26" authorId="1" shapeId="0">
      <text>
        <r>
          <rPr>
            <sz val="9"/>
            <color indexed="81"/>
            <rFont val="Tahoma"/>
            <family val="2"/>
          </rPr>
          <t>Die Ausfallvergütung ist im Fall der Marktprämien-Direktvermarktung irrelevant, da sich beide gegenseitig ausschließen.</t>
        </r>
      </text>
    </comment>
    <comment ref="I5626" authorId="1" shapeId="0">
      <text>
        <r>
          <rPr>
            <sz val="9"/>
            <color indexed="81"/>
            <rFont val="Tahoma"/>
            <family val="2"/>
          </rPr>
          <t>Die Mieterstromzuschlag im Fall Marktprämien- Direktvermarktung  ist über die entsprechenden Förder-Kategorien zu melden</t>
        </r>
      </text>
    </comment>
    <comment ref="F5627" authorId="1" shapeId="0">
      <text>
        <r>
          <rPr>
            <sz val="9"/>
            <color indexed="81"/>
            <rFont val="Tahoma"/>
            <family val="2"/>
          </rPr>
          <t>Die Einspeisevergütung ist im Fall der Marktprämien-Direktvermarktung irrelevant, da sich beide gegenseitig ausschließen.</t>
        </r>
      </text>
    </comment>
    <comment ref="G5627"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27" authorId="1" shapeId="0">
      <text>
        <r>
          <rPr>
            <sz val="9"/>
            <color indexed="81"/>
            <rFont val="Tahoma"/>
            <family val="2"/>
          </rPr>
          <t>Die Ausfallvergütung ist im Fall der Marktprämien-Direktvermarktung irrelevant, da sich beide gegenseitig ausschließen.</t>
        </r>
      </text>
    </comment>
    <comment ref="I5627" authorId="1" shapeId="0">
      <text>
        <r>
          <rPr>
            <sz val="9"/>
            <color indexed="81"/>
            <rFont val="Tahoma"/>
            <family val="2"/>
          </rPr>
          <t>Die Mieterstromzuschlag im Fall Marktprämien- Direktvermarktung  ist über die entsprechenden Förder-Kategorien zu melden</t>
        </r>
      </text>
    </comment>
    <comment ref="F5628" authorId="1" shapeId="0">
      <text>
        <r>
          <rPr>
            <sz val="9"/>
            <color indexed="81"/>
            <rFont val="Tahoma"/>
            <family val="2"/>
          </rPr>
          <t>Die Einspeisevergütung ist im Fall der Marktprämien-Direktvermarktung irrelevant, da sich beide gegenseitig ausschließen.</t>
        </r>
      </text>
    </comment>
    <comment ref="G5628"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28" authorId="1" shapeId="0">
      <text>
        <r>
          <rPr>
            <sz val="9"/>
            <color indexed="81"/>
            <rFont val="Tahoma"/>
            <family val="2"/>
          </rPr>
          <t>Die Ausfallvergütung ist im Fall der Marktprämien-Direktvermarktung irrelevant, da sich beide gegenseitig ausschließen.</t>
        </r>
      </text>
    </comment>
    <comment ref="I5628" authorId="1" shapeId="0">
      <text>
        <r>
          <rPr>
            <sz val="9"/>
            <color indexed="81"/>
            <rFont val="Tahoma"/>
            <family val="2"/>
          </rPr>
          <t>Die Mieterstromzuschlag im Fall Marktprämien- Direktvermarktung  ist über die entsprechenden Förder-Kategorien zu melden</t>
        </r>
      </text>
    </comment>
    <comment ref="F5629" authorId="1" shapeId="0">
      <text>
        <r>
          <rPr>
            <sz val="9"/>
            <color indexed="81"/>
            <rFont val="Tahoma"/>
            <family val="2"/>
          </rPr>
          <t>Die Einspeisevergütung ist im Fall der Marktprämien-Direktvermarktung irrelevant, da sich beide gegenseitig ausschließen.</t>
        </r>
      </text>
    </comment>
    <comment ref="G5629" authorId="1" shapeId="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629" authorId="1" shapeId="0">
      <text>
        <r>
          <rPr>
            <sz val="9"/>
            <color indexed="81"/>
            <rFont val="Tahoma"/>
            <family val="2"/>
          </rPr>
          <t>Die Ausfallvergütung ist im Fall der Marktprämien-Direktvermarktung irrelevant, da sich beide gegenseitig ausschließen.</t>
        </r>
      </text>
    </comment>
    <comment ref="I5629" authorId="1" shapeId="0">
      <text>
        <r>
          <rPr>
            <sz val="9"/>
            <color indexed="81"/>
            <rFont val="Tahoma"/>
            <family val="2"/>
          </rPr>
          <t>Die Mieterstromzuschlag im Fall Marktprämien- Direktvermarktung  ist über die entsprechenden Förder-Kategorien zu melden</t>
        </r>
      </text>
    </comment>
    <comment ref="F5636" authorId="1" shapeId="0">
      <text>
        <r>
          <rPr>
            <sz val="9"/>
            <color indexed="81"/>
            <rFont val="Tahoma"/>
            <family val="2"/>
          </rPr>
          <t>Die Einspeisevergütung ist im Fall der Marktprämien-Direktvermarktung irrelevant, da sich beide gegenseitig ausschließen.</t>
        </r>
      </text>
    </comment>
    <comment ref="G5636"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36" authorId="1" shapeId="0">
      <text>
        <r>
          <rPr>
            <sz val="9"/>
            <color indexed="81"/>
            <rFont val="Tahoma"/>
            <family val="2"/>
          </rPr>
          <t>Die Ausfallvergütung ist im Fall der Marktprämien-Direktvermarktung irrelevant, da sich beide gegenseitig ausschließen.</t>
        </r>
      </text>
    </comment>
    <comment ref="F5637" authorId="1" shapeId="0">
      <text>
        <r>
          <rPr>
            <sz val="9"/>
            <color indexed="81"/>
            <rFont val="Tahoma"/>
            <family val="2"/>
          </rPr>
          <t>Die Einspeisevergütung ist im Fall der Marktprämien-Direktvermarktung irrelevant, da sich beide gegenseitig ausschließen.</t>
        </r>
      </text>
    </comment>
    <comment ref="G5637"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37" authorId="1" shapeId="0">
      <text>
        <r>
          <rPr>
            <sz val="9"/>
            <color indexed="81"/>
            <rFont val="Tahoma"/>
            <family val="2"/>
          </rPr>
          <t>Die Ausfallvergütung ist im Fall der Marktprämien-Direktvermarktung irrelevant, da sich beide gegenseitig ausschließen.</t>
        </r>
      </text>
    </comment>
    <comment ref="F5638" authorId="1" shapeId="0">
      <text>
        <r>
          <rPr>
            <sz val="9"/>
            <color indexed="81"/>
            <rFont val="Tahoma"/>
            <family val="2"/>
          </rPr>
          <t>Die Einspeisevergütung ist im Fall der Marktprämien-Direktvermarktung irrelevant, da sich beide gegenseitig ausschließen.</t>
        </r>
      </text>
    </comment>
    <comment ref="G5638"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38" authorId="1" shapeId="0">
      <text>
        <r>
          <rPr>
            <sz val="9"/>
            <color indexed="81"/>
            <rFont val="Tahoma"/>
            <family val="2"/>
          </rPr>
          <t>Die Ausfallvergütung ist im Fall der Marktprämien-Direktvermarktung irrelevant, da sich beide gegenseitig ausschließen.</t>
        </r>
      </text>
    </comment>
    <comment ref="F5639" authorId="1" shapeId="0">
      <text>
        <r>
          <rPr>
            <sz val="9"/>
            <color indexed="81"/>
            <rFont val="Tahoma"/>
            <family val="2"/>
          </rPr>
          <t>Die Einspeisevergütung ist im Fall der Marktprämien-Direktvermarktung irrelevant, da sich beide gegenseitig ausschließen.</t>
        </r>
      </text>
    </comment>
    <comment ref="G5639"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39" authorId="1" shapeId="0">
      <text>
        <r>
          <rPr>
            <sz val="9"/>
            <color indexed="81"/>
            <rFont val="Tahoma"/>
            <family val="2"/>
          </rPr>
          <t>Die Ausfallvergütung ist im Fall der Marktprämien-Direktvermarktung irrelevant, da sich beide gegenseitig ausschließen.</t>
        </r>
      </text>
    </comment>
    <comment ref="F5640" authorId="1" shapeId="0">
      <text>
        <r>
          <rPr>
            <sz val="9"/>
            <color indexed="81"/>
            <rFont val="Tahoma"/>
            <family val="2"/>
          </rPr>
          <t>Die Einspeisevergütung ist im Fall der Marktprämien-Direktvermarktung irrelevant, da sich beide gegenseitig ausschließen.</t>
        </r>
      </text>
    </comment>
    <comment ref="G5640"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40" authorId="1" shapeId="0">
      <text>
        <r>
          <rPr>
            <sz val="9"/>
            <color indexed="81"/>
            <rFont val="Tahoma"/>
            <family val="2"/>
          </rPr>
          <t>Die Ausfallvergütung ist im Fall der Marktprämien-Direktvermarktung irrelevant, da sich beide gegenseitig ausschließen.</t>
        </r>
      </text>
    </comment>
    <comment ref="F5641" authorId="1" shapeId="0">
      <text>
        <r>
          <rPr>
            <sz val="9"/>
            <color indexed="81"/>
            <rFont val="Tahoma"/>
            <family val="2"/>
          </rPr>
          <t>Die Einspeisevergütung ist im Fall der Marktprämien-Direktvermarktung irrelevant, da sich beide gegenseitig ausschließen.</t>
        </r>
      </text>
    </comment>
    <comment ref="G5641"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41" authorId="1" shapeId="0">
      <text>
        <r>
          <rPr>
            <sz val="9"/>
            <color indexed="81"/>
            <rFont val="Tahoma"/>
            <family val="2"/>
          </rPr>
          <t>Die Ausfallvergütung ist im Fall der Marktprämien-Direktvermarktung irrelevant, da sich beide gegenseitig ausschließen.</t>
        </r>
      </text>
    </comment>
    <comment ref="F5642" authorId="1" shapeId="0">
      <text>
        <r>
          <rPr>
            <sz val="9"/>
            <color indexed="81"/>
            <rFont val="Tahoma"/>
            <family val="2"/>
          </rPr>
          <t>Die Einspeisevergütung ist im Fall der Marktprämien-Direktvermarktung irrelevant, da sich beide gegenseitig ausschließen.</t>
        </r>
      </text>
    </comment>
    <comment ref="G5642"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42" authorId="1" shapeId="0">
      <text>
        <r>
          <rPr>
            <sz val="9"/>
            <color indexed="81"/>
            <rFont val="Tahoma"/>
            <family val="2"/>
          </rPr>
          <t>Die Ausfallvergütung ist im Fall der Marktprämien-Direktvermarktung irrelevant, da sich beide gegenseitig ausschließen.</t>
        </r>
      </text>
    </comment>
    <comment ref="F5643" authorId="1" shapeId="0">
      <text>
        <r>
          <rPr>
            <sz val="9"/>
            <color indexed="81"/>
            <rFont val="Tahoma"/>
            <family val="2"/>
          </rPr>
          <t>Die Einspeisevergütung ist im Fall der Marktprämien-Direktvermarktung irrelevant, da sich beide gegenseitig ausschließen.</t>
        </r>
      </text>
    </comment>
    <comment ref="G5643"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43" authorId="1" shapeId="0">
      <text>
        <r>
          <rPr>
            <sz val="9"/>
            <color indexed="81"/>
            <rFont val="Tahoma"/>
            <family val="2"/>
          </rPr>
          <t>Die Ausfallvergütung ist im Fall der Marktprämien-Direktvermarktung irrelevant, da sich beide gegenseitig ausschließen.</t>
        </r>
      </text>
    </comment>
    <comment ref="F5644" authorId="1" shapeId="0">
      <text>
        <r>
          <rPr>
            <sz val="9"/>
            <color indexed="81"/>
            <rFont val="Tahoma"/>
            <family val="2"/>
          </rPr>
          <t>Die Einspeisevergütung ist im Fall der Marktprämien-Direktvermarktung irrelevant, da sich beide gegenseitig ausschließen.</t>
        </r>
      </text>
    </comment>
    <comment ref="G5644"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44" authorId="1" shapeId="0">
      <text>
        <r>
          <rPr>
            <sz val="9"/>
            <color indexed="81"/>
            <rFont val="Tahoma"/>
            <family val="2"/>
          </rPr>
          <t>Die Ausfallvergütung ist im Fall der Marktprämien-Direktvermarktung irrelevant, da sich beide gegenseitig ausschließen.</t>
        </r>
      </text>
    </comment>
    <comment ref="F5645" authorId="1" shapeId="0">
      <text>
        <r>
          <rPr>
            <sz val="9"/>
            <color indexed="81"/>
            <rFont val="Tahoma"/>
            <family val="2"/>
          </rPr>
          <t>Die Einspeisevergütung ist im Fall der Marktprämien-Direktvermarktung irrelevant, da sich beide gegenseitig ausschließen.</t>
        </r>
      </text>
    </comment>
    <comment ref="G5645"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45" authorId="1" shapeId="0">
      <text>
        <r>
          <rPr>
            <sz val="9"/>
            <color indexed="81"/>
            <rFont val="Tahoma"/>
            <family val="2"/>
          </rPr>
          <t>Die Ausfallvergütung ist im Fall der Marktprämien-Direktvermarktung irrelevant, da sich beide gegenseitig ausschließen.</t>
        </r>
      </text>
    </comment>
    <comment ref="F5646" authorId="1" shapeId="0">
      <text>
        <r>
          <rPr>
            <sz val="9"/>
            <color indexed="81"/>
            <rFont val="Tahoma"/>
            <family val="2"/>
          </rPr>
          <t>Die Einspeisevergütung ist im Fall der Marktprämien-Direktvermarktung irrelevant, da sich beide gegenseitig ausschließen.</t>
        </r>
      </text>
    </comment>
    <comment ref="G5646"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46" authorId="1" shapeId="0">
      <text>
        <r>
          <rPr>
            <sz val="9"/>
            <color indexed="81"/>
            <rFont val="Tahoma"/>
            <family val="2"/>
          </rPr>
          <t>Die Ausfallvergütung ist im Fall der Marktprämien-Direktvermarktung irrelevant, da sich beide gegenseitig ausschließen.</t>
        </r>
      </text>
    </comment>
    <comment ref="F5647" authorId="1" shapeId="0">
      <text>
        <r>
          <rPr>
            <sz val="9"/>
            <color indexed="81"/>
            <rFont val="Tahoma"/>
            <family val="2"/>
          </rPr>
          <t>Die Einspeisevergütung ist im Fall der Marktprämien-Direktvermarktung irrelevant, da sich beide gegenseitig ausschließen.</t>
        </r>
      </text>
    </comment>
    <comment ref="G5647"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47" authorId="1" shapeId="0">
      <text>
        <r>
          <rPr>
            <sz val="9"/>
            <color indexed="81"/>
            <rFont val="Tahoma"/>
            <family val="2"/>
          </rPr>
          <t>Die Ausfallvergütung ist im Fall der Marktprämien-Direktvermarktung irrelevant, da sich beide gegenseitig ausschließen.</t>
        </r>
      </text>
    </comment>
    <comment ref="F5648" authorId="1" shapeId="0">
      <text>
        <r>
          <rPr>
            <sz val="9"/>
            <color indexed="81"/>
            <rFont val="Tahoma"/>
            <family val="2"/>
          </rPr>
          <t>Die Einspeisevergütung ist im Fall der Marktprämien-Direktvermarktung irrelevant, da sich beide gegenseitig ausschließen.</t>
        </r>
      </text>
    </comment>
    <comment ref="G5648" authorId="10" shapeId="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648" authorId="1" shapeId="0">
      <text>
        <r>
          <rPr>
            <sz val="9"/>
            <color indexed="81"/>
            <rFont val="Tahoma"/>
            <family val="2"/>
          </rPr>
          <t>Die Ausfallvergütung ist im Fall der Marktprämien-Direktvermarktung irrelevant, da sich beide gegenseitig ausschließen.</t>
        </r>
      </text>
    </comment>
    <comment ref="I5667" authorId="1" shapeId="0">
      <text>
        <r>
          <rPr>
            <sz val="9"/>
            <color indexed="81"/>
            <rFont val="Tahoma"/>
            <family val="2"/>
          </rPr>
          <t>Die Mieterstromzuschlag im Fall Sonstige Direktvermarktung  ist über die entsprechenden Förder-Kategorienzu melden</t>
        </r>
      </text>
    </comment>
    <comment ref="F5679"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679"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679"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680"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680"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680"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681"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681"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681"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682"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682"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682"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683"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683"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683"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684"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684"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684"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685"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685"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685"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686"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686"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686"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687"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687"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687"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688"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688"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688"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689"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689"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689"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690"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690"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690"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691"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691"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691" authorId="1" shapeId="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699" authorId="1" shapeId="0">
      <text>
        <r>
          <rPr>
            <b/>
            <sz val="9"/>
            <color indexed="81"/>
            <rFont val="Tahoma"/>
            <family val="2"/>
          </rPr>
          <t xml:space="preserve">Bei dieser Kategorie sind nur Euro-Beträge und keine Strommengen anzugeben. Die Vegütung berechnet sich aus der installierten Leistung der Anlage.
</t>
        </r>
      </text>
    </comment>
    <comment ref="G5699" authorId="1" shapeId="0">
      <text>
        <r>
          <rPr>
            <b/>
            <sz val="9"/>
            <color indexed="81"/>
            <rFont val="Tahoma"/>
            <family val="2"/>
          </rPr>
          <t xml:space="preserve">Bei dieser Kategorie sind nur Euro-Beträge und keine Strommengen anzugeben. Die Vegütung berechnet sich aus der installierten Leistung der Anlage.
</t>
        </r>
      </text>
    </comment>
    <comment ref="H5699" authorId="1" shapeId="0">
      <text>
        <r>
          <rPr>
            <b/>
            <sz val="9"/>
            <color indexed="81"/>
            <rFont val="Tahoma"/>
            <family val="2"/>
          </rPr>
          <t xml:space="preserve">Bei dieser Kategorie sind nur Euro-Beträge und keine Strommengen anzugeben. Die Vegütung berechnet sich aus der installierten Leistung der Anlage.
</t>
        </r>
      </text>
    </comment>
    <comment ref="F5706" authorId="1" shapeId="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G5706" authorId="1" shapeId="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H5706" authorId="1" shapeId="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F5707" authorId="1" shapeId="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G5707" authorId="1" shapeId="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H5707" authorId="1" shapeId="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F5785" authorId="11" shapeId="0">
      <text>
        <r>
          <rPr>
            <sz val="9"/>
            <color indexed="81"/>
            <rFont val="Tahoma"/>
            <family val="2"/>
          </rPr>
          <t>Diese Kategorie wird ausschließlich für die Ausfallvermarktung verwendet. Eine Einspeisevergütung existiert daher nicht.</t>
        </r>
      </text>
    </comment>
    <comment ref="G5785"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85"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786" authorId="11" shapeId="0">
      <text>
        <r>
          <rPr>
            <sz val="9"/>
            <color indexed="81"/>
            <rFont val="Tahoma"/>
            <family val="2"/>
          </rPr>
          <t>Diese Kategorie wird ausschließlich für die Ausfallvermarktung verwendet. Eine Einspeisevergütung existiert daher nicht.</t>
        </r>
      </text>
    </comment>
    <comment ref="G5786"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86"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787" authorId="11" shapeId="0">
      <text>
        <r>
          <rPr>
            <sz val="9"/>
            <color indexed="81"/>
            <rFont val="Tahoma"/>
            <family val="2"/>
          </rPr>
          <t>Diese Kategorie wird ausschließlich für die Ausfallvermarktung verwendet. Eine Einspeisevergütung existiert daher nicht.</t>
        </r>
      </text>
    </comment>
    <comment ref="G5787"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87"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788" authorId="11" shapeId="0">
      <text>
        <r>
          <rPr>
            <sz val="9"/>
            <color indexed="81"/>
            <rFont val="Tahoma"/>
            <family val="2"/>
          </rPr>
          <t>Diese Kategorie wird ausschließlich für die Ausfallvermarktung verwendet. Eine Einspeisevergütung existiert daher nicht.</t>
        </r>
      </text>
    </comment>
    <comment ref="G5788"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88"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789" authorId="11" shapeId="0">
      <text>
        <r>
          <rPr>
            <sz val="9"/>
            <color indexed="81"/>
            <rFont val="Tahoma"/>
            <family val="2"/>
          </rPr>
          <t>Diese Kategorie wird ausschließlich für die Ausfallvermarktung verwendet. Eine Einspeisevergütung existiert daher nicht.</t>
        </r>
      </text>
    </comment>
    <comment ref="G5789"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89"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790" authorId="11" shapeId="0">
      <text>
        <r>
          <rPr>
            <sz val="9"/>
            <color indexed="81"/>
            <rFont val="Tahoma"/>
            <family val="2"/>
          </rPr>
          <t>Diese Kategorie wird ausschließlich für die Ausfallvermarktung verwendet. Eine Einspeisevergütung existiert daher nicht.</t>
        </r>
      </text>
    </comment>
    <comment ref="G5790"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90"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791" authorId="11" shapeId="0">
      <text>
        <r>
          <rPr>
            <sz val="9"/>
            <color indexed="81"/>
            <rFont val="Tahoma"/>
            <family val="2"/>
          </rPr>
          <t>Diese Kategorie wird ausschließlich für die Ausfallvermarktung verwendet. Eine Einspeisevergütung existiert daher nicht.</t>
        </r>
      </text>
    </comment>
    <comment ref="G5791"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91"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792" authorId="11" shapeId="0">
      <text>
        <r>
          <rPr>
            <sz val="9"/>
            <color indexed="81"/>
            <rFont val="Tahoma"/>
            <family val="2"/>
          </rPr>
          <t>Diese Kategorie wird ausschließlich für die Ausfallvermarktung verwendet. Eine Einspeisevergütung existiert daher nicht.</t>
        </r>
      </text>
    </comment>
    <comment ref="G5792"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92"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793" authorId="11" shapeId="0">
      <text>
        <r>
          <rPr>
            <sz val="9"/>
            <color indexed="81"/>
            <rFont val="Tahoma"/>
            <family val="2"/>
          </rPr>
          <t>Diese Kategorie wird ausschließlich für die Ausfallvermarktung verwendet. Eine Einspeisevergütung existiert daher nicht.</t>
        </r>
      </text>
    </comment>
    <comment ref="G5793"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93"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794" authorId="11" shapeId="0">
      <text>
        <r>
          <rPr>
            <sz val="9"/>
            <color indexed="81"/>
            <rFont val="Tahoma"/>
            <family val="2"/>
          </rPr>
          <t>Diese Kategorie wird ausschließlich für die Ausfallvermarktung verwendet. Eine Einspeisevergütung existiert daher nicht.</t>
        </r>
      </text>
    </comment>
    <comment ref="G5794"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94"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798" authorId="11"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G5798" authorId="11"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H5798" authorId="11"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799" authorId="11" shapeId="0">
      <text>
        <r>
          <rPr>
            <b/>
            <sz val="9"/>
            <color indexed="81"/>
            <rFont val="Tahoma"/>
            <family val="2"/>
          </rPr>
          <t>Durch die Reduzierung des anzulegenden Wertes auf den energieträgerspezifisch durchschnittlichen Marktwert reduziert sich die Marktprämie auf die Managementprämie.</t>
        </r>
      </text>
    </comment>
    <comment ref="G5799" authorId="11" shapeId="0">
      <text>
        <r>
          <rPr>
            <b/>
            <sz val="9"/>
            <color indexed="81"/>
            <rFont val="Tahoma"/>
            <family val="2"/>
          </rPr>
          <t>Durch die Reduzierung des anzulegenden Wertes auf den energieträgerspezifisch durchschnittlichen Marktwert reduziert sich die Marktprämie auf die Managementprämie.</t>
        </r>
      </text>
    </comment>
    <comment ref="H5799" authorId="11" shapeId="0">
      <text>
        <r>
          <rPr>
            <b/>
            <sz val="9"/>
            <color indexed="81"/>
            <rFont val="Tahoma"/>
            <family val="2"/>
          </rPr>
          <t>Durch die Reduzierung des anzulegenden Wertes auf den energieträgerspezifisch durchschnittlichen Marktwert reduziert sich die Marktprämie auf die Managementprämie.</t>
        </r>
      </text>
    </comment>
    <comment ref="F5803" authorId="11" shapeId="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G5803" authorId="11" shapeId="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H5803" authorId="11" shapeId="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F5804" authorId="11" shapeId="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G5804" authorId="11" shapeId="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H5804" authorId="11" shapeId="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F5805" authorId="1" shapeId="0">
      <text>
        <r>
          <rPr>
            <b/>
            <sz val="9"/>
            <color indexed="81"/>
            <rFont val="Tahoma"/>
            <family val="2"/>
          </rPr>
          <t xml:space="preserve">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G5805" authorId="1" shapeId="0">
      <text>
        <r>
          <rPr>
            <b/>
            <sz val="9"/>
            <color indexed="81"/>
            <rFont val="Tahoma"/>
            <family val="2"/>
          </rPr>
          <t xml:space="preserve">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H5805" authorId="1" shapeId="0">
      <text>
        <r>
          <rPr>
            <b/>
            <sz val="9"/>
            <color indexed="81"/>
            <rFont val="Tahoma"/>
            <family val="2"/>
          </rPr>
          <t xml:space="preserve">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F5809" authorId="11" shapeId="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G5809" authorId="11" shapeId="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H5809" authorId="11" shapeId="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F5810" authorId="11" shapeId="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G5810" authorId="11" shapeId="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H5810" authorId="11" shapeId="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F5811" authorId="0"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G5811" authorId="0"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H5811" authorId="0"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5812" authorId="1" shapeId="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G5812" authorId="1" shapeId="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H5812" authorId="1" shapeId="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F5813" authorId="1" shapeId="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G5813" authorId="1" shapeId="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H5813" authorId="1" shapeId="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F5833" authorId="11" shapeId="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5833"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833"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843" authorId="11" shapeId="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5843"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843"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6091" authorId="1" shapeId="0">
      <text>
        <r>
          <rPr>
            <b/>
            <sz val="9"/>
            <color indexed="81"/>
            <rFont val="Tahoma"/>
            <family val="2"/>
          </rPr>
          <t xml:space="preserve">Der unter Vergütung zu meldende Wert ergibt sich aus der Anzahl der kostenlos zugeteilten Berechtigungen und dem durch das BMU jährlich ermittelten und ab 30. September im elektronischen Bundesanzeiger veröffentlichten Wert je Berechtigung. 
Der Wert ist als negative Zahl einzutragen und reduziert damit die EEG-Vergütung der Anlage. </t>
        </r>
        <r>
          <rPr>
            <sz val="9"/>
            <color indexed="81"/>
            <rFont val="Tahoma"/>
            <family val="2"/>
          </rPr>
          <t xml:space="preserve">
</t>
        </r>
      </text>
    </comment>
    <comment ref="G6091" authorId="1" shapeId="0">
      <text>
        <r>
          <rPr>
            <b/>
            <sz val="9"/>
            <color indexed="81"/>
            <rFont val="Tahoma"/>
            <family val="2"/>
          </rPr>
          <t xml:space="preserve">Der unter Vergütung zu meldende Wert ergibt sich aus der Anzahl der kostenlos zugeteilten Berechtigungen und dem durch das BMU jährlich ermittelten und ab 30. September im elektronischen Bundesanzeiger veröffentlichten Wert je Berechtigung. 
Der Wert ist als negative Zahl einzutragen und reduziert damit die EEG-Vergütung der Anlage. </t>
        </r>
        <r>
          <rPr>
            <sz val="9"/>
            <color indexed="81"/>
            <rFont val="Tahoma"/>
            <family val="2"/>
          </rPr>
          <t xml:space="preserve">
</t>
        </r>
      </text>
    </comment>
    <comment ref="H6091" authorId="1" shapeId="0">
      <text>
        <r>
          <rPr>
            <b/>
            <sz val="9"/>
            <color indexed="81"/>
            <rFont val="Tahoma"/>
            <family val="2"/>
          </rPr>
          <t xml:space="preserve">Der unter Vergütung zu meldende Wert ergibt sich aus der Anzahl der kostenlos zugeteilten Berechtigungen und dem durch das BMU jährlich ermittelten und ab 30. September im elektronischen Bundesanzeiger veröffentlichten Wert je Berechtigung. 
Der Wert ist als negative Zahl einzutragen und reduziert damit die EEG-Vergütung der Anlage. </t>
        </r>
        <r>
          <rPr>
            <sz val="9"/>
            <color indexed="81"/>
            <rFont val="Tahoma"/>
            <family val="2"/>
          </rPr>
          <t xml:space="preserve">
</t>
        </r>
      </text>
    </comment>
    <comment ref="F6108" authorId="0"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G6108" authorId="0"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H6108" authorId="0"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6126" authorId="11" shapeId="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6126" authorId="11" shapeId="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6126" authorId="11" shapeId="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6127" authorId="11" shapeId="0">
      <text>
        <r>
          <rPr>
            <b/>
            <sz val="9"/>
            <color indexed="81"/>
            <rFont val="Tahoma"/>
            <family val="2"/>
          </rPr>
          <t>Für den Stromanteil, der die förderfähigen Höchstbemessungsleistung übersteigt, reduziert sich der Vergütungsanspruch auf den monatlichen Marktwert steuerbarer Anlagen. Dadurch reduziert sich die Marktprämie auf die Höhe der Managementprämie, die im § 100 Abs. 1 Nr. 8 EEG 2014 festgelegt ist.</t>
        </r>
      </text>
    </comment>
    <comment ref="G6127" authorId="11" shapeId="0">
      <text>
        <r>
          <rPr>
            <b/>
            <sz val="9"/>
            <color indexed="81"/>
            <rFont val="Tahoma"/>
            <family val="2"/>
          </rPr>
          <t>Für den Stromanteil, der die förderfähigen Höchstbemessungsleistung übersteigt, reduziert sich der Vergütungsanspruch auf den monatlichen Marktwert steuerbarer Anlagen. Dadurch reduziert sich die Marktprämie auf die Höhe der Managementprämie, die im § 100 Abs. 1 Nr. 8 EEG 2014 festgelegt ist.</t>
        </r>
      </text>
    </comment>
    <comment ref="H6127" authorId="11" shapeId="0">
      <text>
        <r>
          <rPr>
            <b/>
            <sz val="9"/>
            <color indexed="81"/>
            <rFont val="Tahoma"/>
            <family val="2"/>
          </rPr>
          <t>Für den Stromanteil, der die förderfähigen Höchstbemessungsleistung übersteigt, reduziert sich der Vergütungsanspruch auf den monatlichen Marktwert steuerbarer Anlagen. Dadurch reduziert sich die Marktprämie auf die Höhe der Managementprämie, die im § 100 Abs. 1 Nr. 8 EEG 2014 festgelegt ist.</t>
        </r>
      </text>
    </comment>
    <comment ref="F6135"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35" authorId="7" shapeId="0">
      <text>
        <r>
          <rPr>
            <sz val="9"/>
            <color indexed="81"/>
            <rFont val="Segoe UI"/>
            <family val="2"/>
          </rPr>
          <t>Diese Kategorie ist für die Marktprämien-Direktvermarktung irrelevant.</t>
        </r>
      </text>
    </comment>
    <comment ref="H6135"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36"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36" authorId="7" shapeId="0">
      <text>
        <r>
          <rPr>
            <sz val="9"/>
            <color indexed="81"/>
            <rFont val="Segoe UI"/>
            <family val="2"/>
          </rPr>
          <t>Diese Kategorie ist für die Marktprämien-Direktvermarktung irrelevant.</t>
        </r>
      </text>
    </comment>
    <comment ref="H6136"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37"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37" authorId="7" shapeId="0">
      <text>
        <r>
          <rPr>
            <sz val="9"/>
            <color indexed="81"/>
            <rFont val="Segoe UI"/>
            <family val="2"/>
          </rPr>
          <t>Diese Kategorie ist für die Marktprämien-Direktvermarktung irrelevant.</t>
        </r>
      </text>
    </comment>
    <comment ref="H6137"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38"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38" authorId="7" shapeId="0">
      <text>
        <r>
          <rPr>
            <sz val="9"/>
            <color indexed="81"/>
            <rFont val="Segoe UI"/>
            <family val="2"/>
          </rPr>
          <t>Diese Kategorie ist für die Marktprämien-Direktvermarktung irrelevant.</t>
        </r>
      </text>
    </comment>
    <comment ref="H6138"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39"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39" authorId="7" shapeId="0">
      <text>
        <r>
          <rPr>
            <sz val="9"/>
            <color indexed="81"/>
            <rFont val="Segoe UI"/>
            <family val="2"/>
          </rPr>
          <t>Diese Kategorie ist für die Marktprämien-Direktvermarktung irrelevant.</t>
        </r>
      </text>
    </comment>
    <comment ref="H6139"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40"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40" authorId="7" shapeId="0">
      <text>
        <r>
          <rPr>
            <sz val="9"/>
            <color indexed="81"/>
            <rFont val="Segoe UI"/>
            <family val="2"/>
          </rPr>
          <t>Diese Kategorie ist für die Marktprämien-Direktvermarktung irrelevant.</t>
        </r>
      </text>
    </comment>
    <comment ref="H6140"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41"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41" authorId="7" shapeId="0">
      <text>
        <r>
          <rPr>
            <sz val="9"/>
            <color indexed="81"/>
            <rFont val="Segoe UI"/>
            <family val="2"/>
          </rPr>
          <t>Diese Kategorie ist für die Marktprämien-Direktvermarktung irrelevant.</t>
        </r>
      </text>
    </comment>
    <comment ref="H6141"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42"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42" authorId="7" shapeId="0">
      <text>
        <r>
          <rPr>
            <sz val="9"/>
            <color indexed="81"/>
            <rFont val="Segoe UI"/>
            <family val="2"/>
          </rPr>
          <t>Diese Kategorie ist für die Marktprämien-Direktvermarktung irrelevant.</t>
        </r>
      </text>
    </comment>
    <comment ref="H6142"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43"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43" authorId="7" shapeId="0">
      <text>
        <r>
          <rPr>
            <sz val="9"/>
            <color indexed="81"/>
            <rFont val="Segoe UI"/>
            <family val="2"/>
          </rPr>
          <t>Diese Kategorie ist für die Marktprämien-Direktvermarktung irrelevant.</t>
        </r>
      </text>
    </comment>
    <comment ref="H6143"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44"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44" authorId="7" shapeId="0">
      <text>
        <r>
          <rPr>
            <sz val="9"/>
            <color indexed="81"/>
            <rFont val="Segoe UI"/>
            <family val="2"/>
          </rPr>
          <t>Diese Kategorie ist für die Marktprämien-Direktvermarktung irrelevant.</t>
        </r>
      </text>
    </comment>
    <comment ref="H6144"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45"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45" authorId="7" shapeId="0">
      <text>
        <r>
          <rPr>
            <sz val="9"/>
            <color indexed="81"/>
            <rFont val="Segoe UI"/>
            <family val="2"/>
          </rPr>
          <t>Diese Kategorie ist für die Marktprämien-Direktvermarktung irrelevant.</t>
        </r>
      </text>
    </comment>
    <comment ref="H6145"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46"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46" authorId="7" shapeId="0">
      <text>
        <r>
          <rPr>
            <sz val="9"/>
            <color indexed="81"/>
            <rFont val="Segoe UI"/>
            <family val="2"/>
          </rPr>
          <t>Diese Kategorie ist für die Marktprämien-Direktvermarktung irrelevant.</t>
        </r>
      </text>
    </comment>
    <comment ref="H6146"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47"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147" authorId="7" shapeId="0">
      <text>
        <r>
          <rPr>
            <sz val="9"/>
            <color indexed="81"/>
            <rFont val="Segoe UI"/>
            <family val="2"/>
          </rPr>
          <t>Diese Kategorie ist für die Marktprämien-Direktvermarktung irrelevant.</t>
        </r>
      </text>
    </comment>
    <comment ref="H6147" authorId="10" shapeId="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64" authorId="0"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G6164" authorId="0"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H6164" authorId="0"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List>
</comments>
</file>

<file path=xl/comments3.xml><?xml version="1.0" encoding="utf-8"?>
<comments xmlns="http://schemas.openxmlformats.org/spreadsheetml/2006/main">
  <authors>
    <author>Dr. Hagner, Gert</author>
    <author>Kirchenbaur Stephan</author>
    <author>Kirchenbaur, Stephan</author>
    <author>admkar10</author>
    <author>Koch, Andreas</author>
  </authors>
  <commentList>
    <comment ref="D7" authorId="0" shapeId="0">
      <text>
        <r>
          <rPr>
            <b/>
            <sz val="9"/>
            <color indexed="81"/>
            <rFont val="Tahoma"/>
            <family val="2"/>
          </rPr>
          <t>Einmalige Nachholung der Bonuszahlung für 2009 und 2010 im Rahmen der Jahresmeldung 2011.</t>
        </r>
        <r>
          <rPr>
            <sz val="9"/>
            <color indexed="81"/>
            <rFont val="Tahoma"/>
            <family val="2"/>
          </rPr>
          <t xml:space="preserve">
</t>
        </r>
      </text>
    </comment>
    <comment ref="F7" authorId="1" shapeId="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D8" authorId="0" shapeId="0">
      <text>
        <r>
          <rPr>
            <b/>
            <sz val="9"/>
            <color indexed="81"/>
            <rFont val="Tahoma"/>
            <family val="2"/>
          </rPr>
          <t>Einmalige Nachholung der Bonuszahlung für 2010 im Rahmen der Jahresmeldung 2011.</t>
        </r>
        <r>
          <rPr>
            <sz val="9"/>
            <color indexed="81"/>
            <rFont val="Tahoma"/>
            <family val="2"/>
          </rPr>
          <t xml:space="preserve">
</t>
        </r>
      </text>
    </comment>
    <comment ref="F8" authorId="1" shapeId="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D9" authorId="0" shapeId="0">
      <text>
        <r>
          <rPr>
            <b/>
            <sz val="9"/>
            <color indexed="81"/>
            <rFont val="Tahoma"/>
            <family val="2"/>
          </rPr>
          <t>Einmalige Nachholung der Bonuszahlung für 2009 und 2010 im Rahmen der Jahresmeldung 2011.</t>
        </r>
        <r>
          <rPr>
            <sz val="9"/>
            <color indexed="81"/>
            <rFont val="Tahoma"/>
            <family val="2"/>
          </rPr>
          <t xml:space="preserve">
</t>
        </r>
      </text>
    </comment>
    <comment ref="F9" authorId="1" shapeId="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D10" authorId="0" shapeId="0">
      <text>
        <r>
          <rPr>
            <b/>
            <sz val="9"/>
            <color indexed="81"/>
            <rFont val="Tahoma"/>
            <family val="2"/>
          </rPr>
          <t>Einmalige Nachholung der Bonuszahlung für 2010 im Rahmen der Jahresmeldung 2011.</t>
        </r>
        <r>
          <rPr>
            <sz val="9"/>
            <color indexed="81"/>
            <rFont val="Tahoma"/>
            <family val="2"/>
          </rPr>
          <t xml:space="preserve">
</t>
        </r>
      </text>
    </comment>
    <comment ref="F10" authorId="1" shapeId="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F14" authorId="1" shapeId="0">
      <text>
        <r>
          <rPr>
            <b/>
            <sz val="10"/>
            <color indexed="81"/>
            <rFont val="Tahoma"/>
            <family val="2"/>
          </rPr>
          <t xml:space="preserve">Hinweis: </t>
        </r>
        <r>
          <rPr>
            <sz val="10"/>
            <color indexed="81"/>
            <rFont val="Tahoma"/>
            <family val="2"/>
          </rPr>
          <t xml:space="preserve">In dieser Kategorie sind nur die €-Beträge einzutragen, die vom ÜNB ersetzt werden müssen.
</t>
        </r>
      </text>
    </comment>
    <comment ref="F156" authorId="0" shapeId="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5 EEG 2012.
</t>
        </r>
      </text>
    </comment>
    <comment ref="F157" authorId="0" shapeId="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5 EEG 2012.
</t>
        </r>
      </text>
    </comment>
    <comment ref="F164"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65"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66" authorId="3" shapeId="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170"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1"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3"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4"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5"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6"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7"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8"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9"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0"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1"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6"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7"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8"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9"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0"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1"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3"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4"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5"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6"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7"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8"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9" authorId="3" shapeId="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03"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4"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5"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6"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7"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8"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9"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0"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1"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3"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4"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5"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6" authorId="3" shapeId="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20"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1"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3"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4"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5"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6"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7"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8"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9"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0"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1"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3" authorId="3" shapeId="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37"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8"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9"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0"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1"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3"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4"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5"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6"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7"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8"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9"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50" authorId="3" shapeId="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90"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1"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3"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4"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5"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6"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7"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8"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9"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00"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01"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0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17" authorId="3"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355" authorId="3"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36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3"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4"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5"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6"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7"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8"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9"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0"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1"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2"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3"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4" authorId="2" shapeId="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5" authorId="3"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391" authorId="3"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408" authorId="2" shapeId="0">
      <text>
        <r>
          <rPr>
            <sz val="9"/>
            <color indexed="81"/>
            <rFont val="Tahoma"/>
            <family val="2"/>
          </rPr>
          <t>Diese Kategorie wird ausschließlich für die Ausfallvermarktung verwendet. Eine Einspeisevergütung existiert daher nicht.</t>
        </r>
      </text>
    </comment>
    <comment ref="F409" authorId="2" shapeId="0">
      <text>
        <r>
          <rPr>
            <sz val="9"/>
            <color indexed="81"/>
            <rFont val="Tahoma"/>
            <family val="2"/>
          </rPr>
          <t>Diese Kategorie wird ausschließlich für die Ausfallvermarktung verwendet. Eine Einspeisevergütung existiert daher nicht.</t>
        </r>
      </text>
    </comment>
    <comment ref="F410" authorId="2" shapeId="0">
      <text>
        <r>
          <rPr>
            <sz val="9"/>
            <color indexed="81"/>
            <rFont val="Tahoma"/>
            <family val="2"/>
          </rPr>
          <t>Diese Kategorie wird ausschließlich für die Ausfallvermarktung verwendet. Eine Einspeisevergütung existiert daher nicht.</t>
        </r>
      </text>
    </comment>
    <comment ref="F502" authorId="3"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504" authorId="3"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506" authorId="3" shape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526" authorId="4" shapeId="0">
      <text>
        <r>
          <rPr>
            <sz val="9"/>
            <color indexed="81"/>
            <rFont val="Segoe UI"/>
            <family val="2"/>
          </rPr>
          <t>Die Ermittlung der Einspeisevergütung  erfolgt eigenverantwortlich durch den Netzbetreiber unter Berücksichtigung der jeweils zu berücksichtigenden gesetzlichen Regelungen.</t>
        </r>
      </text>
    </comment>
    <comment ref="F538" authorId="4" shapeId="0">
      <text>
        <r>
          <rPr>
            <sz val="9"/>
            <color indexed="81"/>
            <rFont val="Segoe UI"/>
            <family val="2"/>
          </rPr>
          <t>Die Ermittlung der Einspeisevergütung  erfolgt eigenverantwortlich durch den Netzbetreiber unter Berücksichtigung der jeweils zu berücksichtigenden gesetzlichen Regelungen.</t>
        </r>
      </text>
    </comment>
    <comment ref="F541" authorId="4" shapeId="0">
      <text>
        <r>
          <rPr>
            <sz val="9"/>
            <color indexed="81"/>
            <rFont val="Segoe UI"/>
            <family val="2"/>
          </rPr>
          <t>Die Ermittlung der Einspeisevergütung  erfolgt eigenverantwortlich durch den Netzbetreiber unter Berücksichtigung der jeweils zu berücksichtigenden gesetzlichen Regelungen.</t>
        </r>
      </text>
    </comment>
    <comment ref="F578" authorId="3" shape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702"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3"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4"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5"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6"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7"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8"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9"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0"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1"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2"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3"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4" authorId="1" shapeId="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6" authorId="0" shapeId="0">
      <text>
        <r>
          <rPr>
            <sz val="9"/>
            <color indexed="81"/>
            <rFont val="Tahoma"/>
            <family val="2"/>
          </rPr>
          <t>Die Einspeisevergütung ist im Fall der Marktprämien-Direktvermarktung irrelevant, da sich beide gegenseitig ausschließen.</t>
        </r>
      </text>
    </comment>
    <comment ref="F717" authorId="0" shapeId="0">
      <text>
        <r>
          <rPr>
            <sz val="9"/>
            <color indexed="81"/>
            <rFont val="Tahoma"/>
            <family val="2"/>
          </rPr>
          <t>Die Einspeisevergütung ist im Fall der Marktprämien-Direktvermarktung irrelevant, da sich beide gegenseitig ausschließen.</t>
        </r>
      </text>
    </comment>
    <comment ref="F718" authorId="0" shapeId="0">
      <text>
        <r>
          <rPr>
            <sz val="9"/>
            <color indexed="81"/>
            <rFont val="Tahoma"/>
            <family val="2"/>
          </rPr>
          <t>Die Einspeisevergütung ist im Fall der Marktprämien-Direktvermarktung irrelevant, da sich beide gegenseitig ausschließen.</t>
        </r>
      </text>
    </comment>
    <comment ref="F719" authorId="0" shapeId="0">
      <text>
        <r>
          <rPr>
            <sz val="9"/>
            <color indexed="81"/>
            <rFont val="Tahoma"/>
            <family val="2"/>
          </rPr>
          <t>Die Einspeisevergütung ist im Fall der Marktprämien-Direktvermarktung irrelevant, da sich beide gegenseitig ausschließen.</t>
        </r>
      </text>
    </comment>
    <comment ref="F720" authorId="0" shapeId="0">
      <text>
        <r>
          <rPr>
            <sz val="9"/>
            <color indexed="81"/>
            <rFont val="Tahoma"/>
            <family val="2"/>
          </rPr>
          <t>Die Einspeisevergütung ist im Fall der Marktprämien-Direktvermarktung irrelevant, da sich beide gegenseitig ausschließen.</t>
        </r>
      </text>
    </comment>
    <comment ref="F721" authorId="0" shapeId="0">
      <text>
        <r>
          <rPr>
            <sz val="9"/>
            <color indexed="81"/>
            <rFont val="Tahoma"/>
            <family val="2"/>
          </rPr>
          <t>Die Einspeisevergütung ist im Fall der Marktprämien-Direktvermarktung irrelevant, da sich beide gegenseitig ausschließen.</t>
        </r>
      </text>
    </comment>
    <comment ref="F722" authorId="0" shapeId="0">
      <text>
        <r>
          <rPr>
            <sz val="9"/>
            <color indexed="81"/>
            <rFont val="Tahoma"/>
            <family val="2"/>
          </rPr>
          <t>Die Einspeisevergütung ist im Fall der Marktprämien-Direktvermarktung irrelevant, da sich beide gegenseitig ausschließen.</t>
        </r>
      </text>
    </comment>
    <comment ref="F723" authorId="0" shapeId="0">
      <text>
        <r>
          <rPr>
            <sz val="9"/>
            <color indexed="81"/>
            <rFont val="Tahoma"/>
            <family val="2"/>
          </rPr>
          <t>Die Einspeisevergütung ist im Fall der Marktprämien-Direktvermarktung irrelevant, da sich beide gegenseitig ausschließen.</t>
        </r>
      </text>
    </comment>
    <comment ref="F724" authorId="0" shapeId="0">
      <text>
        <r>
          <rPr>
            <sz val="9"/>
            <color indexed="81"/>
            <rFont val="Tahoma"/>
            <family val="2"/>
          </rPr>
          <t>Die Einspeisevergütung ist im Fall der Marktprämien-Direktvermarktung irrelevant, da sich beide gegenseitig ausschließen.</t>
        </r>
      </text>
    </comment>
    <comment ref="F725" authorId="0" shapeId="0">
      <text>
        <r>
          <rPr>
            <sz val="9"/>
            <color indexed="81"/>
            <rFont val="Tahoma"/>
            <family val="2"/>
          </rPr>
          <t>Die Einspeisevergütung ist im Fall der Marktprämien-Direktvermarktung irrelevant, da sich beide gegenseitig ausschließen.</t>
        </r>
      </text>
    </comment>
    <comment ref="F726" authorId="0" shapeId="0">
      <text>
        <r>
          <rPr>
            <sz val="9"/>
            <color indexed="81"/>
            <rFont val="Tahoma"/>
            <family val="2"/>
          </rPr>
          <t>Die Einspeisevergütung ist im Fall der Marktprämien-Direktvermarktung irrelevant, da sich beide gegenseitig ausschließen.</t>
        </r>
      </text>
    </comment>
    <comment ref="F727" authorId="0" shapeId="0">
      <text>
        <r>
          <rPr>
            <sz val="9"/>
            <color indexed="81"/>
            <rFont val="Tahoma"/>
            <family val="2"/>
          </rPr>
          <t>Die Einspeisevergütung ist im Fall der Marktprämien-Direktvermarktung irrelevant, da sich beide gegenseitig ausschließen.</t>
        </r>
      </text>
    </comment>
    <comment ref="F728" authorId="0" shapeId="0">
      <text>
        <r>
          <rPr>
            <sz val="9"/>
            <color indexed="81"/>
            <rFont val="Tahoma"/>
            <family val="2"/>
          </rPr>
          <t>Die Einspeisevergütung ist im Fall der Marktprämien-Direktvermarktung irrelevant, da sich beide gegenseitig ausschließen.</t>
        </r>
      </text>
    </comment>
    <comment ref="F730" authorId="0" shapeId="0">
      <text>
        <r>
          <rPr>
            <sz val="9"/>
            <color indexed="81"/>
            <rFont val="Tahoma"/>
            <family val="2"/>
          </rPr>
          <t>Die Sanktionierung nach § 52 Abs. 3 EEG für die Einspeisevergütung ist über die Kategorie SgK523----20PZ zu melden</t>
        </r>
      </text>
    </comment>
    <comment ref="F734" authorId="2" shapeId="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List>
</comments>
</file>

<file path=xl/comments4.xml><?xml version="1.0" encoding="utf-8"?>
<comments xmlns="http://schemas.openxmlformats.org/spreadsheetml/2006/main">
  <authors>
    <author>Benjamin Düvel</author>
    <author>Koch, Andreas</author>
    <author>Hagner, Gert, Dr.</author>
  </authors>
  <commentList>
    <comment ref="D193" authorId="0" shapeId="0">
      <text>
        <r>
          <rPr>
            <sz val="8"/>
            <color indexed="81"/>
            <rFont val="Tahoma"/>
            <family val="2"/>
          </rPr>
          <t>Voraussetzungen siehe § 66 Abs. 1 Nr. 5 EEG 2009</t>
        </r>
      </text>
    </comment>
    <comment ref="D194" authorId="0" shapeId="0">
      <text>
        <r>
          <rPr>
            <sz val="8"/>
            <color indexed="81"/>
            <rFont val="Tahoma"/>
            <family val="2"/>
          </rPr>
          <t>Voraussetzungen siehe § 66 Abs. 1 Nr. 5 EEG 2009</t>
        </r>
      </text>
    </comment>
    <comment ref="D195" authorId="0" shapeId="0">
      <text>
        <r>
          <rPr>
            <sz val="8"/>
            <color indexed="81"/>
            <rFont val="Tahoma"/>
            <family val="2"/>
          </rPr>
          <t>Voraussetzungen siehe § 66 Abs. 1 Nr. 5 EEG 2009</t>
        </r>
      </text>
    </comment>
    <comment ref="D196" authorId="0" shapeId="0">
      <text>
        <r>
          <rPr>
            <sz val="8"/>
            <color indexed="81"/>
            <rFont val="Tahoma"/>
            <family val="2"/>
          </rPr>
          <t>Voraussetzungen siehe § 66 Abs. 1 Nr. 5 EEG 2009</t>
        </r>
      </text>
    </comment>
    <comment ref="D197" authorId="0" shapeId="0">
      <text>
        <r>
          <rPr>
            <sz val="8"/>
            <color indexed="81"/>
            <rFont val="Tahoma"/>
            <family val="2"/>
          </rPr>
          <t>Voraussetzungen siehe § 66 Abs. 1 Nr. 5 EEG 2009</t>
        </r>
      </text>
    </comment>
    <comment ref="D394" authorId="0" shapeId="0">
      <text>
        <r>
          <rPr>
            <sz val="8"/>
            <color indexed="81"/>
            <rFont val="Tahoma"/>
            <family val="2"/>
          </rPr>
          <t>Voraussetzungen siehe § 66 Abs. 1 Nr. 5 EEG 2009</t>
        </r>
      </text>
    </comment>
    <comment ref="D395" authorId="0" shapeId="0">
      <text>
        <r>
          <rPr>
            <sz val="8"/>
            <color indexed="81"/>
            <rFont val="Tahoma"/>
            <family val="2"/>
          </rPr>
          <t>Voraussetzungen siehe § 66 Abs. 1 Nr. 5 EEG 2009</t>
        </r>
      </text>
    </comment>
    <comment ref="D396" authorId="0" shapeId="0">
      <text>
        <r>
          <rPr>
            <sz val="8"/>
            <color indexed="81"/>
            <rFont val="Tahoma"/>
            <family val="2"/>
          </rPr>
          <t>Voraussetzungen siehe § 66 Abs. 1 Nr. 5 EEG 2009</t>
        </r>
      </text>
    </comment>
    <comment ref="D397" authorId="0" shapeId="0">
      <text>
        <r>
          <rPr>
            <sz val="8"/>
            <color indexed="81"/>
            <rFont val="Tahoma"/>
            <family val="2"/>
          </rPr>
          <t>Voraussetzungen siehe § 66 Abs. 1 Nr. 5 EEG 2009</t>
        </r>
      </text>
    </comment>
    <comment ref="D398" authorId="0" shapeId="0">
      <text>
        <r>
          <rPr>
            <sz val="8"/>
            <color indexed="81"/>
            <rFont val="Tahoma"/>
            <family val="2"/>
          </rPr>
          <t>Voraussetzungen siehe § 66 Abs. 1 Nr. 5 EEG 2009</t>
        </r>
      </text>
    </comment>
    <comment ref="F466" authorId="1"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A467" authorId="2" shapeId="0">
      <text>
        <r>
          <rPr>
            <b/>
            <sz val="9"/>
            <color indexed="81"/>
            <rFont val="Tahoma"/>
            <family val="2"/>
          </rPr>
          <t>Entgegen der Systematik der Kategorienbezeichnung ist nicht der Jahresmarktwert Wind, sondern der Monatsmarktwert Wind zu verwenden!</t>
        </r>
      </text>
    </comment>
    <comment ref="F467" authorId="1" shapeId="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List>
</comments>
</file>

<file path=xl/comments5.xml><?xml version="1.0" encoding="utf-8"?>
<comments xmlns="http://schemas.openxmlformats.org/spreadsheetml/2006/main">
  <authors>
    <author>Lipinski Sven (50HzT ME-A)</author>
  </authors>
  <commentList>
    <comment ref="L11" authorId="0" shapeId="0">
      <text>
        <r>
          <rPr>
            <sz val="9"/>
            <color indexed="81"/>
            <rFont val="Segoe UI"/>
            <family val="2"/>
          </rPr>
          <t xml:space="preserve">Reduzierung der Strafzahlung auf 2 €/kWp und Monat
</t>
        </r>
      </text>
    </comment>
    <comment ref="C23" authorId="0" shapeId="0">
      <text>
        <r>
          <rPr>
            <sz val="9"/>
            <color indexed="81"/>
            <rFont val="Segoe UI"/>
            <family val="2"/>
          </rPr>
          <t xml:space="preserve">Begrenzung der Strafzahlung auf 10 €/kWp
</t>
        </r>
      </text>
    </comment>
    <comment ref="D23" authorId="0" shapeId="0">
      <text>
        <r>
          <rPr>
            <sz val="9"/>
            <color indexed="81"/>
            <rFont val="Segoe UI"/>
            <family val="2"/>
          </rPr>
          <t xml:space="preserve">Begrenzung der Strafzahlung auf 10 €/kWp
</t>
        </r>
      </text>
    </comment>
    <comment ref="E23" authorId="0" shapeId="0">
      <text>
        <r>
          <rPr>
            <sz val="9"/>
            <color indexed="81"/>
            <rFont val="Segoe UI"/>
            <family val="2"/>
          </rPr>
          <t xml:space="preserve">Weiterhin Begrenzung der Strafzahlung auf 10 €/kWp. Die Reduzierung der Strafzahlung auf 2 €/kWp für den Verstoß gegen technische Vorgaben hat keine Auswirkung.
</t>
        </r>
      </text>
    </comment>
    <comment ref="C38" authorId="0" shapeId="0">
      <text>
        <r>
          <rPr>
            <sz val="9"/>
            <color indexed="81"/>
            <rFont val="Segoe UI"/>
            <family val="2"/>
          </rPr>
          <t xml:space="preserve">Begrenzung der Strafzahlung auf 10 €/kWp
</t>
        </r>
      </text>
    </comment>
    <comment ref="D38" authorId="0" shapeId="0">
      <text>
        <r>
          <rPr>
            <sz val="9"/>
            <color indexed="81"/>
            <rFont val="Segoe UI"/>
            <family val="2"/>
          </rPr>
          <t xml:space="preserve">Begrenzung der Strafzahlung auf 10 €/kWp
</t>
        </r>
      </text>
    </comment>
    <comment ref="E38" authorId="0" shapeId="0">
      <text>
        <r>
          <rPr>
            <sz val="9"/>
            <color indexed="81"/>
            <rFont val="Segoe UI"/>
            <family val="2"/>
          </rPr>
          <t xml:space="preserve">Begrenzung der Strafzahlung auf 10 €/kWp
</t>
        </r>
      </text>
    </comment>
    <comment ref="F38" authorId="0" shapeId="0">
      <text>
        <r>
          <rPr>
            <sz val="9"/>
            <color indexed="81"/>
            <rFont val="Segoe UI"/>
            <family val="2"/>
          </rPr>
          <t xml:space="preserve">Begrenzung der Strafzahlung auf 10 €/kWp
</t>
        </r>
      </text>
    </comment>
    <comment ref="G38" authorId="0" shapeId="0">
      <text>
        <r>
          <rPr>
            <sz val="9"/>
            <color indexed="81"/>
            <rFont val="Segoe UI"/>
            <family val="2"/>
          </rPr>
          <t xml:space="preserve">Begrenzung der Strafzahlung auf 10 €/kWp
</t>
        </r>
      </text>
    </comment>
    <comment ref="H38" authorId="0" shapeId="0">
      <text>
        <r>
          <rPr>
            <sz val="9"/>
            <color indexed="81"/>
            <rFont val="Segoe UI"/>
            <family val="2"/>
          </rPr>
          <t xml:space="preserve">Begrenzung der Strafzahlung auf 10 €/kWp
</t>
        </r>
      </text>
    </comment>
    <comment ref="I38" authorId="0" shapeId="0">
      <text>
        <r>
          <rPr>
            <sz val="9"/>
            <color indexed="81"/>
            <rFont val="Segoe UI"/>
            <family val="2"/>
          </rPr>
          <t xml:space="preserve">Begrenzung der Strafzahlung auf 10 €/kWp
</t>
        </r>
      </text>
    </comment>
    <comment ref="L38" authorId="0" shapeId="0">
      <text>
        <r>
          <rPr>
            <sz val="9"/>
            <color indexed="81"/>
            <rFont val="Segoe UI"/>
            <family val="2"/>
          </rPr>
          <t xml:space="preserve">Reduzierung der Strafzahlung auf 2 €/kWp nur für August bis Oktober
</t>
        </r>
      </text>
    </comment>
    <comment ref="C51" authorId="0" shapeId="0">
      <text>
        <r>
          <rPr>
            <u/>
            <sz val="9"/>
            <color indexed="81"/>
            <rFont val="Segoe UI"/>
            <family val="2"/>
          </rPr>
          <t xml:space="preserve">Hinweis:
</t>
        </r>
        <r>
          <rPr>
            <sz val="9"/>
            <color indexed="81"/>
            <rFont val="Segoe UI"/>
            <family val="2"/>
          </rPr>
          <t>Ob § 52 Abs. 1 Nr. 11 EEG 2023 bereits unterjährig angewendet werden kann oder erst dann, wenn keine fristgerechte Meldung nach § 71 Abs. 1 Nr. 1 EEG 2023 erfolgt ist, wird derzeit noch juristisch geprüft.</t>
        </r>
        <r>
          <rPr>
            <sz val="9"/>
            <color indexed="81"/>
            <rFont val="Segoe UI"/>
            <charset val="1"/>
          </rPr>
          <t xml:space="preserve">
</t>
        </r>
      </text>
    </comment>
    <comment ref="C52" authorId="0" shapeId="0">
      <text>
        <r>
          <rPr>
            <sz val="9"/>
            <color indexed="81"/>
            <rFont val="Segoe UI"/>
            <family val="2"/>
          </rPr>
          <t xml:space="preserve">Begrenzung der Strafzahlung auf 10 €/kWp
</t>
        </r>
      </text>
    </comment>
    <comment ref="D52" authorId="0" shapeId="0">
      <text>
        <r>
          <rPr>
            <sz val="9"/>
            <color indexed="81"/>
            <rFont val="Segoe UI"/>
            <family val="2"/>
          </rPr>
          <t xml:space="preserve">Begrenzung der Strafzahlung auf 10 €/kWp
</t>
        </r>
      </text>
    </comment>
    <comment ref="E52" authorId="0" shapeId="0">
      <text>
        <r>
          <rPr>
            <sz val="9"/>
            <color indexed="81"/>
            <rFont val="Segoe UI"/>
            <family val="2"/>
          </rPr>
          <t xml:space="preserve">Begrenzung der Strafzahlung auf 10 €/kWp
</t>
        </r>
      </text>
    </comment>
    <comment ref="F52" authorId="0" shapeId="0">
      <text>
        <r>
          <rPr>
            <sz val="9"/>
            <color indexed="81"/>
            <rFont val="Segoe UI"/>
            <family val="2"/>
          </rPr>
          <t xml:space="preserve">Weiterhin Begrenzung der Strafzahlung auf 10 €/kWp. Die Reduzierung der Strafzahlung auf 2 €/kWp für den Verstoß gegen Registrierungspflicht hat keine Auswirkung.
</t>
        </r>
      </text>
    </comment>
    <comment ref="L52" authorId="0" shapeId="0">
      <text>
        <r>
          <rPr>
            <sz val="9"/>
            <color indexed="81"/>
            <rFont val="Segoe UI"/>
            <family val="2"/>
          </rPr>
          <t>Nach Reduzierung der Strafzahlung auf 2 €/kWp für beide Verstöße sind in den Monaten Januar bis April jeweils 40 € und für die Monate Mai bis Oktober jeweils 20 €, in Summe 280 € zu zahlen. Da bis dahin 1.000 € gemeldet wurde, beträgt der Ausgleichsbetrag -720 €.</t>
        </r>
      </text>
    </comment>
  </commentList>
</comments>
</file>

<file path=xl/comments6.xml><?xml version="1.0" encoding="utf-8"?>
<comments xmlns="http://schemas.openxmlformats.org/spreadsheetml/2006/main">
  <authors>
    <author>Knuth Christian (50HzT ME-A)</author>
  </authors>
  <commentList>
    <comment ref="N30" authorId="0" shapeId="0">
      <text>
        <r>
          <rPr>
            <sz val="9"/>
            <color indexed="81"/>
            <rFont val="Segoe UI"/>
            <family val="2"/>
          </rPr>
          <t>Strommenge in Summe entspricht somit der im Dezember zu wälzenden Strommenge
(entsprechend der EEG-Überführungszeitreihen)</t>
        </r>
      </text>
    </comment>
  </commentList>
</comments>
</file>

<file path=xl/comments7.xml><?xml version="1.0" encoding="utf-8"?>
<comments xmlns="http://schemas.openxmlformats.org/spreadsheetml/2006/main">
  <authors>
    <author>Hagner, Gert, Dr.</author>
  </authors>
  <commentList>
    <comment ref="Z12" authorId="0" shapeId="0">
      <text>
        <r>
          <rPr>
            <sz val="9"/>
            <color indexed="81"/>
            <rFont val="Segoe UI"/>
            <family val="2"/>
          </rPr>
          <t>Die einzelne Kategorie führt zu einem negativen Betrag, doch die Zwischensumme (Zelle Z15) ist noch positiv. Daher findet die Saldierungskategorie keine Anwendung.</t>
        </r>
      </text>
    </comment>
    <comment ref="AA15" authorId="0" shapeId="0">
      <text>
        <r>
          <rPr>
            <sz val="9"/>
            <color indexed="81"/>
            <rFont val="Segoe UI"/>
            <family val="2"/>
          </rPr>
          <t>Wie in Spalte Z ist nur eine Kategorie negativ, doch ist die Zwischensumme (Zelle AA15) negativ. Die Saldierungskategorie (Zelle AA17) gleicht diesen negativen Betrag durch einen exakt gleich hohen positiven Betrag aus, so dass die Gesamtsumme exakt 0 Euro beträgt (Zelle AA19).</t>
        </r>
      </text>
    </comment>
    <comment ref="X17" authorId="0" shapeId="0">
      <text>
        <r>
          <rPr>
            <sz val="9"/>
            <color indexed="81"/>
            <rFont val="Segoe UI"/>
            <family val="2"/>
          </rPr>
          <t>Da Marktwert höher als der anzulegender Wert ist, gleicht der Euro-Betrag der Saldierungskategorie (Zelle X17)  die rechnerisch negative Marktprämie (Zelle X15) aus, so dass die Gesamtsumme exakt 0 Euro beträgt (Zelle X19).</t>
        </r>
      </text>
    </comment>
  </commentList>
</comments>
</file>

<file path=xl/comments8.xml><?xml version="1.0" encoding="utf-8"?>
<comments xmlns="http://schemas.openxmlformats.org/spreadsheetml/2006/main">
  <authors>
    <author>Hagner, Gert, Dr.</author>
  </authors>
  <commentList>
    <comment ref="F7" authorId="0" shapeId="0">
      <text>
        <r>
          <rPr>
            <b/>
            <sz val="9"/>
            <color indexed="81"/>
            <rFont val="Tahoma"/>
            <family val="2"/>
          </rPr>
          <t>"Topf" der Leistungsstufe 0 … 500 kW fasst in einem Regeljahr von 8760 h maximal 4.380.000 kWh</t>
        </r>
        <r>
          <rPr>
            <sz val="9"/>
            <color indexed="81"/>
            <rFont val="Tahoma"/>
            <family val="2"/>
          </rPr>
          <t xml:space="preserve">
</t>
        </r>
      </text>
    </comment>
    <comment ref="P28" authorId="0" shapeId="0">
      <text>
        <r>
          <rPr>
            <b/>
            <sz val="9"/>
            <color indexed="81"/>
            <rFont val="Tahoma"/>
            <family val="2"/>
          </rPr>
          <t>Monatliche Berechnung</t>
        </r>
        <r>
          <rPr>
            <sz val="9"/>
            <color indexed="81"/>
            <rFont val="Tahoma"/>
            <family val="2"/>
          </rPr>
          <t xml:space="preserve">
</t>
        </r>
      </text>
    </comment>
    <comment ref="R28" authorId="0" shapeId="0">
      <text>
        <r>
          <rPr>
            <b/>
            <sz val="9"/>
            <color indexed="81"/>
            <rFont val="Tahoma"/>
            <family val="2"/>
          </rPr>
          <t xml:space="preserve">Jährliche Berechnung
</t>
        </r>
        <r>
          <rPr>
            <sz val="9"/>
            <color indexed="81"/>
            <rFont val="Tahoma"/>
            <family val="2"/>
          </rPr>
          <t>(nur zum Vergleich; nicht für Abrechnung relevant, da Marktprämie monatlich zu berechnen ist)</t>
        </r>
      </text>
    </comment>
    <comment ref="P47" authorId="0" shapeId="0">
      <text>
        <r>
          <rPr>
            <b/>
            <sz val="9"/>
            <color indexed="81"/>
            <rFont val="Tahoma"/>
            <family val="2"/>
          </rPr>
          <t>Monatliche Berechnung</t>
        </r>
        <r>
          <rPr>
            <sz val="9"/>
            <color indexed="81"/>
            <rFont val="Tahoma"/>
            <family val="2"/>
          </rPr>
          <t xml:space="preserve">
</t>
        </r>
      </text>
    </comment>
    <comment ref="R47" authorId="0" shapeId="0">
      <text>
        <r>
          <rPr>
            <b/>
            <sz val="9"/>
            <color indexed="81"/>
            <rFont val="Tahoma"/>
            <family val="2"/>
          </rPr>
          <t xml:space="preserve">Jährliche Berechnung
</t>
        </r>
        <r>
          <rPr>
            <sz val="9"/>
            <color indexed="81"/>
            <rFont val="Tahoma"/>
            <family val="2"/>
          </rPr>
          <t>(nur zum Vergleich; nicht für Abrechnung relevant, da Marktprämie monatlich zu berechnen ist)</t>
        </r>
        <r>
          <rPr>
            <sz val="9"/>
            <color indexed="81"/>
            <rFont val="Tahoma"/>
            <family val="2"/>
          </rPr>
          <t xml:space="preserve">
</t>
        </r>
      </text>
    </comment>
  </commentList>
</comments>
</file>

<file path=xl/comments9.xml><?xml version="1.0" encoding="utf-8"?>
<comments xmlns="http://schemas.openxmlformats.org/spreadsheetml/2006/main">
  <authors>
    <author>Hagner, Gert, Dr.</author>
  </authors>
  <commentList>
    <comment ref="Z20" authorId="0" shapeId="0">
      <text>
        <r>
          <rPr>
            <sz val="9"/>
            <color indexed="81"/>
            <rFont val="Segoe UI"/>
            <family val="2"/>
          </rPr>
          <t>Aufgrund des extrem hohen Marktwertes, der über der Einspeisevergütung ohne Sanktionierung (Zelle Z16) liegt, würde die Meldung der Sanktionskategorie mit dem Marktwert (reduziert um Managementkosten gemäß § 53 EEG) zu einer zu hohen Förderung führen. Daher wird durch die zusätzliche Ausgleichsbetragskategorie mit dem negativen Betrag (Zelle Z20) die Förderung auf die Einspeisevergütung ohne Sanktionierung begrenzt (Zelle Z22).</t>
        </r>
      </text>
    </comment>
  </commentList>
</comments>
</file>

<file path=xl/sharedStrings.xml><?xml version="1.0" encoding="utf-8"?>
<sst xmlns="http://schemas.openxmlformats.org/spreadsheetml/2006/main" count="46750" uniqueCount="8213">
  <si>
    <t>§ 17 Abs. 2 Nr. 1  EEG 2012: Der Vergütungsanspruch nach § 16 verringert sich sich auf den tatsächlichen Monatsmittelwert des energieträgerspezifischen Marktwerts (MW), solange Anlagenbetreiber von Solaranlagen den Standort und die installierte Leistung der Anlage nicht an die BNetzA oder den Betreiber des Anlagenregisters nach § 64e Nr. 2  EEG 2012 übermittelt haben.
Für Anlagen mit Inbetriebnahme vor dem 01.01.2012 ist die Sanktion des § 17 Abs. 2 Satz 1 EEG 2009 anzuwenden.</t>
  </si>
  <si>
    <t>§ 17 Abs. 2 Nr. 2 EEG 2012: Der Vergütungsanspruch nach § 16 verringert sich sich auf den tatsächlichen Monatsmittelwert des energieträgerspezifischen Marktwerts (MW), solange Anlagenbetreiber im Fall der Errichtung eines allgemeinen Anlagenregisters die Eintragung der Anlage in das Anlagenregister nicht nach Maßgabe einer Rechtsverordnung auf Grund von § 64e  EEG 2012beantragt haben.</t>
  </si>
  <si>
    <t>§ 17 Abs. 2 Nr. 3 EEG 2012: Der Vergütungsanspruch nach § 16 EEG 2012 verringert sich sich auf den tatsächlichen Monatsmittelwert des energieträgerspezifischen Marktwerts (MW), solange Anlagenbetreiber gegen § 16 Abs. 3 EEG 2012 (Strom-Überlassung) verstoßen, mindestens jedoch für die Dauer des gesamten Kalendermonats, in dem ein solcher Verstoß erfolgt ist, und soweit sie den Strom dem Netzbetreiber zur Verfügung gestellt haben.
Ein Verstoß gegen § 16 Abs. 3 EEG 2012 liegt auch dann vor, wenn der Anlagenbetreiber zwar die gesamte Menge im Monat dem Netzbetreiber überlassen hat, diese jedoch parallel als Regelenergie vermarktet hat (auch wenn diese tatsächlich nicht abgerufen wurde).</t>
  </si>
  <si>
    <t>WaK-kVG------0</t>
  </si>
  <si>
    <t>WaK-kVG-MPM--0</t>
  </si>
  <si>
    <t>BiK-kVG------0</t>
  </si>
  <si>
    <t>GaK-kVG------0</t>
  </si>
  <si>
    <t>DeK-kVG------0</t>
  </si>
  <si>
    <t>KlK-kVG------0</t>
  </si>
  <si>
    <t>GrK-kVG------0</t>
  </si>
  <si>
    <t>GeK-kVG------0</t>
  </si>
  <si>
    <t>WnK-kVG------0</t>
  </si>
  <si>
    <t>WiK-kVG------0</t>
  </si>
  <si>
    <t>WrK-kVG------0</t>
  </si>
  <si>
    <t>WfK-kVG------0</t>
  </si>
  <si>
    <t>SoK-kVG------0</t>
  </si>
  <si>
    <t>SgK-kVG------0</t>
  </si>
  <si>
    <t>BiK-kVG-MPM--0</t>
  </si>
  <si>
    <t>GaK-kVG-MPM--0</t>
  </si>
  <si>
    <t>DeK-kVG-MPM--0</t>
  </si>
  <si>
    <t>KlK-kVG-MPM--0</t>
  </si>
  <si>
    <t>GrK-kVG-MPM--0</t>
  </si>
  <si>
    <t>GeK-kVG-MPM--0</t>
  </si>
  <si>
    <t>WiK-kVG-MPM--0</t>
  </si>
  <si>
    <t>WnK-kVG-MPM--0</t>
  </si>
  <si>
    <t>WrK-kVG-MPM--0</t>
  </si>
  <si>
    <t>WfK-kVG-MPM--0</t>
  </si>
  <si>
    <t>SoK-kVG-MPM--0</t>
  </si>
  <si>
    <t>SgK-kVG-MPM--0</t>
  </si>
  <si>
    <t>Anpassungen aufgrund EEG 2014 (siehe zusätzliche Erläuterung unten)
- Ergänzung der neuen Vergütungskategorien und Sanktionskategorien nach EEG 2014
- Unterscheidung Vergütungssätze, Anzulegender Wert und Ausfallvergütung gemäß EEG 2014
Ergänzung bislang fehlender Sanktionskategorien für Biomasse
Ergänzung bislang fehlender Sanktionskategorien, wenn Vergütungsfähigkeit durch Nichterfüllung der Anforderungen der §§ 23 bis 33 EEG 2012 ausgeschlossen ist
Ergänzung von Vergütungskategorien Biomasse Inbetriebnahme 2001 für Erfüllung Bonusregel K erstmals 2014</t>
  </si>
  <si>
    <t>Inbetriebnahme 07-09/2012</t>
  </si>
  <si>
    <t>Verringerung der Marktprämie auf erhöhte Managementprämie nach § 33 Abs. 2 (Überschreitung 90 %)</t>
  </si>
  <si>
    <t>§ 17 Abs. 2 Nr. 4 EEG 2012: Der Vergütungsanspruch nach § 16 EEG 2012 verringert sich sich auf den tatsächlichen Monatsmittelwert des energieträgerspezifischen Marktwerts (MW), soweit die Errichtung oder der Betrieb der Anlage dazu dient, die Vorbildfunktion öffentlicher Gebäude auf Grund einer landesrechtlichen Regelung nach § 3 Abs. 4 Nr. 1 des Erneuerbare-Energien-Wärmegesetzes zu erfüllen, und wenn die Anlage keine KWK-Anlage ist.
Zur Anwendbarkeit des § 17 Abs. 2 Nr. 4 EEG 2012 auf Anlagen mit Inbetriebnahme vor dem 01.01.2012 bezieht der Herausgeber dieser Vergütungskategorien keine Stellung.</t>
  </si>
  <si>
    <t>§ 17 Abs. 3 EEG 2012: Der Vergütungsanspruch nach § 16 EEG 2012 verringert sich sich auf den tatsächlichen Monatsmittelwert des energieträgerspezifischen Marktwerts (MW), wenn Anlagenbetreiber, soweit die ihren Strom direkt vermarktet haben, dem Netzbetreiber den Wechsel in die Vergütung nach § 16 EEG 2012 nicht nach Maßgabe des § 33d Abs. 2 EEG 2012 in Verbindung mit § 33d Abs. 1 Nr. 3 und Abs. 4 EEG 2012 übermittelt haben. 
Diese Verringerung gilt bis zum Ablauf des dritten Kalendermonats, der auf die Beendigung der Direktvermarktung folgt.</t>
  </si>
  <si>
    <t>§ 25 Abs. 2 Nr. 6 EEG 2014: Der anzulegende Wert nach § 23 Abs. 1 Satz 2 EEG 2014 verringert sich sich auf den Monatsmarktwert, soweit die Einrichtung oder der Betrieb der Anlage dazu dient, die Vorbildfunktion öffentlicher Gebäude auf Grund einer landesrechtlichen Regelung nach § 3 Abs. 4 Nr. 1 EEWärmeG zu erfüllen, und wenn die Anlage keine KWK-Anlage ist.</t>
  </si>
  <si>
    <t>Verringerung der Marktprämie auf Managementprämie nach § 27 Abs. 7 Satz 1 (Verstoß gegen § 27 Abs. 4 oder 5)</t>
  </si>
  <si>
    <t>Änderungen zur vorherigen Version</t>
  </si>
  <si>
    <t>Informationen zur Datenmeldung des VNB an den ÜNB erhalten Netzbetreiber bei ihrem zuständigen ÜNB.</t>
  </si>
  <si>
    <t>WaK400------14</t>
  </si>
  <si>
    <t>Inbetriebnahme 08-12/2014</t>
  </si>
  <si>
    <t>Modernisierung 08-12/2014</t>
  </si>
  <si>
    <t>Einspeise-
vergütung in ct/kWh</t>
  </si>
  <si>
    <t>Ausfall-
vergütung in ct/kWh</t>
  </si>
  <si>
    <t>WaK401------14</t>
  </si>
  <si>
    <t>WaK402------14</t>
  </si>
  <si>
    <t>WaK403------14</t>
  </si>
  <si>
    <t>WaK404------14</t>
  </si>
  <si>
    <t>WaK405------14</t>
  </si>
  <si>
    <t>WaK406------14</t>
  </si>
  <si>
    <t>AW (Anzulegender Wert)</t>
  </si>
  <si>
    <t>EV (Einspeisevergütung)</t>
  </si>
  <si>
    <t>WaK400M-----14</t>
  </si>
  <si>
    <t>WaK401M-----14</t>
  </si>
  <si>
    <t>WaK402M-----14</t>
  </si>
  <si>
    <t>WaK403M-----14</t>
  </si>
  <si>
    <t>WaK404M-----14</t>
  </si>
  <si>
    <t>WaK405M-----14</t>
  </si>
  <si>
    <t>WaK406M-----14</t>
  </si>
  <si>
    <t>Vergütungsberechnung für Deponiegasanlagen mit Inbetriebnahme ab 01.08.2014</t>
  </si>
  <si>
    <t>DeK410------14</t>
  </si>
  <si>
    <t>DeK411------14</t>
  </si>
  <si>
    <t>Vergütungsberechnung für Klärgasanlagen mit Inbetriebnahme ab 01.08.2014</t>
  </si>
  <si>
    <t>KlK420------14</t>
  </si>
  <si>
    <t>KlK421------14</t>
  </si>
  <si>
    <t>2014 + 2015</t>
  </si>
  <si>
    <t>GrK430------14</t>
  </si>
  <si>
    <t>GrK431------14</t>
  </si>
  <si>
    <t>Vergütungsberechnung für Grubengasanlagen mit Inbetriebnahme ab 01.08.2014</t>
  </si>
  <si>
    <t>GrK432------14</t>
  </si>
  <si>
    <t>Biomasse nach § 45 EEG 2014 (Vergärung von Bioabfällen)</t>
  </si>
  <si>
    <t>BiK450------14</t>
  </si>
  <si>
    <t>0,5-20 MW, Vergärung von Bioabfällen</t>
  </si>
  <si>
    <t>BiK451------14</t>
  </si>
  <si>
    <t>Vergütungsberechnung für Biogasanlagen (Bioabfälle) mit Inbetriebnahme ab 01.08.2014</t>
  </si>
  <si>
    <t>Biomasse nach § 46 EEG 2014 (Vergärung von Gülle)</t>
  </si>
  <si>
    <t>BiK460------14</t>
  </si>
  <si>
    <t>Vergütungsberechnung für Biogasanlagen (Gülle) mit Inbetriebnahme ab 01.08.2014</t>
  </si>
  <si>
    <t>Biomasse nach § 44 EEG 2014</t>
  </si>
  <si>
    <t>Vergütungsberechnung für Biomasseanlagen mit Inbetriebnahme ab 01.08.2014</t>
  </si>
  <si>
    <t>BiK440------14</t>
  </si>
  <si>
    <t>BiK441------14</t>
  </si>
  <si>
    <t>BiK442------14</t>
  </si>
  <si>
    <t>BiK443------14</t>
  </si>
  <si>
    <t>§ 44</t>
  </si>
  <si>
    <t>§ 40 Abs. 1</t>
  </si>
  <si>
    <t>i.V.m. § 37</t>
  </si>
  <si>
    <t>§ 40 Abs. 2</t>
  </si>
  <si>
    <t>Vergütungsberechnung für Wasserkraftanlagen mit Inbetriebnahme oder Modernisierung ab 01.08.2014</t>
  </si>
  <si>
    <t>§ 43 Abs. 1</t>
  </si>
  <si>
    <t>§ 42</t>
  </si>
  <si>
    <t>§ 41</t>
  </si>
  <si>
    <t>§ 46</t>
  </si>
  <si>
    <t>§ 45 Abs. 1</t>
  </si>
  <si>
    <t>Vergütungsberechnung für Geothermieanlagen mit Inbetriebnahme ab 01.08.2014</t>
  </si>
  <si>
    <t>GeK480------14</t>
  </si>
  <si>
    <t>Vergütungsberechnung für Windenergieanlagen an Land mit Inbetriebnahme ab 01.08.2014</t>
  </si>
  <si>
    <t>WnK490------14</t>
  </si>
  <si>
    <t>WnK491------14</t>
  </si>
  <si>
    <t>§ 49</t>
  </si>
  <si>
    <t>WfK500------14</t>
  </si>
  <si>
    <t>WfK501------14</t>
  </si>
  <si>
    <t>WfK502------14</t>
  </si>
  <si>
    <t>Offshore, erhöhte Anfangsvergütung nach § 50 Abs. 3</t>
  </si>
  <si>
    <t>§ 50</t>
  </si>
  <si>
    <t>Vergütungsberechnung für Windenergieanlagen auf See mit Inbetriebnahme ab 01.08.2014</t>
  </si>
  <si>
    <t>Windenergie offshore (Windenergie auf See)</t>
  </si>
  <si>
    <t>Windenergie onshore (Windenergie an Land)</t>
  </si>
  <si>
    <t>Vergütungsberechnung für PV-Freiflächenanlagen mit Inbetriebnahme ab 01.08.2014</t>
  </si>
  <si>
    <t>Inbetriebnahme 08/2014</t>
  </si>
  <si>
    <t>Inbetriebnahme 09/2014</t>
  </si>
  <si>
    <t>Inbetriebnahme 10/2014</t>
  </si>
  <si>
    <t>SoK511---Aug14</t>
  </si>
  <si>
    <t>SoK511---Sep14</t>
  </si>
  <si>
    <t>SoK511---Okt14</t>
  </si>
  <si>
    <t>Aug14</t>
  </si>
  <si>
    <t>Sep14</t>
  </si>
  <si>
    <t>Okt14</t>
  </si>
  <si>
    <t>Inbetriebnahme 11/2014</t>
  </si>
  <si>
    <t>Inbetriebnahme 12/2014</t>
  </si>
  <si>
    <t>SoK511---Nov14</t>
  </si>
  <si>
    <t>SoK511---Dez14</t>
  </si>
  <si>
    <t>Nov14</t>
  </si>
  <si>
    <t>Dez14</t>
  </si>
  <si>
    <t>§ 51 Abs. 1 i.V.m. § 37</t>
  </si>
  <si>
    <t>Vergütungsberechnung für PVGebäudeanlagen mit Inbetriebnahme ab 01.08.2014</t>
  </si>
  <si>
    <t>SgK5120--Aug14</t>
  </si>
  <si>
    <t>SgK5120--Sep14</t>
  </si>
  <si>
    <t>SgK5120--Okt14</t>
  </si>
  <si>
    <t>SgK5120--Nov14</t>
  </si>
  <si>
    <t>SgK5120--Dez14</t>
  </si>
  <si>
    <t>Verringerung auf null nach § 25 Abs. 1 Nr. 1 (Unterlassene Anmeldung im Anlagenregister)</t>
  </si>
  <si>
    <t>WaK2511------0</t>
  </si>
  <si>
    <t>BiK2511------0</t>
  </si>
  <si>
    <t>GaK2511------0</t>
  </si>
  <si>
    <t>DeK2511------0</t>
  </si>
  <si>
    <t>KlK2511------0</t>
  </si>
  <si>
    <t>GrK2511------0</t>
  </si>
  <si>
    <t>GeK2511------0</t>
  </si>
  <si>
    <t>WiK2511------0</t>
  </si>
  <si>
    <t>WnK2511------0</t>
  </si>
  <si>
    <t>WrK2511------0</t>
  </si>
  <si>
    <t>WfK2511------0</t>
  </si>
  <si>
    <t>SoK2511------0</t>
  </si>
  <si>
    <t>SgK2511------0</t>
  </si>
  <si>
    <t>WaK2512------0</t>
  </si>
  <si>
    <t>BiK2512------0</t>
  </si>
  <si>
    <t>GaK2512------0</t>
  </si>
  <si>
    <t>DeK2512------0</t>
  </si>
  <si>
    <t>KlK2512------0</t>
  </si>
  <si>
    <t>GrK2512------0</t>
  </si>
  <si>
    <t>GeK2512------0</t>
  </si>
  <si>
    <t>WiK2512------0</t>
  </si>
  <si>
    <t>WnK2512------0</t>
  </si>
  <si>
    <t>WrK2512------0</t>
  </si>
  <si>
    <t>WfK2512------0</t>
  </si>
  <si>
    <t>SoK2512------0</t>
  </si>
  <si>
    <t>SgK2512------0</t>
  </si>
  <si>
    <t>WaK2513------0</t>
  </si>
  <si>
    <t>BiK2513------0</t>
  </si>
  <si>
    <t>GaK2513------0</t>
  </si>
  <si>
    <t>DeK2513------0</t>
  </si>
  <si>
    <t>KlK2513------0</t>
  </si>
  <si>
    <t>GrK2513------0</t>
  </si>
  <si>
    <t>GeK2513------0</t>
  </si>
  <si>
    <t>WiK2513------0</t>
  </si>
  <si>
    <t>WnK2513------0</t>
  </si>
  <si>
    <t>WrK2513------0</t>
  </si>
  <si>
    <t>WfK2513------0</t>
  </si>
  <si>
    <t>SoK2513------0</t>
  </si>
  <si>
    <t>SgK2513------0</t>
  </si>
  <si>
    <t>WaK2514------0</t>
  </si>
  <si>
    <t>BiK2514------0</t>
  </si>
  <si>
    <t>GaK2514------0</t>
  </si>
  <si>
    <t>DeK2514------0</t>
  </si>
  <si>
    <t>KlK2514------0</t>
  </si>
  <si>
    <t>GrK2514------0</t>
  </si>
  <si>
    <t>GeK2514------0</t>
  </si>
  <si>
    <t>WiK2514------0</t>
  </si>
  <si>
    <t>WnK2514------0</t>
  </si>
  <si>
    <t>WrK2514------0</t>
  </si>
  <si>
    <t>WfK2514------0</t>
  </si>
  <si>
    <t>SoK2514------0</t>
  </si>
  <si>
    <t>SgK2514------0</t>
  </si>
  <si>
    <t>Verringerung auf null nach § 25 Abs. 1 Nr. 4 (Fehlender Nachweis zur Stilllegung einer anderen Biomethananlage)</t>
  </si>
  <si>
    <t>WaK2521-----MW</t>
  </si>
  <si>
    <t>BiK2521-----MW</t>
  </si>
  <si>
    <t>GaK2521-----MW</t>
  </si>
  <si>
    <t>DeK2521-----MW</t>
  </si>
  <si>
    <t>KlK2521-----MW</t>
  </si>
  <si>
    <t>GrK2521-----MW</t>
  </si>
  <si>
    <t>GeK2521-----MW</t>
  </si>
  <si>
    <t>WiK2521-----MW</t>
  </si>
  <si>
    <t>WnK2521-----MW</t>
  </si>
  <si>
    <t>WrK2521-----MW</t>
  </si>
  <si>
    <t>WfK2521-----MW</t>
  </si>
  <si>
    <t>SoK2521-----MW</t>
  </si>
  <si>
    <t>SgK2521-----MW</t>
  </si>
  <si>
    <t>WaK2522-----MW</t>
  </si>
  <si>
    <t>BiK2522-----MW</t>
  </si>
  <si>
    <t>GaK2522-----MW</t>
  </si>
  <si>
    <t>DeK2522-----MW</t>
  </si>
  <si>
    <t>KlK2522-----MW</t>
  </si>
  <si>
    <t>GrK2522-----MW</t>
  </si>
  <si>
    <t>GeK2522-----MW</t>
  </si>
  <si>
    <t>WiK2522-----MW</t>
  </si>
  <si>
    <t>WnK2522-----MW</t>
  </si>
  <si>
    <t>WrK2522-----MW</t>
  </si>
  <si>
    <t>WfK2522-----MW</t>
  </si>
  <si>
    <t>SoK2522-----MW</t>
  </si>
  <si>
    <t>SgK2522-----MW</t>
  </si>
  <si>
    <t>WaK2523-----MW</t>
  </si>
  <si>
    <t>BiK2523-----MW</t>
  </si>
  <si>
    <t>GaK2523-----MW</t>
  </si>
  <si>
    <t>DeK2523-----MW</t>
  </si>
  <si>
    <t>KlK2523-----MW</t>
  </si>
  <si>
    <t>GrK2523-----MW</t>
  </si>
  <si>
    <t>GeK2523-----MW</t>
  </si>
  <si>
    <t>WiK2523-----MW</t>
  </si>
  <si>
    <t>WnK2523-----MW</t>
  </si>
  <si>
    <t>WrK2523-----MW</t>
  </si>
  <si>
    <t>WfK2523-----MW</t>
  </si>
  <si>
    <t>SoK2523-----MW</t>
  </si>
  <si>
    <t>SgK2523-----MW</t>
  </si>
  <si>
    <t>WaK2524-----MW</t>
  </si>
  <si>
    <t>BiK2524-----MW</t>
  </si>
  <si>
    <t>GaK2524-----MW</t>
  </si>
  <si>
    <t>DeK2524-----MW</t>
  </si>
  <si>
    <t>KlK2524-----MW</t>
  </si>
  <si>
    <t>GrK2524-----MW</t>
  </si>
  <si>
    <t>GeK2524-----MW</t>
  </si>
  <si>
    <t>WiK2524-----MW</t>
  </si>
  <si>
    <t>WnK2524-----MW</t>
  </si>
  <si>
    <t>WrK2524-----MW</t>
  </si>
  <si>
    <t>WfK2524-----MW</t>
  </si>
  <si>
    <t>SoK2524-----MW</t>
  </si>
  <si>
    <t>SgK2524-----MW</t>
  </si>
  <si>
    <t>WaK2525-----MW</t>
  </si>
  <si>
    <t>BiK2525-----MW</t>
  </si>
  <si>
    <t>GaK2525-----MW</t>
  </si>
  <si>
    <t>DeK2525-----MW</t>
  </si>
  <si>
    <t>KlK2525-----MW</t>
  </si>
  <si>
    <t>GrK2525-----MW</t>
  </si>
  <si>
    <t>GeK2525-----MW</t>
  </si>
  <si>
    <t>WiK2525-----MW</t>
  </si>
  <si>
    <t>WnK2525-----MW</t>
  </si>
  <si>
    <t>WrK2525-----MW</t>
  </si>
  <si>
    <t>WfK2525-----MW</t>
  </si>
  <si>
    <t>SoK2525-----MW</t>
  </si>
  <si>
    <t>SgK2525-----MW</t>
  </si>
  <si>
    <t>WaK2526-----MW</t>
  </si>
  <si>
    <t>BiK2526-----MW</t>
  </si>
  <si>
    <t>GaK2526-----MW</t>
  </si>
  <si>
    <t>DeK2526-----MW</t>
  </si>
  <si>
    <t>KlK2526-----MW</t>
  </si>
  <si>
    <t>GrK2526-----MW</t>
  </si>
  <si>
    <t>GeK2526-----MW</t>
  </si>
  <si>
    <t>WiK2526-----MW</t>
  </si>
  <si>
    <t>WnK2526-----MW</t>
  </si>
  <si>
    <t>WrK2526-----MW</t>
  </si>
  <si>
    <t>WfK2526-----MW</t>
  </si>
  <si>
    <t>SoK2526-----MW</t>
  </si>
  <si>
    <t>SgK2526-----MW</t>
  </si>
  <si>
    <t>SgK2511-SV---0</t>
  </si>
  <si>
    <t>SgK2512-SV---0</t>
  </si>
  <si>
    <t>SgK2513-SV---0</t>
  </si>
  <si>
    <t>SgK2514-SV---0</t>
  </si>
  <si>
    <t>SgK2522-SV---0</t>
  </si>
  <si>
    <t>SgK2523-SV---0</t>
  </si>
  <si>
    <t>SgK2524-SV---0</t>
  </si>
  <si>
    <t>SgK2525-SV---0</t>
  </si>
  <si>
    <t>SgK2526-SV---0</t>
  </si>
  <si>
    <t>BiK471------MW</t>
  </si>
  <si>
    <t>BiK4721------0</t>
  </si>
  <si>
    <t>BiK474------MW</t>
  </si>
  <si>
    <t>Die Strommengen sind bereits in den gemeldeten Strommengen für Direktvermarktung enthalten. Daher sind sie weder für die Berechnung der Bemessungsleistung, der vNNE noch der in den bundesweiten Belastungsausgleich fließenden Strommengen einzubeziehen.</t>
  </si>
  <si>
    <t>Flexibilitätsprämie für Biomethan nach EEG 2014</t>
  </si>
  <si>
    <t>Flexibilitätsprämie für sonstige Biogase außer Biomethan nach EEG 2014</t>
  </si>
  <si>
    <t>Flexibilitätszuschlag</t>
  </si>
  <si>
    <t>BiK53------FLZ</t>
  </si>
  <si>
    <t>BiK54M-----FLP</t>
  </si>
  <si>
    <t>BiK54G-----FLP</t>
  </si>
  <si>
    <t>SoK1004------0</t>
  </si>
  <si>
    <t>SgK1004------0</t>
  </si>
  <si>
    <t>WaK1004------0</t>
  </si>
  <si>
    <t>BiK1004------0</t>
  </si>
  <si>
    <t>GaK1004------0</t>
  </si>
  <si>
    <t>DeK1004------0</t>
  </si>
  <si>
    <t>KlK1004------0</t>
  </si>
  <si>
    <t>GrK1004------0</t>
  </si>
  <si>
    <t>GeK1004------0</t>
  </si>
  <si>
    <t>WiK1004------0</t>
  </si>
  <si>
    <t>WnK1004------0</t>
  </si>
  <si>
    <t>WrK1004------0</t>
  </si>
  <si>
    <t>WfK1004------0</t>
  </si>
  <si>
    <t>BiK35---MPM--0</t>
  </si>
  <si>
    <t>GaK35---MPM--0</t>
  </si>
  <si>
    <t>DeK35---MPM--0</t>
  </si>
  <si>
    <t>KlK35---MPM--0</t>
  </si>
  <si>
    <t>GrK35---MPM--0</t>
  </si>
  <si>
    <t>GeK35---MPM--0</t>
  </si>
  <si>
    <t>WiK35---MPM--0</t>
  </si>
  <si>
    <t>WnK35---MPM--0</t>
  </si>
  <si>
    <t>WrK35---MPM--0</t>
  </si>
  <si>
    <t>WfK35---MPM--0</t>
  </si>
  <si>
    <t>SoK35---MPM--0</t>
  </si>
  <si>
    <t>SgK35---MPM--0</t>
  </si>
  <si>
    <t>WaK35---MPM--0</t>
  </si>
  <si>
    <t>Entfall der Marktprämie nach § 35 EEG 2014 (Nicheinhaltung der Voraussetzungen der Marktprämie)</t>
  </si>
  <si>
    <t>Verringerung auf Marktwert nach § 25 Abs. 2 Nr. 4 (Verstoß gegen Stromüberlassung nach § 39 Abs. 2)</t>
  </si>
  <si>
    <t>Verringerung auf Marktwert nach § 25 Abs. 2 Nr. 1 (Verstoß gegen technische Vorgaben)</t>
  </si>
  <si>
    <t>Verringerung auf Marktwert nach § 25 Abs. 2 Nr. 2 (Verstoß gegen Meldepflicht zum Wechsel der Vermarktungsform)</t>
  </si>
  <si>
    <t>Verringerung auf Marktwert nach § 25 Abs. 2 Nr. 3 (Verstoß gegen gemeinsame Messeinrichtung)</t>
  </si>
  <si>
    <t>Verringerung auf Marktwert nach § 25 Abs. 2 Nr. 5 (Doppelvermarktung)</t>
  </si>
  <si>
    <t>Verringerung auf Marktwert nach § 25 Abs. 2 Nr. 6 (Vorbildfunktion öffentlicher Gebäude)</t>
  </si>
  <si>
    <t>Anteil KWK, erstmals 2014</t>
  </si>
  <si>
    <t>Vergütungskategorie ist 2013/2014 ergänzt worden</t>
  </si>
  <si>
    <t>Herausgeber und Zweck</t>
  </si>
  <si>
    <t>Vorbehalt und Haftungsausschluss</t>
  </si>
  <si>
    <t>Die Herausgeber übernehmen keinerlei Haftung für die Richtigkeit der Kategorien, deren Beschreibungen und Vergütungssätze. Die Herausgeber lehnen jede Haftung für jedwede Schäden ab, die aufgrund von eventuellen Fehlern, insbesondere falschen Vergütungssätzen, entstanden sind.</t>
  </si>
  <si>
    <t>Vermarktungskosten</t>
  </si>
  <si>
    <t>Vertrauensschutz für Anlagen mit Inbetriebnahme zwischen 01.08.2014 und 31.12.2014</t>
  </si>
  <si>
    <t>Vergütungssätze</t>
  </si>
  <si>
    <t>Ergänzung von Vergütungskategorien Biomasse Inbetriebnahme 2005 für Erfüllung Bonusregel K erstmals 2013</t>
  </si>
  <si>
    <t>Ergänzung der Vergütungssätze der Vergütungskategorien für PV-Anlagen mit Inbetriebnahme Februar bis April 2014 (EEG 2012 n.F.)</t>
  </si>
  <si>
    <t>Ergänzung der Vergütungssätze der Vergütungskategorien für PV-Anlagen mit Inbetriebnahme Mai bis Juli 2014 (EEG 2012 n.F.)</t>
  </si>
  <si>
    <t>Ergänzung von Vergütungskategorien Biomasse Inbetriebnahme 2001, 2004 und 2006 für Erfüllung Bonusregel K erstmals 2013</t>
  </si>
  <si>
    <t>Datum</t>
  </si>
  <si>
    <t>Ergänzung der Vergütungskategorien für Inbetriebnahmejahr 2014
Korrektur fehlerhafter Kategorienname (korrekt WfK312------13 statt WfK313------13)
Anpassung der Erläuterungen</t>
  </si>
  <si>
    <t>Ergänzung von Vergütungskategorien Biomasse Inbetriebnahme 2001, 2002, 2005, 2006 und 2007 für Erfüllung Bonusregel K erstmals 2013</t>
  </si>
  <si>
    <t>Bei den zurückliegenden Novellen sind für Anlagen, die nach dem Vertrauensschutztatbestand vergütet werden, entsprechende separate Kategorien (mit "BS" für Bestandsschutz) vorgesehen worden, während die alten Kategorien trotz gleichem Vergütungssatz nicht mehr verwendbar waren. Für das EEG 2014 hätte dies jedoch bedeutet, dass (nahezu) alle Kategorien für das Inbetriebnahmejahr 2014 hätten dupliziert werden müssen. Deshalb wurde für diese Novelle darauf verzichtet, spezielle BS-Kategorien einzuführen. Statt dessen sind die gleichen Kategorien zu verwenden wie für die ersten sieben Monate 2014. Eine Ausnahme stellt der Energieträger Solar dar, da für diesen (mutmaßlich) kein Vertrauensschutztatbestand zutreffend ist. Andererseits würden diese Solar-Kategorien ohnehin immer nur für einen einzigen Monat gelten, womit eine zusätzliche BS-Kategorie überflüssig wäre. Wenn für Solar kein Vertrauensschutztatbestand besteht, läuft es darauf hinaus, dass die ursprünglich geplanten Solar-Kategorien für die Monate August bis Dezember nicht verwendet werden dürfen.</t>
  </si>
  <si>
    <t>Die Vergütungssätze werden ausschließlich durch das Erneuerbare-Energien-Gesetz (EEG) in der jeweils gültigen Fassung festgelegt. Die in diesem Dokument enthaltenen Vergütungssätze spiegeln das Rechtsverständnis der Herausgeber wider und sind rechtlich unverbindlich.</t>
  </si>
  <si>
    <t>SgK1004--SV--0</t>
  </si>
  <si>
    <r>
      <t xml:space="preserve">Anzulegender Wert in ct/kWh 
</t>
    </r>
    <r>
      <rPr>
        <sz val="10"/>
        <rFont val="Arial"/>
        <family val="2"/>
      </rPr>
      <t>(bei Anlagen mit Vergütung nach EEG 2000 bis 2012 muss zur Marktprämienberechnung die Einspeisevergütung i. V. m. den Vorgaben aus § 100 Abs. 1 Nr. 8 und Anlage 1 EEG 2014 verwendet werden.)</t>
    </r>
  </si>
  <si>
    <t>Bei Bestandsanlagen mit Vergütung nach EEG 2000 bis 2012 ist bei der Berechnung der Marktprämie gemäß § 100 Abs. 1 Nr. 8 EEG 2014 die Einspeisevergütung um den gem. § 100 Abs. 1 Nr. 8 für die jeweilige Anlage und in Abhängigkeit von der Erfüllung des § 3 MaPrV im entsprechenden Jahr der Stromerzeugung gültigen Wert zu erhöhen (frühere Managementprämie).</t>
  </si>
  <si>
    <t>Diese Tabelle, die Kategorien wie auch die Vergütungssätze sind mit größter Sorgfalt erstellt und mehrfach geprüft worden. Dennoch kann nicht ausgeschlossen werden, dass Fehler enthalten sind, insbesondere die ausgewiesenen Vergütungssätze zu hoch oder zu niedrig sind. Weiterhin ist es jederzeit möglich, dass durch Gesetzesänderungen oder durch die Rechtssprechung eine Korrektur der Vergütungssätze oder der Bedingungen für die Verwendung einer Kategorie – auch rückwirkend – erfolgt. Daher gelten die Kategorien, die Beschreibungen und die Vergütungssätze nur unter Vorbehalt. Dies gilt auch für die Degression der Vermarktungskosten, die auf dem Tabellenblatt "Änderungshistorie" beschrieben sind.</t>
  </si>
  <si>
    <t>BiK1011----MPM</t>
  </si>
  <si>
    <t>Verringerung der Marktprämie auf Managementprämie nach § 101 Abs. 1 (Überschreitung Höchstbemessungsleistung)</t>
  </si>
  <si>
    <t>Ergänzung Sanktionskategorien BiK1011----MPM für Altanlagen Biogas
Ergänzung von Vergütungskategorien Biomasse Inbetriebnahme 2001 für Erfüllung Bonusregel K erstmals 2013</t>
  </si>
  <si>
    <t>BiK51nK13y--01</t>
  </si>
  <si>
    <t>BiK51aK13y--01</t>
  </si>
  <si>
    <t>BiK51na1K14-01</t>
  </si>
  <si>
    <t>BiK51aa1K14-01</t>
  </si>
  <si>
    <t>BiK52aa2K14-01</t>
  </si>
  <si>
    <t>SgK5120--Aug15</t>
  </si>
  <si>
    <t>Inbetriebnahme 08/2015</t>
  </si>
  <si>
    <t>SgK5120--Sep15</t>
  </si>
  <si>
    <t>Inbetriebnahme 09/2015</t>
  </si>
  <si>
    <t>SgK5120--Okt15</t>
  </si>
  <si>
    <t>Inbetriebnahme 10/2015</t>
  </si>
  <si>
    <t>SgK5120--Nov15</t>
  </si>
  <si>
    <t>Inbetriebnahme 11/2015</t>
  </si>
  <si>
    <t>SgK5120--Dez15</t>
  </si>
  <si>
    <t>Inbetriebnahme 12/2015</t>
  </si>
  <si>
    <t>Jan15</t>
  </si>
  <si>
    <t>SgK5120--Jan15</t>
  </si>
  <si>
    <t>SgK5120--Feb15</t>
  </si>
  <si>
    <t>SgK5120--Mrz15</t>
  </si>
  <si>
    <t>SgK5120--Apr15</t>
  </si>
  <si>
    <t>SgK5120--Mai15</t>
  </si>
  <si>
    <t>SgK5120--Jun15</t>
  </si>
  <si>
    <t>SgK5120--Jul15</t>
  </si>
  <si>
    <t>SoK511---Jan15</t>
  </si>
  <si>
    <t>SoK511---Feb15</t>
  </si>
  <si>
    <t>Inbetriebnahme 01/2015</t>
  </si>
  <si>
    <t>Inbetriebnahme 02/2015</t>
  </si>
  <si>
    <t>Inbetriebnahme 03/2015</t>
  </si>
  <si>
    <t>Inbetriebnahme 04/2015</t>
  </si>
  <si>
    <t>Inbetriebnahme 05/2015</t>
  </si>
  <si>
    <t>Inbetriebnahme 06/2015</t>
  </si>
  <si>
    <t>Inbetriebnahme 07/2015</t>
  </si>
  <si>
    <t>SoK511---Mrz15</t>
  </si>
  <si>
    <t>SoK511---Apr15</t>
  </si>
  <si>
    <t>SoK511---Mai15</t>
  </si>
  <si>
    <t>SoK511---Jun15</t>
  </si>
  <si>
    <t>SoK511---Jul15</t>
  </si>
  <si>
    <t>SoK511---Aug15</t>
  </si>
  <si>
    <t>SoK511---Sep15</t>
  </si>
  <si>
    <t>SoK511---Okt15</t>
  </si>
  <si>
    <t>SoK511---Nov15</t>
  </si>
  <si>
    <t>SoK511---Dez15</t>
  </si>
  <si>
    <t>Inbetriebnahme 2015</t>
  </si>
  <si>
    <t>WfK500------15</t>
  </si>
  <si>
    <t>WfK501------15</t>
  </si>
  <si>
    <t>WfK502------15</t>
  </si>
  <si>
    <t>keine Degression bis 2018</t>
  </si>
  <si>
    <t>WnK490------15</t>
  </si>
  <si>
    <t>WnK491------15</t>
  </si>
  <si>
    <t>GeK480------15</t>
  </si>
  <si>
    <t>GrK430------15</t>
  </si>
  <si>
    <t>GrK431------15</t>
  </si>
  <si>
    <t>GrK432------15</t>
  </si>
  <si>
    <t>KlK420------15</t>
  </si>
  <si>
    <t>KlK421------15</t>
  </si>
  <si>
    <t>DeK410------15</t>
  </si>
  <si>
    <t>DeK411------15</t>
  </si>
  <si>
    <t>BiK460------15</t>
  </si>
  <si>
    <t>BiK450------15</t>
  </si>
  <si>
    <t>BiK451------15</t>
  </si>
  <si>
    <t>BiK440------15</t>
  </si>
  <si>
    <t>BiK441------15</t>
  </si>
  <si>
    <t>BiK442------15</t>
  </si>
  <si>
    <t>BiK443------15</t>
  </si>
  <si>
    <t>WaK400------15</t>
  </si>
  <si>
    <t>WaK401------15</t>
  </si>
  <si>
    <t>WaK402------15</t>
  </si>
  <si>
    <t>WaK403------15</t>
  </si>
  <si>
    <t>WaK404------15</t>
  </si>
  <si>
    <t>WaK405------15</t>
  </si>
  <si>
    <t>WaK406------15</t>
  </si>
  <si>
    <t>WaK400M-----15</t>
  </si>
  <si>
    <t>WaK401M-----15</t>
  </si>
  <si>
    <t>WaK402M-----15</t>
  </si>
  <si>
    <t>WaK403M-----15</t>
  </si>
  <si>
    <t>WaK404M-----15</t>
  </si>
  <si>
    <t>WaK405M-----15</t>
  </si>
  <si>
    <t>WaK406M-----15</t>
  </si>
  <si>
    <t>0-0,5 MW, IB vor 01.01.2009, Modernisierung 2015</t>
  </si>
  <si>
    <t>0,5-2 MW, IB vor 01.01.2009, Modernisierung 2015</t>
  </si>
  <si>
    <t>2-5 MW, IB vor 01.01.2009, Modernisierung 2015</t>
  </si>
  <si>
    <t>5-10 MW, IB vor 01.01.2009, Modernisierung 2015</t>
  </si>
  <si>
    <t>10-20 MW, IB vor 01.01.2009, Modernisierung 2015</t>
  </si>
  <si>
    <t>20-50 MW, IB vor 01.01.2009, Modernisierung 2015</t>
  </si>
  <si>
    <t>&gt; 50 MW, IB vor 01.01.2009, Modernisierung 2015</t>
  </si>
  <si>
    <t>aperiodische Vergütung nach § 19 EEG gemäß schriftlichem Nachweis</t>
  </si>
  <si>
    <t>aperiodische Marktprämie nach § 34 EEG gemäß schriftlichem Nachweis</t>
  </si>
  <si>
    <t>5. Anlagen mit Vergütung nach EEG 2014</t>
  </si>
  <si>
    <t>De = Deponiegas</t>
  </si>
  <si>
    <t>Kl = Klärgas</t>
  </si>
  <si>
    <t>Gr = Grubengas</t>
  </si>
  <si>
    <t>Wf = Wind offshore (Windenergie auf See)</t>
  </si>
  <si>
    <t>Wn = Windenergie onshore (Windenergie an Land)</t>
  </si>
  <si>
    <t xml:space="preserve">relevanter Paragraph aus dem EEG 2014: </t>
  </si>
  <si>
    <t xml:space="preserve">40 für Wasserkraft </t>
  </si>
  <si>
    <t>41 für Deponiegas</t>
  </si>
  <si>
    <t>42 für Klärgas</t>
  </si>
  <si>
    <t>43 für Grubengas</t>
  </si>
  <si>
    <t>44 für Biomasse</t>
  </si>
  <si>
    <t>45 für Vergärung von Bioabfällen (Energieträger Biomasse)</t>
  </si>
  <si>
    <t>46 für Vergärung von Gülle (Energieträger Biomasse)</t>
  </si>
  <si>
    <t>48 für Geothermie</t>
  </si>
  <si>
    <t>49 für Windenergie an Land</t>
  </si>
  <si>
    <t>50 für Windenergie auf See</t>
  </si>
  <si>
    <t>51 für Solare Strahlungsenergie</t>
  </si>
  <si>
    <t>25 für Verringerung der Förderung bei Pflichtverstößen</t>
  </si>
  <si>
    <t>35 für Vorrausetzungen der Marktprämie</t>
  </si>
  <si>
    <t>47 für Gemeinsame Bestimmungen für Strom aus Biomassen und Gasen</t>
  </si>
  <si>
    <t>100 für Allgemeine Übergangsbestimmungen</t>
  </si>
  <si>
    <t>101 für Übergansgbestimmungen für Strom aus Biogas</t>
  </si>
  <si>
    <t>Inbetriebnahmejahr (2-stellig) für Vergütungskategorien nach §§ 40 bis 51, die vom Inbetriebnahmejahr abhängig sind</t>
  </si>
  <si>
    <t>Angaben zur Direktvermarktung, z. B. "---SV", "-SO-DV","FLZ" oder "--FLP"</t>
  </si>
  <si>
    <t>Ältere EEG-Vergütungskategorien, die für die Leistungsjahre 2015 und folgende nicht mehr verwendbar sind</t>
  </si>
  <si>
    <t>Einspeisevergütung
in ct/kWh</t>
  </si>
  <si>
    <r>
      <t xml:space="preserve">Solare Strahlungsenergie
</t>
    </r>
    <r>
      <rPr>
        <b/>
        <sz val="10"/>
        <color indexed="8"/>
        <rFont val="Arial"/>
        <family val="2"/>
      </rPr>
      <t xml:space="preserve">
Grund für die Entfernung aus der Tabelle der aktuellen Vergütungskategorien: Die Verwendung dieser Kategorien ist aufgrund offenbar fehlender Anwendbarkeit der Vertrauensschutzregelung § 100 Abs. 3 EEG 2014 nicht möglich. In diesem Zeitraum in Betrieb genommene Anlagen sind mit den Kategorien nach § 51 EEG 2014 zu vergüten.</t>
    </r>
  </si>
  <si>
    <t>Grund für die Entfernung aus der Tabelle der aktuellen Vergütungskategorien: Entfall der Direktvermarktung für Grünstromprivileg mit Einführung des EEG 2014 zum 01.08.2014.</t>
  </si>
  <si>
    <t>Grund für die Entfernung aus der Tabelle der aktuellen Vergütungskategorien: Entfall der Flexibilitätsprämie nach § 33i EEG 2012 mit Einführung des EEG 2014 zum 01.08.2014. Ersatz durch neue Flexibilitätsprämie nach § 54 EEG 2014 mit separater Kategorie für die Stromerzeugung nach dem 31.07.2014.</t>
  </si>
  <si>
    <t>Grund für die Entfernung aus der Tabelle der aktuellen Vergütungskategorien: Entfall der Sanktionstatbestände nach §§ 17, 33f Abs. 3, 33g Abs. 3, 39 Abs. 1 und 2, 56 Abs. 4 und 66 Abs. 1 EEG 2012 mit Ausnahme von § 17 Abs. 1 EEG 2012 mit Einführung des EEG 2014 zum 01.08.2014. Ersatz (außer für entfallene DV für Grünstromprivileg) durch neue Sanktionen nach § 25 und § 35 EEG 2014 mit separaten Kategorien für die Stromerzeugung nach dem 31.07.2014.</t>
  </si>
  <si>
    <t>53 für Flexibilitätszuschlag (nur Biomasseanlagen, Inbetriebnahme ab 01.08.2014)</t>
  </si>
  <si>
    <t>54 für Flexibilitätsprämie (nur Biomasseanlagen, Inbetriebnahme bis 31.07.2014)</t>
  </si>
  <si>
    <t>SgK3221--Aug14</t>
  </si>
  <si>
    <t>SgK3222--Aug14</t>
  </si>
  <si>
    <t>SgK3223--Aug14</t>
  </si>
  <si>
    <t>SgK3221--Sep14</t>
  </si>
  <si>
    <t>SgK3222--Sep14</t>
  </si>
  <si>
    <t>SgK3223--Sep14</t>
  </si>
  <si>
    <t>SgK3221--Okt14</t>
  </si>
  <si>
    <t>SgK3222--Okt14</t>
  </si>
  <si>
    <t>SgK3223--Okt14</t>
  </si>
  <si>
    <t>SgK3221--Nov14</t>
  </si>
  <si>
    <t>SgK3222--Nov14</t>
  </si>
  <si>
    <t>SgK3223--Nov14</t>
  </si>
  <si>
    <t>SgK3221--Dez14</t>
  </si>
  <si>
    <t>SgK3222--Dez14</t>
  </si>
  <si>
    <t>SgK3223--Dez14</t>
  </si>
  <si>
    <t>§ 27 Abs. 7 Satz 1 EEG 2012: Der Vergütungsanspruch nach § 16 EEG 2012 oder § 19 EEG 2014 verringert sich sich auf den tatsächlichen Monatsmittelwert des energieträgerspezifischen Marktwerts (MW), wenn die Voraussetzungen des § 27 Abs. 4 und 5 EEG 2012 nicht nachweislich eingehalten werden.</t>
  </si>
  <si>
    <t xml:space="preserve">Mit dem EEG 2014 wird die geförderte Direktvermarktung nach § 20 Abs. 1 Nr. 1 EEG 2014 (Direktvermarktung im Marktprämienmodell) zum Regelfall erklärt. Die Einspeisung des erzeugten Stroms gegen Zahlung einer festen Einspeisevergütung wird durch § 37 Abs. 2 EEG 2014 auf kleine Neuanlagen (Vergütung nach EEG 2014) begrenzt. In der Praxis kann es vorkommen, dass die Erzeugung einer Anlage nicht direkt vermarktet werden kann, z. B. durch Ausfall des Direktvermarkters. Zur Reduktion des Risikos für den Anlagenbetreiber wird durch § 38 EEG 2014 die Möglichkeit geschaffen, mit einer verkürzten Wechselfrist in oder aus einer besonderen Form der Einspeisevergütung zu wechseln, die hier als Ausfallvermarktung bezeichnet wird. Diese Möglichkeit besteht für alle EEG-Anlagen, also auch Altanlagen (Vergütung nach EEG 2000 bis 2012), für die auch die "normale" Einspeisevergütung nach § 37 EEG 2014 möglich ist, aber längere Wechselfristen erfordert. Um eine Umgehung der Direktvermarktungspflicht und der Wechselfristen zu vermeiden, ist die Ausfallvergütung gegenüber der "normalen" Einspeisevergütung reduziert. </t>
  </si>
  <si>
    <t>Die Strommengen fließen in die Berechnung der Bemessungsleistung, den bundesweiten Belastungsausgleich und die Berechnung der vNNE ein.</t>
  </si>
  <si>
    <t>Die Ausfallvergütung wird für solche Anlagen gemeldet, für die im Allgemeinen die Marktprämienkategorien gemeldet werden. Daher orientieren sich die Kategorien an jenen der Marktprämien-Direktvermarktung. Analog zu diesen werden die eingespeiste Strommengen und sowie die gesamte Ausfallvergütung angegeben. Die Berechnung der Ausfallvergütung erfolgt analog zur Berechnung der "normalen" Einspeisevergütung nach § 37 EEG 2014 mit dem Unterschied, dass die gemäß § 38 Abs. 2 EEG 2014 reduzierte Ausfallvergütung (Spalte H) statt der Einspeisevergütung (Spalte F) zu verwenden ist. Falls mehrere Vergütungskategorien zur Berechnung benutzt werden müssen, wir die Summe aller Kategorien als Ausfallvergütung gemeldet.</t>
  </si>
  <si>
    <t>Die Ausfallvergütung beträgt gemäß § 38 Abs. 2 EEG 2014 nur 80 % des anzulegenden Wertes und ist auf 2 Nachkommastellen gerundet in ct/kWh zu berechnen. Für Anlagen mit einer Vergütung nach EEG 2000 bis 2012 ist der anzulegende Wert diejenige Vergütung, die die Anlage bei der "normalen" Einspeisevergütung nach § 37 EEG 2014 erhalten würde. Es erfolgt keine Erhöhung um die frühere Managementprämie, da § 100 Abs. 1 Nr. 8 EEG 2014 nur für die Berechnung der Marktprämie gültig ist.</t>
  </si>
  <si>
    <t>WaK38-------AV</t>
  </si>
  <si>
    <t>BiK38-------AV</t>
  </si>
  <si>
    <t>GaK38-------AV</t>
  </si>
  <si>
    <t>DeK38-------AV</t>
  </si>
  <si>
    <t>KlK38-------AV</t>
  </si>
  <si>
    <t>GrK38-------AV</t>
  </si>
  <si>
    <t>GeK38-------AV</t>
  </si>
  <si>
    <t>WiK38-------AV</t>
  </si>
  <si>
    <t>WnK38-------AV</t>
  </si>
  <si>
    <t>WrK38-------AV</t>
  </si>
  <si>
    <t>WfK38-------AV</t>
  </si>
  <si>
    <t>SoK38-------AV</t>
  </si>
  <si>
    <t>SgK38-------AV</t>
  </si>
  <si>
    <t>Vergütungsberechnung für Deponiegasanlagen mit Inbetriebnahme ab 01.01.2012</t>
  </si>
  <si>
    <t>Vergütungsberechnung für Grubengasanlagen mit Inbetriebnahme ab 01.01.2012</t>
  </si>
  <si>
    <t>GrK260------12</t>
  </si>
  <si>
    <t>GrK261------12</t>
  </si>
  <si>
    <t>GrK262------12</t>
  </si>
  <si>
    <t>Keine Bonusmöglichkeiten</t>
  </si>
  <si>
    <t>Vergütungsberechnung für Geothermieanlagen mit Inbetriebnahme ab 01.01.2012</t>
  </si>
  <si>
    <t>Grund-
vergütg. § 28 EEG 2012</t>
  </si>
  <si>
    <t>GeK280------12</t>
  </si>
  <si>
    <t>Bonusregel P</t>
  </si>
  <si>
    <t>GeK280P-----12</t>
  </si>
  <si>
    <t>Grund-
vergütg. § 25 EEG 2012</t>
  </si>
  <si>
    <t>Grund-
vergütg. § 26 EEG 2012</t>
  </si>
  <si>
    <t>(bis einschließlich 2017; 5,0 % ab 2018)</t>
  </si>
  <si>
    <t>Degres-sionssatz</t>
  </si>
  <si>
    <t>Vergütungsberechnung für Windenergieanlagen onshore mit Inbetriebnahme ab 01.01.2012</t>
  </si>
  <si>
    <t>Grund-
vergütg. § 29 EEG 2012</t>
  </si>
  <si>
    <t>Grund-
vergütg. § 24 EEG 2012</t>
  </si>
  <si>
    <t>Grund-
vergütg. § 27a EEG 2012</t>
  </si>
  <si>
    <t>Grund-
vergütg. § 27b EEG 2012</t>
  </si>
  <si>
    <t>Grund-
vergütg. § 27 
EEG 2012</t>
  </si>
  <si>
    <t>BiK51aX2K09-01</t>
  </si>
  <si>
    <t>BiK51aX2y---01</t>
  </si>
  <si>
    <t>BiK51aX2KA3y01</t>
  </si>
  <si>
    <t>BiK51aX2K09y01</t>
  </si>
  <si>
    <t>BiK82a1b----06</t>
  </si>
  <si>
    <t>BiK82a1bKWK-06</t>
  </si>
  <si>
    <t>BiK83-------06</t>
  </si>
  <si>
    <t>BiK83KWK----06</t>
  </si>
  <si>
    <t>BiK83a2-----06</t>
  </si>
  <si>
    <t>BiK83a2KWK--06</t>
  </si>
  <si>
    <t>BiK83a3-----06</t>
  </si>
  <si>
    <t>BiK83a3KWK--06</t>
  </si>
  <si>
    <t>BiK83b------06</t>
  </si>
  <si>
    <t>BiK83bKWK---06</t>
  </si>
  <si>
    <t>BiK83a2b----06</t>
  </si>
  <si>
    <t>BiK83a2bKWK-06</t>
  </si>
  <si>
    <t>BiK83a3b----06</t>
  </si>
  <si>
    <t>BiK83a3bKWK-06</t>
  </si>
  <si>
    <t>BiK84-------06</t>
  </si>
  <si>
    <t>BiK84KWK----06</t>
  </si>
  <si>
    <t>BiK85-------06</t>
  </si>
  <si>
    <t>BiK81-------07</t>
  </si>
  <si>
    <t>BiK81KWK----07</t>
  </si>
  <si>
    <t>BiK81a1-----07</t>
  </si>
  <si>
    <t>BiK81a1KWK--07</t>
  </si>
  <si>
    <t>BiK81b------07</t>
  </si>
  <si>
    <t>BiK81bKWK---07</t>
  </si>
  <si>
    <t>BiK81a1b----07</t>
  </si>
  <si>
    <t>BiK81a1bKWK-07</t>
  </si>
  <si>
    <t>BiK82-------07</t>
  </si>
  <si>
    <t>BiK82KWK----07</t>
  </si>
  <si>
    <t>BiK82a1-----07</t>
  </si>
  <si>
    <t>BiK82a1KWK--07</t>
  </si>
  <si>
    <t>BiK82b------07</t>
  </si>
  <si>
    <t>BiK82bKWK---07</t>
  </si>
  <si>
    <t>BiK82a1b----07</t>
  </si>
  <si>
    <t>BiK82a1bKWK-07</t>
  </si>
  <si>
    <t>BiK83-------07</t>
  </si>
  <si>
    <t>BiK83KWK----07</t>
  </si>
  <si>
    <t>BiK83a2-----07</t>
  </si>
  <si>
    <t>BiK83a2KWK--07</t>
  </si>
  <si>
    <t>BiK83a3-----07</t>
  </si>
  <si>
    <t>BiK83a3KWK--07</t>
  </si>
  <si>
    <t>BiK83b------07</t>
  </si>
  <si>
    <t>BiK83bKWK---07</t>
  </si>
  <si>
    <t>BiK83a2b----07</t>
  </si>
  <si>
    <t>Systemdienstleistungs-Bonus</t>
  </si>
  <si>
    <t>"S"</t>
  </si>
  <si>
    <t>Repowering-Bonus</t>
  </si>
  <si>
    <t>WnK290------10</t>
  </si>
  <si>
    <t>WnK290S-----10</t>
  </si>
  <si>
    <t>WnK291------10</t>
  </si>
  <si>
    <t>0,150-0,5 MW, Bonusregeln t3, a1, i</t>
  </si>
  <si>
    <t>0,150-0,5 MW, Bonusregeln t3, a1, i, K</t>
  </si>
  <si>
    <t>BiK270a1i---09</t>
  </si>
  <si>
    <t>BiK270a1iK--09</t>
  </si>
  <si>
    <t>BiK270t1a1i-09</t>
  </si>
  <si>
    <t>BiK270t1a1iK09</t>
  </si>
  <si>
    <t>BiK270t2a1i-09</t>
  </si>
  <si>
    <t>BiK270t2a1iK09</t>
  </si>
  <si>
    <t>BiK270t3a1i-09</t>
  </si>
  <si>
    <t>BiK270t3a1iK09</t>
  </si>
  <si>
    <t>BiK271a1i---09</t>
  </si>
  <si>
    <t>BiK271a1iK--09</t>
  </si>
  <si>
    <t>BiK271t1a1i-09</t>
  </si>
  <si>
    <t>BiK271t1a1iK09</t>
  </si>
  <si>
    <t>BiK271t2a1i-09</t>
  </si>
  <si>
    <t>BiK271t2a1iK09</t>
  </si>
  <si>
    <t>BiK271t3a1i-09</t>
  </si>
  <si>
    <t>BiK271t3a1iK09</t>
  </si>
  <si>
    <t>BiK81y------08</t>
  </si>
  <si>
    <t>BiK81KWKy---08</t>
  </si>
  <si>
    <t>BiK81KA3y---08</t>
  </si>
  <si>
    <t>BiK81K09y---08</t>
  </si>
  <si>
    <t>BiK81a1y----08</t>
  </si>
  <si>
    <t>BiK81a1KWKy-08</t>
  </si>
  <si>
    <t>BiK81a1KA3y-08</t>
  </si>
  <si>
    <t>BiK81a1K09y-08</t>
  </si>
  <si>
    <t>0-1 MW, Bonusregel t3</t>
  </si>
  <si>
    <t>GrK268------09</t>
  </si>
  <si>
    <t>1-5 MW, Bonusregel t3</t>
  </si>
  <si>
    <t>0,150-0,5 MW, Bonusregel t2</t>
  </si>
  <si>
    <t>0,5-5 MW, Bonusregel t2</t>
  </si>
  <si>
    <t>0,150-0,5 MW, Bonusregel t3</t>
  </si>
  <si>
    <t>0,5-5 MW, Bonusregel t3</t>
  </si>
  <si>
    <t>0,150-0,5 MW, Bonusregel a1</t>
  </si>
  <si>
    <t>0,5-5 MW, Bonusregel a2</t>
  </si>
  <si>
    <t>0,5-5 MW, Bonusregel ah</t>
  </si>
  <si>
    <t>SgK3341-----09</t>
  </si>
  <si>
    <t>SgK3342-----09</t>
  </si>
  <si>
    <t>3.  Berechnung der vermiedenen Netzentgelte:</t>
  </si>
  <si>
    <t>Vergütung</t>
  </si>
  <si>
    <t>(Euro)</t>
  </si>
  <si>
    <t>Summe</t>
  </si>
  <si>
    <t>Anteil der gesamten Strom-erzeugung, der der jeweilig. Kategorie zugerechnet wird</t>
  </si>
  <si>
    <t>Strommenge, die der jeweiligen Kategorie zugerechnet wird</t>
  </si>
  <si>
    <t>Aus diesen Angaben ergibt sich folgende Aufteilung der gesamten EEG-Strommenge auf die Vergütungskategorien:</t>
  </si>
  <si>
    <t>vNNe, Spannungsebene: HöS, bis 2008</t>
  </si>
  <si>
    <t>vNNe, Spannungsebene: Hös/HS, bis 2008</t>
  </si>
  <si>
    <t>vNNe, Spannungsebene: HS, bis 2008</t>
  </si>
  <si>
    <t>vNNe, Spannungsebene: HS/MS, bis 2008</t>
  </si>
  <si>
    <t>vNNe, Spannungsebene: MS, bis 2008</t>
  </si>
  <si>
    <t>vNNe, Spannungsebene: MS/NS, bis 2008</t>
  </si>
  <si>
    <t>vNNe, Spannungsebene: NS, bis 2008</t>
  </si>
  <si>
    <t>vNNe, Spannungsebene: HöS, ab 2009</t>
  </si>
  <si>
    <t>SoK320BS-Okt10</t>
  </si>
  <si>
    <t>unveränderter Degressionssatz gültig bei Inbetriebnahme ab 1.10.2010 für Freiflächenanlagen mit Bestandsschutz</t>
  </si>
  <si>
    <t>SoK320---Okt10</t>
  </si>
  <si>
    <t>SoK321---Okt10</t>
  </si>
  <si>
    <t>SgK330---Okt10</t>
  </si>
  <si>
    <t>SgK331---Okt10</t>
  </si>
  <si>
    <t>SgK332---Okt10</t>
  </si>
  <si>
    <t>SgK333---Okt10</t>
  </si>
  <si>
    <t>SgK33410-Okt10</t>
  </si>
  <si>
    <t>wie SgK330---Okt10</t>
  </si>
  <si>
    <t>SgK33420-Okt10</t>
  </si>
  <si>
    <t>SgK33430-Okt10</t>
  </si>
  <si>
    <t>SgK33411-Okt10</t>
  </si>
  <si>
    <t>wie SgK331---Okt10</t>
  </si>
  <si>
    <t>SgK33421-Okt10</t>
  </si>
  <si>
    <t>SgK33431-Okt10</t>
  </si>
  <si>
    <t>SgK33412-Okt10</t>
  </si>
  <si>
    <t>wie SgK332---Okt10</t>
  </si>
  <si>
    <t>SgK33422-Okt10</t>
  </si>
  <si>
    <t>SgK33432-Okt10</t>
  </si>
  <si>
    <t xml:space="preserve">Spannungsebene, in der durch die EEG-Einspeisung Netznutzung vermieden wird. </t>
  </si>
  <si>
    <t>0,150-0,5 MW, Bonusregel i</t>
  </si>
  <si>
    <t>0,150-0,5 MW, Bonusregeln i, K</t>
  </si>
  <si>
    <t>BiK271t1i---09</t>
  </si>
  <si>
    <t>BiK271t1iK--09</t>
  </si>
  <si>
    <t>BiK271t2i---09</t>
  </si>
  <si>
    <t>BiK271t2iK--09</t>
  </si>
  <si>
    <t>0,150-0,5 MW, Bonusregeln t2, i</t>
  </si>
  <si>
    <t>SgK334-SV----0</t>
  </si>
  <si>
    <t>Verringerung auf Null nach § 33 Abs. 4 (Verstoß gegen getrennte Messung)</t>
  </si>
  <si>
    <t>SgK332-MIM-MPM</t>
  </si>
  <si>
    <t>SgK332-MIMeMPM</t>
  </si>
  <si>
    <t>SgK334-----MPM</t>
  </si>
  <si>
    <t>SgK334----eMPM</t>
  </si>
  <si>
    <t>Verringerung der Marktprämie nach § 33 Abs. 4 (Verstoß gegen getrennte Messung)</t>
  </si>
  <si>
    <t>Verringerung der erhöhten Marktprämie nach § 33 Abs. 4 (Verstoß gegen getrennte Messung)</t>
  </si>
  <si>
    <t>Verringerung der Marktprämie auf reguläre Managementprämie nach § 33 Abs. 2 (Überschreitung 90 %)</t>
  </si>
  <si>
    <t>SoK334-----MPM</t>
  </si>
  <si>
    <t>SoK334----eMPM</t>
  </si>
  <si>
    <t>BiK81M1K13--06</t>
  </si>
  <si>
    <t>BiK82M2K13--06</t>
  </si>
  <si>
    <t>BiK81M1K13--07</t>
  </si>
  <si>
    <t>BiK81M1K13y-07</t>
  </si>
  <si>
    <t>BiK82M2K13--07</t>
  </si>
  <si>
    <t>BiK82M2K13y-07</t>
  </si>
  <si>
    <t>BiK83a2K13--07</t>
  </si>
  <si>
    <t>BiK51nX1K13y01</t>
  </si>
  <si>
    <t>BiK51aX2K13y01</t>
  </si>
  <si>
    <t>Sg-vNNe--SpE05</t>
  </si>
  <si>
    <t>Sg-vNNe--SpE06</t>
  </si>
  <si>
    <t>Sg-vNNe--SpE07</t>
  </si>
  <si>
    <t>Bonusbezeichnung</t>
  </si>
  <si>
    <t>Beschreibung</t>
  </si>
  <si>
    <t>Bonushöhe</t>
  </si>
  <si>
    <t>gesetzliche Norm</t>
  </si>
  <si>
    <t>Einschränkung</t>
  </si>
  <si>
    <t xml:space="preserve">Wärmenutzungs-bonus </t>
  </si>
  <si>
    <t>Anteil KWK, erstmals 2009</t>
  </si>
  <si>
    <t>0,150-0,5 MW, Bonusregeln t2, M2, i</t>
  </si>
  <si>
    <t>0,150-0,5 MW, Bonusregeln t2, M2, i, K</t>
  </si>
  <si>
    <t>BiK54a------01</t>
  </si>
  <si>
    <t>BiK54a------02</t>
  </si>
  <si>
    <t>BiK82Gby----07</t>
  </si>
  <si>
    <t>BiK82GbKWKy-07</t>
  </si>
  <si>
    <t>BiK82GbKA3y-07</t>
  </si>
  <si>
    <t>BiK82GbK09y-07</t>
  </si>
  <si>
    <t>BiK82Lb-----07</t>
  </si>
  <si>
    <t>BiK82LbKWK--07</t>
  </si>
  <si>
    <t>BiK82LbKA3--07</t>
  </si>
  <si>
    <t>BiK82LbK09--07</t>
  </si>
  <si>
    <t>BiK82Lby----07</t>
  </si>
  <si>
    <t>BiK82LbKWKy-07</t>
  </si>
  <si>
    <t>BiK82LbKA3y-07</t>
  </si>
  <si>
    <t>BiK82LbK09y-07</t>
  </si>
  <si>
    <t>BiK270t3a1K-09</t>
  </si>
  <si>
    <t>BiK270t3G---09</t>
  </si>
  <si>
    <t>BiK270t3GK--09</t>
  </si>
  <si>
    <t>BiK270t3Gi--09</t>
  </si>
  <si>
    <t>BiK270t3GiK-09</t>
  </si>
  <si>
    <t>BiK270t3L---09</t>
  </si>
  <si>
    <t>BiK270t3LK--09</t>
  </si>
  <si>
    <t>BiK270t3Li--09</t>
  </si>
  <si>
    <t>BiK270t3LiK-09</t>
  </si>
  <si>
    <t>BiK270t3M1--09</t>
  </si>
  <si>
    <t>BiK270t3M1K-09</t>
  </si>
  <si>
    <t>BiK270t3M1i-09</t>
  </si>
  <si>
    <t>BiK270t3M1iK09</t>
  </si>
  <si>
    <t>BiK270t3X1--09</t>
  </si>
  <si>
    <t>BiK270t3X1K-09</t>
  </si>
  <si>
    <t>BiK270t3X1i-09</t>
  </si>
  <si>
    <t>BiK270t3X1iK09</t>
  </si>
  <si>
    <t>BiK271t3----09</t>
  </si>
  <si>
    <t>BiK271t3K---09</t>
  </si>
  <si>
    <t>BiK271t3a1--09</t>
  </si>
  <si>
    <t>BiK271t3a1K-09</t>
  </si>
  <si>
    <t>BiK271t3G---09</t>
  </si>
  <si>
    <t>BiK271t3GK--09</t>
  </si>
  <si>
    <t>BiK271t3Gi--09</t>
  </si>
  <si>
    <t>BiK271t3GiK-09</t>
  </si>
  <si>
    <t>BiK271t3L---09</t>
  </si>
  <si>
    <t>BiK271t3LK--09</t>
  </si>
  <si>
    <t>BiK271t3Li--09</t>
  </si>
  <si>
    <t>BiK271t3LiK-09</t>
  </si>
  <si>
    <t>BiK271t3M2--09</t>
  </si>
  <si>
    <t>BiK271t3M2K-09</t>
  </si>
  <si>
    <t>BiK271t3M2i-09</t>
  </si>
  <si>
    <t>BiK271t3M2iK09</t>
  </si>
  <si>
    <t>BiK271t3X2--09</t>
  </si>
  <si>
    <t>BiK271t3X2K-09</t>
  </si>
  <si>
    <t>BiK271t3X2i-09</t>
  </si>
  <si>
    <t>BiK271t3X2iK09</t>
  </si>
  <si>
    <t>BiK272t3----09</t>
  </si>
  <si>
    <t>BiK272t3K---09</t>
  </si>
  <si>
    <t>BiK272t3a2--09</t>
  </si>
  <si>
    <t>BiK272t3a2K-09</t>
  </si>
  <si>
    <t>BiK272t3ah--09</t>
  </si>
  <si>
    <t>BiK272t3ahK-09</t>
  </si>
  <si>
    <t>DeK243------09</t>
  </si>
  <si>
    <t>WiK101------08</t>
  </si>
  <si>
    <t>WiK102------08</t>
  </si>
  <si>
    <t>WiK103------08</t>
  </si>
  <si>
    <t>WiK104------08</t>
  </si>
  <si>
    <t>SoK81a------01</t>
  </si>
  <si>
    <t>Solar</t>
  </si>
  <si>
    <t>SoK81a------02</t>
  </si>
  <si>
    <t>SoK81a------03</t>
  </si>
  <si>
    <t>SoK111------04</t>
  </si>
  <si>
    <t xml:space="preserve"> 0-30 KW</t>
  </si>
  <si>
    <t>SoK112------04</t>
  </si>
  <si>
    <t xml:space="preserve"> 30-100 KW</t>
  </si>
  <si>
    <t>SoK113------04</t>
  </si>
  <si>
    <t>SoK114------04</t>
  </si>
  <si>
    <t>SoK115------04</t>
  </si>
  <si>
    <t>SoK116------04</t>
  </si>
  <si>
    <t>SoK117------04</t>
  </si>
  <si>
    <t>SoK111------05</t>
  </si>
  <si>
    <t>SoK112------05</t>
  </si>
  <si>
    <t>SoK113------05</t>
  </si>
  <si>
    <t>SoK114------05</t>
  </si>
  <si>
    <t>SoK115------05</t>
  </si>
  <si>
    <t>SoK116------05</t>
  </si>
  <si>
    <t>SoK117------05</t>
  </si>
  <si>
    <t>SoK111------06</t>
  </si>
  <si>
    <t>SoK112------06</t>
  </si>
  <si>
    <t>SoK113------06</t>
  </si>
  <si>
    <t>SoK114------06</t>
  </si>
  <si>
    <t>SoK115------06</t>
  </si>
  <si>
    <t>SoK116------06</t>
  </si>
  <si>
    <t>SoK117------06</t>
  </si>
  <si>
    <t>SoK111------07</t>
  </si>
  <si>
    <t>SoK112------07</t>
  </si>
  <si>
    <t>SoK113------07</t>
  </si>
  <si>
    <t>SoK114------07</t>
  </si>
  <si>
    <r>
      <t>Biogas</t>
    </r>
    <r>
      <rPr>
        <sz val="8"/>
        <rFont val="Arial"/>
        <family val="2"/>
      </rPr>
      <t>: Gülle- + Landsch.pfl.-B. 150 bis 500 kW</t>
    </r>
  </si>
  <si>
    <r>
      <t>Biogas</t>
    </r>
    <r>
      <rPr>
        <sz val="8"/>
        <rFont val="Arial"/>
        <family val="2"/>
      </rPr>
      <t>: Formaldehyd-Bonus bis 500 kW</t>
    </r>
  </si>
  <si>
    <r>
      <t>Gasaufbereitg., 0-350 Normm</t>
    </r>
    <r>
      <rPr>
        <vertAlign val="superscript"/>
        <sz val="8"/>
        <rFont val="Arial"/>
        <family val="2"/>
      </rPr>
      <t>3</t>
    </r>
    <r>
      <rPr>
        <sz val="8"/>
        <rFont val="Arial"/>
        <family val="2"/>
      </rPr>
      <t xml:space="preserve"> (bis 5 MW)</t>
    </r>
  </si>
  <si>
    <r>
      <t>Gasaufbereitg., 350-700 Normm</t>
    </r>
    <r>
      <rPr>
        <vertAlign val="superscript"/>
        <sz val="8"/>
        <rFont val="Arial"/>
        <family val="2"/>
      </rPr>
      <t>3</t>
    </r>
    <r>
      <rPr>
        <sz val="8"/>
        <rFont val="Arial"/>
        <family val="2"/>
      </rPr>
      <t xml:space="preserve"> (bis 5 MW)</t>
    </r>
  </si>
  <si>
    <t>Innovat. Anlagentechnik (bis 5 MW)</t>
  </si>
  <si>
    <t>Grundvergütung 7,79 ct (§ 27 Abs. 1 Nr. 4 EEG 2009) für Lstg.anteil 5-20 MW nicht ohne KWK-Bonus möglich, siehe § 27 Abs. 3 Nr. 1 EEG 2009</t>
  </si>
  <si>
    <t>NaWaRo-Bonusmöglichkeiten nach EEG 2009</t>
  </si>
  <si>
    <t>Technologie-Bonusmöglichkeiten nach EEG 2009</t>
  </si>
  <si>
    <r>
      <t xml:space="preserve">NaWaRo-Bonusmöglichkeiten </t>
    </r>
    <r>
      <rPr>
        <sz val="9"/>
        <rFont val="Arial"/>
        <family val="2"/>
      </rPr>
      <t>(nach EEG 2009, da Anl. 2 für Bestandsanl. gilt)</t>
    </r>
  </si>
  <si>
    <r>
      <t xml:space="preserve">Weitere Nawaro-Bonusregeln G, M1, M2, L, X1, X2: </t>
    </r>
    <r>
      <rPr>
        <sz val="10"/>
        <rFont val="Arial"/>
        <family val="2"/>
      </rPr>
      <t>siehe Erläuterungen unten für Inbetriebnahmejahre ab 2009.</t>
    </r>
  </si>
  <si>
    <t>So-vNNe--SpE03</t>
  </si>
  <si>
    <t>So-vNNe--SpE04</t>
  </si>
  <si>
    <t>So-vNNe--SpE05</t>
  </si>
  <si>
    <t>So-vNNe--SpE06</t>
  </si>
  <si>
    <t>0,150-0,5 MW, Bonusregeln t1, L</t>
  </si>
  <si>
    <t>0,150-0,5 MW, Bonusregeln t1, L, i</t>
  </si>
  <si>
    <t>Altholz-Bonus 500 kW bis 5 MW</t>
  </si>
  <si>
    <t>0,150-0,5 MW, Bonusregeln t2, L</t>
  </si>
  <si>
    <t>0,150-0,5 MW, Bonusregeln t2, L, i</t>
  </si>
  <si>
    <t>0,150-0,5 MW, Bonusregeln t3, L</t>
  </si>
  <si>
    <t>0,150-0,5 MW, Bonusregeln t3, L, i</t>
  </si>
  <si>
    <t>L</t>
  </si>
  <si>
    <r>
      <t>n</t>
    </r>
    <r>
      <rPr>
        <vertAlign val="subscript"/>
        <sz val="11"/>
        <color indexed="8"/>
        <rFont val="Arial"/>
        <family val="2"/>
      </rPr>
      <t>2009</t>
    </r>
    <r>
      <rPr>
        <sz val="11"/>
        <color indexed="8"/>
        <rFont val="Arial"/>
        <family val="2"/>
      </rPr>
      <t xml:space="preserve"> =</t>
    </r>
  </si>
  <si>
    <r>
      <t>W</t>
    </r>
    <r>
      <rPr>
        <vertAlign val="subscript"/>
        <sz val="11"/>
        <color indexed="8"/>
        <rFont val="Arial"/>
        <family val="2"/>
      </rPr>
      <t>2009</t>
    </r>
    <r>
      <rPr>
        <sz val="11"/>
        <color indexed="8"/>
        <rFont val="Arial"/>
        <family val="2"/>
      </rPr>
      <t xml:space="preserve"> =</t>
    </r>
  </si>
  <si>
    <r>
      <t>P</t>
    </r>
    <r>
      <rPr>
        <vertAlign val="subscript"/>
        <sz val="11"/>
        <color indexed="8"/>
        <rFont val="Arial"/>
        <family val="2"/>
      </rPr>
      <t>B,2009</t>
    </r>
    <r>
      <rPr>
        <sz val="11"/>
        <color indexed="8"/>
        <rFont val="Arial"/>
        <family val="2"/>
      </rPr>
      <t xml:space="preserve"> =</t>
    </r>
  </si>
  <si>
    <t>150 / 375 = 40 % der erzeugten Strommenge</t>
  </si>
  <si>
    <t>elektrische Leistung: 400 kW</t>
  </si>
  <si>
    <r>
      <t>n</t>
    </r>
    <r>
      <rPr>
        <vertAlign val="subscript"/>
        <sz val="11"/>
        <color indexed="8"/>
        <rFont val="Arial"/>
        <family val="2"/>
      </rPr>
      <t>2009,vorEEGErzeugung</t>
    </r>
    <r>
      <rPr>
        <sz val="11"/>
        <color indexed="8"/>
        <rFont val="Arial"/>
        <family val="2"/>
      </rPr>
      <t xml:space="preserve"> =</t>
    </r>
  </si>
  <si>
    <r>
      <t>n</t>
    </r>
    <r>
      <rPr>
        <vertAlign val="subscript"/>
        <sz val="11"/>
        <color indexed="8"/>
        <rFont val="Arial"/>
        <family val="2"/>
      </rPr>
      <t>2009,nachStillegung</t>
    </r>
    <r>
      <rPr>
        <sz val="11"/>
        <color indexed="8"/>
        <rFont val="Arial"/>
        <family val="2"/>
      </rPr>
      <t xml:space="preserve"> =</t>
    </r>
  </si>
  <si>
    <t>Anzahl der Stunden von Jahresbeginn 2009 bis zur erstmaligen</t>
  </si>
  <si>
    <t>Erzeugung von Strom aus Erneuerbaren Energien</t>
  </si>
  <si>
    <t>Stilllegung bis zum Ende des Kalenderjahres 2009:</t>
  </si>
  <si>
    <t xml:space="preserve">Anzahl der Stunden im Jahr 2009 von der endgültigen </t>
  </si>
  <si>
    <r>
      <t>Formel für P</t>
    </r>
    <r>
      <rPr>
        <vertAlign val="subscript"/>
        <sz val="11"/>
        <color indexed="8"/>
        <rFont val="Arial"/>
        <family val="2"/>
      </rPr>
      <t>B,i</t>
    </r>
    <r>
      <rPr>
        <sz val="11"/>
        <color indexed="8"/>
        <rFont val="Arial"/>
        <family val="2"/>
      </rPr>
      <t xml:space="preserve"> allgemein (vgl. EEG-Verfahrensbeschreibung):</t>
    </r>
  </si>
  <si>
    <t>40% * 70% =</t>
  </si>
  <si>
    <t>40% * 30% =</t>
  </si>
  <si>
    <t>60% * 70% =</t>
  </si>
  <si>
    <t>60% * 30% =</t>
  </si>
  <si>
    <t>28% von 3.285.000 =</t>
  </si>
  <si>
    <t>12% von 3.285.000 =</t>
  </si>
  <si>
    <t>SoK115------07</t>
  </si>
  <si>
    <t>SoK116------07</t>
  </si>
  <si>
    <t>SoK117------07</t>
  </si>
  <si>
    <t>SoK111------08</t>
  </si>
  <si>
    <t>SoK112------08</t>
  </si>
  <si>
    <t>SoK113------08</t>
  </si>
  <si>
    <t>SoK114------08</t>
  </si>
  <si>
    <t>SoK115------08</t>
  </si>
  <si>
    <t>SoK116------08</t>
  </si>
  <si>
    <t>SoK117------08</t>
  </si>
  <si>
    <t>Wa-vNNe--SpE01</t>
  </si>
  <si>
    <t>vNNe, Spannungsebene: HöS</t>
  </si>
  <si>
    <t>Wa-vNNe--SpE02</t>
  </si>
  <si>
    <t>vNNe, Spannungsebene: Hös/HS</t>
  </si>
  <si>
    <t>nach §8 (4) EEG 2004 (bis 5 MW)</t>
  </si>
  <si>
    <t>nach §8 (3) EEG 2004 (ohne Lstg-Grenze)</t>
  </si>
  <si>
    <t>"b"</t>
  </si>
  <si>
    <t>Technologie-Bonus</t>
  </si>
  <si>
    <t>BiK51aK09y--03</t>
  </si>
  <si>
    <t>BiK51aa1y---03</t>
  </si>
  <si>
    <t>BiK51aa1KA3y03</t>
  </si>
  <si>
    <t>BiK51aa1K09y03</t>
  </si>
  <si>
    <t>BiK51ny-----02</t>
  </si>
  <si>
    <t>BiK51nKA3y--02</t>
  </si>
  <si>
    <t>BiK51nK09y--02</t>
  </si>
  <si>
    <t>BiK51na1y---02</t>
  </si>
  <si>
    <t>BiK51na1KA3y02</t>
  </si>
  <si>
    <t>BiK51na1K09y02</t>
  </si>
  <si>
    <t>BiK51ay-----02</t>
  </si>
  <si>
    <t>BiK51aKA3y--02</t>
  </si>
  <si>
    <t>BiK51aK09y--02</t>
  </si>
  <si>
    <t>BiK51aa1y---02</t>
  </si>
  <si>
    <t>BiK51aa1KA3y02</t>
  </si>
  <si>
    <t>BiK51aa1K09y02</t>
  </si>
  <si>
    <t>BiK51ny-----01</t>
  </si>
  <si>
    <t>BiK51nKA3y--01</t>
  </si>
  <si>
    <t>0,150-0,5 MW, Bonusregeln t3, G, K</t>
  </si>
  <si>
    <t>0,150-0,5 MW, Bonusregeln t3, L, K</t>
  </si>
  <si>
    <t>0,150-0,5 MW, Bonusregeln t2, G</t>
  </si>
  <si>
    <t>0,150-0,5 MW, Bonusregeln t2, G, i</t>
  </si>
  <si>
    <t>0,150-0,5 MW, Bonusregeln t3, a1</t>
  </si>
  <si>
    <t>0,5-5 MW, Bonusregeln t3, a2</t>
  </si>
  <si>
    <t>0,150-0,5 MW, Bonusregeln t3, G</t>
  </si>
  <si>
    <t xml:space="preserve"> 100 KW-1 MW</t>
  </si>
  <si>
    <t>Nawarobonus_allgemein</t>
  </si>
  <si>
    <t>0-0,150 MW; Gülleanteil &gt; 30 %</t>
  </si>
  <si>
    <t>0,150-0,5 MW; Gülleanteil &gt; 30 %</t>
  </si>
  <si>
    <t>0-0,150 MW; Landschaftspflege; Gülleanteil &gt; 30 %</t>
  </si>
  <si>
    <t>BiK81GK13---05</t>
  </si>
  <si>
    <t>BiK82GK13---05</t>
  </si>
  <si>
    <t>BiK83a2K13--05</t>
  </si>
  <si>
    <t>Vergütungsberechnung für Windenergieanlagen onshore Repowering mit Inbetriebnahme ab 01.01.2009</t>
  </si>
  <si>
    <t>WrK300------10</t>
  </si>
  <si>
    <t>WrK300S-----10</t>
  </si>
  <si>
    <t>WrK301------10</t>
  </si>
  <si>
    <t>WfK310------10</t>
  </si>
  <si>
    <t>BiK83b------05</t>
  </si>
  <si>
    <t>BiK83bKWK---05</t>
  </si>
  <si>
    <t>BiK83a2b----05</t>
  </si>
  <si>
    <t>BiK83a2bKWK-05</t>
  </si>
  <si>
    <t>BiK83a3b----05</t>
  </si>
  <si>
    <t>BiK83a3bKWK-05</t>
  </si>
  <si>
    <t>BiK84-------05</t>
  </si>
  <si>
    <t>BiK84KWK----05</t>
  </si>
  <si>
    <t>BiK81-------06</t>
  </si>
  <si>
    <t>BiK81KWK----06</t>
  </si>
  <si>
    <t>BiK81a1-----06</t>
  </si>
  <si>
    <t>BiK81a1KWK--06</t>
  </si>
  <si>
    <t>BiK81b------06</t>
  </si>
  <si>
    <t>BiK81bKWK---06</t>
  </si>
  <si>
    <t>BiK81a1b----06</t>
  </si>
  <si>
    <t>BiK81a1bKWK-06</t>
  </si>
  <si>
    <t>BiK82-------06</t>
  </si>
  <si>
    <t>BiK82KWK----06</t>
  </si>
  <si>
    <t>BiK82a1-----06</t>
  </si>
  <si>
    <t>BiK82a1KWK--06</t>
  </si>
  <si>
    <t>BiK82b------06</t>
  </si>
  <si>
    <t>BiK82bKWK---06</t>
  </si>
  <si>
    <t>BiK81bK09---07</t>
  </si>
  <si>
    <t>BiK81a1bK09-07</t>
  </si>
  <si>
    <t>BiK82K09----07</t>
  </si>
  <si>
    <t>BiK82a1K09--07</t>
  </si>
  <si>
    <t>BiK82bK09---07</t>
  </si>
  <si>
    <t>BiK82a1bK09-07</t>
  </si>
  <si>
    <t>BiK83K09----07</t>
  </si>
  <si>
    <t>BiK83a2K09--07</t>
  </si>
  <si>
    <t>BiK83a3K09--07</t>
  </si>
  <si>
    <t>BiK83bK09---07</t>
  </si>
  <si>
    <t>BiK83a2bK09-07</t>
  </si>
  <si>
    <t>BiK83a3bK09-07</t>
  </si>
  <si>
    <t>BiK84K09----07</t>
  </si>
  <si>
    <t>BiK85K09----07</t>
  </si>
  <si>
    <t>BiK81K09----08</t>
  </si>
  <si>
    <t>BiK81a1K09--08</t>
  </si>
  <si>
    <t>BiK81bK09---08</t>
  </si>
  <si>
    <t>BiK81a1bK09-08</t>
  </si>
  <si>
    <t>BiK82K09----08</t>
  </si>
  <si>
    <t>Wa-vNNe--SpE03</t>
  </si>
  <si>
    <t>vNNe, Spannungsebene: HS</t>
  </si>
  <si>
    <t>Wa-vNNe--SpE04</t>
  </si>
  <si>
    <t>vNNe, Spannungsebene: HS/MS</t>
  </si>
  <si>
    <t>Wa-vNNe--SpE05</t>
  </si>
  <si>
    <t>vNNe, Spannungsebene: MS</t>
  </si>
  <si>
    <t>Wa-vNNe--SpE06</t>
  </si>
  <si>
    <t>vNNe, Spannungsebene: MS/NS</t>
  </si>
  <si>
    <t>Wa-vNNe--SpE07</t>
  </si>
  <si>
    <t>vNNe, Spannungsebene: NS</t>
  </si>
  <si>
    <t>Bi-vNNe--SpE01</t>
  </si>
  <si>
    <t>Bi-vNNe--SpE02</t>
  </si>
  <si>
    <t>Bi-vNNe--SpE03</t>
  </si>
  <si>
    <t>Bi-vNNe--SpE04</t>
  </si>
  <si>
    <t>Bi-vNNe--SpE05</t>
  </si>
  <si>
    <t>Deponiegas, Klärgas, Grubengas (nur t3), Biomasse</t>
  </si>
  <si>
    <t>&lt; 5 MW, 0-350 Normkubikmeter pro Std.</t>
  </si>
  <si>
    <t>&lt; 5 MW, 350-700 Normkubikmeter pro Std.</t>
  </si>
  <si>
    <t>WiK101------07</t>
  </si>
  <si>
    <t>WiK102------07</t>
  </si>
  <si>
    <t>WiK103------07</t>
  </si>
  <si>
    <t>WiK104------07</t>
  </si>
  <si>
    <t>Onshore, Endvergütung, Bonusregel S</t>
  </si>
  <si>
    <t>BiK81M1KWKy-08</t>
  </si>
  <si>
    <t>BiK81M1y----08</t>
  </si>
  <si>
    <t>BiK81M1KA3y-08</t>
  </si>
  <si>
    <t>BiK81M1K09y-08</t>
  </si>
  <si>
    <t>BiK81L------08</t>
  </si>
  <si>
    <t>BiK81LKWK---08</t>
  </si>
  <si>
    <t>BiK81LKA3---08</t>
  </si>
  <si>
    <t>BiK81LK09---08</t>
  </si>
  <si>
    <t>BiK2771----MPM</t>
  </si>
  <si>
    <t>§ 39 Abs. 1 Nr. 1 Halbsatz 2 EEG 2012 n.F.: Soweit die Strommenge, die nach § 33 Abs. 1 EEG 2012 dem Grunde nach in dem Kalenderjahr vergütungsfähig ist (Marktintegrationsmodell), überschritten worden ist, dürfen diese Strommengen nicht bei der Berechnung der Anteile nach § 39 Abs. 1 Nr. 1 Halbsatz 1 berücksichtigt werden.
Diese Strommengen fließen in die Berechnung der vNNE ein, die an den ÜNB zu zahlen sind, in den bundesweiten Belastungsausgleich einfließen und so die EEG-Umlage reduzieren.</t>
  </si>
  <si>
    <t>§ 39 Abs. 2 Satz 2 EEG 2012: Verstößt ein Anlagenbetreiber gegen § 33c Abs. 1 und 2 (Pflichten bei der Direktvermarktung), § 33d Abs. 1 und 2 (Wechsel in Grünstom-Direktvermarktung oder zwischen Grünstom- und anderen Formen der Direktvermarktung) oder § 33f Abs. 1 EEG 2012 (Anteilige Direktvermarktung), darf die im gesamten Kalendermonat nach § 33b Nr. 2 EEG 2012 (Grünstom-Direktvermarktung) direkt vermarktete und erzeugte Strommenge nicht bei der Berechnung der Strommengen nach § 39 Abs. 1 Nr. 1, Buchstaben a und b EEG 2012 angerechnet werden.
Diese Nichtanrechenbarkeit gilt für den gesamten Kalendermonat, in dem dieser Verstoß vorliegt.</t>
  </si>
  <si>
    <t>§ 56 Abs. 4 Nr. 1 EEG 2012: Bei einem Verstoß gegen das Doppelvermarktungsverbot verringert sich der Vergütungsanspruch nach § 16 EEG 2012 auf den tatsächlichen Monatsmittelwert des energieträgerspezifischen Marktwerts (MW) für diejenige Strommenge, die vom Netzbetreiber abgenommen wurde (Halbsatz 1), für sonstige Strommengen verfällt der Vergütungsanspruch (Halbsatz 2).
Die Strommenge fließt in die Berechnung der Bemessungsleistung ein, im Fall der Abnahme des Strommenge durch den Netzbetreiber (Halbsatz 1) auch in die Berechnung der vNNE und den bundesweiten Belastungsausgleich.
Diese Verringerung gilt bis zum Ablauf des sechsten Kalendermonats, der auf die Beendigung des Verstoßes gegen § 56 Abs. 1 bis 3 EEG 2012 folgt.</t>
  </si>
  <si>
    <t>§ 56 Abs. 4 Nr. 2 EEG 2012: Bei einem Verstoß gegen das Doppelvermarktungsverbot entfällt der Anspruch auf die Marktprämie.
Die Strommenge fließt in die Berechnung der Bemessungsleistung und der vNNE ein, nicht jedoch in den bundesweiten Belastungsausgleich.
Der Entfall gilt bis zum Ablauf des sechsten Kalendermonats, der auf die Beendigung des Verstoßes gegen § 56 Abs. 1 bis 3 EEG 2012 folgt.</t>
  </si>
  <si>
    <t>§ 56 Abs. 4 Nr. 3 EEG 2012: Bei einem Verstoß gegen das Doppelvermarktungsverbot darf die direkt vermarktete und erzeugte Strommenge nicht bei der Berechnung der Strommengen nach § 39 Abs. 1 Nr. 1, Buchstaben a und b EEG 2012 angerechnet werden.
Die Strommenge fließt in die Berechnung der Bemessungsleistung und der vNNE ein, nicht jedoch in den bundesweiten Belastungsausgleich.
Diese Nichtanrechenbarkeit gilt bis zum Ablauf des sechsten Kalendermonats, der auf die Beendigung des Verstoßes gegen § 56 Abs. 1 bis 3 EEG 2012 folgt.</t>
  </si>
  <si>
    <t>§ 66 Abs. 1 Nr. 14 EEG 2012: Für jeden Kalendermonat, den ein Anlagenbetreiber nicht den Anforderungen der Systemstabilitätsverordnung (z. B. Umrüstung 50,2 Hz) nachkommt, verringert sich bei Anlagen mit RLM-Messung  der Vergütungs- bzw. Prämienanspruch auf 0; für Anlagen ohne RLM-Messung um ein Zwölftel des im Kalenderjahr entstandenen Vergütungsanspruchs. Letzteres entspricht einem Entfall der Vergütung für ein Zwölftel der Jahresstrommenge pro Kalendermonat.
Bei Vorhandensein einer RLM-Messung können die in den jeweiligen Kalendermonaten erzeugten Energiemengen exakt ermittelt werden. Ohne eine RLM-Messung ist die Strommenge und Vergütungshöhe jeder Vergütungskategorie im Kalenderjahr um ein Zwölftel pro Kalendermonat zu kürzen. In beiden Fällen sind die nicht vergüteten Strommengen in diesen Kategorien zu erfassen.
In den bundesweiten Belastungsausgleich fließen die direkt vermarkteten Strommengen nicht ein. Daher sind diese Strommengen getrennt auszuweisen.</t>
  </si>
  <si>
    <t xml:space="preserve">§ 66 Abs. 21 EEG 2012: Gemäß § 66 Abs. 21 EEG 2012 wird der KWK-Bonus für Biomasse-Anlagen um den Wert kostenlos zugeteilter Berechtigungen nach § 9 Treibhausgas-Emissionshandelsgesetz (TEHG) gekürzt, um eine Doppelförderung durch KWK-Bonus und kostenloser Berechtigungen zu vermeiden und den Anlagenbetreiber kostenneutral zu stellen. Verzichtet der Anlagenbetreiber auf die Antragstellung, werden keine Berechtigungen zugeteilt und es erfolgt kein Abzug.
Der Anlagenbetreiber hat dem Anschlussnetzbetreiber die Anzahl der für das Leistungsjahr kostenlos zugeteilten Berechtigungen bis zum 28. Februar des Folgejahres zu melden. Diese Anzahl ist mit dem Wert jeder Berechtigung im jeweiligen Leistungsjahr zu multiplizieren und mit negativem Vorzeichen als Vergütung dieser Kategorie zu melden. Der Wert der Berechtigung wird vom BMU zum 30. September des Leistungsjahres auf der Basis des volumengewichteten durchschnittlichen Zuschlagswertes der Berechtigungen für die Versteigerungen im zweiten Quartal ermittelt und im elektronischen Bundesanzeiger veröffentlicht.
Für diese Kategorie ist keine Strommenge zu melden. Aufgrund des negativen Vorzeichens der Vergütung reduziert sich die EEG-Vergütung der Anlage, die mit den gewohnten Biomasse-Kategorien einschließlich KWK-Bonus zu melden ist. Die Kategorie wird ausschließlich im Rahmen der Jahresmeldung verwendet. Es erfolgen keine monatlichen Abschläge.
Die kostenlosen Berechtigungen werden auf Antrag des Anlagenbetreibers erstmals für das Jahr 2013 zugeteilt. Diese Kategorie wird damit erstmals für die EEG-Jahresmeldung 2013 verwendet. </t>
  </si>
  <si>
    <t>Diese Vergütungskategorientabelle wird durch die vier deutschen Übertragungsnetzbetreiber (ÜNB) gemeinsam erstellt und bei Bedarf aktualisiert.</t>
  </si>
  <si>
    <t>Die hier festgelegten Kategorien dienen der Datenmeldung der ÜNB an die BNetzA und der Erfüllung der Veröffentlichungspflichten der ÜNB sowie der monatlichen und jährlichen Datenmeldung der abnahme- und vergütungspflichigen Netzbetreiber (avNB) an die ÜNB. Die Beschreibungen der Kategorien gewährleisten einerseits die korrekte Auswahl der Kategorie, andererseits versetzen sie die Öffentlichkeit in die Lage, die Transparenzveröffentlichungen zu verstehen. Die Kenntnis aller EEG-Versionen und -Novellen in ihren Grundzügen muss vorausgesetzt werden.</t>
  </si>
  <si>
    <t>Sollten hier ausgewiesene Vergütungssätze zu hoch sein, erwächst weder für den Anlagenbetreiber noch den Anschluss-Netzbetreiber ein Rechtsanspruch oder Vertrauensschutz auf eine höhere als die gesetzliche Vergütung. Zuviel ausgezahlte Vergütungen sind entsprechend zurückzuerstatten.</t>
  </si>
  <si>
    <t>Auch wenn entsprechend der Gesetzesbegründung zum § 26 EEG 2014 keine Zweifel bestehen, dass das Abschmelzen der Vermarktungskosten wie auch die Rundungseffekte nicht der Absicht des Gesetzgebers entspechen, wird in dieser Tabelle die Berechnung gemäß Wortlaut des § 37 EEG 2014 vorgenommen. Damit wird der Vorgehensweise der BNetzA gefolgt (vgl. Veröffentlichung der EEG-Vergütungssätze für August und September 2014 für Solar-Anlagen)</t>
  </si>
  <si>
    <t>Mit dem EEG 2014 werden neue Vergütungs- und Sanktionstatbestände geschaffen, die eine Erweiterung um zusätzliche Vergütungskategorien erfordern. Die Vergütung wird für die einzelnen Energieträger in den Paragraphen § 40 (Wasserkraft) bis § 55 (Solar-Freiflächen) geregelt. Diese Paragraphen liegen in einem bislang nicht genutzten Bereich, so dass die Systematik der Katgorienbezeichnung mit dem Paragraphen an der Stelle 4 und 5 beibehalten werden kann, ohne zu Überschneidungen zu führen. Die neuen Kategorien sind innerhalb der Tabelle jeweils unterhalb der bisherigen 2014er Kategorien des gleichen Energieträgers einsortiert. Kategorien für Tatbestände, die es auch schon unter dem EEG 2012 gab (z. B. Direktvermarktung oder nicht vergüteter Selbstverbrauch), bleiben auch weiterhin verwendbar, auch wenn die Paragraphennummern im EEG 2014 abweichend sind.</t>
  </si>
  <si>
    <t>Darüber hinaus sind aber grundsätzliche Änderungen der Tabelle aufgrund der neu eingeführten Unterscheidung zwischen anzulegender Wert (§ 23 EEG 2014), Einspeisevergütung (§ 37 EEG 2014) und Ausfallvergütung (§ 38 EEG 2014) erforderlich, die sich unter anderem aus der getrennt zu erfolgenden Rundung auf zwei Nachkommastellen ergeben. Daher werden in dieser Tabelle alle drei Werte getrennt ausgewiesen.</t>
  </si>
  <si>
    <t xml:space="preserve">Wie bei früheren EEG-Novellen beinhaltet auch das EEG 2014 im § 100 Abs. 3 einen Vertrauensschutztatbestand für Anlagen, die zwischen 01.08.2014 und 31.12.2014 in Betrieb genommen worden sind. Diese sind noch nach dem EEG 2012 zu vergüten, wenn bestimmte Bedingungen eingehalten worden sind, die jedoch sehr allgemein gehalten sind. </t>
  </si>
  <si>
    <t>BiK81GbK13y-04</t>
  </si>
  <si>
    <t>BiK82GbK13y-04</t>
  </si>
  <si>
    <t>BiK83a2bK13-04</t>
  </si>
  <si>
    <t>BiK84K13----04</t>
  </si>
  <si>
    <t xml:space="preserve">Die summierte Strommenge von 120.000 kWh entspricht der tatsächlichen Netzeinspeisung. </t>
  </si>
  <si>
    <t>Diese Strommenge ist bei der Berechnung der vermiedenen Netzentgelte zugrunde zu legen.</t>
  </si>
  <si>
    <t>BiK83a2K09--08</t>
  </si>
  <si>
    <t>BiK83a3K09--08</t>
  </si>
  <si>
    <t>BiK83bK09---08</t>
  </si>
  <si>
    <t>BiK83a2bK09-08</t>
  </si>
  <si>
    <t>BiK83a3bK09-08</t>
  </si>
  <si>
    <t>BiK84K09----08</t>
  </si>
  <si>
    <t>BiK85K09----08</t>
  </si>
  <si>
    <t>BiK81G------08</t>
  </si>
  <si>
    <t>BiK81GKWK---08</t>
  </si>
  <si>
    <t>BiK81GKA3---08</t>
  </si>
  <si>
    <t>BiK81GK09---08</t>
  </si>
  <si>
    <t>BiK81a1KA3y-06</t>
  </si>
  <si>
    <t>BiK81a1K09y-06</t>
  </si>
  <si>
    <t>BiK81by-----06</t>
  </si>
  <si>
    <t>BiK81bKWKy--06</t>
  </si>
  <si>
    <t>BiK81bKA3y--06</t>
  </si>
  <si>
    <t>BiK81bK09y--06</t>
  </si>
  <si>
    <t>BiK81a1by---06</t>
  </si>
  <si>
    <t>BiK81a1bKWKy06</t>
  </si>
  <si>
    <t>BiK81a1bKA3y06</t>
  </si>
  <si>
    <t>BiK81a1bK09y06</t>
  </si>
  <si>
    <t>BiK82y------06</t>
  </si>
  <si>
    <t>BiK82KWKy---06</t>
  </si>
  <si>
    <t>BiK82KA3y---06</t>
  </si>
  <si>
    <t>BiK82K09y---06</t>
  </si>
  <si>
    <t>BiK82a1y----06</t>
  </si>
  <si>
    <t>BiK82a1KWKy-06</t>
  </si>
  <si>
    <t>BiK82a1KA3y-06</t>
  </si>
  <si>
    <t>BiK82a1K09y-06</t>
  </si>
  <si>
    <t>BiK82by-----06</t>
  </si>
  <si>
    <t>BiK82bKWKy--06</t>
  </si>
  <si>
    <t>BiK82bKA3y--06</t>
  </si>
  <si>
    <t>BiK82bK09y--06</t>
  </si>
  <si>
    <t>BiK82a1by---06</t>
  </si>
  <si>
    <t>BiK82a1bKWKy06</t>
  </si>
  <si>
    <t>BiK82L------04</t>
  </si>
  <si>
    <t>BiK82LKWK---04</t>
  </si>
  <si>
    <t>BiK82LKA3---04</t>
  </si>
  <si>
    <t>BiK82LK09---04</t>
  </si>
  <si>
    <t>BiK82Ly-----04</t>
  </si>
  <si>
    <t>BiK82LKWKy--04</t>
  </si>
  <si>
    <t>BiK82LKA3y--04</t>
  </si>
  <si>
    <t>BiK82LK09y--04</t>
  </si>
  <si>
    <t>BiK82X2-----04</t>
  </si>
  <si>
    <t>BiK82X2KWK--04</t>
  </si>
  <si>
    <t>BiK82X2KA3--04</t>
  </si>
  <si>
    <t>BiK82X2K09--04</t>
  </si>
  <si>
    <t>BiK82-------04</t>
  </si>
  <si>
    <t xml:space="preserve"> 0,15-0,5 MW</t>
  </si>
  <si>
    <t>BiK82KWK----04</t>
  </si>
  <si>
    <t>BiK82a1-----04</t>
  </si>
  <si>
    <t>BiK82a1KWK--04</t>
  </si>
  <si>
    <t xml:space="preserve">Abzug nach § 33 (2) Nr. 1;  Eigenverbrauchs-Vergütung für diesen Anteil: </t>
  </si>
  <si>
    <t xml:space="preserve">Abzug nach § 33 (2) Nr. 2;  Eigenverbrauchs-Vergütung für diesen Anteil: </t>
  </si>
  <si>
    <t>erstmals KWK in 2009</t>
  </si>
  <si>
    <t>"KWK"</t>
  </si>
  <si>
    <t>"KA3"</t>
  </si>
  <si>
    <t>"K09"</t>
  </si>
  <si>
    <t>x</t>
  </si>
  <si>
    <t>"y"</t>
  </si>
  <si>
    <t>"a1"</t>
  </si>
  <si>
    <t>"a2"</t>
  </si>
  <si>
    <t>allg. Nawaro-Bonus bis 500 kW</t>
  </si>
  <si>
    <t>"ah"</t>
  </si>
  <si>
    <t>"G"</t>
  </si>
  <si>
    <t>"M1"="G"+4ct/kWh</t>
  </si>
  <si>
    <t>"M2"="G"+1ct/kWh</t>
  </si>
  <si>
    <t>"L"="G"+2ct/kWh</t>
  </si>
  <si>
    <t>"X2"= "M2"+"L"</t>
  </si>
  <si>
    <t>"X1"= "M1"+"L"</t>
  </si>
  <si>
    <t>allg. Nawaro-Bonus 500 kW bis 5 MW</t>
  </si>
  <si>
    <t>"t2"</t>
  </si>
  <si>
    <t>"t3"</t>
  </si>
  <si>
    <t>"t1"</t>
  </si>
  <si>
    <t>"K"</t>
  </si>
  <si>
    <t>"i"</t>
  </si>
  <si>
    <t>Vergütungsberechnung für Anlagen mit Inbetriebnahmejahr 2009</t>
  </si>
  <si>
    <t>BiK270t1Li--09</t>
  </si>
  <si>
    <t>BiK270t1LiK-09</t>
  </si>
  <si>
    <t>BiK271t1Li--09</t>
  </si>
  <si>
    <t>BiK271t1LiK-09</t>
  </si>
  <si>
    <t>BiK270t1X1i-09</t>
  </si>
  <si>
    <t>BiK270t1X1iK09</t>
  </si>
  <si>
    <t>BiK271t1X2i-09</t>
  </si>
  <si>
    <t>BiK271t1X2iK09</t>
  </si>
  <si>
    <t>BiK270t2a1--09</t>
  </si>
  <si>
    <t>BiK270t2a1K-09</t>
  </si>
  <si>
    <t>BiK271t2a1--09</t>
  </si>
  <si>
    <t>BiK271t2a1K-09</t>
  </si>
  <si>
    <t>BiK272t2a2--09</t>
  </si>
  <si>
    <t>BiK272t2a2K-09</t>
  </si>
  <si>
    <t>BiK272t2ah--09</t>
  </si>
  <si>
    <t>BiK272t2ahK-09</t>
  </si>
  <si>
    <t>BiK270t2G---09</t>
  </si>
  <si>
    <t>Selbstverbrauch</t>
  </si>
  <si>
    <t>SgK171-SV----0</t>
  </si>
  <si>
    <t>BiK81GKWK---05</t>
  </si>
  <si>
    <t>BiK81GKA3---05</t>
  </si>
  <si>
    <t>BiK81GK09---05</t>
  </si>
  <si>
    <t>BiK81Gy-----05</t>
  </si>
  <si>
    <t>BiK81GKWKy--05</t>
  </si>
  <si>
    <t>BiK81Gb-----08</t>
  </si>
  <si>
    <t>BiK81GbKWK--08</t>
  </si>
  <si>
    <t>BiK81GbKA3--08</t>
  </si>
  <si>
    <t>BiK81GbK09--08</t>
  </si>
  <si>
    <t>BiK81Gby----08</t>
  </si>
  <si>
    <t>BiK81GbKWKy-08</t>
  </si>
  <si>
    <t>BiK81GbKA3y-08</t>
  </si>
  <si>
    <t>BiK81GbK09y-08</t>
  </si>
  <si>
    <t>Für diese Strommengen wird keine EEG-Vergütung an den Anlagenbetreiber gezahlt.</t>
  </si>
  <si>
    <t>WaK33a2-----SV</t>
  </si>
  <si>
    <t>Strommenge ohne EEG-Vergütung, durch Anlagenbetreiber oder durch Dritte verbraucht</t>
  </si>
  <si>
    <t>BiK33a2-----SV</t>
  </si>
  <si>
    <t>GaK33a2-----SV</t>
  </si>
  <si>
    <t>DeK33a2-----SV</t>
  </si>
  <si>
    <t>KlK33a2-----SV</t>
  </si>
  <si>
    <t>GrK33a2-----SV</t>
  </si>
  <si>
    <t>GeK33a2-----SV</t>
  </si>
  <si>
    <t>WiK33a2-----SV</t>
  </si>
  <si>
    <t>WnK33a2-----SV</t>
  </si>
  <si>
    <t>WrK33a2-----SV</t>
  </si>
  <si>
    <t>WfK33a2-----SV</t>
  </si>
  <si>
    <t>SoK33a2-----SV</t>
  </si>
  <si>
    <t>SgK33a2-----SV</t>
  </si>
  <si>
    <t>Die nachfolgenden Kategorien dienen primär der Datenmeldung der ÜNB an die BNetzA und der Transparenz-Veröffentlichungen der ÜNB.</t>
  </si>
  <si>
    <t>BiK51nG-----03</t>
  </si>
  <si>
    <t>BiK51nGKA3--03</t>
  </si>
  <si>
    <t>BiK51nGK09--03</t>
  </si>
  <si>
    <t>BiK51nGy----03</t>
  </si>
  <si>
    <t>BiK51nGKA3y-03</t>
  </si>
  <si>
    <t>BiK51nGK09y-03</t>
  </si>
  <si>
    <t>BiK51nM1----03</t>
  </si>
  <si>
    <t>BiK51nM1KA3-03</t>
  </si>
  <si>
    <t>BiK51nM1K09-03</t>
  </si>
  <si>
    <t>BiK51nM1y---03</t>
  </si>
  <si>
    <t>BiK51nM1KA3y03</t>
  </si>
  <si>
    <t>BiK51nM1K09y03</t>
  </si>
  <si>
    <t>BiK51nL-----03</t>
  </si>
  <si>
    <t>BiK51nLKA3--03</t>
  </si>
  <si>
    <t>BiK51nLK09--03</t>
  </si>
  <si>
    <t>BiK51nLy----03</t>
  </si>
  <si>
    <t>BiK51nLKA3y-03</t>
  </si>
  <si>
    <t>BiK51nLK09y-03</t>
  </si>
  <si>
    <t>BiK51nX1----03</t>
  </si>
  <si>
    <t>BiK51nX1KA3-03</t>
  </si>
  <si>
    <t>BiK51nX1K09-03</t>
  </si>
  <si>
    <t>BiK51nX1y---03</t>
  </si>
  <si>
    <t>BiK51nX1KA3y03</t>
  </si>
  <si>
    <t>BiK51nX1K09y03</t>
  </si>
  <si>
    <t>BiK51aG-----03</t>
  </si>
  <si>
    <t>BiK51aGKA3--03</t>
  </si>
  <si>
    <t>BiK51aGK09--03</t>
  </si>
  <si>
    <t>BiK51aGy----03</t>
  </si>
  <si>
    <t>BiK51aGKA3y-03</t>
  </si>
  <si>
    <t>BiK51aGK09y-03</t>
  </si>
  <si>
    <t>BiK51aM2----03</t>
  </si>
  <si>
    <t>BiK51aM2KA3-03</t>
  </si>
  <si>
    <t>BiK51aM2K09-03</t>
  </si>
  <si>
    <t xml:space="preserve"> 0-30 KW, Rückvergütung für Selbstverbrauch über 30% der Gesamterzeugung der Anlage</t>
  </si>
  <si>
    <t xml:space="preserve"> 30-100 KW, Rückvergütung für Selbstverbrauch über 30% der Gesamterzeugung der Anlage</t>
  </si>
  <si>
    <t xml:space="preserve"> 100-500 KW, Rückvergütung für Selbstverbrauch über 30% der Gesamterzeugung der Anlage</t>
  </si>
  <si>
    <t>Photovoltaikanlage an oder auf Gebäude, Inbetriebnahme im Juli 2010</t>
  </si>
  <si>
    <t>elektrische Leistung: 200 kW</t>
  </si>
  <si>
    <r>
      <t xml:space="preserve">Der </t>
    </r>
    <r>
      <rPr>
        <b/>
        <sz val="11"/>
        <color indexed="8"/>
        <rFont val="Arial"/>
        <family val="2"/>
      </rPr>
      <t>Leistungszone 0-30 kW</t>
    </r>
    <r>
      <rPr>
        <sz val="11"/>
        <color indexed="8"/>
        <rFont val="Arial"/>
        <family val="2"/>
      </rPr>
      <t xml:space="preserve"> werden zugerechnet:</t>
    </r>
  </si>
  <si>
    <t>Bei Photovoltaikanlagen erfolgt die Aufteilung der Einspeisung auf die Leistungszone entsprechend der installierten Leistung.</t>
  </si>
  <si>
    <t>30 / 200 = 15 % der erzeugten und selbstverbrauchten Strommenge</t>
  </si>
  <si>
    <t xml:space="preserve">Einspeisung ins Netz: </t>
  </si>
  <si>
    <t>30.000 kWh</t>
  </si>
  <si>
    <t>Selbstverbrauch:</t>
  </si>
  <si>
    <t>18.000 kWh</t>
  </si>
  <si>
    <t>12.000 kWh</t>
  </si>
  <si>
    <r>
      <t xml:space="preserve">Der </t>
    </r>
    <r>
      <rPr>
        <b/>
        <sz val="11"/>
        <color indexed="8"/>
        <rFont val="Arial"/>
        <family val="2"/>
      </rPr>
      <t>Leistungszone 30-100 kW</t>
    </r>
    <r>
      <rPr>
        <sz val="11"/>
        <color indexed="8"/>
        <rFont val="Arial"/>
        <family val="2"/>
      </rPr>
      <t xml:space="preserve"> werden zugerechnet:</t>
    </r>
  </si>
  <si>
    <t>70 / 200 = 35 % der erzeugten und selbstverbrauchten Strommenge</t>
  </si>
  <si>
    <t>70.000 kWh</t>
  </si>
  <si>
    <t>42.000 kWh</t>
  </si>
  <si>
    <t>28.000 kWh</t>
  </si>
  <si>
    <r>
      <t xml:space="preserve">Der </t>
    </r>
    <r>
      <rPr>
        <b/>
        <sz val="11"/>
        <color indexed="8"/>
        <rFont val="Arial"/>
        <family val="2"/>
      </rPr>
      <t>Leistungszone 100-1000 kW</t>
    </r>
    <r>
      <rPr>
        <sz val="11"/>
        <color indexed="8"/>
        <rFont val="Arial"/>
        <family val="2"/>
      </rPr>
      <t xml:space="preserve"> werden zugerechnet:</t>
    </r>
  </si>
  <si>
    <t>100.000 kWh</t>
  </si>
  <si>
    <t>60.000 kWh</t>
  </si>
  <si>
    <t>40.000 kWh</t>
  </si>
  <si>
    <t xml:space="preserve">davon </t>
  </si>
  <si>
    <t>9.000 kWh</t>
  </si>
  <si>
    <t>3.000 kWh</t>
  </si>
  <si>
    <t>21.000 kWh</t>
  </si>
  <si>
    <t>7.000 kWh</t>
  </si>
  <si>
    <t>10.000 kWh</t>
  </si>
  <si>
    <t>1. Aufteilung auf die Leistungszonen</t>
  </si>
  <si>
    <t>2. Vergütungskategorien</t>
  </si>
  <si>
    <t>Gesamterzeugung:</t>
  </si>
  <si>
    <t>bis 30 % Gesamterzeugung:</t>
  </si>
  <si>
    <t>über 30 % Gesamterzeugung:</t>
  </si>
  <si>
    <t>Rest: 100 / 200 = 50 % der erzeugten und selbstverbrauchten Strommenge</t>
  </si>
  <si>
    <t>Beschreibung der Vergütungskategorie</t>
  </si>
  <si>
    <t>4. Im Allgemeinen beginnen alle für eine EEG-Anlage zu verwendenden Kategorien (Vergütung, vNNE, Direktvermarktung, Sanktionen) mit</t>
  </si>
  <si>
    <t xml:space="preserve">    Bei Bedarf können auch Kategorien für Direktvermarktung und gekürzte Vergütung (Sanktionen) hinzukommen.</t>
  </si>
  <si>
    <t xml:space="preserve">    auf die einzelnen Vergütungskategorien und damit die durchschnittliche Vergütung jährlich verändern.</t>
  </si>
  <si>
    <t xml:space="preserve">    den gleichen 2 Buchstaben für den Energieträger, z. B. "Sg" für PV-Anlagen an oder auf Gebäuden mit Inbetriebnahme ab 2009.</t>
  </si>
  <si>
    <t xml:space="preserve">relevanter Paragraph aus dem EEG 2012: </t>
  </si>
  <si>
    <t>27a für Vergärung von Bioabfällen (Energieträger Biomasse)</t>
  </si>
  <si>
    <t>27b für Vergärung von Gülle (Energieträger Biomasse)</t>
  </si>
  <si>
    <t xml:space="preserve">Stellen 4-5, teils 4-6 </t>
  </si>
  <si>
    <t xml:space="preserve">17 für Verringerung des Vergütungsanspruchs (alle Energieträger) </t>
  </si>
  <si>
    <t>33b für Direktvermarktung (alle Energieträger)</t>
  </si>
  <si>
    <t>33i für Flexibiltätsprämie (Energieträger Biomasse)</t>
  </si>
  <si>
    <t>Stelle 5 (Wa, Ga, Bi, Ge) bzw. 6 (Wind, Solar)</t>
  </si>
  <si>
    <t xml:space="preserve">Stellen 6 bis 12 (Biomasse) </t>
  </si>
  <si>
    <t xml:space="preserve">Angabe der Vergütungsboni bei Biomasseanlagen </t>
  </si>
  <si>
    <t xml:space="preserve">Stellen 6 bis 7 (Geothermie) </t>
  </si>
  <si>
    <t>Angabe der Vergütungsboni bei Geothermieanlagen :</t>
  </si>
  <si>
    <t xml:space="preserve">Die Bonustypen sind miteinander kombinierbar. </t>
  </si>
  <si>
    <t>Angabe des Systemdienstleistungs-Bonus (SDL-Bonus):</t>
  </si>
  <si>
    <t xml:space="preserve">„S“ bei Vorliegen der Voraussetzungen für den SDL-Bonus </t>
  </si>
  <si>
    <t xml:space="preserve">1. Biomasseanlagen mit Inbetriebnahme bis Ende 2003 </t>
  </si>
  <si>
    <t xml:space="preserve">und alle anderen Anlagen mit Inbetriebnahme bis Juli 2004 </t>
  </si>
  <si>
    <t>und alle anderen Anlagen des Inbetriebnahmezeitraums August 2004 bis Ende 2008</t>
  </si>
  <si>
    <t>2. Biomasseanlagen des Inbetriebnahmezeitraums Januar 2004 bis Ende 2008</t>
  </si>
  <si>
    <t>3. Anlagen mit Vergütung nach EEG 2009</t>
  </si>
  <si>
    <t xml:space="preserve">Energieart:  </t>
  </si>
  <si>
    <t xml:space="preserve">relevanter Paragraph aus dem EEG 2009: </t>
  </si>
  <si>
    <t xml:space="preserve">23 für Wasserkraft </t>
  </si>
  <si>
    <t>Angabe der Vergütungsboni:</t>
  </si>
  <si>
    <t xml:space="preserve">fortlaufende Nummer (i.d.R. entsprechende(r) Satz/ Ziffer innerhalb des Paragraphen zur Angabe der einzelnen Vergütungszone </t>
  </si>
  <si>
    <t>bzw. zur Darstellung weiterer vergütungsrelevanter Angaben:</t>
  </si>
  <si>
    <t>oder anderer vergütungsrelevanter Angaben:</t>
  </si>
  <si>
    <t xml:space="preserve">fortlaufende Nummer (i.d.R. entsprechende(r) Satz/ Ziffer innerhalb des Paragraphen) zur Darstellung der jeweiligen Vergütungszone </t>
  </si>
  <si>
    <t xml:space="preserve">Stelle 7-8 (Biomasse) </t>
  </si>
  <si>
    <t xml:space="preserve">Stellen 7-8 (Geothermie) </t>
  </si>
  <si>
    <t xml:space="preserve">Stelle 7 (Windenergie)  </t>
  </si>
  <si>
    <t xml:space="preserve">Stelle 7 (Windenergie) </t>
  </si>
  <si>
    <t>Energieart (Kürzel vgl. oben)</t>
  </si>
  <si>
    <t>Folgende Grundsätze sind bei der Zuordnung einer EEG-Anlage zu den Vergütungskategorien ist zu bedenken:</t>
  </si>
  <si>
    <t xml:space="preserve">1. Jede Anlage fällt in verschiedene Vergütungskategorien, sobald ihre Bemessungsleistung nach § 18 Abs. 2 EEG (vgl. Abschnitt ‎5.1.3) oder </t>
  </si>
  <si>
    <t xml:space="preserve">    der erzeugten Arbeit einen Bonus in Anspruch nehmen kann.</t>
  </si>
  <si>
    <t>- Wegfall von Bonusvoraussetzungen (z. B. kein Einsatz von NaWaRo-fähigen Stoffen mehr bei Biomasseanlagen)</t>
  </si>
  <si>
    <t xml:space="preserve">   für bestehende Biomasseanlagen oder vollständige Neueinführung einer Vergütungszone, siehe Biomasse bis </t>
  </si>
  <si>
    <t xml:space="preserve">   Inbetriebnahmejahr 2003 – in der Vergütungskategorientabelle grün hinterlegt)</t>
  </si>
  <si>
    <t>- Wechsel von der höheren Anfangsvergütung in die Endvergütung bei Windenergieanlagen</t>
  </si>
  <si>
    <t>Stromerzeugung erfolgt zu 30% in KWK-Betrieb, Anforderungen der Anlage 3 zum EEG werden erfüllt</t>
  </si>
  <si>
    <t>0,150-0,5 MW, Bonusregel G</t>
  </si>
  <si>
    <t>Grund-
vergütg. Nach EEG 2004</t>
  </si>
  <si>
    <t>Vergütungsberechnung für Geothermieanlagen mit Inbetriebnahme bis 31.12.2008</t>
  </si>
  <si>
    <t>Frühstarterbonus §28 (1a)  EEG 2009</t>
  </si>
  <si>
    <t>keine Bezeichnung</t>
  </si>
  <si>
    <t>"W"</t>
  </si>
  <si>
    <t>petrothermale Techniken</t>
  </si>
  <si>
    <t>"P"</t>
  </si>
  <si>
    <t>Bonusmöglichkeiten</t>
  </si>
  <si>
    <t>GeK91W------08</t>
  </si>
  <si>
    <t>GeK91P------08</t>
  </si>
  <si>
    <t>GeK91WP-----08</t>
  </si>
  <si>
    <t>GeK92W------08</t>
  </si>
  <si>
    <t>GeK92P------08</t>
  </si>
  <si>
    <t>GeK92WP-----08</t>
  </si>
  <si>
    <t xml:space="preserve"> 5-10 MW, Bonusregel W</t>
  </si>
  <si>
    <t xml:space="preserve"> 5-10 MW, Bonusregel P</t>
  </si>
  <si>
    <t xml:space="preserve"> 5-10 MW, Bonusregeln W, P</t>
  </si>
  <si>
    <t>Bonushöhe bei Inbetriebnahme in 2011</t>
  </si>
  <si>
    <t>außer versiegelte bzw. Konversionsflächen (§ 32 Abs. 3 Nr. 1 und 2)</t>
  </si>
  <si>
    <t>Grundvergütung 7,63 ct (7,79ct*0,99^2, siehe § 27 Abs. 1 Nr. 4 EEG 2009) für Lstg.anteil 5-20 MW nicht ohne KWK-Bonus möglich, siehe § 27 Abs. 3 Nr. 1 EEG 2009</t>
  </si>
  <si>
    <t>BiK82Lb-----06</t>
  </si>
  <si>
    <t>BiK82LbKWK--06</t>
  </si>
  <si>
    <t>BiK82LbKA3--06</t>
  </si>
  <si>
    <t>BiK82LbK09--06</t>
  </si>
  <si>
    <t>BiK82Lby----06</t>
  </si>
  <si>
    <t>BiK82LbKWKy-06</t>
  </si>
  <si>
    <t>BiK82LbKA3y-06</t>
  </si>
  <si>
    <t>BiK82LbK09y-06</t>
  </si>
  <si>
    <t>BiK81G------05</t>
  </si>
  <si>
    <t>BiK271t3LiK-10</t>
  </si>
  <si>
    <t>BiK271t3M2--10</t>
  </si>
  <si>
    <t>BiK271t3M2K-10</t>
  </si>
  <si>
    <t>BiK271t3M2i-10</t>
  </si>
  <si>
    <t>BiK271t3M2iK10</t>
  </si>
  <si>
    <t>BiK271t3X2--10</t>
  </si>
  <si>
    <t>BiK271t3X2K-10</t>
  </si>
  <si>
    <t>BiK271t3X2i-10</t>
  </si>
  <si>
    <t>BiK271t3X2iK10</t>
  </si>
  <si>
    <t>BiK272------10</t>
  </si>
  <si>
    <t>BiK272K-----10</t>
  </si>
  <si>
    <t>BiK272a2----10</t>
  </si>
  <si>
    <t>BiK272a2K---10</t>
  </si>
  <si>
    <t>BiK272ah----10</t>
  </si>
  <si>
    <t>BiK272ahK---10</t>
  </si>
  <si>
    <t>BiK272t1----10</t>
  </si>
  <si>
    <t>BiK272t1K---10</t>
  </si>
  <si>
    <t>BiK272t1a2--10</t>
  </si>
  <si>
    <t>BiK272t1a2K-10</t>
  </si>
  <si>
    <t>BiK272t1ah--10</t>
  </si>
  <si>
    <t>BiK272t1ahK-10</t>
  </si>
  <si>
    <t>BiK272t2----10</t>
  </si>
  <si>
    <t>BiK272t2K---10</t>
  </si>
  <si>
    <t>BiK272t2a2--10</t>
  </si>
  <si>
    <t>BiK272t2a2K-10</t>
  </si>
  <si>
    <t>BiK272t2ah--10</t>
  </si>
  <si>
    <t>BiK272t2ahK-10</t>
  </si>
  <si>
    <t>BiK272t3----10</t>
  </si>
  <si>
    <t>BiK272t3K---10</t>
  </si>
  <si>
    <t>BiK272t3a2--10</t>
  </si>
  <si>
    <t>BiK272t3a2K-10</t>
  </si>
  <si>
    <t>BiK272t3ah--10</t>
  </si>
  <si>
    <t>BiK272t3ahK-10</t>
  </si>
  <si>
    <t>BiK273K-----10</t>
  </si>
  <si>
    <t>Grund-
vergütg. § 27 EEG</t>
  </si>
  <si>
    <t>Grundvergütung 7,71 ct (7,79ct*0,99, siehe § 27 Abs. 1 Nr. 4 EEG 2009) für Lstg.anteil 5-20 MW nicht ohne KWK-Bonus möglich, siehe § 27 Abs. 3 Nr. 1 EEG 2009</t>
  </si>
  <si>
    <t>Vergütungsberechnung für Anlagen mit Inbetriebnahmejahr 2010</t>
  </si>
  <si>
    <t>erstmals KWK in 2010</t>
  </si>
  <si>
    <t>"K10"</t>
  </si>
  <si>
    <t>BiK51nK10---01</t>
  </si>
  <si>
    <t>BiK51nK10y--01</t>
  </si>
  <si>
    <t>BiK51na1K10-01</t>
  </si>
  <si>
    <t>BiK82LbK10y-04</t>
  </si>
  <si>
    <t>BiK82X2bK10-04</t>
  </si>
  <si>
    <t>BiK82X2bK10y04</t>
  </si>
  <si>
    <t>Inbetriebnahme 01-07/2004</t>
  </si>
  <si>
    <t>WaK42a------04</t>
  </si>
  <si>
    <t>WaK61-------04</t>
  </si>
  <si>
    <t>Inbetriebnahme 08-12/2004</t>
  </si>
  <si>
    <t>WaK62-------04</t>
  </si>
  <si>
    <t>WaK63-------04</t>
  </si>
  <si>
    <t xml:space="preserve"> &gt;5 MW , Zubau 0-0,5 MW</t>
  </si>
  <si>
    <t>WaK64-------04</t>
  </si>
  <si>
    <t xml:space="preserve"> &gt;5 MW , Zubau 0,5-10 MW</t>
  </si>
  <si>
    <t>WaK65-------04</t>
  </si>
  <si>
    <t xml:space="preserve"> &gt;5 MW , Zubau 10-20 MW</t>
  </si>
  <si>
    <t>WaK66-------04</t>
  </si>
  <si>
    <t xml:space="preserve"> &gt;5 MW , Zubau 20-50 MW</t>
  </si>
  <si>
    <t>WaK67-------04</t>
  </si>
  <si>
    <t xml:space="preserve"> &gt;5 MW , Zubau 50-150 MW</t>
  </si>
  <si>
    <t>WaK61-------05</t>
  </si>
  <si>
    <t>Inbetriebnahme 2005</t>
  </si>
  <si>
    <t>WaK62-------05</t>
  </si>
  <si>
    <t>WaK63-------05</t>
  </si>
  <si>
    <t>WaK64-------05</t>
  </si>
  <si>
    <t>WaK65-------05</t>
  </si>
  <si>
    <t>WaK66-------05</t>
  </si>
  <si>
    <t>WaK67-------05</t>
  </si>
  <si>
    <t>WaK61-------06</t>
  </si>
  <si>
    <t>Inbetriebnahme 2006</t>
  </si>
  <si>
    <t>WaK62-------06</t>
  </si>
  <si>
    <t>WaK63-------06</t>
  </si>
  <si>
    <t>WaK64-------06</t>
  </si>
  <si>
    <t>WaK65-------06</t>
  </si>
  <si>
    <t>WaK66-------06</t>
  </si>
  <si>
    <t>WaK67-------06</t>
  </si>
  <si>
    <t>WaK61-------07</t>
  </si>
  <si>
    <t>Inbetriebnahme 2007</t>
  </si>
  <si>
    <t>WaK62-------07</t>
  </si>
  <si>
    <t>WaK63-------07</t>
  </si>
  <si>
    <t>WaK64-------07</t>
  </si>
  <si>
    <t>WaK65-------07</t>
  </si>
  <si>
    <t>WaK66-------07</t>
  </si>
  <si>
    <t>WaK67-------07</t>
  </si>
  <si>
    <t>WaK61-------08</t>
  </si>
  <si>
    <t>BiK81K09y---05</t>
  </si>
  <si>
    <t>BiK81a1y----05</t>
  </si>
  <si>
    <t>BiK81a1KWKy-05</t>
  </si>
  <si>
    <t>BiK81a1KA3y-05</t>
  </si>
  <si>
    <t>BiK81a1K09y-05</t>
  </si>
  <si>
    <t>BiK81by-----05</t>
  </si>
  <si>
    <t>BiK81bKWKy--05</t>
  </si>
  <si>
    <t>BiK81bKA3y--05</t>
  </si>
  <si>
    <t>BiK81bK09y--05</t>
  </si>
  <si>
    <t>BiK81a1by---05</t>
  </si>
  <si>
    <t>BiK81a1bKWKy05</t>
  </si>
  <si>
    <t>BiK81a1bKA3y05</t>
  </si>
  <si>
    <t>BiK81a1bK09y05</t>
  </si>
  <si>
    <t>BiK82y------05</t>
  </si>
  <si>
    <t>BiK82KWKy---05</t>
  </si>
  <si>
    <t>BiK82KA3y---05</t>
  </si>
  <si>
    <t>BiK82K09y---05</t>
  </si>
  <si>
    <t>BiK82a1y----05</t>
  </si>
  <si>
    <t>BiK82a1KWKy-05</t>
  </si>
  <si>
    <t>BiK82a1KA3y-05</t>
  </si>
  <si>
    <t>BiK82a1K09y-05</t>
  </si>
  <si>
    <t>BiK82by-----05</t>
  </si>
  <si>
    <t>BiK82bKWKy--05</t>
  </si>
  <si>
    <t>BiK82bKA3y--05</t>
  </si>
  <si>
    <t>BiK82bK09y--05</t>
  </si>
  <si>
    <t>BiK82a1by---05</t>
  </si>
  <si>
    <t>BiK82a1bKWKy05</t>
  </si>
  <si>
    <t>BiK82a1bKA3y05</t>
  </si>
  <si>
    <t>BiK82a1bK09y05</t>
  </si>
  <si>
    <t>BiK81y------04</t>
  </si>
  <si>
    <t>BiK81KWKy---04</t>
  </si>
  <si>
    <t>BiK81KA3y---04</t>
  </si>
  <si>
    <t>BiK81K09y---04</t>
  </si>
  <si>
    <t>BiK81a1y----04</t>
  </si>
  <si>
    <t>BiK81a1KWKy-04</t>
  </si>
  <si>
    <t>BiK81a1KA3y-04</t>
  </si>
  <si>
    <t>BiK81a1K09y-04</t>
  </si>
  <si>
    <t>BiK81by-----04</t>
  </si>
  <si>
    <t>BiK81bKWKy--04</t>
  </si>
  <si>
    <t>BiK81bKA3y--04</t>
  </si>
  <si>
    <t>BiK81bK09y--04</t>
  </si>
  <si>
    <t>BiK81a1by---04</t>
  </si>
  <si>
    <t>BiK81a1bKWKy04</t>
  </si>
  <si>
    <t>BiK81a1bKA3y04</t>
  </si>
  <si>
    <t>BiK81a1bK09y04</t>
  </si>
  <si>
    <t>BiK82y------04</t>
  </si>
  <si>
    <t>BiK82KWKy---04</t>
  </si>
  <si>
    <t>BiK82KA3y---04</t>
  </si>
  <si>
    <t>BiK82K09y---04</t>
  </si>
  <si>
    <t>BiK82a1y----04</t>
  </si>
  <si>
    <t>BiK82a1KWKy-04</t>
  </si>
  <si>
    <t>BiK82a1KA3y-04</t>
  </si>
  <si>
    <t>BiK82a1K09y-04</t>
  </si>
  <si>
    <t>BiK82by-----04</t>
  </si>
  <si>
    <t>BiK82bKWKy--04</t>
  </si>
  <si>
    <t>BiK82bKA3y--04</t>
  </si>
  <si>
    <t>BiK82bK09y--04</t>
  </si>
  <si>
    <t>BiK82a1by---04</t>
  </si>
  <si>
    <t>BiK82a1bKWKy04</t>
  </si>
  <si>
    <t>BiK82a1bKA3y04</t>
  </si>
  <si>
    <t>BiK82a1bK09y04</t>
  </si>
  <si>
    <t>BiK51ny-----03</t>
  </si>
  <si>
    <t>Die Strommengen fließen in die Berechnung der Bemessungsleistung und der vNNE ein, nicht jedoch in den bundesweiten Belastungsausgleich.</t>
  </si>
  <si>
    <t>WaK33b1-MPMJan</t>
  </si>
  <si>
    <t>Marktprämie für Kalendermonat Januar</t>
  </si>
  <si>
    <t>WaK33b1-MPMFeb</t>
  </si>
  <si>
    <t>Marktprämie für Kalendermonat Februar</t>
  </si>
  <si>
    <t>WaK33b1-MPMMrz</t>
  </si>
  <si>
    <t>Marktprämie für Kalendermonat März</t>
  </si>
  <si>
    <t>WaK33b1-MPMApr</t>
  </si>
  <si>
    <t>Marktprämie für Kalendermonat April</t>
  </si>
  <si>
    <t>WaK33b1-MPMMai</t>
  </si>
  <si>
    <t>Marktprämie für Kalendermonat Mai</t>
  </si>
  <si>
    <t>WaK33b1-MPMJun</t>
  </si>
  <si>
    <t>Marktprämie für Kalendermonat Juni</t>
  </si>
  <si>
    <t>WaK33b1-MPMJul</t>
  </si>
  <si>
    <t>Marktprämie für Kalendermonat Juli</t>
  </si>
  <si>
    <t>WaK33b1-MPMAug</t>
  </si>
  <si>
    <t>Marktprämie für Kalendermonat August</t>
  </si>
  <si>
    <t>WaK33b1-MPMSep</t>
  </si>
  <si>
    <t>Marktprämie für Kalendermonat September</t>
  </si>
  <si>
    <t>WaK33b1-MPMOkt</t>
  </si>
  <si>
    <t>Marktprämie für Kalendermonat Oktober</t>
  </si>
  <si>
    <t>WaK33b1-MPMNov</t>
  </si>
  <si>
    <t>Marktprämie für Kalendermonat November</t>
  </si>
  <si>
    <t>WaK33b1-MPMDez</t>
  </si>
  <si>
    <t>Marktprämie für Kalendermonat Dezember</t>
  </si>
  <si>
    <t>BiK33b1-MPMJan</t>
  </si>
  <si>
    <t>BiK33b1-MPMFeb</t>
  </si>
  <si>
    <t>BiK33b1-MPMMrz</t>
  </si>
  <si>
    <t>BiK33b1-MPMApr</t>
  </si>
  <si>
    <t>BiK33b1-MPMMai</t>
  </si>
  <si>
    <t>BiK33b1-MPMJun</t>
  </si>
  <si>
    <t>BiK33b1-MPMJul</t>
  </si>
  <si>
    <t>BiK33b1-MPMAug</t>
  </si>
  <si>
    <t>BiK33b1-MPMSep</t>
  </si>
  <si>
    <t>BiK33b1-MPMOkt</t>
  </si>
  <si>
    <t>BiK33b1-MPMNov</t>
  </si>
  <si>
    <t>BiK33b1-MPMDez</t>
  </si>
  <si>
    <t>GaK33b1-MPMJan</t>
  </si>
  <si>
    <t>GaK33b1-MPMFeb</t>
  </si>
  <si>
    <t>GaK33b1-MPMMrz</t>
  </si>
  <si>
    <t>GaK33b1-MPMApr</t>
  </si>
  <si>
    <t>GaK33b1-MPMMai</t>
  </si>
  <si>
    <t>GaK33b1-MPMJun</t>
  </si>
  <si>
    <t>GaK33b1-MPMJul</t>
  </si>
  <si>
    <t>GaK33b1-MPMAug</t>
  </si>
  <si>
    <t>GaK33b1-MPMSep</t>
  </si>
  <si>
    <t>GaK33b1-MPMOkt</t>
  </si>
  <si>
    <t>GaK33b1-MPMNov</t>
  </si>
  <si>
    <t>GaK33b1-MPMDez</t>
  </si>
  <si>
    <t>DeK33b1-MPMJan</t>
  </si>
  <si>
    <t>DeK33b1-MPMFeb</t>
  </si>
  <si>
    <t>DeK33b1-MPMMrz</t>
  </si>
  <si>
    <t>DeK33b1-MPMApr</t>
  </si>
  <si>
    <t>DeK33b1-MPMMai</t>
  </si>
  <si>
    <t>DeK33b1-MPMJun</t>
  </si>
  <si>
    <t>DeK33b1-MPMJul</t>
  </si>
  <si>
    <t>DeK33b1-MPMAug</t>
  </si>
  <si>
    <t>DeK33b1-MPMSep</t>
  </si>
  <si>
    <t>DeK33b1-MPMOkt</t>
  </si>
  <si>
    <t>DeK33b1-MPMNov</t>
  </si>
  <si>
    <t>DeK33b1-MPMDez</t>
  </si>
  <si>
    <t>KlK33b1-MPMJan</t>
  </si>
  <si>
    <t>KlK33b1-MPMFeb</t>
  </si>
  <si>
    <t>KlK33b1-MPMMrz</t>
  </si>
  <si>
    <t>KlK33b1-MPMApr</t>
  </si>
  <si>
    <t>BiK81M1bK10-04</t>
  </si>
  <si>
    <t>BiK81M1bK10y04</t>
  </si>
  <si>
    <t>BiK81LbK10--04</t>
  </si>
  <si>
    <t>BiK81LbK10y-04</t>
  </si>
  <si>
    <t>BiK81X1bK10-04</t>
  </si>
  <si>
    <t>BiK81X1bK10y04</t>
  </si>
  <si>
    <t>BiK82K10----04</t>
  </si>
  <si>
    <t>BiK82K10y---04</t>
  </si>
  <si>
    <t>BiK82a1K10--04</t>
  </si>
  <si>
    <t>BiK82a1K10y-04</t>
  </si>
  <si>
    <t>BiK82GK10---04</t>
  </si>
  <si>
    <t>BiK82GK10y--04</t>
  </si>
  <si>
    <t>BiK82M2K10--04</t>
  </si>
  <si>
    <t>BiK82M2K10y-04</t>
  </si>
  <si>
    <t>BiK82LK10---04</t>
  </si>
  <si>
    <t>BiK82LK10y--04</t>
  </si>
  <si>
    <t>BiK82X2K10--04</t>
  </si>
  <si>
    <t>BiK82X2K10y-04</t>
  </si>
  <si>
    <t>BiK82bK10---04</t>
  </si>
  <si>
    <t>BiK82bK10y--04</t>
  </si>
  <si>
    <t>BiK82a1bK10-04</t>
  </si>
  <si>
    <t>BiK82a1bK10y04</t>
  </si>
  <si>
    <t>BiK82GbK10--04</t>
  </si>
  <si>
    <t>BiK82GbK10y-04</t>
  </si>
  <si>
    <t>BiK82M2bK10-04</t>
  </si>
  <si>
    <t>BiK82M2bK10y04</t>
  </si>
  <si>
    <t>BiK82LbK10--04</t>
  </si>
  <si>
    <t>WaK230------11</t>
  </si>
  <si>
    <t>Inbetriebnahme 2011</t>
  </si>
  <si>
    <t>WaK231------11</t>
  </si>
  <si>
    <t>WaK232------11</t>
  </si>
  <si>
    <t>WaK233------11</t>
  </si>
  <si>
    <t>WaK234------11</t>
  </si>
  <si>
    <t>WaK235------11</t>
  </si>
  <si>
    <t>WaK236------11</t>
  </si>
  <si>
    <t>WaK237------11</t>
  </si>
  <si>
    <t>WaK238------11</t>
  </si>
  <si>
    <t>WaK239------11</t>
  </si>
  <si>
    <t>WfK310------11</t>
  </si>
  <si>
    <t>WfK311------11</t>
  </si>
  <si>
    <t>wie SgK330-------11</t>
  </si>
  <si>
    <t>wie SgK331------11</t>
  </si>
  <si>
    <t>wie SgK332------11</t>
  </si>
  <si>
    <t>erstmals KWK in 2011</t>
  </si>
  <si>
    <t>BiK1011-----MW</t>
  </si>
  <si>
    <t>§ 33f Abs. 3 EEG 2012: Der Vergütungsanspruch nach § 16 EEG 2012 verringert sich sich auf den tatsächlichen Monatsmittelwert des energieträgerspezifischen Marktwerts (MW) für denjenigen Anteil des in der Anlage erzeugten Stroms, der nicht direkt vermarktet wird, wenn gegen § 33f Abs. 1 EEG 2012 verstoßen wird, d. h. wenn die anteilige Direktvermarktung nicht ordnungsgemäß gemeldet oder die gemeldeten Prozentsätze nicht jederzeit eingehalten wurden.
Diese Verringerung gilt bis zum Ablauf des dritten Kalendermonats, der auf die Beendigung des Verstoßes § 33f Abs. 1 EEG 2012 folgt.</t>
  </si>
  <si>
    <t>§ 33g Abs. 3 EEG 2012: Der Vergütungsanspruch nach § 33g Abs. 1 EEG 2012 (Marktprämie) entfällt, wenn Anlagenbetreiber gegen § 33c Abs. 1 und 2 EEG 2012 (Pflichten bei der Direktvermarktung), § 33d Abs. 1 und 2 EEG 2012 (Wechsel in Marktprämien-Direktvermarktung oder zwischen Marktprämien- und anderen Formen der Direktvermarktung) oder § 33f Abs. 1 EEG 2012 (Anteilige Direktvermarktung) verstoßen.
Dieser Entfall gilt bis zum Ablauf des dritten Kalendermonats, der auf die Beendigung dieses Verstoßes folgt.</t>
  </si>
  <si>
    <t>BiK471--MPM--0</t>
  </si>
  <si>
    <t>BiK4721-MPM--0</t>
  </si>
  <si>
    <t>BiK474--MPM--0</t>
  </si>
  <si>
    <t>Verringerung Einspeisevergütung auf Monatsmarktwert nach § 47 Abs. 4 (Fehlender Nachweis KWK bzw. Stromanteil flüssiger Biomasse)</t>
  </si>
  <si>
    <t>Verringerung Marktprämie auf null nach § 47 Abs. 4 (Fehlender Nachweis KWK bzw. Stromanteil flüssiger Biomasse)</t>
  </si>
  <si>
    <t>§ 38 EEG 2012 oder § 62 EEG 2014: Aufgrund eines gerichtlichen Urteils oder einer Entscheidung der Clearingstelle EEG erhält eine Anlage eine Vergütung, die nicht durch die oben aufgeführten Kategorien abgedeckt ist.</t>
  </si>
  <si>
    <t>WaK1004-MPM--0</t>
  </si>
  <si>
    <t>BiK1004-MPM--0</t>
  </si>
  <si>
    <t>GaK1004-MPM--0</t>
  </si>
  <si>
    <t>DeK1004-MPM--0</t>
  </si>
  <si>
    <t>KlK1004-MPM--0</t>
  </si>
  <si>
    <t>GrK1004-MPM--0</t>
  </si>
  <si>
    <t>GeK1004-MPM--0</t>
  </si>
  <si>
    <t>WiK1004-MPM--0</t>
  </si>
  <si>
    <t>WnK1004-MPM--0</t>
  </si>
  <si>
    <t>WrK1004-MPM--0</t>
  </si>
  <si>
    <t>WfK1004-MPM--0</t>
  </si>
  <si>
    <t>SoK1004-MPM--0</t>
  </si>
  <si>
    <t>SgK1004-MPM--0</t>
  </si>
  <si>
    <t>Entfall Vergütungsanspruch nach § 100 Abs. 4 (Nichterfüllung der Systemstabilitätsverordnung)</t>
  </si>
  <si>
    <t>Entfall Marktprämie nach § 100 Abs. 4 (Nichterfüllung der Systemstabilitätsverordnung)</t>
  </si>
  <si>
    <t>BiK81a1bK12-04</t>
  </si>
  <si>
    <t>BiK81a1bK12y04</t>
  </si>
  <si>
    <t>BiK81GbK12--04</t>
  </si>
  <si>
    <t>BiK81GbK12y-04</t>
  </si>
  <si>
    <t>BiK81M1bK12-04</t>
  </si>
  <si>
    <t>BiK81M1bK12y04</t>
  </si>
  <si>
    <t>BiK81LbK12--04</t>
  </si>
  <si>
    <t>BiK81LbK12y-04</t>
  </si>
  <si>
    <t>BiK81X1bK12-04</t>
  </si>
  <si>
    <t>BiK81X1bK12y04</t>
  </si>
  <si>
    <t>BiK82K12----04</t>
  </si>
  <si>
    <t>BiK82K12y---04</t>
  </si>
  <si>
    <t>BiK82a1K12--04</t>
  </si>
  <si>
    <t>BiK82a1K12y-04</t>
  </si>
  <si>
    <t>BiK82GK12---04</t>
  </si>
  <si>
    <t>BiK82GK12y--04</t>
  </si>
  <si>
    <t>BiK82M2K12--04</t>
  </si>
  <si>
    <t>BiK82M2K12y-04</t>
  </si>
  <si>
    <t>BiK82LK12---04</t>
  </si>
  <si>
    <t>BiK82LK12y--04</t>
  </si>
  <si>
    <t>BiK82X2K12--04</t>
  </si>
  <si>
    <t>BiK82X2K12y-04</t>
  </si>
  <si>
    <t>BiK82bK12---04</t>
  </si>
  <si>
    <t>BiK82bK12y--04</t>
  </si>
  <si>
    <t>BiK82a1bK12-04</t>
  </si>
  <si>
    <t>BiK82a1bK12y04</t>
  </si>
  <si>
    <t>BiK82GbK12--04</t>
  </si>
  <si>
    <t>BiK82GbK12y-04</t>
  </si>
  <si>
    <t>BiK82M2bK12-04</t>
  </si>
  <si>
    <t>BiK82M2bK12y04</t>
  </si>
  <si>
    <t>BiK82LbK12--04</t>
  </si>
  <si>
    <t>BiK82LbK12y-04</t>
  </si>
  <si>
    <t>BiK82X2bK12-04</t>
  </si>
  <si>
    <t>BiK82X2bK12y04</t>
  </si>
  <si>
    <t>BiK83K12----04</t>
  </si>
  <si>
    <t>BiK83a2K12--04</t>
  </si>
  <si>
    <t>BiK83a3K12--04</t>
  </si>
  <si>
    <t>BiK83bK12---04</t>
  </si>
  <si>
    <t>BiK83a2bK12-04</t>
  </si>
  <si>
    <t>BiK83a3bK12-04</t>
  </si>
  <si>
    <t>BiK84K12----04</t>
  </si>
  <si>
    <t>BiK85K12----04</t>
  </si>
  <si>
    <t>BiK81K12----05</t>
  </si>
  <si>
    <t>BiK81K12y---05</t>
  </si>
  <si>
    <t>BiK81a1K12--05</t>
  </si>
  <si>
    <t>BiK81a1K12y-05</t>
  </si>
  <si>
    <t>BiK81GK12---05</t>
  </si>
  <si>
    <t>BiK81GK12y--05</t>
  </si>
  <si>
    <t>BiK81M1K12--05</t>
  </si>
  <si>
    <t>BiK81M1K12y-05</t>
  </si>
  <si>
    <t>BiK81LK12---05</t>
  </si>
  <si>
    <t>BiK81LK12y--05</t>
  </si>
  <si>
    <t>BiK81X1K12--05</t>
  </si>
  <si>
    <t>BiK81X1K12y-05</t>
  </si>
  <si>
    <t>BiK81bK12---05</t>
  </si>
  <si>
    <t>BiK81bK12y--05</t>
  </si>
  <si>
    <t>BiK81a1bK12-05</t>
  </si>
  <si>
    <t>BiK81a1bK12y05</t>
  </si>
  <si>
    <t>BiK81GbK12--05</t>
  </si>
  <si>
    <t>BiK81GbK12y-05</t>
  </si>
  <si>
    <t>BiK81M1bK12-05</t>
  </si>
  <si>
    <t>BiK81M1bK12y05</t>
  </si>
  <si>
    <t>BiK81LbK12--05</t>
  </si>
  <si>
    <t>BiK81LbK12y-05</t>
  </si>
  <si>
    <t>BiK81X1bK12-05</t>
  </si>
  <si>
    <t>BiK81X1bK12y05</t>
  </si>
  <si>
    <t>BiK82K12----05</t>
  </si>
  <si>
    <t>BiK82K12y---05</t>
  </si>
  <si>
    <t>BiK82a1K12--05</t>
  </si>
  <si>
    <t>BiK82a1K12y-05</t>
  </si>
  <si>
    <t>BiK82GK12---05</t>
  </si>
  <si>
    <t>BiK82GK12y--05</t>
  </si>
  <si>
    <t>BiK82M2K12--05</t>
  </si>
  <si>
    <t>BiK82M2K12y-05</t>
  </si>
  <si>
    <t>BiK82LK12---05</t>
  </si>
  <si>
    <t>BiK82LK12y--05</t>
  </si>
  <si>
    <t>BiK82X2K12--05</t>
  </si>
  <si>
    <t>BiK82X2K12y-05</t>
  </si>
  <si>
    <t>BiK82bK12---05</t>
  </si>
  <si>
    <t>BiK82bK12y--05</t>
  </si>
  <si>
    <t>BiK82a1bK12-05</t>
  </si>
  <si>
    <t>BiK82a1bK12y05</t>
  </si>
  <si>
    <t>BiK82GbK12--05</t>
  </si>
  <si>
    <t>BiK82GbK12y-05</t>
  </si>
  <si>
    <t>BiK82M2bK12-05</t>
  </si>
  <si>
    <t>BiK82M2bK12y05</t>
  </si>
  <si>
    <t>BiK82LbK12--05</t>
  </si>
  <si>
    <t>BiK82LbK12y-05</t>
  </si>
  <si>
    <t>BiK82X2bK12-05</t>
  </si>
  <si>
    <t>BiK82X2bK12y05</t>
  </si>
  <si>
    <t>BiK83K12----05</t>
  </si>
  <si>
    <t>BiK83a2K12--05</t>
  </si>
  <si>
    <t>BiK83a3K12--05</t>
  </si>
  <si>
    <t>BiK83bK12---05</t>
  </si>
  <si>
    <t>BiK83a2bK12-05</t>
  </si>
  <si>
    <t>BiK83a3bK12-05</t>
  </si>
  <si>
    <t>BiK84K12----05</t>
  </si>
  <si>
    <t>BiK81K12----06</t>
  </si>
  <si>
    <t>BiK81K12y---06</t>
  </si>
  <si>
    <t>BiK81a1K12--06</t>
  </si>
  <si>
    <t>BiK81a1K12y-06</t>
  </si>
  <si>
    <t>BiK81GK12---06</t>
  </si>
  <si>
    <t>BiK81GK12y--06</t>
  </si>
  <si>
    <t>BiK81M1K12--06</t>
  </si>
  <si>
    <t>BiK81M1K12y-06</t>
  </si>
  <si>
    <t>BiK51aK10y--03</t>
  </si>
  <si>
    <t>BiK51aa1K10-03</t>
  </si>
  <si>
    <t>BiK51aa1K10y03</t>
  </si>
  <si>
    <t>BiK51aGK10--03</t>
  </si>
  <si>
    <t>BiK51aGK10y-03</t>
  </si>
  <si>
    <t>BiK51aM2K10-03</t>
  </si>
  <si>
    <t>BiK51aM2K10y03</t>
  </si>
  <si>
    <t>BiK51aLK10--03</t>
  </si>
  <si>
    <t>BiK51aLK10y-03</t>
  </si>
  <si>
    <t>BiK51aX2K10-03</t>
  </si>
  <si>
    <t>BiK51aX2K10y03</t>
  </si>
  <si>
    <t>BiK52aK10---03</t>
  </si>
  <si>
    <t>BiK52aa2K10-03</t>
  </si>
  <si>
    <t>BiK52aa3K10-03</t>
  </si>
  <si>
    <t>BiK53aK10---03</t>
  </si>
  <si>
    <t>BiK54aK10---03</t>
  </si>
  <si>
    <t>BiK81K10----04</t>
  </si>
  <si>
    <t>BiK81K10y---04</t>
  </si>
  <si>
    <t>BiK81a1K10--04</t>
  </si>
  <si>
    <t>BiK81a1K10y-04</t>
  </si>
  <si>
    <t>BiK81GK10---04</t>
  </si>
  <si>
    <t>BiK81GK10y--04</t>
  </si>
  <si>
    <t>BiK81M1K10--04</t>
  </si>
  <si>
    <t>BiK81M1K10y-04</t>
  </si>
  <si>
    <t>BiK81LK10---04</t>
  </si>
  <si>
    <t>BiK81LK10y--04</t>
  </si>
  <si>
    <t>BiK81X1K10--04</t>
  </si>
  <si>
    <t>BiK81X1K10y-04</t>
  </si>
  <si>
    <t>BiK81bK10---04</t>
  </si>
  <si>
    <t>BiK81bK10y--04</t>
  </si>
  <si>
    <t>BiK81a1bK10-04</t>
  </si>
  <si>
    <t>BiK81a1bK10y04</t>
  </si>
  <si>
    <t>BiK81GbK10--04</t>
  </si>
  <si>
    <t>BiK81GbK10y-04</t>
  </si>
  <si>
    <t>WaK230------14</t>
  </si>
  <si>
    <t>Inbetriebnahme 2014</t>
  </si>
  <si>
    <t>WaK231------14</t>
  </si>
  <si>
    <t>WaK232------14</t>
  </si>
  <si>
    <t>WaK233------14</t>
  </si>
  <si>
    <t>WaK234------14</t>
  </si>
  <si>
    <t>WaK235------14</t>
  </si>
  <si>
    <t>WaK236------14</t>
  </si>
  <si>
    <t>0-0,5 MW, IB vor 01.01.2009, Modernisierung 2014</t>
  </si>
  <si>
    <t>0,5-2 MW, IB vor 01.01.2009, Modernisierung 2014</t>
  </si>
  <si>
    <t>2-5 MW, IB vor 01.01.2009, Modernisierung 2014</t>
  </si>
  <si>
    <t>5-10 MW, IB vor 01.01.2009, Modernisierung 2014</t>
  </si>
  <si>
    <t>10-20 MW, IB vor 01.01.2009, Modernisierung 2014</t>
  </si>
  <si>
    <t>20-50 MW, IB vor 01.01.2009, Modernisierung 2014</t>
  </si>
  <si>
    <t>&gt; 50 MW, IB vor 01.01.2009, Modernisierung 2014</t>
  </si>
  <si>
    <t>WaK230M-----14</t>
  </si>
  <si>
    <t>WaK231M-----14</t>
  </si>
  <si>
    <t>WaK232M-----14</t>
  </si>
  <si>
    <t>WaK233M-----14</t>
  </si>
  <si>
    <t>WaK234M-----14</t>
  </si>
  <si>
    <t>WaK235M-----14</t>
  </si>
  <si>
    <t>WaK236M-----14</t>
  </si>
  <si>
    <t>BiK27b------14</t>
  </si>
  <si>
    <t>GrK260------14</t>
  </si>
  <si>
    <t>GrK261------14</t>
  </si>
  <si>
    <t>GrK262------14</t>
  </si>
  <si>
    <t>WnK290------14</t>
  </si>
  <si>
    <t>WnK290S-----14</t>
  </si>
  <si>
    <t>WnK291------14</t>
  </si>
  <si>
    <t>WrK300------14</t>
  </si>
  <si>
    <t>WrK300S-----14</t>
  </si>
  <si>
    <t>WrK301------14</t>
  </si>
  <si>
    <t>WfK310------14</t>
  </si>
  <si>
    <t>WfK311------14</t>
  </si>
  <si>
    <t>WfK312------13</t>
  </si>
  <si>
    <t>WfK312------14</t>
  </si>
  <si>
    <t>SoK321---Jan14</t>
  </si>
  <si>
    <t>Jan14</t>
  </si>
  <si>
    <t>SoK321---Feb14</t>
  </si>
  <si>
    <t>SoK321---Mrz14</t>
  </si>
  <si>
    <t>SoK321---Apr14</t>
  </si>
  <si>
    <t>SoK321---Mai14</t>
  </si>
  <si>
    <t>SoK321---Jun14</t>
  </si>
  <si>
    <t>SoK321---Jul14</t>
  </si>
  <si>
    <t>SoK321---Aug14</t>
  </si>
  <si>
    <t>SoK321---Sep14</t>
  </si>
  <si>
    <t>SoK321---Okt14</t>
  </si>
  <si>
    <t>SoK321---Nov14</t>
  </si>
  <si>
    <t>SoK321---Dez14</t>
  </si>
  <si>
    <t>SgK3220--Jan14</t>
  </si>
  <si>
    <t>SgK3220--Feb14</t>
  </si>
  <si>
    <t>SgK3220--Mrz14</t>
  </si>
  <si>
    <t>SgK3220--Apr14</t>
  </si>
  <si>
    <t>SgK3220--Mai14</t>
  </si>
  <si>
    <t>SgK3220--Jun14</t>
  </si>
  <si>
    <t>SgK3220--Jul14</t>
  </si>
  <si>
    <t>SgK3220--Aug14</t>
  </si>
  <si>
    <t>SgK3220--Sep14</t>
  </si>
  <si>
    <t>SgK3220--Okt14</t>
  </si>
  <si>
    <t>SgK3220--Nov14</t>
  </si>
  <si>
    <t>SgK3220--Dez14</t>
  </si>
  <si>
    <t>Vergütungskategorie ist 2013/2014 neu nach EEG 2012 und/oder der Managementprämienverordnung (MaPrV)</t>
  </si>
  <si>
    <t>SgK3911-GSP--0</t>
  </si>
  <si>
    <t>Nicht-Anerkennung als Grünstrom nach § 39 Abs. 1 Nr. 1 (Überschreitung 90 % - Marktintegrationsmodell)</t>
  </si>
  <si>
    <t>- nur für feste Biomasse mit immissionsschutzrechtlicher Genehmigung vor dem 01.01.2012 nach § 66 Abs. 6 EEG</t>
  </si>
  <si>
    <t>- einmaliges Optionsrecht des Anlagenbetreibers vor erstmaliger Vergütungszahlung alternativ zu § 27 EEG 2012</t>
  </si>
  <si>
    <t>BiK270BS----12</t>
  </si>
  <si>
    <t>BiK270KBS---12</t>
  </si>
  <si>
    <t>BiK270a1BS--12</t>
  </si>
  <si>
    <t>BiK270a1KBS-12</t>
  </si>
  <si>
    <t>BiK270t3BS--12</t>
  </si>
  <si>
    <t>BiK270t3KBS-12</t>
  </si>
  <si>
    <t>BiK270t3a1BS12</t>
  </si>
  <si>
    <t>BiK270t3a1KB12</t>
  </si>
  <si>
    <t>BiK271BS----12</t>
  </si>
  <si>
    <t>BiK271KBS---12</t>
  </si>
  <si>
    <t>BiK271a1BS--12</t>
  </si>
  <si>
    <t>BiK271a1KBS-12</t>
  </si>
  <si>
    <t>BiK271t3BS--12</t>
  </si>
  <si>
    <t>BiK271t3KBS-12</t>
  </si>
  <si>
    <t>BiK271t3a1BS12</t>
  </si>
  <si>
    <t>BiK272BS----12</t>
  </si>
  <si>
    <t>BiK272KBS---12</t>
  </si>
  <si>
    <t>BiK272a2BS--12</t>
  </si>
  <si>
    <t>BiK272a2KBS-12</t>
  </si>
  <si>
    <t>BiK272ahBS--12</t>
  </si>
  <si>
    <t>BiK272ahKBS-12</t>
  </si>
  <si>
    <t>BiK272t3BS--12</t>
  </si>
  <si>
    <t>BiK272t3KBS-12</t>
  </si>
  <si>
    <t>BiK272t3a2BS12</t>
  </si>
  <si>
    <t>BiK272t3a2KB12</t>
  </si>
  <si>
    <t>BiK272t3ahBS12</t>
  </si>
  <si>
    <t>BiK272t3ahKB12</t>
  </si>
  <si>
    <t>BiK273KBS---12</t>
  </si>
  <si>
    <t>G1</t>
  </si>
  <si>
    <t>G2</t>
  </si>
  <si>
    <t>G3</t>
  </si>
  <si>
    <t>ESVK I 
(§ 27 Abs. 2 Nr. 1)</t>
  </si>
  <si>
    <t>ESVK II
(§ 27 Abs. 2 Nr. 2)</t>
  </si>
  <si>
    <t>Gasaufbereitungsbonus
(§ 27c Abs. 2 i. V. m. Anlage 1 Nr. 2)</t>
  </si>
  <si>
    <t>maximal 700 Nm²/h Nenn-leistung</t>
  </si>
  <si>
    <t>maximal 1000 Nm²/h Nenn-leistung</t>
  </si>
  <si>
    <t>maximal 1400 Nm²/h Nenn-leistung</t>
  </si>
  <si>
    <t>E1a</t>
  </si>
  <si>
    <t>E1b</t>
  </si>
  <si>
    <t>E1c</t>
  </si>
  <si>
    <t>E1d</t>
  </si>
  <si>
    <t>E2a</t>
  </si>
  <si>
    <t>E2b</t>
  </si>
  <si>
    <t>E2c</t>
  </si>
  <si>
    <t>allg.
0 bis 5000 kW</t>
  </si>
  <si>
    <t>Gülle
0 bis 500kW</t>
  </si>
  <si>
    <t>Gülle
500 bis 5000 kW</t>
  </si>
  <si>
    <t>allg.
500 bis 750kW</t>
  </si>
  <si>
    <t>allg.
750 bis 5000 kW</t>
  </si>
  <si>
    <t>Rinde &amp; Wald-restholz 500 bis 5000 kW</t>
  </si>
  <si>
    <t>allg. 
0 bis 500 kW</t>
  </si>
  <si>
    <t>Überprüfung</t>
  </si>
  <si>
    <t>Kategorie</t>
  </si>
  <si>
    <t>zusammengesetzt</t>
  </si>
  <si>
    <t>Länge</t>
  </si>
  <si>
    <t>Biomasse nach § 27 EEG 2012</t>
  </si>
  <si>
    <t>Biomasse nach § 27 EEG 2009</t>
  </si>
  <si>
    <t>0,5-5 MW, Vergärung von Bioabfällen</t>
  </si>
  <si>
    <t>BiK27b------12</t>
  </si>
  <si>
    <t>Biomasse nach § 27a EEG 2012 (Vergärung von Bioabfällen)</t>
  </si>
  <si>
    <t>Biomasse nach § 27b EEG 2012 (Vergärung von Gülle)</t>
  </si>
  <si>
    <t>Vergärung von Gülle in Anlagen bis maximal 75 kW installierter Leistung</t>
  </si>
  <si>
    <t>0-0,5 MW, Vergärung von Bioabfällen</t>
  </si>
  <si>
    <t>5-20 MW, Vergärung von Bioabfällen</t>
  </si>
  <si>
    <t>5-20 MW</t>
  </si>
  <si>
    <t>0,75-5 MW</t>
  </si>
  <si>
    <t>0,5-0,75 MW</t>
  </si>
  <si>
    <t>0,15-0,5 MW</t>
  </si>
  <si>
    <t>0-0,15 MW</t>
  </si>
  <si>
    <t>Vergütungsberechnung für Klärgasanlagen mit Inbetriebnahme ab 01.01.2012</t>
  </si>
  <si>
    <t>BiK82GK12---06</t>
  </si>
  <si>
    <t>BiK82GK12y--06</t>
  </si>
  <si>
    <t>BiK82M2K12--06</t>
  </si>
  <si>
    <t>BiK82M2K12y-06</t>
  </si>
  <si>
    <t>BiK82LK12---06</t>
  </si>
  <si>
    <t>BiK82LK12y--06</t>
  </si>
  <si>
    <t>BiK82X2K12--06</t>
  </si>
  <si>
    <t>BiK82X2K12y-06</t>
  </si>
  <si>
    <t>BiK82bK12---06</t>
  </si>
  <si>
    <t>BiK82bK12y--06</t>
  </si>
  <si>
    <t>BiK82a1bK12-06</t>
  </si>
  <si>
    <t>BiK82a1bK12y06</t>
  </si>
  <si>
    <t>BiK82GbK12--06</t>
  </si>
  <si>
    <t>BiK82GbK12y-06</t>
  </si>
  <si>
    <t>BiK82M2bK12-06</t>
  </si>
  <si>
    <t>BiK82M2bK12y06</t>
  </si>
  <si>
    <t>BiK82LbK12--06</t>
  </si>
  <si>
    <t>BiK82LbK12y-06</t>
  </si>
  <si>
    <t>BiK82X2bK12-06</t>
  </si>
  <si>
    <t>BiK82X2bK12y06</t>
  </si>
  <si>
    <t>BiK83K12----06</t>
  </si>
  <si>
    <t>BiK83a2K12--06</t>
  </si>
  <si>
    <t>BiK83a3K12--06</t>
  </si>
  <si>
    <t>BiK83bK12---06</t>
  </si>
  <si>
    <t>BiK83a2bK12-06</t>
  </si>
  <si>
    <t>BiK83a3bK12-06</t>
  </si>
  <si>
    <t>BiK84K12----06</t>
  </si>
  <si>
    <t>BiK85K12----06</t>
  </si>
  <si>
    <t>BiK81K12----07</t>
  </si>
  <si>
    <t>BiK81K12y---07</t>
  </si>
  <si>
    <t>BiK81a1K12--07</t>
  </si>
  <si>
    <t>BiK81a1K12y-07</t>
  </si>
  <si>
    <t>BiK81GK12---07</t>
  </si>
  <si>
    <t>BiK81GK12y--07</t>
  </si>
  <si>
    <t>BiK81M1K12--07</t>
  </si>
  <si>
    <t>BiK81M1K12y-07</t>
  </si>
  <si>
    <t>BiK81LK12---07</t>
  </si>
  <si>
    <t>BiK81LK12y--07</t>
  </si>
  <si>
    <t>BiK81X1K12--07</t>
  </si>
  <si>
    <t>BiK81X1K12y-07</t>
  </si>
  <si>
    <t>BiK81bK12---07</t>
  </si>
  <si>
    <t>BiK81bK12y--07</t>
  </si>
  <si>
    <t>BiK81a1bK12-07</t>
  </si>
  <si>
    <t>BiK81a1bK12y07</t>
  </si>
  <si>
    <t>BiK81GbK12--07</t>
  </si>
  <si>
    <t>BiK81GbK12y-07</t>
  </si>
  <si>
    <t>BiK81M1bK12-07</t>
  </si>
  <si>
    <t>BiK81M1bK12y07</t>
  </si>
  <si>
    <t>BiK81LbK12--07</t>
  </si>
  <si>
    <t>BiK81LbK12y-07</t>
  </si>
  <si>
    <t>BiK81X1bK12-07</t>
  </si>
  <si>
    <t>BiK81X1bK12y07</t>
  </si>
  <si>
    <t>BiK82K12----07</t>
  </si>
  <si>
    <t>BiK82K12y---07</t>
  </si>
  <si>
    <t>BiK82a1K12--07</t>
  </si>
  <si>
    <t>BiK82a1K12y-07</t>
  </si>
  <si>
    <t>BiK82GK12---07</t>
  </si>
  <si>
    <t>BiK82GK12y--07</t>
  </si>
  <si>
    <t>BiK82M2K12--07</t>
  </si>
  <si>
    <t>BiK82M2K12y-07</t>
  </si>
  <si>
    <t>BiK82LK12---07</t>
  </si>
  <si>
    <t>BiK82LK12y--07</t>
  </si>
  <si>
    <t>BiK82X2K12--07</t>
  </si>
  <si>
    <t>BiK82X2K12y-07</t>
  </si>
  <si>
    <t>BiK82bK12---07</t>
  </si>
  <si>
    <t>BiK82bK12y--07</t>
  </si>
  <si>
    <t>BiK82a1bK12-07</t>
  </si>
  <si>
    <t>BiK82a1bK12y07</t>
  </si>
  <si>
    <t>BiK82GbK12--07</t>
  </si>
  <si>
    <t>BiK82GbK12y-07</t>
  </si>
  <si>
    <t>BiK82M2bK12-07</t>
  </si>
  <si>
    <t>BiK82M2bK12y07</t>
  </si>
  <si>
    <t>BiK82LbK12--07</t>
  </si>
  <si>
    <t>BiK82LbK12y-07</t>
  </si>
  <si>
    <t>BiK82X2bK12-07</t>
  </si>
  <si>
    <t>BiK82X2bK12y07</t>
  </si>
  <si>
    <t>BiK83K12----07</t>
  </si>
  <si>
    <t>BiK83a2K12--07</t>
  </si>
  <si>
    <t>BiK83a3K12--07</t>
  </si>
  <si>
    <t>BiK83bK12---07</t>
  </si>
  <si>
    <t>BiK83a2bK12-07</t>
  </si>
  <si>
    <t>BiK83a3bK12-07</t>
  </si>
  <si>
    <t>BiK84K12----07</t>
  </si>
  <si>
    <t>BiK85K12----07</t>
  </si>
  <si>
    <t>BiK81K12----08</t>
  </si>
  <si>
    <t>BiK81K12y---08</t>
  </si>
  <si>
    <t>BiK81a1K12--08</t>
  </si>
  <si>
    <t>BiK81a1K12y-08</t>
  </si>
  <si>
    <t>BiK81GK12---08</t>
  </si>
  <si>
    <t>BiK81GK12y--08</t>
  </si>
  <si>
    <t>BiK81M1K12--08</t>
  </si>
  <si>
    <t>BiK81M1K12y-08</t>
  </si>
  <si>
    <t>BiK81LK12---08</t>
  </si>
  <si>
    <t>BiK81LK12y--08</t>
  </si>
  <si>
    <t>BiK81X1K12--08</t>
  </si>
  <si>
    <t>BiK81X1K12y-08</t>
  </si>
  <si>
    <t>BiK81bK12---08</t>
  </si>
  <si>
    <t>BiK81bK12y--08</t>
  </si>
  <si>
    <t>BiK81a1bK12-08</t>
  </si>
  <si>
    <t>BiK81a1bK12y08</t>
  </si>
  <si>
    <t>BiK81GbK12--08</t>
  </si>
  <si>
    <t>BiK81GbK12y-08</t>
  </si>
  <si>
    <t>BiK81M1bK12-08</t>
  </si>
  <si>
    <t>BiK81M1bK12y08</t>
  </si>
  <si>
    <t>BiK81LbK12--08</t>
  </si>
  <si>
    <t>BiK81LbK12y-08</t>
  </si>
  <si>
    <t>BiK81X1bK12-08</t>
  </si>
  <si>
    <t>BiK81X1bK12y08</t>
  </si>
  <si>
    <t>BiK82K12----08</t>
  </si>
  <si>
    <t>BiK82K12y---08</t>
  </si>
  <si>
    <t>BiK82a1K12--08</t>
  </si>
  <si>
    <t>BiK82a1K12y-08</t>
  </si>
  <si>
    <t>BiK82GK12---08</t>
  </si>
  <si>
    <t>BiK82GK12y--08</t>
  </si>
  <si>
    <t>BiK82M2K12--08</t>
  </si>
  <si>
    <t>BiK82M2K12y-08</t>
  </si>
  <si>
    <t>BiK82LK12---08</t>
  </si>
  <si>
    <t>BiK82LK12y--08</t>
  </si>
  <si>
    <t>BiK82X2K12--08</t>
  </si>
  <si>
    <t>BiK82X2K12y-08</t>
  </si>
  <si>
    <t>BiK82bK12---08</t>
  </si>
  <si>
    <t>BiK82bK12y--08</t>
  </si>
  <si>
    <t>BiK82a1bK12-08</t>
  </si>
  <si>
    <t>BiK82a1bK12y08</t>
  </si>
  <si>
    <t>BiK82GbK12--08</t>
  </si>
  <si>
    <t>BiK82GbK12y-08</t>
  </si>
  <si>
    <t>BiK82M2bK12-08</t>
  </si>
  <si>
    <t>BiK82M2bK12y08</t>
  </si>
  <si>
    <t>BiK82LbK12--08</t>
  </si>
  <si>
    <t>BiK82LbK12y-08</t>
  </si>
  <si>
    <t>BiK82X2bK12-08</t>
  </si>
  <si>
    <t>BiK82X2bK12y08</t>
  </si>
  <si>
    <t>BiK83K12----08</t>
  </si>
  <si>
    <t>BiK83a2K12--08</t>
  </si>
  <si>
    <t>BiK83a3K12--08</t>
  </si>
  <si>
    <t>BiK83bK12---08</t>
  </si>
  <si>
    <t>BiK83a2bK12-08</t>
  </si>
  <si>
    <t>BiK83a3bK12-08</t>
  </si>
  <si>
    <t>BiK84K12----08</t>
  </si>
  <si>
    <t>BiK85K12----08</t>
  </si>
  <si>
    <t>0,150-0,5 MW; Landschaftspflege; Gülleanteil &gt; 30 %</t>
  </si>
  <si>
    <t>§ 27 Abs. 5 EEG</t>
  </si>
  <si>
    <t>§ 27 Abs. 4 Satz 1 Nr. 1 EEG; Anlage 1 Punkt I., 2a</t>
  </si>
  <si>
    <t>Hinweise zu den Bezeichnungen der Vergütungskategorien</t>
  </si>
  <si>
    <t>Stellen 1-2:</t>
  </si>
  <si>
    <t>Ga = Deponie-, Klär- und Grubengas</t>
  </si>
  <si>
    <t>Ge = Geothermie</t>
  </si>
  <si>
    <t>So = Solarenergie</t>
  </si>
  <si>
    <t>Stelle 3:</t>
  </si>
  <si>
    <t xml:space="preserve">Wa = Wasser, </t>
  </si>
  <si>
    <t xml:space="preserve">Bi = Biomasse, </t>
  </si>
  <si>
    <t xml:space="preserve">Wi = Wind </t>
  </si>
  <si>
    <t xml:space="preserve">Stelle 4 </t>
  </si>
  <si>
    <t>4 für Wasserkraft sowie Deponie-, Klär- und Grubengas</t>
  </si>
  <si>
    <t>5 für Biomasse</t>
  </si>
  <si>
    <t>6 für Geothermie</t>
  </si>
  <si>
    <t>7 für Windenergie</t>
  </si>
  <si>
    <t>8 für Solarenergie</t>
  </si>
  <si>
    <t>Stelle 5</t>
  </si>
  <si>
    <t>Stelle 6</t>
  </si>
  <si>
    <t>Stellen 7-12 (außer Biomasse)</t>
  </si>
  <si>
    <t>Minuszeichen</t>
  </si>
  <si>
    <t>Die Kürzel für die gewährten Vergütungsboni werden in den Stellen 7 bis 12 nach und nach in folgender Reihenfolge eingeführt:</t>
  </si>
  <si>
    <t>1. NaWaRo-Bonus (a1, a2, a3, G, M1, M2, L, X1 oder X2)</t>
  </si>
  <si>
    <t>2. KWK-Bonus (KWK, KA3 oder K09)</t>
  </si>
  <si>
    <t>3. Formaldehyd-Bonus (y)</t>
  </si>
  <si>
    <t>Alle 3 Bonustypen sind – unter Beachtung der verschiedenen Geltungsbereiche (Vergütungszonen) – miteinander kombinierbar.</t>
  </si>
  <si>
    <t>Weitere, noch freie Stellen werden mit Minuszeichen aufgefüllt.</t>
  </si>
  <si>
    <t>Stellen 13 bis 14:</t>
  </si>
  <si>
    <t xml:space="preserve">Energieart: </t>
  </si>
  <si>
    <t>„K“ für Kategorie</t>
  </si>
  <si>
    <t xml:space="preserve">relevanter Paragraph aus dem EEG 2000: </t>
  </si>
  <si>
    <t>BiK51aM2y---03</t>
  </si>
  <si>
    <t>BiK51aM2KA3y03</t>
  </si>
  <si>
    <t>BiK51aM2K09y03</t>
  </si>
  <si>
    <t>BiK51aL-----03</t>
  </si>
  <si>
    <t>BiK51aLKA3--03</t>
  </si>
  <si>
    <t>BiK82Gy-----04</t>
  </si>
  <si>
    <t>BiK82GKWKy--04</t>
  </si>
  <si>
    <t>BiK82GKA3y--04</t>
  </si>
  <si>
    <t>BiK82GK09y--04</t>
  </si>
  <si>
    <t>BiK82M2-----04</t>
  </si>
  <si>
    <t>BiK82M2KWK--04</t>
  </si>
  <si>
    <t>BiK82M2KA3--04</t>
  </si>
  <si>
    <t>BiK82M2K09--04</t>
  </si>
  <si>
    <t>BiK82M2y----04</t>
  </si>
  <si>
    <t>BiK82M2KWKy-04</t>
  </si>
  <si>
    <t>BiK82M2KA3y-04</t>
  </si>
  <si>
    <t>BiK82M2K09y-04</t>
  </si>
  <si>
    <t>Die Kürzel für die gewährten Vergütungsboni werden in den Stellen 6 bis 7 in folgender Reihenfolge eingeführt:</t>
  </si>
  <si>
    <t>1. Wärmenutzungs-Bonus (W)</t>
  </si>
  <si>
    <t>2. Bonus für petrothermale Techniken (P)</t>
  </si>
  <si>
    <t>Die Bonustypen sind miteinander kombinierbar.</t>
  </si>
  <si>
    <t>Alle weiteren Stellen bis Stelle 12 werden mit Minuszeichen aufgefüllt</t>
  </si>
  <si>
    <t>Grundvergütung 7,56 ct (7,79ct*0,99^3, siehe § 27 Abs. 1 Nr. 4 EEG 2009) für Lstg.anteil 5-20 MW nicht ohne KWK-Bonus möglich, siehe § 27 Abs. 3 Nr. 1 EEG 2009</t>
  </si>
  <si>
    <t>WaK233BS----12</t>
  </si>
  <si>
    <t>WaK230BS----12</t>
  </si>
  <si>
    <t>WaK232BS----12</t>
  </si>
  <si>
    <t>Anteil KWK, erstmals 2012</t>
  </si>
  <si>
    <t>orange</t>
  </si>
  <si>
    <t>WaK231------12</t>
  </si>
  <si>
    <t>WaK234------12</t>
  </si>
  <si>
    <t>Inbetriebnahme 2012</t>
  </si>
  <si>
    <t>WaK231BS----12</t>
  </si>
  <si>
    <t>WaK234BS----12</t>
  </si>
  <si>
    <t>WaK230------12</t>
  </si>
  <si>
    <t>WaK232------12</t>
  </si>
  <si>
    <t>WaK233------12</t>
  </si>
  <si>
    <t>WaK235------12</t>
  </si>
  <si>
    <t>WaK236------12</t>
  </si>
  <si>
    <t>&gt; 50 MW</t>
  </si>
  <si>
    <t>WaK231M-----12</t>
  </si>
  <si>
    <t>WaK230M-----12</t>
  </si>
  <si>
    <t>WaK232M-----12</t>
  </si>
  <si>
    <t>WaK233M-----12</t>
  </si>
  <si>
    <t>WaK234M-----12</t>
  </si>
  <si>
    <t>WaK235M-----12</t>
  </si>
  <si>
    <t>WaK236M-----12</t>
  </si>
  <si>
    <t>0,5-2 MW</t>
  </si>
  <si>
    <t>2-5 MW</t>
  </si>
  <si>
    <t>5-10 MW</t>
  </si>
  <si>
    <t>10-20 MW</t>
  </si>
  <si>
    <t>20-50 MW</t>
  </si>
  <si>
    <t>0-0,5 MW, IB vor 01.01.2009, Modernisierung 2012</t>
  </si>
  <si>
    <t>0,5-2 MW, IB vor 01.01.2009, Modernisierung 2012</t>
  </si>
  <si>
    <t>2-5 MW, IB vor 01.01.2009, Modernisierung 2012</t>
  </si>
  <si>
    <t>5-10 MW, IB vor 01.01.2009, Modernisierung 2012</t>
  </si>
  <si>
    <t>10-20 MW, IB vor 01.01.2009, Modernisierung 2012</t>
  </si>
  <si>
    <t>20-50 MW, IB vor 01.01.2009, Modernisierung 2012</t>
  </si>
  <si>
    <t>&gt; 50 MW, IB vor 01.01.2009, Modernisierung 2012</t>
  </si>
  <si>
    <t>Bonushöhe bei Inbetriebnahme in 2012</t>
  </si>
  <si>
    <t>GaK75-------05</t>
  </si>
  <si>
    <t>GaK76-------05</t>
  </si>
  <si>
    <t>GaK71-------06</t>
  </si>
  <si>
    <t>GaK72-------06</t>
  </si>
  <si>
    <t>GaK73-------06</t>
  </si>
  <si>
    <t>GaK74-------06</t>
  </si>
  <si>
    <t>GaK75-------06</t>
  </si>
  <si>
    <t>GaK76-------06</t>
  </si>
  <si>
    <t>GaK71-------07</t>
  </si>
  <si>
    <t>GaK72-------07</t>
  </si>
  <si>
    <t>GaK73-------07</t>
  </si>
  <si>
    <t>GaK74-------07</t>
  </si>
  <si>
    <t>GaK75-------07</t>
  </si>
  <si>
    <t>GaK76-------07</t>
  </si>
  <si>
    <t>GaK71-------08</t>
  </si>
  <si>
    <t>GaK72-------08</t>
  </si>
  <si>
    <t>GaK73-------08</t>
  </si>
  <si>
    <t>GaK74-------08</t>
  </si>
  <si>
    <t>GaK75-------08</t>
  </si>
  <si>
    <t>GaK76-------08</t>
  </si>
  <si>
    <t>GeK61a------01</t>
  </si>
  <si>
    <t>Geothermie</t>
  </si>
  <si>
    <t xml:space="preserve"> 0-20 MW</t>
  </si>
  <si>
    <t>GeK62a------01</t>
  </si>
  <si>
    <t>GeK61a------02</t>
  </si>
  <si>
    <t>GeK62a------02</t>
  </si>
  <si>
    <t>GeK61a------03</t>
  </si>
  <si>
    <t>GeK62a------03</t>
  </si>
  <si>
    <t>GeK61a------04</t>
  </si>
  <si>
    <t>GeK62a------04</t>
  </si>
  <si>
    <t>GeK91-------04</t>
  </si>
  <si>
    <t xml:space="preserve"> 0-5 MW</t>
  </si>
  <si>
    <t>GeK92-------04</t>
  </si>
  <si>
    <t xml:space="preserve"> 5-10 MW</t>
  </si>
  <si>
    <t>GeK93-------04</t>
  </si>
  <si>
    <t xml:space="preserve"> 10-20 MW</t>
  </si>
  <si>
    <t>GeK94-------04</t>
  </si>
  <si>
    <t>GeK91-------05</t>
  </si>
  <si>
    <t>GeK92-------05</t>
  </si>
  <si>
    <t>GeK93-------05</t>
  </si>
  <si>
    <t>GeK94-------05</t>
  </si>
  <si>
    <t>GeK91-------06</t>
  </si>
  <si>
    <t>GeK92-------06</t>
  </si>
  <si>
    <t>GeK93-------06</t>
  </si>
  <si>
    <t>GeK94-------06</t>
  </si>
  <si>
    <t>GeK91-------07</t>
  </si>
  <si>
    <t>GeK92-------07</t>
  </si>
  <si>
    <t>GeK93-------07</t>
  </si>
  <si>
    <t>GeK94-------07</t>
  </si>
  <si>
    <t>GeK91-------08</t>
  </si>
  <si>
    <t>GeK92-------08</t>
  </si>
  <si>
    <t>GeK93-------08</t>
  </si>
  <si>
    <t>GeK94-------08</t>
  </si>
  <si>
    <t>WiK71a------01</t>
  </si>
  <si>
    <t>Wind</t>
  </si>
  <si>
    <t>Anfangsvergütung</t>
  </si>
  <si>
    <t>WiK72a------01</t>
  </si>
  <si>
    <t>Endvergütung</t>
  </si>
  <si>
    <t>WiK71a------02</t>
  </si>
  <si>
    <t>WiK72a------02</t>
  </si>
  <si>
    <t>WiK71a------03</t>
  </si>
  <si>
    <t>WiK72a------03</t>
  </si>
  <si>
    <t>WiK71a------04</t>
  </si>
  <si>
    <t>WiK72a------04</t>
  </si>
  <si>
    <t>WiK101------04</t>
  </si>
  <si>
    <t>WiK102------04</t>
  </si>
  <si>
    <t>WiK103------04</t>
  </si>
  <si>
    <t>WiK104------04</t>
  </si>
  <si>
    <t>WiK101------05</t>
  </si>
  <si>
    <t>WiK102------05</t>
  </si>
  <si>
    <t>WiK103------05</t>
  </si>
  <si>
    <t>WiK104------05</t>
  </si>
  <si>
    <t>BiK81X1by---04</t>
  </si>
  <si>
    <t>BiK81X1bKWKy04</t>
  </si>
  <si>
    <t>BiK81X1bKA3y04</t>
  </si>
  <si>
    <t>BiK81X1bK09y04</t>
  </si>
  <si>
    <t>BiK81X1by---05</t>
  </si>
  <si>
    <t>BiK81X1bKWKy05</t>
  </si>
  <si>
    <t>BiK81X1bKA3y05</t>
  </si>
  <si>
    <t>BiK81X1bK09y05</t>
  </si>
  <si>
    <t>BiK81X1by---06</t>
  </si>
  <si>
    <t>BiK81X1bKWKy06</t>
  </si>
  <si>
    <t>BiK81X1bKA3y06</t>
  </si>
  <si>
    <t>BiK81X1bK09y06</t>
  </si>
  <si>
    <t>BiK81X1by---07</t>
  </si>
  <si>
    <t>BiK81X1bKWKy07</t>
  </si>
  <si>
    <t>BiK81X1bKA3y07</t>
  </si>
  <si>
    <t>BiK81X1bK09y07</t>
  </si>
  <si>
    <t>BiK81X1by---08</t>
  </si>
  <si>
    <t>BiK81X1bKWKy08</t>
  </si>
  <si>
    <t>BiK81X1bKA3y08</t>
  </si>
  <si>
    <t>BiK81X1bK09y08</t>
  </si>
  <si>
    <t>BiK81M1KWKy-07</t>
  </si>
  <si>
    <t>BiK81M1KA3y-07</t>
  </si>
  <si>
    <t>BiK81M1K09y-07</t>
  </si>
  <si>
    <t>BiK81L------07</t>
  </si>
  <si>
    <t>BiK81LKWK---07</t>
  </si>
  <si>
    <t>BiK81LKA3---07</t>
  </si>
  <si>
    <t>BiK81LK09---07</t>
  </si>
  <si>
    <t>0,150-0,5 MW, Bonusregeln a1, i, K</t>
  </si>
  <si>
    <t>0,150-0,5 MW, Bonusregeln a1, i</t>
  </si>
  <si>
    <t>0,150-0,5 MW, Bonusregeln t1, a1, i</t>
  </si>
  <si>
    <t>0,150-0,5 MW, Bonusregeln t1, a1, i, K</t>
  </si>
  <si>
    <t>0,150-0,5 MW, Bonusregeln t2, a1, i</t>
  </si>
  <si>
    <t>0,150-0,5 MW, Bonusregeln t2, a1, i, K</t>
  </si>
  <si>
    <t>X1</t>
  </si>
  <si>
    <t>X2</t>
  </si>
  <si>
    <t>0,150-0,5 MW, Bonusregeln t1, X2</t>
  </si>
  <si>
    <t>0,150-0,5 MW, Bonusregeln t1, X2, i</t>
  </si>
  <si>
    <t>0,150-0,5 MW, Bonusregeln t2, X2</t>
  </si>
  <si>
    <t>0,150-0,5 MW, Bonusregeln t2, X2, i</t>
  </si>
  <si>
    <t>0,150-0,5 MW, Bonusregeln t3, X2</t>
  </si>
  <si>
    <t>WaK230BS----13</t>
  </si>
  <si>
    <t>WaK231BS----13</t>
  </si>
  <si>
    <t>WaK232BS----13</t>
  </si>
  <si>
    <t>WaK233BS----13</t>
  </si>
  <si>
    <t>WaK234BS----13</t>
  </si>
  <si>
    <t>Vergütungskategorie ist 2012/2013 neu nach EEG 2009</t>
  </si>
  <si>
    <t>SgK334-----aMW</t>
  </si>
  <si>
    <t>SoK334-----aMW</t>
  </si>
  <si>
    <t>Verringerung auf Jahres-Marktwert nach § 33 Abs. 4 (Verstoß gegen getrennte Messung)</t>
  </si>
  <si>
    <t>Verringerung auf Jahres-Marktwert nach § 33 Abs. 2 (Überschreitung 90 %) für Anlagen ohne RLM-Messung</t>
  </si>
  <si>
    <t>Sonstige Kategorien</t>
  </si>
  <si>
    <t>0,150-0,5 MW, Bonusregeln t2, i, K</t>
  </si>
  <si>
    <t>BiK271t3i---09</t>
  </si>
  <si>
    <t>BiK271t3iK--09</t>
  </si>
  <si>
    <t>0,150-0,5 MW, Bonusregeln t3, i</t>
  </si>
  <si>
    <t>0,150-0,5 MW, Bonusregeln t3, i, K</t>
  </si>
  <si>
    <t>BiK51nGKA3--02</t>
  </si>
  <si>
    <t>BiK51nGK09--02</t>
  </si>
  <si>
    <t>BiK51nGy----02</t>
  </si>
  <si>
    <t>BiK51nGKA3y-02</t>
  </si>
  <si>
    <t>BiK51nGK09y-02</t>
  </si>
  <si>
    <t>BiK51nM1----02</t>
  </si>
  <si>
    <t>BiK51nM1KA3-02</t>
  </si>
  <si>
    <t>BiK51nM1K09-02</t>
  </si>
  <si>
    <t>BiK51nM1y---02</t>
  </si>
  <si>
    <t>BiK51nM1KA3y02</t>
  </si>
  <si>
    <t>BiK51nM1K09y02</t>
  </si>
  <si>
    <t>BiK51nL-----02</t>
  </si>
  <si>
    <t>BiK51nLKA3--02</t>
  </si>
  <si>
    <t>BiK51nLK09--02</t>
  </si>
  <si>
    <t>BiK51nLy----02</t>
  </si>
  <si>
    <t>BiK51nLKA3y-02</t>
  </si>
  <si>
    <t>BiK51nLK09y-02</t>
  </si>
  <si>
    <t>BiK51nX1----02</t>
  </si>
  <si>
    <t>BiK51nX1KA3-02</t>
  </si>
  <si>
    <t>BiK51nX1K09-02</t>
  </si>
  <si>
    <t>BiK51nX1y---02</t>
  </si>
  <si>
    <t>BiK51nX1KA3y02</t>
  </si>
  <si>
    <t>BiK51nX1K09y02</t>
  </si>
  <si>
    <t>BiK51nG-----01</t>
  </si>
  <si>
    <t>BiK51nGKA3--01</t>
  </si>
  <si>
    <t>BiK51nGK09--01</t>
  </si>
  <si>
    <t>BiK51nGy----01</t>
  </si>
  <si>
    <t>BiK51nGKA3y-01</t>
  </si>
  <si>
    <t>BiK51nGK09y-01</t>
  </si>
  <si>
    <t>BiK51nM1----01</t>
  </si>
  <si>
    <t>BiK51nM1KA3-01</t>
  </si>
  <si>
    <t>BiK51nM1K09-01</t>
  </si>
  <si>
    <t>BiK51nM1y---01</t>
  </si>
  <si>
    <t>BiK51nM1KA3y01</t>
  </si>
  <si>
    <t>BiK51nM1K09y01</t>
  </si>
  <si>
    <t>BiK51nL-----01</t>
  </si>
  <si>
    <t>BiK51nLKA3--01</t>
  </si>
  <si>
    <t>BiK51aM2KA3y01</t>
  </si>
  <si>
    <t>BiK51aM2K09y01</t>
  </si>
  <si>
    <t>BiK51aL-----01</t>
  </si>
  <si>
    <t>BiK51aLKA3--01</t>
  </si>
  <si>
    <t>BiK51aLK09--01</t>
  </si>
  <si>
    <t>BiK51aLy----01</t>
  </si>
  <si>
    <t>BiK51aLKA3y-01</t>
  </si>
  <si>
    <t>BiK51aLK09y-01</t>
  </si>
  <si>
    <t>BiK51aX2----01</t>
  </si>
  <si>
    <t>BiK51aX2KA3-01</t>
  </si>
  <si>
    <t>WnK290S-----13</t>
  </si>
  <si>
    <t>WnK291------13</t>
  </si>
  <si>
    <t>WrK300------13</t>
  </si>
  <si>
    <t>WrK300S-----13</t>
  </si>
  <si>
    <t>WrK301------13</t>
  </si>
  <si>
    <t>WfK310------13</t>
  </si>
  <si>
    <t>WfK311------13</t>
  </si>
  <si>
    <t>(bis einschließlich 2017; 7,0 % ab 2018)</t>
  </si>
  <si>
    <t>Die Strommengen fließen in die Berechnung der Bemessungsleistung ein, nicht jedoch in den bundesweiten Belastungsausgleich oder die Berechnung der vNNE.</t>
  </si>
  <si>
    <t>WiK33b1eMPMJan</t>
  </si>
  <si>
    <t>WiK33b1eMPMFeb</t>
  </si>
  <si>
    <t>WiK33b1eMPMMrz</t>
  </si>
  <si>
    <t>WiK33b1eMPMApr</t>
  </si>
  <si>
    <t>WiK33b1eMPMMai</t>
  </si>
  <si>
    <t>WiK33b1eMPMJun</t>
  </si>
  <si>
    <t>WiK33b1eMPMJul</t>
  </si>
  <si>
    <t>WiK33b1eMPMAug</t>
  </si>
  <si>
    <t>WiK33b1eMPMSep</t>
  </si>
  <si>
    <t>WiK33b1eMPMOkt</t>
  </si>
  <si>
    <t>WiK33b1eMPMNov</t>
  </si>
  <si>
    <t>WiK33b1eMPMDez</t>
  </si>
  <si>
    <t>Marktprämie für Kalendermonat Januar bei Fernsteuerbarkeit nach § 3 Abs. 1 MaPrV (erhöhte Managementprämie)</t>
  </si>
  <si>
    <t>Marktprämie für Kalendermonat Februar bei Fernsteuerbarkeit nach § 3 Abs. 1 MaPrV (erhöhte Managementprämie)</t>
  </si>
  <si>
    <t>Marktprämie für Kalendermonat März bei Fernsteuerbarkeit nach § 3 Abs. 1 MaPrV (erhöhte Managementprämie)</t>
  </si>
  <si>
    <t>Marktprämie für Kalendermonat April bei Fernsteuerbarkeit nach § 3 Abs. 1 MaPrV (erhöhte Managementprämie)</t>
  </si>
  <si>
    <t>Marktprämie für Kalendermonat Mai bei Fernsteuerbarkeit nach § 3 Abs. 1 MaPrV (erhöhte Managementprämie)</t>
  </si>
  <si>
    <t>Marktprämie für Kalendermonat Juni bei Fernsteuerbarkeit nach § 3 Abs. 1 MaPrV (erhöhte Managementprämie)</t>
  </si>
  <si>
    <t>Marktprämie für Kalendermonat Juli bei Fernsteuerbarkeit nach § 3 Abs. 1 MaPrV (erhöhte Managementprämie)</t>
  </si>
  <si>
    <t>Marktprämie für Kalendermonat August bei Fernsteuerbarkeit nach § 3 Abs. 1 MaPrV (erhöhte Managementprämie)</t>
  </si>
  <si>
    <t>Marktprämie für Kalendermonat September bei Fernsteuerbarkeit nach § 3 Abs. 1 MaPrV (erhöhte Managementprämie)</t>
  </si>
  <si>
    <t>Marktprämie für Kalendermonat Oktober bei Fernsteuerbarkeit nach § 3 Abs. 1 MaPrV (erhöhte Managementprämie)</t>
  </si>
  <si>
    <t>Marktprämie für Kalendermonat November bei Fernsteuerbarkeit nach § 3 Abs. 1 MaPrV (erhöhte Managementprämie)</t>
  </si>
  <si>
    <t>Marktprämie für Kalendermonat Dezember bei Fernsteuerbarkeit nach § 3 Abs. 1 MaPrV (erhöhte Managementprämie)</t>
  </si>
  <si>
    <t>WaK41a------02</t>
  </si>
  <si>
    <t>BiK81X1bKWK-07</t>
  </si>
  <si>
    <t>BiK81X1bKA3-07</t>
  </si>
  <si>
    <t>BiK82Gb-----08</t>
  </si>
  <si>
    <t>BiK82GbKWK--08</t>
  </si>
  <si>
    <t>BiK82GbKA3--08</t>
  </si>
  <si>
    <t>BiK82GbK09--08</t>
  </si>
  <si>
    <t>BiK82Gby----08</t>
  </si>
  <si>
    <t>BiK82GbKWKy-08</t>
  </si>
  <si>
    <t>BiK82GbKA3y-08</t>
  </si>
  <si>
    <t>BiK82GbK09y-08</t>
  </si>
  <si>
    <t>BiK82Lb-----08</t>
  </si>
  <si>
    <t>BiK82LbKWK--08</t>
  </si>
  <si>
    <t>BiK82LbKA3--08</t>
  </si>
  <si>
    <t>BiK82LbK09--08</t>
  </si>
  <si>
    <t>BiK82Lby----08</t>
  </si>
  <si>
    <t>BiK82LbKWKy-08</t>
  </si>
  <si>
    <t>BiK82LbKA3y-08</t>
  </si>
  <si>
    <t>BiK82LbK09y-08</t>
  </si>
  <si>
    <t>Vergütungsberechnung für Anlagen mit Inbetriebnahmejahr 2007</t>
  </si>
  <si>
    <t>Vergütungsberechnung für Anlagen mit Inbetriebnahmejahr 2006</t>
  </si>
  <si>
    <t>Vergütungsberechnung für Anlagen mit Inbetriebnahmejahr 2005</t>
  </si>
  <si>
    <t>Vergütungsberechnung für Anlagen mit Inbetriebnahmejahr 2004</t>
  </si>
  <si>
    <t>BiK81G------07</t>
  </si>
  <si>
    <t>BiK81GKWK---07</t>
  </si>
  <si>
    <t>BiK81GKA3---07</t>
  </si>
  <si>
    <t>BiK81GK09---07</t>
  </si>
  <si>
    <t>BiK81Gy-----07</t>
  </si>
  <si>
    <t>BiK81GKWKy--07</t>
  </si>
  <si>
    <t>BiK81GKA3y--07</t>
  </si>
  <si>
    <t>BiK81GK09y--07</t>
  </si>
  <si>
    <t>BiK81M1-----07</t>
  </si>
  <si>
    <t>BiK81M1KWK--07</t>
  </si>
  <si>
    <t>BiK81M1KA3--07</t>
  </si>
  <si>
    <t>BiK81M1K09--07</t>
  </si>
  <si>
    <t>BiK81M1y----07</t>
  </si>
  <si>
    <t>&gt; 10 MW</t>
  </si>
  <si>
    <t>BiK81LbKA3--04</t>
  </si>
  <si>
    <t>BiK81LbK09--04</t>
  </si>
  <si>
    <t>BiK81Lby----04</t>
  </si>
  <si>
    <t>BiK81LbKWKy-04</t>
  </si>
  <si>
    <t>WiK102S-----08</t>
  </si>
  <si>
    <t>Bezeichnung</t>
  </si>
  <si>
    <t>Energieträger</t>
  </si>
  <si>
    <t>Inbetriebnahme</t>
  </si>
  <si>
    <t>Weitere Kriterien</t>
  </si>
  <si>
    <t>Anteilige Zuordnung</t>
  </si>
  <si>
    <t>WaK41a------01</t>
  </si>
  <si>
    <t>Wasser</t>
  </si>
  <si>
    <t>Inbetriebnahme bis 2001</t>
  </si>
  <si>
    <t>WaK42a------01</t>
  </si>
  <si>
    <t>WaK-ap------FG</t>
  </si>
  <si>
    <t>BiK-ap------FG</t>
  </si>
  <si>
    <t>GaK-ap------FG</t>
  </si>
  <si>
    <t>DeK-ap------FG</t>
  </si>
  <si>
    <t>KlK-ap------FG</t>
  </si>
  <si>
    <t>GrK-ap------FG</t>
  </si>
  <si>
    <t>GeK-ap------FG</t>
  </si>
  <si>
    <t>WiK-ap------FG</t>
  </si>
  <si>
    <t>WnK-ap------FG</t>
  </si>
  <si>
    <t>WrK-ap------FG</t>
  </si>
  <si>
    <t>WfK-ap------FG</t>
  </si>
  <si>
    <t>SoK-ap------FG</t>
  </si>
  <si>
    <t>SgK-ap------FG</t>
  </si>
  <si>
    <t>In der Regel wird es sich ausschließlich um eine nachträglich erhöhte Vergütungsansprüche handeln, während die Strommengen bereits in den Belastungsausgleich eingebracht worden sind. In diesem Fall ist keine Strommenge anzugeben, sondern nur der nachträgliche Vergütungsanspruch als Differenz zur bereits abgerechneten Vergütung. Sollte im konkreten Fall die Strommengen noch nicht in den Belastungsausgleich eingebracht worden sein, sind diese Strommengen zusätzlich anzugeben und in die Berechnung der vNNE einzubeziehen. Erhöht sich nachträglich die auszuzahlende Marktprämie, sind die dafür vorgesehenen Kategorien analog zu verwenden.</t>
  </si>
  <si>
    <t>WaK-ap-----MPM</t>
  </si>
  <si>
    <t>BiK-ap-----MPM</t>
  </si>
  <si>
    <t>GaK-ap-----MPM</t>
  </si>
  <si>
    <t>DeK-ap-----MPM</t>
  </si>
  <si>
    <t>KlK-ap-----MPM</t>
  </si>
  <si>
    <t>GrK-ap-----MPM</t>
  </si>
  <si>
    <t>GeK-ap-----MPM</t>
  </si>
  <si>
    <t>WiK-ap-----MPM</t>
  </si>
  <si>
    <t>WnK-ap-----MPM</t>
  </si>
  <si>
    <t>WrK-ap-----MPM</t>
  </si>
  <si>
    <t>WfK-ap-----MPM</t>
  </si>
  <si>
    <t>SoK-ap-----MPM</t>
  </si>
  <si>
    <t>SgK-ap-----MPM</t>
  </si>
  <si>
    <t>blassblau</t>
  </si>
  <si>
    <t>De = Deponiegas (ab Inbetriebnahmejahr 2009)</t>
  </si>
  <si>
    <t>Kl = Klärgas (ab Inbetriebnahmejahr 2009)</t>
  </si>
  <si>
    <t>Gr = Grubengas (ab Inbetriebnahmejahr 2009)</t>
  </si>
  <si>
    <t>Wn = Wind onshore (ab Inbetriebnahmejahr 2009)</t>
  </si>
  <si>
    <t>Wr = Wind Repowering (ab Inbetriebnahmejahr 2009)</t>
  </si>
  <si>
    <t>So = Solarenergie-Freiflächenanlagen</t>
  </si>
  <si>
    <t xml:space="preserve">Stellen 4-5 </t>
  </si>
  <si>
    <t>24 für Deponiegas</t>
  </si>
  <si>
    <t>25 für Klärgas</t>
  </si>
  <si>
    <t>26 für Grubengas</t>
  </si>
  <si>
    <t>27 für Biomasse</t>
  </si>
  <si>
    <t>28 für Geothermie</t>
  </si>
  <si>
    <t>29 für Windenergie an Land</t>
  </si>
  <si>
    <t>30 für Windenergie an Land Repowering</t>
  </si>
  <si>
    <t>31 für Windenergie offshore</t>
  </si>
  <si>
    <t>32 für Solarenergie (Freiflächenanlagen)</t>
  </si>
  <si>
    <t>33 für Solarenergie an oder auf Gebäuden</t>
  </si>
  <si>
    <t>a) Wasserkraft: modernisierte Anlage oder Neubau</t>
  </si>
  <si>
    <t>b) Windenergie: Anfangs- oder Endvergütung</t>
  </si>
  <si>
    <t>c) Solarenergie: „normale“ Vergütung oder Eigenverbrauch</t>
  </si>
  <si>
    <t>1. Technologiebonus (t1, t2, t3)</t>
  </si>
  <si>
    <t>BiK51nK13---02</t>
  </si>
  <si>
    <t>BiK51nK13y--02</t>
  </si>
  <si>
    <t>BiK51aK13---02</t>
  </si>
  <si>
    <t>BiK51aK13y--02</t>
  </si>
  <si>
    <t>BiK52aK13---02</t>
  </si>
  <si>
    <t>BiK81M1K13y-05</t>
  </si>
  <si>
    <t>BiK82M2K13y-05</t>
  </si>
  <si>
    <t>BiK51na1K13-01</t>
  </si>
  <si>
    <t>BiK51aa1K13-01</t>
  </si>
  <si>
    <t>BiK52aa2K13-01</t>
  </si>
  <si>
    <t>BiK81K13----06</t>
  </si>
  <si>
    <t>BiK82K13----06</t>
  </si>
  <si>
    <t>BiK83K13----06</t>
  </si>
  <si>
    <t>BiK82M2K13--05</t>
  </si>
  <si>
    <t>BiK81M1K13--05</t>
  </si>
  <si>
    <t>BiK81a1KA3--08</t>
  </si>
  <si>
    <t>BiK81bKA3---08</t>
  </si>
  <si>
    <t>BiK81a1bKA3-08</t>
  </si>
  <si>
    <t>BiK82KA3----08</t>
  </si>
  <si>
    <t>BiK82a1KA3--08</t>
  </si>
  <si>
    <t>BiK82bKA3---08</t>
  </si>
  <si>
    <t>BiK82a1bKA3-08</t>
  </si>
  <si>
    <t>BiK84K09----04</t>
  </si>
  <si>
    <t>BiK81K09----05</t>
  </si>
  <si>
    <t>BiK81a1K09--05</t>
  </si>
  <si>
    <t>BiK81bK09---05</t>
  </si>
  <si>
    <t>BiK81a1bK09-05</t>
  </si>
  <si>
    <t>BiK82K09----05</t>
  </si>
  <si>
    <t>BiK82a1K09--05</t>
  </si>
  <si>
    <t>BiK82bK09---05</t>
  </si>
  <si>
    <t>BiK82a1bK09-05</t>
  </si>
  <si>
    <t>BiK83K09----05</t>
  </si>
  <si>
    <t>BiK83a2K09--05</t>
  </si>
  <si>
    <t>BiK83a3K09--05</t>
  </si>
  <si>
    <t>BiK83bK09---05</t>
  </si>
  <si>
    <t>BiK83a2bK09-05</t>
  </si>
  <si>
    <t>BiK83a3bK09-05</t>
  </si>
  <si>
    <t>BiK84K09----05</t>
  </si>
  <si>
    <t>BiK81K09----06</t>
  </si>
  <si>
    <t>BiK81a1K09--06</t>
  </si>
  <si>
    <t>t1</t>
  </si>
  <si>
    <t>t2</t>
  </si>
  <si>
    <t>t3</t>
  </si>
  <si>
    <t>&lt; 5 MW</t>
  </si>
  <si>
    <t>ah</t>
  </si>
  <si>
    <t>0,5-5 MW, Bonusregeln t1, ah</t>
  </si>
  <si>
    <t>0,5-5 MW, Bonusregeln t2, ah</t>
  </si>
  <si>
    <t>0,5-5 MW, Bonusregeln t3, ah</t>
  </si>
  <si>
    <t>M1</t>
  </si>
  <si>
    <t>M2</t>
  </si>
  <si>
    <t>BiK81LbKA3y-04</t>
  </si>
  <si>
    <t>BiK81LbK09y-04</t>
  </si>
  <si>
    <t>BiK81X1b----04</t>
  </si>
  <si>
    <t>BiK81X1bKWK-04</t>
  </si>
  <si>
    <t>BiK81X1bKA3-04</t>
  </si>
  <si>
    <t>BiK81X1bK09-04</t>
  </si>
  <si>
    <t>BiK82G------04</t>
  </si>
  <si>
    <t>SoK320------10</t>
  </si>
  <si>
    <t>SgK330------10</t>
  </si>
  <si>
    <t>SgK331------10</t>
  </si>
  <si>
    <t>SgK332------10</t>
  </si>
  <si>
    <t>SgK333------10</t>
  </si>
  <si>
    <t>SgK3341-----10</t>
  </si>
  <si>
    <t>SgK3342-----10</t>
  </si>
  <si>
    <t>Inbetriebnahme 2010</t>
  </si>
  <si>
    <t>Degressionssatz für Freiflächenanlagen</t>
  </si>
  <si>
    <t>Degressionssatz für Vergütungssätze nach § 33 Abs. 1 Nr. 1 EEG</t>
  </si>
  <si>
    <t>Degressionssatz für Vergütungssätze nach § 33 Abs. 1 Nr. 2 EEG</t>
  </si>
  <si>
    <t>Degressionssatz für Vergütungssätze nach § 33 Abs. 1 Nr. 3 EEG</t>
  </si>
  <si>
    <t>Degressionssatz für Vergütungssätze nach § 33 Abs. 1 Nr. 4 EEG</t>
  </si>
  <si>
    <t>Degressionssatz für Vergütungssätze nach § 33 Abs. 2 EEG</t>
  </si>
  <si>
    <t>BiK270------10</t>
  </si>
  <si>
    <t>BiK270K-----10</t>
  </si>
  <si>
    <t>BiK270i-----10</t>
  </si>
  <si>
    <t>BiK270iK----10</t>
  </si>
  <si>
    <t>BiK270a1----10</t>
  </si>
  <si>
    <t>BiK270a1K---10</t>
  </si>
  <si>
    <t>BiK270a1i---10</t>
  </si>
  <si>
    <t>BiK270a1iK--10</t>
  </si>
  <si>
    <t>BiK270G-----10</t>
  </si>
  <si>
    <t>BiK270GK----10</t>
  </si>
  <si>
    <t>BiK270Gi----10</t>
  </si>
  <si>
    <t>BiK270GiK---10</t>
  </si>
  <si>
    <t>BiK270L-----10</t>
  </si>
  <si>
    <t>BiK270LK----10</t>
  </si>
  <si>
    <t>BiK270Li----10</t>
  </si>
  <si>
    <t>BiK270LiK---10</t>
  </si>
  <si>
    <t>BiK270M1----10</t>
  </si>
  <si>
    <t>BiK270M1K---10</t>
  </si>
  <si>
    <t>BiK270M1i---10</t>
  </si>
  <si>
    <t>BiK270M1iK--10</t>
  </si>
  <si>
    <t>BiK270X1----10</t>
  </si>
  <si>
    <t>BiK270X1K---10</t>
  </si>
  <si>
    <t>BiK270X1i---10</t>
  </si>
  <si>
    <t>BiK270X1iK--10</t>
  </si>
  <si>
    <t>BiK270t1----10</t>
  </si>
  <si>
    <t>BiK270t1K---10</t>
  </si>
  <si>
    <t>BiK270t1i---10</t>
  </si>
  <si>
    <t>BiK270t1iK--10</t>
  </si>
  <si>
    <t>BiK270t1a1--10</t>
  </si>
  <si>
    <t>BiK270t1a1K-10</t>
  </si>
  <si>
    <t>BiK270t1a1i-10</t>
  </si>
  <si>
    <t>BiK270t1a1iK10</t>
  </si>
  <si>
    <t>BiK270t1G---10</t>
  </si>
  <si>
    <t>BiK270t1GK--10</t>
  </si>
  <si>
    <t>BiK270t1Gi--10</t>
  </si>
  <si>
    <t>BiK270t1GiK-10</t>
  </si>
  <si>
    <t>BiK270t1L---10</t>
  </si>
  <si>
    <t>BiK270t1LK--10</t>
  </si>
  <si>
    <t>BiK270t1Li--10</t>
  </si>
  <si>
    <t>BiK270t1LiK-10</t>
  </si>
  <si>
    <t>BiK270t1M1--10</t>
  </si>
  <si>
    <t>BiK270t1M1K-10</t>
  </si>
  <si>
    <t>BiK81M1b----05</t>
  </si>
  <si>
    <t>BiK81M1bKWK-05</t>
  </si>
  <si>
    <t>BiK81M1bKA3-05</t>
  </si>
  <si>
    <t>BiK81M1bK09-05</t>
  </si>
  <si>
    <t>BiK81M1by---05</t>
  </si>
  <si>
    <t>BiK81M1bKWKy05</t>
  </si>
  <si>
    <t>BiK81M1bKA3y05</t>
  </si>
  <si>
    <t>BiK81M1bK09y05</t>
  </si>
  <si>
    <t>BiK81Lb-----05</t>
  </si>
  <si>
    <t>BiK81LbKWK--05</t>
  </si>
  <si>
    <t>BiK81LbKA3--05</t>
  </si>
  <si>
    <t>BiK81LbK09--05</t>
  </si>
  <si>
    <t>BiK81Lby----05</t>
  </si>
  <si>
    <t>BiK81LbKWKy-05</t>
  </si>
  <si>
    <t>BiK81LbKA3y-05</t>
  </si>
  <si>
    <t>BiK81LbK09y-05</t>
  </si>
  <si>
    <t>BiK81X1b----05</t>
  </si>
  <si>
    <t>BiK81X1bKWK-05</t>
  </si>
  <si>
    <t>BiK81X1bKA3-05</t>
  </si>
  <si>
    <t>BiK81X1bK09-05</t>
  </si>
  <si>
    <t>BiK82G------05</t>
  </si>
  <si>
    <t>BiK82GKWK---05</t>
  </si>
  <si>
    <t>BiK82GKA3---05</t>
  </si>
  <si>
    <t>BiK82GK09---05</t>
  </si>
  <si>
    <t>BiK82Gy-----05</t>
  </si>
  <si>
    <t>BiK82GKWKy--05</t>
  </si>
  <si>
    <t>BiK82GKA3y--05</t>
  </si>
  <si>
    <t>BiK82GK09y--05</t>
  </si>
  <si>
    <t>BiK82M2-----05</t>
  </si>
  <si>
    <t>BiK82M2KWK--05</t>
  </si>
  <si>
    <t>BiK82M2KA3--05</t>
  </si>
  <si>
    <t>BiK82M2K09--05</t>
  </si>
  <si>
    <t>BiK82M2y----05</t>
  </si>
  <si>
    <t>BiK82M2KWKy-05</t>
  </si>
  <si>
    <t>BiK82M2KA3y-05</t>
  </si>
  <si>
    <t>BiK82M2K09y-05</t>
  </si>
  <si>
    <t>BiK82L------05</t>
  </si>
  <si>
    <t>BiK82LKWK---05</t>
  </si>
  <si>
    <t>BiK82LKA3---05</t>
  </si>
  <si>
    <t>BiK82LK09---05</t>
  </si>
  <si>
    <t>BiK82Ly-----05</t>
  </si>
  <si>
    <t>BiK82LKWKy--05</t>
  </si>
  <si>
    <t>BiK82LKA3y--05</t>
  </si>
  <si>
    <t>BiK82LK09y--05</t>
  </si>
  <si>
    <t>BiK82X2-----05</t>
  </si>
  <si>
    <t>BiK82X2KWK--05</t>
  </si>
  <si>
    <t>BiK82X2KA3--05</t>
  </si>
  <si>
    <t>BiK82X2K09--05</t>
  </si>
  <si>
    <t>BiK82X2y----05</t>
  </si>
  <si>
    <t>BiK82X2KWKy-05</t>
  </si>
  <si>
    <t>BiK82X2KA3y-05</t>
  </si>
  <si>
    <t>BiK82X2K09y-05</t>
  </si>
  <si>
    <t>BiK82Gb-----05</t>
  </si>
  <si>
    <t>BiK82GbKWK--05</t>
  </si>
  <si>
    <t>BiK82GbKA3--05</t>
  </si>
  <si>
    <t>BiK82GbK09--05</t>
  </si>
  <si>
    <t>BiK82Gby----05</t>
  </si>
  <si>
    <t>BiK82GbKWKy-05</t>
  </si>
  <si>
    <t>BiK82GbKA3y-05</t>
  </si>
  <si>
    <t>BiK82GbK09y-05</t>
  </si>
  <si>
    <t>BiK82Lb-----05</t>
  </si>
  <si>
    <t>BiK82LbKWK--05</t>
  </si>
  <si>
    <t>BiK82LbKA3--05</t>
  </si>
  <si>
    <t>BiK82LbK09--05</t>
  </si>
  <si>
    <t>BiK82Lby----05</t>
  </si>
  <si>
    <t>BiK82LbKWKy-05</t>
  </si>
  <si>
    <t>BiK82LbKA3y-05</t>
  </si>
  <si>
    <t>BiK82LbK09y-05</t>
  </si>
  <si>
    <t>BiK81G------04</t>
  </si>
  <si>
    <t>BiK81GKWK---04</t>
  </si>
  <si>
    <t>WnK1723-----MW</t>
  </si>
  <si>
    <t>WrK1723-----MW</t>
  </si>
  <si>
    <t>WfK1723-----MW</t>
  </si>
  <si>
    <t>SoK1723-----MW</t>
  </si>
  <si>
    <t>SgK1723-----MW</t>
  </si>
  <si>
    <t>WaK1724-----MW</t>
  </si>
  <si>
    <t>BiK1724-----MW</t>
  </si>
  <si>
    <t>GaK1724-----MW</t>
  </si>
  <si>
    <t>DeK1724-----MW</t>
  </si>
  <si>
    <t>KlK1724-----MW</t>
  </si>
  <si>
    <t>GrK1724-----MW</t>
  </si>
  <si>
    <t>GeK1724-----MW</t>
  </si>
  <si>
    <t>WiK1724-----MW</t>
  </si>
  <si>
    <t>WnK1724-----MW</t>
  </si>
  <si>
    <t>WrK1724-----MW</t>
  </si>
  <si>
    <t>WfK1724-----MW</t>
  </si>
  <si>
    <t>SoK1724-----MW</t>
  </si>
  <si>
    <t>SgK1724-----MW</t>
  </si>
  <si>
    <t>WaK173------MW</t>
  </si>
  <si>
    <t>BiK173------MW</t>
  </si>
  <si>
    <t>GaK173------MW</t>
  </si>
  <si>
    <t>DeK173------MW</t>
  </si>
  <si>
    <t>KlK173------MW</t>
  </si>
  <si>
    <t>GrK173------MW</t>
  </si>
  <si>
    <t>GeK173------MW</t>
  </si>
  <si>
    <t>WiK173------MW</t>
  </si>
  <si>
    <t>WnK173------MW</t>
  </si>
  <si>
    <t>WrK173------MW</t>
  </si>
  <si>
    <t>WfK173------MW</t>
  </si>
  <si>
    <t>SoK173------MW</t>
  </si>
  <si>
    <t>SgK173------MW</t>
  </si>
  <si>
    <t>WaK33f3-----MW</t>
  </si>
  <si>
    <t>BiK33f3-----MW</t>
  </si>
  <si>
    <t>GaK33f3-----MW</t>
  </si>
  <si>
    <t>DeK33f3-----MW</t>
  </si>
  <si>
    <t>KlK33f3-----MW</t>
  </si>
  <si>
    <t>GrK33f3-----MW</t>
  </si>
  <si>
    <t>GeK33f3-----MW</t>
  </si>
  <si>
    <t>WiK33f3-----MW</t>
  </si>
  <si>
    <t>WnK33f3-----MW</t>
  </si>
  <si>
    <t>WrK33f3-----MW</t>
  </si>
  <si>
    <t>WfK33f3-----MW</t>
  </si>
  <si>
    <t>SoK33f3-----MW</t>
  </si>
  <si>
    <t>SgK33f3-----MW</t>
  </si>
  <si>
    <t>Entfall Marktprämie nach § 33g Abs. 3 (Pflichtverletzung bei DV)</t>
  </si>
  <si>
    <t>Nicht-Anerkennung als Grünstrom nach § 39 Abs. 2 Satz 2 (Pflichtverletzung bei DV)</t>
  </si>
  <si>
    <t>Verringerung auf Null nach § 17 Abs. 1 (Nichterfüllung § 6 Technische Vorgaben)</t>
  </si>
  <si>
    <t>Verringerung auf Marktwert nach § 17 Abs. 2 Nr. 1 (keine gültige Anmeldung PV-Anlage)</t>
  </si>
  <si>
    <t>Verringerung auf Marktwert nach § 17 Abs. 2 Nr. 2 (Unterlassene Anmeldung im Anlagenregister)</t>
  </si>
  <si>
    <t>Verringerung auf Marktwert nach § 17 Abs. 2 Nr. 4 (Vorbildfunktion öffentlicher Gebäude)</t>
  </si>
  <si>
    <t>Verringerung auf Marktwert nach § 17 Abs. 3 (Meldepflichtverstoß Wechsel von DV in EEG-Einspeisung)</t>
  </si>
  <si>
    <t>Verringerung auf Marktwert nach § 27 Abs. 7 Satz 1 (Verstoß gegen § 27 Abs. 4 oder 5)</t>
  </si>
  <si>
    <t>Verringerung auf Marktwert nach § 33f Abs. 3 für Strom nach § 16 (Pflichtverletzung bei anteiliger DV)</t>
  </si>
  <si>
    <t>WrK300------12</t>
  </si>
  <si>
    <t>WrK300S-----12</t>
  </si>
  <si>
    <t>WrK301------12</t>
  </si>
  <si>
    <t>BiK2771-----MW</t>
  </si>
  <si>
    <t>GaK33g3-MPM--0</t>
  </si>
  <si>
    <t>DeK33g3-MPM--0</t>
  </si>
  <si>
    <t>KlK33g3-MPM--0</t>
  </si>
  <si>
    <t>GrK33g3-MPM--0</t>
  </si>
  <si>
    <t>GeK33g3-MPM--0</t>
  </si>
  <si>
    <t>WiK33g3-MPM--0</t>
  </si>
  <si>
    <t>WnK33g3-MPM--0</t>
  </si>
  <si>
    <t>WrK33g3-MPM--0</t>
  </si>
  <si>
    <t>WfK33g3-MPM--0</t>
  </si>
  <si>
    <t>SoK33g3-MPM--0</t>
  </si>
  <si>
    <t>SgK33g3-MPM--0</t>
  </si>
  <si>
    <t>GaK3922-GSP--0</t>
  </si>
  <si>
    <t>DeK3922-GSP--0</t>
  </si>
  <si>
    <t>KlK3922-GSP--0</t>
  </si>
  <si>
    <t>GrK3922-GSP--0</t>
  </si>
  <si>
    <t>GeK3922-GSP--0</t>
  </si>
  <si>
    <t>WiK3922-GSP--0</t>
  </si>
  <si>
    <t>WnK3922-GSP--0</t>
  </si>
  <si>
    <t>WrK3922-GSP--0</t>
  </si>
  <si>
    <t>WfK3922-GSP--0</t>
  </si>
  <si>
    <t>SoK3922-GSP--0</t>
  </si>
  <si>
    <t>SgK3922-GSP--0</t>
  </si>
  <si>
    <t>Die Kategorien erfassen die nach § 33i EEG 2012 die an den Anlagenbetreiber ausgezahlte Flexibilitätsprämie sowie die der Berechnung zugrundeliegende Marktprämien-Strommenge.</t>
  </si>
  <si>
    <t>Verringerung auf Marktwert nach § 17 Abs. 2 Nr. 3 (Verstoß gegen Strom-Überlassung nach § 16 Abs. 3)</t>
  </si>
  <si>
    <t>Die Strommengen sind bereits in den gemeldeten Strommengen für Direktvermarktung enthalten. Daher sind sie weder für die Berechnung der Bemessungsleistung nach § 3 Nr. 2a EEG 2012, der vNNE noch der in den bundesweiten Belastungsausgleich fließenden Strommengen einzubeziehen.</t>
  </si>
  <si>
    <t>BiK81GbK13y-06</t>
  </si>
  <si>
    <t>BiK82GbK13y-06</t>
  </si>
  <si>
    <t>BiK83a2bK13-06</t>
  </si>
  <si>
    <t>BiK51nM1K13y01</t>
  </si>
  <si>
    <t>BiK51aM2K13y01</t>
  </si>
  <si>
    <t>BiK51nM1K13-01</t>
  </si>
  <si>
    <t>BiK51aM2K13-01</t>
  </si>
  <si>
    <t>0,150-0,5 MW, Bonusregeln t3, G, i</t>
  </si>
  <si>
    <t>BiK83K09----04</t>
  </si>
  <si>
    <t>BiK83a2K09--04</t>
  </si>
  <si>
    <t>BiK81KWKy---07</t>
  </si>
  <si>
    <t>§ 27 Abs. 4 Satz 1 Nr. 2 EEG; Anlage 2 Punkt VI., 1a (1)</t>
  </si>
  <si>
    <t>§ 27 Abs. 4 Satz 1 Nr. 2 EEG; Anlage 2 Punkt VI., 1a (2)</t>
  </si>
  <si>
    <t>§ 27 Abs. 4 Satz 1 Nr. 2 EEG; Anlage 2 Punkt VI., 1b</t>
  </si>
  <si>
    <t xml:space="preserve">§ 27 Abs. 4 Satz 1 Nr. 2 EEG; Anlage 2 Punkt VI., 2a </t>
  </si>
  <si>
    <t>§ 27 Abs. 4 Satz 1 Nr. 2 EEG; Anlage 2 Punkt VI., 2b (1)</t>
  </si>
  <si>
    <t>§ 27 Abs. 4 Satz 1 Nr. 2 EEG; Anlage 2 Punkt VI., 2b (2)</t>
  </si>
  <si>
    <t>§ 27 Abs. 4 Satz 1 Nr. 2 EEG; Anlage 2 Punkt VI., 2c</t>
  </si>
  <si>
    <t>Anteil KWK-Strom</t>
  </si>
  <si>
    <t>BiK51nK09---02</t>
  </si>
  <si>
    <t>BiK51na1K09-02</t>
  </si>
  <si>
    <t>BiK51aK09---02</t>
  </si>
  <si>
    <t>BiK51aa1K09-02</t>
  </si>
  <si>
    <t>BiK52aK09---02</t>
  </si>
  <si>
    <t>BiK52aa2K09-02</t>
  </si>
  <si>
    <t>BiK52aa3K09-02</t>
  </si>
  <si>
    <t>BiK53aK09---02</t>
  </si>
  <si>
    <t>BiK51nK09---03</t>
  </si>
  <si>
    <t>BiK51na1K09-03</t>
  </si>
  <si>
    <t>BiK51aK09---03</t>
  </si>
  <si>
    <t>BiK51aa1K09-03</t>
  </si>
  <si>
    <t>BiK52aa2K09-03</t>
  </si>
  <si>
    <t>BiK52aa3K09-03</t>
  </si>
  <si>
    <t>BiK53aK09---03</t>
  </si>
  <si>
    <t>BiK51aa1K09-01</t>
  </si>
  <si>
    <t>BiK52aK09---01</t>
  </si>
  <si>
    <t>BiK52aa2K09-01</t>
  </si>
  <si>
    <t>SoK1721-----MW</t>
  </si>
  <si>
    <t>SgK1721-----MW</t>
  </si>
  <si>
    <t>WaK1722-----MW</t>
  </si>
  <si>
    <t>BiK1722-----MW</t>
  </si>
  <si>
    <t>GaK1722-----MW</t>
  </si>
  <si>
    <t>DeK1722-----MW</t>
  </si>
  <si>
    <t>KlK1722-----MW</t>
  </si>
  <si>
    <t>GrK1722-----MW</t>
  </si>
  <si>
    <t>GeK1722-----MW</t>
  </si>
  <si>
    <t>WiK1722-----MW</t>
  </si>
  <si>
    <t>WnK1722-----MW</t>
  </si>
  <si>
    <t>WrK1722-----MW</t>
  </si>
  <si>
    <t>WfK1722-----MW</t>
  </si>
  <si>
    <t>SoK1722-----MW</t>
  </si>
  <si>
    <t>SgK1722-----MW</t>
  </si>
  <si>
    <t>WaK1723-----MW</t>
  </si>
  <si>
    <t>BiK1723-----MW</t>
  </si>
  <si>
    <t>GaK1723-----MW</t>
  </si>
  <si>
    <t>DeK1723-----MW</t>
  </si>
  <si>
    <t>KlK1723-----MW</t>
  </si>
  <si>
    <t>GrK1723-----MW</t>
  </si>
  <si>
    <t>GeK1723-----MW</t>
  </si>
  <si>
    <t>WiK1723-----MW</t>
  </si>
  <si>
    <t>0,5-5 MW, Bonusregeln t2, ah, K</t>
  </si>
  <si>
    <t>0,150-0,5 MW, Bonusregeln t2, G, K</t>
  </si>
  <si>
    <t>0,150-0,5 MW, Bonusregeln t2, L, K</t>
  </si>
  <si>
    <t>0,150-0,5 MW, Bonusregeln t2, X2, K</t>
  </si>
  <si>
    <t>0,150-0,5 MW, Bonusregeln t2, G, i, K</t>
  </si>
  <si>
    <t>0,150-0,5 MW, Bonusregeln t2, L, i, K</t>
  </si>
  <si>
    <t>0,150-0,5 MW, Bonusregeln t2, X2, i, K</t>
  </si>
  <si>
    <t>0,150-0,5 MW, Bonusregeln t3, a1, K</t>
  </si>
  <si>
    <t>0,5-5 MW, Bonusregeln t3, a2, K</t>
  </si>
  <si>
    <t>0,5-5 MW, Bonusregeln t3, ah, K</t>
  </si>
  <si>
    <t>GaK41a------01</t>
  </si>
  <si>
    <t>Das heißt, dass für den selbst verbrauchten Strom (im Beispiel 80.000 kWh) keine vermiedenen Netzentgelte berechnet werden.</t>
  </si>
  <si>
    <t>Von der gesamten im Kalenderjahr erzeugten Strommenge von 200.000 kWh werden zeitgleich 80.000 kWh nach § 33 Abs. 2 EEG selbst verbraucht.</t>
  </si>
  <si>
    <t>KWK-Bonusmögl.</t>
  </si>
  <si>
    <t xml:space="preserve">KWK-Bonus </t>
  </si>
  <si>
    <t>BiK54aK09---03</t>
  </si>
  <si>
    <t>BiK54aK09---01</t>
  </si>
  <si>
    <t>BiK54aK09---02</t>
  </si>
  <si>
    <t>BiK81bK09---04</t>
  </si>
  <si>
    <t>BiK81a1bK09-04</t>
  </si>
  <si>
    <t>BiK81Gy-----08</t>
  </si>
  <si>
    <t>BiK81GKWKy--08</t>
  </si>
  <si>
    <t>BiK81GKA3y--08</t>
  </si>
  <si>
    <t>BiK81GK09y--08</t>
  </si>
  <si>
    <t>BiK81M1K09--08</t>
  </si>
  <si>
    <t>BiK81M1KA3--08</t>
  </si>
  <si>
    <t>BiK81M1KWK--08</t>
  </si>
  <si>
    <t>BiK81M1-----08</t>
  </si>
  <si>
    <t>BiK270i-----09</t>
  </si>
  <si>
    <t>BiK270iK----09</t>
  </si>
  <si>
    <t>BiK270t1i---09</t>
  </si>
  <si>
    <t>BiK270t1iK--09</t>
  </si>
  <si>
    <t>BiK270t2i---09</t>
  </si>
  <si>
    <t>BiK270t2iK--09</t>
  </si>
  <si>
    <t>Bonus petrothermale Technik</t>
  </si>
  <si>
    <t xml:space="preserve">Systemdienstleistungs-bonus </t>
  </si>
  <si>
    <t>Bonusregeln für Anlagen mit Inbetriebnahmejahr 2009, 2010, 2011, 2012</t>
  </si>
  <si>
    <t>IB in 2012</t>
  </si>
  <si>
    <t>1,94 (Biom.)</t>
  </si>
  <si>
    <t xml:space="preserve">Systemdienst-leistungsbonus </t>
  </si>
  <si>
    <r>
      <t>KWK-Bonusregeln (KWK, KA3, K09, K10, K11 und K12):</t>
    </r>
    <r>
      <rPr>
        <sz val="10.5"/>
        <rFont val="Calibri"/>
        <family val="2"/>
      </rPr>
      <t xml:space="preserve"> 
</t>
    </r>
    <r>
      <rPr>
        <b/>
        <sz val="10.5"/>
        <rFont val="Calibri"/>
        <family val="2"/>
      </rPr>
      <t>Bonus KWK</t>
    </r>
    <r>
      <rPr>
        <sz val="10.5"/>
        <rFont val="Calibri"/>
        <family val="2"/>
      </rPr>
      <t xml:space="preserve"> (§ 8 Abs. 3 EEG 2004) in Höhe von 2,0 ct/kWh bei ausschließlicher Verwendung von Biomasse gemäß Biomasseverordnung für Anlagen, die KWK-Anlage gemäß FW 308 sind und dies entsprechend nachweisen. Die Bonusregel gilt nur für den KWK-Anteil des erzeugten elektrischen Stroms. 
</t>
    </r>
    <r>
      <rPr>
        <b/>
        <sz val="10.5"/>
        <rFont val="Calibri"/>
        <family val="2"/>
      </rPr>
      <t xml:space="preserve">Bonus K09, K10, K11 und K12 </t>
    </r>
    <r>
      <rPr>
        <sz val="10.5"/>
        <rFont val="Calibri"/>
        <family val="2"/>
      </rPr>
      <t xml:space="preserve">(§ 66 Abs. 1 Nr. 3 Satz 1 EEG 2009): Für Biomasseanlagen, die vor dem 01.01.2009 in Betrieb genommen wurden und die nach dem 31.12.2008 erstmals in Kraft-Wärme-Kopplung nach Maßgabe der Anlage 3 zum EEG 2009 betrieben wurden, beträgt der KWK-Bonus 3,00 ct/kWh bei erstmaligem KWK-Betrieb in 2009 (Bonus K09), 2,97 ct/kWh bei erstmaligem KWK-Betrieb in 2010 (Bonus K10), 2,94 ct/kWh bei erstmaligem KWK-Betrieb in 2011 (Bonus K11) und 2,91 ct/kWh bei erstmaligem KWK-Betrieb in 2012 (Bonus K12).
</t>
    </r>
    <r>
      <rPr>
        <b/>
        <sz val="10.5"/>
        <rFont val="Calibri"/>
        <family val="2"/>
      </rPr>
      <t>Bonus KA3</t>
    </r>
    <r>
      <rPr>
        <sz val="10.5"/>
        <rFont val="Calibri"/>
        <family val="2"/>
      </rPr>
      <t xml:space="preserve"> (§ 66 Abs. 1 Nr. 3 Satz 2 EEG 2009): Für Strom aus sonstigen Biomasseanlagen mit Inbetriebnahme vor dem 01.01.2009, der in Kraft-Wärme-Kopplung nach Maßgabe der Anlage 3 zum EEG 2009 erzeugt worden ist, beträgt der KWK-Bonus bis einschließlich einer Leistung von 500 Kilowatt 3,0 ct/kWh.</t>
    </r>
  </si>
  <si>
    <t>BiK81GKA3---04</t>
  </si>
  <si>
    <t>BiK81GK09---04</t>
  </si>
  <si>
    <t>BiK81Gy-----04</t>
  </si>
  <si>
    <t>BiK81GKWKy--04</t>
  </si>
  <si>
    <t>BiK81GKA3y--04</t>
  </si>
  <si>
    <t>BiK81GK09y--04</t>
  </si>
  <si>
    <t>BiK81M1-----04</t>
  </si>
  <si>
    <t>BiK81M1KWK--04</t>
  </si>
  <si>
    <t>BiK81M1KA3--04</t>
  </si>
  <si>
    <t>BiK81M1K09--04</t>
  </si>
  <si>
    <t>BiK81M1y----04</t>
  </si>
  <si>
    <t>BiK81M1KWKy-04</t>
  </si>
  <si>
    <t>BiK81M1KA3y-04</t>
  </si>
  <si>
    <t>BiK81M1K09y-04</t>
  </si>
  <si>
    <t>BiK81L------04</t>
  </si>
  <si>
    <t>BiK81LKWK---04</t>
  </si>
  <si>
    <t>BiK81LKA3---04</t>
  </si>
  <si>
    <t>BiK81LK09---04</t>
  </si>
  <si>
    <t>BiK81Ly-----04</t>
  </si>
  <si>
    <t>BiK81LKWKy--04</t>
  </si>
  <si>
    <t>BiK81LKA3y--04</t>
  </si>
  <si>
    <t>BiK81LK09y--04</t>
  </si>
  <si>
    <t>BiK81X1-----04</t>
  </si>
  <si>
    <t>BiK81X1KWK--04</t>
  </si>
  <si>
    <t>BiK81X1KA3--04</t>
  </si>
  <si>
    <t>BiK81X1K09--04</t>
  </si>
  <si>
    <t>BiK81X1y----04</t>
  </si>
  <si>
    <t>BiK81X1KWKy-04</t>
  </si>
  <si>
    <t>Bi-vNNe--SpE06</t>
  </si>
  <si>
    <t>Bi-vNNe--SpE07</t>
  </si>
  <si>
    <t>Ga-vNNe--SpE01</t>
  </si>
  <si>
    <t>Ga-vNNe--SpE02</t>
  </si>
  <si>
    <t>Ga-vNNe--SpE03</t>
  </si>
  <si>
    <t>Ga-vNNe--SpE04</t>
  </si>
  <si>
    <t>Ga-vNNe--SpE05</t>
  </si>
  <si>
    <t>0,150-0,5 MW, Bonusregeln t3, X2, K</t>
  </si>
  <si>
    <t>0,150-0,5 MW, Bonusregeln t3, G, i, K</t>
  </si>
  <si>
    <t>Vergütungsberechnung für Anlagen mit Inbetriebnahmejahr 2003</t>
  </si>
  <si>
    <t>BiK81M1K09y-06</t>
  </si>
  <si>
    <t>BiK81L------06</t>
  </si>
  <si>
    <t>BiK81LKWK---06</t>
  </si>
  <si>
    <t>BiK81LKA3---06</t>
  </si>
  <si>
    <t>BiK81LK09---06</t>
  </si>
  <si>
    <t>BiK81Ly-----06</t>
  </si>
  <si>
    <t>BiK81LKWKy--06</t>
  </si>
  <si>
    <t>BiK81LKA3y--06</t>
  </si>
  <si>
    <t>BiK81LK09y--06</t>
  </si>
  <si>
    <t>BiK81X1-----06</t>
  </si>
  <si>
    <t>BiK81X1KWK--06</t>
  </si>
  <si>
    <t>BiK81X1KA3--06</t>
  </si>
  <si>
    <t>BiK81X1K09--06</t>
  </si>
  <si>
    <t>BiK81X1y----06</t>
  </si>
  <si>
    <t>BiK81X1KWKy-06</t>
  </si>
  <si>
    <t>BiK81X1KA3y-06</t>
  </si>
  <si>
    <t>BiK81X1K09y-06</t>
  </si>
  <si>
    <t>BiK81Gb-----06</t>
  </si>
  <si>
    <t>BiK81GbKWK--06</t>
  </si>
  <si>
    <t>BiK81GbKA3--06</t>
  </si>
  <si>
    <t>BiK81GbK09--06</t>
  </si>
  <si>
    <t>BiK81Gby----06</t>
  </si>
  <si>
    <t>BiK81GbKWKy-06</t>
  </si>
  <si>
    <t>BiK81GbKA3y-06</t>
  </si>
  <si>
    <t>BiK81GbK09y-06</t>
  </si>
  <si>
    <t>BiK81M1b----06</t>
  </si>
  <si>
    <t>BiK81M1bKWK-06</t>
  </si>
  <si>
    <t>BiK81M1bKA3-06</t>
  </si>
  <si>
    <t>BiK81M1bK09-06</t>
  </si>
  <si>
    <t>BiK81M1by---06</t>
  </si>
  <si>
    <t>BiK81M1bKWKy06</t>
  </si>
  <si>
    <t>BiK81M1bKA3y06</t>
  </si>
  <si>
    <t>BiK81M1bK09y06</t>
  </si>
  <si>
    <t>BiK81Lb-----06</t>
  </si>
  <si>
    <t>BiK81LbKWK--06</t>
  </si>
  <si>
    <t>BiK81LbKA3--06</t>
  </si>
  <si>
    <t>BiK81LbK09--06</t>
  </si>
  <si>
    <t>BiK81Lby----06</t>
  </si>
  <si>
    <t>BiK81LbKWKy-06</t>
  </si>
  <si>
    <t>BiK81LbKA3y-06</t>
  </si>
  <si>
    <t>BiK81LbK09y-06</t>
  </si>
  <si>
    <t>BiK81X1b----06</t>
  </si>
  <si>
    <t>BiK81X1bKWK-06</t>
  </si>
  <si>
    <t>BiK81X1bKA3-06</t>
  </si>
  <si>
    <t>BiK81X1bK09-06</t>
  </si>
  <si>
    <t>BiK82G------06</t>
  </si>
  <si>
    <t>BiK82GKWK---06</t>
  </si>
  <si>
    <t>BiK82GKA3---06</t>
  </si>
  <si>
    <t>BiK82GK09---06</t>
  </si>
  <si>
    <t>BiK82Gy-----06</t>
  </si>
  <si>
    <t>BiK82GKWKy--06</t>
  </si>
  <si>
    <t>BiK82GKA3y--06</t>
  </si>
  <si>
    <t>BiK82GK09y--06</t>
  </si>
  <si>
    <t>BiK82M2-----06</t>
  </si>
  <si>
    <t>BiK82M2KWK--06</t>
  </si>
  <si>
    <t>BiK82M2KA3--06</t>
  </si>
  <si>
    <t>BiK82M2K09--06</t>
  </si>
  <si>
    <t>BiK82M2y----06</t>
  </si>
  <si>
    <t>BiK82M2KWKy-06</t>
  </si>
  <si>
    <t>BiK82M2KA3y-06</t>
  </si>
  <si>
    <t>BiK82M2K09y-06</t>
  </si>
  <si>
    <t>BiK82L------06</t>
  </si>
  <si>
    <t>BiK82LKWK---06</t>
  </si>
  <si>
    <t>BiK82LKA3---06</t>
  </si>
  <si>
    <t>BiK82LK09---06</t>
  </si>
  <si>
    <t>BiK82Ly-----06</t>
  </si>
  <si>
    <t>BiK82LKWKy--06</t>
  </si>
  <si>
    <t>BiK82LKA3y--06</t>
  </si>
  <si>
    <t>BiK82LK09y--06</t>
  </si>
  <si>
    <t>BiK82X2-----06</t>
  </si>
  <si>
    <t>BiK82X2KWK--06</t>
  </si>
  <si>
    <t>BiK82X2KA3--06</t>
  </si>
  <si>
    <t>BiK82X2K09--06</t>
  </si>
  <si>
    <t>BiK82X2y----06</t>
  </si>
  <si>
    <t>BiK82X2KWKy-06</t>
  </si>
  <si>
    <t>BiK54a------03</t>
  </si>
  <si>
    <t>BiK81Ly-----08</t>
  </si>
  <si>
    <t>BiK81LKWKy--08</t>
  </si>
  <si>
    <t>BiK81LKA3y--08</t>
  </si>
  <si>
    <t>BiK81LK09y--08</t>
  </si>
  <si>
    <t>BiK81X1-----08</t>
  </si>
  <si>
    <t>BiK81X1KWK--08</t>
  </si>
  <si>
    <t>BiK81X1KA3--08</t>
  </si>
  <si>
    <t>BiK81X1K09--08</t>
  </si>
  <si>
    <t>BiK51aK10---01</t>
  </si>
  <si>
    <t xml:space="preserve">In der Regel ist dies die Netz- bzw. Umspannebene, die der Einspeiseebene direkt vorgelagert ist - in diesem Beispiel wäre demnach </t>
  </si>
  <si>
    <t>das Netzentgelt der Ebene 4 (HS/MS) für die Berechnung der vermiedenen Netzentgelte maßgeblich.</t>
  </si>
  <si>
    <t>GaK41a------03</t>
  </si>
  <si>
    <t>GaK42a------03</t>
  </si>
  <si>
    <t>GaK41a------04</t>
  </si>
  <si>
    <t>GaK42a------04</t>
  </si>
  <si>
    <t>GaK71-------04</t>
  </si>
  <si>
    <t>GaK72-------04</t>
  </si>
  <si>
    <t>GaK73-------04</t>
  </si>
  <si>
    <t>GaK74-------04</t>
  </si>
  <si>
    <t>GaK75-------04</t>
  </si>
  <si>
    <t>GaK76-------04</t>
  </si>
  <si>
    <t>GaK71-------05</t>
  </si>
  <si>
    <t>GaK72-------05</t>
  </si>
  <si>
    <t>GaK73-------05</t>
  </si>
  <si>
    <t>GaK74-------05</t>
  </si>
  <si>
    <t>BiK51nK13---01</t>
  </si>
  <si>
    <t>Anteil KWK, erstmals 2013</t>
  </si>
  <si>
    <t>Bonus für Jahr</t>
  </si>
  <si>
    <t>BiK51aK13---01</t>
  </si>
  <si>
    <t>BiK52aK13---01</t>
  </si>
  <si>
    <t>SgK66114-SV--0</t>
  </si>
  <si>
    <t>BiK81M1K13y-06</t>
  </si>
  <si>
    <t>BiK82M2K13y-06</t>
  </si>
  <si>
    <t>BiK83a2K13--06</t>
  </si>
  <si>
    <t>BiK82X2K13y-06</t>
  </si>
  <si>
    <t>BiK81X1K13y-06</t>
  </si>
  <si>
    <t>blau</t>
  </si>
  <si>
    <t>BiK270t3i---09</t>
  </si>
  <si>
    <t>BiK270t3iK--09</t>
  </si>
  <si>
    <t>BiK271i-----09</t>
  </si>
  <si>
    <t>BiK271iK----09</t>
  </si>
  <si>
    <t>BiK81KA3y---07</t>
  </si>
  <si>
    <t>BiK81K09y---07</t>
  </si>
  <si>
    <t>BiK81y------07</t>
  </si>
  <si>
    <t>Gase (Deponie-, Klär-, Grubengas)</t>
  </si>
  <si>
    <t>Windenergie Repowering</t>
  </si>
  <si>
    <t>Solare Strahlungsenergie</t>
  </si>
  <si>
    <t>Wasserkraft</t>
  </si>
  <si>
    <t>Kategorien für vermiedene Netzentgelte</t>
  </si>
  <si>
    <r>
      <t>Bonusregel a2:</t>
    </r>
    <r>
      <rPr>
        <sz val="11"/>
        <color indexed="8"/>
        <rFont val="Calibri"/>
        <family val="2"/>
      </rPr>
      <t xml:space="preserve"> (§ 8 Abs. 2 Satz 1 EEG 2004) in Höhe von 4,0 ct/kWh für den Anteil der eingespeisten Wirkarbeit oberhalb von 500 kW bis einschließlich 5 MW</t>
    </r>
  </si>
  <si>
    <r>
      <t>Bonusregel a1:</t>
    </r>
    <r>
      <rPr>
        <sz val="11"/>
        <color indexed="8"/>
        <rFont val="Calibri"/>
        <family val="2"/>
      </rPr>
      <t xml:space="preserve"> (§ 8 Abs. 2 Satz 1 EEG 2004) in Höhe von 6,0 ct/kWh für den Anteil der eingespeisten Wirkarbeit bis einschließlich 500 kW</t>
    </r>
  </si>
  <si>
    <t>Ga-vNNe--SpE06</t>
  </si>
  <si>
    <t>Ga-vNNe--SpE07</t>
  </si>
  <si>
    <t>Ge-vNNe--SpE01</t>
  </si>
  <si>
    <t>Ge-vNNe--SpE02</t>
  </si>
  <si>
    <t>Ge-vNNe--SpE03</t>
  </si>
  <si>
    <t>Ge-vNNe--SpE04</t>
  </si>
  <si>
    <t>Ge-vNNe--SpE05</t>
  </si>
  <si>
    <t>Ge-vNNe--SpE06</t>
  </si>
  <si>
    <t>Ge-vNNe--SpE07</t>
  </si>
  <si>
    <t>Wi-vNNe--SpE01</t>
  </si>
  <si>
    <t>Wi-vNNe--SpE02</t>
  </si>
  <si>
    <t>Wi-vNNe--SpE03</t>
  </si>
  <si>
    <t>Wi-vNNe--SpE04</t>
  </si>
  <si>
    <t>Wi-vNNe--SpE05</t>
  </si>
  <si>
    <t>Wi-vNNe--SpE06</t>
  </si>
  <si>
    <t>Wi-vNNe--SpE07</t>
  </si>
  <si>
    <t>So-vNNe--SpE01</t>
  </si>
  <si>
    <t>So-vNNe--SpE02</t>
  </si>
  <si>
    <t>BiK82bK09---08</t>
  </si>
  <si>
    <t>BiK82a1bK09-08</t>
  </si>
  <si>
    <t>BiK83K09----08</t>
  </si>
  <si>
    <t xml:space="preserve">fortlaufende Nummer (i.d.R. entsprechende(r) Satz/ Ziffer innerhalb des Paragraphen) zur Angabe der jeweiligen Vergütungszone </t>
  </si>
  <si>
    <t xml:space="preserve">„n“ bei Biomasseanlagen für die Vergütungszone 0-150 kW  </t>
  </si>
  <si>
    <t>„a“ sonst</t>
  </si>
  <si>
    <t>Stellen 7-12 (Biomasse)</t>
  </si>
  <si>
    <t>Angabe der Bonusregelungen:</t>
  </si>
  <si>
    <t>Inbetriebnahmejahr (2-stellig)</t>
  </si>
  <si>
    <t>7 für Deponie-, Klär- und Grubengas</t>
  </si>
  <si>
    <t>8 für Biomasse</t>
  </si>
  <si>
    <t>9 für Geothermie</t>
  </si>
  <si>
    <t>10 für Windenergie</t>
  </si>
  <si>
    <t>11 für Solarenergie</t>
  </si>
  <si>
    <t xml:space="preserve"> </t>
  </si>
  <si>
    <t>a) Zuschlag bei Gasen nach EEG 2004</t>
  </si>
  <si>
    <t>b) Wind: Unterscheidung zwischen Anfangs- und Endvergütung</t>
  </si>
  <si>
    <t>c) Solarenergie: Fassadenbonus</t>
  </si>
  <si>
    <t>Die Kürzel für die gewährten Vergütungsboni werden in den Stellen 6 bis 12 nach und nach in folgender Reihenfolge eingeführt:</t>
  </si>
  <si>
    <t>2. Technologiebonus (b)</t>
  </si>
  <si>
    <t>Alle 4 Bonustypen sind – unter Beachtung der verschiedenen Geltungsbereiche (Vergütungszonen) – miteinander kombinierbar.</t>
  </si>
  <si>
    <t>Freie Stellen bis Stelle 12 werden mit Minuszeichen aufgefüllt.</t>
  </si>
  <si>
    <t xml:space="preserve"> 0-30 KW, selbstverbrauchte Erzeugung</t>
  </si>
  <si>
    <t xml:space="preserve"> 0-30 KW, Rückvergütung für Selbstverbrauch bis 30% der Gesamterzeugung der Anlage</t>
  </si>
  <si>
    <t xml:space="preserve"> 30-100 KW, Rückvergütung für Selbstverbrauch bis 30% der Gesamterzeugung der Anlage</t>
  </si>
  <si>
    <t xml:space="preserve"> 100-500 KW, Rückvergütung für Selbstverbrauch bis 30% der Gesamterzeugung der Anlage</t>
  </si>
  <si>
    <t xml:space="preserve"> 30-100 KW, selbstverbrauchte Erzeugung</t>
  </si>
  <si>
    <t xml:space="preserve"> 100-500 KW, selbstverbrauchte Erzeugung</t>
  </si>
  <si>
    <t>BiK82a1bKA3y06</t>
  </si>
  <si>
    <t>BiK82a1bK09y06</t>
  </si>
  <si>
    <t>BiK81y------05</t>
  </si>
  <si>
    <t>BiK81KWKy---05</t>
  </si>
  <si>
    <t>BiK81KA3y---05</t>
  </si>
  <si>
    <t>0,150-0,5 MW, Bonusregel K</t>
  </si>
  <si>
    <t>0,5-5 MW, Bonusregel K</t>
  </si>
  <si>
    <t>5-20 MW, Bonusregel K</t>
  </si>
  <si>
    <t>0,150-0,5 MW, Bonusregel t1</t>
  </si>
  <si>
    <t>0,5-5 MW, Bonusregel t1</t>
  </si>
  <si>
    <t>BiK85K09----06</t>
  </si>
  <si>
    <t>BiK81K09----07</t>
  </si>
  <si>
    <t>BiK81a1K09--07</t>
  </si>
  <si>
    <r>
      <t>Bonusregel b:</t>
    </r>
    <r>
      <rPr>
        <sz val="10.5"/>
        <color indexed="8"/>
        <rFont val="Calibri"/>
        <family val="2"/>
      </rPr>
      <t xml:space="preserve"> (§ 8 Abs. 4 EEG 2004) in Höhe von 2,0 ct/kWh für Anlagen, die auch in Kraft-Wärmekopplung betrieben werden, bei ausschließlicher Verwendung von Biomasse gemäß Biomasseverordnung und Umwandlung der Biomasse durch thermochemische Vergasung oder Trockenfermentation oder Aufarbeitung des Biogases auf Erdgasqualität oder Erzeugung des Stroms mittels Brennstoffzelle, Gasturbine, Dampfmotoren, Organic-Rankine-Anlagen, Mehrstoffgemisch-Anlagen (u.a. Kalina-Cycle-Anlagen) bzw. Stirling-Motoren für den Anteil bis einschließlich 5 MW.</t>
    </r>
  </si>
  <si>
    <t>Vergütungsberechnung für Anlagen mit Inbetriebnahmejahr 2008</t>
  </si>
  <si>
    <t>Grund-
vergütg.</t>
  </si>
  <si>
    <t>Gesamt-
vergütg.</t>
  </si>
  <si>
    <t>Die Kürzel für die gewährten Vergütungsboni werden in den Stellen 7 bis 8 in folgender Reihenfolge eingeführt:</t>
  </si>
  <si>
    <t>Stelle 4 bis 7:</t>
  </si>
  <si>
    <t>Stellen 8 bis 9</t>
  </si>
  <si>
    <t>Stellen 10-14</t>
  </si>
  <si>
    <t>Angabe der Spannungsebene (Netz- oder Umspannebene), an der die EEG-Anlage angeschlossen ist</t>
  </si>
  <si>
    <t>0,150-0,5 MW, Bonusregeln L, i</t>
  </si>
  <si>
    <t>0,150-0,5 MW, Bonusregeln X2, i</t>
  </si>
  <si>
    <t>0,150-0,5 MW, Bonusregeln t1, M2, K</t>
  </si>
  <si>
    <t>0,150-0,5 MW, Bonusregeln t1, M2, i, K</t>
  </si>
  <si>
    <t>4. KWK-Bonus (KWK, KA3, K09, K10, K11 oder K12)</t>
  </si>
  <si>
    <t>Wf = Wind offshore (ab Inbetriebnahmejahr 2009)</t>
  </si>
  <si>
    <t>Sg = Solarenergie an oder auf Gebäuden (ab Inbetriebnahmejahr 2009)</t>
  </si>
  <si>
    <t xml:space="preserve">    Abweichungen hiervon sind insbesondere bei PV-Anlagen möglich, wenn durch die fiktive Leistungszusammenfassung nach § 19 Abs. 1</t>
  </si>
  <si>
    <t xml:space="preserve">    die Anlage trotz einer Leistung von bis zu 30 kW anteilig in eine andere Leistungsstufe fällt. Aus dem gleichen Grund könnte eine Anlage</t>
  </si>
  <si>
    <t xml:space="preserve">    von mehr als 30 kW, aber maximal 70 kW auch vollständig in die Leistungsstufe 30 bis 100 kW fallen, so dass nur eine Vergütungskategorie</t>
  </si>
  <si>
    <t xml:space="preserve">    den Selbstverbrauch die fiktive Netzeinspeisung und fiktive Rückspeisung erforderlich.</t>
  </si>
  <si>
    <t xml:space="preserve">    notwendig ist. Bei PV-Anlagen mit Selbstverbrauch nach § 33 Abs. 2 sind i. d. R. Kategorien für die tatsächliche Netzeinspeisung sowie für</t>
  </si>
  <si>
    <t xml:space="preserve">    In diesen Fällen wird die Vergütungskategorie entsprechend gewechselt bzw. hinzugefügt.</t>
  </si>
  <si>
    <t xml:space="preserve">    gesamte Förderdauer festgelegt. Beispielsweise ändern sich die Vergütungskategorien bei:</t>
  </si>
  <si>
    <t xml:space="preserve">- neuen Bestimmungen durch Gesetzesänderungen (z. B. Erhöhung der Vergütung für die unterste Vergütungszone </t>
  </si>
  <si>
    <t>- erstmalige Nutzung der Eigenverbrauchsregelung bei Solarenergieanlagen nach § 33 Abs. 2 EEG</t>
  </si>
  <si>
    <t>- Modernisierung von Wasserkraftanlagen</t>
  </si>
  <si>
    <t>4. Anlagen mit Vergütung nach EEG 2012</t>
  </si>
  <si>
    <t>Ga = Deponie-, Klär- oder Grubengas (bis Inbetriebnahmejahr 2008)</t>
  </si>
  <si>
    <t>Wi = Wind (bis Inbetriebnahmejahr 2008)</t>
  </si>
  <si>
    <t>So = Solarenergie-Freiflächenanlagen (auch an oder auf Gebäuden bis Inbetriebnahmejahr 2008)</t>
  </si>
  <si>
    <t xml:space="preserve">5. Die Vergütungskategorien für eine bestimmte EEG-Anlage und die damit verbundenen Vergütungshöhen sind in der Regel für die </t>
  </si>
  <si>
    <t xml:space="preserve">2. Da die Bemessungsleistung jedes Jahr neu errechnet wird, kann sich die Aufteilung der insgesamt erzeugten Wirkarbeit der EEG-Anlage </t>
  </si>
  <si>
    <t>3. Zusätzlich zu den Vergütungskategorien ist jede EEG-Anlage in eine Kategorie für vermiedene Netzentgelte (vNNE-Kategorie) einzuordnen.</t>
  </si>
  <si>
    <t>§ 29 und § 30: Aufgrund einer Entscheidung der Clearingstelle EEG wird für Windenergieanlagen unter bestimmten Bedingungen der SDL-Bonus ab Inbetriebnahme der Anlage gezahlt. Für eine effiziente Abwicklung der nachträglichen Bonuszahlung für die Jahre 2009 und 2010 werden die folgenden Kategorien verwendet. Die Verwendung dieser Kategorien ist auf die EEG-Jahresmeldung 2011 beschränkt.
Da die Strommenge bereits in den Jahren 2009 und 2010 gemeldet und in den bundesweiten Belastungsausgleich eingebracht wurde, fließen die für diese Kategorien gemeldeten Strommengen weder in die Berechnung der vNNE, der Referenzerträge der Windenergieanlagen, noch in den bundesweiten Belastungsausgleich ein.
Grund für die Entfernung aus der Tabelle der aktuellen Vergütungskategorien: Die Verwendung dieser Kategorien ist auf die abgeschlossene EEG-Jahresmeldung 2011 beschränkt.</t>
  </si>
  <si>
    <t>Anmerkung:</t>
  </si>
  <si>
    <t>Kürzung KWK-Bonus nach § 66 Abs. 21 (kostenlos zugeteilte Berechtigungen nach § 9 TEHG)</t>
  </si>
  <si>
    <t>WnK33b1eMPMJan</t>
  </si>
  <si>
    <t>WnK33b1eMPMFeb</t>
  </si>
  <si>
    <t>WnK33b1eMPMMrz</t>
  </si>
  <si>
    <t>WnK33b1eMPMApr</t>
  </si>
  <si>
    <t>WnK33b1eMPMMai</t>
  </si>
  <si>
    <t>WnK33b1eMPMJun</t>
  </si>
  <si>
    <t>WnK33b1eMPMJul</t>
  </si>
  <si>
    <t>WnK33b1eMPMAug</t>
  </si>
  <si>
    <t>WnK33b1eMPMSep</t>
  </si>
  <si>
    <t>WnK33b1eMPMOkt</t>
  </si>
  <si>
    <t>WnK33b1eMPMNov</t>
  </si>
  <si>
    <t>WnK33b1eMPMDez</t>
  </si>
  <si>
    <t>WrK33b1eMPMJan</t>
  </si>
  <si>
    <t>WrK33b1eMPMFeb</t>
  </si>
  <si>
    <t>WrK33b1eMPMMrz</t>
  </si>
  <si>
    <t>WrK33b1eMPMApr</t>
  </si>
  <si>
    <t>WrK33b1eMPMMai</t>
  </si>
  <si>
    <t>WrK33b1eMPMJun</t>
  </si>
  <si>
    <t>WrK33b1eMPMJul</t>
  </si>
  <si>
    <t>WrK33b1eMPMAug</t>
  </si>
  <si>
    <t>WrK33b1eMPMSep</t>
  </si>
  <si>
    <t>WrK33b1eMPMOkt</t>
  </si>
  <si>
    <t>WrK33b1eMPMNov</t>
  </si>
  <si>
    <t>WrK33b1eMPMDez</t>
  </si>
  <si>
    <t>WfK33b1eMPMJan</t>
  </si>
  <si>
    <t>WfK33b1eMPMFeb</t>
  </si>
  <si>
    <t>WfK33b1eMPMMrz</t>
  </si>
  <si>
    <t>WfK33b1eMPMApr</t>
  </si>
  <si>
    <t>WfK33b1eMPMMai</t>
  </si>
  <si>
    <t>WfK33b1eMPMJun</t>
  </si>
  <si>
    <t>WfK33b1eMPMJul</t>
  </si>
  <si>
    <t>WfK33b1eMPMAug</t>
  </si>
  <si>
    <t>WfK33b1eMPMSep</t>
  </si>
  <si>
    <t>WfK33b1eMPMOkt</t>
  </si>
  <si>
    <t>WfK33b1eMPMNov</t>
  </si>
  <si>
    <t>WfK33b1eMPMDez</t>
  </si>
  <si>
    <t>SoK33b1eMPMJan</t>
  </si>
  <si>
    <t>SoK33b1eMPMFeb</t>
  </si>
  <si>
    <t>SoK33b1eMPMMrz</t>
  </si>
  <si>
    <t>SoK33b1eMPMApr</t>
  </si>
  <si>
    <t>SoK33b1eMPMMai</t>
  </si>
  <si>
    <t>SoK33b1eMPMJun</t>
  </si>
  <si>
    <t>SoK33b1eMPMJul</t>
  </si>
  <si>
    <t>SoK33b1eMPMAug</t>
  </si>
  <si>
    <t>SoK33b1eMPMSep</t>
  </si>
  <si>
    <t>SoK33b1eMPMOkt</t>
  </si>
  <si>
    <t>SoK33b1eMPMNov</t>
  </si>
  <si>
    <t>SoK33b1eMPMDez</t>
  </si>
  <si>
    <t>SgK33b1eMPMJan</t>
  </si>
  <si>
    <t>SgK33b1eMPMFeb</t>
  </si>
  <si>
    <t>SgK33b1eMPMMrz</t>
  </si>
  <si>
    <t>SgK33b1eMPMApr</t>
  </si>
  <si>
    <t>SgK33b1eMPMMai</t>
  </si>
  <si>
    <t>SgK33b1eMPMJun</t>
  </si>
  <si>
    <t>SgK33b1eMPMJul</t>
  </si>
  <si>
    <t>SgK33b1eMPMAug</t>
  </si>
  <si>
    <t>SgK33b1eMPMSep</t>
  </si>
  <si>
    <t>SgK33b1eMPMOkt</t>
  </si>
  <si>
    <t>SgK33b1eMPMNov</t>
  </si>
  <si>
    <t>SgK33b1eMPMDez</t>
  </si>
  <si>
    <t>32 für Solarenergie</t>
  </si>
  <si>
    <t>Anlage 3 erfüllt (bis 500 kW)</t>
  </si>
  <si>
    <t>Verringerung auf Marktwert nach § 56 Abs. 4 Nr. 1 Halbsatz 1 für Strom nach § 16 (Doppelvermarktung)</t>
  </si>
  <si>
    <t>Verringerung auf Null nach § 56 Abs. 4 Nr. 1 Halbsatz 2 für Strom nach § 16 (Doppelvermarktung)</t>
  </si>
  <si>
    <t>WaK5641-----MW</t>
  </si>
  <si>
    <t>BiK5641-----MW</t>
  </si>
  <si>
    <t>GaK5641-----MW</t>
  </si>
  <si>
    <t>DeK5641-----MW</t>
  </si>
  <si>
    <t>KlK5641-----MW</t>
  </si>
  <si>
    <t>GrK5641-----MW</t>
  </si>
  <si>
    <t>GeK5641-----MW</t>
  </si>
  <si>
    <t>WiK5641-----MW</t>
  </si>
  <si>
    <t>WnK5641-----MW</t>
  </si>
  <si>
    <t>WrK5641-----MW</t>
  </si>
  <si>
    <t>WfK5641-----MW</t>
  </si>
  <si>
    <t>SoK5641-----MW</t>
  </si>
  <si>
    <t>SgK5641-----MW</t>
  </si>
  <si>
    <t>WaK5641------0</t>
  </si>
  <si>
    <t>BiK5641------0</t>
  </si>
  <si>
    <t>GaK5641------0</t>
  </si>
  <si>
    <t>DeK5641------0</t>
  </si>
  <si>
    <t>KlK5641------0</t>
  </si>
  <si>
    <t>GrK5641------0</t>
  </si>
  <si>
    <t>GeK5641------0</t>
  </si>
  <si>
    <t>WiK5641------0</t>
  </si>
  <si>
    <t>WnK5641------0</t>
  </si>
  <si>
    <t>WrK5641------0</t>
  </si>
  <si>
    <t>WfK5641------0</t>
  </si>
  <si>
    <t>SoK5641------0</t>
  </si>
  <si>
    <t>SgK5641------0</t>
  </si>
  <si>
    <t>WaK5642-MPM--0</t>
  </si>
  <si>
    <t>BiK5642-MPM--0</t>
  </si>
  <si>
    <t>GaK5642-MPM--0</t>
  </si>
  <si>
    <t>BiK81GbK09y-05</t>
  </si>
  <si>
    <t>BiK82X2K09--07</t>
  </si>
  <si>
    <t>BiK82X2y----07</t>
  </si>
  <si>
    <t>BiK82X2KWKy-07</t>
  </si>
  <si>
    <t>BiK82X2KA3y-07</t>
  </si>
  <si>
    <t>BiK82X2K09y-07</t>
  </si>
  <si>
    <t>BiK82Gb-----07</t>
  </si>
  <si>
    <t>BiK82GbKWK--07</t>
  </si>
  <si>
    <t>BiK82GbKA3--07</t>
  </si>
  <si>
    <t>BiK82GbK09--07</t>
  </si>
  <si>
    <t>BiK51nKA3y--03</t>
  </si>
  <si>
    <t>BiK51nK09y--03</t>
  </si>
  <si>
    <t>BiK51na1y---03</t>
  </si>
  <si>
    <t>BiK51na1KA3y03</t>
  </si>
  <si>
    <t>BiK51na1K09y03</t>
  </si>
  <si>
    <t>Anteil KWK, erstmals 2011</t>
  </si>
  <si>
    <t>BiK51nK11---01</t>
  </si>
  <si>
    <t>BiK51nK11y--01</t>
  </si>
  <si>
    <t>BiK51na1K11-01</t>
  </si>
  <si>
    <t>BiK51na1K11y01</t>
  </si>
  <si>
    <t>BiK51nGK11--01</t>
  </si>
  <si>
    <t>BiK51nGK11y-01</t>
  </si>
  <si>
    <t>BiK51nM1K11-01</t>
  </si>
  <si>
    <t>BiK51nM1K11y01</t>
  </si>
  <si>
    <t>BiK51nLK11--01</t>
  </si>
  <si>
    <t>BiK51nLK11y-01</t>
  </si>
  <si>
    <t>BiK51nX1K11-01</t>
  </si>
  <si>
    <t>BiK51nX1K11y01</t>
  </si>
  <si>
    <t>BiK51aK11---01</t>
  </si>
  <si>
    <t>BiK51aK11y--01</t>
  </si>
  <si>
    <t>BiK51aa1K11-01</t>
  </si>
  <si>
    <t>BiK51aa1K11y01</t>
  </si>
  <si>
    <t>BiK51aGK11--01</t>
  </si>
  <si>
    <t>BiK51aGK11y-01</t>
  </si>
  <si>
    <t>Wird für an sich nach § 33 Abs. 2 EEG 2009 oder 2012 a.F. vergütungsfähige selbst verbrauchte Strommengen aufgrund von Sanktionen die Selbstverbrauchsvergütung auf 0 gekürzt, sind die hierfür vorgesehenen Sanktionskategorien zu verwenden. Die selbst verbrauchten Strommengen fließen nicht in den bundesweiten Belastungsausgleich ein; vNNE werden hierfür nicht berechnet.</t>
  </si>
  <si>
    <t>SgK5641-SV---0</t>
  </si>
  <si>
    <t>SgK33f3-SV---0</t>
  </si>
  <si>
    <t>Verringerung auf Null nach § 33f Abs. 3 für Strom nach § 16 (Pflichtverletzung bei anteiliger DV)</t>
  </si>
  <si>
    <t>Verringerung auf Null nach § 17 Abs. 3 (Meldepflichtverstoß Wechsel von DV in EEG-Einspeisung)</t>
  </si>
  <si>
    <t>SgK173-SV----0</t>
  </si>
  <si>
    <t>Verringerung auf Null nach § 17 Abs. 2 Nr. 4 (Vorbildfunktion öffentlicher Gebäude)</t>
  </si>
  <si>
    <t>SgK1724-SV---0</t>
  </si>
  <si>
    <t>Verringerung auf Null nach § 17 Abs. 2 Nr. 3 (Verstoß gegen Strom-Überlassung nach § 16 Abs. 3)</t>
  </si>
  <si>
    <t>SgK1723-SV---0</t>
  </si>
  <si>
    <t>SgK1721-SV---0</t>
  </si>
  <si>
    <t>Verringerung auf Null nach § 17 Abs. 2 Nr. 1 (keine gültige Anmeldung PV-Anlage)</t>
  </si>
  <si>
    <t xml:space="preserve">33f für Verringerung des Vergütungsanspruchs (alle Energieträger) </t>
  </si>
  <si>
    <t xml:space="preserve">33g für Verringerung des Vergütungsanspruchs (alle Energieträger) </t>
  </si>
  <si>
    <t xml:space="preserve">39 für Nichtanerkennung als Grünstrom (alle Energieträger) </t>
  </si>
  <si>
    <t>Stelle 6, teils 7</t>
  </si>
  <si>
    <t xml:space="preserve">fortlaufende Nummer (i. d. R. entsprechende(r) Absatz / Satz / Ziffer innerhalb des Paragraphen) zur Darstellung der jeweiligen Vergütungszone </t>
  </si>
  <si>
    <t>a) Windenergie: Anfangs- oder Endvergütung</t>
  </si>
  <si>
    <t>b) Solarenergie: Einspeise- oder Eigenverbrauchsvergütung</t>
  </si>
  <si>
    <t>2. Gasaufbereitungsbonus (G1, G2 oder G3)</t>
  </si>
  <si>
    <t>1. Einsatzstoffklassen-Bonus (E1a, E1b, E1c, E1d, E2a, E2b oder E2c)</t>
  </si>
  <si>
    <t>Beide Bonustypen sind – unter Beachtung der verschiedenen Geltungsbereiche (Vergütungszonen) – miteinander kombinierbar.</t>
  </si>
  <si>
    <t xml:space="preserve">Stellen 7-8 (Gase) </t>
  </si>
  <si>
    <t>Gasaufbereitungsbonus (G1, G2 oder G3)</t>
  </si>
  <si>
    <t>Angabe des Gasaufbereitungsbonus:</t>
  </si>
  <si>
    <t xml:space="preserve">Stellen 7-11 (Biomasse) </t>
  </si>
  <si>
    <t>Die Kürzel für die gewährten Vergütungsboni werden in den Stellen 7 bis 11 nach und nach in folgender Reihenfolge eingeführt:</t>
  </si>
  <si>
    <t xml:space="preserve">Stelle 7 (Wasser) </t>
  </si>
  <si>
    <t>Angabe zur Modernisierung:</t>
  </si>
  <si>
    <t xml:space="preserve">„M“ für Vergütungskategorien, die bei modernisierten Wasserkraftanlagen zu verwenden sind. </t>
  </si>
  <si>
    <t xml:space="preserve">Stelle 7 (Geothermie) </t>
  </si>
  <si>
    <t>Angabe des Bonus für petrothermale Techniken</t>
  </si>
  <si>
    <t>Bonus für petrothermale Techniken (P)</t>
  </si>
  <si>
    <t xml:space="preserve">Stellen 7-8 (Solar) </t>
  </si>
  <si>
    <t>"1" - fiktive Einspeisung des selbstverbrauchten Stroms</t>
  </si>
  <si>
    <t>Angabe zum Solarstrom-Selbstverbrauch in Stelle 7:</t>
  </si>
  <si>
    <t>In Stelle 8 wird die Leistungsstufe (0 … 30 kW, 30 … 100 kW und 100 … 500 kW) unterschieden.</t>
  </si>
  <si>
    <t>Alle weiteren Stellen bis Stelle 12 werden mit Minuszeichen aufgefüllt, Ausnahmen:</t>
  </si>
  <si>
    <t>- unterjährig einsetzende neue Vergütungssätze (bei Photovoltaikanlagen ab Juli, September oder Oktober): Monatsangaben in den Stellen 10 bis 12</t>
  </si>
  <si>
    <t>„vNNe“ für vermiedene Netznutzungsentgelte</t>
  </si>
  <si>
    <t>Stellen 7-12</t>
  </si>
  <si>
    <t xml:space="preserve">"BS" (teilweise nur "B") für Bestandsschutz: Durch Übergangsbestimmungen geregelter Investitionsschutz des Weitergeltens von Vergütungen </t>
  </si>
  <si>
    <t>unterjährig einsetzende neue Vergütungssätze (bei PV-Anlagen z. B. ab Juli): Monatsangaben in den Stellen 10 bis 12</t>
  </si>
  <si>
    <t>Stellen 10-12</t>
  </si>
  <si>
    <t>Angabe zum ersten Inbetriebnahmemonat in Stellen 10 bis 12:</t>
  </si>
  <si>
    <t>Stellen 9-14</t>
  </si>
  <si>
    <t>Alle nicht benutzten Stellen werden mit Minuszeichen aufgefüllt.</t>
  </si>
  <si>
    <t>Stellen 13-14</t>
  </si>
  <si>
    <t>Stellen 13-14:</t>
  </si>
  <si>
    <t>Inbetriebnahmejahr (2-stellig) für Vergütungskategorien nach § 23 bis § 33, die vom Inbetriebnahmejahr abhängig sind</t>
  </si>
  <si>
    <t>Angaben zur gekürzten Vergütung, z. B. "MW" für Marktwert und "-0" für 0 ct/kWh.</t>
  </si>
  <si>
    <t>- physischer Umzug einer Anlage, z. B. aus einer PV-Dachanlage nach § 33 wird eine PV-Freiflächenanlage nach § 32</t>
  </si>
  <si>
    <t xml:space="preserve">- "BS" (teilweise nur "B") für Bestandsschutz: Durch Übergangsbestimmungen geregelter Investitionsschutz des Weitergeltens von Vergütungen </t>
  </si>
  <si>
    <t>Modernisierung 2012</t>
  </si>
  <si>
    <t>braun</t>
  </si>
  <si>
    <t>Vergütungskategorie ist 2012 neu nach EEG 2012, auch auf Anlagen mit Inbetriebnahme vor 1.1.2012 anwendbar</t>
  </si>
  <si>
    <t>Vergütungskategorie ist 2012 neu nach EEG 2012, nur auf Anlagen mit Inbetriebnahme nach 31.12.2011 anwendbar</t>
  </si>
  <si>
    <t>rosa / braun</t>
  </si>
  <si>
    <t>Vergütungskategorie ist 2012 neu nach EEG 2012, Anwendbarkeit auf Anlagen mit Inbetriebnahme vor 1.1.2012 unsicher</t>
  </si>
  <si>
    <t>33a für Selbstverbrauch und Verbrauch durch Dritte in räumlicher Nähe (alle Energieträger)</t>
  </si>
  <si>
    <t>Angaben zur Direktvermarktung, z. B. "---SV", "GSP-DV", "-SO-DV" oder "--FLP"</t>
  </si>
  <si>
    <t>Inbetriebnahme bis 2012</t>
  </si>
  <si>
    <t>Die Vergütungskategorien für Inbetriebnahmejahr 2012 können nach § 66 Abs. 1 Nr. 13 EEG 2012 auch für Anlagen mit IB vor dem 01.01.2012 verwendet werden.</t>
  </si>
  <si>
    <t>BiK82X2K10y-07</t>
  </si>
  <si>
    <t>BiK82bK10---07</t>
  </si>
  <si>
    <t>BiK82bK10y--07</t>
  </si>
  <si>
    <t>BiK82a1bK10-07</t>
  </si>
  <si>
    <t>BiK82a1bK10y07</t>
  </si>
  <si>
    <t>BiK82GbK10--07</t>
  </si>
  <si>
    <t>BiK82GbK10y-07</t>
  </si>
  <si>
    <t>BiK82M2bK10-07</t>
  </si>
  <si>
    <t>BiK82M2bK10y07</t>
  </si>
  <si>
    <t>BiK82LbK10--07</t>
  </si>
  <si>
    <t>BiK82LbK10y-07</t>
  </si>
  <si>
    <t>BiK82X2bK10-07</t>
  </si>
  <si>
    <t>BiK82X2bK10y07</t>
  </si>
  <si>
    <t>BiK83K10----07</t>
  </si>
  <si>
    <t>BiK83a2K10--07</t>
  </si>
  <si>
    <t>BiK83a3K10--07</t>
  </si>
  <si>
    <t>BiK83bK10---07</t>
  </si>
  <si>
    <t>BiK83a2bK10-07</t>
  </si>
  <si>
    <t>BiK83a3bK10-07</t>
  </si>
  <si>
    <t>BiK84K10----07</t>
  </si>
  <si>
    <t>BiK85K10----07</t>
  </si>
  <si>
    <t>BiK81K10----08</t>
  </si>
  <si>
    <t>BiK81K10y---08</t>
  </si>
  <si>
    <t>BiK81a1K10--08</t>
  </si>
  <si>
    <t>BiK81a1K10y-08</t>
  </si>
  <si>
    <t>BiK81GK10---08</t>
  </si>
  <si>
    <t>BiK81GK10y--08</t>
  </si>
  <si>
    <t>BiK81M1K10--08</t>
  </si>
  <si>
    <t>BiK81M1K10y-08</t>
  </si>
  <si>
    <t>BiK81LK10---08</t>
  </si>
  <si>
    <t>BiK81LK10y--08</t>
  </si>
  <si>
    <t>BiK81X1K10--08</t>
  </si>
  <si>
    <t>BiK81X1K10y-08</t>
  </si>
  <si>
    <t>BiK81a1bK10-08</t>
  </si>
  <si>
    <t>BiK81a1bK10y08</t>
  </si>
  <si>
    <t>BiK81GbK10--08</t>
  </si>
  <si>
    <t>BiK81GbK10y-08</t>
  </si>
  <si>
    <t>BiK81M1bK10-08</t>
  </si>
  <si>
    <t>BiK81M1bK10y08</t>
  </si>
  <si>
    <t>BiK81LbK10--08</t>
  </si>
  <si>
    <t>BiK81LbK10y-08</t>
  </si>
  <si>
    <t>BiK81X1bK10-08</t>
  </si>
  <si>
    <t>BiK81X1bK10y08</t>
  </si>
  <si>
    <t>BiK81bK10---08</t>
  </si>
  <si>
    <t>BiK81bK10y--08</t>
  </si>
  <si>
    <t>BiK82K10----08</t>
  </si>
  <si>
    <t>BiK82K10y---08</t>
  </si>
  <si>
    <t>BiK82a1K10--08</t>
  </si>
  <si>
    <t>BiK82a1K10y-08</t>
  </si>
  <si>
    <t>BiK82GK10---08</t>
  </si>
  <si>
    <t>BiK82GK10y--08</t>
  </si>
  <si>
    <t>BiK82M2K10--08</t>
  </si>
  <si>
    <t>BiK82M2K10y-08</t>
  </si>
  <si>
    <t>BiK82LK10---08</t>
  </si>
  <si>
    <t>BiK82LK10y--08</t>
  </si>
  <si>
    <t>BiK82X2K10--08</t>
  </si>
  <si>
    <t>0,150-0,5 MW, Bonusregeln t3, X2, i</t>
  </si>
  <si>
    <t>K</t>
  </si>
  <si>
    <t>0,150-0,5 MW, Bonusregeln t1, K</t>
  </si>
  <si>
    <t>0,5-5 MW, Bonusregeln t1, K</t>
  </si>
  <si>
    <t>0,150-0,5 MW, Bonusregeln t2, K</t>
  </si>
  <si>
    <t>0,5-5 MW, Bonusregeln t2, K</t>
  </si>
  <si>
    <t>0,150-0,5 MW, Bonusregeln t3, K</t>
  </si>
  <si>
    <t>0,5-5 MW, Bonusregeln t3, K</t>
  </si>
  <si>
    <t>0,150-0,5 MW, Bonusregeln a1, K</t>
  </si>
  <si>
    <t>0,5-5 MW, Bonusregeln a2, K</t>
  </si>
  <si>
    <t>0,5-5 MW, Bonusregeln ah, K</t>
  </si>
  <si>
    <t>BiK82X2KA3y-06</t>
  </si>
  <si>
    <t>BiK82X2K09y-06</t>
  </si>
  <si>
    <t>BiK82Gb-----06</t>
  </si>
  <si>
    <t>BiK82GbKWK--06</t>
  </si>
  <si>
    <t>BiK82GbKA3--06</t>
  </si>
  <si>
    <t>BiK82GbK09--06</t>
  </si>
  <si>
    <t>BiK82Gby----06</t>
  </si>
  <si>
    <t>BiK82GbKWKy-06</t>
  </si>
  <si>
    <t>BiK82GbKA3y-06</t>
  </si>
  <si>
    <t>BiK82GbK09y-06</t>
  </si>
  <si>
    <t>BiK52aK10---01</t>
  </si>
  <si>
    <t>BiK52aa2K10-01</t>
  </si>
  <si>
    <t>BiK52aa3K10-01</t>
  </si>
  <si>
    <t>BiK53aK10---01</t>
  </si>
  <si>
    <t>BiK54aK10---01</t>
  </si>
  <si>
    <t>BiK51nK10---02</t>
  </si>
  <si>
    <t>BiK51nK10y--02</t>
  </si>
  <si>
    <t>BiK51na1K10-02</t>
  </si>
  <si>
    <t>BiK51na1K10y02</t>
  </si>
  <si>
    <t>BiK51nGK10--02</t>
  </si>
  <si>
    <t>BiK51nGK10y-02</t>
  </si>
  <si>
    <t>BiK51nM1K10-02</t>
  </si>
  <si>
    <t>BiK51nM1K10y02</t>
  </si>
  <si>
    <t>BiK51nLK10--02</t>
  </si>
  <si>
    <t>BiK51nLK10y-02</t>
  </si>
  <si>
    <t>BiK51nX1K10-02</t>
  </si>
  <si>
    <t>BiK51nX1K10y02</t>
  </si>
  <si>
    <t>BiK51aK10---02</t>
  </si>
  <si>
    <t>BiK51aK10y--02</t>
  </si>
  <si>
    <t>BiK51aa1K10-02</t>
  </si>
  <si>
    <t>BiK51aa1K10y02</t>
  </si>
  <si>
    <t>BiK51aGK10--02</t>
  </si>
  <si>
    <t>BiK51aGK10y-02</t>
  </si>
  <si>
    <t>BiK51aM2K10-02</t>
  </si>
  <si>
    <t>BiK51aM2K10y02</t>
  </si>
  <si>
    <t>BiK51aLK10--02</t>
  </si>
  <si>
    <t>BiK51aLK10y-02</t>
  </si>
  <si>
    <t>BiK51aX2K10-02</t>
  </si>
  <si>
    <t>BiK51aX2K10y02</t>
  </si>
  <si>
    <t>BiK52aK10---02</t>
  </si>
  <si>
    <t>BiK52aa2K10-02</t>
  </si>
  <si>
    <t>BiK52aa3K10-02</t>
  </si>
  <si>
    <t>BiK53aK10---02</t>
  </si>
  <si>
    <t>BiK54aK10---02</t>
  </si>
  <si>
    <t>BiK51nK10---03</t>
  </si>
  <si>
    <t>BiK51nK10y--03</t>
  </si>
  <si>
    <t>BiK51na1K10-03</t>
  </si>
  <si>
    <t>BiK51na1K10y03</t>
  </si>
  <si>
    <t>BiK51nGK10--03</t>
  </si>
  <si>
    <t>BiK51nGK10y-03</t>
  </si>
  <si>
    <t>BiK51nM1K10-03</t>
  </si>
  <si>
    <t>BiK51nM1K10y03</t>
  </si>
  <si>
    <t>BiK51nLK10--03</t>
  </si>
  <si>
    <t>BiK51nLK10y-03</t>
  </si>
  <si>
    <t>BiK51nX1K10-03</t>
  </si>
  <si>
    <t>BiK51nX1K10y03</t>
  </si>
  <si>
    <t>BiK51aK10---03</t>
  </si>
  <si>
    <t>"2" - fiktive Rückspeisung des selbstverbrauchten Stroms bis zu 30 % der Gesamterzeugung der Anlage im Kalenderjahr</t>
  </si>
  <si>
    <t>"3" - fiktive Rückspeisung des selbstverbrauchten Stroms über 30 % der Gesamterzeugung der Anlage im Kalenderjahr</t>
  </si>
  <si>
    <t>"2" - fiktive Rückspeisung des selbstverbrauchten Stroms, ggf. nur Anteil bis zu 30 % der Gesamterzeugung der Anlage im Kalenderjahr</t>
  </si>
  <si>
    <t>BiK82X2K10y-08</t>
  </si>
  <si>
    <t>BiK82bK10---08</t>
  </si>
  <si>
    <t>BiK82bK10y--08</t>
  </si>
  <si>
    <t>BiK82a1bK10-08</t>
  </si>
  <si>
    <t>BiK82a1bK10y08</t>
  </si>
  <si>
    <t>BiK82GbK10--08</t>
  </si>
  <si>
    <t>BiK82GbK10y-08</t>
  </si>
  <si>
    <t>BiK82M2bK10-08</t>
  </si>
  <si>
    <t>BiK82M2bK10y08</t>
  </si>
  <si>
    <t>BiK82LbK10--08</t>
  </si>
  <si>
    <t>BiK82LbK10y-08</t>
  </si>
  <si>
    <t>BiK82X2bK10-08</t>
  </si>
  <si>
    <t>BiK82X2bK10y08</t>
  </si>
  <si>
    <t>BiK83K10----08</t>
  </si>
  <si>
    <t>BiK83a2K10--08</t>
  </si>
  <si>
    <t>BiK83a3K10--08</t>
  </si>
  <si>
    <t>BiK83bK10---08</t>
  </si>
  <si>
    <t>BiK83a2bK10-08</t>
  </si>
  <si>
    <t>BiK83a3bK10-08</t>
  </si>
  <si>
    <t>BiK84K10----08</t>
  </si>
  <si>
    <t>BiK85K10----08</t>
  </si>
  <si>
    <t>§ 27 Abs. 4 Satz 1 Nr. 1 EEG; Anlage 1 Punkt I., 2b</t>
  </si>
  <si>
    <t>§ 27 Abs. 4 Satz 1 Nr. 1 EEG; Anlage 1 Punkt II., 2</t>
  </si>
  <si>
    <t>§ 27 Abs. 4 Satz 1 Nr. 3 EEG</t>
  </si>
  <si>
    <t>§ 29 Abs. 2 EEG</t>
  </si>
  <si>
    <t>0,150-0,5 MW, Bonusregeln t1, a1</t>
  </si>
  <si>
    <t>0,5-5 MW, Bonusregeln t1, a2</t>
  </si>
  <si>
    <t>0,150-0,5 MW, Bonusregeln t1, G</t>
  </si>
  <si>
    <t>0,150-0,5 MW, Bonusregeln t1, G, i</t>
  </si>
  <si>
    <t>0,150-0,5 MW, Bonusregeln t2, a1</t>
  </si>
  <si>
    <t>0,5-5 MW, Bonusregeln t2, a2</t>
  </si>
  <si>
    <t>WfK311------09</t>
  </si>
  <si>
    <t>Inbetriebnahme 01.01. bis 31.07.2004</t>
  </si>
  <si>
    <t>BiK85-------04</t>
  </si>
  <si>
    <t>BiK85K09----04</t>
  </si>
  <si>
    <t>0-0,5 MW, Bonusregel t3</t>
  </si>
  <si>
    <t>DeK248------09</t>
  </si>
  <si>
    <t>KlK253------09</t>
  </si>
  <si>
    <t>KlK258------09</t>
  </si>
  <si>
    <t>GrK263------09</t>
  </si>
  <si>
    <t>GrK260------09</t>
  </si>
  <si>
    <t>GrK265------09</t>
  </si>
  <si>
    <t>GrK2610-----09</t>
  </si>
  <si>
    <t>BiK270------09</t>
  </si>
  <si>
    <t>BiK270K-----09</t>
  </si>
  <si>
    <t>BiK271------09</t>
  </si>
  <si>
    <t>BiK271K-----09</t>
  </si>
  <si>
    <t>BiK272------09</t>
  </si>
  <si>
    <t>BiK272K-----09</t>
  </si>
  <si>
    <t>BiK273K-----09</t>
  </si>
  <si>
    <t>BiK270t1----09</t>
  </si>
  <si>
    <t>BiK270t1K---09</t>
  </si>
  <si>
    <t>BiK271t1----09</t>
  </si>
  <si>
    <t>BiK271t1K---09</t>
  </si>
  <si>
    <t>BiK272t1----09</t>
  </si>
  <si>
    <t>BiK272t1K---09</t>
  </si>
  <si>
    <t>BiK270t2----09</t>
  </si>
  <si>
    <t>BiK270t2K---09</t>
  </si>
  <si>
    <t>BiK271t2----09</t>
  </si>
  <si>
    <t>BiK271t2K---09</t>
  </si>
  <si>
    <t>BiK272t2----09</t>
  </si>
  <si>
    <t>BiK272t2K---09</t>
  </si>
  <si>
    <t>BiK270a1----09</t>
  </si>
  <si>
    <t>BiK270a1K---09</t>
  </si>
  <si>
    <t>BiK271a1----09</t>
  </si>
  <si>
    <t>BiK271a1K---09</t>
  </si>
  <si>
    <t>BiK272a2----09</t>
  </si>
  <si>
    <t>BiK272a2K---09</t>
  </si>
  <si>
    <t>BiK272ah----09</t>
  </si>
  <si>
    <t>BiK272ahK---09</t>
  </si>
  <si>
    <t>BiK270G-----09</t>
  </si>
  <si>
    <t>BiK270GK----09</t>
  </si>
  <si>
    <t>BiK271G-----09</t>
  </si>
  <si>
    <t>BiK271GK----09</t>
  </si>
  <si>
    <t>BiK270M1----09</t>
  </si>
  <si>
    <t>BiK270M1K---09</t>
  </si>
  <si>
    <t>BiK271M2----09</t>
  </si>
  <si>
    <t>BiK271M2K---09</t>
  </si>
  <si>
    <t>BiK270L-----09</t>
  </si>
  <si>
    <t>BiK270LK----09</t>
  </si>
  <si>
    <t>BiK271L-----09</t>
  </si>
  <si>
    <t>BiK271LK----09</t>
  </si>
  <si>
    <t>BiK270X1----09</t>
  </si>
  <si>
    <t>vNNe, Spannungsebene: Hös/HS, ab 2009</t>
  </si>
  <si>
    <t>vNNe, Spannungsebene: HS, ab 2009</t>
  </si>
  <si>
    <t>vNNe, Spannungsebene: HS/MS, ab 2009</t>
  </si>
  <si>
    <t>vNNe, Spannungsebene: MS, ab 2009</t>
  </si>
  <si>
    <t>vNNe, Spannungsebene: MS/NS, ab 2009</t>
  </si>
  <si>
    <t>vNNe, Spannungsebene: NS, ab 2009</t>
  </si>
  <si>
    <t>Kl-vNNe--SpE01</t>
  </si>
  <si>
    <t>Kl-vNNe--SpE02</t>
  </si>
  <si>
    <t>Kl-vNNe--SpE03</t>
  </si>
  <si>
    <t>Kl-vNNe--SpE04</t>
  </si>
  <si>
    <t>Kl-vNNe--SpE05</t>
  </si>
  <si>
    <t>Kl-vNNe--SpE06</t>
  </si>
  <si>
    <t>Kl-vNNe--SpE07</t>
  </si>
  <si>
    <t>Gr-vNNe--SpE01</t>
  </si>
  <si>
    <t>Gr-vNNe--SpE02</t>
  </si>
  <si>
    <t>Gr-vNNe--SpE03</t>
  </si>
  <si>
    <t>Gr-vNNe--SpE04</t>
  </si>
  <si>
    <t>Gr-vNNe--SpE05</t>
  </si>
  <si>
    <t>Gr-vNNe--SpE06</t>
  </si>
  <si>
    <t>Gr-vNNe--SpE07</t>
  </si>
  <si>
    <t>Wn-vNNe--SpE01</t>
  </si>
  <si>
    <t>Wn-vNNe--SpE02</t>
  </si>
  <si>
    <t>Wn-vNNe--SpE03</t>
  </si>
  <si>
    <t>Wn-vNNe--SpE04</t>
  </si>
  <si>
    <t>Wn-vNNe--SpE05</t>
  </si>
  <si>
    <t>Wn-vNNe--SpE06</t>
  </si>
  <si>
    <t>Wn-vNNe--SpE07</t>
  </si>
  <si>
    <t>Wind onshore</t>
  </si>
  <si>
    <t>Wr-vNNe--SpE01</t>
  </si>
  <si>
    <t>Wr-vNNe--SpE02</t>
  </si>
  <si>
    <t>Wr-vNNe--SpE03</t>
  </si>
  <si>
    <t>Wr-vNNe--SpE04</t>
  </si>
  <si>
    <t>Wr-vNNe--SpE05</t>
  </si>
  <si>
    <t>Wr-vNNe--SpE06</t>
  </si>
  <si>
    <t>Wr-vNNe--SpE07</t>
  </si>
  <si>
    <t>Wind Repowering</t>
  </si>
  <si>
    <t>Wf-vNNe--SpE01</t>
  </si>
  <si>
    <t>Wf-vNNe--SpE02</t>
  </si>
  <si>
    <t>Wf-vNNe--SpE03</t>
  </si>
  <si>
    <t>Wf-vNNe--SpE04</t>
  </si>
  <si>
    <t>Wf-vNNe--SpE05</t>
  </si>
  <si>
    <t>Wf-vNNe--SpE06</t>
  </si>
  <si>
    <t>Wf-vNNe--SpE07</t>
  </si>
  <si>
    <t>Wind offshore</t>
  </si>
  <si>
    <t>Sg-vNNe--SpE01</t>
  </si>
  <si>
    <t>Sg-vNNe--SpE02</t>
  </si>
  <si>
    <t>Sg-vNNe--SpE03</t>
  </si>
  <si>
    <t>Sg-vNNe--SpE04</t>
  </si>
  <si>
    <t>BiK81bK12---04</t>
  </si>
  <si>
    <t>BiK81bK12y--04</t>
  </si>
  <si>
    <t>BiK81M1bK11y07</t>
  </si>
  <si>
    <t>BiK81LbK11--07</t>
  </si>
  <si>
    <t>BiK81LbK11y-07</t>
  </si>
  <si>
    <t>BiK81X1bK11-07</t>
  </si>
  <si>
    <t>BiK81X1bK11y07</t>
  </si>
  <si>
    <t>BiK82K11----07</t>
  </si>
  <si>
    <t>BiK82K11y---07</t>
  </si>
  <si>
    <t>BiK82a1K11--07</t>
  </si>
  <si>
    <t>BiK82a1K11y-07</t>
  </si>
  <si>
    <t>BiK82GK11---07</t>
  </si>
  <si>
    <t>BiK82GK11y--07</t>
  </si>
  <si>
    <t>BiK82M2K11--07</t>
  </si>
  <si>
    <t>BiK82M2K11y-07</t>
  </si>
  <si>
    <t>BiK82LK11---07</t>
  </si>
  <si>
    <t>BiK82LK11y--07</t>
  </si>
  <si>
    <t>BiK82X2K11--07</t>
  </si>
  <si>
    <t>BiK82X2K11y-07</t>
  </si>
  <si>
    <t>BiK82bK11---07</t>
  </si>
  <si>
    <t>BiK82bK11y--07</t>
  </si>
  <si>
    <t>BiK82a1bK11-07</t>
  </si>
  <si>
    <t>BiK82a1bK11y07</t>
  </si>
  <si>
    <t>BiK82GbK11--07</t>
  </si>
  <si>
    <t>BiK82GbK11y-07</t>
  </si>
  <si>
    <t>BiK82M2bK11-07</t>
  </si>
  <si>
    <t>BiK82M2bK11y07</t>
  </si>
  <si>
    <t>BiK82LbK11--07</t>
  </si>
  <si>
    <t>BiK82LbK11y-07</t>
  </si>
  <si>
    <t>BiK82X2bK11-07</t>
  </si>
  <si>
    <t>BiK82X2bK11y07</t>
  </si>
  <si>
    <t>BiK83K11----07</t>
  </si>
  <si>
    <t>BiK83a2K11--07</t>
  </si>
  <si>
    <t>BiK83a3K11--07</t>
  </si>
  <si>
    <t>BiK83bK11---07</t>
  </si>
  <si>
    <t>BiK83a2bK11-07</t>
  </si>
  <si>
    <t>BiK83a3bK11-07</t>
  </si>
  <si>
    <t>BiK84K11----07</t>
  </si>
  <si>
    <t>BiK85K11----07</t>
  </si>
  <si>
    <t>BiK81K11----08</t>
  </si>
  <si>
    <t>BiK81K11y---08</t>
  </si>
  <si>
    <t>BiK81a1K11--08</t>
  </si>
  <si>
    <t>BiK81a1K11y-08</t>
  </si>
  <si>
    <t>BiK81GK11---08</t>
  </si>
  <si>
    <t>BiK81GK11y--08</t>
  </si>
  <si>
    <t>BiK81M1K11--08</t>
  </si>
  <si>
    <t>BiK81M1K11y-08</t>
  </si>
  <si>
    <t>BiK81LK11---08</t>
  </si>
  <si>
    <t>BiK81LK11y--08</t>
  </si>
  <si>
    <t>BiK81X1K11--08</t>
  </si>
  <si>
    <t>BiK81X1K11y-08</t>
  </si>
  <si>
    <t>BiK81bK11---08</t>
  </si>
  <si>
    <t>BiK81bK11y--08</t>
  </si>
  <si>
    <t>BiK81a1bK11-08</t>
  </si>
  <si>
    <t>BiK81a1bK11y08</t>
  </si>
  <si>
    <t>BiK81GbK11--08</t>
  </si>
  <si>
    <t>BiK81GbK11y-08</t>
  </si>
  <si>
    <t>BiK81M1bK11-08</t>
  </si>
  <si>
    <t>BiK81M1bK11y08</t>
  </si>
  <si>
    <t>BiK81LbK11--08</t>
  </si>
  <si>
    <t>BiK81LbK11y-08</t>
  </si>
  <si>
    <t>BiK81X1bK11-08</t>
  </si>
  <si>
    <t>BiK81X1bK11y08</t>
  </si>
  <si>
    <t>BiK82K11----08</t>
  </si>
  <si>
    <t>BiK82K11y---08</t>
  </si>
  <si>
    <t>BiK82a1K11--08</t>
  </si>
  <si>
    <t>BiK82a1K11y-08</t>
  </si>
  <si>
    <t>BiK82GK11---08</t>
  </si>
  <si>
    <t>BiK82GK11y--08</t>
  </si>
  <si>
    <t>BiK82M2K11--08</t>
  </si>
  <si>
    <t>BiK82M2K11y-08</t>
  </si>
  <si>
    <t>BiK82LK11---08</t>
  </si>
  <si>
    <t>BiK82LK11y--08</t>
  </si>
  <si>
    <t>BiK82X2K11--08</t>
  </si>
  <si>
    <t>BiK82X2K11y-08</t>
  </si>
  <si>
    <t>BiK82bK11---08</t>
  </si>
  <si>
    <t>BiK82bK11y--08</t>
  </si>
  <si>
    <t>BiK82a1bK11-08</t>
  </si>
  <si>
    <t>BiK82a1bK11y08</t>
  </si>
  <si>
    <t>BiK82GbK11--08</t>
  </si>
  <si>
    <t>BiK82GbK11y-08</t>
  </si>
  <si>
    <t>BiK82M2bK11-08</t>
  </si>
  <si>
    <t>BiK82M2bK11y08</t>
  </si>
  <si>
    <t>BiK82LbK11--08</t>
  </si>
  <si>
    <t>BiK82LbK11y-08</t>
  </si>
  <si>
    <t>BiK82X2bK11-08</t>
  </si>
  <si>
    <t>BiK82X2bK11y08</t>
  </si>
  <si>
    <t>BiK83K11----08</t>
  </si>
  <si>
    <t>BiK83a2K11--08</t>
  </si>
  <si>
    <t>BiK83a3K11--08</t>
  </si>
  <si>
    <t>BiK83bK11---08</t>
  </si>
  <si>
    <t>BiK83a2bK11-08</t>
  </si>
  <si>
    <t>BiK83a3bK11-08</t>
  </si>
  <si>
    <t>BiK84K11----08</t>
  </si>
  <si>
    <t>BiK85K11----08</t>
  </si>
  <si>
    <t>"K11"</t>
  </si>
  <si>
    <t>BiK82a1b----05</t>
  </si>
  <si>
    <t>BiK82a1bKWK-05</t>
  </si>
  <si>
    <t>BiK83-------05</t>
  </si>
  <si>
    <t>BiK83KWK----05</t>
  </si>
  <si>
    <t>BiK83a2-----05</t>
  </si>
  <si>
    <t>BiK83a2KWK--05</t>
  </si>
  <si>
    <t>BiK83a3-----05</t>
  </si>
  <si>
    <t>BiK83a3KWK--05</t>
  </si>
  <si>
    <t>BiK51na1K10y01</t>
  </si>
  <si>
    <t>BiK51nGK10--01</t>
  </si>
  <si>
    <t>BiK51nGK10y-01</t>
  </si>
  <si>
    <t>BiK51nM1K10-01</t>
  </si>
  <si>
    <t>BiK51nM1K10y01</t>
  </si>
  <si>
    <t>BiK51nLK10--01</t>
  </si>
  <si>
    <t>BiK51nLK10y-01</t>
  </si>
  <si>
    <t>BiK51nX1K10-01</t>
  </si>
  <si>
    <t>BiK51nX1K10y01</t>
  </si>
  <si>
    <t>BiK51aK10y--01</t>
  </si>
  <si>
    <t>BiK51aa1K10-01</t>
  </si>
  <si>
    <t>BiK51aa1K10y01</t>
  </si>
  <si>
    <t>BiK51aGK10--01</t>
  </si>
  <si>
    <t>BiK51aGK10y-01</t>
  </si>
  <si>
    <t>BiK51aM2K10-01</t>
  </si>
  <si>
    <t>BiK51aX2K12-02</t>
  </si>
  <si>
    <t>BiK51aX2K12y02</t>
  </si>
  <si>
    <t>BiK52aK12---02</t>
  </si>
  <si>
    <t>BiK52aa2K12-02</t>
  </si>
  <si>
    <t>BiK52aa3K12-02</t>
  </si>
  <si>
    <t>BiK53aK12---02</t>
  </si>
  <si>
    <t>BiK54aK12---02</t>
  </si>
  <si>
    <t>BiK51nK12---03</t>
  </si>
  <si>
    <t>BiK51nK12y--03</t>
  </si>
  <si>
    <t>BiK51na1K12-03</t>
  </si>
  <si>
    <t>BiK51na1K12y03</t>
  </si>
  <si>
    <t>BiK51nGK12--03</t>
  </si>
  <si>
    <t>BiK51nGK12y-03</t>
  </si>
  <si>
    <t>BiK51nM1K12-03</t>
  </si>
  <si>
    <t>BiK51nM1K12y03</t>
  </si>
  <si>
    <t>BiK51nLK12--03</t>
  </si>
  <si>
    <t>BiK51nLK12y-03</t>
  </si>
  <si>
    <t>BiK51nX1K12-03</t>
  </si>
  <si>
    <t>BiK51nX1K12y03</t>
  </si>
  <si>
    <t>BiK51aK12---03</t>
  </si>
  <si>
    <t>BiK51aK12y--03</t>
  </si>
  <si>
    <t>BiK51aa1K12-03</t>
  </si>
  <si>
    <t>BiK51aa1K12y03</t>
  </si>
  <si>
    <t>BiK51aGK12--03</t>
  </si>
  <si>
    <t>BiK51aGK12y-03</t>
  </si>
  <si>
    <t>BiK51aM2K12-03</t>
  </si>
  <si>
    <t>BiK51aM2K12y03</t>
  </si>
  <si>
    <t>BiK51aLK12--03</t>
  </si>
  <si>
    <t>BiK51aLK12y-03</t>
  </si>
  <si>
    <t>BiK51aX2K12-03</t>
  </si>
  <si>
    <t>BiK51aX2K12y03</t>
  </si>
  <si>
    <t>BiK52aK12---03</t>
  </si>
  <si>
    <t>BiK52aa2K12-03</t>
  </si>
  <si>
    <t>BiK52aa3K12-03</t>
  </si>
  <si>
    <t>BiK53aK12---03</t>
  </si>
  <si>
    <t>BiK54aK12---03</t>
  </si>
  <si>
    <t>BiK81K12----04</t>
  </si>
  <si>
    <t>BiK81K12y---04</t>
  </si>
  <si>
    <t>BiK81a1K12--04</t>
  </si>
  <si>
    <t>BiK81a1K12y-04</t>
  </si>
  <si>
    <t>BiK81GK12---04</t>
  </si>
  <si>
    <t>BiK81GK12y--04</t>
  </si>
  <si>
    <t>BiK81M1K12--04</t>
  </si>
  <si>
    <t>BiK81M1K12y-04</t>
  </si>
  <si>
    <t>BiK81LK12---04</t>
  </si>
  <si>
    <t>BiK81LK12y--04</t>
  </si>
  <si>
    <t>BiK81X1K12--04</t>
  </si>
  <si>
    <t>BiK81X1K12y-04</t>
  </si>
  <si>
    <t>BiK82M2b----05</t>
  </si>
  <si>
    <t>BiK82M2bKWK-05</t>
  </si>
  <si>
    <t>BiK82M2bKA3-05</t>
  </si>
  <si>
    <t>BiK82M2bK09-05</t>
  </si>
  <si>
    <t>BiK82M2by---05</t>
  </si>
  <si>
    <t>Anteil KWK, erstmals 2010</t>
  </si>
  <si>
    <t>BiK81K10----05</t>
  </si>
  <si>
    <t>BiK81K10y---05</t>
  </si>
  <si>
    <t>BiK81a1K10--05</t>
  </si>
  <si>
    <t>BiK81a1K10y-05</t>
  </si>
  <si>
    <t>BiK81GK10---05</t>
  </si>
  <si>
    <t>BiK81GK10y--05</t>
  </si>
  <si>
    <t>BiK81M1K10--05</t>
  </si>
  <si>
    <t>BiK81M1K10y-05</t>
  </si>
  <si>
    <t>BiK81LK10---05</t>
  </si>
  <si>
    <t>BiK81LK10y--05</t>
  </si>
  <si>
    <t>BiK81X1K10--05</t>
  </si>
  <si>
    <t>BiK81X1K10y-05</t>
  </si>
  <si>
    <t>BiK81bK10---05</t>
  </si>
  <si>
    <t>BiK81bK10y--05</t>
  </si>
  <si>
    <t>BiK81a1bK10-05</t>
  </si>
  <si>
    <t>BiK81a1bK10y05</t>
  </si>
  <si>
    <t>BiK81GbK10--05</t>
  </si>
  <si>
    <t>BiK81GbK10y-05</t>
  </si>
  <si>
    <t>BiK81M1bK10-05</t>
  </si>
  <si>
    <t>BiK81M1bK10y05</t>
  </si>
  <si>
    <t>BiK81LbK10--05</t>
  </si>
  <si>
    <t>BiK81LbK10y-05</t>
  </si>
  <si>
    <t>BiK81X1bK10-05</t>
  </si>
  <si>
    <t>BiK81X1bK10y05</t>
  </si>
  <si>
    <t>BiK82K10----05</t>
  </si>
  <si>
    <t>BiK82K10y---05</t>
  </si>
  <si>
    <t>BiK82a1K10--05</t>
  </si>
  <si>
    <t>BiK82a1K10y-05</t>
  </si>
  <si>
    <t>BiK82GK10---05</t>
  </si>
  <si>
    <t>BiK82GK10y--05</t>
  </si>
  <si>
    <t>BiK82M2K10--05</t>
  </si>
  <si>
    <t>BiK82M2K10y-05</t>
  </si>
  <si>
    <t>BiK82LK10---05</t>
  </si>
  <si>
    <t>BiK82LK10y--05</t>
  </si>
  <si>
    <t>BiK82X2K10--05</t>
  </si>
  <si>
    <t>BiK82X2K10y-05</t>
  </si>
  <si>
    <t>BiK82bK10---05</t>
  </si>
  <si>
    <t>BiK82bK10y--05</t>
  </si>
  <si>
    <t>BiK82a1bK10-05</t>
  </si>
  <si>
    <t>BiK82a1bK10y05</t>
  </si>
  <si>
    <t>BiK82GbK10--05</t>
  </si>
  <si>
    <t>BiK82GbK10y-05</t>
  </si>
  <si>
    <t>BiK82M2bK10-05</t>
  </si>
  <si>
    <t>BiK82M2bK10y05</t>
  </si>
  <si>
    <t>BiK82LbK10--05</t>
  </si>
  <si>
    <t>BiK82LbK10y-05</t>
  </si>
  <si>
    <t>BiK82X2bK10-05</t>
  </si>
  <si>
    <t>BiK82X2bK10y05</t>
  </si>
  <si>
    <t>BiK83K10----05</t>
  </si>
  <si>
    <t>BiK83a2K10--05</t>
  </si>
  <si>
    <t>BiK83a3K10--05</t>
  </si>
  <si>
    <t>BiK83bK10---05</t>
  </si>
  <si>
    <t>BiK83a2bK10-05</t>
  </si>
  <si>
    <t>BiK83a3bK10-05</t>
  </si>
  <si>
    <t>BiK84K10----05</t>
  </si>
  <si>
    <t>BiK81by-----08</t>
  </si>
  <si>
    <t>BiK81bKWKy--08</t>
  </si>
  <si>
    <t>BiK81bKA3y--08</t>
  </si>
  <si>
    <t>BiK81bK09y--08</t>
  </si>
  <si>
    <t>BiK81a1bKWKy08</t>
  </si>
  <si>
    <t>BiK81a1bKA3y08</t>
  </si>
  <si>
    <t>BiK81a1bK09y08</t>
  </si>
  <si>
    <t>BiK81a1by---08</t>
  </si>
  <si>
    <t>BiK81a1y----07</t>
  </si>
  <si>
    <t>BiK81a1KWKy-07</t>
  </si>
  <si>
    <t>BiK81a1KA3y-07</t>
  </si>
  <si>
    <t>BiK81a1K09y-07</t>
  </si>
  <si>
    <t>BiK81by-----07</t>
  </si>
  <si>
    <t>BiK81bKWKy--07</t>
  </si>
  <si>
    <t>BiK81bKA3y--07</t>
  </si>
  <si>
    <t>BiK81bK09y--07</t>
  </si>
  <si>
    <t>BiK82y------07</t>
  </si>
  <si>
    <t>BiK81LK12---06</t>
  </si>
  <si>
    <t>BiK81LK12y--06</t>
  </si>
  <si>
    <t>BiK81X1K12--06</t>
  </si>
  <si>
    <t>BiK81X1K12y-06</t>
  </si>
  <si>
    <t>BiK81bK12---06</t>
  </si>
  <si>
    <t>BiK81bK12y--06</t>
  </si>
  <si>
    <t>BiK81a1bK12-06</t>
  </si>
  <si>
    <t>BiK81a1bK12y06</t>
  </si>
  <si>
    <t>BiK81GbK12--06</t>
  </si>
  <si>
    <t>BiK81GbK12y-06</t>
  </si>
  <si>
    <t>BiK81M1bK12-06</t>
  </si>
  <si>
    <t>BiK81M1bK12y06</t>
  </si>
  <si>
    <t>BiK81LbK12--06</t>
  </si>
  <si>
    <t>BiK81LbK12y-06</t>
  </si>
  <si>
    <t>BiK81X1bK12-06</t>
  </si>
  <si>
    <t>BiK81X1bK12y06</t>
  </si>
  <si>
    <t>BiK82K12----06</t>
  </si>
  <si>
    <t>BiK82K12y---06</t>
  </si>
  <si>
    <t>BiK82a1K12--06</t>
  </si>
  <si>
    <t>BiK82a1K12y-06</t>
  </si>
  <si>
    <t>BiK82X2KWKy-08</t>
  </si>
  <si>
    <t>BiK82X2KA3y-08</t>
  </si>
  <si>
    <t>BiK82X2K09y-08</t>
  </si>
  <si>
    <t>BiK53aK09---01</t>
  </si>
  <si>
    <t>BiK81K09----04</t>
  </si>
  <si>
    <t>BiK83a2bKWK-07</t>
  </si>
  <si>
    <t>BiK83a3b----07</t>
  </si>
  <si>
    <t>BiK83a3bKWK-07</t>
  </si>
  <si>
    <t>BiK84-------07</t>
  </si>
  <si>
    <t>BiK84KWK----07</t>
  </si>
  <si>
    <t>BiK85-------07</t>
  </si>
  <si>
    <t>BiK81-------08</t>
  </si>
  <si>
    <t>BiK81KWK----08</t>
  </si>
  <si>
    <t>BiK81a1-----08</t>
  </si>
  <si>
    <t>BiK81a1KWK--08</t>
  </si>
  <si>
    <t>BiK81b------08</t>
  </si>
  <si>
    <t>BiK81bKWK---08</t>
  </si>
  <si>
    <t>BiK81a1b----08</t>
  </si>
  <si>
    <t>BiK81a1bKWK-08</t>
  </si>
  <si>
    <t>BiK82-------08</t>
  </si>
  <si>
    <t>BiK82KWK----08</t>
  </si>
  <si>
    <t>BiK82a1-----08</t>
  </si>
  <si>
    <t>BiK82a1KWK--08</t>
  </si>
  <si>
    <t>BiK82b------08</t>
  </si>
  <si>
    <t>BiK82bKWK---08</t>
  </si>
  <si>
    <t>BiK82a1b----08</t>
  </si>
  <si>
    <t>BiK82a1bKWK-08</t>
  </si>
  <si>
    <t>BiK83-------08</t>
  </si>
  <si>
    <t>BiK82X2y----04</t>
  </si>
  <si>
    <t>Energieart (vgl. oben)</t>
  </si>
  <si>
    <t>Stelle 4 (Wa, Ga, Bi, Ge) bzw. 4-5 (Wind, Solar)</t>
  </si>
  <si>
    <t>relevanter Paragraph aus dem EEG 2004:</t>
  </si>
  <si>
    <t xml:space="preserve">6 für Wasserkraft </t>
  </si>
  <si>
    <t>DeK5642-MPM--0</t>
  </si>
  <si>
    <t>KlK5642-MPM--0</t>
  </si>
  <si>
    <t>GrK5642-MPM--0</t>
  </si>
  <si>
    <t>GeK5642-MPM--0</t>
  </si>
  <si>
    <t>WiK5642-MPM--0</t>
  </si>
  <si>
    <t>WnK5642-MPM--0</t>
  </si>
  <si>
    <t>WrK5642-MPM--0</t>
  </si>
  <si>
    <t>WfK5642-MPM--0</t>
  </si>
  <si>
    <t>SoK5642-MPM--0</t>
  </si>
  <si>
    <t>SgK5642-MPM--0</t>
  </si>
  <si>
    <t>Nicht-Anerkennung als Grünstrom nach § 56 Abs. 4 Nr. 3 (Doppelvermarktung)</t>
  </si>
  <si>
    <t>Entfall Marktprämie nach § 56 Abs. 4 Nr. 2 (Doppelvermarktung)</t>
  </si>
  <si>
    <t>WaK5643-GSP--0</t>
  </si>
  <si>
    <t>BiK5643-GSP--0</t>
  </si>
  <si>
    <t>GaK5643-GSP--0</t>
  </si>
  <si>
    <t>DeK5643-GSP--0</t>
  </si>
  <si>
    <t>KlK5643-GSP--0</t>
  </si>
  <si>
    <t>GrK5643-GSP--0</t>
  </si>
  <si>
    <t>GeK5643-GSP--0</t>
  </si>
  <si>
    <t>WiK5643-GSP--0</t>
  </si>
  <si>
    <t>WnK5643-GSP--0</t>
  </si>
  <si>
    <t>WrK5643-GSP--0</t>
  </si>
  <si>
    <t>WfK5643-GSP--0</t>
  </si>
  <si>
    <t>SoK5643-GSP--0</t>
  </si>
  <si>
    <t>SgK5643-GSP--0</t>
  </si>
  <si>
    <t>56 für Verrringerung oder Entfall des Vergütungsanspruchs bei Doppelvermarktung</t>
  </si>
  <si>
    <t>Bonus für Einsatz petrothermaler Technik</t>
  </si>
  <si>
    <t>§ 28 Abs. 3 EEG</t>
  </si>
  <si>
    <t>§ 28 Abs. 2 EEG; Anlage 4</t>
  </si>
  <si>
    <t>P</t>
  </si>
  <si>
    <t>0-10 MW</t>
  </si>
  <si>
    <t>Inbetriebnahme 2002</t>
  </si>
  <si>
    <t>WaK42a------02</t>
  </si>
  <si>
    <t>WaK41a------03</t>
  </si>
  <si>
    <t>Inbetriebnahme 2003</t>
  </si>
  <si>
    <t>WaK42a------03</t>
  </si>
  <si>
    <t>WaK41a------04</t>
  </si>
  <si>
    <t>BiK270t2iK--10</t>
  </si>
  <si>
    <t>BiK270t2a1--10</t>
  </si>
  <si>
    <t>BiK270t2a1K-10</t>
  </si>
  <si>
    <t>BiK270t2a1i-10</t>
  </si>
  <si>
    <t>BiK270t2a1iK10</t>
  </si>
  <si>
    <t>BiK270t2G---10</t>
  </si>
  <si>
    <t>BiK270t2GK--10</t>
  </si>
  <si>
    <t>BiK270t2Gi--10</t>
  </si>
  <si>
    <t>BiK270t2GiK-10</t>
  </si>
  <si>
    <t>BiK270t2L---10</t>
  </si>
  <si>
    <t>BiK270t2LK--10</t>
  </si>
  <si>
    <t>BiK270t2Li--10</t>
  </si>
  <si>
    <t>BiK270t2LiK-10</t>
  </si>
  <si>
    <t>BiK270t2M1--10</t>
  </si>
  <si>
    <t>BiK270t2M1K-10</t>
  </si>
  <si>
    <t>BiK270t2M1i-10</t>
  </si>
  <si>
    <t>BiK270t2M1iK10</t>
  </si>
  <si>
    <t>BiK270t2X1--10</t>
  </si>
  <si>
    <t>BiK270t2X1K-10</t>
  </si>
  <si>
    <t>BiK270t2X1i-10</t>
  </si>
  <si>
    <t>BiK270t2X1iK10</t>
  </si>
  <si>
    <t>BiK270t3----10</t>
  </si>
  <si>
    <t>BiK270t3K---10</t>
  </si>
  <si>
    <t>BiK270t3i---10</t>
  </si>
  <si>
    <t>BiK270t3iK--10</t>
  </si>
  <si>
    <t>BiK270t3a1--10</t>
  </si>
  <si>
    <t>BiK270t3a1K-10</t>
  </si>
  <si>
    <t>BiK270t3a1i-10</t>
  </si>
  <si>
    <t>BiK270t3a1iK10</t>
  </si>
  <si>
    <t>BiK270t3G---10</t>
  </si>
  <si>
    <t>BiK270t3GK--10</t>
  </si>
  <si>
    <t>BiK270t3Gi--10</t>
  </si>
  <si>
    <t>BiK270t3GiK-10</t>
  </si>
  <si>
    <t>BiK270t3L---10</t>
  </si>
  <si>
    <t>BiK270t3LK--10</t>
  </si>
  <si>
    <t>BiK270t3Li--10</t>
  </si>
  <si>
    <t>BiK270t3LiK-10</t>
  </si>
  <si>
    <t>BiK270t3M1--10</t>
  </si>
  <si>
    <t>BiK270t3M1K-10</t>
  </si>
  <si>
    <t>BiK270t3M1i-10</t>
  </si>
  <si>
    <t>BiK270t3M1iK10</t>
  </si>
  <si>
    <t>BiK270t3X1--10</t>
  </si>
  <si>
    <t>BiK270t3X1K-10</t>
  </si>
  <si>
    <t>BiK270t3X1i-10</t>
  </si>
  <si>
    <t>BiK270t3X1iK10</t>
  </si>
  <si>
    <t>BiK271------10</t>
  </si>
  <si>
    <t>BiK271K-----10</t>
  </si>
  <si>
    <t>BiK271i-----10</t>
  </si>
  <si>
    <t>BiK271iK----10</t>
  </si>
  <si>
    <t>BiK271a1----10</t>
  </si>
  <si>
    <t>BiK271a1K---10</t>
  </si>
  <si>
    <t>BiK271a1i---10</t>
  </si>
  <si>
    <t>BiK271a1iK--10</t>
  </si>
  <si>
    <t>BiK271G-----10</t>
  </si>
  <si>
    <t>BiK271GK----10</t>
  </si>
  <si>
    <t>BiK271Gi----10</t>
  </si>
  <si>
    <t>BiK271GiK---10</t>
  </si>
  <si>
    <t>BiK271L-----10</t>
  </si>
  <si>
    <t>BiK271LK----10</t>
  </si>
  <si>
    <t>BiK271Li----10</t>
  </si>
  <si>
    <t>BiK271LiK---10</t>
  </si>
  <si>
    <t>BiK271M2----10</t>
  </si>
  <si>
    <t>BiK271M2K---10</t>
  </si>
  <si>
    <t>BiK271M2i---10</t>
  </si>
  <si>
    <t>BiK271M2iK--10</t>
  </si>
  <si>
    <t>BiK271X2----10</t>
  </si>
  <si>
    <t>BiK271X2K---10</t>
  </si>
  <si>
    <t>BiK271X2i---10</t>
  </si>
  <si>
    <t>BiK271X2iK--10</t>
  </si>
  <si>
    <t>BiK271t1----10</t>
  </si>
  <si>
    <t>BiK271t1K---10</t>
  </si>
  <si>
    <t>BiK271t1i---10</t>
  </si>
  <si>
    <t>BiK271t1iK--10</t>
  </si>
  <si>
    <t>BiK271t1a1--10</t>
  </si>
  <si>
    <t>BiK271t1a1K-10</t>
  </si>
  <si>
    <t>BiK271t1a1i-10</t>
  </si>
  <si>
    <t>BiK271t1a1iK10</t>
  </si>
  <si>
    <t>BiK271t1G---10</t>
  </si>
  <si>
    <t>BiK271t1GK--10</t>
  </si>
  <si>
    <t>BiK271t1Gi--10</t>
  </si>
  <si>
    <t>BiK271t1GiK-10</t>
  </si>
  <si>
    <t>BiK271t1L---10</t>
  </si>
  <si>
    <t>BiK271t1LK--10</t>
  </si>
  <si>
    <t>BiK271t1Li--10</t>
  </si>
  <si>
    <t>BiK271t1LiK-10</t>
  </si>
  <si>
    <t>BiK271t1M2--10</t>
  </si>
  <si>
    <t>BiK271t1M2K-10</t>
  </si>
  <si>
    <t>BiK271t1M2i-10</t>
  </si>
  <si>
    <t>BiK271t1M2iK10</t>
  </si>
  <si>
    <t>BiK271t1X2--10</t>
  </si>
  <si>
    <t>BiK271t1X2K-10</t>
  </si>
  <si>
    <t>BiK271t1X2i-10</t>
  </si>
  <si>
    <t>BiK271t1X2iK10</t>
  </si>
  <si>
    <t>BiK271t2----10</t>
  </si>
  <si>
    <t>BiK271t2K---10</t>
  </si>
  <si>
    <t>BiK271t2i---10</t>
  </si>
  <si>
    <t>BiK271t2iK--10</t>
  </si>
  <si>
    <t>BiK271t2a1--10</t>
  </si>
  <si>
    <t>BiK271t2a1K-10</t>
  </si>
  <si>
    <t>BiK271t2a1i-10</t>
  </si>
  <si>
    <t>BiK271t2a1iK10</t>
  </si>
  <si>
    <t>BiK271t2G---10</t>
  </si>
  <si>
    <t>BiK271t2GK--10</t>
  </si>
  <si>
    <t>BiK271t2Gi--10</t>
  </si>
  <si>
    <t>BiK271t2GiK-10</t>
  </si>
  <si>
    <t>BiK271t2L---10</t>
  </si>
  <si>
    <t>BiK271t2LK--10</t>
  </si>
  <si>
    <t>BiK271t2Li--10</t>
  </si>
  <si>
    <t>BiK271t2LiK-10</t>
  </si>
  <si>
    <t>BiK271t2M2--10</t>
  </si>
  <si>
    <t>BiK271t2M2K-10</t>
  </si>
  <si>
    <t>BiK271t2M2i-10</t>
  </si>
  <si>
    <t>BiK271t2M2iK10</t>
  </si>
  <si>
    <t>BiK271t2X2--10</t>
  </si>
  <si>
    <t>BiK271t2X2K-10</t>
  </si>
  <si>
    <t>BiK271t2X2i-10</t>
  </si>
  <si>
    <t>BiK271t2X2iK10</t>
  </si>
  <si>
    <t>BiK271t3----10</t>
  </si>
  <si>
    <t>BiK271t3K---10</t>
  </si>
  <si>
    <t>BiK271t3i---10</t>
  </si>
  <si>
    <t>BiK271t3iK--10</t>
  </si>
  <si>
    <t>BiK271t3a1--10</t>
  </si>
  <si>
    <t>BiK271t3a1K-10</t>
  </si>
  <si>
    <t>BiK271t3a1i-10</t>
  </si>
  <si>
    <t>BiK271t3a1iK10</t>
  </si>
  <si>
    <t>BiK271t3G---10</t>
  </si>
  <si>
    <t>BiK271t3GK--10</t>
  </si>
  <si>
    <t>BiK271t3Gi--10</t>
  </si>
  <si>
    <t>BiK271t3GiK-10</t>
  </si>
  <si>
    <t>BiK271t3L---10</t>
  </si>
  <si>
    <t>BiK271t3LK--10</t>
  </si>
  <si>
    <t>BiK271t3Li--10</t>
  </si>
  <si>
    <t>Kategorien Direktvermarktung für Grünstromprivileg nach § 33b Nr. 2 EEG 2012</t>
  </si>
  <si>
    <t>Die nachfolgenden Kategorien dienen der Datenmeldung der nach § 33b Nr. 2 EEG 2012 direkt vermarkteten und erzeugten Strommengen für die Inanspruchnahme des Grünstromprivilegs ("Grünstrom-Direktvermarktung").</t>
  </si>
  <si>
    <t>Für diese Strommengen werden keine EEG-Vergütung und keine vNNE an den Anlagenbetreiber gezahlt. Die vNNE werden an den ÜNB ausgezahlt, fließen in den bundesweiten Belastungsausgleich ein und reduzieren so die EEG-Umlage.</t>
  </si>
  <si>
    <t>WaK33b2-GSP-DV</t>
  </si>
  <si>
    <t>Strommenge der DV für Grünstromprivileg</t>
  </si>
  <si>
    <t>BiK33b2-GSP-DV</t>
  </si>
  <si>
    <t>GaK33b2-GSP-DV</t>
  </si>
  <si>
    <t>DeK33b2-GSP-DV</t>
  </si>
  <si>
    <t>KlK33b2-GSP-DV</t>
  </si>
  <si>
    <t>GrK33b2-GSP-DV</t>
  </si>
  <si>
    <t>GeK33b2-GSP-DV</t>
  </si>
  <si>
    <t>WiK33b2-GSP-DV</t>
  </si>
  <si>
    <t>WnK33b2-GSP-DV</t>
  </si>
  <si>
    <t>WrK33b2-GSP-DV</t>
  </si>
  <si>
    <t>WfK33b2-GSP-DV</t>
  </si>
  <si>
    <t>SoK33b2-GSP-DV</t>
  </si>
  <si>
    <t>SgK33b2-GSP-DV</t>
  </si>
  <si>
    <t>WaK33b3--SO-DV</t>
  </si>
  <si>
    <t>Strommenge der Sonstigen DV</t>
  </si>
  <si>
    <t>BiK33b3--SO-DV</t>
  </si>
  <si>
    <t>GaK33b3--SO-DV</t>
  </si>
  <si>
    <t>DeK33b3--SO-DV</t>
  </si>
  <si>
    <t>KlK33b3--SO-DV</t>
  </si>
  <si>
    <t>GrK33b3--SO-DV</t>
  </si>
  <si>
    <t>GeK33b3--SO-DV</t>
  </si>
  <si>
    <t>WiK33b3--SO-DV</t>
  </si>
  <si>
    <t>WnK33b3--SO-DV</t>
  </si>
  <si>
    <t>WrK33b3--SO-DV</t>
  </si>
  <si>
    <t>WfK33b3--SO-DV</t>
  </si>
  <si>
    <t>SoK33b3--SO-DV</t>
  </si>
  <si>
    <t>SgK33b3--SO-DV</t>
  </si>
  <si>
    <t>SoK320BS-Apr12</t>
  </si>
  <si>
    <t>Bestandsschutz Bebauungsplan vor 1.3.2012, außer versiegelte bzw. Konversionsflächen (§ 32 Abs. 1 EEG 2012 a.F.)</t>
  </si>
  <si>
    <t>Degression gegenüber § 32 Abs. 1 EEG 2012 (21,11 ct/kWh); Bestandschutz nach § 66 Abs. 18a bei IBN Apr-Juni 12</t>
  </si>
  <si>
    <t>SoK321BS-Apr12</t>
  </si>
  <si>
    <t>Bestandsschutz Bebauungsplan vor 1.3.2012, versiegelte bzw. Konversionsflächen (§ 32 Abs. 2 EEG 2012 a.F.)</t>
  </si>
  <si>
    <t>Degression gegenüber § 32 Abs. 2 EEG 2012 (22,07 ct/kWh); Bestandschutz nach § 66 Abs. 18a bei IBN Apr-Juni 12</t>
  </si>
  <si>
    <t>SoK321BS-Jul12</t>
  </si>
  <si>
    <t>Bestandsschutz für Konversionsflächen (§ 32 Abs. 1 Nr. 3 Buchstabe c Doppelbuchstabe cc EEG 2012)</t>
  </si>
  <si>
    <t>Bestandschutz nach § 66 Abs. 18a bei IBN Juli - Okt 12</t>
  </si>
  <si>
    <t>Monat</t>
  </si>
  <si>
    <t>Degression</t>
  </si>
  <si>
    <t>Freiflächenanlage 0 - 10 MW</t>
  </si>
  <si>
    <t>SoK321---Apr12</t>
  </si>
  <si>
    <t>SoK321---Mai12</t>
  </si>
  <si>
    <t>SoK321---Jun12</t>
  </si>
  <si>
    <t>SoK321---Jul12</t>
  </si>
  <si>
    <t>SoK321---Aug12</t>
  </si>
  <si>
    <t>SoK321---Sep12</t>
  </si>
  <si>
    <t>SoK321---Okt12</t>
  </si>
  <si>
    <t>SoK321---Nov12</t>
  </si>
  <si>
    <t>SoK321---Dez12</t>
  </si>
  <si>
    <t>außer versiegelte bzw. Konversionsflächen (§ 32 Abs. 1 EEG 2012 a.F.)</t>
  </si>
  <si>
    <t>Bebauungsplan, versiegelte bzw. Konversionsflächen (§ 32 Abs. 2 EEG 2012 a.F.)</t>
  </si>
  <si>
    <t>Apr12</t>
  </si>
  <si>
    <t>Inbetriebnahme 01-03/2012</t>
  </si>
  <si>
    <t>Inbetriebnahme 04-06/2012</t>
  </si>
  <si>
    <t>0 - 10 kW</t>
  </si>
  <si>
    <t>10 - 40 kW</t>
  </si>
  <si>
    <t>40 kW - 1 MW</t>
  </si>
  <si>
    <t>1 - 10 MW</t>
  </si>
  <si>
    <t>Bestandsschutz Netzanschlussbegehren vor 24.02.2012, 0-30 kW, selbstverbrauchte Erzeugung</t>
  </si>
  <si>
    <t>Bestandsschutz Netzanschlussbegehren vor 24.02.2012, 30-100 kW, selbstverbrauchte Erzeugung</t>
  </si>
  <si>
    <t>Bestandsschutz Netzanschlussbegehren vor 24.02.2012, 100-500 kW, selbstverbrauchte Erzeugung</t>
  </si>
  <si>
    <t>Bestandsschutz Netzanschlussbegehren vor 24.02.2012, 0-30 kW, Rückvergütung SV bis 30% der Gesamterzeugung der Anlage</t>
  </si>
  <si>
    <t>Bestandsschutz Netzanschlussbegehren vor 24.02.2012, 0-30 kW, Rückvergütung SV über 30% der Gesamterzeugung der Anlage</t>
  </si>
  <si>
    <t>Bestandsschutz Netzanschlussbegehren vor 24.02.2012, 30-100 kW, Rückvergütung SV bis 30% der Gesamterzeugung der Anlage</t>
  </si>
  <si>
    <t>Bestandsschutz Netzanschlussbegehren vor 24.02.2012, 30-100 kW, Rückvergütung SV über 30% der Gesamterzeugung der Anlage</t>
  </si>
  <si>
    <t>Bestandsschutz Netzanschlussbegehren vor 24.02.2012, 100-500 kW, Rückvergütung für SV bis 30% der Gesamterzeugung der Anlage</t>
  </si>
  <si>
    <t>Bestandsschutz Netzanschlussbegehren vor 24.02.2012, 100-500 kW, Rückvergütung SV über 30% der Gesamterzeugung der Anlage</t>
  </si>
  <si>
    <t>SgK3220--Apr12</t>
  </si>
  <si>
    <t>SgK3220--Mai12</t>
  </si>
  <si>
    <t>SgK3220--Jun12</t>
  </si>
  <si>
    <t>SgK3220--Jul12</t>
  </si>
  <si>
    <t>SgK3220--Aug12</t>
  </si>
  <si>
    <t>SgK3220--Sep12</t>
  </si>
  <si>
    <t>SgK3220--Okt12</t>
  </si>
  <si>
    <t>SgK3220--Nov12</t>
  </si>
  <si>
    <t>SgK3220--Dez12</t>
  </si>
  <si>
    <t>SoK351b----SSV</t>
  </si>
  <si>
    <t>50 % der Kosten der PV-Nachrüstung gemäß Systemstabilitätsverordnung (Umrüstung 50,2 Hz)</t>
  </si>
  <si>
    <t>SoK66114-----0</t>
  </si>
  <si>
    <t>SgK66114-----0</t>
  </si>
  <si>
    <t>SoK66114-MPM-0</t>
  </si>
  <si>
    <t>SgK66114-MPM-0</t>
  </si>
  <si>
    <t>Entfall Marktprämie nach § 66 Abs. 1 Nr. 14 (Nichterfüllung der Systemstabilitätsverordnung)</t>
  </si>
  <si>
    <t>Entfall Vergütungsanspruch nach § 66 Abs. 1 Nr. 14 (Nichterfüllung der Systemstabilitätsverordnung)</t>
  </si>
  <si>
    <t>SgK332-MIM-mMW</t>
  </si>
  <si>
    <t>SgK332-MIM-aMW</t>
  </si>
  <si>
    <t>Verringerung auf Monats-Marktwert nach § 33 Abs. 2 (Überschreitung 90 %) für Anlagen mit RLM-Messung</t>
  </si>
  <si>
    <t>BiK81LbK11--06</t>
  </si>
  <si>
    <t>BiK81LbK11y-06</t>
  </si>
  <si>
    <t>BiK81X1bK11-06</t>
  </si>
  <si>
    <t>BiK81X1bK11y06</t>
  </si>
  <si>
    <t>BiK82K11----06</t>
  </si>
  <si>
    <t>BiK82K11y---06</t>
  </si>
  <si>
    <t>BiK82a1K11--06</t>
  </si>
  <si>
    <t>BiK82a1K11y-06</t>
  </si>
  <si>
    <t>BiK82GK11---06</t>
  </si>
  <si>
    <t>BiK82GK11y--06</t>
  </si>
  <si>
    <t>BiK82M2K11--06</t>
  </si>
  <si>
    <t>BiK82M2K11y-06</t>
  </si>
  <si>
    <t>BiK82LK11---06</t>
  </si>
  <si>
    <t>BiK82LK11y--06</t>
  </si>
  <si>
    <t>BiK82X2K11--06</t>
  </si>
  <si>
    <t>BiK82X2K11y-06</t>
  </si>
  <si>
    <t>BiK82bK11---06</t>
  </si>
  <si>
    <t>BiK82bK11y--06</t>
  </si>
  <si>
    <t>BiK82a1bK11-06</t>
  </si>
  <si>
    <t>BiK82a1bK11y06</t>
  </si>
  <si>
    <t>BiK82GbK11--06</t>
  </si>
  <si>
    <t>BiK82GbK11y-06</t>
  </si>
  <si>
    <t>BiK82M2bK11-06</t>
  </si>
  <si>
    <t>BiK82M2bK11y06</t>
  </si>
  <si>
    <t>BiK82LbK11--06</t>
  </si>
  <si>
    <t>BiK82LbK11y-06</t>
  </si>
  <si>
    <t>BiK82X2bK11-06</t>
  </si>
  <si>
    <t>BiK82X2bK11y06</t>
  </si>
  <si>
    <t>BiK83K11----06</t>
  </si>
  <si>
    <t>BiK83a2K11--06</t>
  </si>
  <si>
    <t>BiK83a3K11--06</t>
  </si>
  <si>
    <t>BiK83bK11---06</t>
  </si>
  <si>
    <t>BiK83a2bK11-06</t>
  </si>
  <si>
    <t>BiK83a3bK11-06</t>
  </si>
  <si>
    <t>BiK84K11----06</t>
  </si>
  <si>
    <t>BiK85K11----06</t>
  </si>
  <si>
    <t>BiK81K11----07</t>
  </si>
  <si>
    <t>BiK81K11y---07</t>
  </si>
  <si>
    <t>BiK81a1K11--07</t>
  </si>
  <si>
    <t>BiK81a1K11y-07</t>
  </si>
  <si>
    <t>BiK81GK11---07</t>
  </si>
  <si>
    <t>BiK81GK11y--07</t>
  </si>
  <si>
    <t>BiK81M1K11--07</t>
  </si>
  <si>
    <t>BiK81M1K11y-07</t>
  </si>
  <si>
    <t>BiK81LK11---07</t>
  </si>
  <si>
    <t>BiK81LK11y--07</t>
  </si>
  <si>
    <t>BiK81X1K11--07</t>
  </si>
  <si>
    <t>BiK81X1K11y-07</t>
  </si>
  <si>
    <t>BiK82KWKy---07</t>
  </si>
  <si>
    <t>BiK82KA3y---07</t>
  </si>
  <si>
    <t>BiK82K09y---07</t>
  </si>
  <si>
    <t>BiK82a1y----07</t>
  </si>
  <si>
    <t>BiK82a1KWKy-07</t>
  </si>
  <si>
    <t>BiK82a1KA3y-07</t>
  </si>
  <si>
    <t>BiK82a1K09y-07</t>
  </si>
  <si>
    <t>BiK81a1by---07</t>
  </si>
  <si>
    <t>BiK81a1bKWKy07</t>
  </si>
  <si>
    <t>BiK81a1bKA3y07</t>
  </si>
  <si>
    <t>BiK81a1bK09y07</t>
  </si>
  <si>
    <t>BiK82by-----07</t>
  </si>
  <si>
    <t>BiK82bKWKy--07</t>
  </si>
  <si>
    <t>BiK82bKA3y--07</t>
  </si>
  <si>
    <t>BiK82bK09y--07</t>
  </si>
  <si>
    <t>BiK82a1by---07</t>
  </si>
  <si>
    <t>BiK82a1bKWKy07</t>
  </si>
  <si>
    <t>BiK82a1bKA3y07</t>
  </si>
  <si>
    <t>BiK82a1bK09y07</t>
  </si>
  <si>
    <t>BiK81y------06</t>
  </si>
  <si>
    <t>BiK81KWKy---06</t>
  </si>
  <si>
    <t>BiK81KA3y---06</t>
  </si>
  <si>
    <t>BiK81K09y---06</t>
  </si>
  <si>
    <t>BiK81a1y----06</t>
  </si>
  <si>
    <t>BiK81a1KWKy-06</t>
  </si>
  <si>
    <t>BiK83bK09---04</t>
  </si>
  <si>
    <t>BiK83a2bK09-04</t>
  </si>
  <si>
    <t>BiK83a3bK09-04</t>
  </si>
  <si>
    <t>BiK51nKA3---02</t>
  </si>
  <si>
    <t>BiK51na1KA3-02</t>
  </si>
  <si>
    <t>BiK51aKA3---02</t>
  </si>
  <si>
    <t>BiK51aa1KA3-02</t>
  </si>
  <si>
    <t>BiK51nKA3---03</t>
  </si>
  <si>
    <t>BiK51na1KA3-03</t>
  </si>
  <si>
    <t>BiK51aKA3---03</t>
  </si>
  <si>
    <t>BiK51aa1KA3-03</t>
  </si>
  <si>
    <t>BiK81a1KA3--04</t>
  </si>
  <si>
    <t>BiK81bKA3---04</t>
  </si>
  <si>
    <t>BiK83K10----04</t>
  </si>
  <si>
    <t>BiK83a2K10--04</t>
  </si>
  <si>
    <t>BiK83a3K10--04</t>
  </si>
  <si>
    <t>BiK83bK10---04</t>
  </si>
  <si>
    <t>BiK83a2bK10-04</t>
  </si>
  <si>
    <t>BiK83a3bK10-04</t>
  </si>
  <si>
    <t>BiK84K10----04</t>
  </si>
  <si>
    <t>BiK85K10----04</t>
  </si>
  <si>
    <t>BiK82G------08</t>
  </si>
  <si>
    <t>BiK82GKWK---08</t>
  </si>
  <si>
    <t>BiK82GKA3---08</t>
  </si>
  <si>
    <t>BiK82GK09---08</t>
  </si>
  <si>
    <t>BiK82Gy-----08</t>
  </si>
  <si>
    <t>BiK82GKWKy--08</t>
  </si>
  <si>
    <t>BiK82GKA3y--08</t>
  </si>
  <si>
    <t>BiK82GK09y--08</t>
  </si>
  <si>
    <t>BiK82L------08</t>
  </si>
  <si>
    <t>BiK82LKWK---08</t>
  </si>
  <si>
    <t>BiK82LKA3---08</t>
  </si>
  <si>
    <t>BiK82LK09---08</t>
  </si>
  <si>
    <t>BiK82Ly-----08</t>
  </si>
  <si>
    <t>BiK82LKWKy--08</t>
  </si>
  <si>
    <t>BiK82LKA3y--08</t>
  </si>
  <si>
    <t>BiK82LK09y--08</t>
  </si>
  <si>
    <r>
      <t>Bonusregel a3:</t>
    </r>
    <r>
      <rPr>
        <sz val="11"/>
        <color theme="1"/>
        <rFont val="Calibri"/>
        <family val="2"/>
        <scheme val="minor"/>
      </rPr>
      <t xml:space="preserve"> (§ 8 Abs. 2 Satz 2 EEG 2004) in Höhe von 2,5 ct/kWh bei Verbrennung von Holz für den Anteil oberhalb von 500 kW bis einschließlich 5 MW.</t>
    </r>
  </si>
  <si>
    <t>Bonusregeln für Anlagen bis einschließlich Inbetriebnahmejahr 2008</t>
  </si>
  <si>
    <t>aus EEG 2004 und EEG 2009</t>
  </si>
  <si>
    <t>aus EEG 2009</t>
  </si>
  <si>
    <t>BiK270t3----09</t>
  </si>
  <si>
    <t>BiK270t3K---09</t>
  </si>
  <si>
    <t>BiK270t3a1--09</t>
  </si>
  <si>
    <t>"a3"</t>
  </si>
  <si>
    <t>BiK83a3K09--06</t>
  </si>
  <si>
    <t>BiK83bK09---06</t>
  </si>
  <si>
    <t>BiK83a2bK09-06</t>
  </si>
  <si>
    <t>BiK83a3bK09-06</t>
  </si>
  <si>
    <t>BiK84K09----06</t>
  </si>
  <si>
    <t>BiK81Lb-----08</t>
  </si>
  <si>
    <t>BiK81LbKWK--08</t>
  </si>
  <si>
    <t>BiK81LbKA3--08</t>
  </si>
  <si>
    <t>BiK81LbK09--08</t>
  </si>
  <si>
    <t>BiK82KA3y---08</t>
  </si>
  <si>
    <t>BiK82KWKy---08</t>
  </si>
  <si>
    <t>BiK82y------08</t>
  </si>
  <si>
    <t>BiK82K09y---08</t>
  </si>
  <si>
    <t>BiK82a1y----08</t>
  </si>
  <si>
    <t>BiK82a1KWKy-08</t>
  </si>
  <si>
    <t>BiK82a1KA3y-08</t>
  </si>
  <si>
    <t>BiK82a1K09y-08</t>
  </si>
  <si>
    <t>BiK82by-----08</t>
  </si>
  <si>
    <t>BiK82bKWKy--08</t>
  </si>
  <si>
    <t>BiK82bKA3y--08</t>
  </si>
  <si>
    <t>BiK82bK09y--08</t>
  </si>
  <si>
    <t>BiK82a1by---08</t>
  </si>
  <si>
    <t>BiK82a1bKWKy08</t>
  </si>
  <si>
    <t>BiK82a1bKA3y08</t>
  </si>
  <si>
    <t>BiK82a1bK09y08</t>
  </si>
  <si>
    <t>BiK83a3K09--04</t>
  </si>
  <si>
    <t>BiK51aM2K09-02</t>
  </si>
  <si>
    <t>BiK51aM2y---02</t>
  </si>
  <si>
    <t>BiK51aM2KA3y02</t>
  </si>
  <si>
    <t>BiK51aM2K09y02</t>
  </si>
  <si>
    <t>BiK51aL-----02</t>
  </si>
  <si>
    <t>BiK51aLKA3--02</t>
  </si>
  <si>
    <t>BiK51aLK09--02</t>
  </si>
  <si>
    <t>BiK51aLy----02</t>
  </si>
  <si>
    <t>BiK51aLKA3y-02</t>
  </si>
  <si>
    <t>BiK51aLK09y-02</t>
  </si>
  <si>
    <t>BiK51aX2----02</t>
  </si>
  <si>
    <t>BiK51aX2KA3-02</t>
  </si>
  <si>
    <t>BiK51aX2K09-02</t>
  </si>
  <si>
    <t>BiK51aX2y---02</t>
  </si>
  <si>
    <t>BiK51aX2KA3y02</t>
  </si>
  <si>
    <t>BiK51aX2K09y02</t>
  </si>
  <si>
    <t>BiK51aG-----01</t>
  </si>
  <si>
    <t>BiK51aGKA3--01</t>
  </si>
  <si>
    <t>BiK51aGK09--01</t>
  </si>
  <si>
    <t>BiK51aGy----01</t>
  </si>
  <si>
    <t>BiK51aGKA3y-01</t>
  </si>
  <si>
    <t>BiK51aGK09y-01</t>
  </si>
  <si>
    <t>BiK51aM2----01</t>
  </si>
  <si>
    <t>BiK51aM2KA3-01</t>
  </si>
  <si>
    <t>BiK51aM2K09-01</t>
  </si>
  <si>
    <t>BiK51aM2y---01</t>
  </si>
  <si>
    <t>BiK82a1KWK--05</t>
  </si>
  <si>
    <t>BiK82b------05</t>
  </si>
  <si>
    <t>BiK83KWK----08</t>
  </si>
  <si>
    <t>BiK83a2-----08</t>
  </si>
  <si>
    <t>BiK83a2KWK--08</t>
  </si>
  <si>
    <t>2. NaWaRo-Bonus (a1, a2, ah, G, M1, M2, L, X1 oder X2)</t>
  </si>
  <si>
    <t>3. Formaldehyd-Bonus (i)</t>
  </si>
  <si>
    <t>4. KWK-Bonus (K)</t>
  </si>
  <si>
    <t>BiK82b------04</t>
  </si>
  <si>
    <t>BiK82bKWK---04</t>
  </si>
  <si>
    <t>BiK82a1b----04</t>
  </si>
  <si>
    <t>0,150-0,5 MW, Bonusregel M2</t>
  </si>
  <si>
    <t>0,150-0,5 MW, Bonusregel L</t>
  </si>
  <si>
    <t>0,150-0,5 MW, Bonusregel X2</t>
  </si>
  <si>
    <t>0,150-0,5 MW, Bonusregeln G, i</t>
  </si>
  <si>
    <t>0,150-0,5 MW, Bonusregeln M2, i</t>
  </si>
  <si>
    <t>SoK320BS-Jul10</t>
  </si>
  <si>
    <t>unveränderter Degressionssatz gültig bei Inbetriebnahme ab 1.7.2010 für Freiflächenanlagen mit Bestandsschutz</t>
  </si>
  <si>
    <t>SoK320---Jul10</t>
  </si>
  <si>
    <t>einmaliger Degressionssatz gültig bei Inbetriebnahme ab 1.7.2010 für Freiflächenanlagen</t>
  </si>
  <si>
    <t>SoK321---Jul10</t>
  </si>
  <si>
    <t>einmaliger Degressionssatz gültig bei Inbetriebnahme ab 1.7.2010 für Freiflächenanlagen auf versiegelten oder Konversionsflächen</t>
  </si>
  <si>
    <t>SgK330---Jul10</t>
  </si>
  <si>
    <t>einmaliger Degressionssatz für Vergütungssätze nach § 33 Abs. 1 Nr. 1 EEG gültig bei Inbetriebnahme ab 1.7.2010</t>
  </si>
  <si>
    <t>SgK331---Jul10</t>
  </si>
  <si>
    <t>einmaliger Degressionssatz für Vergütungssätze nach § 33 Abs. 1 Nr. 2 EEG gültig bei Inbetriebnahme ab 1.7.2010</t>
  </si>
  <si>
    <t>SgK332---Jul10</t>
  </si>
  <si>
    <t>einmaliger Degressionssatz für Vergütungssätze nach § 33 Abs. 1 Nr. 3 EEG gültig bei Inbetriebnahme ab 1.7.2010</t>
  </si>
  <si>
    <t>SgK333---Jul10</t>
  </si>
  <si>
    <t>einmaliger Degressionssatz für Vergütungssätze nach § 33 Abs. 1 Nr. 4 EEG gültig bei Inbetriebnahme ab 1.7.2010</t>
  </si>
  <si>
    <t>SgK33410-Jul10</t>
  </si>
  <si>
    <t>wie SgK330---Jul10</t>
  </si>
  <si>
    <t>SgK33420-Jul10</t>
  </si>
  <si>
    <t>BiK81X1y----08</t>
  </si>
  <si>
    <t>BiK81X1KWKy-08</t>
  </si>
  <si>
    <t>BiK81X1KA3y-08</t>
  </si>
  <si>
    <t>BiK81X1K09y-08</t>
  </si>
  <si>
    <t>BiK82bKWK---05</t>
  </si>
  <si>
    <t>rosa</t>
  </si>
  <si>
    <t>erstmals KWK in 2012</t>
  </si>
  <si>
    <t>"K12"</t>
  </si>
  <si>
    <t>Jahr</t>
  </si>
  <si>
    <t>gleich Jahr</t>
  </si>
  <si>
    <t>gleich Kat</t>
  </si>
  <si>
    <t>gleich Bescr</t>
  </si>
  <si>
    <t>gleich Alloc</t>
  </si>
  <si>
    <t>gleich VG</t>
  </si>
  <si>
    <t>J aus Kat</t>
  </si>
  <si>
    <t>J aus Alloc</t>
  </si>
  <si>
    <t>J aus Boni</t>
  </si>
  <si>
    <t>Vergleich</t>
  </si>
  <si>
    <t>VG-Kat</t>
  </si>
  <si>
    <t>Beschr</t>
  </si>
  <si>
    <t>Vgl Beschr</t>
  </si>
  <si>
    <t>Vgl VG-Kat</t>
  </si>
  <si>
    <t>Alloc</t>
  </si>
  <si>
    <t>Vgl Alloc</t>
  </si>
  <si>
    <t>2012</t>
  </si>
  <si>
    <t/>
  </si>
  <si>
    <t>BiK51nK12---01</t>
  </si>
  <si>
    <t>BiK51nK12y--01</t>
  </si>
  <si>
    <t>BiK51na1K12-01</t>
  </si>
  <si>
    <t>BiK51na1K12y01</t>
  </si>
  <si>
    <t>BiK51nGK12--01</t>
  </si>
  <si>
    <t>BiK51nGK12y-01</t>
  </si>
  <si>
    <t>BiK51nM1K12-01</t>
  </si>
  <si>
    <t>BiK51nM1K12y01</t>
  </si>
  <si>
    <t>BiK51nLK12--01</t>
  </si>
  <si>
    <t>BiK51nLK12y-01</t>
  </si>
  <si>
    <t>BiK51nX1K12-01</t>
  </si>
  <si>
    <t>BiK51nX1K12y01</t>
  </si>
  <si>
    <t>BiK51aK12---01</t>
  </si>
  <si>
    <t>BiK51aK12y--01</t>
  </si>
  <si>
    <t>BiK51aa1K12-01</t>
  </si>
  <si>
    <t>BiK51aa1K12y01</t>
  </si>
  <si>
    <t>BiK51aGK12--01</t>
  </si>
  <si>
    <t>BiK51aGK12y-01</t>
  </si>
  <si>
    <t>BiK51aM2K12-01</t>
  </si>
  <si>
    <t>BiK51aM2K12y01</t>
  </si>
  <si>
    <t>BiK51aLK12--01</t>
  </si>
  <si>
    <t>BiK51aLK12y-01</t>
  </si>
  <si>
    <t>BiK51aX2K12-01</t>
  </si>
  <si>
    <t>BiK51aX2K12y01</t>
  </si>
  <si>
    <t>BiK52aK12---01</t>
  </si>
  <si>
    <t>BiK52aa2K12-01</t>
  </si>
  <si>
    <t>BiK52aa3K12-01</t>
  </si>
  <si>
    <t>BiK53aK12---01</t>
  </si>
  <si>
    <t>BiK54aK12---01</t>
  </si>
  <si>
    <t>BiK51nK12---02</t>
  </si>
  <si>
    <t>BiK51nK12y--02</t>
  </si>
  <si>
    <t>BiK51na1K12-02</t>
  </si>
  <si>
    <t>BiK51na1K12y02</t>
  </si>
  <si>
    <t>BiK51nGK12--02</t>
  </si>
  <si>
    <t>BiK51nGK12y-02</t>
  </si>
  <si>
    <t>BiK51nM1K12-02</t>
  </si>
  <si>
    <t>BiK51nM1K12y02</t>
  </si>
  <si>
    <t>BiK51nLK12--02</t>
  </si>
  <si>
    <t>BiK51nLK12y-02</t>
  </si>
  <si>
    <t>BiK51nX1K12-02</t>
  </si>
  <si>
    <t>BiK51nX1K12y02</t>
  </si>
  <si>
    <t>BiK51aK12---02</t>
  </si>
  <si>
    <t>BiK51aK12y--02</t>
  </si>
  <si>
    <t>BiK51aa1K12-02</t>
  </si>
  <si>
    <t>BiK51aa1K12y02</t>
  </si>
  <si>
    <t>BiK51aGK12--02</t>
  </si>
  <si>
    <t>BiK51aGK12y-02</t>
  </si>
  <si>
    <t>BiK51aM2K12-02</t>
  </si>
  <si>
    <t>BiK51aM2K12y02</t>
  </si>
  <si>
    <t>BiK51aLK12--02</t>
  </si>
  <si>
    <t>BiK51aLK12y-02</t>
  </si>
  <si>
    <t>§ 35 Abs. 1b: ÜNB sind verpflichtet den VNB 50% der notwendigen Kosten zu ersetzen, die ihnen durch effiziente Nachrüstung von PV-Anlagen gemäß Systemstabilitätsverordnung (z. B. Umrüstung 50,2 Hz) entstehen. Zur Abwicklung des Kostenersatzes sind über diese Kategorie die vom ÜNB zu ersetzenden Kosten abzurechnen.
Grund für die Entfernung aus der Tabelle der aktuellen Vergütungskategorien: Da keine anlagenscharfe Meldung der Umrüstungskosten erfolgt, ist die Verwendung dieser Kategorien nicht notwendig.</t>
  </si>
  <si>
    <t>BiK6621----KWK</t>
  </si>
  <si>
    <t>Grund-
vergütg. § 27 
EEG 2009</t>
  </si>
  <si>
    <t>WnK290------12</t>
  </si>
  <si>
    <t>WnK290S-----12</t>
  </si>
  <si>
    <t>WnK291------12</t>
  </si>
  <si>
    <t>(nur für Grundvergütung und Gasaufbereitungsbonus; ESVK keine Degression)</t>
  </si>
  <si>
    <t>Vergütungsberechnung für Windenergieanlagen onshore Repowering mit Inbetriebnahme ab 01.01.2012</t>
  </si>
  <si>
    <t>WfK310------12</t>
  </si>
  <si>
    <t>WfK311------12</t>
  </si>
  <si>
    <t>WfK312------12</t>
  </si>
  <si>
    <t>Offshore, erhöhte Anfangsvergütung nach § 31 Abs. 3</t>
  </si>
  <si>
    <t>SoK320------12</t>
  </si>
  <si>
    <t>Degression gegenüber § 32 Abs. 1 EEG 2012 (21,11 ct/kWh)</t>
  </si>
  <si>
    <t>Degression gegenüber § 32 Abs. 2 EEG 2012 (22,07 ct/kWh)</t>
  </si>
  <si>
    <t>SoK321------12</t>
  </si>
  <si>
    <t>Degression gegenüber § 33 Abs. 1 Nr. 1 EEG 2012 (28,74 ct/kWh)</t>
  </si>
  <si>
    <t>Degression gegenüber § 33 Abs. 1 Nr. 2 EEG 2012 (27,33 ct/kWh)</t>
  </si>
  <si>
    <t>Degression gegenüber § 33 Abs. 1 Nr. 3 EEG 2012 (25,86 ct/kWh)</t>
  </si>
  <si>
    <t>Degression gegenüber § 33 Abs. 1 Nr. 4 EEG 2012 (21,56 ct/kWh)</t>
  </si>
  <si>
    <t>wie SgK330-------12</t>
  </si>
  <si>
    <t>wie SgK332-------12</t>
  </si>
  <si>
    <t>wie SgK331-------12</t>
  </si>
  <si>
    <t>Die vNNE werden nicht an den Anlagenbetreiber, sondern an den ÜNB ausgezahlt, fließen in den bundesweiten Belastungsausgleich ein und reduzieren so die EEG-Umlage.</t>
  </si>
  <si>
    <t>Kategorien Flexibilitätsprämie nach § 33i EEG 2012</t>
  </si>
  <si>
    <t>BiK33iM----FLP</t>
  </si>
  <si>
    <t>BiK33iG----FLP</t>
  </si>
  <si>
    <t>Flexibilitätsprämie für Biomethan</t>
  </si>
  <si>
    <t>Flexibilitätsprämie für sonstige Biogase außer Biomethan</t>
  </si>
  <si>
    <t>WaK171-------0</t>
  </si>
  <si>
    <t>BiK171-------0</t>
  </si>
  <si>
    <t>GaK171-------0</t>
  </si>
  <si>
    <t>DeK171-------0</t>
  </si>
  <si>
    <t>KlK171-------0</t>
  </si>
  <si>
    <t>GrK171-------0</t>
  </si>
  <si>
    <t>GeK171-------0</t>
  </si>
  <si>
    <t>WiK171-------0</t>
  </si>
  <si>
    <t>WnK171-------0</t>
  </si>
  <si>
    <t>WrK171-------0</t>
  </si>
  <si>
    <t>WfK171-------0</t>
  </si>
  <si>
    <t>SoK171-------0</t>
  </si>
  <si>
    <t>SgK171-------0</t>
  </si>
  <si>
    <t>Kategorien Verringerte Vergütungsansprüche und Sanktionen</t>
  </si>
  <si>
    <t>WfK311------10</t>
  </si>
  <si>
    <t>BiK82GKWK---04</t>
  </si>
  <si>
    <t>BiK82GKA3---04</t>
  </si>
  <si>
    <t>BiK82GK09---04</t>
  </si>
  <si>
    <t>SoK320------09</t>
  </si>
  <si>
    <t>SgK330------09</t>
  </si>
  <si>
    <t>SgK331------09</t>
  </si>
  <si>
    <t>SgK332------09</t>
  </si>
  <si>
    <t>SgK333------09</t>
  </si>
  <si>
    <t>De-vNNe--SpE01</t>
  </si>
  <si>
    <t>De-vNNe--SpE02</t>
  </si>
  <si>
    <t>De-vNNe--SpE03</t>
  </si>
  <si>
    <t>De-vNNe--SpE04</t>
  </si>
  <si>
    <t>De-vNNe--SpE05</t>
  </si>
  <si>
    <t>De-vNNe--SpE06</t>
  </si>
  <si>
    <t>De-vNNe--SpE07</t>
  </si>
  <si>
    <t xml:space="preserve">Die Höhe der vermiedenen Netzentgelte bemisst sich allerdings nach den Netzentgelten (Leistungsanteil und Arbeitsanteil) der </t>
  </si>
  <si>
    <t xml:space="preserve">Erfolgt die Einspeisung z.B. in Spannungsebene 5 (Mittelspannung), so werden die vermiedenen Netzentgelte in die vNNE-Kategorie </t>
  </si>
  <si>
    <t>der Spannungsebene 5 eingetragen:</t>
  </si>
  <si>
    <t>BiK270X1K---09</t>
  </si>
  <si>
    <t>BiK271X2----09</t>
  </si>
  <si>
    <t>BiK271X2K---09</t>
  </si>
  <si>
    <t>BiK270Gi----09</t>
  </si>
  <si>
    <t>BiK270GiK---09</t>
  </si>
  <si>
    <t>BiK271Gi----09</t>
  </si>
  <si>
    <t>BiK271GiK---09</t>
  </si>
  <si>
    <t>BiK270M1i---09</t>
  </si>
  <si>
    <t>BiK270M1iK--09</t>
  </si>
  <si>
    <t>BiK271M2i---09</t>
  </si>
  <si>
    <t>BiK271M2iK--09</t>
  </si>
  <si>
    <t>BiK270Li----09</t>
  </si>
  <si>
    <t>BiK270LiK---09</t>
  </si>
  <si>
    <t>BiK271Li----09</t>
  </si>
  <si>
    <t>BiK271LiK---09</t>
  </si>
  <si>
    <t>BiK270X1i---09</t>
  </si>
  <si>
    <t>BiK270X1iK--09</t>
  </si>
  <si>
    <t>BiK271X2i---09</t>
  </si>
  <si>
    <t>BiK271X2iK--09</t>
  </si>
  <si>
    <t>BiK270t1a1--09</t>
  </si>
  <si>
    <t>BiK270t1a1K-09</t>
  </si>
  <si>
    <t>BiK271t1a1--09</t>
  </si>
  <si>
    <t>BiK271t1a1K-09</t>
  </si>
  <si>
    <t>BiK272t1a2--09</t>
  </si>
  <si>
    <t>BiK272t1a2K-09</t>
  </si>
  <si>
    <t>BiK272t1ah--09</t>
  </si>
  <si>
    <t>BiK272t1ahK-09</t>
  </si>
  <si>
    <t>BiK270t1G---09</t>
  </si>
  <si>
    <t>BiK270t1GK--09</t>
  </si>
  <si>
    <t>BiK271t1G---09</t>
  </si>
  <si>
    <t>BiK271t1GK--09</t>
  </si>
  <si>
    <t>BiK270t1M1--09</t>
  </si>
  <si>
    <t>BiK270t1M1K-09</t>
  </si>
  <si>
    <t>BiK271t1M2--09</t>
  </si>
  <si>
    <t>BiK271t1M2K-09</t>
  </si>
  <si>
    <t>BiK51nKA3---01</t>
  </si>
  <si>
    <t>BiK51na1KA3-01</t>
  </si>
  <si>
    <t>Anteil KWK gemäß Anlage 3</t>
  </si>
  <si>
    <t>BiK51aKA3---01</t>
  </si>
  <si>
    <t>BiK51aa1KA3-01</t>
  </si>
  <si>
    <t>BiK81KA3----04</t>
  </si>
  <si>
    <t>BiK81a1K09--04</t>
  </si>
  <si>
    <t>BiK52aK09---03</t>
  </si>
  <si>
    <t>BiK81a1bKA3-04</t>
  </si>
  <si>
    <t>BiK82KA3----04</t>
  </si>
  <si>
    <t>BiK82a1KA3--04</t>
  </si>
  <si>
    <t>BiK82a1bKA3-04</t>
  </si>
  <si>
    <t>BiK82bKA3---04</t>
  </si>
  <si>
    <t>BiK81KA3----05</t>
  </si>
  <si>
    <t>BiK81a1KA3--05</t>
  </si>
  <si>
    <t>BiK81bKA3---05</t>
  </si>
  <si>
    <t>BiK81a1bKA3-05</t>
  </si>
  <si>
    <t>BiK82KA3----05</t>
  </si>
  <si>
    <t>BiK82a1KA3--05</t>
  </si>
  <si>
    <t>BiK82bKA3---05</t>
  </si>
  <si>
    <t>BiK82a1bKA3-05</t>
  </si>
  <si>
    <t>BiK81KA3----06</t>
  </si>
  <si>
    <t>BiK81a1KA3--06</t>
  </si>
  <si>
    <t>BiK81bKA3---06</t>
  </si>
  <si>
    <t>BiK81a1bKA3-06</t>
  </si>
  <si>
    <t>BiK82KA3----06</t>
  </si>
  <si>
    <t>BiK82a1KA3--06</t>
  </si>
  <si>
    <t>BiK82bKA3---06</t>
  </si>
  <si>
    <t>BiK82a1bKA3-06</t>
  </si>
  <si>
    <t>BiK81KA3----07</t>
  </si>
  <si>
    <t>BiK81a1KA3--07</t>
  </si>
  <si>
    <t>BiK81bKA3---07</t>
  </si>
  <si>
    <t>BiK81a1bKA3-07</t>
  </si>
  <si>
    <t>BiK82KA3----07</t>
  </si>
  <si>
    <t>BiK82a1KA3--07</t>
  </si>
  <si>
    <t>BiK82bKA3---07</t>
  </si>
  <si>
    <t>BiK82a1bKA3-07</t>
  </si>
  <si>
    <t>BiK81KA3----08</t>
  </si>
  <si>
    <t>BiK82Gb-----04</t>
  </si>
  <si>
    <t>BiK82GbKWK--04</t>
  </si>
  <si>
    <t>BiK82GbKA3--04</t>
  </si>
  <si>
    <t>BiK82GbK09--04</t>
  </si>
  <si>
    <t>BiK82Gby----04</t>
  </si>
  <si>
    <t>BiK82GbKWKy-04</t>
  </si>
  <si>
    <t>BiK82GbKA3y-04</t>
  </si>
  <si>
    <t>BiK82GbK09y-04</t>
  </si>
  <si>
    <t>BiK82Lb-----04</t>
  </si>
  <si>
    <t>BiK82LbKWK--04</t>
  </si>
  <si>
    <t>BiK82LbKA3--04</t>
  </si>
  <si>
    <t>BiK82LbK09--04</t>
  </si>
  <si>
    <t>BiK82Lby----04</t>
  </si>
  <si>
    <t>BiK82LbKWKy-04</t>
  </si>
  <si>
    <t>BiK82LbKA3y-04</t>
  </si>
  <si>
    <t>BiK82LbK09y-04</t>
  </si>
  <si>
    <t>0,150-0,5 MW, Bonusregeln t3, L, i, K</t>
  </si>
  <si>
    <t>0,150-0,5 MW, Bonusregeln t3, X2, i, K</t>
  </si>
  <si>
    <t>Onshore, Anfangsvergütung</t>
  </si>
  <si>
    <t>Onshore, Anfangsvergütung, Bonusregel S</t>
  </si>
  <si>
    <t>Onshore, Endvergütung</t>
  </si>
  <si>
    <t>Immissionsschutzrechtlich genehmigte Anlagen</t>
  </si>
  <si>
    <t>0,150-0,5 MW, Bonusregeln X2, K</t>
  </si>
  <si>
    <t>0,150-0,5 MW, Bonusregeln X2, i, K</t>
  </si>
  <si>
    <t>0,150-0,5 MW, Bonusregeln t1, M2</t>
  </si>
  <si>
    <t>0,150-0,5 MW, Bonusregeln t1, M2, i</t>
  </si>
  <si>
    <t>0,150-0,5 MW, Bonusregeln t2, M2</t>
  </si>
  <si>
    <t>0,150-0,5 MW, Bonusregeln t3, M2</t>
  </si>
  <si>
    <t>BiK51n------01</t>
  </si>
  <si>
    <t>BiK51na1----01</t>
  </si>
  <si>
    <t>BiK51n------02</t>
  </si>
  <si>
    <t>BiK51na1----02</t>
  </si>
  <si>
    <t>BiK51n------03</t>
  </si>
  <si>
    <t>BiK51na1----03</t>
  </si>
  <si>
    <t>BiK51na1K09-01</t>
  </si>
  <si>
    <t>BiK51nK09---01</t>
  </si>
  <si>
    <t>BiK51aK09---01</t>
  </si>
  <si>
    <t>BiK82X2b----04</t>
  </si>
  <si>
    <t>BiK82X2bKWK-04</t>
  </si>
  <si>
    <t>BiK82X2bKA3-04</t>
  </si>
  <si>
    <t>BiK82X2bK09-04</t>
  </si>
  <si>
    <t>BiK82X2by---04</t>
  </si>
  <si>
    <t>BiK82X2bKWKy04</t>
  </si>
  <si>
    <t>BiK82X2bKA3y04</t>
  </si>
  <si>
    <t>BiK82X2bK09y04</t>
  </si>
  <si>
    <t>BiK82X2b----05</t>
  </si>
  <si>
    <t>BiK82X2bKWK-05</t>
  </si>
  <si>
    <t>BiK82X2bKA3-05</t>
  </si>
  <si>
    <t>BiK82X2bK09-05</t>
  </si>
  <si>
    <t>BiK82X2by---05</t>
  </si>
  <si>
    <t>BiK82X2bKWKy05</t>
  </si>
  <si>
    <t>BiK82X2bKA3y05</t>
  </si>
  <si>
    <t>BiK82X2bK09y05</t>
  </si>
  <si>
    <t>BiK82X2b----06</t>
  </si>
  <si>
    <t>BiK82X2bKWK-06</t>
  </si>
  <si>
    <t>BiK82X2bKA3-06</t>
  </si>
  <si>
    <t>BiK82X2bK09-06</t>
  </si>
  <si>
    <t>BiK82X2by---06</t>
  </si>
  <si>
    <t>BiK82X2bKWKy06</t>
  </si>
  <si>
    <t>BiK82X2bKA3y06</t>
  </si>
  <si>
    <t>BiK82X2bK09y06</t>
  </si>
  <si>
    <t>BiK82X2b----07</t>
  </si>
  <si>
    <t>BiK82X2bKWK-07</t>
  </si>
  <si>
    <t>BiK82X2bKA3-07</t>
  </si>
  <si>
    <t>BiK82X2bK09-07</t>
  </si>
  <si>
    <t>BiK82X2by---07</t>
  </si>
  <si>
    <t>BiK82X2bKWKy07</t>
  </si>
  <si>
    <t>BiK82X2bKA3y07</t>
  </si>
  <si>
    <t>BiK82X2bK09y07</t>
  </si>
  <si>
    <t>BiK82X2b----08</t>
  </si>
  <si>
    <t>BiK82X2bKWK-08</t>
  </si>
  <si>
    <t>BiK82X2bKA3-08</t>
  </si>
  <si>
    <t>BiK82X2bK09-08</t>
  </si>
  <si>
    <t>BiK82X2by---08</t>
  </si>
  <si>
    <t>BiK82X2bKWKy08</t>
  </si>
  <si>
    <t>BiK82X2bKA3y08</t>
  </si>
  <si>
    <t>BiK82X2bK09y08</t>
  </si>
  <si>
    <t>Inbetriebnahme 10-12/2010</t>
  </si>
  <si>
    <t xml:space="preserve">Inbetriebnahme 10-12/2010 </t>
  </si>
  <si>
    <t>Degression gegenüber IB von Juli-Sept 2010; gültig bei Inbetriebnahme ab 1.10.2010 für Freiflächenanlagen</t>
  </si>
  <si>
    <t>Degression gegenüber IB von Juli-Sept 2010; gültig bei Inbetriebnahme ab 1.10.2010 für Freiflächenanlagen auf versiegelten oder Konversionsflächen</t>
  </si>
  <si>
    <t>Degression gegenüber IB von Juli-Sept 2010; für Vergütungssätze nach § 33 Abs. 1 Nr. 1 EEG gültig bei Inbetriebnahme ab 1.10.2010</t>
  </si>
  <si>
    <t>Degression gegenüber IB von Juli-Sept 2010; für Vergütungssätze nach § 33 Abs. 1 Nr. 2 EEG gültig bei Inbetriebnahme ab 1.10.2010</t>
  </si>
  <si>
    <t>Degression gegenüber IB von Juli-Sept 2010; für Vergütungssätze nach § 33 Abs. 1 Nr. 3 EEG gültig bei Inbetriebnahme ab 1.10.2010</t>
  </si>
  <si>
    <t>Degression gegenüber IB von Juli-Sept 2010; für Vergütungssätze nach § 33 Abs. 1 Nr. 4 EEG gültig bei Inbetriebnahme ab 1.10.2010</t>
  </si>
  <si>
    <t xml:space="preserve">    bei PV-Anlagen die Leistung in kWp den ersten Schwellenwert (z. B. 30 kW bei PV-Anlagen) überschreitet und / oder sie für einen Teil </t>
  </si>
  <si>
    <t>Beispiel für den Solarstrom-Eigenverbrauch einer PV-Anlage</t>
  </si>
  <si>
    <t>BiK81Ly-----07</t>
  </si>
  <si>
    <t>BiK81LKWKy--07</t>
  </si>
  <si>
    <t>BiK81LKA3y--07</t>
  </si>
  <si>
    <t>BiK81LK09y--07</t>
  </si>
  <si>
    <t>BiK81X1-----07</t>
  </si>
  <si>
    <t>BiK81X1KWK--07</t>
  </si>
  <si>
    <t>BiK81X1KA3--07</t>
  </si>
  <si>
    <t>BiK81X1K09--07</t>
  </si>
  <si>
    <t>BiK81X1y----07</t>
  </si>
  <si>
    <t>BiK81X1KWKy-07</t>
  </si>
  <si>
    <t>BiK81X1KA3y-07</t>
  </si>
  <si>
    <t>BiK81X1K09y-07</t>
  </si>
  <si>
    <t>BiK81Gb-----07</t>
  </si>
  <si>
    <t>BiK81GbKWK--07</t>
  </si>
  <si>
    <t>BiK81GbKA3--07</t>
  </si>
  <si>
    <t>BiK81GbK09--07</t>
  </si>
  <si>
    <t>BiK81Gby----07</t>
  </si>
  <si>
    <t>BiK81GbKWKy-07</t>
  </si>
  <si>
    <t>BiK81GbKA3y-07</t>
  </si>
  <si>
    <t>BiK81GbK09y-07</t>
  </si>
  <si>
    <t>BiK81M1b----07</t>
  </si>
  <si>
    <t>BiK81M1bKWK-07</t>
  </si>
  <si>
    <t>BiK81M1bKA3-07</t>
  </si>
  <si>
    <t>BiK81M1bK09-07</t>
  </si>
  <si>
    <t>BiK81M1by---07</t>
  </si>
  <si>
    <t>BiK81M1bKWKy07</t>
  </si>
  <si>
    <t>BiK81M1bKA3y07</t>
  </si>
  <si>
    <t>BiK81M1bK09y07</t>
  </si>
  <si>
    <t>BiK81Lb-----07</t>
  </si>
  <si>
    <t>BiK81LbKWK--07</t>
  </si>
  <si>
    <t>BiK81LbKA3--07</t>
  </si>
  <si>
    <t>BiK81LbK09--07</t>
  </si>
  <si>
    <t>BiK81Lby----07</t>
  </si>
  <si>
    <t>BiK81LbKWKy-07</t>
  </si>
  <si>
    <t>BiK81LbKA3y-07</t>
  </si>
  <si>
    <t>BiK81LbK09y-07</t>
  </si>
  <si>
    <t>BiK81X1b----07</t>
  </si>
  <si>
    <t>BiK82a1bKWK-04</t>
  </si>
  <si>
    <t>BiK83-------04</t>
  </si>
  <si>
    <t>BiK83KWK----04</t>
  </si>
  <si>
    <t>BiK83a2-----04</t>
  </si>
  <si>
    <t>BiK83a2KWK--04</t>
  </si>
  <si>
    <t>BiK83a3-----04</t>
  </si>
  <si>
    <t>BiK83a3KWK--04</t>
  </si>
  <si>
    <t>BiK83b------04</t>
  </si>
  <si>
    <t>BiK83bKWK---04</t>
  </si>
  <si>
    <t>BiK83a2b----04</t>
  </si>
  <si>
    <t>BiK83a2bKWK-04</t>
  </si>
  <si>
    <t>BiK83a3b----04</t>
  </si>
  <si>
    <t>BiK83a3bKWK-04</t>
  </si>
  <si>
    <t>BiK84-------04</t>
  </si>
  <si>
    <t>BiK84KWK----04</t>
  </si>
  <si>
    <t>BiK81-------05</t>
  </si>
  <si>
    <t>BiK81KWK----05</t>
  </si>
  <si>
    <t>BiK81a1-----05</t>
  </si>
  <si>
    <t>BiK81a1KWK--05</t>
  </si>
  <si>
    <t>BiK81b------05</t>
  </si>
  <si>
    <t>BiK81bKWK---05</t>
  </si>
  <si>
    <t>BiK81a1b----05</t>
  </si>
  <si>
    <t>BiK81a1bKWK-05</t>
  </si>
  <si>
    <t>BiK82-------05</t>
  </si>
  <si>
    <t>BiK82KWK----05</t>
  </si>
  <si>
    <t>BiK82a1-----05</t>
  </si>
  <si>
    <t>BiK82M2-----08</t>
  </si>
  <si>
    <t>BiK82M2KWK--08</t>
  </si>
  <si>
    <t>BiK82M2KA3--08</t>
  </si>
  <si>
    <t>BiK82M2K09--08</t>
  </si>
  <si>
    <t>BiK82M2y----08</t>
  </si>
  <si>
    <t>BiK81X1K09y-05</t>
  </si>
  <si>
    <t>BiK81Gb-----05</t>
  </si>
  <si>
    <t>BiK81GbKWK--05</t>
  </si>
  <si>
    <t>BiK81GbKA3--05</t>
  </si>
  <si>
    <t>BiK81GbK09--05</t>
  </si>
  <si>
    <t>BiK81Gby----05</t>
  </si>
  <si>
    <t>BiK81GbKWKy-05</t>
  </si>
  <si>
    <t>BiK81GbKA3y-05</t>
  </si>
  <si>
    <t>BiK270t2GK--09</t>
  </si>
  <si>
    <t>BiK271t2G---09</t>
  </si>
  <si>
    <t>BiK271t2GK--09</t>
  </si>
  <si>
    <t>BiK270t2M1--09</t>
  </si>
  <si>
    <t>= 162.528,66 Euro + 81.481.14 Euro + 215.233,20 Euro + 109.981,80 Euro</t>
  </si>
  <si>
    <t xml:space="preserve">= 569.224,80 Euro </t>
  </si>
  <si>
    <t>BiK270t1M1i-10</t>
  </si>
  <si>
    <t>BiK270t1M1iK10</t>
  </si>
  <si>
    <t>BiK270t1X1--10</t>
  </si>
  <si>
    <t>SgK33430-Jul10</t>
  </si>
  <si>
    <t>SgK33411-Jul10</t>
  </si>
  <si>
    <t>wie SgK331---Jul10</t>
  </si>
  <si>
    <t>SgK33421-Jul10</t>
  </si>
  <si>
    <t>SgK33431-Jul10</t>
  </si>
  <si>
    <t>SgK33412-Jul10</t>
  </si>
  <si>
    <t>wie SgK332---Jul10</t>
  </si>
  <si>
    <t>SgK33422-Jul10</t>
  </si>
  <si>
    <t>SgK33432-Jul10</t>
  </si>
  <si>
    <t>ungerundeter Wert</t>
  </si>
  <si>
    <t>Bestandsschutz bei gültigem Bebauungsplan vor 25.3.2010</t>
  </si>
  <si>
    <t>Inbetriebnahme 07-09/2010</t>
  </si>
  <si>
    <t>Inbetriebnahme 01-06/2010</t>
  </si>
  <si>
    <t>Bebauungsplan, versiegelte bzw. Konversionsflächen (§ 32 Abs. 3 Nr. 1 und 2)</t>
  </si>
  <si>
    <t>vgl. auch: Umsetzungshilfe zum EEG 2009, Version 1.1 vom 01.12.2009, Anhang 3, online unter http://www.bdew.de/bdew.nsf/id/DE_EEG-Verfahrensbeschreibun_und_-Umsetzungshilfen</t>
  </si>
  <si>
    <t>BiK82X2KWKy-04</t>
  </si>
  <si>
    <t>BiK82X2KA3y-04</t>
  </si>
  <si>
    <t>BiK82X2K09y-04</t>
  </si>
  <si>
    <t>BiK82LKWK---07</t>
  </si>
  <si>
    <t>BiK82LKA3---07</t>
  </si>
  <si>
    <t>BiK82LK09---07</t>
  </si>
  <si>
    <t>BiK82Ly-----07</t>
  </si>
  <si>
    <t>BiK82LKWKy--07</t>
  </si>
  <si>
    <t>BiK82LKA3y--07</t>
  </si>
  <si>
    <t>BiK82LK09y--07</t>
  </si>
  <si>
    <t>BiK82X2-----07</t>
  </si>
  <si>
    <t>BiK82X2KWK--07</t>
  </si>
  <si>
    <t>BiK82X2KA3--07</t>
  </si>
  <si>
    <t>42% von 3.285.000 =</t>
  </si>
  <si>
    <t>18% von 3.285.000 =</t>
  </si>
  <si>
    <r>
      <t xml:space="preserve">Der </t>
    </r>
    <r>
      <rPr>
        <b/>
        <sz val="11"/>
        <color indexed="8"/>
        <rFont val="Arial"/>
        <family val="2"/>
      </rPr>
      <t>Leistungszone 0-150 kW</t>
    </r>
    <r>
      <rPr>
        <sz val="11"/>
        <color indexed="8"/>
        <rFont val="Arial"/>
        <family val="2"/>
      </rPr>
      <t xml:space="preserve"> werden zugerechnet:</t>
    </r>
  </si>
  <si>
    <r>
      <t xml:space="preserve">Der </t>
    </r>
    <r>
      <rPr>
        <b/>
        <sz val="11"/>
        <color indexed="8"/>
        <rFont val="Arial"/>
        <family val="2"/>
      </rPr>
      <t>Leistungszone 150-500 kW</t>
    </r>
    <r>
      <rPr>
        <sz val="11"/>
        <color indexed="8"/>
        <rFont val="Arial"/>
        <family val="2"/>
      </rPr>
      <t xml:space="preserve"> werden zugerechnet:</t>
    </r>
  </si>
  <si>
    <t>(375-150) / 375 = 60 % der erzeugten Strommenge</t>
  </si>
  <si>
    <r>
      <t>Bemessungsleistung P</t>
    </r>
    <r>
      <rPr>
        <b/>
        <vertAlign val="subscript"/>
        <sz val="11"/>
        <color indexed="8"/>
        <rFont val="Arial"/>
        <family val="2"/>
      </rPr>
      <t>B,i</t>
    </r>
    <r>
      <rPr>
        <sz val="11"/>
        <color indexed="8"/>
        <rFont val="Arial"/>
        <family val="2"/>
      </rPr>
      <t xml:space="preserve"> nach § 18 Abs. 2 EEG:   </t>
    </r>
  </si>
  <si>
    <t xml:space="preserve">30 % auf den KWK-Anteil </t>
  </si>
  <si>
    <t>70 % auf den Nicht-KWK-Anteil und</t>
  </si>
  <si>
    <t xml:space="preserve">1. Aufteilung auf die Leistungszonen 0-150 kW und 150-500 kW </t>
  </si>
  <si>
    <t>2. Aufteilung zwischen KWK-Anteil und Nicht-KWK-Anteil</t>
  </si>
  <si>
    <t>In Formelschreibweise lässt sich die Vergütungsberechnung für 2009 in diesem Beispiel wie folgt darstellen:</t>
  </si>
  <si>
    <r>
      <t>Bonusregeln a1 und a2</t>
    </r>
    <r>
      <rPr>
        <sz val="10.5"/>
        <color indexed="8"/>
        <rFont val="Calibri"/>
        <family val="2"/>
      </rPr>
      <t xml:space="preserve"> jeweils bei Anlagen mit ausschließlichem Einsatz von Biomasse aus:
(a) Pflanzen oder Pflanzenbestandteilen ohne Aufbereitung im Sinne von § 8 Abs. 2 Satz 1 Nr. 1 EEG,
(b) Gülle und Schlempe im Sinne von § 8 Abs. 2 Satz 1 Nr. 1 EEG oder
(c) Stoffgemisch aus (a) und (b) sofern ein Tagebuch über den ausschließlichen Einsatz dieser Stoffe geführt wird oder eine Genehmigung der Anlage für den ausschließlichen Einsatz dieser Stoffe vorliegt, sowie keine Biomasseanlagen auf demselben Gelände betrieben werden, in denen Strom aus sonstigen Stoffen gewonnen wird.</t>
    </r>
  </si>
  <si>
    <t>Bedeutung der farblichen Hinterlegung der Einträge:</t>
  </si>
  <si>
    <t>weiß</t>
  </si>
  <si>
    <t>Vergütungskategorie stimmt mit bisheriger Kategorie nach EEG 2004 überein</t>
  </si>
  <si>
    <t>grün</t>
  </si>
  <si>
    <t>Vergütungskategorie bestand bereits nach EEG 2004, Vergütung wird ab 1.1.2009 erhöht</t>
  </si>
  <si>
    <t>gelb</t>
  </si>
  <si>
    <t>Vergütungskategorie ist neu nach EEG 2009</t>
  </si>
  <si>
    <t>WiK101------06</t>
  </si>
  <si>
    <t>WiK102------06</t>
  </si>
  <si>
    <t>WiK103------06</t>
  </si>
  <si>
    <t>WiK104------06</t>
  </si>
  <si>
    <r>
      <t xml:space="preserve">Bonusregel y: </t>
    </r>
    <r>
      <rPr>
        <sz val="10"/>
        <rFont val="Arial"/>
        <family val="2"/>
      </rPr>
      <t>(§ 66 Abs.1 Nr. 4a EEG 2009) Strom aus Biomasseanlagen bis zu einer Anlagenleistung von 500 KW, die Biogas einsetzen, erhalten eine um 1,0 ct/kWh höhere Vergütung, wenn entsprechende Formaldehydgrenzwerte nach TA Luft eingehalten werden (Bonus y).</t>
    </r>
  </si>
  <si>
    <t>BiK82a1K09--06</t>
  </si>
  <si>
    <t>BiK82bK09---06</t>
  </si>
  <si>
    <t>BiK82a1bK09-06</t>
  </si>
  <si>
    <t>BiK83K09----06</t>
  </si>
  <si>
    <t>BiK83a2K09--06</t>
  </si>
  <si>
    <t>BiK81G------06</t>
  </si>
  <si>
    <t>BiK81GKWK---06</t>
  </si>
  <si>
    <t>BiK81GKA3---06</t>
  </si>
  <si>
    <t>BiK81GK09---06</t>
  </si>
  <si>
    <t>BiK81Gy-----06</t>
  </si>
  <si>
    <t>BiK81GKWKy--06</t>
  </si>
  <si>
    <t>BiK81GKA3y--06</t>
  </si>
  <si>
    <t>BiK81GK09y--06</t>
  </si>
  <si>
    <t>BiK81M1-----06</t>
  </si>
  <si>
    <t>BiK81M1KWK--06</t>
  </si>
  <si>
    <t>BiK81M1KA3--06</t>
  </si>
  <si>
    <t>BiK81M1K09--06</t>
  </si>
  <si>
    <t>BiK81M1y----06</t>
  </si>
  <si>
    <t>BiK81M1KWKy-06</t>
  </si>
  <si>
    <t>BiK81M1KA3y-06</t>
  </si>
  <si>
    <t>BiK81Lby----08</t>
  </si>
  <si>
    <t>BiK81LbKWKy-08</t>
  </si>
  <si>
    <t>BiK81LbKA3y-08</t>
  </si>
  <si>
    <t>BiK81LbK09y-08</t>
  </si>
  <si>
    <t>BiK81X1b----08</t>
  </si>
  <si>
    <t>BiK81X1bKWK-08</t>
  </si>
  <si>
    <t>BiK81X1bKA3-08</t>
  </si>
  <si>
    <t>BiK81X1bK09-08</t>
  </si>
  <si>
    <t>BiK51aG-----02</t>
  </si>
  <si>
    <t>BiK51aGKA3--02</t>
  </si>
  <si>
    <t>BiK51aGK09--02</t>
  </si>
  <si>
    <t>BiK51aGy----02</t>
  </si>
  <si>
    <t>BiK51aGKA3y-02</t>
  </si>
  <si>
    <t>BiK51aGK09y-02</t>
  </si>
  <si>
    <t>BiK51aM2----02</t>
  </si>
  <si>
    <t>BiK51aM2KA3-02</t>
  </si>
  <si>
    <t>BiK51aX2K09y03</t>
  </si>
  <si>
    <t>BiK51nG-----02</t>
  </si>
  <si>
    <t>BiK81GKA3y--05</t>
  </si>
  <si>
    <t>BiK81GK09y--05</t>
  </si>
  <si>
    <t>BiK81M1-----05</t>
  </si>
  <si>
    <t>BiK81M1KWK--05</t>
  </si>
  <si>
    <t>BiK81M1KA3--05</t>
  </si>
  <si>
    <t>BiK81M1K09--05</t>
  </si>
  <si>
    <t>Anzahl der Stunden des Jahres 2009:</t>
  </si>
  <si>
    <t>hellgrün</t>
  </si>
  <si>
    <t>SoK383V1109-07</t>
  </si>
  <si>
    <t>Freifläche nach EEG-Clearingstelle Votum 2011/9</t>
  </si>
  <si>
    <t>violett</t>
  </si>
  <si>
    <t>Vergütungskategorie ist 2012 neu nach EEG 2012 in der am 29.06.2012 beschlossenen Fassung (sogenannte PV-Novelle)</t>
  </si>
  <si>
    <t>35 Wälzbare Kosten gemäß Systemstabilitätsverordnung</t>
  </si>
  <si>
    <t xml:space="preserve">38 Sondervergütungen aufgrund Gerichts- oder Clearingstellenurteile </t>
  </si>
  <si>
    <t>66 für Verringerung des Vergütungsanspruchs</t>
  </si>
  <si>
    <t>WnK290SNH11-09</t>
  </si>
  <si>
    <t>Onshore, Bonusregel S</t>
  </si>
  <si>
    <t>WnK290SNH11-10</t>
  </si>
  <si>
    <t>WrK300SNH11-09</t>
  </si>
  <si>
    <t>WrK300SNH11-10</t>
  </si>
  <si>
    <t>Repowering, Bonusregel S</t>
  </si>
  <si>
    <t>SgK3220--Jan13</t>
  </si>
  <si>
    <t>SgK3220--Feb13</t>
  </si>
  <si>
    <t>SgK3220--Mrz13</t>
  </si>
  <si>
    <t>SgK3220--Apr13</t>
  </si>
  <si>
    <t>SgK3220--Mai13</t>
  </si>
  <si>
    <t>SgK3220--Jun13</t>
  </si>
  <si>
    <t>SgK3220--Jul13</t>
  </si>
  <si>
    <t>SgK3220--Aug13</t>
  </si>
  <si>
    <t>SgK3220--Sep13</t>
  </si>
  <si>
    <t>SgK3220--Okt13</t>
  </si>
  <si>
    <t>SgK3220--Nov13</t>
  </si>
  <si>
    <t>SgK3220--Dez13</t>
  </si>
  <si>
    <t>Jan13</t>
  </si>
  <si>
    <t>SoK321---Apr13</t>
  </si>
  <si>
    <t>SoK321---Mai13</t>
  </si>
  <si>
    <t>SoK321---Jun13</t>
  </si>
  <si>
    <t>SoK321---Jul13</t>
  </si>
  <si>
    <t>SoK321---Aug13</t>
  </si>
  <si>
    <t>SoK321---Sep13</t>
  </si>
  <si>
    <t>SoK321---Okt13</t>
  </si>
  <si>
    <t>SoK321---Nov13</t>
  </si>
  <si>
    <t>SoK321---Dez13</t>
  </si>
  <si>
    <t>SoK321---Jan13</t>
  </si>
  <si>
    <t>SoK321---Feb13</t>
  </si>
  <si>
    <t>SoK321---Mrz13</t>
  </si>
  <si>
    <t>WaK230------13</t>
  </si>
  <si>
    <t>Inbetriebnahme 2013</t>
  </si>
  <si>
    <t>WaK231------13</t>
  </si>
  <si>
    <t>WaK232------13</t>
  </si>
  <si>
    <t>WaK233------13</t>
  </si>
  <si>
    <t>WaK234------13</t>
  </si>
  <si>
    <t>WaK235------13</t>
  </si>
  <si>
    <t>WaK236------13</t>
  </si>
  <si>
    <t>WaK230M-----13</t>
  </si>
  <si>
    <t>Modernisierung 2013</t>
  </si>
  <si>
    <t>0-0,5 MW, IB vor 01.01.2009, Modernisierung 2013</t>
  </si>
  <si>
    <t>WaK231M-----13</t>
  </si>
  <si>
    <t>0,5-2 MW, IB vor 01.01.2009, Modernisierung 2013</t>
  </si>
  <si>
    <t>WaK232M-----13</t>
  </si>
  <si>
    <t>2-5 MW, IB vor 01.01.2009, Modernisierung 2013</t>
  </si>
  <si>
    <t>WaK233M-----13</t>
  </si>
  <si>
    <t>5-10 MW, IB vor 01.01.2009, Modernisierung 2013</t>
  </si>
  <si>
    <t>WaK234M-----13</t>
  </si>
  <si>
    <t>10-20 MW, IB vor 01.01.2009, Modernisierung 2013</t>
  </si>
  <si>
    <t>WaK235M-----13</t>
  </si>
  <si>
    <t>20-50 MW, IB vor 01.01.2009, Modernisierung 2013</t>
  </si>
  <si>
    <t>WaK236M-----13</t>
  </si>
  <si>
    <t>&gt; 50 MW, IB vor 01.01.2009, Modernisierung 2013</t>
  </si>
  <si>
    <t>BiK27b------13</t>
  </si>
  <si>
    <t>GrK260------13</t>
  </si>
  <si>
    <t>GrK261------13</t>
  </si>
  <si>
    <t>GrK262------13</t>
  </si>
  <si>
    <t>GeK280------13</t>
  </si>
  <si>
    <t>GeK280P-----13</t>
  </si>
  <si>
    <t>WnK290------13</t>
  </si>
  <si>
    <t>BiK51aM2K10y01</t>
  </si>
  <si>
    <t>BiK51aLK10--01</t>
  </si>
  <si>
    <t>BiK51aLK10y-01</t>
  </si>
  <si>
    <t>BiK51aX2K10-01</t>
  </si>
  <si>
    <t>BiK51aX2K10y01</t>
  </si>
  <si>
    <t>BiK82M2bKWKy05</t>
  </si>
  <si>
    <t>BiK82M2bKA3y05</t>
  </si>
  <si>
    <t>BiK82M2bK09y05</t>
  </si>
  <si>
    <t>BiK82M2b----06</t>
  </si>
  <si>
    <t>BiK82M2bKWK-06</t>
  </si>
  <si>
    <t>BiK82M2bKA3-06</t>
  </si>
  <si>
    <t>BiK82M2bK09-06</t>
  </si>
  <si>
    <t>BiK82M2by---06</t>
  </si>
  <si>
    <t>BiK82M2bKWKy06</t>
  </si>
  <si>
    <t>BiK82M2bKA3y06</t>
  </si>
  <si>
    <t>BiK82M2bK09y06</t>
  </si>
  <si>
    <t>BiK82M2b----07</t>
  </si>
  <si>
    <t>BiK82M2bKWK-07</t>
  </si>
  <si>
    <t>BiK82M2bKA3-07</t>
  </si>
  <si>
    <t>BiK82M2bK09-07</t>
  </si>
  <si>
    <t>BiK82M2by---07</t>
  </si>
  <si>
    <t>BiK82M2bKWKy07</t>
  </si>
  <si>
    <t>BiK82M2bKA3y07</t>
  </si>
  <si>
    <t>BiK82M2bK09y07</t>
  </si>
  <si>
    <t>BiK82M2b----08</t>
  </si>
  <si>
    <t>BiK82M2bKWK-08</t>
  </si>
  <si>
    <t>BiK82M2bKA3-08</t>
  </si>
  <si>
    <t>BiK82M2bK09-08</t>
  </si>
  <si>
    <t>BiK82M2by---08</t>
  </si>
  <si>
    <t>BiK82M2bKWKy08</t>
  </si>
  <si>
    <t>BiK82M2bKA3y08</t>
  </si>
  <si>
    <t>BiK82M2bK09y08</t>
  </si>
  <si>
    <t>BiK51nK09y--01</t>
  </si>
  <si>
    <t>BiK51na1y---01</t>
  </si>
  <si>
    <t>BiK51na1KA3y01</t>
  </si>
  <si>
    <t>BiK51na1K09y01</t>
  </si>
  <si>
    <t>BiK51ay-----01</t>
  </si>
  <si>
    <t>BiK51aKA3y--01</t>
  </si>
  <si>
    <t>BiK51aK09y--01</t>
  </si>
  <si>
    <t>BiK51aa1y---01</t>
  </si>
  <si>
    <t>BiK51aa1KA3y01</t>
  </si>
  <si>
    <t>BiK51aa1K09y01</t>
  </si>
  <si>
    <t>0-10 MW, Bonusregel W</t>
  </si>
  <si>
    <t>0-10 MW, Bonusregel P</t>
  </si>
  <si>
    <t>0-10 MW, Bonusregeln W, P</t>
  </si>
  <si>
    <t>GeK280------09</t>
  </si>
  <si>
    <t>GeK281------09</t>
  </si>
  <si>
    <t>GeK280W-----09</t>
  </si>
  <si>
    <t>GeK280P-----09</t>
  </si>
  <si>
    <t>GeK280WP----09</t>
  </si>
  <si>
    <t>WnK290------09</t>
  </si>
  <si>
    <t>WnK290S-----09</t>
  </si>
  <si>
    <t>WnK291------09</t>
  </si>
  <si>
    <t>WrK300------09</t>
  </si>
  <si>
    <t>WrK300S-----09</t>
  </si>
  <si>
    <t>Repowering, Endvergütung</t>
  </si>
  <si>
    <t>WrK301------09</t>
  </si>
  <si>
    <t>WfK310------09</t>
  </si>
  <si>
    <t>BiK81M1y----05</t>
  </si>
  <si>
    <t>BiK81M1KWKy-05</t>
  </si>
  <si>
    <t>BiK81M1KA3y-05</t>
  </si>
  <si>
    <t>BiK81M1K09y-05</t>
  </si>
  <si>
    <t>BiK81L------05</t>
  </si>
  <si>
    <t>BiK81LKWK---05</t>
  </si>
  <si>
    <t>BiK81LKA3---05</t>
  </si>
  <si>
    <t>BiK81LK09---05</t>
  </si>
  <si>
    <t>BiK81Ly-----05</t>
  </si>
  <si>
    <t>BiK81LKWKy--05</t>
  </si>
  <si>
    <t>BiK81LKA3y--05</t>
  </si>
  <si>
    <t>BiK81LK09y--05</t>
  </si>
  <si>
    <t>BiK81X1-----05</t>
  </si>
  <si>
    <t>BiK81X1KWK--05</t>
  </si>
  <si>
    <t>BiK81X1KA3--05</t>
  </si>
  <si>
    <t>BiK81X1K09--05</t>
  </si>
  <si>
    <t>BiK81X1y----05</t>
  </si>
  <si>
    <t>BiK81X1KWKy-05</t>
  </si>
  <si>
    <t>BiK81X1KA3y-05</t>
  </si>
  <si>
    <t>0,150-0,5 MW, Bonusregeln t3, M2, i</t>
  </si>
  <si>
    <t>BiK81a1bKWK-04</t>
  </si>
  <si>
    <t>BiK81X1KA3y-04</t>
  </si>
  <si>
    <t>BiK81X1K09y-04</t>
  </si>
  <si>
    <t>BiK81Gb-----04</t>
  </si>
  <si>
    <t>BiK81GbKWK--04</t>
  </si>
  <si>
    <t>BiK81GbKA3--04</t>
  </si>
  <si>
    <t>BiK81GbK09--04</t>
  </si>
  <si>
    <t>BiK81Gby----04</t>
  </si>
  <si>
    <t>BiK81GbKWKy-04</t>
  </si>
  <si>
    <t>Inbetriebnahme 30.06. bis 31.12.2006</t>
  </si>
  <si>
    <t>BiK52aa2----01</t>
  </si>
  <si>
    <t>BiK52aa3----01</t>
  </si>
  <si>
    <t>BiK53a------01</t>
  </si>
  <si>
    <t>BiK51a------02</t>
  </si>
  <si>
    <t>BiK51aa1----02</t>
  </si>
  <si>
    <t>BiK52a------02</t>
  </si>
  <si>
    <t>BiK52aa2----02</t>
  </si>
  <si>
    <t>BiK52aa3----02</t>
  </si>
  <si>
    <t>BiK53a------02</t>
  </si>
  <si>
    <t>BiK51a------03</t>
  </si>
  <si>
    <t>BiK51aa1----03</t>
  </si>
  <si>
    <t>BiK52a------03</t>
  </si>
  <si>
    <t>BiK52aa2----03</t>
  </si>
  <si>
    <t>BiK52aa3----03</t>
  </si>
  <si>
    <t>BiK53a------03</t>
  </si>
  <si>
    <t>BiK81-------04</t>
  </si>
  <si>
    <t>Inbetriebnahme 2004</t>
  </si>
  <si>
    <t>Anteil Nicht-KWK</t>
  </si>
  <si>
    <t>BiK81KWK----04</t>
  </si>
  <si>
    <t>Anteil KWK</t>
  </si>
  <si>
    <t>BiK81a1-----04</t>
  </si>
  <si>
    <t>BiK81a1KWK--04</t>
  </si>
  <si>
    <t>BiK81b------04</t>
  </si>
  <si>
    <t>BiK81bKWK---04</t>
  </si>
  <si>
    <t>BiK81a1b----04</t>
  </si>
  <si>
    <t>BiK81X1bK09-07</t>
  </si>
  <si>
    <t>BiK82G------07</t>
  </si>
  <si>
    <t>BiK82GKWK---07</t>
  </si>
  <si>
    <t>BiK82GKA3---07</t>
  </si>
  <si>
    <t>BiK82GK09---07</t>
  </si>
  <si>
    <t>BiK82Gy-----07</t>
  </si>
  <si>
    <t>BiK82GKWKy--07</t>
  </si>
  <si>
    <t>BiK82GKA3y--07</t>
  </si>
  <si>
    <t>BiK82GK09y--07</t>
  </si>
  <si>
    <t>BiK82M2-----07</t>
  </si>
  <si>
    <t>BiK82M2KWK--07</t>
  </si>
  <si>
    <t>BiK82M2KA3--07</t>
  </si>
  <si>
    <t>BiK82M2K09--07</t>
  </si>
  <si>
    <t>BiK82M2y----07</t>
  </si>
  <si>
    <t>BiK82M2KWKy-07</t>
  </si>
  <si>
    <t>BiK82M2KA3y-07</t>
  </si>
  <si>
    <t>BiK82M2K09y-07</t>
  </si>
  <si>
    <t>BiK82L------07</t>
  </si>
  <si>
    <t>BiK83a3-----08</t>
  </si>
  <si>
    <t>BiK83a3KWK--08</t>
  </si>
  <si>
    <t>BiK83b------08</t>
  </si>
  <si>
    <t>BiK83bKWK---08</t>
  </si>
  <si>
    <t>BiK83a2b----08</t>
  </si>
  <si>
    <t>BiK83a2bKWK-08</t>
  </si>
  <si>
    <t>BiK83a3b----08</t>
  </si>
  <si>
    <t>BiK83a3bKWK-08</t>
  </si>
  <si>
    <t>BiK84-------08</t>
  </si>
  <si>
    <t>BiK84KWK----08</t>
  </si>
  <si>
    <t>BiK85-------08</t>
  </si>
  <si>
    <t>Deponie-,Klär-,Grubengas</t>
  </si>
  <si>
    <t>GaK42a------01</t>
  </si>
  <si>
    <t>GaK41a------02</t>
  </si>
  <si>
    <t>GaK42a------02</t>
  </si>
  <si>
    <r>
      <t xml:space="preserve">Bonusregel S: </t>
    </r>
    <r>
      <rPr>
        <sz val="10"/>
        <rFont val="Arial"/>
        <family val="2"/>
      </rPr>
      <t>(§ 66 Abs. 1 Nr. 6 EEG 2009) Windenergieanlagen, die nach dem 31.12.2001 und vor dem 01.01.2009 in Betrieb genommen worden sind, erhalten einen Systemdienstleistungsbonus von 0,7 ct/kWh, wenn sie infolge einer Nachrüstung vor dem 01.01.2011 die Anforderungen der Verordnung nach § 64 Abs. 1 Nr. 1 EEG 2009 erstmals einhalten.</t>
    </r>
  </si>
  <si>
    <t>§27 (4) S.1 Nr.3 EEG 2009 (bis 20 MW)</t>
  </si>
  <si>
    <r>
      <t>Biogas</t>
    </r>
    <r>
      <rPr>
        <sz val="8"/>
        <rFont val="Arial"/>
        <family val="2"/>
      </rPr>
      <t>:Gülle- + Landsch.pfl.-Bon. bis 150 kW</t>
    </r>
  </si>
  <si>
    <r>
      <t>Biogas</t>
    </r>
    <r>
      <rPr>
        <sz val="8"/>
        <rFont val="Arial"/>
        <family val="2"/>
      </rPr>
      <t>: Imm</t>
    </r>
    <r>
      <rPr>
        <sz val="8"/>
        <rFont val="Arial"/>
        <family val="2"/>
      </rPr>
      <t>issionssch.-Bonus bis 500 kW</t>
    </r>
  </si>
  <si>
    <t>BiK51aLK09--03</t>
  </si>
  <si>
    <t>BiK51aLy----03</t>
  </si>
  <si>
    <t>BiK51aLKA3y-03</t>
  </si>
  <si>
    <t>BiK51aLK09y-03</t>
  </si>
  <si>
    <t>BiK51aX2----03</t>
  </si>
  <si>
    <t>BiK51aX2KA3-03</t>
  </si>
  <si>
    <t>BiK51aX2K09-03</t>
  </si>
  <si>
    <t>BiK51aX2y---03</t>
  </si>
  <si>
    <t>BiK51aX2KA3y03</t>
  </si>
  <si>
    <t>BiK81GbKA3y-04</t>
  </si>
  <si>
    <t>BiK81GbK09y-04</t>
  </si>
  <si>
    <t>BiK81M1b----04</t>
  </si>
  <si>
    <t>BiK81M1bKWK-04</t>
  </si>
  <si>
    <t>BiK81M1bKA3-04</t>
  </si>
  <si>
    <t>BiK81M1bK09-04</t>
  </si>
  <si>
    <t>BiK81M1by---04</t>
  </si>
  <si>
    <t>BiK81M1bKWKy04</t>
  </si>
  <si>
    <t>BiK81M1bKA3y04</t>
  </si>
  <si>
    <t>BiK81M1bK09y04</t>
  </si>
  <si>
    <t>BiK81Lb-----04</t>
  </si>
  <si>
    <t>BiK81LbKWK--04</t>
  </si>
  <si>
    <t>BiK81M1b----08</t>
  </si>
  <si>
    <t>BiK81M1bKWK-08</t>
  </si>
  <si>
    <t>BiK81M1bKA3-08</t>
  </si>
  <si>
    <t>BiK81M1bK09-08</t>
  </si>
  <si>
    <t>BiK81M1by---08</t>
  </si>
  <si>
    <t>BiK81M1bKWKy08</t>
  </si>
  <si>
    <t>BiK81M1bKA3y08</t>
  </si>
  <si>
    <t>BiK81M1bK09y08</t>
  </si>
  <si>
    <r>
      <t>Bio</t>
    </r>
    <r>
      <rPr>
        <b/>
        <u/>
        <sz val="8"/>
        <rFont val="Arial"/>
        <family val="2"/>
      </rPr>
      <t>g</t>
    </r>
    <r>
      <rPr>
        <u/>
        <sz val="8"/>
        <rFont val="Arial"/>
        <family val="2"/>
      </rPr>
      <t>as</t>
    </r>
    <r>
      <rPr>
        <sz val="8"/>
        <rFont val="Arial"/>
        <family val="2"/>
      </rPr>
      <t>: allg. Bonus b</t>
    </r>
    <r>
      <rPr>
        <sz val="8"/>
        <rFont val="Arial"/>
        <family val="2"/>
      </rPr>
      <t>is 500 kW</t>
    </r>
  </si>
  <si>
    <t>BiK81K10----06</t>
  </si>
  <si>
    <t>BiK81K10y---06</t>
  </si>
  <si>
    <t>BiK81a1K10--06</t>
  </si>
  <si>
    <t>BiK81a1K10y-06</t>
  </si>
  <si>
    <t>BiK81GK10---06</t>
  </si>
  <si>
    <t>BiK81GK10y--06</t>
  </si>
  <si>
    <t>BiK81M1K10--06</t>
  </si>
  <si>
    <t>BiK81M1K10y-06</t>
  </si>
  <si>
    <t>BiK81LK10---06</t>
  </si>
  <si>
    <t>BiK81LK10y--06</t>
  </si>
  <si>
    <t>BiK81X1K10--06</t>
  </si>
  <si>
    <t>BiK81X1K10y-06</t>
  </si>
  <si>
    <t>BiK81bK10---06</t>
  </si>
  <si>
    <t>BiK81bK10y--06</t>
  </si>
  <si>
    <t>BiK81a1bK10-06</t>
  </si>
  <si>
    <t>BiK81a1bK10y06</t>
  </si>
  <si>
    <t>BiK81GbK10--06</t>
  </si>
  <si>
    <t>BiK81GbK10y-06</t>
  </si>
  <si>
    <t>BiK81M1bK10-06</t>
  </si>
  <si>
    <t>BiK81M1bK10y06</t>
  </si>
  <si>
    <t>BiK81LbK10--06</t>
  </si>
  <si>
    <t>BiK81LbK10y-06</t>
  </si>
  <si>
    <t>BiK81X1bK10-06</t>
  </si>
  <si>
    <t>BiK81X1bK10y06</t>
  </si>
  <si>
    <t>BiK82K10----06</t>
  </si>
  <si>
    <t>BiK82K10y---06</t>
  </si>
  <si>
    <t>BiK82a1K10--06</t>
  </si>
  <si>
    <t>BiK82a1K10y-06</t>
  </si>
  <si>
    <t>BiK82GK10---06</t>
  </si>
  <si>
    <t>BiK82GK10y--06</t>
  </si>
  <si>
    <t>BiK82M2K10--06</t>
  </si>
  <si>
    <t>BiK82M2K10y-06</t>
  </si>
  <si>
    <t>BiK82LK10---06</t>
  </si>
  <si>
    <t>BiK82LK10y--06</t>
  </si>
  <si>
    <t>BiK82X2K10--06</t>
  </si>
  <si>
    <t>BiK82X2K10y-06</t>
  </si>
  <si>
    <t>BiK82bK10---06</t>
  </si>
  <si>
    <t>BiK82bK10y--06</t>
  </si>
  <si>
    <t>BiK82a1bK10-06</t>
  </si>
  <si>
    <t>BiK82a1bK10y06</t>
  </si>
  <si>
    <t>BiK82GbK10--06</t>
  </si>
  <si>
    <t>BiK82GbK10y-06</t>
  </si>
  <si>
    <t>BiK82M2bK10-06</t>
  </si>
  <si>
    <t>BiK82M2bK10y06</t>
  </si>
  <si>
    <t>BiK82LbK10--06</t>
  </si>
  <si>
    <t>BiK82LbK10y-06</t>
  </si>
  <si>
    <t>BiK82X2bK10-06</t>
  </si>
  <si>
    <t>BiK82X2bK10y06</t>
  </si>
  <si>
    <t>BiK83K10----06</t>
  </si>
  <si>
    <t>BiK83a2K10--06</t>
  </si>
  <si>
    <t>BiK83a3K10--06</t>
  </si>
  <si>
    <t>BiK83bK10---06</t>
  </si>
  <si>
    <t>BiK83a2bK10-06</t>
  </si>
  <si>
    <t>BiK83a3bK10-06</t>
  </si>
  <si>
    <t>BiK84K10----06</t>
  </si>
  <si>
    <t>BiK85K10----06</t>
  </si>
  <si>
    <t>BiK81K10----07</t>
  </si>
  <si>
    <t>BiK81K10y---07</t>
  </si>
  <si>
    <t>BiK81a1K10--07</t>
  </si>
  <si>
    <t>BiK81a1K10y-07</t>
  </si>
  <si>
    <t>BiK81GK10---07</t>
  </si>
  <si>
    <t>BiK81GK10y--07</t>
  </si>
  <si>
    <t>BiK81M1K10--07</t>
  </si>
  <si>
    <t>BiK81M1K10y-07</t>
  </si>
  <si>
    <t>BiK81LK10---07</t>
  </si>
  <si>
    <t>BiK81LK10y--07</t>
  </si>
  <si>
    <t>BiK81X1K10--07</t>
  </si>
  <si>
    <t>BiK81X1K10y-07</t>
  </si>
  <si>
    <t>BiK81bK10---07</t>
  </si>
  <si>
    <t>BiK81bK10y--07</t>
  </si>
  <si>
    <t>BiK81a1bK10-07</t>
  </si>
  <si>
    <t>BiK81a1bK10y07</t>
  </si>
  <si>
    <t>BiK81GbK10--07</t>
  </si>
  <si>
    <t>BiK81GbK10y-07</t>
  </si>
  <si>
    <t>BiK81M1bK10-07</t>
  </si>
  <si>
    <t>BiK81M1bK10y07</t>
  </si>
  <si>
    <t>BiK81LbK10--07</t>
  </si>
  <si>
    <t>BiK81LbK10y-07</t>
  </si>
  <si>
    <t>BiK81X1bK10-07</t>
  </si>
  <si>
    <t>BiK81X1bK10y07</t>
  </si>
  <si>
    <t>BiK82K10----07</t>
  </si>
  <si>
    <t>BiK82K10y---07</t>
  </si>
  <si>
    <t>BiK82a1K10--07</t>
  </si>
  <si>
    <t>BiK82a1K10y-07</t>
  </si>
  <si>
    <t>BiK82GK10---07</t>
  </si>
  <si>
    <t>BiK82GK10y--07</t>
  </si>
  <si>
    <t>BiK82M2K10--07</t>
  </si>
  <si>
    <t>BiK82M2K10y-07</t>
  </si>
  <si>
    <t>BiK82LK10---07</t>
  </si>
  <si>
    <t>BiK82LK10y--07</t>
  </si>
  <si>
    <t>BiK82X2K10--07</t>
  </si>
  <si>
    <t>BiK51ay-----03</t>
  </si>
  <si>
    <t>BiK51aKA3y--03</t>
  </si>
  <si>
    <t>BiK270t2M1K-09</t>
  </si>
  <si>
    <t>BiK271t2M2--09</t>
  </si>
  <si>
    <t>BiK271t2M2K-09</t>
  </si>
  <si>
    <t>BiK270t2L---09</t>
  </si>
  <si>
    <t>BiK270t2LK--09</t>
  </si>
  <si>
    <t>BiK271t2L---09</t>
  </si>
  <si>
    <t>BiK271t2LK--09</t>
  </si>
  <si>
    <t>BiK270t2X1--09</t>
  </si>
  <si>
    <t>BiK270t2X1K-09</t>
  </si>
  <si>
    <t>BiK271t2X2--09</t>
  </si>
  <si>
    <t>BiK271t2X2K-09</t>
  </si>
  <si>
    <t>BiK270t2Gi--09</t>
  </si>
  <si>
    <t>BiK270t2GiK-09</t>
  </si>
  <si>
    <t>BiK271t2Gi--09</t>
  </si>
  <si>
    <t>BiK271t2GiK-09</t>
  </si>
  <si>
    <t>BiK270t2M1i-09</t>
  </si>
  <si>
    <t>BiK270t2M1iK09</t>
  </si>
  <si>
    <t>BiK271t2M2i-09</t>
  </si>
  <si>
    <t>BiK271t2M2iK09</t>
  </si>
  <si>
    <t>BiK270t2Li--09</t>
  </si>
  <si>
    <t>BiK270t2LiK-09</t>
  </si>
  <si>
    <t>BiK271t2Li--09</t>
  </si>
  <si>
    <t>BiK271t2LiK-09</t>
  </si>
  <si>
    <t>BiK270t2X1i-09</t>
  </si>
  <si>
    <t>BiK270t2X1iK09</t>
  </si>
  <si>
    <t>BiK271t2X2i-09</t>
  </si>
  <si>
    <t>BiK271t2X2iK09</t>
  </si>
  <si>
    <t>GeK91W------04</t>
  </si>
  <si>
    <t>GeK91P------04</t>
  </si>
  <si>
    <t>GeK91WP-----04</t>
  </si>
  <si>
    <t>GeK92W------04</t>
  </si>
  <si>
    <t>GeK92P------04</t>
  </si>
  <si>
    <t>GeK92WP-----04</t>
  </si>
  <si>
    <t>GeK91W------05</t>
  </si>
  <si>
    <t>GeK91P------05</t>
  </si>
  <si>
    <t>GeK91WP-----05</t>
  </si>
  <si>
    <t>GeK92W------05</t>
  </si>
  <si>
    <t>GeK92P------05</t>
  </si>
  <si>
    <t>GeK92WP-----05</t>
  </si>
  <si>
    <t>GeK91W------06</t>
  </si>
  <si>
    <t>GeK91P------06</t>
  </si>
  <si>
    <t>GeK91WP-----06</t>
  </si>
  <si>
    <t>GeK92W------06</t>
  </si>
  <si>
    <t>GeK92P------06</t>
  </si>
  <si>
    <t>GeK92WP-----06</t>
  </si>
  <si>
    <t>GeK91W------07</t>
  </si>
  <si>
    <t>GeK91P------07</t>
  </si>
  <si>
    <t>GeK91WP-----07</t>
  </si>
  <si>
    <t>GeK92W------07</t>
  </si>
  <si>
    <t>GeK92P------07</t>
  </si>
  <si>
    <t>GeK92WP-----07</t>
  </si>
  <si>
    <t>BiK51nLK09--01</t>
  </si>
  <si>
    <t>BiK51nLy----01</t>
  </si>
  <si>
    <t>BiK51nLKA3y-01</t>
  </si>
  <si>
    <t>BiK51nLK09y-01</t>
  </si>
  <si>
    <t>BiK51nX1----01</t>
  </si>
  <si>
    <t>BiK51nX1KA3-01</t>
  </si>
  <si>
    <t>BiK51nX1K09-01</t>
  </si>
  <si>
    <t>BiK51nX1y---01</t>
  </si>
  <si>
    <t>BiK51nX1KA3y01</t>
  </si>
  <si>
    <t>BiK51nX1K09y01</t>
  </si>
  <si>
    <t>BiK82K09----04</t>
  </si>
  <si>
    <t>BiK82a1K09--04</t>
  </si>
  <si>
    <t>BiK82bK09---04</t>
  </si>
  <si>
    <t>BiK82a1K09--08</t>
  </si>
  <si>
    <t>BiK82a1bK09-04</t>
  </si>
  <si>
    <t>BiK270t1L---09</t>
  </si>
  <si>
    <t>BiK270t1LK--09</t>
  </si>
  <si>
    <t>BiK271t1L---09</t>
  </si>
  <si>
    <t>BiK271t1LK--09</t>
  </si>
  <si>
    <t>BiK270t1X1--09</t>
  </si>
  <si>
    <t>BiK270t1X1K-09</t>
  </si>
  <si>
    <t>BiK271t1X2--09</t>
  </si>
  <si>
    <t>BiK271t1X2K-09</t>
  </si>
  <si>
    <t>BiK270t1Gi--09</t>
  </si>
  <si>
    <t>BiK270t1GiK-09</t>
  </si>
  <si>
    <t>BiK271t1Gi--09</t>
  </si>
  <si>
    <t>BiK271t1GiK-09</t>
  </si>
  <si>
    <t>BiK270t1M1i-09</t>
  </si>
  <si>
    <t>BiK270t1M1iK09</t>
  </si>
  <si>
    <t>BiK271t1M2i-09</t>
  </si>
  <si>
    <t>BiK271t1M2iK09</t>
  </si>
  <si>
    <t>§ 27 Abs. 4 Satz 1 Nr. 2 EEG; Anlage 2 Punkt VI., 2b (2) und Punkt VI., 2c
(Kombination aus Bonus M2 und Bonus L)</t>
  </si>
  <si>
    <t>§ 27 Abs. 4 Satz 1 Nr. 2 EEG; Anlage 2 Punkt VI., 2b (1) und Punkt VI., 2c
(Kombination aus Bonus M1 und Bonus L)</t>
  </si>
  <si>
    <t>BiK82M2b----04</t>
  </si>
  <si>
    <t>BiK82M2bKWK-04</t>
  </si>
  <si>
    <t>BiK82M2bKA3-04</t>
  </si>
  <si>
    <t>BiK82M2bK09-04</t>
  </si>
  <si>
    <t>BiK82M2by---04</t>
  </si>
  <si>
    <t>BiK82M2bKWKy04</t>
  </si>
  <si>
    <t>BiK82M2bKA3y04</t>
  </si>
  <si>
    <t>BiK82M2bK09y04</t>
  </si>
  <si>
    <t>KlK33b1-MPMMai</t>
  </si>
  <si>
    <t>KlK33b1-MPMJun</t>
  </si>
  <si>
    <t>KlK33b1-MPMJul</t>
  </si>
  <si>
    <t>KlK33b1-MPMAug</t>
  </si>
  <si>
    <t>KlK33b1-MPMSep</t>
  </si>
  <si>
    <t>KlK33b1-MPMOkt</t>
  </si>
  <si>
    <t>KlK33b1-MPMNov</t>
  </si>
  <si>
    <t>KlK33b1-MPMDez</t>
  </si>
  <si>
    <t>GrK33b1-MPMJan</t>
  </si>
  <si>
    <t>GrK33b1-MPMFeb</t>
  </si>
  <si>
    <t>GrK33b1-MPMMrz</t>
  </si>
  <si>
    <t>GrK33b1-MPMApr</t>
  </si>
  <si>
    <t>GrK33b1-MPMMai</t>
  </si>
  <si>
    <t>GrK33b1-MPMJun</t>
  </si>
  <si>
    <t>GrK33b1-MPMJul</t>
  </si>
  <si>
    <t>GrK33b1-MPMAug</t>
  </si>
  <si>
    <t>GrK33b1-MPMSep</t>
  </si>
  <si>
    <t>GrK33b1-MPMOkt</t>
  </si>
  <si>
    <t>GrK33b1-MPMNov</t>
  </si>
  <si>
    <t>GrK33b1-MPMDez</t>
  </si>
  <si>
    <t>GeK33b1-MPMJan</t>
  </si>
  <si>
    <t>GeK33b1-MPMFeb</t>
  </si>
  <si>
    <t>GeK33b1-MPMMrz</t>
  </si>
  <si>
    <t>GeK33b1-MPMApr</t>
  </si>
  <si>
    <t>GeK33b1-MPMMai</t>
  </si>
  <si>
    <t>GeK33b1-MPMJun</t>
  </si>
  <si>
    <t>GeK33b1-MPMJul</t>
  </si>
  <si>
    <t>GeK33b1-MPMAug</t>
  </si>
  <si>
    <t>GeK33b1-MPMSep</t>
  </si>
  <si>
    <t>GeK33b1-MPMOkt</t>
  </si>
  <si>
    <t>GeK33b1-MPMNov</t>
  </si>
  <si>
    <t>GeK33b1-MPMDez</t>
  </si>
  <si>
    <t>WiK33b1-MPMJan</t>
  </si>
  <si>
    <t>WiK33b1-MPMFeb</t>
  </si>
  <si>
    <t>WiK33b1-MPMMrz</t>
  </si>
  <si>
    <t>WiK33b1-MPMApr</t>
  </si>
  <si>
    <t>WiK33b1-MPMMai</t>
  </si>
  <si>
    <t>WiK33b1-MPMJun</t>
  </si>
  <si>
    <t>WiK33b1-MPMJul</t>
  </si>
  <si>
    <t>WiK33b1-MPMAug</t>
  </si>
  <si>
    <t>WiK33b1-MPMSep</t>
  </si>
  <si>
    <t>WiK33b1-MPMOkt</t>
  </si>
  <si>
    <t>WiK33b1-MPMNov</t>
  </si>
  <si>
    <t>WiK33b1-MPMDez</t>
  </si>
  <si>
    <t>WnK33b1-MPMJan</t>
  </si>
  <si>
    <t>WnK33b1-MPMFeb</t>
  </si>
  <si>
    <t>WnK33b1-MPMMrz</t>
  </si>
  <si>
    <t>WnK33b1-MPMApr</t>
  </si>
  <si>
    <t>WnK33b1-MPMMai</t>
  </si>
  <si>
    <t>WnK33b1-MPMJun</t>
  </si>
  <si>
    <t>WnK33b1-MPMJul</t>
  </si>
  <si>
    <t>WnK33b1-MPMAug</t>
  </si>
  <si>
    <t>WnK33b1-MPMSep</t>
  </si>
  <si>
    <t>WnK33b1-MPMOkt</t>
  </si>
  <si>
    <t>WnK33b1-MPMNov</t>
  </si>
  <si>
    <t>WnK33b1-MPMDez</t>
  </si>
  <si>
    <t>WrK33b1-MPMJan</t>
  </si>
  <si>
    <t>WrK33b1-MPMFeb</t>
  </si>
  <si>
    <t>WrK33b1-MPMMrz</t>
  </si>
  <si>
    <t>WrK33b1-MPMApr</t>
  </si>
  <si>
    <t>WrK33b1-MPMMai</t>
  </si>
  <si>
    <t>WrK33b1-MPMJun</t>
  </si>
  <si>
    <t>WrK33b1-MPMJul</t>
  </si>
  <si>
    <t>WrK33b1-MPMAug</t>
  </si>
  <si>
    <t>WrK33b1-MPMSep</t>
  </si>
  <si>
    <t>WrK33b1-MPMOkt</t>
  </si>
  <si>
    <t>WrK33b1-MPMNov</t>
  </si>
  <si>
    <t>WrK33b1-MPMDez</t>
  </si>
  <si>
    <t>WfK33b1-MPMJan</t>
  </si>
  <si>
    <t>WfK33b1-MPMFeb</t>
  </si>
  <si>
    <t>WfK33b1-MPMMrz</t>
  </si>
  <si>
    <t>WfK33b1-MPMApr</t>
  </si>
  <si>
    <t>WfK33b1-MPMMai</t>
  </si>
  <si>
    <t>WfK33b1-MPMJun</t>
  </si>
  <si>
    <t>WfK33b1-MPMJul</t>
  </si>
  <si>
    <t>WfK33b1-MPMAug</t>
  </si>
  <si>
    <t>WfK33b1-MPMSep</t>
  </si>
  <si>
    <t>WfK33b1-MPMOkt</t>
  </si>
  <si>
    <t>WfK33b1-MPMNov</t>
  </si>
  <si>
    <t>WfK33b1-MPMDez</t>
  </si>
  <si>
    <t>SoK33b1-MPMJan</t>
  </si>
  <si>
    <t>SoK33b1-MPMFeb</t>
  </si>
  <si>
    <t>SoK33b1-MPMMrz</t>
  </si>
  <si>
    <t>SoK33b1-MPMApr</t>
  </si>
  <si>
    <t>SoK33b1-MPMMai</t>
  </si>
  <si>
    <t>SoK33b1-MPMJun</t>
  </si>
  <si>
    <t>SoK33b1-MPMJul</t>
  </si>
  <si>
    <t>SoK33b1-MPMAug</t>
  </si>
  <si>
    <t>SoK33b1-MPMSep</t>
  </si>
  <si>
    <t>SoK33b1-MPMOkt</t>
  </si>
  <si>
    <t>SoK33b1-MPMNov</t>
  </si>
  <si>
    <t>SoK33b1-MPMDez</t>
  </si>
  <si>
    <t>SgK33b1-MPMJan</t>
  </si>
  <si>
    <t>SgK33b1-MPMFeb</t>
  </si>
  <si>
    <t>SgK33b1-MPMMrz</t>
  </si>
  <si>
    <t>SgK33b1-MPMApr</t>
  </si>
  <si>
    <t>SgK33b1-MPMMai</t>
  </si>
  <si>
    <t>SgK33b1-MPMJun</t>
  </si>
  <si>
    <t>SgK33b1-MPMJul</t>
  </si>
  <si>
    <t>SgK33b1-MPMAug</t>
  </si>
  <si>
    <t>SgK33b1-MPMSep</t>
  </si>
  <si>
    <t>SgK33b1-MPMOkt</t>
  </si>
  <si>
    <t>SgK33b1-MPMNov</t>
  </si>
  <si>
    <t>SgK33b1-MPMDez</t>
  </si>
  <si>
    <t>BiK51aM2K11-01</t>
  </si>
  <si>
    <t>BiK51aM2K11y01</t>
  </si>
  <si>
    <t>BiK51aLK11--01</t>
  </si>
  <si>
    <t>BiK51aLK11y-01</t>
  </si>
  <si>
    <t>BiK51aX2K11-01</t>
  </si>
  <si>
    <t>BiK51aX2K11y01</t>
  </si>
  <si>
    <t>BiK52aK11---01</t>
  </si>
  <si>
    <t>BiK52aa2K11-01</t>
  </si>
  <si>
    <t>BiK52aa3K11-01</t>
  </si>
  <si>
    <t>BiK53aK11---01</t>
  </si>
  <si>
    <t>BiK54aK11---01</t>
  </si>
  <si>
    <t>BiK51nK11---02</t>
  </si>
  <si>
    <t>BiK51nK11y--02</t>
  </si>
  <si>
    <t>BiK51na1K11-02</t>
  </si>
  <si>
    <t>BiK51na1K11y02</t>
  </si>
  <si>
    <t>BiK51nGK11--02</t>
  </si>
  <si>
    <t>BiK51nGK11y-02</t>
  </si>
  <si>
    <t>BiK51nM1K11-02</t>
  </si>
  <si>
    <t>BiK51nM1K11y02</t>
  </si>
  <si>
    <t>BiK51nLK11--02</t>
  </si>
  <si>
    <t>BiK51nLK11y-02</t>
  </si>
  <si>
    <t>BiK51nX1K11-02</t>
  </si>
  <si>
    <t>BiK51nX1K11y02</t>
  </si>
  <si>
    <t>BiK51aK11---02</t>
  </si>
  <si>
    <t>BiK51aK11y--02</t>
  </si>
  <si>
    <t>BiK51aa1K11-02</t>
  </si>
  <si>
    <t>BiK51aa1K11y02</t>
  </si>
  <si>
    <t>BiK51aGK11--02</t>
  </si>
  <si>
    <t>BiK51aGK11y-02</t>
  </si>
  <si>
    <t>BiK51aM2K11-02</t>
  </si>
  <si>
    <t>BiK51aM2K11y02</t>
  </si>
  <si>
    <t>BiK51aLK11--02</t>
  </si>
  <si>
    <t>BiK51aLK11y-02</t>
  </si>
  <si>
    <t>BiK51aX2K11-02</t>
  </si>
  <si>
    <t>BiK51aX2K11y02</t>
  </si>
  <si>
    <t>BiK52aK11---02</t>
  </si>
  <si>
    <t>BiK52aa2K11-02</t>
  </si>
  <si>
    <t>BiK52aa3K11-02</t>
  </si>
  <si>
    <t>BiK53aK11---02</t>
  </si>
  <si>
    <t>BiK54aK11---02</t>
  </si>
  <si>
    <t>BiK51nK11---03</t>
  </si>
  <si>
    <t>BiK51nK11y--03</t>
  </si>
  <si>
    <t>BiK51na1K11-03</t>
  </si>
  <si>
    <t>BiK51na1K11y03</t>
  </si>
  <si>
    <t>BiK51nGK11--03</t>
  </si>
  <si>
    <t>BiK51nGK11y-03</t>
  </si>
  <si>
    <t>BiK51nM1K11-03</t>
  </si>
  <si>
    <t>BiK51nM1K11y03</t>
  </si>
  <si>
    <t>BiK51nLK11--03</t>
  </si>
  <si>
    <t>BiK51nLK11y-03</t>
  </si>
  <si>
    <t>BiK51nX1K11-03</t>
  </si>
  <si>
    <t>BiK51nX1K11y03</t>
  </si>
  <si>
    <t>BiK51aK11---03</t>
  </si>
  <si>
    <t>BiK51aK11y--03</t>
  </si>
  <si>
    <t>BiK51aa1K11-03</t>
  </si>
  <si>
    <t>BiK51aa1K11y03</t>
  </si>
  <si>
    <t>BiK51aGK11--03</t>
  </si>
  <si>
    <t>BiK51aGK11y-03</t>
  </si>
  <si>
    <t>BiK51aM2K11-03</t>
  </si>
  <si>
    <t>BiK51aM2K11y03</t>
  </si>
  <si>
    <t>BiK51aLK11--03</t>
  </si>
  <si>
    <t>BiK51aLK11y-03</t>
  </si>
  <si>
    <t>BiK51aX2K11-03</t>
  </si>
  <si>
    <t>BiK51aX2K11y03</t>
  </si>
  <si>
    <t>BiK52aK11---03</t>
  </si>
  <si>
    <t>BiK52aa2K11-03</t>
  </si>
  <si>
    <t>BiK52aa3K11-03</t>
  </si>
  <si>
    <t>BiK53aK11---03</t>
  </si>
  <si>
    <t>BiK54aK11---03</t>
  </si>
  <si>
    <t>BiK81K11----04</t>
  </si>
  <si>
    <t>BiK81K11y---04</t>
  </si>
  <si>
    <t>BiK81a1K11--04</t>
  </si>
  <si>
    <t>BiK81a1K11y-04</t>
  </si>
  <si>
    <t>BiK81GK11---04</t>
  </si>
  <si>
    <t>BiK81GK11y--04</t>
  </si>
  <si>
    <t>BiK81M1K11--04</t>
  </si>
  <si>
    <t>BiK81M1K11y-04</t>
  </si>
  <si>
    <t>BiK81LK11---04</t>
  </si>
  <si>
    <t>BiK81LK11y--04</t>
  </si>
  <si>
    <t>BiK81X1K11--04</t>
  </si>
  <si>
    <t>BiK81X1K11y-04</t>
  </si>
  <si>
    <t>BiK81bK11---04</t>
  </si>
  <si>
    <t>BiK81bK11y--04</t>
  </si>
  <si>
    <t>BiK81a1bK11-04</t>
  </si>
  <si>
    <t>BiK81a1bK11y04</t>
  </si>
  <si>
    <t>BiK81GbK11--04</t>
  </si>
  <si>
    <t>BiK81GbK11y-04</t>
  </si>
  <si>
    <t>BiK81M1bK11-04</t>
  </si>
  <si>
    <t>BiK81M1bK11y04</t>
  </si>
  <si>
    <t>BiK81LbK11--04</t>
  </si>
  <si>
    <t>BiK81LbK11y-04</t>
  </si>
  <si>
    <t>BiK81X1bK11-04</t>
  </si>
  <si>
    <t>BiK81X1bK11y04</t>
  </si>
  <si>
    <t>BiK82K11----04</t>
  </si>
  <si>
    <t>BiK82K11y---04</t>
  </si>
  <si>
    <t>BiK82a1K11--04</t>
  </si>
  <si>
    <t>BiK82a1K11y-04</t>
  </si>
  <si>
    <t>BiK82GK11---04</t>
  </si>
  <si>
    <t>BiK82GK11y--04</t>
  </si>
  <si>
    <t>BiK82M2K11--04</t>
  </si>
  <si>
    <t>BiK82M2K11y-04</t>
  </si>
  <si>
    <t>BiK82LK11---04</t>
  </si>
  <si>
    <t>BiK82LK11y--04</t>
  </si>
  <si>
    <t>BiK82X2K11--04</t>
  </si>
  <si>
    <t>BiK82X2K11y-04</t>
  </si>
  <si>
    <t>BiK82bK11---04</t>
  </si>
  <si>
    <t>BiK82bK11y--04</t>
  </si>
  <si>
    <t>BiK82a1bK11-04</t>
  </si>
  <si>
    <t>BiK82a1bK11y04</t>
  </si>
  <si>
    <t>BiK82GbK11--04</t>
  </si>
  <si>
    <t>BiK82GbK11y-04</t>
  </si>
  <si>
    <t>BiK82M2bK11-04</t>
  </si>
  <si>
    <t>BiK82M2bK11y04</t>
  </si>
  <si>
    <t>BiK82LbK11--04</t>
  </si>
  <si>
    <t>BiK82LbK11y-04</t>
  </si>
  <si>
    <t>BiK82X2bK11-04</t>
  </si>
  <si>
    <t>BiK82X2bK11y04</t>
  </si>
  <si>
    <t>BiK83K11----04</t>
  </si>
  <si>
    <t>BiK83a2K11--04</t>
  </si>
  <si>
    <t>BiK83a3K11--04</t>
  </si>
  <si>
    <t>BiK83bK11---04</t>
  </si>
  <si>
    <t>BiK83a2bK11-04</t>
  </si>
  <si>
    <t>BiK83a3bK11-04</t>
  </si>
  <si>
    <t>BiK84K11----04</t>
  </si>
  <si>
    <t>BiK85K11----04</t>
  </si>
  <si>
    <t>BiK81K11----05</t>
  </si>
  <si>
    <t>BiK81K11y---05</t>
  </si>
  <si>
    <t>BiK81a1K11--05</t>
  </si>
  <si>
    <t>BiK81a1K11y-05</t>
  </si>
  <si>
    <t>BiK81GK11---05</t>
  </si>
  <si>
    <t>BiK81GK11y--05</t>
  </si>
  <si>
    <t>BiK81M1K11--05</t>
  </si>
  <si>
    <t>BiK81M1K11y-05</t>
  </si>
  <si>
    <t>BiK81LK11---05</t>
  </si>
  <si>
    <t>BiK81LK11y--05</t>
  </si>
  <si>
    <t>BiK81X1K11--05</t>
  </si>
  <si>
    <t>BiK81X1K11y-05</t>
  </si>
  <si>
    <t>BiK81bK11---05</t>
  </si>
  <si>
    <t>BiK81bK11y--05</t>
  </si>
  <si>
    <t>BiK81a1bK11-05</t>
  </si>
  <si>
    <t>BiK81a1bK11y05</t>
  </si>
  <si>
    <t>BiK81GbK11--05</t>
  </si>
  <si>
    <t>BiK81GbK11y-05</t>
  </si>
  <si>
    <t>BiK81M1bK11-05</t>
  </si>
  <si>
    <t>BiK81M1bK11y05</t>
  </si>
  <si>
    <t>BiK81LbK11--05</t>
  </si>
  <si>
    <t>BiK81LbK11y-05</t>
  </si>
  <si>
    <t>BiK81X1bK11-05</t>
  </si>
  <si>
    <t>BiK81X1bK11y05</t>
  </si>
  <si>
    <t>BiK82K11----05</t>
  </si>
  <si>
    <t>BiK82K11y---05</t>
  </si>
  <si>
    <t>BiK82a1K11--05</t>
  </si>
  <si>
    <t>BiK82a1K11y-05</t>
  </si>
  <si>
    <t>BiK82GK11---05</t>
  </si>
  <si>
    <t>BiK82GK11y--05</t>
  </si>
  <si>
    <t>BiK82M2K11--05</t>
  </si>
  <si>
    <t>BiK82M2K11y-05</t>
  </si>
  <si>
    <t>BiK82LK11---05</t>
  </si>
  <si>
    <t>BiK82LK11y--05</t>
  </si>
  <si>
    <t>BiK82X2K11--05</t>
  </si>
  <si>
    <t>BiK82X2K11y-05</t>
  </si>
  <si>
    <t>BiK82bK11---05</t>
  </si>
  <si>
    <t>BiK82bK11y--05</t>
  </si>
  <si>
    <t>BiK82a1bK11-05</t>
  </si>
  <si>
    <t>BiK82a1bK11y05</t>
  </si>
  <si>
    <t>BiK82GbK11--05</t>
  </si>
  <si>
    <t>BiK82GbK11y-05</t>
  </si>
  <si>
    <t>BiK82M2bK11-05</t>
  </si>
  <si>
    <t>BiK82M2bK11y05</t>
  </si>
  <si>
    <t>BiK82LbK11--05</t>
  </si>
  <si>
    <t>BiK82LbK11y-05</t>
  </si>
  <si>
    <t>BiK82X2bK11-05</t>
  </si>
  <si>
    <t>BiK82X2bK11y05</t>
  </si>
  <si>
    <t>BiK83K11----05</t>
  </si>
  <si>
    <t>BiK83a2K11--05</t>
  </si>
  <si>
    <t>BiK83a3K11--05</t>
  </si>
  <si>
    <t>BiK83bK11---05</t>
  </si>
  <si>
    <t>BiK83a2bK11-05</t>
  </si>
  <si>
    <t>BiK83a3bK11-05</t>
  </si>
  <si>
    <t>BiK84K11----05</t>
  </si>
  <si>
    <t>BiK81K11----06</t>
  </si>
  <si>
    <t>BiK81K11y---06</t>
  </si>
  <si>
    <t>BiK81a1K11--06</t>
  </si>
  <si>
    <t>BiK81a1K11y-06</t>
  </si>
  <si>
    <t>BiK81GK11---06</t>
  </si>
  <si>
    <t>BiK81GK11y--06</t>
  </si>
  <si>
    <t>BiK81M1K11--06</t>
  </si>
  <si>
    <t>BiK81M1K11y-06</t>
  </si>
  <si>
    <t>BiK81LK11---06</t>
  </si>
  <si>
    <t>BiK81LK11y--06</t>
  </si>
  <si>
    <t>BiK81X1K11--06</t>
  </si>
  <si>
    <t>BiK81X1K11y-06</t>
  </si>
  <si>
    <t>BiK81bK11---06</t>
  </si>
  <si>
    <t>BiK81bK11y--06</t>
  </si>
  <si>
    <t>BiK81a1bK11-06</t>
  </si>
  <si>
    <t>BiK81a1bK11y06</t>
  </si>
  <si>
    <t>BiK81GbK11--06</t>
  </si>
  <si>
    <t>BiK81GbK11y-06</t>
  </si>
  <si>
    <t>BiK81M1bK11-06</t>
  </si>
  <si>
    <t>BiK81M1bK11y06</t>
  </si>
  <si>
    <t>BiK271t3a1KB12</t>
  </si>
  <si>
    <t>WaK3922-GSP--0</t>
  </si>
  <si>
    <t>BiK3922-GSP--0</t>
  </si>
  <si>
    <t>WaK33g3-MPM--0</t>
  </si>
  <si>
    <t>BiK33g3-MPM--0</t>
  </si>
  <si>
    <t>Bebauungsplan, Grünflächen (§ 32 Abs. 3 Nr. 3)</t>
  </si>
  <si>
    <t>0-30 kW</t>
  </si>
  <si>
    <t>30-100 kW</t>
  </si>
  <si>
    <t>100 kW-1 MW</t>
  </si>
  <si>
    <t>0-30 kW, selbstverbrauchte Erzeugung</t>
  </si>
  <si>
    <t>0-30 kW, Rückvergütung für Selbstverbrauch</t>
  </si>
  <si>
    <t>0-30 kW, Rückvergütung für Selbstverbrauch bis 30% der Gesamterzeugung der Anlage</t>
  </si>
  <si>
    <t>0-30 kW, Rückvergütung für Selbstverbrauch über 30% der Gesamterzeugung der Anlage</t>
  </si>
  <si>
    <t>30-100 kW, selbstverbrauchte Erzeugung</t>
  </si>
  <si>
    <t>30-100 kW, Rückvergütung für Selbstverbrauch bis 30% der Gesamterzeugung der Anlage</t>
  </si>
  <si>
    <t>30-100 kW, Rückvergütung für Selbstverbrauch über 30% der Gesamterzeugung der Anlage</t>
  </si>
  <si>
    <t>100-500 kW, selbstverbrauchte Erzeugung</t>
  </si>
  <si>
    <t>100-500 kW, Rückvergütung für Selbstverbrauch bis 30% der Gesamterzeugung der Anlage</t>
  </si>
  <si>
    <t>100-500 kW, Rückvergütung für Selbstverbrauch über 30% der Gesamterzeugung der Anlage</t>
  </si>
  <si>
    <t>0-30 kW, Fassadenbonus</t>
  </si>
  <si>
    <t>30-100 kW, Fassadenbonus</t>
  </si>
  <si>
    <t>Freifläche</t>
  </si>
  <si>
    <t>Der Vergütungssatz berechnet sich nach Anlage 5 EEG 2012 aus der Bemessungsleistung der Anlage (während des Kalenderjahrs oder Zeitraums der Inanspruchnahme der Flexibilitätsprämie), der installierten Leistung und der Art des eingesetzten Biogases. Dieser Vergütungssatz ist mit der Menge des während des gleichen Zeitraums nach Marktprämienmodell direkt vermarkteten und tatsächlich eingespeisten Stroms zu multiplizieren.</t>
  </si>
  <si>
    <t>BiK81bK11---07</t>
  </si>
  <si>
    <t>BiK81bK11y--07</t>
  </si>
  <si>
    <t>BiK81a1bK11-07</t>
  </si>
  <si>
    <t>BiK81a1bK11y07</t>
  </si>
  <si>
    <t>BiK81GbK11--07</t>
  </si>
  <si>
    <t>BiK81GbK11y-07</t>
  </si>
  <si>
    <t>BiK81M1bK11-07</t>
  </si>
  <si>
    <t>So-vNNe--SpE07</t>
  </si>
  <si>
    <t>Inbetriebnahme 2009</t>
  </si>
  <si>
    <t>Deponiegas</t>
  </si>
  <si>
    <t>0-0,5 MW</t>
  </si>
  <si>
    <t>0,5-5 MW</t>
  </si>
  <si>
    <t xml:space="preserve">Technologiebonus Gasaufbereitung; </t>
  </si>
  <si>
    <t>Technonogiebonus Innovative Anlagentechnik</t>
  </si>
  <si>
    <t>Klärgas</t>
  </si>
  <si>
    <t>Grubengas</t>
  </si>
  <si>
    <t>0-1 MW</t>
  </si>
  <si>
    <t>1-5 MW</t>
  </si>
  <si>
    <t>0,150-0,5 MW</t>
  </si>
  <si>
    <t>i</t>
  </si>
  <si>
    <t>&lt; 0,5 MW</t>
  </si>
  <si>
    <t>Immissionsbonus</t>
  </si>
  <si>
    <t>Technologiebonus</t>
  </si>
  <si>
    <t>Nawarobonus</t>
  </si>
  <si>
    <t>a1</t>
  </si>
  <si>
    <t>&lt;0,5 MW</t>
  </si>
  <si>
    <t>a2</t>
  </si>
  <si>
    <t>0,5-5 MW; Einschränkung Holz</t>
  </si>
  <si>
    <t>G</t>
  </si>
  <si>
    <t>Nawarobonus_Biogas</t>
  </si>
  <si>
    <t>0-0,5 MW; Landschaftspflege</t>
  </si>
  <si>
    <t xml:space="preserve">&lt;0,5 MW; </t>
  </si>
  <si>
    <t>KWK-Bonus</t>
  </si>
  <si>
    <t>S</t>
  </si>
  <si>
    <t>Repowering, Anfangsvergütung</t>
  </si>
  <si>
    <t>Repowering, Anfangsvergütung, Bonusregel S</t>
  </si>
  <si>
    <t>Offshore, Anfangsvergütung</t>
  </si>
  <si>
    <t>Offshore, Endvergütung</t>
  </si>
  <si>
    <t>Solar/Gebäude</t>
  </si>
  <si>
    <t>Beispiel für die Einordnung einer EEG-Anlage in die zutreffenden EEG-Vergütungskategorien</t>
  </si>
  <si>
    <t>Biomasseanlage, Inbetriebnahme in 2006</t>
  </si>
  <si>
    <t>Berechnung der EEG-Vergütung in 2009:</t>
  </si>
  <si>
    <t>kW</t>
  </si>
  <si>
    <t>1.  Berechnung der Leistung nach § 18 Abs. 2 EEG, die für die Aufteilung in die Vergütungszonen relevant ist ("Bemessungsleistung"):</t>
  </si>
  <si>
    <t>2.  Aufteilung der Stromerzeugung auf die Vergütungskategorien:</t>
  </si>
  <si>
    <t>zu beachten:</t>
  </si>
  <si>
    <t>Vergütungskategorie</t>
  </si>
  <si>
    <t>davon entfallen</t>
  </si>
  <si>
    <t>Vergütungssatz der Vergütungskategorie</t>
  </si>
  <si>
    <t>Die Anlage hat Anspruch auf den allgemeinen NaWaRo-Bonus a1</t>
  </si>
  <si>
    <t>(ct/kWh)</t>
  </si>
  <si>
    <t>kWh</t>
  </si>
  <si>
    <t>h</t>
  </si>
  <si>
    <t>EEG-Strom-Erzeugung in 2009:</t>
  </si>
  <si>
    <t>(kWh)</t>
  </si>
  <si>
    <t>WaK230------10</t>
  </si>
  <si>
    <t>WaK231------10</t>
  </si>
  <si>
    <t>WaK232------10</t>
  </si>
  <si>
    <t>WaK233------10</t>
  </si>
  <si>
    <t>WaK234------10</t>
  </si>
  <si>
    <t>WaK235------10</t>
  </si>
  <si>
    <t>WaK236------10</t>
  </si>
  <si>
    <t>WaK237------10</t>
  </si>
  <si>
    <t>WaK238------10</t>
  </si>
  <si>
    <t>WaK239------10</t>
  </si>
  <si>
    <t>DeK240------10</t>
  </si>
  <si>
    <t>DeK241------10</t>
  </si>
  <si>
    <t>DeK242------10</t>
  </si>
  <si>
    <t>DeK243------10</t>
  </si>
  <si>
    <t>DeK245------10</t>
  </si>
  <si>
    <t>DeK246------10</t>
  </si>
  <si>
    <t>DeK247------10</t>
  </si>
  <si>
    <t>DeK248------10</t>
  </si>
  <si>
    <t>KlK250------10</t>
  </si>
  <si>
    <t>KlK251------10</t>
  </si>
  <si>
    <t>KlK252------10</t>
  </si>
  <si>
    <t>KlK253------10</t>
  </si>
  <si>
    <t>KlK255------10</t>
  </si>
  <si>
    <t>KlK256------10</t>
  </si>
  <si>
    <t>KlK257------10</t>
  </si>
  <si>
    <t>KlK258------10</t>
  </si>
  <si>
    <t>GrK260------10</t>
  </si>
  <si>
    <t>GrK263------10</t>
  </si>
  <si>
    <t>GrK265------10</t>
  </si>
  <si>
    <t>GrK268------10</t>
  </si>
  <si>
    <t>GrK2610-----10</t>
  </si>
  <si>
    <t>GeK280------10</t>
  </si>
  <si>
    <t>GeK280W-----10</t>
  </si>
  <si>
    <t>GeK280P-----10</t>
  </si>
  <si>
    <t>GeK280WP----10</t>
  </si>
  <si>
    <t>GeK281------10</t>
  </si>
  <si>
    <t>Vergütungsberechnung für Geothermieanlagen mit Inbetriebnahme ab 01.01.2009</t>
  </si>
  <si>
    <t>Vergütungsberechnung für Deponiegasanlagen mit Inbetriebnahme ab 01.01.2009</t>
  </si>
  <si>
    <t>Degressionssatz</t>
  </si>
  <si>
    <t>Vergütungsberechnung für Klärgasanlagen mit Inbetriebnahme ab 01.01.2009</t>
  </si>
  <si>
    <t>Grund-
vergütg. § 25 EEG 2009</t>
  </si>
  <si>
    <t>Grund-
vergütg. § 24 EEG 2009</t>
  </si>
  <si>
    <t>Vergütungsberechnung für Grubengasanlagen mit Inbetriebnahme ab 01.01.2009</t>
  </si>
  <si>
    <t>Grund-
vergütg. § 26 EEG 2009</t>
  </si>
  <si>
    <t>Grund-
vergütg. § 28 EEG 2009</t>
  </si>
  <si>
    <t>Bonushöhe bei Inbetriebnahme in 2010</t>
  </si>
  <si>
    <t>Vergütungsberechnung für Windenergieanlagen onshore mit Inbetriebnahme ab 01.01.2009</t>
  </si>
  <si>
    <t>Grund-
vergütg. § 29 EEG 2009</t>
  </si>
  <si>
    <t>IB in 2009</t>
  </si>
  <si>
    <t>IB in 2010</t>
  </si>
  <si>
    <t>IB in 2011</t>
  </si>
  <si>
    <t>1,98 (Biom.)
1,97 (Gase)</t>
  </si>
  <si>
    <t>1,96 (Biom.)
1,94 (Gase)</t>
  </si>
  <si>
    <t>0,98 (Biom.)
0,97 (Gase)</t>
  </si>
  <si>
    <t>Degression gegenüber IB von Okt-Dez 2010; gültig bei Inbetriebnahme ab 01.01.2011 bis 31.08.2011 für Freiflächenanlagen</t>
  </si>
  <si>
    <t>Degression gegenüber IB von Okt-Dez 2010; gültig bei Inbetriebnahme ab 01.01.2011 bis 31.08.2011 für Freiflächenanlagen auf versiegelten oder Konversionsflächen</t>
  </si>
  <si>
    <t>Degression gegenüber IB von Okt-Dez 2010; für Vergütungssätze nach § 33 Abs. 1 Nr. 1 EEG gültig bei Inbetriebnahme ab 01.01.2011 bis 30.06.2011</t>
  </si>
  <si>
    <t>Degression gegenüber IB von Okt-Dez 2010; für Vergütungssätze nach § 33 Abs. 1 Nr. 2 EEG gültig bei Inbetriebnahme ab 01.01.2011 bis 30.06.2011</t>
  </si>
  <si>
    <t>Degression gegenüber IB von Okt-Dez 2010; für Vergütungssätze nach § 33 Abs. 1 Nr. 3 EEG gültig bei Inbetriebnahme ab 01.01.2011 bis 30.06.2011</t>
  </si>
  <si>
    <t>Degression gegenüber IB von Okt-Dez 2010; für Vergütungssätze nach § 33 Abs. 1 Nr. 4 EEG gültig bei Inbetriebnahme ab 01.01.2011 bis 30.06.2011</t>
  </si>
  <si>
    <t xml:space="preserve"> 0-5 MW, Bonusregel W</t>
  </si>
  <si>
    <t xml:space="preserve"> 0-5 MW, Bonusregel P</t>
  </si>
  <si>
    <t xml:space="preserve"> 0-5 MW, Bonusregeln W, P</t>
  </si>
  <si>
    <t>Wärmenutzungsbonus</t>
  </si>
  <si>
    <t>W</t>
  </si>
  <si>
    <t>0-0,5 MW, Bonusregel t1</t>
  </si>
  <si>
    <t>0-0,5 MW, Bonusregel t2</t>
  </si>
  <si>
    <t>BiK52aa3K09-01</t>
  </si>
  <si>
    <r>
      <t>Biogas</t>
    </r>
    <r>
      <rPr>
        <sz val="8"/>
        <rFont val="Arial"/>
        <family val="2"/>
      </rPr>
      <t>: Gülle-Bo</t>
    </r>
    <r>
      <rPr>
        <sz val="8"/>
        <rFont val="Arial"/>
        <family val="2"/>
      </rPr>
      <t xml:space="preserve">nus 30 </t>
    </r>
    <r>
      <rPr>
        <b/>
        <sz val="8"/>
        <rFont val="Arial"/>
        <family val="2"/>
      </rPr>
      <t>M</t>
    </r>
    <r>
      <rPr>
        <sz val="8"/>
        <rFont val="Arial"/>
        <family val="2"/>
      </rPr>
      <t>asse% bis 150 kW</t>
    </r>
  </si>
  <si>
    <r>
      <t>Biogas</t>
    </r>
    <r>
      <rPr>
        <sz val="8"/>
        <rFont val="Arial"/>
        <family val="2"/>
      </rPr>
      <t xml:space="preserve">: Gülle-Bonus 30 </t>
    </r>
    <r>
      <rPr>
        <b/>
        <sz val="8"/>
        <rFont val="Arial"/>
        <family val="2"/>
      </rPr>
      <t>M</t>
    </r>
    <r>
      <rPr>
        <sz val="8"/>
        <rFont val="Arial"/>
        <family val="2"/>
      </rPr>
      <t>asse% 150 bis 500 kW</t>
    </r>
  </si>
  <si>
    <r>
      <t>Biogas</t>
    </r>
    <r>
      <rPr>
        <sz val="8"/>
        <rFont val="Arial"/>
        <family val="2"/>
      </rPr>
      <t xml:space="preserve">: </t>
    </r>
    <r>
      <rPr>
        <b/>
        <sz val="8"/>
        <rFont val="Arial"/>
        <family val="2"/>
      </rPr>
      <t>L</t>
    </r>
    <r>
      <rPr>
        <sz val="8"/>
        <rFont val="Arial"/>
        <family val="2"/>
      </rPr>
      <t>a</t>
    </r>
    <r>
      <rPr>
        <sz val="8"/>
        <rFont val="Arial"/>
        <family val="2"/>
      </rPr>
      <t>ndsch.pflege-Bonus bis 500 kW</t>
    </r>
  </si>
  <si>
    <t>WiK71aS-----02</t>
  </si>
  <si>
    <t>WiK72aS-----02</t>
  </si>
  <si>
    <t>WiK71aS-----03</t>
  </si>
  <si>
    <t>WiK72aS-----03</t>
  </si>
  <si>
    <t>WiK71aS-----04</t>
  </si>
  <si>
    <t>WiK72aS-----04</t>
  </si>
  <si>
    <t>Anfangsvergütung, Bonusregel S</t>
  </si>
  <si>
    <t>Endvergütung, Bonusregel S</t>
  </si>
  <si>
    <t>WiK101S-----04</t>
  </si>
  <si>
    <t>WiK102S-----04</t>
  </si>
  <si>
    <t>WiK101S-----05</t>
  </si>
  <si>
    <t>WiK102S-----05</t>
  </si>
  <si>
    <t>WiK101S-----06</t>
  </si>
  <si>
    <t>WiK102S-----06</t>
  </si>
  <si>
    <t>WiK101S-----07</t>
  </si>
  <si>
    <t>WiK102S-----07</t>
  </si>
  <si>
    <t>WiK101S-----08</t>
  </si>
  <si>
    <t>Inbetriebnahme 2008</t>
  </si>
  <si>
    <t>WaK62-------08</t>
  </si>
  <si>
    <t>WaK63-------08</t>
  </si>
  <si>
    <t>WaK64-------08</t>
  </si>
  <si>
    <t>WaK65-------08</t>
  </si>
  <si>
    <t>WaK66-------08</t>
  </si>
  <si>
    <t>WaK67-------08</t>
  </si>
  <si>
    <t>BiK51a------01</t>
  </si>
  <si>
    <t>Biomasse</t>
  </si>
  <si>
    <t>BiK51aa1----01</t>
  </si>
  <si>
    <t>BiK52a------01</t>
  </si>
  <si>
    <t>BiK81bK09---06</t>
  </si>
  <si>
    <t>BiK81a1bK09-06</t>
  </si>
  <si>
    <t>BiK82K09----06</t>
  </si>
  <si>
    <t>0,150-0,5 MW, Bonusregeln G, K</t>
  </si>
  <si>
    <t>0,150-0,5 MW, Bonusregeln M2, K</t>
  </si>
  <si>
    <t>0,150-0,5 MW, Bonusregeln L, K</t>
  </si>
  <si>
    <t>0,150-0,5 MW, Bonusregeln G, i, K</t>
  </si>
  <si>
    <t>0,150-0,5 MW, Bonusregeln M2, i, K</t>
  </si>
  <si>
    <t>0,150-0,5 MW, Bonusregeln L, i, K</t>
  </si>
  <si>
    <t>0,150-0,5 MW, Bonusregeln t1, a1, K</t>
  </si>
  <si>
    <t>0,5-5 MW, Bonusregeln t1, a2, K</t>
  </si>
  <si>
    <t>0,5-5 MW, Bonusregeln t1, ah, K</t>
  </si>
  <si>
    <t>0,150-0,5 MW, Bonusregeln t1, G, K</t>
  </si>
  <si>
    <t>0,150-0,5 MW, Bonusregeln t1, L, K</t>
  </si>
  <si>
    <t>0,150-0,5 MW, Bonusregeln t1, X2, K</t>
  </si>
  <si>
    <t>0,150-0,5 MW, Bonusregeln t1, G, i, K</t>
  </si>
  <si>
    <t>0,150-0,5 MW, Bonusregeln t1, L, i, K</t>
  </si>
  <si>
    <t>0,150-0,5 MW, Bonusregeln t1, X2, i, K</t>
  </si>
  <si>
    <t>0,150-0,5 MW, Bonusregeln t2, a1, K</t>
  </si>
  <si>
    <t>0,5-5 MW, Bonusregeln t2, a2, K</t>
  </si>
  <si>
    <t>0,150-0,5 MW, Bonusregeln t2, M2, K</t>
  </si>
  <si>
    <t>0,150-0,5 MW, Bonusregeln t3, M2, K</t>
  </si>
  <si>
    <t>0,150-0,5 MW, Bonusregeln t3, M2, i, K</t>
  </si>
  <si>
    <t>WaK231------09</t>
  </si>
  <si>
    <t>WaK232------09</t>
  </si>
  <si>
    <t>WaK233------09</t>
  </si>
  <si>
    <t>WaK234------09</t>
  </si>
  <si>
    <t>WaK235------09</t>
  </si>
  <si>
    <t>WaK236------09</t>
  </si>
  <si>
    <t>WaK237------09</t>
  </si>
  <si>
    <t>WaK238------09</t>
  </si>
  <si>
    <t>WaK239------09</t>
  </si>
  <si>
    <t>WaK230------09</t>
  </si>
  <si>
    <t>DeK240------09</t>
  </si>
  <si>
    <t>DeK241------09</t>
  </si>
  <si>
    <t>DeK242------09</t>
  </si>
  <si>
    <t>DeK245------09</t>
  </si>
  <si>
    <t>DeK246------09</t>
  </si>
  <si>
    <t>DeK247------09</t>
  </si>
  <si>
    <t>KlK250------09</t>
  </si>
  <si>
    <t>KlK251------09</t>
  </si>
  <si>
    <t>KlK252------09</t>
  </si>
  <si>
    <t>KlK255------09</t>
  </si>
  <si>
    <t>KlK256------09</t>
  </si>
  <si>
    <t>KlK257------09</t>
  </si>
  <si>
    <t>ct/kWh</t>
  </si>
  <si>
    <t>BiK270t1X1K-10</t>
  </si>
  <si>
    <t>BiK270t1X1i-10</t>
  </si>
  <si>
    <t>BiK270t1X1iK10</t>
  </si>
  <si>
    <t>BiK270t2----10</t>
  </si>
  <si>
    <t>BiK270t2K---10</t>
  </si>
  <si>
    <t>BiK270t2i---10</t>
  </si>
  <si>
    <t>BiK82M2KWKy-08</t>
  </si>
  <si>
    <t>BiK82M2KA3y-08</t>
  </si>
  <si>
    <t>BiK82M2K09y-08</t>
  </si>
  <si>
    <t>BiK82X2-----08</t>
  </si>
  <si>
    <t>BiK82X2KWK--08</t>
  </si>
  <si>
    <t>BiK82X2KA3--08</t>
  </si>
  <si>
    <t>BiK82X2K09--08</t>
  </si>
  <si>
    <t>BiK82X2y----08</t>
  </si>
  <si>
    <t>Ergänzung der Vergütungssätze der Vergütungskategorien für PV-Anlagen mit Inbetriebnahme Januar bis März 2015</t>
  </si>
  <si>
    <t>BiK81GbK13y-05</t>
  </si>
  <si>
    <t>BiK82GbK13y-05</t>
  </si>
  <si>
    <t>Ergänzung der Vergütungssätze der Vergütungskategorien für PV-Anlagen mit Inbetriebnahme April bis Juni 2015
Ergänzung von Vergütungskategorien Biomasse Inbetriebnahme 2006 für Erfüllung Bonusregel K erstmals 2014</t>
  </si>
  <si>
    <t>BiK82M2K14--06</t>
  </si>
  <si>
    <t>BiK81M1K14--06</t>
  </si>
  <si>
    <t>BiK81M1bK13y06</t>
  </si>
  <si>
    <t>BiK82M2bK13y06</t>
  </si>
  <si>
    <t>Ergänzung von Vergütungskategorien Biomasse Inbetriebnahme 2006 für Erfüllung Bonusregel K erstmals 2013
Ergänzung von Vergütungskategorien Biomasse Inbetriebnahme 2004 für Erfüllung Bonusregel K erstmals 2014</t>
  </si>
  <si>
    <t>BiK82M2K14y-04</t>
  </si>
  <si>
    <t>BiK81M1K14y-04</t>
  </si>
  <si>
    <t>BiK51nM1K14-01</t>
  </si>
  <si>
    <t>BiK81M1K15--07</t>
  </si>
  <si>
    <t>BiK82M2K15--07</t>
  </si>
  <si>
    <t>Anteil KWK, erstmals 2015</t>
  </si>
  <si>
    <t>Nicht-Gebäudeanlage 0 - 10 MW</t>
  </si>
  <si>
    <t>BiK81M1bK13y07</t>
  </si>
  <si>
    <t>BiK82M2bK13y07</t>
  </si>
  <si>
    <t>Ergänzung von Vergütungskategorien Biomasse Inbetriebnahme 2007 für Erfüllung Bonusregel K erstmals 2013</t>
  </si>
  <si>
    <r>
      <t xml:space="preserve">Ergänzung der Vergütungssätze für PV-Anlagen mit Inbetriebnahme Juli bis September 2015
Ergänzung von Vergütungskategorien Biomasse Inbetriebnahme 2001 für Erfüllung Bonusregel K erstmals 2014
Ergänzung von Vergütungskategorien Biomasse Inbetriebnahme 2007 für Erfüllung Bonusregel K erstmals 2015
Anpassung des Beschreibungstextes "Weitere Kriterien" für Kategorien </t>
    </r>
    <r>
      <rPr>
        <sz val="11"/>
        <color indexed="8"/>
        <rFont val="Courier New"/>
        <family val="3"/>
      </rPr>
      <t>SoK511---Sep15</t>
    </r>
    <r>
      <rPr>
        <sz val="11"/>
        <color theme="1"/>
        <rFont val="Calibri"/>
        <family val="2"/>
        <scheme val="minor"/>
      </rPr>
      <t xml:space="preserve"> und folgende</t>
    </r>
  </si>
  <si>
    <t>BiK81K14----05</t>
  </si>
  <si>
    <t>BiK82K14----05</t>
  </si>
  <si>
    <t>BiK83K14----05</t>
  </si>
  <si>
    <t>BiK83a2K13--08</t>
  </si>
  <si>
    <t>BiK82M2K13y-08</t>
  </si>
  <si>
    <t>BiK81M1K13y-08</t>
  </si>
  <si>
    <t>Inbetriebnahme ab 09/2015</t>
  </si>
  <si>
    <t>BiK81M1K15y-04</t>
  </si>
  <si>
    <t>BiK82M2K15y-04</t>
  </si>
  <si>
    <t>Gesamt-</t>
  </si>
  <si>
    <t>vergütg.</t>
  </si>
  <si>
    <t>§ 31 EEG 2012</t>
  </si>
  <si>
    <t>Grundvergütg.</t>
  </si>
  <si>
    <t>55 für Solar-Freiflächenanlagen (Ausschreibungsverfahren, Inbetriebnahme ab 01.09.2015)</t>
  </si>
  <si>
    <t>Ergänzung der Vergütungssätze für PV-Anlagen mit Inbetriebnahme Oktober bis Dezember 2015
Ergänzung von Vergütungskategorien Biomasse Inbetriebnahme 2008 für Erfüllung Bonusregel K erstmals 2013
Ergänzung von Vergütungskategorien Biomasse Inbetriebnahme 2005 für Erfüllung Bonusregel K erstmals 2014
Ergänzung von Vergütungskategorien Biomasse Inbetriebnahme 2004 für Erfüllung Bonusregel K erstmals 2015
Ergänzung von Vergütungskategorien für Solar-Freiflächen-Anlagen (Ausschreibungsmodell)
Präzisierung der Anwendungsfälle für Kategorien '-kVG-'</t>
  </si>
  <si>
    <t>SoK55-------AS</t>
  </si>
  <si>
    <t>WaK400------16</t>
  </si>
  <si>
    <t>Inbetriebnahme 2016</t>
  </si>
  <si>
    <t>WaK401------16</t>
  </si>
  <si>
    <t>WaK402------16</t>
  </si>
  <si>
    <t>WaK403------16</t>
  </si>
  <si>
    <t>WaK404------16</t>
  </si>
  <si>
    <t>WaK405------16</t>
  </si>
  <si>
    <t>WaK406------16</t>
  </si>
  <si>
    <t>WaK400M-----16</t>
  </si>
  <si>
    <t>WaK401M-----16</t>
  </si>
  <si>
    <t>WaK402M-----16</t>
  </si>
  <si>
    <t>WaK403M-----16</t>
  </si>
  <si>
    <t>WaK404M-----16</t>
  </si>
  <si>
    <t>WaK405M-----16</t>
  </si>
  <si>
    <t>WaK406M-----16</t>
  </si>
  <si>
    <t>0-0,5 MW, IB vor 01.01.2009, Modernisierung 2016</t>
  </si>
  <si>
    <t>0,5-2 MW, IB vor 01.01.2009, Modernisierung 2016</t>
  </si>
  <si>
    <t>2-5 MW, IB vor 01.01.2009, Modernisierung 2016</t>
  </si>
  <si>
    <t>5-10 MW, IB vor 01.01.2009, Modernisierung 2016</t>
  </si>
  <si>
    <t>10-20 MW, IB vor 01.01.2009, Modernisierung 2016</t>
  </si>
  <si>
    <t>20-50 MW, IB vor 01.01.2009, Modernisierung 2016</t>
  </si>
  <si>
    <t>&gt; 50 MW, IB vor 01.01.2009, Modernisierung 2016</t>
  </si>
  <si>
    <t>DeK410------16</t>
  </si>
  <si>
    <t>DeK411------16</t>
  </si>
  <si>
    <t>KlK420------16</t>
  </si>
  <si>
    <t>KlK421------16</t>
  </si>
  <si>
    <t>GrK430------16</t>
  </si>
  <si>
    <t>GrK431------16</t>
  </si>
  <si>
    <t>GrK432------16</t>
  </si>
  <si>
    <t>GeK480------16</t>
  </si>
  <si>
    <t>Inbetriebnahme 01-03/2016</t>
  </si>
  <si>
    <t>BiK440----Q116</t>
  </si>
  <si>
    <t>BiK441----Q116</t>
  </si>
  <si>
    <t>BiK442----Q116</t>
  </si>
  <si>
    <t>BiK443----Q116</t>
  </si>
  <si>
    <t>Quartal</t>
  </si>
  <si>
    <t>BiK440----Q216</t>
  </si>
  <si>
    <t>BiK441----Q216</t>
  </si>
  <si>
    <t>BiK442----Q216</t>
  </si>
  <si>
    <t>BiK443----Q216</t>
  </si>
  <si>
    <t>BiK440----Q316</t>
  </si>
  <si>
    <t>BiK441----Q316</t>
  </si>
  <si>
    <t>BiK442----Q316</t>
  </si>
  <si>
    <t>BiK443----Q316</t>
  </si>
  <si>
    <t>BiK440----Q416</t>
  </si>
  <si>
    <t>BiK441----Q416</t>
  </si>
  <si>
    <t>BiK442----Q416</t>
  </si>
  <si>
    <t>BiK443----Q416</t>
  </si>
  <si>
    <t>Inbetriebnahme 04-06/2016</t>
  </si>
  <si>
    <t>Inbetriebnahme 07-09/2016</t>
  </si>
  <si>
    <t>Inbetriebnahme 10-12/2016</t>
  </si>
  <si>
    <t>BiK450----Q116</t>
  </si>
  <si>
    <t>BiK451----Q116</t>
  </si>
  <si>
    <t>BiK450----Q216</t>
  </si>
  <si>
    <t>BiK451----Q216</t>
  </si>
  <si>
    <t>BiK450----Q316</t>
  </si>
  <si>
    <t>BiK451----Q316</t>
  </si>
  <si>
    <t>BiK450----Q416</t>
  </si>
  <si>
    <t>BiK451----Q416</t>
  </si>
  <si>
    <t>BiK460----Q116</t>
  </si>
  <si>
    <t>BiK460----Q216</t>
  </si>
  <si>
    <t>BiK460----Q316</t>
  </si>
  <si>
    <t>BiK460----Q416</t>
  </si>
  <si>
    <t>WfK500------16</t>
  </si>
  <si>
    <t>WfK501------16</t>
  </si>
  <si>
    <t>WfK502------16</t>
  </si>
  <si>
    <t>WnK490----Q116</t>
  </si>
  <si>
    <t>WnK491----Q116</t>
  </si>
  <si>
    <t>WnK490----Q216</t>
  </si>
  <si>
    <t>WnK491----Q216</t>
  </si>
  <si>
    <t>WnK490----Q316</t>
  </si>
  <si>
    <t>WnK491----Q316</t>
  </si>
  <si>
    <t>WnK490----Q416</t>
  </si>
  <si>
    <t>WnK491----Q416</t>
  </si>
  <si>
    <t>Jan16</t>
  </si>
  <si>
    <t>SgK5120--Jan16</t>
  </si>
  <si>
    <t>SgK5120--Feb16</t>
  </si>
  <si>
    <t>SgK5120--Mrz16</t>
  </si>
  <si>
    <t>SgK5120--Apr16</t>
  </si>
  <si>
    <t>SgK5120--Mai16</t>
  </si>
  <si>
    <t>SgK5120--Jun16</t>
  </si>
  <si>
    <t>SgK5120--Jul16</t>
  </si>
  <si>
    <t>SgK5120--Aug16</t>
  </si>
  <si>
    <t>SgK5120--Sep16</t>
  </si>
  <si>
    <t>SgK5120--Okt16</t>
  </si>
  <si>
    <t>SgK5120--Nov16</t>
  </si>
  <si>
    <t>SgK5120--Dez16</t>
  </si>
  <si>
    <t>SoK511---Jan16</t>
  </si>
  <si>
    <t>Inbetriebnahme 01/2016</t>
  </si>
  <si>
    <t>SoK511---Feb16</t>
  </si>
  <si>
    <t>Inbetriebnahme 02/2016</t>
  </si>
  <si>
    <t>SoK511---Mrz16</t>
  </si>
  <si>
    <t>Inbetriebnahme 03/2016</t>
  </si>
  <si>
    <t>SoK511---Apr16</t>
  </si>
  <si>
    <t>Inbetriebnahme 04/2016</t>
  </si>
  <si>
    <t>SoK511---Mai16</t>
  </si>
  <si>
    <t>Inbetriebnahme 05/2016</t>
  </si>
  <si>
    <t>SoK511---Jun16</t>
  </si>
  <si>
    <t>Inbetriebnahme 06/2016</t>
  </si>
  <si>
    <t>SoK511---Jul16</t>
  </si>
  <si>
    <t>Inbetriebnahme 07/2016</t>
  </si>
  <si>
    <t>SoK511---Aug16</t>
  </si>
  <si>
    <t>Inbetriebnahme 08/2016</t>
  </si>
  <si>
    <t>SoK511---Sep16</t>
  </si>
  <si>
    <t>Inbetriebnahme 09/2016</t>
  </si>
  <si>
    <t>SoK511---Okt16</t>
  </si>
  <si>
    <t>Inbetriebnahme 10/2016</t>
  </si>
  <si>
    <t>SoK511---Nov16</t>
  </si>
  <si>
    <t>Inbetriebnahme 11/2016</t>
  </si>
  <si>
    <t>SoK511---Dez16</t>
  </si>
  <si>
    <t>Inbetriebnahme 12/2016</t>
  </si>
  <si>
    <t>Vergütungskategorie 2014/2015/2016 ist neu nach EEG 2014</t>
  </si>
  <si>
    <t>Q1</t>
  </si>
  <si>
    <t>Q2</t>
  </si>
  <si>
    <t>Q3</t>
  </si>
  <si>
    <t>Q4</t>
  </si>
  <si>
    <t>BiK51nM1K15y03</t>
  </si>
  <si>
    <t>BiK51aM2K15y03</t>
  </si>
  <si>
    <t>Ergänzung Vergütungskategorien für 2016
Ergänzung von Vergütungskategorien Biomasse Inbetriebnahme 2003 für Erfüllung Bonusregel K erstmals 2015</t>
  </si>
  <si>
    <t>ab 5 MW inst. Leistung nur Anteil der Leistungserhöhung</t>
  </si>
  <si>
    <t>Modernisierung 2015</t>
  </si>
  <si>
    <t>Modernisierung 2016</t>
  </si>
  <si>
    <t>Ergänzung der Kategorien für § 24 EEG 2014 (6-h-Regel negativer Börsenstrompreise)</t>
  </si>
  <si>
    <t>WaK24----AV--0</t>
  </si>
  <si>
    <t>BiK24----AV--0</t>
  </si>
  <si>
    <t>DeK24----AV--0</t>
  </si>
  <si>
    <t>KlK24----AV--0</t>
  </si>
  <si>
    <t>GrK24----AV--0</t>
  </si>
  <si>
    <t>GeK24----AV--0</t>
  </si>
  <si>
    <t>WnK24----AV--0</t>
  </si>
  <si>
    <t>WfK24----AV--0</t>
  </si>
  <si>
    <t>SoK24----AV--0</t>
  </si>
  <si>
    <t>SgK24----AV--0</t>
  </si>
  <si>
    <t>BiK51nK15---03</t>
  </si>
  <si>
    <t>BiK51aK15---03</t>
  </si>
  <si>
    <t>Ergänzung der vergütungssätze für PV-Anlagen mit Inbetriebnahme Januar bis März 2016</t>
  </si>
  <si>
    <t>BiK51nM1K13-02</t>
  </si>
  <si>
    <t>BiK51aM2K13-02</t>
  </si>
  <si>
    <t>BiK51nM1K13-03</t>
  </si>
  <si>
    <t>BiK51aM2K13-03</t>
  </si>
  <si>
    <t>BiK81GbK15y-06</t>
  </si>
  <si>
    <t>BiK82GbK15y-06</t>
  </si>
  <si>
    <t>BiK83a2bK15-06</t>
  </si>
  <si>
    <t>BiK81M1K15y-07</t>
  </si>
  <si>
    <t>BiK81M1bK15y07</t>
  </si>
  <si>
    <t>BiK82M2K15y-07</t>
  </si>
  <si>
    <t>BiK82M2bK15y07</t>
  </si>
  <si>
    <t>Ergänzung von Vergütungskategorien Biomasse Inbetriebnahme 2002 für Erfüllung Bonusregel K erstmals 2013
Ergänzung von Vergütungskategorien Biomasse Inbetriebnahme 2003 für Erfüllung Bonusregel K erstmals 2013
Ergänzung von Vergütungskategorien Biomasse Inbetriebnahme 2003 für Erfüllung Bonusregel K erstmals 2015
Ergänzung von Vergütungskategorien Biomasse Inbetriebnahme 2006 für Erfüllung Bonusregel K erstmals 2015
Ergänzung von Vergütungskategorien Biomasse Inbetriebnahme 2007 für Erfüllung Bonusregel K erstmals 2015
Ergänzung der vergütungssätze für Biomasse- und Windenergie-Anlagen mit Inbetriebnahme Juli bis September 2016
Ergänzung der vergütungssätze für PV-Anlagen mit Inbetriebnahme April bis Juni 2016</t>
  </si>
  <si>
    <t>BiK81M1bK13y04</t>
  </si>
  <si>
    <t>BiK82M2bK13y04</t>
  </si>
  <si>
    <t>BiK83K15----04</t>
  </si>
  <si>
    <t>BiK51nM1K15-02</t>
  </si>
  <si>
    <t>BiK51aM2K15-02</t>
  </si>
  <si>
    <t>Ergänzung von Vergütungskategorien Biomasse Inbetriebnahme 2004 für Erfüllung Bonusregel K erstmals 2013
Ergänzung von Vergütungskategorien Biomasse Inbetriebnahme 2002 für Erfüllung Bonusregel K erstmals 2015
Ergänzung von Vergütungskategorien Biomasse Inbetriebnahme 2004 für Erfüllung Bonusregel K erstmals 2015
Korrektur der Ausfallvermarktung für die Kategorien BiK51nK13y--01, BiK51aK13y--01, BiK81GbK13y-05 und BiK82GbK13y-05</t>
  </si>
  <si>
    <t>BiK51nM1K15-01</t>
  </si>
  <si>
    <t>BiK51aM2K15-01</t>
  </si>
  <si>
    <t>hellgrau</t>
  </si>
  <si>
    <t>Vergütungskategorien, die ab dem 01.10.2016 in die Liste aufgenommen werden. Aufgrund der Einführung eines Datums zur Aufnahme neuer Kategorien, erfolgt zukünftig keine weitere Farbunterscheidung.</t>
  </si>
  <si>
    <t>vor dem 01.10.2016</t>
  </si>
  <si>
    <t>BiK51nM1K16-02</t>
  </si>
  <si>
    <t>Anteil KWK, erstmals 2016</t>
  </si>
  <si>
    <t>BiK81M1K16--06</t>
  </si>
  <si>
    <t>BiK82M2K16--06</t>
  </si>
  <si>
    <t>BiK81M1K14y-06</t>
  </si>
  <si>
    <t>BiK82M2K14y-06</t>
  </si>
  <si>
    <t>0-0,15 MW, Bonusregeln M1, y und K erstmals 2014</t>
  </si>
  <si>
    <t>0,15-0,5 MW, Bonusregeln M2, y und K erstmals 2014</t>
  </si>
  <si>
    <t>7. Kategorien für vermiedene Netznutzungsentgelte</t>
  </si>
  <si>
    <t>WaK53b-------0</t>
  </si>
  <si>
    <t>BiK53b-------0</t>
  </si>
  <si>
    <t>GaK53b-------0</t>
  </si>
  <si>
    <t>DeK53b-------0</t>
  </si>
  <si>
    <t>KlK53b-------0</t>
  </si>
  <si>
    <t>GrK53b-------0</t>
  </si>
  <si>
    <t>GeK53b-------0</t>
  </si>
  <si>
    <t>WiK53b-------0</t>
  </si>
  <si>
    <t>WnK53b-------0</t>
  </si>
  <si>
    <t>WrK53b-------0</t>
  </si>
  <si>
    <t>WfK53b-------0</t>
  </si>
  <si>
    <t>SoK53b-------0</t>
  </si>
  <si>
    <t>SgK53b-------0</t>
  </si>
  <si>
    <t>Datum an dem die jeweilige Kategorie in die vorliegende Liste aufgenommen oder geändert wurde</t>
  </si>
  <si>
    <t xml:space="preserve">Entfall oder Verzicht auf Vergütungsanspruch </t>
  </si>
  <si>
    <t>Entfall oder Verzicht auf Marktprämie</t>
  </si>
  <si>
    <t>Entfall oder Verzicht auf Vergütungsanspruch</t>
  </si>
  <si>
    <t>WaK53b--MPM-VZ</t>
  </si>
  <si>
    <t>BiK53b--MPM-VZ</t>
  </si>
  <si>
    <t>GaK53b--MPM-VZ</t>
  </si>
  <si>
    <t>DeK53b--MPM-VZ</t>
  </si>
  <si>
    <t>KlK53b--MPM-VZ</t>
  </si>
  <si>
    <t>GrK53b--MPM-VZ</t>
  </si>
  <si>
    <t>GeK53b--MPM-VZ</t>
  </si>
  <si>
    <t>WiK53b--MPM-VZ</t>
  </si>
  <si>
    <t>WnK53b--MPM-VZ</t>
  </si>
  <si>
    <t>WrK53b--MPM-VZ</t>
  </si>
  <si>
    <t>WfK53b--MPM-VZ</t>
  </si>
  <si>
    <t>SoK53b--MPM-VZ</t>
  </si>
  <si>
    <t>SgK53b--MPM-VZ</t>
  </si>
  <si>
    <t xml:space="preserve">Ergänzung einer Spalte mit Angabe des Datum zu dem eine Kategorie in die Liste aufgenommen oder geändert wurde (nur für neue Kategorien).
Ergänzung von Vergütungskategorien Biomasse Inbetriebnahme 2006 für Erfüllung Bonusregel K erstmals 2014
Ergänzung von Vergütungskategorien Biomasse Inbetriebnahme 2002 für Erfüllung Bonusregel K erstmals 2016
Ergänzung von Vergütungskategorien Biomasse Inbetriebnahme 2006 für Erfüllung Bonusregel K erstmals 2016
Ergänzung der Vergütungssätze für PV-Anlagen mit Inbetriebnahme Oktober bis Dezember 2016
Ergänzung von Kategorien für die Verringerung des anzulegenden Wertes aufgrund einer Inanspruchnahme von Regonalnachweise (nach EEG 2017)
</t>
  </si>
  <si>
    <t>Grundlegende Änderungen durch das EEG 2017</t>
  </si>
  <si>
    <t>Grundlegende Änderungen durch das EEG 2014</t>
  </si>
  <si>
    <t xml:space="preserve">Sofern der anzulegende Wert einer Anlage durch Ausschreibungen ermittelt wurde, ist es vorgesehen die entsprechende Menge über eine energieträgerspezifische Sammelkategorie zu melden. </t>
  </si>
  <si>
    <t>Freiflächenanlagen 0 - 10 MW, bezuschlagt in einem Ausschreibungsverfahren nach EEG 2014</t>
  </si>
  <si>
    <t>BiK22-------AS</t>
  </si>
  <si>
    <t>WnK22-------AS</t>
  </si>
  <si>
    <t>WfK22-------AS</t>
  </si>
  <si>
    <t>SoK22-------AS</t>
  </si>
  <si>
    <t>Inbetriebnahme ab 01/2017</t>
  </si>
  <si>
    <t>SgK22-------AS</t>
  </si>
  <si>
    <t>§ 40 Abs. 1 EEG 2017</t>
  </si>
  <si>
    <t>§ 40 Abs. 2 EEG 2017</t>
  </si>
  <si>
    <t>i. V.m. § 53</t>
  </si>
  <si>
    <t>0-0,5 MW, IB vor 01.01.2009, Modernisierung 2017</t>
  </si>
  <si>
    <t>0,5-2 MW, IB vor 01.01.2009, Modernisierung 2017</t>
  </si>
  <si>
    <t>2-5 MW, IB vor 01.01.2009, Modernisierung 2017</t>
  </si>
  <si>
    <t>5-10 MW, IB vor 01.01.2009, Modernisierung 2017</t>
  </si>
  <si>
    <t>10-20 MW, IB vor 01.01.2009, Modernisierung 2017</t>
  </si>
  <si>
    <t>20-50 MW, IB vor 01.01.2009, Modernisierung 2017</t>
  </si>
  <si>
    <t>&gt; 50 MW, IB vor 01.01.2009, Modernisierung 2017</t>
  </si>
  <si>
    <t>Modernisierung 2017</t>
  </si>
  <si>
    <t>Inbetriebnahme 2017</t>
  </si>
  <si>
    <t>WaK400------17</t>
  </si>
  <si>
    <t>WaK401------17</t>
  </si>
  <si>
    <t>WaK402------17</t>
  </si>
  <si>
    <t>WaK403------17</t>
  </si>
  <si>
    <t>WaK404------17</t>
  </si>
  <si>
    <t>WaK405------17</t>
  </si>
  <si>
    <t>WaK406------17</t>
  </si>
  <si>
    <t>WaK400M-----17</t>
  </si>
  <si>
    <t>WaK401M-----17</t>
  </si>
  <si>
    <t>WaK402M-----17</t>
  </si>
  <si>
    <t>WaK403M-----17</t>
  </si>
  <si>
    <t>WaK404M-----17</t>
  </si>
  <si>
    <t>WaK405M-----17</t>
  </si>
  <si>
    <t>WaK406M-----17</t>
  </si>
  <si>
    <t>i.V.m. § 53</t>
  </si>
  <si>
    <t>§ 41 Abs. 2</t>
  </si>
  <si>
    <t>KlK4121-----17</t>
  </si>
  <si>
    <t>KlK4122-----17</t>
  </si>
  <si>
    <t>§ 41 Abs. 1</t>
  </si>
  <si>
    <t>DeK4111-----17</t>
  </si>
  <si>
    <t>DeK4112-----17</t>
  </si>
  <si>
    <t>GrK4133-----17</t>
  </si>
  <si>
    <t>GrK4131-----17</t>
  </si>
  <si>
    <t>GrK4132-----17</t>
  </si>
  <si>
    <t>§ 41 Abs. 3</t>
  </si>
  <si>
    <t>Inbetriebnahme 01-03/2017</t>
  </si>
  <si>
    <t>Inbetriebnahme 04-06/2017</t>
  </si>
  <si>
    <t>Inbetriebnahme 07-09/2017</t>
  </si>
  <si>
    <t>Inbetriebnahme 10-12/2017</t>
  </si>
  <si>
    <t>BiK420----Q117</t>
  </si>
  <si>
    <t>BiK421----Q117</t>
  </si>
  <si>
    <t>BiK422----Q117</t>
  </si>
  <si>
    <t>BiK423----Q117</t>
  </si>
  <si>
    <t>BiK420----Q217</t>
  </si>
  <si>
    <t>BiK421----Q217</t>
  </si>
  <si>
    <t>BiK440----Q317</t>
  </si>
  <si>
    <t>BiK440----Q417</t>
  </si>
  <si>
    <t>BiK422----Q217</t>
  </si>
  <si>
    <t>BiK423----Q217</t>
  </si>
  <si>
    <t>BiK420----Q317</t>
  </si>
  <si>
    <t>BiK421----Q317</t>
  </si>
  <si>
    <t>BiK422----Q317</t>
  </si>
  <si>
    <t>BiK423----Q317</t>
  </si>
  <si>
    <t>BiK420----Q417</t>
  </si>
  <si>
    <t>BiK421----Q417</t>
  </si>
  <si>
    <t>BiK422----Q417</t>
  </si>
  <si>
    <t>BiK423----Q417</t>
  </si>
  <si>
    <t>Vergütungsberechnung für Biogasanlagen (Bioabfälle) mit Inbetriebnahme ab 01.01.2017</t>
  </si>
  <si>
    <t>BiK430----Q117</t>
  </si>
  <si>
    <t>BiK431----Q117</t>
  </si>
  <si>
    <t>BiK430----Q217</t>
  </si>
  <si>
    <t>BiK431----Q217</t>
  </si>
  <si>
    <t>BiK430----Q317</t>
  </si>
  <si>
    <t>BiK431----Q317</t>
  </si>
  <si>
    <t>BiK430----Q417</t>
  </si>
  <si>
    <t>BiK431----Q417</t>
  </si>
  <si>
    <t>Vergütungsberechnung für Biogasanlagen (Gülle) mit Inbetriebnahme ab 01.01.2017</t>
  </si>
  <si>
    <t>BiK440----Q117</t>
  </si>
  <si>
    <t>BiK440----Q217</t>
  </si>
  <si>
    <t>GeK450------17</t>
  </si>
  <si>
    <t>keine Degression bis 2021</t>
  </si>
  <si>
    <t>Vergütungsberechnung für Windenergieanlagen an Land mit Inbetriebnahme ab 01.01.2017</t>
  </si>
  <si>
    <t>Inbetriebnahme 04/2017</t>
  </si>
  <si>
    <t>Inbetriebnahme 05/2017</t>
  </si>
  <si>
    <t>Inbetriebnahme 06/2017</t>
  </si>
  <si>
    <t>Feb</t>
  </si>
  <si>
    <t>Mar</t>
  </si>
  <si>
    <t>Apr</t>
  </si>
  <si>
    <t>Mai</t>
  </si>
  <si>
    <t>Jun</t>
  </si>
  <si>
    <t>Jul</t>
  </si>
  <si>
    <t>Aug</t>
  </si>
  <si>
    <t>Sep</t>
  </si>
  <si>
    <t>Okt</t>
  </si>
  <si>
    <t>Nov</t>
  </si>
  <si>
    <t>Dez</t>
  </si>
  <si>
    <t>Inbetriebnahme 03/2017</t>
  </si>
  <si>
    <t>Inbetriebnahme 07/2017</t>
  </si>
  <si>
    <t>Inbetriebnahme 08/2017</t>
  </si>
  <si>
    <t>Inbetriebnahme 09/2017</t>
  </si>
  <si>
    <t>Inbetriebnahme 10/2017</t>
  </si>
  <si>
    <t>Inbetriebnahme 11/2017</t>
  </si>
  <si>
    <t>Inbetriebnahme 12/2017</t>
  </si>
  <si>
    <t>Jan</t>
  </si>
  <si>
    <t>WnK460---Jan17</t>
  </si>
  <si>
    <t>WnK461---Jan17</t>
  </si>
  <si>
    <t>Inbetriebnahme 02/2017</t>
  </si>
  <si>
    <t>Inbetriebnahme 01/2017</t>
  </si>
  <si>
    <t>WnK460---Feb17</t>
  </si>
  <si>
    <t>WnK461---Feb17</t>
  </si>
  <si>
    <t>WnK460---Mar17</t>
  </si>
  <si>
    <t>WnK461---Mar17</t>
  </si>
  <si>
    <t>WnK460---Apr17</t>
  </si>
  <si>
    <t>WnK461---Apr17</t>
  </si>
  <si>
    <t>WnK460---Mai17</t>
  </si>
  <si>
    <t>WnK460---Jun17</t>
  </si>
  <si>
    <t>WnK461---Jun17</t>
  </si>
  <si>
    <t>WnK460---Jul17</t>
  </si>
  <si>
    <t>WnK461---Jul17</t>
  </si>
  <si>
    <t>WnK460---Aug17</t>
  </si>
  <si>
    <t>WnK461---Aug17</t>
  </si>
  <si>
    <t>WnK460---Sep17</t>
  </si>
  <si>
    <t>WnK461---Sep17</t>
  </si>
  <si>
    <t>WnK460---Okt17</t>
  </si>
  <si>
    <t>WnK461---Okt17</t>
  </si>
  <si>
    <t>WnK460---Nov17</t>
  </si>
  <si>
    <t>WnK461---Nov17</t>
  </si>
  <si>
    <t>WnK460---Dez17</t>
  </si>
  <si>
    <t>WnK461---Dez17</t>
  </si>
  <si>
    <t>Vergütungsberechnung für Windenergieanlagen auf See mit Inbetriebnahme ab 01.01.2017</t>
  </si>
  <si>
    <t>§ 47</t>
  </si>
  <si>
    <t>WfK470------17</t>
  </si>
  <si>
    <t>WfK471------17</t>
  </si>
  <si>
    <t>WfK472------17</t>
  </si>
  <si>
    <t>§ 48 Abs. 1</t>
  </si>
  <si>
    <t>Jan17</t>
  </si>
  <si>
    <t>SoK481---Jan17</t>
  </si>
  <si>
    <t>SoK481---Feb17</t>
  </si>
  <si>
    <t>SoK481---Mrz17</t>
  </si>
  <si>
    <t>SoK481---Apr17</t>
  </si>
  <si>
    <t>SoK481---Mai17</t>
  </si>
  <si>
    <t>SoK481---Jun17</t>
  </si>
  <si>
    <t>SoK481---Jul17</t>
  </si>
  <si>
    <t>SoK481---Aug17</t>
  </si>
  <si>
    <t>SoK481---Sep17</t>
  </si>
  <si>
    <t>SoK481---Okt17</t>
  </si>
  <si>
    <t>SoK481---Nov17</t>
  </si>
  <si>
    <t>SoK481---Dez17</t>
  </si>
  <si>
    <t>§ 48 Abs. 2</t>
  </si>
  <si>
    <t>SgK4820--Jan17</t>
  </si>
  <si>
    <t>SgK4820--Mrz17</t>
  </si>
  <si>
    <t>SgK4820--Apr17</t>
  </si>
  <si>
    <t>SgK4820--Mai17</t>
  </si>
  <si>
    <t>SgK4820--Jun17</t>
  </si>
  <si>
    <t>SgK4820--Jul17</t>
  </si>
  <si>
    <t>SgK4820--Aug17</t>
  </si>
  <si>
    <t>SgK4820--Sep17</t>
  </si>
  <si>
    <t>SgK4820--Okt17</t>
  </si>
  <si>
    <t>SgK4820--Nov17</t>
  </si>
  <si>
    <t>SgK4820--Dez17</t>
  </si>
  <si>
    <t>SgK4820--Feb17</t>
  </si>
  <si>
    <t>Wind Onshore</t>
  </si>
  <si>
    <t>Wind Offshore</t>
  </si>
  <si>
    <t>Die Höhe des Flexibilitätszuschlags hängt nicht von der Strommenge ab. Daher wird diese Kategorie ohne Strommenge oder mit der Strommenge 0 kWh gemeldet.</t>
  </si>
  <si>
    <t>Verringerung auf null nach § 25 Abs. 1 Nr. 3 (Pflichtverletzung bei anteiliger DV, Viertelstundenmessung)</t>
  </si>
  <si>
    <t>WaK5214------0</t>
  </si>
  <si>
    <t>BiK5214------0</t>
  </si>
  <si>
    <t>GaK5214------0</t>
  </si>
  <si>
    <t>DeK5214------0</t>
  </si>
  <si>
    <t>KlK5214------0</t>
  </si>
  <si>
    <t>GrK5214------0</t>
  </si>
  <si>
    <t>GeK5214------0</t>
  </si>
  <si>
    <t>WiK5214------0</t>
  </si>
  <si>
    <t>WnK5214------0</t>
  </si>
  <si>
    <t>WrK5214------0</t>
  </si>
  <si>
    <t>WfK5214------0</t>
  </si>
  <si>
    <t>SoK5214------0</t>
  </si>
  <si>
    <t>SgK5214------0</t>
  </si>
  <si>
    <t>Verringerung auf null nach § 52 Abs. 1 Satz 1 Nr. 4 (Verstoß gegen Eigenversorgungsverbot)</t>
  </si>
  <si>
    <t>vor dem 01.01.2016</t>
  </si>
  <si>
    <t>§ 25 Abs. 2 Nr. 3 EEG 2014: Der anzulegende Wert nach § 23 Abs. 1 Satz 2 EEG 2014 verringert sich sich auf den Monatsmarktwert, wenn der Strom mit Strom aus mindestens einer anderen Anlage über eine gemeinsame Messeinrichtung abgerechnet wird und nicht der gesamte Strom direktvermarktet wird oder nicht für den gesamten Strom eine Einspeisevergütung in Anspruch genommen wird. Die Verringerung gilt bis zum Ablauf des Kalendermonats, der auf die Beendigung des Verstoßes folgt.
Dieser Verstoß wurde nachträglich und rückwirkend aus dem EEG gestrichen und kommt deshalb nicht zur Anwendung.</t>
  </si>
  <si>
    <t>Verringerung auf Marktwert nach § 52 Abs. 2 Satz 1 Nr. 3 (Überschreitung der Höchstdauer der Ausfallvermarktung)</t>
  </si>
  <si>
    <t>WaK52213----MW</t>
  </si>
  <si>
    <t>BiK52213----MW</t>
  </si>
  <si>
    <t>GaK52213----MW</t>
  </si>
  <si>
    <t>DeK52213----MW</t>
  </si>
  <si>
    <t>KlK52213----MW</t>
  </si>
  <si>
    <t>GrK52213----MW</t>
  </si>
  <si>
    <t>GeK52213----MW</t>
  </si>
  <si>
    <t>WiK52213----MW</t>
  </si>
  <si>
    <t>WnK52213----MW</t>
  </si>
  <si>
    <t>WrK52213----MW</t>
  </si>
  <si>
    <t>WfK52213----MW</t>
  </si>
  <si>
    <t>SoK52213----MW</t>
  </si>
  <si>
    <t>SgK52213----MW</t>
  </si>
  <si>
    <t>WaK523----20PZ</t>
  </si>
  <si>
    <t>BiK523----20PZ</t>
  </si>
  <si>
    <t>GaK523----20PZ</t>
  </si>
  <si>
    <t>DeK523----20PZ</t>
  </si>
  <si>
    <t>KlK523----20PZ</t>
  </si>
  <si>
    <t>GrK523----20PZ</t>
  </si>
  <si>
    <t>GeK523----20PZ</t>
  </si>
  <si>
    <t>WiK523----20PZ</t>
  </si>
  <si>
    <t>WnK523----20PZ</t>
  </si>
  <si>
    <t>WrK523----20PZ</t>
  </si>
  <si>
    <t>WfK523----20PZ</t>
  </si>
  <si>
    <t>SoK523----20PZ</t>
  </si>
  <si>
    <t>SgK523----20PZ</t>
  </si>
  <si>
    <t>WaK523-MPM20PZ</t>
  </si>
  <si>
    <t>BiK523-MPM20PZ</t>
  </si>
  <si>
    <t>GaK523-MPM20PZ</t>
  </si>
  <si>
    <t>DeK523-MPM20PZ</t>
  </si>
  <si>
    <t>KlK523-MPM20PZ</t>
  </si>
  <si>
    <t>GrK523-MPM20PZ</t>
  </si>
  <si>
    <t>GeK523-MPM20PZ</t>
  </si>
  <si>
    <t>WnK523-MPM20PZ</t>
  </si>
  <si>
    <t>WrK523-MPM20PZ</t>
  </si>
  <si>
    <t>WfK523-MPM20PZ</t>
  </si>
  <si>
    <t>SoK523-MPM20PZ</t>
  </si>
  <si>
    <t>SgK523-MPM20PZ</t>
  </si>
  <si>
    <t>WiK523-MPM20PZ</t>
  </si>
  <si>
    <t>WnK53a-------0</t>
  </si>
  <si>
    <t>WnK53a---MPM-0</t>
  </si>
  <si>
    <t xml:space="preserve">Gemäß § 52 Abs. 3 EEG 2017 Kürzung des anzulegenden Werts in der Einspeisevergütung um 20% (Unterlassene Registrierung oder Meldung Leistungserhöhung bei erfolgter Jahresmeldung). </t>
  </si>
  <si>
    <t xml:space="preserve">Gemäß § 52 Abs. 3 EEG 2017 Kürzung des anzulegenden Werts in der Marktprämie um 20% (Unterlassene Registrierung oder Meldung Leistungserhöhung bei erfolgter Jahresmeldung). </t>
  </si>
  <si>
    <t>WnK461---Mai17</t>
  </si>
  <si>
    <t xml:space="preserve">Gemäß § 53a EEG 2017 Verringerung der Einspeisevergütung auf null (Verzicht auf gesetzliche Vergütung und ohne Zuschlag aus einer Ausschreibung). </t>
  </si>
  <si>
    <t xml:space="preserve">Gemäß § 53a EEG 2017 Verringerung der Marktprämie auf null (Verzicht auf gesetzliche Vergütung und ohne Zuschlag aus einer Ausschreibung). </t>
  </si>
  <si>
    <t>Verringerung auf Monatsmarktwert nach § 101 Abs. 1 EEG 2014 (Überschreitung Höchstbemessungsleistung)</t>
  </si>
  <si>
    <t>Offshore, erhöhte Anfangsvergütung nach § 47 Abs. 3</t>
  </si>
  <si>
    <t>Kategorien Marktprämie nach § 33b Nr. 1 EEG 2012 mit erhöhter Managementprämie</t>
  </si>
  <si>
    <t>Grund für die Entfernung aus der Tabelle der aktuellen Vergütungskategorien: Nach Ablauf der Übergangsvorschriften des § 100 Abs. 1 Nr. 8 EEG 2014 ist seit dem 01.04.2015 die Fernsteuerbarkeit nach § 36 EEG 2014 für Bestandsanlagen verpflichtend. Damit entfällt für die Bestandsanlagen die Unterscheidung zwischen Kategorien mit regulärer und erhöhter Managementprämie. Die für die erhöhte Managementprämie vorgesehenen Kategorien sind für Datenmeldungen ab Leistungsjahr 2016 nicht mehr erforderlich und entfallen daher. Statt dessen sind die Kategorien der regulären Managementprämie zu verwenden. Sollten Bestandsanlagen nach dem Stichtag 31.03.2015 oder Neuanlagen nach der Stichtagsregelungen des § 35 EEG 2014 oder § 20 Abs. 1 Satz 2 EEG 2017 nicht fernsteuerbar sein, sind Sanktionskategorien zu verwenden.</t>
  </si>
  <si>
    <t>42 für Biomasse</t>
  </si>
  <si>
    <t>43 für Vergärung von Bioabfällen (Energieträger Biomasse)</t>
  </si>
  <si>
    <t>41 für Deponie-, Klär- und Grubengas</t>
  </si>
  <si>
    <t>44 für Vergärung von Gülle (Energieträger Biomasse)</t>
  </si>
  <si>
    <t>45 für Geothermie</t>
  </si>
  <si>
    <t>46 für Windenergie an Land</t>
  </si>
  <si>
    <t>47 für Windenergie auf See</t>
  </si>
  <si>
    <t>48 für Solare Strahlungsenergie</t>
  </si>
  <si>
    <t>Kategorien für Anlagen, die in einem Ausschreibungsverfahren bezuschlagt worden sind</t>
  </si>
  <si>
    <t>§ 52 Abs. 1 Satz 1 Nr. 4 EEG 2017: Der anzulegende Wert verringert sich auf null, wenn Betreiber von Anlagen, deren anzulegender Wert durch Ausschreibungen ermittelt wird, gegen § 27a EEG 2017 (Verbot der Nutzung des in der Anlage erzeugten Stroms zur Eigenversorgung) verstoßen.
Diese Verringerung gilt für das gesamte Kalenderjahr des Verstoßes.</t>
  </si>
  <si>
    <t>§ 52 Abs. 2 Satz 1 Nr. 3 EEG 2017: Der anzulegende Wert verringert sich sich auf den Monatsmarktwert, solange Anlagenbetreiber, die die Ausfallvermarktung in Anspruch nehmen, eine der Höchstdauern nach § 21 Abs. 1 Nr. 2 erster Halbsatz EEG 2017 überschreiten. Diese Kategorien sind unter Berücksichtigung der Übergangsbestimmungen nach § 100 Abs. 1 Nr. 1 EEG 2017 nur für Anlagen mit Inbetriebnahme ab dem 01.01.2017 anzuwenden.
Aufgrund § 23 Abs. 3 Nr. 3 und 4 EEG 2017 beträgt die Ausfallvermarktung 80 % des Monatsmarktwerts, gerundet auf zwei Nachkommastellen (bezogen auf ct/kWh).
Die Sanktion ist für die Dauer des gesamten Kalendermonats, in dem ein solcher Verstoß erfolgt ist, anzuwenden.</t>
  </si>
  <si>
    <t xml:space="preserve">Gemäß § 53b EEG 2017 Verringerung des Zahlungsanspruchs (Strom mit Regionalnachweis). </t>
  </si>
  <si>
    <t>Gemäß § 53b EEG 2017 Strom mit Regionalnachweis, der aufgrund anderer Regelungen einen Zahlungsanspruch auf 0 ct/kWh hat.</t>
  </si>
  <si>
    <t>53b für Regionalnachweise</t>
  </si>
  <si>
    <t>22 für Bezuschlagung im Ausschreibungsverfahren</t>
  </si>
  <si>
    <t>Stellen 13-14, teils 11-14</t>
  </si>
  <si>
    <t>Ergänzung der Kategorien für das Jahr 2017
Anpassung der Beschreibungen hinsichtlich EEG 2017
Wegfall der separaten Sanktionskategorien für die erhöhte Managementprämie, da aufgrund der Pflicht zur Fernsteuerbarkeit bei Marktprämien-DV seit 01.04.2015 nicht mehr relevant.</t>
  </si>
  <si>
    <t>Im EEG 2017 sind Verringerungen des anzulegenden Wertes aufgrund von Pflichtverstößen überwiegend in § 52 und nicht mehr wie im EEG 2014 in § 25 geregelt. Sanktionskategorien, bei denen sich zwar der Paragraph, allerdings nicht der Inhalt der Regelung geändert hat, werden keine neuen Kategorien gebildet. Die Kategorien nach EEG 2014 werden unverändert auch im EEG 2017 weiter angewandt. Gleiches gilt für die Kategorien, die für die verschiedenen alternativen Vermarktungsformen vorgesehen sind.</t>
  </si>
  <si>
    <t>Die durch den Wortlaut des EEG 2014 hinsichtlich der Vermarktungskosten auftretende Degression und die Rundungseffekte wurde durch § 23 Abs. 3 EEG 2017 für die ab 01.01.2017 geltenden Vergütungskategorien geheilt, indem einheitlich 0,2 bzw. 0,4 ct/kWh vom anzulegenden Wert abgezogen werden. Hinsichtlich der Vergütung der vor dem 01.01.2017 in Betrieb genommenen Anlagen ändert sich nichts.</t>
  </si>
  <si>
    <t>Die bisherige Regelung des § 100 Abs. 4 EEG 2014 wurde im EEG 2017 für Biomasseanlagen dahingehend geändert, dass nunmehr auf das Vorliegen einer Baugenehmigung abzustellen ist. Für Biogasanlagen, die aufgrund dieser Übergangsvorschrift wie Anlagen nach dem EEG 2012 vergütet werden (rückwirkend zum 01.07.2014), enthält § 101 Abs. 1 Satz 4 EEG 2017 eine neue Vorschrift, wie die Höchstbemessungsleistung zu ermitteln ist, die ab dem 01.01.2017 auch für diese Anlagen anzuwenden ist.</t>
  </si>
  <si>
    <t>Verringerung Einspeisevergütung auf null nach § 47 Abs. 2 (Verstoß gegen Vorlage des Einsatzstofftagebuchs nach § 47 Abs. 2 Nr. 1)</t>
  </si>
  <si>
    <t>Verringerung Marktprämie auf null nach § 47 Abs. 2 (Verstoß gegen Vorlage des Einsatzstofftagebuchs nach § 47 Abs. 2 Nr. 1)</t>
  </si>
  <si>
    <t>BiK81M1bK15y05</t>
  </si>
  <si>
    <t>BiK82M2bK15y05</t>
  </si>
  <si>
    <t>BiK83a2bK15-05</t>
  </si>
  <si>
    <t>WaK24---MPM--0</t>
  </si>
  <si>
    <t>BiK24---MPM--0</t>
  </si>
  <si>
    <t>DeK24---MPM--0</t>
  </si>
  <si>
    <t>KlK24---MPM--0</t>
  </si>
  <si>
    <t>GrK24---MPM--0</t>
  </si>
  <si>
    <t>GeK24---MPM--0</t>
  </si>
  <si>
    <t>WnK24---MPM--0</t>
  </si>
  <si>
    <t>WfK24---MPM--0</t>
  </si>
  <si>
    <t>SoK24---MPM--0</t>
  </si>
  <si>
    <t>SgK24---MPM--0</t>
  </si>
  <si>
    <t>Freiflächen- und Nicht-Gebäudeanlagen</t>
  </si>
  <si>
    <t>§ 25 Abs. 1 Nr. 4 EEG 2014: Der anzulegende Wert nach § 23 Abs. 1 Satz 2 EEG 2014 verringert sich sich auf null, solange der Nachweis nach § 100 Abs. 2 Satz 2 EEG 2014 der Nachweis nach § 100 Abs. 2 Satz 3 EEG 2014 nicht erbracht ist, d. h. solange der Nachweis für die endgültige Stilllegung einer anderen Biomethananlage nicht erbracht ist.
§ 52 Abs. 1 Satz 1 Nr. 5 EEG 2017: Der anzulegende Wert  verringert sich sich auf null, solange der Nachweis nach § 100 Abs. 3 Satz 2 EEG 2017 der Nachweis nach § 100 Abs. 3 Satz 3 EEG 2017 nicht erbracht ist, d. h. solange der Nachweis für die endgültige Stilllegung einer anderen Biomethananlage nicht erbracht ist.
Hinweis: gelöscht da irrtümlich angelegt (nur für Biomasse anwendbar)</t>
  </si>
  <si>
    <t>Ergänzung der Vergütungssätze für PV-Anlagen mit Inbetriebnahme Juli bis September 2016
Ergänzung der Vergütungssätze für Biomasse- und Windenergie-Anlagen mit Inbetriebnahme Oktober bis Dezember 2016
Ergänzung von Vergütungskategorien Biomasse Inbetriebnahme bis 2001 für Erfüllung Bonusregel K erstmals 2015</t>
  </si>
  <si>
    <t>BiK51nGK14--01</t>
  </si>
  <si>
    <t>BiK51aGK14--01</t>
  </si>
  <si>
    <t xml:space="preserve">Gemäß § 53c EEG 2017 Kürzung der Einspeisevergütung um Stromsteuerbefreiung. </t>
  </si>
  <si>
    <t xml:space="preserve">Gemäß § 53c EEG 2017 Kürzung der Marktprämie um Stromsteuerbefreiung. </t>
  </si>
  <si>
    <t>Ergänzung der Vergütungssätze für PV-Anlagen mit Inbetriebnahme Februar bis April 2017
Anpassung der Beschreibungen hinsichtlich § 52 Abs. 3 EEG 2017
Ergänzung der Kategorien zur Meldung der Stromsteuerbefreiung nach § 53c EEG 2017
Ergänzung von Vergütungskategorien Biomasse mit Inbetriebnahme 2001 für Erfüllung Bonusregel K erstmals 2014</t>
  </si>
  <si>
    <t>SgK53c-MPM-SSB</t>
  </si>
  <si>
    <t>SoK53c-MPM-SSB</t>
  </si>
  <si>
    <t>WfK53c-MPM-SSB</t>
  </si>
  <si>
    <t>WrK53c-MPM-SSB</t>
  </si>
  <si>
    <t>WnK53c-MPM-SSB</t>
  </si>
  <si>
    <t>WaK53c-MPM-SSB</t>
  </si>
  <si>
    <t>BiK53c-MPM-SSB</t>
  </si>
  <si>
    <t>GaK53c-MPM-SSB</t>
  </si>
  <si>
    <t>DeK53c-MPM-SSB</t>
  </si>
  <si>
    <t>KlK53c-MPM-SSB</t>
  </si>
  <si>
    <t>GrK53c-MPM-SSB</t>
  </si>
  <si>
    <t>GeK53c-MPM-SSB</t>
  </si>
  <si>
    <t>WiK53c-MPM-SSB</t>
  </si>
  <si>
    <t>WaK53c-----SSB</t>
  </si>
  <si>
    <t>BiK53c-----SSB</t>
  </si>
  <si>
    <t>GaK53c-----SSB</t>
  </si>
  <si>
    <t>DeK53c-----SSB</t>
  </si>
  <si>
    <t>KlK53c-----SSB</t>
  </si>
  <si>
    <t>GrK53c-----SSB</t>
  </si>
  <si>
    <t>GeK53c-----SSB</t>
  </si>
  <si>
    <t>WiK53c-----SSB</t>
  </si>
  <si>
    <t>WnK53c-----SSB</t>
  </si>
  <si>
    <t>WrK53c-----SSB</t>
  </si>
  <si>
    <t>WfK53c-----SSB</t>
  </si>
  <si>
    <t>SoK53c-----SSB</t>
  </si>
  <si>
    <t>SgK53c-----SSB</t>
  </si>
  <si>
    <t>BiK51nK16y--01</t>
  </si>
  <si>
    <t>BiK51aK16y--01</t>
  </si>
  <si>
    <t>28.02.2017
08.03.2017
16.03.2017</t>
  </si>
  <si>
    <t xml:space="preserve">Ergänzung von Vergütungskategorien Biomasse mit Inbetriebnahme 2001 für Erfüllung Bonusregel K erstmals 2016
Ergänzung von Vergütungskategorien Biomasse mit Inbetriebnahme 2002 für Erfüllung Bonusregel K erstmals 2016
Ergänzung von Vergütungskategorien Biomasse mit Inbetriebnahme 2007 für Erfüllung Bonusregel K erstmals 2017
</t>
  </si>
  <si>
    <t>BiK51nK16---02</t>
  </si>
  <si>
    <t>BiK51aK16---02</t>
  </si>
  <si>
    <t>BiK52aK16---02</t>
  </si>
  <si>
    <t>BiK53aK16---02</t>
  </si>
  <si>
    <t>BiK81a1K17--07</t>
  </si>
  <si>
    <t>Anteil KWK, erstmals 2017</t>
  </si>
  <si>
    <t>BiK82a1K17--07</t>
  </si>
  <si>
    <t>BiK81a1bK13y05</t>
  </si>
  <si>
    <t>BiK82a1bK13y05</t>
  </si>
  <si>
    <t>BiK81M1K16y-07</t>
  </si>
  <si>
    <t>BiK82M2K16y-07</t>
  </si>
  <si>
    <t>Ergänzung von Vergütungskategorien Biomasse mit Inbetriebnahme 2005 für Erfüllung Bonusregel K erstmals 2013
Ergänzung von Vergütungskategorien Biomasse mit Inbetriebnahme 2007 für Erfüllung Bonusregel K erstmals 2016</t>
  </si>
  <si>
    <t>BiK81M1K13--04</t>
  </si>
  <si>
    <t>BiK81GbK13--06</t>
  </si>
  <si>
    <t>BiK82GbK13--06</t>
  </si>
  <si>
    <t>Ergänzung von Vergütungskategorien Biomasse mit Inbetriebnahme 2006 für Erfüllung Bonusregel K erstmals 2013</t>
  </si>
  <si>
    <t>BiK83K16----04</t>
  </si>
  <si>
    <t>Ergänzung von Vergütungskategorien Biomasse mit Inbetriebnahme 2004 für Erfüllung Bonusregel K erstmals 2016</t>
  </si>
  <si>
    <t>BiK82M2K13--04</t>
  </si>
  <si>
    <r>
      <t xml:space="preserve">Ergänzung der Vergütungssätze für PV-Anlagen mit Inbetriebnahme Mai bis Juni 2017
Aufgrund rechtlicher Unsicherheiten bei der Berechnung der anzulegenden Werte für Energieträger Solar bei der Degression ist der Wert für Juli 2017 noch nicht angegeben.
Ergänzung von Vergütungskategorien Biomasse mit Inbetriebnahme 2005 für Erfüllung Bonusregel K erstmals 2016
</t>
    </r>
    <r>
      <rPr>
        <sz val="11"/>
        <color indexed="10"/>
        <rFont val="Calibri"/>
        <family val="2"/>
      </rPr>
      <t/>
    </r>
  </si>
  <si>
    <t>BiK81M1K16--05</t>
  </si>
  <si>
    <t>BiK82M2K16--05</t>
  </si>
  <si>
    <t>BiK81M1bK16y05</t>
  </si>
  <si>
    <t>BiK82M2bK16y05</t>
  </si>
  <si>
    <t>BiK51nK15---02</t>
  </si>
  <si>
    <t>BiK51aK15---02</t>
  </si>
  <si>
    <t>BiK52aK15---02</t>
  </si>
  <si>
    <t>BiK53aK15---02</t>
  </si>
  <si>
    <t>Ergänzung der Vergütungssätze für PV-Anlagen mit Inbetriebnahme Juli 2017
Ergänzung der Vergütungssätze für Windenergie-Anlagen mit Inbetriebnahme Oktober bis Dezember 2017
Ergänzung von Vergütungskategorien Biomasse mit Inbetriebnahme 2002 für Erfüllung Bonusregel K erstmals 2015
Ergänzung von Vergütungskategorien Biomasse mit Inbetriebnahme 2005 für Erfüllung Bonusregel K erstmals 2016</t>
  </si>
  <si>
    <r>
      <t>Ergänzung der Vergütungssätze für PV-Anlagen mit Inbetriebnahme August bis Oktober 2017</t>
    </r>
    <r>
      <rPr>
        <sz val="11"/>
        <color indexed="10"/>
        <rFont val="Calibri"/>
        <family val="2"/>
      </rPr>
      <t/>
    </r>
  </si>
  <si>
    <t xml:space="preserve">Ergänzung von Vergütungskategorien Biomasse mit Inbetriebnahme 2008 für Erfüllung Bonusregel K erstmals 2016
</t>
  </si>
  <si>
    <t>BiK81M1K16y-08</t>
  </si>
  <si>
    <t>BiK82M2K16y-08</t>
  </si>
  <si>
    <t>BiK81M1bK17y05</t>
  </si>
  <si>
    <t>BiK82M2bK17y05</t>
  </si>
  <si>
    <t xml:space="preserve">Ergänzung von Vergütungskategorien Biomasse mit Inbetriebnahme 2005 für Erfüllung Bonusregel K erstmals 2017
</t>
  </si>
  <si>
    <t>Inbetriebnahme 2018</t>
  </si>
  <si>
    <t>Modernisierung 2018</t>
  </si>
  <si>
    <t>0-0,5 MW, IB vor 01.01.2009, Modernisierung 2018</t>
  </si>
  <si>
    <t>0,5-2 MW, IB vor 01.01.2009, Modernisierung 2018</t>
  </si>
  <si>
    <t>2-5 MW, IB vor 01.01.2009, Modernisierung 2018</t>
  </si>
  <si>
    <t>5-10 MW, IB vor 01.01.2009, Modernisierung 2018</t>
  </si>
  <si>
    <t>10-20 MW, IB vor 01.01.2009, Modernisierung 2018</t>
  </si>
  <si>
    <t>20-50 MW, IB vor 01.01.2009, Modernisierung 2018</t>
  </si>
  <si>
    <t>&gt; 50 MW, IB vor 01.01.2009, Modernisierung 2018</t>
  </si>
  <si>
    <t>Inbetriebnahme 01-03/2018</t>
  </si>
  <si>
    <t>Inbetriebnahme 04-06/2018</t>
  </si>
  <si>
    <t>Inbetriebnahme 07-09/2018</t>
  </si>
  <si>
    <t>Inbetriebnahme 10-12/2018</t>
  </si>
  <si>
    <t>BiK420----Q118</t>
  </si>
  <si>
    <t>BiK421----Q118</t>
  </si>
  <si>
    <t>BiK422----Q118</t>
  </si>
  <si>
    <t>BiK423----Q118</t>
  </si>
  <si>
    <t>BiK420----Q218</t>
  </si>
  <si>
    <t>BiK421----Q218</t>
  </si>
  <si>
    <t>BiK422----Q218</t>
  </si>
  <si>
    <t>BiK423----Q218</t>
  </si>
  <si>
    <t>BiK420----Q318</t>
  </si>
  <si>
    <t>BiK421----Q318</t>
  </si>
  <si>
    <t>BiK422----Q318</t>
  </si>
  <si>
    <t>BiK423----Q318</t>
  </si>
  <si>
    <t>BiK420----Q418</t>
  </si>
  <si>
    <t>BiK421----Q418</t>
  </si>
  <si>
    <t>BiK422----Q418</t>
  </si>
  <si>
    <t>BiK423----Q418</t>
  </si>
  <si>
    <t>BiK440----Q118</t>
  </si>
  <si>
    <t>BiK440----Q218</t>
  </si>
  <si>
    <t>BiK440----Q318</t>
  </si>
  <si>
    <t>BiK440----Q418</t>
  </si>
  <si>
    <t>DeK4111-----18</t>
  </si>
  <si>
    <t>DeK4112-----18</t>
  </si>
  <si>
    <t>GrK4131-----18</t>
  </si>
  <si>
    <t>GrK4132-----18</t>
  </si>
  <si>
    <t>GrK4133-----18</t>
  </si>
  <si>
    <t>GeK450------18</t>
  </si>
  <si>
    <t>KlK4122-----18</t>
  </si>
  <si>
    <t>KlK4121-----18</t>
  </si>
  <si>
    <t>WnK460---Jan18</t>
  </si>
  <si>
    <t>WnK461---Jan18</t>
  </si>
  <si>
    <t>WnK460---Feb18</t>
  </si>
  <si>
    <t>WnK461---Feb18</t>
  </si>
  <si>
    <t>WnK460---Apr18</t>
  </si>
  <si>
    <t>WnK461---Apr18</t>
  </si>
  <si>
    <t>WnK460---Mai18</t>
  </si>
  <si>
    <t>WnK461---Mai18</t>
  </si>
  <si>
    <t>WnK460---Jun18</t>
  </si>
  <si>
    <t>WnK461---Jun18</t>
  </si>
  <si>
    <t>WnK460---Jul18</t>
  </si>
  <si>
    <t>WnK461---Jul18</t>
  </si>
  <si>
    <t>WnK460---Aug18</t>
  </si>
  <si>
    <t>WnK461---Aug18</t>
  </si>
  <si>
    <t>WnK460---Sep18</t>
  </si>
  <si>
    <t>WnK461---Sep18</t>
  </si>
  <si>
    <t>WnK460---Okt18</t>
  </si>
  <si>
    <t>WnK461---Okt18</t>
  </si>
  <si>
    <t>WnK460---Nov18</t>
  </si>
  <si>
    <t>WnK461---Nov18</t>
  </si>
  <si>
    <t>WnK460---Dez18</t>
  </si>
  <si>
    <t>WnK461---Dez18</t>
  </si>
  <si>
    <t>Inbetriebnahme 01/2018</t>
  </si>
  <si>
    <t>Inbetriebnahme 02/2018</t>
  </si>
  <si>
    <t>Inbetriebnahme 03/2018</t>
  </si>
  <si>
    <t>Inbetriebnahme 04/2018</t>
  </si>
  <si>
    <t>Inbetriebnahme 05/2018</t>
  </si>
  <si>
    <t>Inbetriebnahme 06/2018</t>
  </si>
  <si>
    <t>Inbetriebnahme 07/2018</t>
  </si>
  <si>
    <t>Inbetriebnahme 08/2018</t>
  </si>
  <si>
    <t>Inbetriebnahme 09/2018</t>
  </si>
  <si>
    <t>Inbetriebnahme 10/2018</t>
  </si>
  <si>
    <t>Inbetriebnahme 11/2018</t>
  </si>
  <si>
    <t>Inbetriebnahme 12/2018</t>
  </si>
  <si>
    <t>WfK471------18</t>
  </si>
  <si>
    <t>WfK472------18</t>
  </si>
  <si>
    <t>WfK470------18</t>
  </si>
  <si>
    <t>SoK481---Jan18</t>
  </si>
  <si>
    <t>SoK481---Feb18</t>
  </si>
  <si>
    <t>SoK481---Mrz18</t>
  </si>
  <si>
    <t>SoK481---Apr18</t>
  </si>
  <si>
    <t>SoK481---Mai18</t>
  </si>
  <si>
    <t>SoK481---Jun18</t>
  </si>
  <si>
    <t>SoK481---Jul18</t>
  </si>
  <si>
    <t>SoK481---Aug18</t>
  </si>
  <si>
    <t>SoK481---Sep18</t>
  </si>
  <si>
    <t>SoK481---Okt18</t>
  </si>
  <si>
    <t>SoK481---Nov18</t>
  </si>
  <si>
    <t>SoK481---Dez18</t>
  </si>
  <si>
    <t>Jan18</t>
  </si>
  <si>
    <t>SgK4820--Jan18</t>
  </si>
  <si>
    <t>SgK4820--Feb18</t>
  </si>
  <si>
    <t>SgK4820--Mrz18</t>
  </si>
  <si>
    <t>SgK4820--Apr18</t>
  </si>
  <si>
    <t>SgK4820--Mai18</t>
  </si>
  <si>
    <t>SgK4820--Jun18</t>
  </si>
  <si>
    <t>SgK4820--Jul18</t>
  </si>
  <si>
    <t>SgK4820--Aug18</t>
  </si>
  <si>
    <t>SgK4820--Sep18</t>
  </si>
  <si>
    <t>SgK4820--Okt18</t>
  </si>
  <si>
    <t>SgK4820--Nov18</t>
  </si>
  <si>
    <t>SgK4820--Dez18</t>
  </si>
  <si>
    <t>WnK460---Mrz18</t>
  </si>
  <si>
    <t>WnK461---Mrz18</t>
  </si>
  <si>
    <t>WaK401------18</t>
  </si>
  <si>
    <t>WaK402------18</t>
  </si>
  <si>
    <t>WaK403------18</t>
  </si>
  <si>
    <t>WaK404------18</t>
  </si>
  <si>
    <t>WaK405------18</t>
  </si>
  <si>
    <t>WaK406------18</t>
  </si>
  <si>
    <t>WaK400M-----18</t>
  </si>
  <si>
    <t>WaK401M-----18</t>
  </si>
  <si>
    <t>WaK402M-----18</t>
  </si>
  <si>
    <t>WaK403M-----18</t>
  </si>
  <si>
    <t>WaK404M-----18</t>
  </si>
  <si>
    <t>WaK405M-----18</t>
  </si>
  <si>
    <t>WaK406M-----18</t>
  </si>
  <si>
    <t>WaK400------18</t>
  </si>
  <si>
    <t>Mrz</t>
  </si>
  <si>
    <t>BiK430----Q118</t>
  </si>
  <si>
    <t>BiK431----Q118</t>
  </si>
  <si>
    <t>BiK430----Q218</t>
  </si>
  <si>
    <t>BiK431----Q218</t>
  </si>
  <si>
    <t>BiK430----Q318</t>
  </si>
  <si>
    <t>BiK431----Q318</t>
  </si>
  <si>
    <t>BiK430----Q418</t>
  </si>
  <si>
    <t>BiK431----Q418</t>
  </si>
  <si>
    <t>Ergänzung der Kategorien für das Jahr 2018</t>
  </si>
  <si>
    <t>Korrektur Formelberechnungen bei PV-Kategorien für Juli 2017</t>
  </si>
  <si>
    <r>
      <t>Ergänzung der Vergütungssätze für PV-Anlagen mit Inbetriebnahme November bis Dezember 2017</t>
    </r>
    <r>
      <rPr>
        <sz val="11"/>
        <color indexed="10"/>
        <rFont val="Calibri"/>
        <family val="2"/>
      </rPr>
      <t/>
    </r>
  </si>
  <si>
    <t>Mieterstromzuschlag</t>
  </si>
  <si>
    <t>Ergänzung der Vergütungssätze für Windanlagen an Land mit Inbetriebnahme April bis Juni 2018</t>
  </si>
  <si>
    <t xml:space="preserve">Zusätzliche Spalte für den Mieterstromzuschlag </t>
  </si>
  <si>
    <t>Ergänzung der anzulegenden Werte für den Mieterstromzuschlag für PV-Gebäudeanlagen ab Inbetriebnahme 25.07.2017</t>
  </si>
  <si>
    <t>SgK523-MSZ20PZ</t>
  </si>
  <si>
    <t xml:space="preserve">Gemäß § 52 Abs. 3 EEG 2017 Kürzung des anzulegenden Werts für den Mieterstromzuschlag um 20% (Unterlassene Registrierung oder Meldung Leistungserhöhung bei erfolgter Jahresmeldung). </t>
  </si>
  <si>
    <t xml:space="preserve">SgK23b1----MSZ </t>
  </si>
  <si>
    <r>
      <t xml:space="preserve">Mieterstrom-zuschlag
ct/kWh
</t>
    </r>
    <r>
      <rPr>
        <sz val="10"/>
        <rFont val="Arial"/>
        <family val="2"/>
      </rPr>
      <t>(nur bei Solar/Gebäude mit Inbetriebnahme ab 25.07.2017)</t>
    </r>
  </si>
  <si>
    <t>Ergänzung Mieterstromkategorie SgK23b1----MSZ</t>
  </si>
  <si>
    <t>Zusätzliche Kategorie für die Sanktionierung des Mieterstromzuschlags nach § 52 Abs. 3 EEG</t>
  </si>
  <si>
    <t>Die Strommengen, die in unmittelbar räumlicher Zusammenhang ohne Durchleitung durch ein Netz an einen Letztverbraucher geliefert werden, fließen weder in die Berechnung der der vNNE, noch in den bundesweiten Belastungsausgleich ein.</t>
  </si>
  <si>
    <t>23b für Mieterstrom</t>
  </si>
  <si>
    <t>Hinweis: gelöscht da irrtümlich angelegt (für Energieträger im Ausschreibungsverfahren anwendbar, d. h. Biomasse, Wind onshore, Wind offshore, Solar, Solar/Gebäude.)</t>
  </si>
  <si>
    <t>Hinweis: gelöscht da irrtümlich angelegt  Die Präfixe Ga, Wi und Wr sind seit 2009 bzw. 01.08.2014 unzulässig</t>
  </si>
  <si>
    <t>BiK51aM2K14-01</t>
  </si>
  <si>
    <t>Ergänzung der Vergütungssätze für PV-Anlagen mit Inbetriebnahme Februar bis April 2018</t>
  </si>
  <si>
    <t>BiK84K14----05</t>
  </si>
  <si>
    <t>BiK81M1K17y-07</t>
  </si>
  <si>
    <t>BiK83a2K17--07</t>
  </si>
  <si>
    <t>BiK82M2K17y-07</t>
  </si>
  <si>
    <t>BiK51nM1K15y01</t>
  </si>
  <si>
    <t>BiK51aM2K15y01</t>
  </si>
  <si>
    <t>BiK52aa2K15-01</t>
  </si>
  <si>
    <t>BiK51nM1K17y03</t>
  </si>
  <si>
    <t>BiK51aM2K17y03</t>
  </si>
  <si>
    <t>BiK52aa2K17-03</t>
  </si>
  <si>
    <t>BiK82M2K17--07</t>
  </si>
  <si>
    <t>BiK81M1K17--07</t>
  </si>
  <si>
    <t>BiK81GbK17--07</t>
  </si>
  <si>
    <t>BiK51nM1K17-01</t>
  </si>
  <si>
    <t>BiK81M1bK16y07</t>
  </si>
  <si>
    <t>BiK82M2bK16y07</t>
  </si>
  <si>
    <t>BiK83a2bK16-07</t>
  </si>
  <si>
    <t xml:space="preserve">Ergänzung Kategorien BiK84K14----05, BiK81M1K17y-07, BiK82M2K17y-07, BiK83a2K17--07
Ergänzung der Vergütungssätze für Windanlagen an Land mit Inbetriebnahme Juli bis September 2018
Ergänzung Kategorien BiK51nM1K15y01, BiK51aM2K15y01, BiK52aa2K15-01
Ergänzung Kategorien BiK51nM1K17y03, BiK51aM2K17y03, BiK52aa2K17-03
Ergänzung Kategorien BiK81M1K17--07, BiK82M2K17--07
Korrektur der Boni-Zulässigkeit (Spalten V bis AG) für ausgewählte Biomasse-Kategorien (informell, kein Einfluss auf Vergütungsanspruch)
Ergänzung Kategorien BiK51nM1K17-01, BiK81M1bK16y07, BiK82M2bK16y07, BiK83a2bK16-07, BiK81GbK17--07
Ergänzung der Vergütungssätze für PV-Anlagen mit Inbetriebnahme Mai bis Juli 2018
</t>
  </si>
  <si>
    <t>BiK83K17----04</t>
  </si>
  <si>
    <t>BiK51nM1K14y02</t>
  </si>
  <si>
    <t>BiK51aM2K14y02</t>
  </si>
  <si>
    <t>BiK81M1K17y-08</t>
  </si>
  <si>
    <t>BiK82M2K17y-08</t>
  </si>
  <si>
    <t>BiK81GbK17y-06</t>
  </si>
  <si>
    <t>BiK82GbK17y-06</t>
  </si>
  <si>
    <t>Ergänzung Kategorien BiK83K17----04, BiK51nM1K14y02, BiK51aM2K14y02, BiK51nM1K14y02, BiK51aM2K14y02, BiK81M1K17y-08, BiK82M2K17y-08, BiK81GbK17y-06, BiK82GbK17y-06
Ergänzung der Vergütungssätze für PV-Anlagen mit Inbetriebnahme August bis Oktober 2018
Ergänzung der Vergütungssätze für Windanlagen an Land mit Inbetriebnahme Oktober bis Dezember 2018</t>
  </si>
  <si>
    <t>WaK400------19</t>
  </si>
  <si>
    <t>WaK401------19</t>
  </si>
  <si>
    <t>WaK402------19</t>
  </si>
  <si>
    <t>WaK403------19</t>
  </si>
  <si>
    <t>WaK404------19</t>
  </si>
  <si>
    <t>WaK405------19</t>
  </si>
  <si>
    <t>WaK406------19</t>
  </si>
  <si>
    <t>WaK400M-----19</t>
  </si>
  <si>
    <t>WaK401M-----19</t>
  </si>
  <si>
    <t>WaK402M-----19</t>
  </si>
  <si>
    <t>WaK403M-----19</t>
  </si>
  <si>
    <t>WaK404M-----19</t>
  </si>
  <si>
    <t>WaK405M-----19</t>
  </si>
  <si>
    <t>WaK406M-----19</t>
  </si>
  <si>
    <t>BiK420----Q119</t>
  </si>
  <si>
    <t>BiK421----Q119</t>
  </si>
  <si>
    <t>BiK422----Q119</t>
  </si>
  <si>
    <t>BiK423----Q119</t>
  </si>
  <si>
    <t>BiK420----Q219</t>
  </si>
  <si>
    <t>BiK421----Q219</t>
  </si>
  <si>
    <t>BiK422----Q219</t>
  </si>
  <si>
    <t>BiK423----Q219</t>
  </si>
  <si>
    <t>BiK420----Q319</t>
  </si>
  <si>
    <t>BiK421----Q319</t>
  </si>
  <si>
    <t>BiK422----Q319</t>
  </si>
  <si>
    <t>BiK423----Q319</t>
  </si>
  <si>
    <t>BiK420----Q419</t>
  </si>
  <si>
    <t>BiK421----Q419</t>
  </si>
  <si>
    <t>BiK422----Q419</t>
  </si>
  <si>
    <t>BiK423----Q419</t>
  </si>
  <si>
    <t>BiK430----Q119</t>
  </si>
  <si>
    <t>BiK431----Q119</t>
  </si>
  <si>
    <t>BiK430----Q219</t>
  </si>
  <si>
    <t>BiK431----Q219</t>
  </si>
  <si>
    <t>BiK430----Q319</t>
  </si>
  <si>
    <t>BiK431----Q319</t>
  </si>
  <si>
    <t>BiK430----Q419</t>
  </si>
  <si>
    <t>BiK431----Q419</t>
  </si>
  <si>
    <t>Ergänzung der Kategorien für das Jahr 2019</t>
  </si>
  <si>
    <t>BiK440----Q119</t>
  </si>
  <si>
    <t>BiK440----Q219</t>
  </si>
  <si>
    <t>BiK440----Q319</t>
  </si>
  <si>
    <t>BiK440----Q419</t>
  </si>
  <si>
    <t>Inbetriebnahme 01-03/2019</t>
  </si>
  <si>
    <t>Inbetriebnahme 04-06/2019</t>
  </si>
  <si>
    <t>Inbetriebnahme 07-09/2019</t>
  </si>
  <si>
    <t>Inbetriebnahme 10-12/2019</t>
  </si>
  <si>
    <t>Inbetriebnahme 2019</t>
  </si>
  <si>
    <t>DeK4111-----19</t>
  </si>
  <si>
    <t>DeK4112-----19</t>
  </si>
  <si>
    <t>KlK4121-----19</t>
  </si>
  <si>
    <t>KlK4122-----19</t>
  </si>
  <si>
    <t>GrK4131-----19</t>
  </si>
  <si>
    <t>GrK4132-----19</t>
  </si>
  <si>
    <t>GrK4133-----19</t>
  </si>
  <si>
    <t>GeK450------19</t>
  </si>
  <si>
    <t>WfK470------19</t>
  </si>
  <si>
    <t>WfK472------19</t>
  </si>
  <si>
    <t>WfK471------19</t>
  </si>
  <si>
    <t>Onshore - Vergütung nach § 46b i.V.m. § 36h EEG 2017</t>
  </si>
  <si>
    <t>WnK46b------19</t>
  </si>
  <si>
    <t>SoK481---Jan19</t>
  </si>
  <si>
    <t>SoK481---Feb19</t>
  </si>
  <si>
    <t>SoK481---Mrz19</t>
  </si>
  <si>
    <t>SoK481---Apr19</t>
  </si>
  <si>
    <t>SoK481---Mai19</t>
  </si>
  <si>
    <t>SoK481---Jun19</t>
  </si>
  <si>
    <t>SoK481---Jul19</t>
  </si>
  <si>
    <t>SoK481---Aug19</t>
  </si>
  <si>
    <t>SoK481---Sep19</t>
  </si>
  <si>
    <t>SoK481---Okt19</t>
  </si>
  <si>
    <t>SoK481---Nov19</t>
  </si>
  <si>
    <t>SoK481---Dez19</t>
  </si>
  <si>
    <t>Inbetriebnahme 01/2019</t>
  </si>
  <si>
    <t>Inbetriebnahme 02/2019</t>
  </si>
  <si>
    <t>Inbetriebnahme 03/2019</t>
  </si>
  <si>
    <t>Inbetriebnahme 04/2019</t>
  </si>
  <si>
    <t>Inbetriebnahme 05/2019</t>
  </si>
  <si>
    <t>Inbetriebnahme 06/2019</t>
  </si>
  <si>
    <t>Inbetriebnahme 07/2019</t>
  </si>
  <si>
    <t>Inbetriebnahme 08/2019</t>
  </si>
  <si>
    <t>Inbetriebnahme 09/2019</t>
  </si>
  <si>
    <t>Inbetriebnahme 10/2019</t>
  </si>
  <si>
    <t>Inbetriebnahme 11/2019</t>
  </si>
  <si>
    <t>Inbetriebnahme 12/2019</t>
  </si>
  <si>
    <t>Jan19</t>
  </si>
  <si>
    <t>SgK4820--Jan19</t>
  </si>
  <si>
    <t>SgK4820--Feb19</t>
  </si>
  <si>
    <t>SgK4820--Mrz19</t>
  </si>
  <si>
    <t>SgK4820--Apr19</t>
  </si>
  <si>
    <t>SgK4820--Mai19</t>
  </si>
  <si>
    <t>SgK4820--Jun19</t>
  </si>
  <si>
    <t>SgK4820--Jul19</t>
  </si>
  <si>
    <t>SgK4820--Aug19</t>
  </si>
  <si>
    <t>SgK4820--Sep19</t>
  </si>
  <si>
    <t>SgK4820--Okt19</t>
  </si>
  <si>
    <t>SgK4820--Nov19</t>
  </si>
  <si>
    <t>SgK4820--Dez19</t>
  </si>
  <si>
    <t>20-50 MW, IB vor 01.01.2009, Modernisierung 2019</t>
  </si>
  <si>
    <t>0-0,5 MW, IB vor 01.01.2009, Modernisierung 2019</t>
  </si>
  <si>
    <t>0,5-2 MW, IB vor 01.01.2009, Modernisierung 2019</t>
  </si>
  <si>
    <t>2-5 MW, IB vor 01.01.2009, Modernisierung 2019</t>
  </si>
  <si>
    <t>5-10 MW, IB vor 01.01.2009, Modernisierung 2019</t>
  </si>
  <si>
    <t>10-20 MW, IB vor 01.01.2009, Modernisierung 2019</t>
  </si>
  <si>
    <t>&gt; 50 MW, IB vor 01.01.2009, Modernisierung 2019</t>
  </si>
  <si>
    <t>Modernisierung 2019</t>
  </si>
  <si>
    <t>BiK81a1bK18-07</t>
  </si>
  <si>
    <t>Anteil KWK, erstmals 2018</t>
  </si>
  <si>
    <t>BiK82a1bK18-07</t>
  </si>
  <si>
    <t>AW (Anzuleg. Wert)</t>
  </si>
  <si>
    <t>EV (Einspeisevergütung i.V.m. § 37)</t>
  </si>
  <si>
    <t>§ 48 EEG 2014</t>
  </si>
  <si>
    <t>EV (Einspeisevergütung i.V.m. § 53)</t>
  </si>
  <si>
    <t>§ 45 EEG 2017</t>
  </si>
  <si>
    <t>SgK-kVG--SV--0</t>
  </si>
  <si>
    <t>Ergänzung Kategorien BiK81a1bK18-07, BiK82a1bK18-07
Ergänzung der Vergütungssätze für PV-Anlagen mit Inbetriebnahme November 2018 bis Dezember 2018
Ergänzung Selbstverbrauchskatgorie Sgk-kVG--SV--0 bei Verzicht auf Vergütungsanspruch</t>
  </si>
  <si>
    <t>Vergärung von Gülle in Anlagen bis maximal 150 kW installierter Leistung</t>
  </si>
  <si>
    <t>Verringerung auf Marktwert nach § 25 Abs. 2 Nr. 1 und Nr. 1b (Verstoß gegen technische Vorgaben)</t>
  </si>
  <si>
    <t>Vergärung von Gülle in Anlagen bis maximal 75 bzw. mit IB nach dem 20.12. bis maximal 150 kW installierter Leistung</t>
  </si>
  <si>
    <t>BiK81M1K18--05</t>
  </si>
  <si>
    <t>BiK82M2K18--05</t>
  </si>
  <si>
    <t>BiK83a2K18--05</t>
  </si>
  <si>
    <t>Ergänzung der Kategorien BiK81M1K18--05, BiK82M2K18--05 und BiK83a2K18--05
Ergänzung der Vergütungssätze für PV-Anlagen mit Inbetriebnahme Januar 2019 bis April 2019</t>
  </si>
  <si>
    <t>Anpassung der Beschreibungen hinsichtlich § 52 Abs. 3 EEG 2017 (nach EnSaG)</t>
  </si>
  <si>
    <t>BiK83a2K17--05</t>
  </si>
  <si>
    <t>BiK81M1K17--05</t>
  </si>
  <si>
    <t>BiK82M2K17--05</t>
  </si>
  <si>
    <t>Ergänzung der Kategorien BiK81M1K17--05, BiK82M2K17--05 und BiK83a2K17--05
Ergänzung der Vergütungssätze für PV-Anlagen mit Inbetriebnahme April 2019 bis Juli 2019</t>
  </si>
  <si>
    <t>Ergänzung der Kategorien BiK83a2bK13-07</t>
  </si>
  <si>
    <t>BiK83a2bK13-07</t>
  </si>
  <si>
    <t>BiK81M1K18--06</t>
  </si>
  <si>
    <t>BiK82M2K18--06</t>
  </si>
  <si>
    <t>Ergänzung der Kategorien BiK81M1K18--06 und BiK82M2K18--06
Änderung des Mieterstromzuschlags für die Leistungsstufe ab 40 kW für Inbetriebnahme im Januar 2019 durch Artikel 5 Nr. 15 Buchstabe c des Gesetzes zur Beschleunigung des Energieleitungsbaus (NABEG 2.0)
Ergänzung der Vergütungssätze für PV-Anlagen mit Inbetriebnahme August 2019 bis Oktober 2019</t>
  </si>
  <si>
    <t>Datum an dem der Anspruch auf Förderung beendet ist.</t>
  </si>
  <si>
    <t>WaK400------20</t>
  </si>
  <si>
    <t>WaK401------20</t>
  </si>
  <si>
    <t>WaK402------20</t>
  </si>
  <si>
    <t>WaK403------20</t>
  </si>
  <si>
    <t>WaK404------20</t>
  </si>
  <si>
    <t>WaK405------20</t>
  </si>
  <si>
    <t>WaK406------20</t>
  </si>
  <si>
    <t>WaK400M-----20</t>
  </si>
  <si>
    <t>WaK401M-----20</t>
  </si>
  <si>
    <t>WaK402M-----20</t>
  </si>
  <si>
    <t>WaK403M-----20</t>
  </si>
  <si>
    <t>WaK404M-----20</t>
  </si>
  <si>
    <t>WaK405M-----20</t>
  </si>
  <si>
    <t>WaK406M-----20</t>
  </si>
  <si>
    <t>Inbetriebnahme 2020</t>
  </si>
  <si>
    <t>Modernisierung 2020</t>
  </si>
  <si>
    <t>0-0,5 MW, IB vor 01.01.2009, Modernisierung 2020</t>
  </si>
  <si>
    <t>0,5-2 MW, IB vor 01.01.2009, Modernisierung 2020</t>
  </si>
  <si>
    <t>2-5 MW, IB vor 01.01.2009, Modernisierung 2020</t>
  </si>
  <si>
    <t>5-10 MW, IB vor 01.01.2009, Modernisierung 2020</t>
  </si>
  <si>
    <t>10-20 MW, IB vor 01.01.2009, Modernisierung 2020</t>
  </si>
  <si>
    <t>20-50 MW, IB vor 01.01.2009, Modernisierung 2020</t>
  </si>
  <si>
    <t>&gt; 50 MW, IB vor 01.01.2009, Modernisierung 2020</t>
  </si>
  <si>
    <t>Inbetriebnahme 01-03/2020</t>
  </si>
  <si>
    <t>Inbetriebnahme 04-06/2020</t>
  </si>
  <si>
    <t>Inbetriebnahme 07-09/2020</t>
  </si>
  <si>
    <t>Inbetriebnahme 10-12/2020</t>
  </si>
  <si>
    <t>BiK420----Q120</t>
  </si>
  <si>
    <t>BiK421----Q120</t>
  </si>
  <si>
    <t>BiK422----Q120</t>
  </si>
  <si>
    <t>BiK423----Q120</t>
  </si>
  <si>
    <t>BiK420----Q220</t>
  </si>
  <si>
    <t>BiK421----Q220</t>
  </si>
  <si>
    <t>BiK422----Q220</t>
  </si>
  <si>
    <t>BiK423----Q220</t>
  </si>
  <si>
    <t>BiK420----Q320</t>
  </si>
  <si>
    <t>BiK421----Q320</t>
  </si>
  <si>
    <t>BiK422----Q320</t>
  </si>
  <si>
    <t>BiK423----Q320</t>
  </si>
  <si>
    <t>BiK420----Q420</t>
  </si>
  <si>
    <t>BiK421----Q420</t>
  </si>
  <si>
    <t>BiK422----Q420</t>
  </si>
  <si>
    <t>BiK423----Q420</t>
  </si>
  <si>
    <t>BiK430----Q120</t>
  </si>
  <si>
    <t>BiK431----Q120</t>
  </si>
  <si>
    <t>BiK430----Q220</t>
  </si>
  <si>
    <t>BiK431----Q220</t>
  </si>
  <si>
    <t>BiK430----Q320</t>
  </si>
  <si>
    <t>BiK431----Q320</t>
  </si>
  <si>
    <t>BiK430----Q420</t>
  </si>
  <si>
    <t>BiK431----Q420</t>
  </si>
  <si>
    <t>BiK440----Q120</t>
  </si>
  <si>
    <t>BiK440----Q220</t>
  </si>
  <si>
    <t>BiK440----Q320</t>
  </si>
  <si>
    <t>BiK440----Q420</t>
  </si>
  <si>
    <t>DeK4111-----20</t>
  </si>
  <si>
    <t>DeK4112-----20</t>
  </si>
  <si>
    <t>KlK4121-----20</t>
  </si>
  <si>
    <t>KlK4122-----20</t>
  </si>
  <si>
    <t>GrK4131-----20</t>
  </si>
  <si>
    <t>GrK4132-----20</t>
  </si>
  <si>
    <t>GrK4133-----20</t>
  </si>
  <si>
    <t>GeK450------20</t>
  </si>
  <si>
    <t>WnK46b------20</t>
  </si>
  <si>
    <t>WfK470------20</t>
  </si>
  <si>
    <t>WfK472------20</t>
  </si>
  <si>
    <t>SoK481---Jan20</t>
  </si>
  <si>
    <t>Inbetriebnahme 01/2020</t>
  </si>
  <si>
    <t>SoK481---Feb20</t>
  </si>
  <si>
    <t>Inbetriebnahme 02/2020</t>
  </si>
  <si>
    <t>SoK481---Mrz20</t>
  </si>
  <si>
    <t>Inbetriebnahme 03/2020</t>
  </si>
  <si>
    <t>SoK481---Apr20</t>
  </si>
  <si>
    <t>Inbetriebnahme 04/2020</t>
  </si>
  <si>
    <t>SoK481---Mai20</t>
  </si>
  <si>
    <t>Inbetriebnahme 05/2020</t>
  </si>
  <si>
    <t>SoK481---Jun20</t>
  </si>
  <si>
    <t>Inbetriebnahme 06/2020</t>
  </si>
  <si>
    <t>SoK481---Jul20</t>
  </si>
  <si>
    <t>Inbetriebnahme 07/2020</t>
  </si>
  <si>
    <t>SoK481---Aug20</t>
  </si>
  <si>
    <t>Inbetriebnahme 08/2020</t>
  </si>
  <si>
    <t>SoK481---Sep20</t>
  </si>
  <si>
    <t>Inbetriebnahme 09/2020</t>
  </si>
  <si>
    <t>SoK481---Okt20</t>
  </si>
  <si>
    <t>Inbetriebnahme 10/2020</t>
  </si>
  <si>
    <t>SoK481---Nov20</t>
  </si>
  <si>
    <t>Inbetriebnahme 11/2020</t>
  </si>
  <si>
    <t>SoK481---Dez20</t>
  </si>
  <si>
    <t>Inbetriebnahme 12/2020</t>
  </si>
  <si>
    <t>Jan20</t>
  </si>
  <si>
    <t>SgK4820--Jan20</t>
  </si>
  <si>
    <t>SgK4820--Feb20</t>
  </si>
  <si>
    <t>SgK4820--Mrz20</t>
  </si>
  <si>
    <t>SgK4820--Apr20</t>
  </si>
  <si>
    <t>SgK4820--Mai20</t>
  </si>
  <si>
    <t>SgK4820--Jun20</t>
  </si>
  <si>
    <t>SgK4820--Jul20</t>
  </si>
  <si>
    <t>SgK4820--Aug20</t>
  </si>
  <si>
    <t>SgK4820--Sep20</t>
  </si>
  <si>
    <t>SgK4820--Okt20</t>
  </si>
  <si>
    <t>SgK4820--Nov20</t>
  </si>
  <si>
    <t>SgK4820--Dez20</t>
  </si>
  <si>
    <t>gem. § 3 EEG 2014 keine Degression</t>
  </si>
  <si>
    <t>Grundvergütung</t>
  </si>
  <si>
    <t>Einfügen Tabellenblatt 'Kategorien Auslauf d. Förderung'
Löschung von Wasserkraftkategorien &gt; 5 MW, Zubau Inbetriebnahme 08-12/2004 wegen Auslaufen der Förderung
Ergänzung der Kategorien für das Jahr 2020</t>
  </si>
  <si>
    <t>BiK81GbK19y-07</t>
  </si>
  <si>
    <t>Anteil KWK, erstmals 2019</t>
  </si>
  <si>
    <t>BiK82GbK19y-07</t>
  </si>
  <si>
    <t>BiK83a2bK19-07</t>
  </si>
  <si>
    <t>Ergänzung der Vergütungssätze für PV-Anlagen mit Inbetriebnahme November 2019 bis Januar 2020</t>
  </si>
  <si>
    <t>Ergänzung der Kategorien BBiK81GbK19y-07, BiK82GbK19y-07 und BiK83a2bK19-07
Ergänzung der Vergütungssätze für PV-Anlagen mit Inbetriebnahme Februar 2020 bis April 2020</t>
  </si>
  <si>
    <t>BiK81M1K17--08</t>
  </si>
  <si>
    <t>BiK82M2K17--08</t>
  </si>
  <si>
    <t>BiK81M1K19y-06</t>
  </si>
  <si>
    <t>BiK82M2K19y-06</t>
  </si>
  <si>
    <t>BiK83a2K19--06</t>
  </si>
  <si>
    <t>BiK82M2bK19y06</t>
  </si>
  <si>
    <t>BiK81M1K20--04</t>
  </si>
  <si>
    <t>Anteil KWK, erstmals 2020</t>
  </si>
  <si>
    <t>BiK81GbK15--06</t>
  </si>
  <si>
    <t>BiK82GbK15--06</t>
  </si>
  <si>
    <t>BiK81GbK18y-06</t>
  </si>
  <si>
    <t>BiK82GbK18y-06</t>
  </si>
  <si>
    <t>BiK81M1bK19y06</t>
  </si>
  <si>
    <t>BiK82K17----05</t>
  </si>
  <si>
    <t>BiK81K17----05</t>
  </si>
  <si>
    <t>BiK81M1K17y-05</t>
  </si>
  <si>
    <t>BiK82M2K17y-05</t>
  </si>
  <si>
    <t>Ergänzung Vergütungskategorien BiK81M1K17--08 und BiK82M2K17--08
Ergänzung Vergütungskategorien BiK81M1K19y-06, BiK82M2K19y-06, BiK83a2K19--06 und BiK82M2bK19y06
Ergänzung Vergütungskategorie BiK81M1K20--04
Ergänzung Vergütungskategorien BiK81GbK18y-06, BiK82GbK18y-06, BiK81GbK15--06, BiK82GbK15--06, BiK81M1bK19y06, BiK81K17----05, BiK81M1K17y-05, BiK82K17----05 und BiK82M2K17y-05
Korrektur Beschreibung "Weitere Kriterien" für BiK82M2bK19y06
Ergänzung der Vergütungssätze für PV-Anlagen mit Inbetriebnahme Mai 2020 bis Juli 2020</t>
  </si>
  <si>
    <t>Ergänzung der Vergütungssätze für PV-Anlagen mit Inbetriebnahme August 2020 bis Oktober 2020</t>
  </si>
  <si>
    <t>Ergänzung der Vergütungssätze für PV-Anlagen mit Inbetriebnahme November 2020 bis Dezember 2020</t>
  </si>
  <si>
    <t>§ 40 Abs. 2 EEG 2021</t>
  </si>
  <si>
    <t>Inbetriebnahme 2021</t>
  </si>
  <si>
    <t>Modernisierung 2021</t>
  </si>
  <si>
    <t>0-0,5 MW, IB vor 01.01.2009, Modernisierung 2021</t>
  </si>
  <si>
    <t>0,5-2 MW, IB vor 01.01.2009, Modernisierung 2021</t>
  </si>
  <si>
    <t>2-5 MW, IB vor 01.01.2009, Modernisierung 2021</t>
  </si>
  <si>
    <t>5-10 MW, IB vor 01.01.2009, Modernisierung 2021</t>
  </si>
  <si>
    <t>10-20 MW, IB vor 01.01.2009, Modernisierung 2021</t>
  </si>
  <si>
    <t>20-50 MW, IB vor 01.01.2009, Modernisierung 2021</t>
  </si>
  <si>
    <t>&gt; 50 MW, IB vor 01.01.2009, Modernisierung 2021</t>
  </si>
  <si>
    <t>WaK400------21</t>
  </si>
  <si>
    <t>WaK401------21</t>
  </si>
  <si>
    <t>WaK402------21</t>
  </si>
  <si>
    <t>WaK403------21</t>
  </si>
  <si>
    <t>WaK404------21</t>
  </si>
  <si>
    <t>WaK405------21</t>
  </si>
  <si>
    <t>WaK406------21</t>
  </si>
  <si>
    <t>WaK400M-----21</t>
  </si>
  <si>
    <t>WaK401M-----21</t>
  </si>
  <si>
    <t>WaK402M-----21</t>
  </si>
  <si>
    <t>WaK403M-----21</t>
  </si>
  <si>
    <t>WaK404M-----21</t>
  </si>
  <si>
    <t>WaK405M-----21</t>
  </si>
  <si>
    <t>WaK406M-----21</t>
  </si>
  <si>
    <t>DeK4111-----21</t>
  </si>
  <si>
    <t>DeK4112-----21</t>
  </si>
  <si>
    <t>KlK4121-----21</t>
  </si>
  <si>
    <t>KlK4122-----21</t>
  </si>
  <si>
    <t>GrK4131-----21</t>
  </si>
  <si>
    <t>GrK4132-----21</t>
  </si>
  <si>
    <t>GrK4133-----21</t>
  </si>
  <si>
    <t>GeK450------21</t>
  </si>
  <si>
    <t>SoK481---Jan21</t>
  </si>
  <si>
    <t>SoK481---Feb21</t>
  </si>
  <si>
    <t>SoK481---Mrz21</t>
  </si>
  <si>
    <t>SoK481---Apr21</t>
  </si>
  <si>
    <t>SoK481---Mai21</t>
  </si>
  <si>
    <t>SoK481---Jun21</t>
  </si>
  <si>
    <t>SoK481---Jul21</t>
  </si>
  <si>
    <t>SoK481---Aug21</t>
  </si>
  <si>
    <t>SoK481---Sep21</t>
  </si>
  <si>
    <t>SoK481---Okt21</t>
  </si>
  <si>
    <t>SoK481---Nov21</t>
  </si>
  <si>
    <t>SoK481---Dez21</t>
  </si>
  <si>
    <t>Inbetriebnahme 01/2021</t>
  </si>
  <si>
    <t>Inbetriebnahme 02/2021</t>
  </si>
  <si>
    <t>Inbetriebnahme 03/2021</t>
  </si>
  <si>
    <t>Inbetriebnahme 04/2021</t>
  </si>
  <si>
    <t>Inbetriebnahme 05/2021</t>
  </si>
  <si>
    <t>Inbetriebnahme 06/2021</t>
  </si>
  <si>
    <t>Inbetriebnahme 07/2021</t>
  </si>
  <si>
    <t>Inbetriebnahme 08/2021</t>
  </si>
  <si>
    <t>Inbetriebnahme 09/2021</t>
  </si>
  <si>
    <t>Inbetriebnahme 10/2021</t>
  </si>
  <si>
    <t>Inbetriebnahme 11/2021</t>
  </si>
  <si>
    <t>Inbetriebnahme 12/2021</t>
  </si>
  <si>
    <t>Jan21</t>
  </si>
  <si>
    <t>&gt; 5 MW, Zubau. Anspruch auf Förderung gem. § 12 Abs. 3 Satz 2 EEG 2004 zum 31.12.2020 beendet</t>
  </si>
  <si>
    <t>&gt; 5 MW, Zubau. Anspruch auf Förderung gem. § 12 Abs. 3 Satz 2 EEG 2004 zum 31.12.2019 beendet</t>
  </si>
  <si>
    <t>Onshore - Vergütung nach § 46 i.V.m. § 36h EEG 2021</t>
  </si>
  <si>
    <t>8. Zuordnung von EEG-Anlagen zu den Vergütungskategorien</t>
  </si>
  <si>
    <t>SgK485-------0</t>
  </si>
  <si>
    <t>SgK485--MPM--0</t>
  </si>
  <si>
    <t>BiK420------21</t>
  </si>
  <si>
    <t>BiK440------21</t>
  </si>
  <si>
    <t>BiK430------21</t>
  </si>
  <si>
    <t>BiK431------21</t>
  </si>
  <si>
    <t>(1) Bei ausgeförderten Anlagen, die keine Windenergieanlagen an Land sind und eine installierte Leistung von bis zu 100 Kilowatt haben, ist als anzulegender Wert</t>
  </si>
  <si>
    <t>für die Höhe des Anspruchs auf die Einspeisevergütung nach § 19 Absatz 1 Nummer 2 in Verbindung mit § 21 Absatz 1 Nummer 3 der Jahresmarktwert anzuwenden,</t>
  </si>
  <si>
    <t>(2) Bei ausgeförderten Windenergieanlagen an Land, bei denen der ursprüngliche Anspruch auf Zahlung nach der für die Anlage maßgeblichen Fassung des</t>
  </si>
  <si>
    <t>WaK23b1----aMW</t>
  </si>
  <si>
    <t>BiK23b1----aMW</t>
  </si>
  <si>
    <t>GeK23b1----aMW</t>
  </si>
  <si>
    <t>SoK23b1----aMW</t>
  </si>
  <si>
    <t>WaK1007-----01</t>
  </si>
  <si>
    <t>GaK23b1----aMW</t>
  </si>
  <si>
    <t>ausgeförderte Anlagen, 0 bis 100 kW</t>
  </si>
  <si>
    <t>WiK23b1----aMW</t>
  </si>
  <si>
    <t>WiK23b22---eMW</t>
  </si>
  <si>
    <t>WiK23b21----AS</t>
  </si>
  <si>
    <t>BiK101100---01</t>
  </si>
  <si>
    <t>BiK101100MPM01</t>
  </si>
  <si>
    <t xml:space="preserve">Die Vergütung berechnet sich für Anlagen mit erstmaliger Inanspruchnahme bis zum 31.12.2020 aus der installierten Leistung der Anlage multipliziert mit dem Faktor 40 €/kW und Jahr. </t>
  </si>
  <si>
    <t xml:space="preserve">Die Vergütung berechnet sich für Anlagen mit Inanspruchnahme erstmals nach dem 01.01.2021 aus der installierten Leistung der Anlage multipliziert mit dem Faktor 65 €/kW und Jahr. </t>
  </si>
  <si>
    <t>Kategorien Anschlussförderung für Altholz-Anlagen nach  § 101 EEG 2021</t>
  </si>
  <si>
    <t xml:space="preserve">2. im Kalenderjahr 2023 80 Prozent des anzulegenden Werts für den in der jeweiligen Anlage erzeugten Strom nach dem Erneuerbare-Energien-Gesetz in der für die Anlage bisher maßgeblichen Fassung, </t>
  </si>
  <si>
    <t xml:space="preserve">3. im Kalenderjahr 2024 60 Prozent des anzulegenden Werts für den in der jeweiligen Anlage erzeugten Strom nach dem Erneuerbare-Energien-Gesetz in der für die Anlage bisher maßgeblichen Fassung, </t>
  </si>
  <si>
    <t>4. im Kalenderjahr 2025 40 Prozent des anzulegenden Werts für den in der jeweiligen Anlage erzeugten Strom nach dem Erneuerbare-Energien-Gesetz in der für die Anlage bisher maßgeblichen Fassung,</t>
  </si>
  <si>
    <t>Kategorien für ausgeförderte Anlagen gem. § 3 Nr. 3a) EEG 2021</t>
  </si>
  <si>
    <t>WaK1007-----02</t>
  </si>
  <si>
    <t>WaK1007-----03</t>
  </si>
  <si>
    <t>WaK1007-010704</t>
  </si>
  <si>
    <t>WaK1007-081204</t>
  </si>
  <si>
    <t>WaK1007-----06</t>
  </si>
  <si>
    <t>WaK1007-----05</t>
  </si>
  <si>
    <t>WaK1007-----07</t>
  </si>
  <si>
    <t>WaK1007-----08</t>
  </si>
  <si>
    <t>WaK1007-----09</t>
  </si>
  <si>
    <t>WaK1007M----09</t>
  </si>
  <si>
    <t>WaK1007-----10</t>
  </si>
  <si>
    <t>WaK1007M----10</t>
  </si>
  <si>
    <t>WaK1007-----11</t>
  </si>
  <si>
    <t>WaK1007M----11</t>
  </si>
  <si>
    <t>WaK1007BS---12</t>
  </si>
  <si>
    <t>WaK1007-----12</t>
  </si>
  <si>
    <t>WaK1007BS---13</t>
  </si>
  <si>
    <t>WaK1007-----13</t>
  </si>
  <si>
    <t>Inbetriebnahme 01-07/2014</t>
  </si>
  <si>
    <t>WaK1007-010714</t>
  </si>
  <si>
    <t>WaK1007-081214</t>
  </si>
  <si>
    <t>WaK1007-----15</t>
  </si>
  <si>
    <t>WaK1007-----16</t>
  </si>
  <si>
    <t>WaK1007-----17</t>
  </si>
  <si>
    <t>WaK1007-----18</t>
  </si>
  <si>
    <t>WaK1007-----19</t>
  </si>
  <si>
    <t>0-0,5 MW, Anlage nur bis 500 kW installierte Leistung</t>
  </si>
  <si>
    <t>0-0,5 MW, Anlage nur bis 500 kW installierte Leistung, Modernisierung</t>
  </si>
  <si>
    <t xml:space="preserve">0-0,5 MW, Anlage &lt; 5 MW, Modernisierung </t>
  </si>
  <si>
    <t>0-0,5 MW, Anlage &lt; 5 MW</t>
  </si>
  <si>
    <t>0-0,5 MW, Anlage nur bis 500 kW installierte Leistung mit IB vor 01.08.2004, Modernisierung</t>
  </si>
  <si>
    <t>0-0,5 MW, Anlage 0,5-5 MW, wasserrechtliche Genehmigung vor 01.01.2012 (Bestandsschutz nach § 66 Abs. 5 EEG 2012)</t>
  </si>
  <si>
    <t>0-0,5 MW, Anlage &lt; 5 MW mit IB vor 01.08.2004, Modernisierung (Bestandsschutz nach § 66 Abs. 14 EEG 2012)</t>
  </si>
  <si>
    <t>WaK1007-----20</t>
  </si>
  <si>
    <t>0,5-2 MW, Anlage &lt; 5 MW</t>
  </si>
  <si>
    <t xml:space="preserve">0,5-5 MW, Anlage &lt; 5 MW, Modernisierung </t>
  </si>
  <si>
    <t>0,5-5 MW, Anlage &lt; 5 MW mit IB vor 01.08.2004, Modernisierung (Bestandsschutz nach § 66 Abs. 14 EEG 2012)</t>
  </si>
  <si>
    <t>0,5-5 MW, Bonusregel K erstmals 2009</t>
  </si>
  <si>
    <t>0,5-5 MW, Bonusregel K erstmals 2010</t>
  </si>
  <si>
    <t>0,5-5 MW, Bonusregel K erstmals 2011</t>
  </si>
  <si>
    <t>0,5-5 MW, Bonusregel K erstmals 2012</t>
  </si>
  <si>
    <t>0,5-5 MW, Bonusregeln a2, K erstmals 2009</t>
  </si>
  <si>
    <t>0,5-5 MW, Bonusregeln a2, K erstmals 2010</t>
  </si>
  <si>
    <t>0,5-5 MW, Bonusregeln a2, K erstmals 2011</t>
  </si>
  <si>
    <t>0,5-5 MW, Bonusregeln a2, K erstmals 2012</t>
  </si>
  <si>
    <t>0,5-5 MW, Bonusregel a3</t>
  </si>
  <si>
    <t>0,5-5 MW, Bonusregeln a3, K erstmals 2009</t>
  </si>
  <si>
    <t>0,5-5 MW, Bonusregeln a3, K erstmals 2010</t>
  </si>
  <si>
    <t>0,5-5 MW, Bonusregeln a3, K erstmals 2011</t>
  </si>
  <si>
    <t>0,5-5 MW, Bonusregeln a3, K erstmals 2012</t>
  </si>
  <si>
    <t>0,5-5 MW, Bonusregel K erstmals 2013</t>
  </si>
  <si>
    <t>0,5-5 MW, Bonusregeln a2, K erstmals 2013</t>
  </si>
  <si>
    <t xml:space="preserve">0,5-5 MW, Bonusregeln a2, K erstmals 2014                  </t>
  </si>
  <si>
    <t>0,5-5 MW, Bonusregeln a2, K erstmals 2015</t>
  </si>
  <si>
    <t>0,5-5 MW, Bonusregel K erstmals 2015</t>
  </si>
  <si>
    <t>0,5-5 MW, Bonusregel K erstmals 2016</t>
  </si>
  <si>
    <t>0,5-5 MW, Bonusregeln a2, K erstmals 2017</t>
  </si>
  <si>
    <t>0,5-5 MW, Bonusregel KWK</t>
  </si>
  <si>
    <t>0,5-5 MW, Bonusregel a2 und KWK</t>
  </si>
  <si>
    <t>0,5-5 MW, Bonusregeln a2 und K erstmals 2009</t>
  </si>
  <si>
    <t>0,5-5 MW, Bonusregeln a2 und K erstmals 2010</t>
  </si>
  <si>
    <t>0,5-5 MW, Bonusregeln a2 und K erstmals 2011</t>
  </si>
  <si>
    <t>0,5-5 MW, Bonusregeln a2 und K erstmals 2012</t>
  </si>
  <si>
    <t>0,5-5 MW, Bonusregel a3 und KWK</t>
  </si>
  <si>
    <t>0,5-5 MW, Bonusregeln a3 und K erstmals 2009</t>
  </si>
  <si>
    <t>0,5-5 MW, Bonusregeln a3 und K erstmals 2010</t>
  </si>
  <si>
    <t>0,5-5 MW, Bonusregeln a3 und K erstmals 2011</t>
  </si>
  <si>
    <t>0,5-5 MW, Bonusregeln a3 und K erstmals 2012</t>
  </si>
  <si>
    <t>0,5-5 MW, Bonusregel b</t>
  </si>
  <si>
    <t>0,5-5 MW, Bonusregel b und KWK</t>
  </si>
  <si>
    <t>0,5-5 MW, Bonusregel b und K erstmals 2009</t>
  </si>
  <si>
    <t>0,5-5 MW, Bonusregel b und K erstmals 2010</t>
  </si>
  <si>
    <t>0,5-5 MW, Bonusregel b und K erstmals 2011</t>
  </si>
  <si>
    <t>0,5-5 MW, Bonusregel b und K erstmals 2012</t>
  </si>
  <si>
    <t>0,5-5 MW, Bonusregeln a2 und b</t>
  </si>
  <si>
    <t>0,5-5 MW, Bonusregeln a2, b und KWK</t>
  </si>
  <si>
    <t>0,5-5 MW, Bonusregeln a2, b und K erstmals 2009</t>
  </si>
  <si>
    <t>0,5-5 MW, Bonusregeln a2, b und K erstmals 2010</t>
  </si>
  <si>
    <t>0,5-5 MW, Bonusregeln a2, b und K erstmals 2011</t>
  </si>
  <si>
    <t>0,5-5 MW, Bonusregeln a2, b und K erstmals 2012</t>
  </si>
  <si>
    <t>0,5-5 MW, Bonusregeln a3 und b</t>
  </si>
  <si>
    <t>0,5-5 MW, Bonusregeln a3, b und KWK</t>
  </si>
  <si>
    <t>0,5-5 MW, Bonusregeln a3, b und K erstmals 2009</t>
  </si>
  <si>
    <t>0,5-5 MW, Bonusregeln a3, b und K erstmals 2010</t>
  </si>
  <si>
    <t>0,5-5 MW, Bonusregeln a3, b und K erstmals 2011</t>
  </si>
  <si>
    <t>0,5-5 MW, Bonusregeln a3, b und K erstmals 2012</t>
  </si>
  <si>
    <t>0,5-5 MW, Bonusregeln a2, b und K erstmals 2013</t>
  </si>
  <si>
    <t>0,5-5 MW, Bonusregel K erstmals 2017</t>
  </si>
  <si>
    <t>0,5-5 MW, Bonusregeln a2 und K erstmals 2013</t>
  </si>
  <si>
    <t>0,5-5 MW, Bonusregel K erstmals 2014</t>
  </si>
  <si>
    <t>0,5-5 MW, Bonusregeln a2, b und K erstmals 2015</t>
  </si>
  <si>
    <t>0,5-5 MW, Bonusregeln a2 und K erstmals 2017</t>
  </si>
  <si>
    <t>0,5-5 MW, Bonusregeln a2 und K erstmals 2018</t>
  </si>
  <si>
    <t>0-0,15 MW, Bonusregel G</t>
  </si>
  <si>
    <t>0-0,15 MW, Bonusregeln G und K wenn Anlage 3 erfüllt</t>
  </si>
  <si>
    <t>0-0,15 MW, Bonusregeln G und K erstmals 2009</t>
  </si>
  <si>
    <t>0-0,15 MW, Bonusregeln G und K erstmals 2010</t>
  </si>
  <si>
    <t>0-0,15 MW, Bonusregeln G und K erstmals 2011</t>
  </si>
  <si>
    <t>0-0,15 MW, Bonusregeln G und K erstmals 2012</t>
  </si>
  <si>
    <t>0-0,15 MW, Bonusregel G, y</t>
  </si>
  <si>
    <t>0-0,15 MW, Bonusregeln G, y und K wenn Anlage 3 erfüllt</t>
  </si>
  <si>
    <t>0-0,15 MW, Bonusregeln G, y und K erstmals 2009</t>
  </si>
  <si>
    <t>0-0,15 MW, Bonusregeln G, y und K erstmals 2010</t>
  </si>
  <si>
    <t>0-0,15 MW, Bonusregeln G, y und K erstmals 2011</t>
  </si>
  <si>
    <t>0-0,15 MW, Bonusregeln G, y und K erstmals 2012</t>
  </si>
  <si>
    <t>0-0,15 MW, Bonusregel M1</t>
  </si>
  <si>
    <t>0-0,15 MW, Bonusregeln M1 und K wenn Anlage 3 erfüllt</t>
  </si>
  <si>
    <t>0-0,15 MW, Bonusregeln M1 und K erstmals 2009</t>
  </si>
  <si>
    <t>0-0,15 MW, Bonusregeln M1 und K erstmals 2010</t>
  </si>
  <si>
    <t>0-0,15 MW, Bonusregeln M1 und K erstmals 2011</t>
  </si>
  <si>
    <t>0-0,15 MW, Bonusregeln M1 und K erstmals 2012</t>
  </si>
  <si>
    <t>0-0,15 MW, Bonusregeln M1, y</t>
  </si>
  <si>
    <t>0-0,15 MW, Bonusregeln M1, y und K wenn Anlage 3 erfüllt</t>
  </si>
  <si>
    <t>0-0,15 MW, Bonusregeln M1, y und K erstmals 2009</t>
  </si>
  <si>
    <t>0-0,15 MW, Bonusregeln M1, y und K erstmals 2010</t>
  </si>
  <si>
    <t>0-0,15 MW, Bonusregeln M1, y und K erstmals 2011</t>
  </si>
  <si>
    <t>0-0,15 MW, Bonusregeln M1, y und K erstmals 2012</t>
  </si>
  <si>
    <t>0-0,15 MW, Bonusregel L</t>
  </si>
  <si>
    <t>0-0,15 MW, Bonusregeln L und K wenn Anlage 3 erfüllt</t>
  </si>
  <si>
    <t>0-0,15 MW, Bonusregeln L und K erstmals 2009</t>
  </si>
  <si>
    <t>0-0,15 MW, Bonusregeln L und K erstmals 2010</t>
  </si>
  <si>
    <t>0-0,15 MW, Bonusregeln L und K erstmals 2011</t>
  </si>
  <si>
    <t>0-0,15 MW, Bonusregeln L und K erstmals 2012</t>
  </si>
  <si>
    <t>0-0,15 MW, Bonusregeln L, y</t>
  </si>
  <si>
    <t>0-0,15 MW, Bonusregeln L, y und K wenn Anlage 3 erfüllt</t>
  </si>
  <si>
    <t>0-0,15 MW, Bonusregeln L, y und K erstmals 2009</t>
  </si>
  <si>
    <t>0-0,15 MW, Bonusregeln L, y und K erstmals 2010</t>
  </si>
  <si>
    <t>0-0,15 MW, Bonusregeln L, y und K erstmals 2011</t>
  </si>
  <si>
    <t>0-0,15 MW, Bonusregeln L, y und K erstmals 2012</t>
  </si>
  <si>
    <t>0-0,15 MW, Bonusregel X1</t>
  </si>
  <si>
    <t>0-0,15 MW, Bonusregeln X1 und K wenn Anlage 3 erfüllt</t>
  </si>
  <si>
    <t>0-0,15 MW, Bonusregeln X1 und K erstmals 2009</t>
  </si>
  <si>
    <t>0-0,15 MW, Bonusregeln X1 und K erstmals 2010</t>
  </si>
  <si>
    <t>0-0,15 MW, Bonusregeln X1 und K erstmals 2011</t>
  </si>
  <si>
    <t>0-0,15 MW, Bonusregeln X1 und K erstmals 2012</t>
  </si>
  <si>
    <t>0-0,15 MW, Bonusregeln X1, y</t>
  </si>
  <si>
    <t>0-0,15 MW, Bonusregeln X1, y und K wenn Anlage 3 erfüllt</t>
  </si>
  <si>
    <t>0-0,15 MW, Bonusregeln X1, y und K erstmals 2009</t>
  </si>
  <si>
    <t>0-0,15 MW, Bonusregeln X1, y und K erstmals 2010</t>
  </si>
  <si>
    <t>0-0,15 MW, Bonusregeln X1, y und K erstmals 2011</t>
  </si>
  <si>
    <t>0-0,15 MW, Bonusregeln X1, y und K erstmals 2012</t>
  </si>
  <si>
    <t>0-0,15 MW, Bonusregeln M1 und K erstmals 2013</t>
  </si>
  <si>
    <t>0-0,15 MW, Bonusregeln M1, y und K erstmals 2013</t>
  </si>
  <si>
    <t>0-0,15 MW, Bonusregeln X1, y und K erstmals 2013</t>
  </si>
  <si>
    <t>0-0,15 MW, Bonusregeln G und K erstmals 2014</t>
  </si>
  <si>
    <t>0-0,15 MW, Bonusregeln M1 und K erstmals 2015</t>
  </si>
  <si>
    <t>0-0,15 MW, Bonusregeln M1, y und K erstmals 2015</t>
  </si>
  <si>
    <t>0-0,15 MW, Bonusregeln M1 und K erstmals 2017</t>
  </si>
  <si>
    <t>0-0,15 MW, Bonusregel M1, K erstmals 2016</t>
  </si>
  <si>
    <t>0-0,15 MW, Bonusregeln G, y</t>
  </si>
  <si>
    <t>0-0,15 MW, Bonusregeln M1, y und K erstmals 2017</t>
  </si>
  <si>
    <t>0-0,15 MW, Bonusregel KWK</t>
  </si>
  <si>
    <t>0-0,15 MW, Bonusregel K wenn Anlage 3 erfüllt</t>
  </si>
  <si>
    <t>0-0,15 MW, Bonusregel K erstmals 2009</t>
  </si>
  <si>
    <t>0-0,15 MW, Bonusregel K erstmals 2010</t>
  </si>
  <si>
    <t>0-0,15 MW, Bonusregel K erstmals 2011</t>
  </si>
  <si>
    <t>0-0,15 MW, Bonusregel K erstmals 2012</t>
  </si>
  <si>
    <t>0-0,15 MW, Bonusregel y</t>
  </si>
  <si>
    <t>0-0,15 MW, Bonusregeln y und KWK</t>
  </si>
  <si>
    <t>0-0,15 MW, Bonusregeln y und K wenn Anlage 3 erfüllt</t>
  </si>
  <si>
    <t>0-0,15 MW, Bonusregeln y und K erstmals 2009</t>
  </si>
  <si>
    <t>0-0,15 MW, Bonusregeln y und K erstmals 2010</t>
  </si>
  <si>
    <t>0-0,15 MW, Bonusregeln y und K erstmals 2011</t>
  </si>
  <si>
    <t>0-0,15 MW, Bonusregeln y und K erstmals 2012</t>
  </si>
  <si>
    <t>0-0,15 MW, Bonusregel a1</t>
  </si>
  <si>
    <t>0-0,15 MW, Bonusregeln a1 und KWK</t>
  </si>
  <si>
    <t>0-0,15 MW, Bonusregeln a1 und K wenn Anlage 3 erfüllt</t>
  </si>
  <si>
    <t>0-0,15 MW, Bonusregeln a1, K erstmals 2009</t>
  </si>
  <si>
    <t>0-0,15 MW, Bonusregeln a1, K erstmals 2010</t>
  </si>
  <si>
    <t>0-0,15 MW, Bonusregeln a1, K erstmals 2011</t>
  </si>
  <si>
    <t>0-0,15 MW, Bonusregeln a1, K erstmals 2012</t>
  </si>
  <si>
    <t>0-0,15 MW, Bonusregeln a1, y</t>
  </si>
  <si>
    <t>0-0,15 MW, Bonusregeln a1, y und KWK</t>
  </si>
  <si>
    <t>0-0,15 MW, Bonusregeln a1, y und K wenn Anlage 3 erfüllt</t>
  </si>
  <si>
    <t>0-0,15 MW, Bonusregeln a1, y und K erstmals 2009</t>
  </si>
  <si>
    <t>0-0,15 MW, Bonusregeln a1, y und K erstmals 2010</t>
  </si>
  <si>
    <t>0-0,15 MW, Bonusregeln a1, y und K erstmals 2011</t>
  </si>
  <si>
    <t>0-0,15 MW, Bonusregeln a1, y und K erstmals 2012</t>
  </si>
  <si>
    <t>0-0,15 MW, Bonusregeln G und KWK</t>
  </si>
  <si>
    <t>0-0,15 MW, Bonusregeln G, y und KWK</t>
  </si>
  <si>
    <t>0-0,15 MW, Bonusregeln M1 und KWK</t>
  </si>
  <si>
    <t>0-0,15 MW, Bonusregeln M1, K erstmals 2009</t>
  </si>
  <si>
    <t>0-0,15 MW, Bonusregeln M1, K erstmals 2010</t>
  </si>
  <si>
    <t>0-0,15 MW, Bonusregeln M1, K erstmals 2011</t>
  </si>
  <si>
    <t>0-0,15 MW, Bonusregeln M1, K erstmals 2012</t>
  </si>
  <si>
    <t>0-0,15 MW, Bonusregeln M1, y und KWK</t>
  </si>
  <si>
    <t>0-0,15 MW, Bonusregeln L und KWK</t>
  </si>
  <si>
    <t>0-0,15 MW, Bonusregeln L, y und KWK</t>
  </si>
  <si>
    <t>0-0,15 MW, Bonusregeln X1 und KWK</t>
  </si>
  <si>
    <t>0-0,15 MW, Bonusregeln X1, y und KWK</t>
  </si>
  <si>
    <t>0-0,15 MW, Bonusregel b</t>
  </si>
  <si>
    <t>0-0,15 MW, Bonusregeln b und KWK</t>
  </si>
  <si>
    <t>0-0,15 MW, Bonusregeln b und K wenn Anlage 3 erfüllt</t>
  </si>
  <si>
    <t>0-0,15 MW, Bonusregeln b und K erstmals 2009</t>
  </si>
  <si>
    <t>0-0,15 MW, Bonusregeln b und K erstmals 2010</t>
  </si>
  <si>
    <t>0-0,15 MW, Bonusregeln b und K erstmals 2011</t>
  </si>
  <si>
    <t>0-0,15 MW, Bonusregeln b und K erstmals 2012</t>
  </si>
  <si>
    <t>0-0,15 MW, Bonusregeln b, y</t>
  </si>
  <si>
    <t>0-0,15 MW, Bonusregeln b, y und KWK</t>
  </si>
  <si>
    <t>0-0,15 MW, Bonusregeln b, y und K wenn Anlage 3 erfüllt</t>
  </si>
  <si>
    <t>0-0,15 MW, Bonusregeln b, y und K erstmals 2009</t>
  </si>
  <si>
    <t>0-0,15 MW, Bonusregeln b, y und K erstmals 2010</t>
  </si>
  <si>
    <t>0-0,15 MW, Bonusregeln b, y und K erstmals 2011</t>
  </si>
  <si>
    <t>0-0,15 MW, Bonusregeln b, y und K erstmals 2012</t>
  </si>
  <si>
    <t>0-0,15 MW, Bonusregeln a1 und b</t>
  </si>
  <si>
    <t>0-0,15 MW, Bonusregeln a1, b und KWK</t>
  </si>
  <si>
    <t>0-0,15 MW, Bonusregeln a1, b und K wenn Anlage 3 erfüllt</t>
  </si>
  <si>
    <t>0-0,15 MW, Bonusregeln a1, b und K erstmals 2009</t>
  </si>
  <si>
    <t>0-0,15 MW, Bonusregeln a1, b und K erstmals 2010</t>
  </si>
  <si>
    <t>0-0,15 MW, Bonusregeln a1, b und K erstmals 2011</t>
  </si>
  <si>
    <t>0-0,15 MW, Bonusregeln a1, b und K erstmals 2012</t>
  </si>
  <si>
    <t>0-0,15 MW, Bonusregeln a1, b, y</t>
  </si>
  <si>
    <t>0-0,15 MW, Bonusregeln a1, b, y und KWK</t>
  </si>
  <si>
    <t>0-0,15 MW, Bonusregeln a1, b, y und K wenn Anlage 3 erfüllt</t>
  </si>
  <si>
    <t>0-0,15 MW, Bonusregeln a1, b, y und K erstmals 2009</t>
  </si>
  <si>
    <t>0-0,15 MW, Bonusregeln a1, b, y und K erstmals 2010</t>
  </si>
  <si>
    <t>0-0,15 MW, Bonusregeln a1, b, y und K erstmals 2011</t>
  </si>
  <si>
    <t>0-0,15 MW, Bonusregeln a1, b, y und K erstmals 2012</t>
  </si>
  <si>
    <t>0-0,15 MW, Bonusregeln G, b</t>
  </si>
  <si>
    <t>0-0,15 MW, Bonusregeln G, b und KWK</t>
  </si>
  <si>
    <t>0-0,15 MW, Bonusregeln G, b und K wenn Anlage 3 erfüllt</t>
  </si>
  <si>
    <t>0-0,15 MW, Bonusregeln G, b und K erstmals 2009</t>
  </si>
  <si>
    <t>0-0,15 MW, Bonusregeln G, b und K erstmals 2010</t>
  </si>
  <si>
    <t>0-0,15 MW, Bonusregeln G, b und K erstmals 2011</t>
  </si>
  <si>
    <t>0-0,15 MW, Bonusregeln G, b und K erstmals 2012</t>
  </si>
  <si>
    <t>0-0,15 MW, Bonusregeln G, y, b</t>
  </si>
  <si>
    <t>0-0,15 MW, Bonusregeln G, y, b und KWK</t>
  </si>
  <si>
    <t>0-0,15 MW, Bonusregeln G, y, b und K wenn Anlage 3 erfüllt</t>
  </si>
  <si>
    <t>0-0,15 MW, Bonusregeln G, y, b und K erstmals 2009</t>
  </si>
  <si>
    <t>0-0,15 MW, Bonusregeln G, y, b und K erstmals 2010</t>
  </si>
  <si>
    <t>0-0,15 MW, Bonusregeln G, y, b und K erstmals 2011</t>
  </si>
  <si>
    <t>0-0,15 MW, Bonusregeln G, y, b und K erstmals 2012</t>
  </si>
  <si>
    <t>0-0,15 MW, Bonusregeln M1, b</t>
  </si>
  <si>
    <t>0-0,15 MW, Bonusregeln M1, b und KWK</t>
  </si>
  <si>
    <t>0-0,15 MW, Bonusregeln M1, b und K wenn Anlage 3 erfüllt</t>
  </si>
  <si>
    <t>0-0,15 MW, Bonusregeln M1, b und K erstmals 2009</t>
  </si>
  <si>
    <t>0-0,15 MW, Bonusregeln M1, b und K erstmals 2010</t>
  </si>
  <si>
    <t>0-0,15 MW, Bonusregeln M1, b und K erstmals 2011</t>
  </si>
  <si>
    <t>0-0,15 MW, Bonusregeln M1, b und K erstmals 2012</t>
  </si>
  <si>
    <t>0-0,15 MW, Bonusregeln M1, y, b</t>
  </si>
  <si>
    <t>0-0,15 MW, Bonusregeln M1, y, b und KWK</t>
  </si>
  <si>
    <t>0-0,15 MW, Bonusregeln M1, y, b und K wenn Anlage 3 erfüllt</t>
  </si>
  <si>
    <t>0-0,15 MW, Bonusregeln M1, y, b und K erstmals 2009</t>
  </si>
  <si>
    <t>0-0,15 MW, Bonusregeln M1, y, b und K erstmals 2010</t>
  </si>
  <si>
    <t>0-0,15 MW, Bonusregeln M1, y, b und K erstmals 2011</t>
  </si>
  <si>
    <t>0-0,15 MW, Bonusregeln M1, y, b und K erstmals 2012</t>
  </si>
  <si>
    <t>0-0,15 MW, Bonusregeln L, b</t>
  </si>
  <si>
    <t>0-0,15 MW, Bonusregeln L, b und KWK</t>
  </si>
  <si>
    <t>0-0,15 MW, Bonusregeln L, b und K wenn Anlage 3 erfüllt</t>
  </si>
  <si>
    <t>0-0,15 MW, Bonusregeln L, b und K erstmals 2009</t>
  </si>
  <si>
    <t>0-0,15 MW, Bonusregeln L, b und K erstmals 2010</t>
  </si>
  <si>
    <t>0-0,15 MW, Bonusregeln L, b und K erstmals 2011</t>
  </si>
  <si>
    <t>0-0,15 MW, Bonusregeln L, b und K erstmals 2012</t>
  </si>
  <si>
    <t>0-0,15 MW, Bonusregeln L, y, b</t>
  </si>
  <si>
    <t>0-0,15 MW, Bonusregeln L, y, b und KWK</t>
  </si>
  <si>
    <t>0-0,15 MW, Bonusregeln L, y, b und K wenn Anlage 3 erfüllt</t>
  </si>
  <si>
    <t>0-0,15 MW, Bonusregeln L, y, b und K erstmals 2009</t>
  </si>
  <si>
    <t>0-0,15 MW, Bonusregeln L, y, b und K erstmals 2010</t>
  </si>
  <si>
    <t>0-0,15 MW, Bonusregeln L, y, b und K erstmals 2011</t>
  </si>
  <si>
    <t>0-0,15 MW, Bonusregeln L, y, b und K erstmals 2012</t>
  </si>
  <si>
    <t>0-0,15 MW, Bonusregeln X1, b</t>
  </si>
  <si>
    <t>0-0,15 MW, Bonusregeln X1, b und KWK</t>
  </si>
  <si>
    <t>0-0,15 MW, Bonusregeln X1, b und K wenn Anlage 3 erfüllt</t>
  </si>
  <si>
    <t>0-0,15 MW, Bonusregeln X1, b und K erstmals 2009</t>
  </si>
  <si>
    <t>0-0,15 MW, Bonusregeln X1, b und K erstmals 2010</t>
  </si>
  <si>
    <t>0-0,15 MW, Bonusregeln X1, b und K erstmals 2011</t>
  </si>
  <si>
    <t>0-0,15 MW, Bonusregeln X1, b und K erstmals 2012</t>
  </si>
  <si>
    <t>0-0,15 MW, Bonusregeln X1, y, b</t>
  </si>
  <si>
    <t>0-0,15 MW, Bonusregeln X1, y, b und KWK</t>
  </si>
  <si>
    <t>0-0,15 MW, Bonusregeln X1, y, b und K wenn Anlage 3 erfüllt</t>
  </si>
  <si>
    <t>0-0,15 MW, Bonusregeln X1, y, b und K erstmals 2009</t>
  </si>
  <si>
    <t>0-0,15 MW, Bonusregeln X1, y, b und K erstmals 2010</t>
  </si>
  <si>
    <t>0-0,15 MW, Bonusregeln X1, y, b und K erstmals 2011</t>
  </si>
  <si>
    <t>0-0,15 MW, Bonusregeln X1, y, b und K erstmals 2012</t>
  </si>
  <si>
    <t>0-0,15 MW, Bonusregeln G, y, b und K erstmals 2013</t>
  </si>
  <si>
    <t>0-0,15 MW, Bonusregeln M1, K erstmals 2013</t>
  </si>
  <si>
    <t>0-0,15 MW, Bonusregeln M1, y, b und K erstmals 2013</t>
  </si>
  <si>
    <t>0-0,15 MW, Bonusregeln M1 und K erstmals 2020</t>
  </si>
  <si>
    <t>0-0,15 MW, Bonusregeln a1 und K erstmals 2009</t>
  </si>
  <si>
    <t>0-0,15 MW, Bonusregeln a1 und K erstmals 2010</t>
  </si>
  <si>
    <t>0-0,15 MW, Bonusregeln a1 und K erstmals 2011</t>
  </si>
  <si>
    <t>0-0,15 MW, Bonusregeln a1 und K erstmals 2012</t>
  </si>
  <si>
    <t>0-0,15 MW, Bonusregeln G und K erstmals 2013</t>
  </si>
  <si>
    <t>0-0,15 MW, Bonusregeln a1, b, y und K erstmals 2013</t>
  </si>
  <si>
    <t>0-0,15 MW, Bonusregel K erstmals 2014</t>
  </si>
  <si>
    <t>0-0,15 MW, Bonusregeln M1, y, b und K erstmals 2015</t>
  </si>
  <si>
    <t>0-0,15 MW, Bonusregeln M1, K erstmals 2016</t>
  </si>
  <si>
    <t>0-0,15 MW, Bonusregeln M1, y, b und K erstmals 2016</t>
  </si>
  <si>
    <t>0-0,15 MW, Bonusregel K erstmals 2017</t>
  </si>
  <si>
    <t>0-0,15 MW, Bonusregeln M1, K erstmals 2017</t>
  </si>
  <si>
    <t>0-0,15 MW, Bonusregeln M1, y, K erstmals 2017</t>
  </si>
  <si>
    <t>0-0,15 MW, Bonusregeln M1, y, b und K erstmals 2017</t>
  </si>
  <si>
    <t>0-0,15 MW, Bonusregeln M1, K erstmals 2018</t>
  </si>
  <si>
    <t>0-0,15 MW, Bonusregel K erstmals 2013</t>
  </si>
  <si>
    <t>0-0,15 MW, Bonusregeln G, b und K erstmals 2013</t>
  </si>
  <si>
    <t>0-0,15 MW, Bonusregeln M1, K erstmals 2014</t>
  </si>
  <si>
    <t>0-0,15 MW, Bonusregeln G, b und K erstmals 2015</t>
  </si>
  <si>
    <t>0-0,15 MW, Bonusregeln G, y, b und K erstmals 2015</t>
  </si>
  <si>
    <t>0-0,15 MW, Bonusregel M1 und K erstmals 2016</t>
  </si>
  <si>
    <t>0-0,15 MW, Bonusregeln G, y, b und K erstmals 2017</t>
  </si>
  <si>
    <t>0-0,15 MW, Bonusregeln G, y, b und K erstmals 2018</t>
  </si>
  <si>
    <t>0-0,15 MW, Bonusregel M1 und K erstmals 2018</t>
  </si>
  <si>
    <t>0-0,15 MW, Bonusregel M1, y  und K erstmals 2019</t>
  </si>
  <si>
    <t>0-0,15 MW, Bonusregel M1, y, b  und K erstmals 2019</t>
  </si>
  <si>
    <t>0-0,15 MW, Bonusregeln M1, K erstmals 2015</t>
  </si>
  <si>
    <t>0-0,15 MW, Bonusregeln M1, y und K erstmals 2016</t>
  </si>
  <si>
    <t>0-0,15 MW, Bonusregeln a1, K erstmals 2017</t>
  </si>
  <si>
    <t>0-0,15 MW, Bonusregeln G, b und K erstmals 2017</t>
  </si>
  <si>
    <t>0-0,15 MW, Bonusregeln a1, b und K erstmals 2018</t>
  </si>
  <si>
    <t>0-0,15 MW, Bonusregeln G, y, b und K erstmals 2019</t>
  </si>
  <si>
    <t>0-0,15 MW, Bonusregeln y, KWK</t>
  </si>
  <si>
    <t>0-0,15 MW, Bonusregeln y, K wenn Anlage 3 erfüllt</t>
  </si>
  <si>
    <t>0-0,15 MW, Bonusregeln y, K erstmals 2009</t>
  </si>
  <si>
    <t>0-0,15 MW, Bonusregeln y, K erstmals 2010</t>
  </si>
  <si>
    <t>0-0,15 MW, Bonusregeln y, K erstmals 2011</t>
  </si>
  <si>
    <t>0-0,15 MW, Bonusregeln y, K erstmals 2012</t>
  </si>
  <si>
    <t>0-0,15 MW, Bonusregeln a1, b</t>
  </si>
  <si>
    <t>0,15-0,5 MW, Bonusregel G</t>
  </si>
  <si>
    <t>0,15-0,5 MW, Bonusregeln G und K wenn Anlage 3 erfüllt</t>
  </si>
  <si>
    <t>0,15-0,5 MW, Bonusregeln G und K erstmals 2009</t>
  </si>
  <si>
    <t>0,15-0,5 MW, Bonusregeln G und K erstmals 2010</t>
  </si>
  <si>
    <t>0,15-0,5 MW, Bonusregeln G und K erstmals 2011</t>
  </si>
  <si>
    <t>0,15-0,5 MW, Bonusregeln G und K erstmals 2012</t>
  </si>
  <si>
    <t>0,15-0,5 MW, Bonusregel G, y</t>
  </si>
  <si>
    <t>0,15-0,5 MW, Bonusregeln G, y und K wenn Anlage 3 erfüllt</t>
  </si>
  <si>
    <t>0,15-0,5 MW, Bonusregeln G, y und K erstmals 2009</t>
  </si>
  <si>
    <t>0,15-0,5 MW, Bonusregeln G, y und K erstmals 2010</t>
  </si>
  <si>
    <t>0,15-0,5 MW, Bonusregeln G, y und K erstmals 2011</t>
  </si>
  <si>
    <t>0,15-0,5 MW, Bonusregeln G, y und K erstmals 2012</t>
  </si>
  <si>
    <t>0,15-0,5 MW, Bonusregel M2</t>
  </si>
  <si>
    <t>0,15-0,5 MW, Bonusregeln M2 und K wenn Anlage 3 erfüllt</t>
  </si>
  <si>
    <t>0,15-0,5 MW, Bonusregeln M2 und K erstmals 2009</t>
  </si>
  <si>
    <t>0,15-0,5 MW, Bonusregeln M2 und K erstmals 2010</t>
  </si>
  <si>
    <t>0,15-0,5 MW, Bonusregeln M2 und K erstmals 2011</t>
  </si>
  <si>
    <t>0,15-0,5 MW, Bonusregeln M2 und K erstmals 2012</t>
  </si>
  <si>
    <t>0,15-0,5 MW, Bonusregeln M2, y</t>
  </si>
  <si>
    <t>0,15-0,5 MW, Bonusregeln M2, y und K wenn Anlage 3 erfüllt</t>
  </si>
  <si>
    <t>0,15-0,5 MW, Bonusregeln M2, y und K erstmals 2009</t>
  </si>
  <si>
    <t>0,15-0,5 MW, Bonusregeln M2, y und K erstmals 2010</t>
  </si>
  <si>
    <t>0,15-0,5 MW, Bonusregeln M2, y und K erstmals 2011</t>
  </si>
  <si>
    <t>0,15-0,5 MW, Bonusregeln M2, y und K erstmals 2012</t>
  </si>
  <si>
    <t>0,15-0,5 MW, Bonusregel L</t>
  </si>
  <si>
    <t>0,15-0,5 MW, Bonusregeln L und K wenn Anlage 3 erfüllt</t>
  </si>
  <si>
    <t>0,15-0,5 MW, Bonusregeln L und K erstmals 2009</t>
  </si>
  <si>
    <t>0,15-0,5 MW, Bonusregeln L und K erstmals 2010</t>
  </si>
  <si>
    <t>0,15-0,5 MW, Bonusregeln L und K erstmals 2011</t>
  </si>
  <si>
    <t>0,15-0,5 MW, Bonusregeln L und K erstmals 2012</t>
  </si>
  <si>
    <t>0,15-0,5 MW, Bonusregeln L, y</t>
  </si>
  <si>
    <t>0,15-0,5 MW, Bonusregeln L, y und K wenn Anlage 3 erfüllt</t>
  </si>
  <si>
    <t>0,15-0,5 MW, Bonusregeln L, y und K erstmals 2009</t>
  </si>
  <si>
    <t>0,15-0,5 MW, Bonusregeln L, y und K erstmals 2010</t>
  </si>
  <si>
    <t>0,15-0,5 MW, Bonusregeln L, y und K erstmals 2011</t>
  </si>
  <si>
    <t>0,15-0,5 MW, Bonusregeln L, y und K erstmals 2012</t>
  </si>
  <si>
    <t>0,15-0,5 MW, Bonusregel X2</t>
  </si>
  <si>
    <t>0,15-0,5 MW, Bonusregeln X2 und K wenn Anlage 3 erfüllt</t>
  </si>
  <si>
    <t>0,15-0,5 MW, Bonusregeln X2 und K erstmals 2009</t>
  </si>
  <si>
    <t>0,15-0,5 MW, Bonusregeln X2 und K erstmals 2010</t>
  </si>
  <si>
    <t>0,15-0,5 MW, Bonusregeln X2 und K erstmals 2011</t>
  </si>
  <si>
    <t>0,15-0,5 MW, Bonusregeln X2 und K erstmals 2012</t>
  </si>
  <si>
    <t>0,15-0,5 MW, Bonusregeln X2, y</t>
  </si>
  <si>
    <t>0,15-0,5 MW, Bonusregeln X2, y und K wenn Anlage 3 erfüllt</t>
  </si>
  <si>
    <t>0,15-0,5 MW, Bonusregeln X2, y und K erstmals 2009</t>
  </si>
  <si>
    <t>0,15-0,5 MW, Bonusregeln X2, y und K erstmals 2010</t>
  </si>
  <si>
    <t>0,15-0,5 MW, Bonusregeln X2, y und K erstmals 2011</t>
  </si>
  <si>
    <t>0,15-0,5 MW, Bonusregeln X2, y und K erstmals 2012</t>
  </si>
  <si>
    <t>0,15-0,5 MW, Bonusregeln M2 und K erstmals 2013</t>
  </si>
  <si>
    <t>0,15-0,5 MW, Bonusregeln M2, y und K erstmals 2013</t>
  </si>
  <si>
    <t>0,15-0,5 MW, Bonusregeln X2, y und K erstmals 2013</t>
  </si>
  <si>
    <t>0,15-0,5 MW, Bonusregeln G und K erstmals 2014</t>
  </si>
  <si>
    <t>0,15-0,5 MW, Bonusregeln M2 und K erstmals 2014</t>
  </si>
  <si>
    <t>0,15-0,5 MW, Bonusregeln M2 und K erstmals 2015</t>
  </si>
  <si>
    <t>0,15-0,5 MW, Bonusregeln M2, y und K erstmals 2015</t>
  </si>
  <si>
    <t>0,15-0,5 MW, Bonusregeln G, y</t>
  </si>
  <si>
    <t>0,15-0,5 MW, Bonusregeln M2, y und K erstmals 2017</t>
  </si>
  <si>
    <t>0,15-0,5 MW, Bonusregel KWK</t>
  </si>
  <si>
    <t>0,15-0,5 MW, Bonusregel K wenn Anlage 3 erfüllt</t>
  </si>
  <si>
    <t>0,15-0,5 MW, Bonusregel K erstmals 2009</t>
  </si>
  <si>
    <t>0,15-0,5 MW, Bonusregel K erstmals 2010</t>
  </si>
  <si>
    <t>0,15-0,5 MW, Bonusregel K erstmals 2011</t>
  </si>
  <si>
    <t>0,15-0,5 MW, Bonusregel K erstmals 2012</t>
  </si>
  <si>
    <t>0,15-0,5 MW, Bonusregel y</t>
  </si>
  <si>
    <t>0,15-0,5 MW, Bonusregeln y und KWK</t>
  </si>
  <si>
    <t>0,15-0,5 MW, Bonusregeln y und K wenn Anlage 3 erfüllt</t>
  </si>
  <si>
    <t>0,15-0,5 MW, Bonusregeln y und K erstmals 2009</t>
  </si>
  <si>
    <t>0,15-0,5 MW, Bonusregeln y und K erstmals 2010</t>
  </si>
  <si>
    <t>0,15-0,5 MW, Bonusregeln y und K erstmals 2011</t>
  </si>
  <si>
    <t>0,15-0,5 MW, Bonusregeln y und K erstmals 2012</t>
  </si>
  <si>
    <t>0,15-0,5 MW, Bonusregel a1</t>
  </si>
  <si>
    <t>0,15-0,5 MW, Bonusregel a1 und KWK</t>
  </si>
  <si>
    <t>0,15-0,5 MW, Bonusregeln a1 und K wenn Anlage 3 erfüllt</t>
  </si>
  <si>
    <t>0,15-0,5 MW, Bonusregeln a1 und K erstmals 2009</t>
  </si>
  <si>
    <t>0,15-0,5 MW, Bonusregeln a1 und K erstmals 2010</t>
  </si>
  <si>
    <t>0,15-0,5 MW, Bonusregeln a1 und K erstmals 2011</t>
  </si>
  <si>
    <t>0,15-0,5 MW, Bonusregeln a1 und K erstmals 2012</t>
  </si>
  <si>
    <t>0,15-0,5 MW, Bonusregeln a1, y</t>
  </si>
  <si>
    <t>0,15-0,5 MW, Bonusregeln a1, y und KWK</t>
  </si>
  <si>
    <t>0,15-0,5 MW, Bonusregeln a1, y und K wenn Anlage 3 erfüllt</t>
  </si>
  <si>
    <t>0,15-0,5 MW, Bonusregeln a1, y und K erstmals 2009</t>
  </si>
  <si>
    <t>0,15-0,5 MW, Bonusregeln a1, y und K erstmals 2010</t>
  </si>
  <si>
    <t>0,15-0,5 MW, Bonusregeln a1, y und K erstmals 2011</t>
  </si>
  <si>
    <t>0,15-0,5 MW, Bonusregeln a1, y und K erstmals 2012</t>
  </si>
  <si>
    <t>0,15-0,5 MW, Bonusregeln G und KWK</t>
  </si>
  <si>
    <t>0,15-0,5 MW, Bonusregeln G, y und KWK</t>
  </si>
  <si>
    <t>0,15-0,5 MW, Bonusregeln M2 und KWK</t>
  </si>
  <si>
    <t>0,15-0,5 MW, Bonusregeln M2, K erstmals 2009</t>
  </si>
  <si>
    <t>0,15-0,5 MW, Bonusregeln M2, K erstmals 2010</t>
  </si>
  <si>
    <t>0,15-0,5 MW, Bonusregeln M2, K erstmals 2011</t>
  </si>
  <si>
    <t>0,15-0,5 MW, Bonusregeln M2, K erstmals 2012</t>
  </si>
  <si>
    <t>0,15-0,5 MW, Bonusregeln M2, y und KWK</t>
  </si>
  <si>
    <t>0,15-0,5 MW, Bonusregeln L und KWK</t>
  </si>
  <si>
    <t>0,15-0,5 MW, Bonusregeln L, y und KWK</t>
  </si>
  <si>
    <t>0,15-0,5 MW, Bonusregeln X2 und KWK</t>
  </si>
  <si>
    <t>0,15-0,5 MW, Bonusregeln X2, y und KWK</t>
  </si>
  <si>
    <t>0,15-0,5 MW, Bonusregel b</t>
  </si>
  <si>
    <t>0,15-0,5 MW, Bonusregeln b und KWK</t>
  </si>
  <si>
    <t>0,15-0,5 MW, Bonusregeln b und K wenn Anlage 3 erfüllt</t>
  </si>
  <si>
    <t>0,15-0,5 MW, Bonusregeln b und K erstmals 2009</t>
  </si>
  <si>
    <t>0,15-0,5 MW, Bonusregeln b und K erstmals 2010</t>
  </si>
  <si>
    <t>0,15-0,5 MW, Bonusregeln b und K erstmals 2011</t>
  </si>
  <si>
    <t>0,15-0,5 MW, Bonusregeln b und K erstmals 2012</t>
  </si>
  <si>
    <t>0,15-0,5 MW, Bonusregeln b, y</t>
  </si>
  <si>
    <t>0,15-0,5 MW, Bonusregeln b, y und KWK</t>
  </si>
  <si>
    <t>0,15-0,5 MW, Bonusregeln b, y und K wenn Anlage 3 erfüllt</t>
  </si>
  <si>
    <t>0,15-0,5 MW, Bonusregeln b, y und K erstmals 2009</t>
  </si>
  <si>
    <t>0,15-0,5 MW, Bonusregeln b, y und K erstmals 2010</t>
  </si>
  <si>
    <t>0,15-0,5 MW, Bonusregeln b, y und K erstmals 2011</t>
  </si>
  <si>
    <t>0,15-0,5 MW, Bonusregeln b, y und K erstmals 2012</t>
  </si>
  <si>
    <t>0,15-0,5 MW, Bonusregeln a1 und b</t>
  </si>
  <si>
    <t>0,15-0,5 MW, Bonusregeln a1, b und KWK</t>
  </si>
  <si>
    <t>0,15-0,5 MW, Bonusregeln a1, b und K wenn Anlage 3 erfüllt</t>
  </si>
  <si>
    <t>0,15-0,5 MW, Bonusregeln a1, b und K erstmals 2009</t>
  </si>
  <si>
    <t>0,15-0,5 MW, Bonusregeln a1, b und K erstmals 2010</t>
  </si>
  <si>
    <t>0,15-0,5 MW, Bonusregeln a1, b und K erstmals 2011</t>
  </si>
  <si>
    <t>0,15-0,5 MW, Bonusregeln a1, b und K erstmals 2012</t>
  </si>
  <si>
    <t>0,15-0,5 MW, Bonusregeln a1, b, y</t>
  </si>
  <si>
    <t>0,15-0,5 MW, Bonusregeln a1, b, y und KWK</t>
  </si>
  <si>
    <t>0,15-0,5 MW, Bonusregeln a1, b, y und K wenn Anlage 3 erfüllt</t>
  </si>
  <si>
    <t>0,15-0,5 MW, Bonusregeln a1, b, y und K erstmals 2009</t>
  </si>
  <si>
    <t>0,15-0,5 MW, Bonusregeln a1, b, y und K erstmals 2010</t>
  </si>
  <si>
    <t>0,15-0,5 MW, Bonusregeln a1, b, y und K erstmals 2011</t>
  </si>
  <si>
    <t>0,15-0,5 MW, Bonusregeln a1, b, y und K erstmals 2012</t>
  </si>
  <si>
    <t>0,15-0,5 MW, Bonusregeln G, b</t>
  </si>
  <si>
    <t>0,15-0,5 MW, Bonusregeln G, b und KWK</t>
  </si>
  <si>
    <t>0,15-0,5 MW, Bonusregeln G, b und K wenn Anlage 3 erfüllt</t>
  </si>
  <si>
    <t>0,15-0,5 MW, Bonusregeln G, b und K erstmals 2009</t>
  </si>
  <si>
    <t>0,15-0,5 MW, Bonusregeln G, b und K erstmals 2010</t>
  </si>
  <si>
    <t>0,15-0,5 MW, Bonusregeln G, b und K erstmals 2011</t>
  </si>
  <si>
    <t>0,15-0,5 MW, Bonusregeln G, b und K erstmals 2012</t>
  </si>
  <si>
    <t>0,15-0,5 MW, Bonusregeln G, y, b</t>
  </si>
  <si>
    <t>0,15-0,5 MW, Bonusregeln G, y, b und KWK</t>
  </si>
  <si>
    <t>0,15-0,5 MW, Bonusregeln G, y, b und K wenn Anlage 3 erfüllt</t>
  </si>
  <si>
    <t>0,15-0,5 MW, Bonusregeln G, y, b und K erstmals 2009</t>
  </si>
  <si>
    <t>0,15-0,5 MW, Bonusregeln G, y, b und K erstmals 2010</t>
  </si>
  <si>
    <t>0,15-0,5 MW, Bonusregeln G, y, b und K erstmals 2011</t>
  </si>
  <si>
    <t>0,15-0,5 MW, Bonusregeln G, y, b und K erstmals 2012</t>
  </si>
  <si>
    <t>0,15-0,5 MW, Bonusregeln M2, b</t>
  </si>
  <si>
    <t>0,15-0,5 MW, Bonusregeln M2, b und KWK</t>
  </si>
  <si>
    <t>0,15-0,5 MW, Bonusregeln M2, b und K wenn Anlage 3 erfüllt</t>
  </si>
  <si>
    <t>0,15-0,5 MW, Bonusregeln M2, b und K erstmals 2009</t>
  </si>
  <si>
    <t>0,15-0,5 MW, Bonusregeln M2, b und K erstmals 2010</t>
  </si>
  <si>
    <t>0,15-0,5 MW, Bonusregeln M2, b und K erstmals 2011</t>
  </si>
  <si>
    <t>0,15-0,5 MW, Bonusregeln M2, b und K erstmals 2012</t>
  </si>
  <si>
    <t>0,15-0,5 MW, Bonusregeln M2, y, b</t>
  </si>
  <si>
    <t>0,15-0,5 MW, Bonusregeln M2, y, b und KWK</t>
  </si>
  <si>
    <t>0,15-0,5 MW, Bonusregeln M2, y, b und K wenn Anlage 3 erfüllt</t>
  </si>
  <si>
    <t>0,15-0,5 MW, Bonusregeln M2, y, b und K erstmals 2009</t>
  </si>
  <si>
    <t>0,15-0,5 MW, Bonusregeln M2, y, b und K erstmals 2010</t>
  </si>
  <si>
    <t>0,15-0,5 MW, Bonusregeln M2, y, b und K erstmals 2011</t>
  </si>
  <si>
    <t>0,15-0,5 MW, Bonusregeln M2, y, b und K erstmals 2012</t>
  </si>
  <si>
    <t>0,15-0,5 MW, Bonusregeln L, b</t>
  </si>
  <si>
    <t>0,15-0,5 MW, Bonusregeln L, b und KWK</t>
  </si>
  <si>
    <t>0,15-0,5 MW, Bonusregeln L, b und K wenn Anlage 3 erfüllt</t>
  </si>
  <si>
    <t>0,15-0,5 MW, Bonusregeln L, b und K erstmals 2009</t>
  </si>
  <si>
    <t>0,15-0,5 MW, Bonusregeln L, b und K erstmals 2010</t>
  </si>
  <si>
    <t>0,15-0,5 MW, Bonusregeln L, b und K erstmals 2011</t>
  </si>
  <si>
    <t>0,15-0,5 MW, Bonusregeln L, b und K erstmals 2012</t>
  </si>
  <si>
    <t>0,15-0,5 MW, Bonusregeln L, y, b</t>
  </si>
  <si>
    <t>0,15-0,5 MW, Bonusregeln L, y, b und KWK</t>
  </si>
  <si>
    <t>0,15-0,5 MW, Bonusregeln L, y, b und K wenn Anlage 3 erfüllt</t>
  </si>
  <si>
    <t>0,15-0,5 MW, Bonusregeln L, y, b und K erstmals 2009</t>
  </si>
  <si>
    <t>0,15-0,5 MW, Bonusregeln L, y, b und K erstmals 2010</t>
  </si>
  <si>
    <t>0,15-0,5 MW, Bonusregeln L, y, b und K erstmals 2011</t>
  </si>
  <si>
    <t>0,15-0,5 MW, Bonusregeln L, y, b und K erstmals 2012</t>
  </si>
  <si>
    <t>0,15-0,5 MW, Bonusregeln X2, b</t>
  </si>
  <si>
    <t>0,15-0,5 MW, Bonusregeln X2, b und KWK</t>
  </si>
  <si>
    <t>0,15-0,5 MW, Bonusregeln X2, b und K wenn Anlage 3 erfüllt</t>
  </si>
  <si>
    <t>0,15-0,5 MW, Bonusregeln X2, b und K erstmals 2009</t>
  </si>
  <si>
    <t>0,15-0,5 MW, Bonusregeln X2, b und K erstmals 2010</t>
  </si>
  <si>
    <t>0,15-0,5 MW, Bonusregeln X2, b und K erstmals 2011</t>
  </si>
  <si>
    <t>0,15-0,5 MW, Bonusregeln X2, b und K erstmals 2012</t>
  </si>
  <si>
    <t>0,15-0,5 MW, Bonusregeln X2, y, b</t>
  </si>
  <si>
    <t>0,15-0,5 MW, Bonusregeln X2, y, b und KWK</t>
  </si>
  <si>
    <t>0,15-0,5 MW, Bonusregeln X2, y, b und K wenn Anlage 3 erfüllt</t>
  </si>
  <si>
    <t>0,15-0,5 MW, Bonusregeln X2, y, b und K erstmals 2009</t>
  </si>
  <si>
    <t>0,15-0,5 MW, Bonusregeln X2, y, b und K erstmals 2010</t>
  </si>
  <si>
    <t>0,15-0,5 MW, Bonusregeln X2, y, b und K erstmals 2011</t>
  </si>
  <si>
    <t>0,15-0,5 MW, Bonusregeln X2, y, b und K erstmals 2012</t>
  </si>
  <si>
    <t>0,15-0,5 MW, Bonusregeln G, y, b und K erstmals 2013</t>
  </si>
  <si>
    <t>0,15-0,5 MW, Bonusregeln M2, K erstmals 2013</t>
  </si>
  <si>
    <t>0,15-0,5 MW, Bonusregeln M2, y, b und K erstmals 2013</t>
  </si>
  <si>
    <t>0,15-0,5 MW, Bonusregeln a1 und KWK</t>
  </si>
  <si>
    <t>0,15-0,5 MW, Bonusregeln G und K erstmals 2013</t>
  </si>
  <si>
    <t>0,15-0,5 MW, Bonusregeln a1, b, y und K erstmals 2013</t>
  </si>
  <si>
    <t>0,15-0,5 MW, Bonusregel K erstmals 2014</t>
  </si>
  <si>
    <t>0,15-0,5 MW, Bonusregeln M2, y, b und K erstmals 2015</t>
  </si>
  <si>
    <t>0,15-0,5 MW, Bonusregeln M2, K erstmals 2016</t>
  </si>
  <si>
    <t>0,15-0,5 MW, Bonusregeln M2, y, b und K erstmals 2016</t>
  </si>
  <si>
    <t>0,15-0,5 MW, Bonusregel K erstmals 2017</t>
  </si>
  <si>
    <t>0,15-0,5 MW, Bonusregeln M2, K erstmals 2017</t>
  </si>
  <si>
    <t>0,15-0,5 MW, Bonusregeln M2, y, K erstmals 2017</t>
  </si>
  <si>
    <t>0,15-0,5 MW, Bonusregeln M2, y, b und K erstmals 2017</t>
  </si>
  <si>
    <t>0,15-0,5 MW, Bonusregeln M2, K erstmals 2018</t>
  </si>
  <si>
    <t>0,15-0,5 MW, Bonusregel K erstmals 2013</t>
  </si>
  <si>
    <t>0,15-0,5 MW, Bonusregeln G, b und K erstmals 2013</t>
  </si>
  <si>
    <t>0,15-0,5 MW, Bonusregeln M2, K erstmals 2014</t>
  </si>
  <si>
    <t>0,15-0,5 MW, Bonusregeln G, b und K erstmals 2015</t>
  </si>
  <si>
    <t>0,15-0,5 MW, Bonusregeln G, y, b und K erstmals 2015</t>
  </si>
  <si>
    <t>0,15-0,5 MW, Bonusregel M2 und K erstmals 2016</t>
  </si>
  <si>
    <t>0,15-0,5 MW, Bonusregeln G, y, b und K erstmals 2017</t>
  </si>
  <si>
    <t>0,15-0,5 MW, Bonusregeln G, y, b und K erstmals 2018</t>
  </si>
  <si>
    <t>0,15-0,5 MW, Bonusregel M2 und K erstmals 2018</t>
  </si>
  <si>
    <t>0,15-0,5 MW, Bonusregel M2, y und K erstmals 2019</t>
  </si>
  <si>
    <t>0,15-0,5 MW, Bonusregeln M2, y, b und K erstmals 2019</t>
  </si>
  <si>
    <t>0,15-0,5 MW, Bonusregeln M2, K erstmals 2015</t>
  </si>
  <si>
    <t>0,15-0,5 MW, Bonusregeln M2, y und K erstmals 2016</t>
  </si>
  <si>
    <t>0,15-0,5 MW, Bonusregeln a1, K erstmals 2017</t>
  </si>
  <si>
    <t>0,15-0,5 MW, Bonusregeln M2 und K erstmals 2017</t>
  </si>
  <si>
    <t>0,15-0,5 MW, Bonusregeln a1, b und K erstmals 2018</t>
  </si>
  <si>
    <t>0,15-0,5 MW, Bonusregeln G, y, b und K erstmals 2019</t>
  </si>
  <si>
    <t>2-5 MW, Anlage &lt; 5 MW</t>
  </si>
  <si>
    <t>0-0,15 MW, Bonusregel K</t>
  </si>
  <si>
    <t>0-0,15 MW, Bonusregel i</t>
  </si>
  <si>
    <t>0-0,15 MW, Bonusregel i, K</t>
  </si>
  <si>
    <t>0-0,15 MW, Bonusregeln a1, K</t>
  </si>
  <si>
    <t>0-0,15 MW, Bonusregeln a1, i</t>
  </si>
  <si>
    <t>0-0,15 MW, Bonusregeln a1, i, K</t>
  </si>
  <si>
    <t>0-0,15 MW, Bonusregeln G, K</t>
  </si>
  <si>
    <t>0-0,15 MW, Bonusregeln G, i</t>
  </si>
  <si>
    <t>0-0,15 MW, Bonusregeln G, i, K</t>
  </si>
  <si>
    <t>0-0,15 MW, Bonusregeln L, K</t>
  </si>
  <si>
    <t>0-0,15 MW, Bonusregeln L, i</t>
  </si>
  <si>
    <t>0-0,15 MW, Bonusregeln L, i, K</t>
  </si>
  <si>
    <t>0-0,15 MW, Bonusregeln M1, K</t>
  </si>
  <si>
    <t>0-0,15 MW, Bonusregeln M1, i</t>
  </si>
  <si>
    <t>0-0,15 MW, Bonusregeln M1, i, K</t>
  </si>
  <si>
    <t>0-0,15 MW, Bonusregeln X1</t>
  </si>
  <si>
    <t>0-0,15 MW, Bonusregeln X1, K</t>
  </si>
  <si>
    <t>0-0,15 MW, Bonusregeln X1, i</t>
  </si>
  <si>
    <t>0-0,15 MW, Bonusregeln X1, i, K</t>
  </si>
  <si>
    <t>0-0,15 MW, Bonusregel t1</t>
  </si>
  <si>
    <t>0-0,15 MW, Bonusregeln t1, K</t>
  </si>
  <si>
    <t>0-0,15 MW, Bonusregeln t1, i</t>
  </si>
  <si>
    <t>0-0,15 MW, Bonusregeln t1, i, K</t>
  </si>
  <si>
    <t>0-0,15 MW, Bonusregeln t1, a1</t>
  </si>
  <si>
    <t>0-0,15 MW, Bonusregeln t1, a1, K</t>
  </si>
  <si>
    <t>0-0,15 MW, Bonusregeln t1, a1, i</t>
  </si>
  <si>
    <t>0-0,15 MW, Bonusregeln t1, a1, i, K</t>
  </si>
  <si>
    <t>0-0,15 MW, Bonusregeln t1, G</t>
  </si>
  <si>
    <t>0-0,15 MW, Bonusregeln t1, G, K</t>
  </si>
  <si>
    <t>0-0,15 MW, Bonusregeln t1, G, i</t>
  </si>
  <si>
    <t>0-0,15 MW, Bonusregeln t1, G, i, K</t>
  </si>
  <si>
    <t>0-0,15 MW, Bonusregeln t1, L</t>
  </si>
  <si>
    <t>0-0,15 MW, Bonusregeln t1, L, K</t>
  </si>
  <si>
    <t>0-0,15 MW, Bonusregeln t1, L, i</t>
  </si>
  <si>
    <t>0-0,15 MW, Bonusregeln t1, L, i, K</t>
  </si>
  <si>
    <t>0-0,15 MW, Bonusregeln t1, M1</t>
  </si>
  <si>
    <t>0-0,15 MW, Bonusregeln t1, M1, K</t>
  </si>
  <si>
    <t>0-0,15 MW, Bonusregeln t1, M1, i</t>
  </si>
  <si>
    <t>0-0,15 MW, Bonusregeln t1, M1, i, K</t>
  </si>
  <si>
    <t>0-0,15 MW, Bonusregeln t1, X1</t>
  </si>
  <si>
    <t>0-0,15 MW, Bonusregeln t1, X1, K</t>
  </si>
  <si>
    <t>0-0,15 MW, Bonusregeln t1, X1, i</t>
  </si>
  <si>
    <t>0-0,15 MW, Bonusregeln t1, X1, i, K</t>
  </si>
  <si>
    <t>0-0,15 MW, Bonusregel t2</t>
  </si>
  <si>
    <t>0-0,15 MW, Bonusregeln t2, K</t>
  </si>
  <si>
    <t>0-0,15 MW, Bonusregeln t2, i</t>
  </si>
  <si>
    <t>0-0,15 MW, Bonusregeln t2, i, K</t>
  </si>
  <si>
    <t>0-0,15 MW, Bonusregeln t2, a1</t>
  </si>
  <si>
    <t>0-0,15 MW, Bonusregeln t2, a1, K</t>
  </si>
  <si>
    <t>0-0,15 MW, Bonusregeln t2, a1, i</t>
  </si>
  <si>
    <t>0-0,15 MW, Bonusregeln t2, a1, i, K</t>
  </si>
  <si>
    <t>0-0,15 MW, Bonusregeln t2, G</t>
  </si>
  <si>
    <t>0-0,15 MW, Bonusregeln t2, G, K</t>
  </si>
  <si>
    <t>0-0,15 MW, Bonusregeln t2, G, i</t>
  </si>
  <si>
    <t>0-0,15 MW, Bonusregeln t2, G, i, K</t>
  </si>
  <si>
    <t>0-0,15 MW, Bonusregeln t2, L</t>
  </si>
  <si>
    <t>0-0,15 MW, Bonusregeln t2, L, K</t>
  </si>
  <si>
    <t>0-0,15 MW, Bonusregeln t2, L, i</t>
  </si>
  <si>
    <t>0-0,15 MW, Bonusregeln t2, L, i, K</t>
  </si>
  <si>
    <t>0-0,15 MW, Bonusregeln t2, M1</t>
  </si>
  <si>
    <t>0-0,15 MW, Bonusregeln t2, M1, K</t>
  </si>
  <si>
    <t>0-0,15 MW, Bonusregeln t2, M1, i</t>
  </si>
  <si>
    <t>0-0,15 MW, Bonusregeln t2, M1, i, K</t>
  </si>
  <si>
    <t>0-0,15 MW, Bonusregeln t2, X1</t>
  </si>
  <si>
    <t>0-0,15 MW, Bonusregeln t2, X1, K</t>
  </si>
  <si>
    <t>0-0,15 MW, Bonusregeln t2, X1, i</t>
  </si>
  <si>
    <t>0-0,15 MW, Bonusregeln t2, X1, i, K</t>
  </si>
  <si>
    <t>0-0,15 MW, Bonusregel t3</t>
  </si>
  <si>
    <t>0-0,15 MW, Bonusregeln t3, K</t>
  </si>
  <si>
    <t>0-0,15 MW, Bonusregeln t3, i</t>
  </si>
  <si>
    <t>0-0,15 MW, Bonusregeln t3, i, K</t>
  </si>
  <si>
    <t>0-0,15 MW, Bonusregeln t3, a1</t>
  </si>
  <si>
    <t>0-0,15 MW, Bonusregeln t3, a1, K</t>
  </si>
  <si>
    <t>0-0,15 MW, Bonusregeln t3, a1, i</t>
  </si>
  <si>
    <t>0-0,15 MW, Bonusregeln t3, a1, i, K</t>
  </si>
  <si>
    <t>0-0,15 MW, Bonusregeln t3, G</t>
  </si>
  <si>
    <t>0-0,15 MW, Bonusregeln t3, G, K</t>
  </si>
  <si>
    <t>0-0,15 MW, Bonusregeln t3, G, i</t>
  </si>
  <si>
    <t>0-0,15 MW, Bonusregeln t3, G, i, K</t>
  </si>
  <si>
    <t>0-0,15 MW, Bonusregeln t3, L</t>
  </si>
  <si>
    <t>0-0,15 MW, Bonusregeln t3, L, K</t>
  </si>
  <si>
    <t>0-0,15 MW, Bonusregeln t3, L, i</t>
  </si>
  <si>
    <t>0-0,15 MW, Bonusregeln t3, L, i, K</t>
  </si>
  <si>
    <t>0-0,15 MW, Bonusregeln t3, M1</t>
  </si>
  <si>
    <t>0-0,15 MW, Bonusregeln t3, M1, K</t>
  </si>
  <si>
    <t>0-0,15 MW, Bonusregeln t3, M1, i</t>
  </si>
  <si>
    <t>0-0,15 MW, Bonusregeln t3, M1, i, K</t>
  </si>
  <si>
    <t>0-0,15 MW, Bonusregeln t3, X1</t>
  </si>
  <si>
    <t>0-0,15 MW, Bonusregeln t3, X1, K</t>
  </si>
  <si>
    <t>0-0,15 MW, Bonusregeln t3, X1, i</t>
  </si>
  <si>
    <t>0-0,15 MW, Bonusregeln t3, X1, i, K</t>
  </si>
  <si>
    <t>0,15-0,5 MW, Bonusregeln y und K erstmals 2013</t>
  </si>
  <si>
    <t>0,15-0,5 MW, Bonusregeln a1 und K erstmals 2013</t>
  </si>
  <si>
    <t xml:space="preserve">0,15-0,5 MW, Bonusregeln a1 und K erstmals 2014      </t>
  </si>
  <si>
    <t>0,15-0,5 MW, Bonusregeln y und K erstmals 2016</t>
  </si>
  <si>
    <t>0,15-0,5 MW, Bonusregeln a1, K wenn Anlage 3 erfüllt</t>
  </si>
  <si>
    <t>0,15-0,5 MW, Bonusregeln a1, K erstmals 2009</t>
  </si>
  <si>
    <t>0,15-0,5 MW, Bonusregeln a1, K erstmals 2010</t>
  </si>
  <si>
    <t>0,15-0,5 MW, Bonusregeln a1, K erstmals 2011</t>
  </si>
  <si>
    <t>0,15-0,5 MW, Bonusregeln a1, K erstmals 2012</t>
  </si>
  <si>
    <t xml:space="preserve">0,15-0,5 MW, Bonusregeln M2, y und K erstmals 2014     </t>
  </si>
  <si>
    <t>0,15-0,5 MW, Bonusregel K erstmals 2015</t>
  </si>
  <si>
    <t>0,15-0,5 MW, Bonusregel K erstmals 2016</t>
  </si>
  <si>
    <t>0-0,5 MW, Zuschlag</t>
  </si>
  <si>
    <t>0-0,15 MW; Bonusregel a1</t>
  </si>
  <si>
    <t>0-0,15 MW, Bonusregeln a1, K wenn Anlage 3 erfüllt</t>
  </si>
  <si>
    <t>0-0,15 MW; Bonusregeln a1, y</t>
  </si>
  <si>
    <t>0-0,15 MW, Bonusregeln y und K erstmals 2013</t>
  </si>
  <si>
    <t>0-0,15 MW, Bonusregeln a1, K erstmals 2013</t>
  </si>
  <si>
    <t xml:space="preserve">0-0,15 MW, Bonusregeln a1, K erstmals 2014             </t>
  </si>
  <si>
    <t>0-0,15 MW, Bonusregeln M1 und K erstmals 2014</t>
  </si>
  <si>
    <t>0-0,15 MW, Bonusregeln y und K erstmals 2016</t>
  </si>
  <si>
    <t>0-0,15 MW, Bonusregel K erstmals 2015</t>
  </si>
  <si>
    <t>0-0,15 MW, Bonusregel K erstmals 2016</t>
  </si>
  <si>
    <t>0-0,15 MW, Bonusregeln y und wenn Anlage 3 erfüllt</t>
  </si>
  <si>
    <t xml:space="preserve">5-20 MW </t>
  </si>
  <si>
    <t>5-20 MW, Bonusregel K erstmals 2009</t>
  </si>
  <si>
    <t>5-20 MW, Bonusregel K erstmals 2010</t>
  </si>
  <si>
    <t>5-20 MW, Bonusregel K erstmals 2011</t>
  </si>
  <si>
    <t>5-20 MW, Bonusregel K erstmals 2012</t>
  </si>
  <si>
    <t>5-20 MW, Bonusregel KWK</t>
  </si>
  <si>
    <t>5-20 MW, Bonusregel K erstmals 2013</t>
  </si>
  <si>
    <t>5-20 MW, Bonusregel K erstmals 2014</t>
  </si>
  <si>
    <t>5-20 MW, Bonusregel K erstmals 2015</t>
  </si>
  <si>
    <t>5-20 MW, Bonusregel K erstmals 2016</t>
  </si>
  <si>
    <t>&gt; 5 MW, Zubau 0-0,5 MW</t>
  </si>
  <si>
    <t>&gt; 5 MW, Zubau 0,5-10 MW</t>
  </si>
  <si>
    <t>&gt; 5 MW, nur Grubengas</t>
  </si>
  <si>
    <t>&gt; 5 MW, Zuschlag; nur Grubengas</t>
  </si>
  <si>
    <t>&gt; 5 MW</t>
  </si>
  <si>
    <t>&gt; 5 MW, Zubau 10-20 MW</t>
  </si>
  <si>
    <t>&gt; 5 MW, Zubau 20-50 MW</t>
  </si>
  <si>
    <t>&gt; 5 MW, Zubau 50-150 MW</t>
  </si>
  <si>
    <t>&gt; 5 MW , Zubau 0-0,5 MW</t>
  </si>
  <si>
    <t xml:space="preserve">&gt; 5 MW, Zubau 0-0,5 MW </t>
  </si>
  <si>
    <t>&gt; 20 MW, 75% Schwarzlauge etc.</t>
  </si>
  <si>
    <t>&gt; 20 MW, 75% Schwarzlauge etc., Bonusregel K erstmals 2009</t>
  </si>
  <si>
    <t>&gt; 20 MW, 75% Schwarzlauge etc., Bonusregel K erstmals 2010</t>
  </si>
  <si>
    <t>&gt; 20 MW, 75% Schwarzlauge etc., Bonusregel K erstmals 2011</t>
  </si>
  <si>
    <t>&gt; 20 MW, 75% Schwarzlauge etc., Bonusregel K erstmals 2012</t>
  </si>
  <si>
    <t>&gt; 20 MW</t>
  </si>
  <si>
    <t>&lt; 20 MW, Altholz, Bonusregel K erstmals 2010</t>
  </si>
  <si>
    <t>&lt; 20 MW, Altholz, Bonusregel K erstmals 2011</t>
  </si>
  <si>
    <t>&lt; 20 MW, Altholz, Bonusregel K erstmals 2012</t>
  </si>
  <si>
    <t>&lt; 20 MW, Altholz</t>
  </si>
  <si>
    <t>&lt; 20 MW, Altholz, Bonusregel K erstmals 2009</t>
  </si>
  <si>
    <t>0,5-5 MW, Bonusregeln a2 und K erstmals 2019</t>
  </si>
  <si>
    <t>0,5-5 MW, Bonusregeln a2, b und K erstmals 2016</t>
  </si>
  <si>
    <t>0,5-5 MW, Bonusregeln a2, b und K erstmals 2019</t>
  </si>
  <si>
    <t>0,5-5 MW, Zuschlag</t>
  </si>
  <si>
    <t>0,5-2 MW, Anlage 0,5-5 MW, wasserrechtliche Genehmigung vor 01.01.2012 (Bestandsschutz nach § 66 Abs. 5 EEG 2012)</t>
  </si>
  <si>
    <t>2-5 MW, Anlage 0,5-5 MW, wasserrechtliche Genehmigung vor 01.01.2012 (Bestandsschutz nach § 66 Abs. 5 EEG 2012)</t>
  </si>
  <si>
    <t>Die BNetzA hat diesen Wert für 2021 noch nicht veröffentlicht.</t>
  </si>
  <si>
    <t>&gt; 1 MW</t>
  </si>
  <si>
    <t>&gt; 100 kW</t>
  </si>
  <si>
    <t>&gt; 100 kW, Fassadenbonus</t>
  </si>
  <si>
    <t>&gt; 5 MW, Zubau &gt; 50 MW</t>
  </si>
  <si>
    <t>5. im Kalenderjahr 2026 20 Prozent des anzulegenden Werts für den in der jeweiligen Anlage erzeugten Strom nach dem Erneuerbare-Energien-Gesetz in der für die Anlage bisher maßgeblichen Fassung.</t>
  </si>
  <si>
    <t>WnK46-------21</t>
  </si>
  <si>
    <t>1. in den Kalenderjahren 2021 und 2022 100 Prozent des anzulegenden Werts für den in der jeweiligen Anlage erzeugten Strom nach dem Erneuerbare-Energien-Gesetz in der für die Anlage bisher maßgeblichen Fassung,</t>
  </si>
  <si>
    <t>WaK23-MaStRV-0</t>
  </si>
  <si>
    <t>BiK23-MaStRV-0</t>
  </si>
  <si>
    <t>GaK23-MaStRV-0</t>
  </si>
  <si>
    <t>DeK23-MaStRV-0</t>
  </si>
  <si>
    <t>KlK23-MaStRV-0</t>
  </si>
  <si>
    <t>GrK23-MaStRV-0</t>
  </si>
  <si>
    <t>GeK23-MaStRV-0</t>
  </si>
  <si>
    <t>WiK23-MaStRV-0</t>
  </si>
  <si>
    <t>WnK23-MaStRV-0</t>
  </si>
  <si>
    <t>WrK23-MaStRV-0</t>
  </si>
  <si>
    <t>WfK23-MaStRV-0</t>
  </si>
  <si>
    <t>SoK23-MaStRV-0</t>
  </si>
  <si>
    <t>SgK23-MaStRV-0</t>
  </si>
  <si>
    <t>Verringerung auf null nach § 23 MaStRV, nicht fällig werdende Ansprüche der Förderung bei unterlassener Registrierung im MaStR</t>
  </si>
  <si>
    <t>WaK5212a-----0</t>
  </si>
  <si>
    <t>BiK5212a-----0</t>
  </si>
  <si>
    <t>GaK5212a-----0</t>
  </si>
  <si>
    <t>DeK5212a-----0</t>
  </si>
  <si>
    <t>KlK5212a-----0</t>
  </si>
  <si>
    <t>GrK5212a-----0</t>
  </si>
  <si>
    <t>GeK5212a-----0</t>
  </si>
  <si>
    <t>WiK5212a-----0</t>
  </si>
  <si>
    <t>WnK5212a-----0</t>
  </si>
  <si>
    <t>WrK5212a-----0</t>
  </si>
  <si>
    <t>WfK5212a-----0</t>
  </si>
  <si>
    <t>SoK5212a-----0</t>
  </si>
  <si>
    <t>SgK5212a-----0</t>
  </si>
  <si>
    <t>Verringerung auf null nach § 52 Abs. 1 Nr. 2a (Verstoß gegen Vorgaben zur Direktvermarktung)</t>
  </si>
  <si>
    <t>SgK2521-SV---0</t>
  </si>
  <si>
    <t>WaK23b1iMS-aMW</t>
  </si>
  <si>
    <t>BiK23b1iMS-aMW</t>
  </si>
  <si>
    <t>GaK23b1iMS-aMW</t>
  </si>
  <si>
    <t>GeK23b1iMS-aMW</t>
  </si>
  <si>
    <t>WiK23b1iMS-aMW</t>
  </si>
  <si>
    <t>SoK23b1iMS-aMW</t>
  </si>
  <si>
    <t>ausgeförderte Anlagen mit intelligentem Messsystem, 0 bis 100 kW</t>
  </si>
  <si>
    <t>Inbetriebnahme 25.07.2017 - 31.12.2020</t>
  </si>
  <si>
    <t>40 - 750 kW</t>
  </si>
  <si>
    <t>§ 52 Abs. 1 Satz 1 Nr. 4 EEG 2017/2021: Der anzulegende Wert verringert sich auf null, wenn Betreiber von Anlagen, deren anzulegender Wert durch Ausschreibungen ermittelt wird, gegen § 27a EEG 2017 (Verbot der Nutzung des in der Anlage erzeugten Stroms zur Eigenversorgung) verstoßen.
Diese Verringerung gilt für das gesamte Kalenderjahr des Verstoßes.</t>
  </si>
  <si>
    <t>§ 25 Abs. 1 Nr. 4 EEG 2014: Der anzulegende Wert nach § 23 Abs. 1 Satz 2 EEG 2014 verringert sich sich auf null, solange der Nachweis nach § 100 Abs. 2 Satz 2 EEG 2014 der Nachweis nach § 100 Abs. 2 Satz 3 EEG 2014 nicht erbracht ist, d. h. solange der Nachweis für die endgültige Stilllegung einer anderen Biomethananlage nicht erbracht ist.
§ 52 Abs. 1 Satz 1 Nr. 5 EEG 2017: Der anzulegende Wert  verringert sich sich auf null, solange der Nachweis nach § 100 Abs. 3 Satz 2 EEG 2017 der Nachweis nach § 100 Abs. 3 Satz 3 EEG 2017 nicht erbracht ist, d. h. solange der Nachweis für die endgültige Stilllegung einer anderen Biomethananlage nicht erbracht ist.</t>
  </si>
  <si>
    <t>Verringerung Marktprämie auf null nach § 47 Abs. 1 (Einspeisung &gt; Höchstbemessungsleistung)</t>
  </si>
  <si>
    <t>Verringerung Einspeisevergütung auf Marktwert nach § 47 Abs. 1 (Einspeisung &gt; Höchstbemessungsleistung)</t>
  </si>
  <si>
    <t>§ 53a EEG 2017: Der durch §§ 46 bis 46b gesetzlich bestimmte anzulegende Wert verringert sich bei Windenergieanlagen an Land auf null, wenn der Einspeisewillige nach § 22 Abs. 2 Satz 2 Nr. 2 Buchstabe c EEG 2017 auf den gesetzlich bestimmten Förderungsanspruch verzichtet hat. Dabei handelt es sich um Anlagen, bei denen nach § 22 Abs. 2 Satz 2 Nr. 2 EEG 2017 von der Bundesnetzagentur erteilte Zuschläge nicht erforderlich sind, um einen Anspruch nach § 19 Abs. 1 EEG 2017 geltend zu machen. Sofern der Anlagenbetreiber gegenüber der Bundesnetzagetur bis zum 31.03.2017 erklärt, dass er auf den gesetzlich bestimmten Anspruch verzichtet, eröffnet sich für ihn die Möglichkeit, am Ausschreibungsverfahren teilzunehmen. 
Die Information über den Verzicht erhält der Anschlussnetzbetreiber von der Bundesnetzagentur.
Diese Kategorien sind unter Berücksichtigung der Übergangsbestimmungen nach § 100 Abs. 1 Nr. 1 EEG 2017 nur für Anlagen mit Inbetriebnahme ab dem 01.01.2017 anzuwenden.
Der Anspruch auf eine durch Ausschreibung ermittelte Zahlung nach § 19 Abs. 1 EEG 2017 bleibt unberührt. Ist die Anlage im Ausschreibungsverfahren bezuschlagt worden, dürfen diese Kategorien nicht gemeldet werden, sondern es dürfen ausschließlich die für das Ausschreibungsverfahren vorgesehenen Kategorien gemeldet werden, da es andernfalls zu einer Doppelmeldung der Strommenge käme.
Der Strom, der in dieser Kategorie gemeldet wird,  fließt in die Summenberechnung der Energiemenge ein, die der Berechnung der vNNE zugrunde gelegt und in den Rechnungen, Testaten ausgewiesen wird.
§ 53a ist im EEG 2021 aufgehoben, so dass diese Regelung nur Anwendung findet für Strom aus Anlagen, die vor dem 01.01.2021 in Betrieb genommen worden sind.</t>
  </si>
  <si>
    <r>
      <t xml:space="preserve">§ 100 Abs. 4 Nr. 1 EEG 2014: Für jeden Kalendermonat, den ein Anlagenbetreiber ganz oder teilweise den Anforderungen der Systemstabilitätsverordnung nach der gesetzten Frist nicht nachkommt, verringert sich bei Anlagen mit RLM-Messung  der Vergütungs- bzw. Prämienanspruch auf 0; für Anlagen ohne RLM-Messung um ein Zwölftel des im Kalenderjahr entstandenen Vergütungsanspruchs. Letzteres entspricht einem Entfall der Vergütung für ein Zwölftel der Jahresstrommenge.
§ 100 Abs. 5 EEG 2017: Für jeden Kalendermonat, den ein Anlagenbetreiber ganz oder teilweise den Anforderungen der Systemstabilitätsverordnung nach der gesetzten Frist nicht nachkommt, verringert sich bei Anlagen mit RLM-Messung  der Vergütungs- bzw. Prämienanspruch auf null; für Anlagen ohne RLM-Messung um ein Zwölftel des im Kalenderjahr entstandenen Vergütungsanspruchs. Letzteres entspricht einem Entfall der Vergütung für ein Zwölftel der Jahresstrommenge.
</t>
    </r>
    <r>
      <rPr>
        <b/>
        <sz val="10"/>
        <color indexed="8"/>
        <rFont val="Arial"/>
        <family val="2"/>
      </rPr>
      <t xml:space="preserve">
Bei Vorhandensein einer RLM-Messung können die in den jeweiligen Kalendermonaten erzeugten Energiemengen exakt ermittelt werden. Ohne eine RLM-Messung ist die Strommenge und Vergütungshöhe jeder Vergütungskategorie im Kalenderjahr um ein Zwölftel pro Kalendermonat zu kürzen. In beiden Fällen sind die nicht vergüteten Strommengen in diesen Kategorien zu erfassen.
In den bundesweiten Belastungsausgleich fließen die Marktprämienmodell vermarkteten Strommengen nicht ein. Daher sind diese Strommengen getrennt auszuweisen.</t>
    </r>
  </si>
  <si>
    <t>§101 Abs. 1 EEG 2014 und § 101 Abs. 1 EEG 2017: Für Biogasanlagen mit Inbetriebnahme vor dem 01.08.2014, zusätzlich ab dem 01.10.2017 für Biomasseanlagen nach § 100 Abs. 4 EEG 2017, verringert sich der Vergütungsanspruch für jede Kilowattstunde Strom, um die in einem Kalenderjahr die vor dem 01.08.2014 erreichte Höchstbemessungsleistung der Anlage überschritten wird, auf den Monatsmarktwert. Im Fall der Anlagen nach § 100 Abs. 4 EEG 2017 berechnet sich abweichend die Höchstbemessungsleistung nach § 101 Abs. 1 Satz 4 EEG 2017.</t>
  </si>
  <si>
    <t>Nach § 3 Nr. 34 EEG 2021 ist der Begriff des Marktwertes neu definiert. Ob der Monats- oder Jahresmarktwert bei der Berechnung der Förderung einer konkreten Anlage Anwendung findet, hängt vom Inbetriebnahmedatum der jeweiligen Anlage ab. Eine Unterscheidung in den Vergütungskategorien erfolgt nicht. Beide Fälle können mit denselben Kategorien gemeldet werden.</t>
  </si>
  <si>
    <t>Marktwert</t>
  </si>
  <si>
    <t>48a für Mieterstrom ab IB 01.01.2021</t>
  </si>
  <si>
    <t>Inbetriebnahmejahr (2-stellig) für Vergütungskategorien nach §§ 40 bis 48a, die vom Inbetriebnahmejahr abhängig sind</t>
  </si>
  <si>
    <t>- Anschlussförderung für Altholzanlagen nach § 101 EEG 2021.</t>
  </si>
  <si>
    <t>Verringerung auf null nach § 25 Abs. 1 Nr. 2 (Nichtmeldung einer Leistungserhöhung an das Anlagenregister)</t>
  </si>
  <si>
    <r>
      <t>§ 33 Abs. 2 EEG 2012 n.F. (Marktintegrationsmodell): Die nach EEG förderfähige Strommenge ist für PV-Anlagen nach § 32 Abs. 2 und 3 EEG 2012 n.F. (Gebäude-Anlagen) mit einer installierten Leistung von mehr als 10 kW bis einschließlich 1 MW auf 90 % der im Kalenderjahr erzeugten Strommengen begrenzt. Für darüber hinausgehende Strommengen, die weder vom Anlagenbetreiber oder nach § 33a Abs. 2 EEG 2012 oder § 20 Abs. 3 Nr. 2 EEG 2014 durch Dritte verbraucht noch nach § 33b Nr. 3 EEG 2012 oder § 20 Abs. 1 Nr. 2 EEG 2014 direkt vermarktet wurden ("Sonstige Direktvermarktung"), verringert sich der Vergütungsanspruch auf den tatsächlichen Mittelwert des Marktwertes Solar. Für RLM-gemessene PV-Anlagen ist der Monatsmittelwert des Marktwerts MW</t>
    </r>
    <r>
      <rPr>
        <b/>
        <vertAlign val="subscript"/>
        <sz val="10"/>
        <color indexed="8"/>
        <rFont val="Arial"/>
        <family val="2"/>
      </rPr>
      <t>Solar</t>
    </r>
    <r>
      <rPr>
        <b/>
        <sz val="10"/>
        <color indexed="8"/>
        <rFont val="Arial"/>
        <family val="2"/>
      </rPr>
      <t xml:space="preserve"> zu verwenden, für Anlagen ohne RLM-Messung der Jahresmittelwert des Marktwertes MW</t>
    </r>
    <r>
      <rPr>
        <b/>
        <vertAlign val="subscript"/>
        <sz val="10"/>
        <color indexed="8"/>
        <rFont val="Arial"/>
        <family val="2"/>
      </rPr>
      <t>Solar(a)</t>
    </r>
    <r>
      <rPr>
        <b/>
        <sz val="10"/>
        <color indexed="8"/>
        <rFont val="Arial"/>
        <family val="2"/>
      </rPr>
      <t>, der ein Zwölftel der Summe aller Monatsmittelwerte des Kalenderjahres ist. 
Der Jahresmittelwert des Marktwertes MW</t>
    </r>
    <r>
      <rPr>
        <b/>
        <vertAlign val="subscript"/>
        <sz val="10"/>
        <color indexed="8"/>
        <rFont val="Arial"/>
        <family val="2"/>
      </rPr>
      <t>Solar(a)</t>
    </r>
    <r>
      <rPr>
        <b/>
        <sz val="10"/>
        <color indexed="8"/>
        <rFont val="Arial"/>
        <family val="2"/>
      </rPr>
      <t xml:space="preserve"> ist nicht identisch zum Jahresmarktwert JW</t>
    </r>
    <r>
      <rPr>
        <b/>
        <vertAlign val="subscript"/>
        <sz val="10"/>
        <color indexed="8"/>
        <rFont val="Arial"/>
        <family val="2"/>
      </rPr>
      <t>Solar</t>
    </r>
    <r>
      <rPr>
        <b/>
        <sz val="10"/>
        <color indexed="8"/>
        <rFont val="Arial"/>
        <family val="2"/>
      </rPr>
      <t xml:space="preserve"> gemäß Anlage 1 Nr. 4.3 EEG 2021. Beide Werte sind auf der gemeinsamen ÜNB-Homepage www.netztransparenz.de veröffentlicht.
Wird die über 90 % hinausgehende, nicht förderfähige Strommenge in der Form der Direktvermarktung nach § 33b Nr. 1 EEG 2012 oder § 20 Abs. 1 Nr. 1 EEG 2014 ("Marktprämienmodell") vermarktet, reduziert sich der anzulegende Wert nach § 33h EEG 2012 auf den Monatsmittelwert  des Marktwerts MW</t>
    </r>
    <r>
      <rPr>
        <b/>
        <vertAlign val="subscript"/>
        <sz val="10"/>
        <color indexed="8"/>
        <rFont val="Arial"/>
        <family val="2"/>
      </rPr>
      <t>Solar</t>
    </r>
    <r>
      <rPr>
        <b/>
        <sz val="10"/>
        <color indexed="8"/>
        <rFont val="Arial"/>
        <family val="2"/>
      </rPr>
      <t>, d.h. die Marktprämie reduziert sich faktisch auf die  Managementprämie. 
Die nicht förderfähige Strommenge fließt in die Berechnung der vNNE ein, außer im Fall der Direktvermarktung auch in den bundesweiten Belastungsausgleich.</t>
    </r>
  </si>
  <si>
    <r>
      <t>§ 33 Abs. 4 EEG 2012 n.F.: Der Strom aus PV-Anlagen darf nur dann über eine gemeinsame Messeinrichtung erfasst werden, wenn alle gemeinsam gemessenen Anlagen die gleiche Begrenzung der förderfähigen Strommenge nach § 33 Abs. 1 EEG 2012 n.F. (Marktintegrationsmodell) aufweisen. Andernfalls verringert sich der Vergütungsanspruch für den gesamten Strom sämtlicher gemeinsam gemessener Anlagen auf den tatsächlichen Jahresmittelwert des Marktwertes MW</t>
    </r>
    <r>
      <rPr>
        <b/>
        <vertAlign val="subscript"/>
        <sz val="10"/>
        <color indexed="8"/>
        <rFont val="Arial"/>
        <family val="2"/>
      </rPr>
      <t>Solar(a)</t>
    </r>
    <r>
      <rPr>
        <b/>
        <sz val="10"/>
        <color indexed="8"/>
        <rFont val="Arial"/>
        <family val="2"/>
      </rPr>
      <t>, der ein Zwölftel der Summe aller Monatsmittelwerte des Kalenderjahres ist. Dies gilt bis zum Ablauf des ersten Kalendermonats, der auf die Beendigung des Verstoßes folgt.
Der Jahresmittelwert des Marktwertes MW</t>
    </r>
    <r>
      <rPr>
        <b/>
        <vertAlign val="subscript"/>
        <sz val="10"/>
        <color indexed="8"/>
        <rFont val="Arial"/>
        <family val="2"/>
      </rPr>
      <t>Solar(a)</t>
    </r>
    <r>
      <rPr>
        <b/>
        <sz val="10"/>
        <color indexed="8"/>
        <rFont val="Arial"/>
        <family val="2"/>
      </rPr>
      <t xml:space="preserve"> ist nicht identisch zum Jahresmarktwert JW</t>
    </r>
    <r>
      <rPr>
        <b/>
        <vertAlign val="subscript"/>
        <sz val="10"/>
        <color indexed="8"/>
        <rFont val="Arial"/>
        <family val="2"/>
      </rPr>
      <t>Solar</t>
    </r>
    <r>
      <rPr>
        <b/>
        <sz val="10"/>
        <color indexed="8"/>
        <rFont val="Arial"/>
        <family val="2"/>
      </rPr>
      <t xml:space="preserve"> gemäß Anlage 1 Nr. 4.3 EEG 2021. Beide Werte sind auf der gemeinsamen ÜNB-Homepage www.netztransparenz.de veröffentlicht.
Während § 33 Abs. 1 und 2 EEG 2012 n.F. nur für PV-Anlagen gilt, die nach dem 31.03.2012 und vor dem 01.08.2014 in Betrieb genommen wurden und einen Vergütungsanspruch nach § 32 Abs. 2 und 3 EEG 2012 (Gebäude-Anlagen) haben, gilt diese Sanktion für sämtliche PV-Anlagen, also auch Freiflächenanlagen und Anlagen mit Inbetriebnahme vor dem 01.04.2012.
Die sanktionierte Strommenge fließt in die Berechnung der vNNE ein, außer im Fall der Direktvermarktung auch in den bundesweiten Belastungsausgleich.</t>
    </r>
  </si>
  <si>
    <t xml:space="preserve">§ 35 EEG 2014: Der Anspruch auf Zahlung der Marktprämie besteht nur, wenn
1. für den Strom kein vermiedenes Netzentgelt in Anspruch genommen wird,
2. der Strom in einer Anlage erzeugt wird, fernsteuerbar im Sinne des § 36 EEG 2014 ist (diese Voraussetzung muss nicht vor Beginn des zweiten auf die Inbetriebnahme der Anlage folgenden Kalendermonats erfüllt sein), und
3. der Strom ausschließlich in einem Bilanz- oder Unterbilanzkreis bilanziert wird, in dem ausschließlich Strom in der Marktprämie bilanziert wird, bzw. sofern die Einstellung anderweitiger Mengen nicht vom Anlagenbetreiber und vom Direktvermarktungsunternehmer zu vertreten ist.
Darüber hinaus ergibt sich rechnerisch ein Anspruch auf eine Marktprämie in der Höhe von 0 ct/kWh, wenn der Strom nach § 25 EEG 2014 sanktioniert wird. Die entsprechenden Strommengen sind entweder über die Kategorien zu § 25 EEG 2014 oder über die Kategorien zu § 35 EEG 2014 an den Übertragungsnetzbetreiber zu melden. Informationen zur Datenmeldung des VNB an den ÜNB erhalten Netzbetreiber bei ihrem zuständigen ÜNB.
Für das EEG 2017 sind analoge Regelungen in § 20 EEG 2017 formuliert. Für ab dem 01.01.2021 erzeugte Strommengen sind die analogen Regelungen der § 10b und § 20 EEG 2021 anzuwenden. Abweichend zum EEG 2014/2017 müssen die Anforderungen des § 10b EEG 2021, insbesondere die Fernsteuerbarkeit, ab Inbetriebnahme erfüllt sein. Andernfalls erfolgt eine Sanktionierung gemäß § 52 Abs. 1 Nr. 2a EEG 2021. </t>
  </si>
  <si>
    <t>WaK1007M----12</t>
  </si>
  <si>
    <t>0-0,5 MW, Anlage nur bis 500 kW installierte Leistung, IB vor 01.01.2009, Modernisierung 2012</t>
  </si>
  <si>
    <t>0-0,5 MW, Anlage nur bis 500 kW installierte Leistung, IB vor 01.01.2009, Modernisierung 2013</t>
  </si>
  <si>
    <t>WaK1007M----13</t>
  </si>
  <si>
    <t>WaK1007M010714</t>
  </si>
  <si>
    <t>Modernisierung 01-07/2014</t>
  </si>
  <si>
    <t>0-0,5 MW, Anlage nur bis 500 kW installierte Leistung, IB vor 01.01.2009, Modernisierung 2014</t>
  </si>
  <si>
    <t>WaK1007M081214</t>
  </si>
  <si>
    <t>WaK1007M----15</t>
  </si>
  <si>
    <t>0-0,5 MW, Anlage nur bis 500 kW installierte Leistung, IB vor 01.01.2009, Modernisierung 2015</t>
  </si>
  <si>
    <t>WaK1007M----16</t>
  </si>
  <si>
    <t>0-0,5 MW, Anlage nur bis 500 kW installierte Leistung, IB vor 01.01.2009, Modernisierung 2016</t>
  </si>
  <si>
    <t>WaK1007M----17</t>
  </si>
  <si>
    <t>0-0,5 MW, Anlage nur bis 500 kW installierte Leistung, IB vor 01.01.2009, Modernisierung 2017</t>
  </si>
  <si>
    <t>WaK1007M----18</t>
  </si>
  <si>
    <t>0-0,5 MW, Anlage nur bis 500 kW installierte Leistung, IB vor 01.01.2009, Modernisierung 2018</t>
  </si>
  <si>
    <t>WaK1007M----19</t>
  </si>
  <si>
    <t>0-0,5 MW, Anlage nur bis 500 kW installierte Leistung, IB vor 01.01.2009, Modernisierung 2019</t>
  </si>
  <si>
    <t>WaK1007M----20</t>
  </si>
  <si>
    <t>0-0,5 MW, Anlage nur bis 500 kW installierte Leistung, IB vor 01.01.2009, Modernisierung 2020</t>
  </si>
  <si>
    <t>Kategorien für Anlagen, die Kommunen finanziell beteiligt haben</t>
  </si>
  <si>
    <t>Inbetriebnahme ab 01/2021</t>
  </si>
  <si>
    <t>WnK36k------FB</t>
  </si>
  <si>
    <t>36k für kfinazielle Beiteiligung von Kommunen</t>
  </si>
  <si>
    <t>BiK22-innov-AS</t>
  </si>
  <si>
    <t>WnK22-innov-AS</t>
  </si>
  <si>
    <t>WfK22-innov-AS</t>
  </si>
  <si>
    <t>SoK22-innov-AS</t>
  </si>
  <si>
    <t>SgK22-innov-AS</t>
  </si>
  <si>
    <t>BiK81M1bK20y07</t>
  </si>
  <si>
    <t>BiK81M1bK20-07</t>
  </si>
  <si>
    <t>BiK82M2bK20-07</t>
  </si>
  <si>
    <t>BiK82M2bK20y07</t>
  </si>
  <si>
    <t>BiK83a2bK20-07</t>
  </si>
  <si>
    <t>0-0,15 MW, Bonusregeln M1, b und K erstmals 2020</t>
  </si>
  <si>
    <t>0-0,15 MW, Bonusregeln M1, y, b und K erstmals 2020</t>
  </si>
  <si>
    <t>0,15-0,5 MW, Bonusregeln M2, b und K erstmals 2020</t>
  </si>
  <si>
    <t>0,15-0,5 MW, Bonusregeln M2, y, b und K erstmals 2020</t>
  </si>
  <si>
    <t>0,5-5 MW, Bonusregeln a2 und b und K erstmals 2020</t>
  </si>
  <si>
    <t>BiK81LbK20--05</t>
  </si>
  <si>
    <t>BiK81LbK20y-05</t>
  </si>
  <si>
    <t>BiK82LbK20--05</t>
  </si>
  <si>
    <t>BiK82LbK20y-05</t>
  </si>
  <si>
    <t>BiK83a2bK20-05</t>
  </si>
  <si>
    <t>0-0,15 MW, Bonusregeln L, y, b, erstmals 2020</t>
  </si>
  <si>
    <t>0-0,15 MW, Bonusregeln L, b, erstmals 2020</t>
  </si>
  <si>
    <t>0,15-0,5 MW, Bonusregeln L, b, erstmals 2020</t>
  </si>
  <si>
    <t>0,15-0,5 MW, Bonusregeln L, y, b, erstmals 2020</t>
  </si>
  <si>
    <t>0,5-5 MW, Bonusregeln a2 und b, erstmals 2020</t>
  </si>
  <si>
    <t>BiK51nM1K14-02</t>
  </si>
  <si>
    <t>0-0,15 MW, Bonusregeln y und K erstmals 2017</t>
  </si>
  <si>
    <t>BiK51nK17y--01</t>
  </si>
  <si>
    <t>BiK51nK17y--02</t>
  </si>
  <si>
    <t>BiK51nK17---02</t>
  </si>
  <si>
    <t>BiK51aK17y--02</t>
  </si>
  <si>
    <t>BiK51aK17---02</t>
  </si>
  <si>
    <t>0,15-0,5 MW, Bonusregeln y und K erstmals 2017</t>
  </si>
  <si>
    <t>BiK51nK17y--03</t>
  </si>
  <si>
    <t>BiK51aK17y--03</t>
  </si>
  <si>
    <t>BiK51nM1K13y03</t>
  </si>
  <si>
    <t>BiK51aM2K13y03</t>
  </si>
  <si>
    <t>BiK81K17y---04</t>
  </si>
  <si>
    <t>BiK82K17y---04</t>
  </si>
  <si>
    <t>BiK81K17y---07</t>
  </si>
  <si>
    <t>BiK82K17y---07</t>
  </si>
  <si>
    <t>Ergänzung Vorbehaltshinweis zur beihilferechtlichen Genehmigung durch EU-KOM für Mieterstromzuschlag, Zuschlagserteilung nach dem 31.12.2020, ausgeförderte Windenergieanlagen und Absenkung der anzulegenden Werte für Strom aus solarer Strahlungsenergie 
Ergänzung Kategorien für Wasserkraft &lt; 500 kW mit IB vor 01.01.2009 und Modernisierung 2012 bis 2020 (Erhöhung 3 ct/kWh)
Ergänzung Kategorien für Innovationsauschreibungen
Ergänzung Kategorie für finanzielle Beteiligung von Kommunen
Ergänzung der Vergütungssätze für PV-Anlagen mit Inbetriebnahme Februar 2021 bis April 2021
Ergänzung der Kategorien BiK51nK17y--01, BiK51nK17---02, BiK51nK17y--02, BiK51aK17---02, BiK51aK17y--02, BiK51nM1K14-02, BiK51nK17y--03, BiK51aK17y--03, BiK51nM1K13y03, BiK51aM2K13y03, BiK81K17y---04, BiK82K17y---04, BiK81LbK20--05, BiK81LbK20y-05, BiK82LbK20--05, BiK82LbK20y-05, BiK82LbK20--05, BiK81K17y---07, BiK82K17y---07, BiK81M1bK20-07, BiK81M1bK20y07, BiK82M2bK20-07, BiK82M2bK20y07, BiK83a2bK20-07</t>
  </si>
  <si>
    <t>BiK51aM2K14-02</t>
  </si>
  <si>
    <t>0,15-0,5 MW, Bonusregel M2 und K erstmals 2014</t>
  </si>
  <si>
    <t>BiK81M1K20--06</t>
  </si>
  <si>
    <t>BiK82M2K20--06</t>
  </si>
  <si>
    <t>0-0,15 MW, Bonusregeln M1, K erstmals 2020</t>
  </si>
  <si>
    <t>0,15-0,5 MW, Bonusregeln M2, K erstmals 2020</t>
  </si>
  <si>
    <t>Anpassung Vorbehaltshinweis zur beihilferechtlichen Genehmigung durch EU-KOM (Tabellenblatt 'Vorbehalt und Haftungsauschluss')
Ergänzung der Vergütungssätze für PV-Anlagen mit Inbetriebnahme Mai 2021 bis Juli 2021
Ergänzung der Kategorien BiK51aM2K14-02, BiK81M1K20--06 und BiK82M2K20--06</t>
  </si>
  <si>
    <t>- Anschlussförderung für Grubengasanlagen nach § 102 EEG 2021-2.</t>
  </si>
  <si>
    <t>- Zulässigkeit finanzielle Beteiligung von Kommunen für Freiflächenanlagen gemäß § 6 Abs. 3 EEG 2021-2</t>
  </si>
  <si>
    <t>finanzielle Beteiligung von Kommunen nach § 6 EEG 2021</t>
  </si>
  <si>
    <t>Die Erhöhung des Marktwertes für ausgeförderte Windenergieanlagen an Land nach § 23b Absatz 2 Satz 2 EEG 2021 wurde nicht genehmigt und wird durch eine neue Regelung gemäß §23b Abs. 2 bis 5 EEG 2021-2 ("Frühjahresnovelle") ersetzt, die selbst keine genehmigungspflichtige Beihilfe darstellt.</t>
  </si>
  <si>
    <t xml:space="preserve">Ergänzung der Vergütungssätze für PV-Anlagen mit Inbetriebnahme August 2021 bis Oktober 2021 
Anpassung hinsichtlich beihilferechtlicher Genehmigung des EEG 2021 durch EU-KOM:
Zulässigkeit der Kategorien für Mieterstromzuschlag ab Inbetriebnahmedatum 01.01.2021
Änderung des Vergütungssatzes für Geothermie-Anlagen auf der Basis der Degression gemäß § 45 Abs. 2 EEG 2021 (keine Degression bis 2023)
Änderung der Vergütungssätze für PV-Anlagen mit Inbetriebnahme Februar 2021 bis Juli 2021 auf der Basis der Degression gemäß § 49 EEG 2021 in Höhe von 1,4 %
Überarbeitung Vorbehaltshinweis zur beihilferechtlichen Genehmigung durch EU-KOM.
</t>
  </si>
  <si>
    <t>§ 48 Abs. 1 EEG 2021</t>
  </si>
  <si>
    <t>§ 48a EEG 2021</t>
  </si>
  <si>
    <t>zum 31.12.2020 ausgeförderte Windenergie-Anlagen</t>
  </si>
  <si>
    <t>zum 31.12.2020 ausgeförderte Windenergie-Anlagen (entfallen mit EEG 2021-2)</t>
  </si>
  <si>
    <t>bezuschlagt in einem Ausschreibungsverfahren (entfallen mit EEG 2021-2)</t>
  </si>
  <si>
    <t>zum 31.12.2020 ausgeförderte Windenergie-Anlagen mit intelligentem Messsystem</t>
  </si>
  <si>
    <t>Betreiber von Windenergieanlagen an Land mit Inbetriebnahme nach dem 31.12.2020, die einen Zuschlag für ihre Anlage erhalten, dürfen gemäß § 36k EEG 2021 den Gemeinden, die von der Errichtung der Windenergieanlage betroffen sind, Beträge durch einseitige Zuwendung ohne Gegenleistung von insgesamt 0,2 Cent pro Kilowattstunde für die tatsächliche eingespeiste Strommenge und für die fiktive Strommenge nach Anlage 2 Nummer 7.2 EEG 2021 anbieten.
Für diese Kategorie wird keine Strommenge, sondern nur die finanzielle Beteiligung an die jeweilige Kommune als positiver Euro-Betrag gemeldet.
Die Meldung kann auschließlich im Rahmen einer Jahresabrechnung erfolgen.
Gelöscht, da durch Kategorie für § 6 Absatz 2 EEG 2021 ersetzt.</t>
  </si>
  <si>
    <t>WnK62-------FB</t>
  </si>
  <si>
    <t>SoK63-------FB</t>
  </si>
  <si>
    <t>SgK23MaStRVSV0</t>
  </si>
  <si>
    <t>Gelöscht, da mit EEG 2021-2 entfallen</t>
  </si>
  <si>
    <t>Inbetriebnahme bis 31.12.2000</t>
  </si>
  <si>
    <t>WiK23b2----AUF</t>
  </si>
  <si>
    <t>Aufschlag nach § 23b Abs. 2 EEG 2021-2</t>
  </si>
  <si>
    <t>einmalig für Leistungsjahr 2021</t>
  </si>
  <si>
    <t>Kategorie für Aufschlag gem. § 23b Abs. 2 EEG 2021-2 für ausgeförderte Windenergieanlagen</t>
  </si>
  <si>
    <t>Ergänzung Kategorie für finanzielle Beteiligung von Kommunen für Freiflächenanlagen und Umbenennung der Kategorie für Windenergieanlagen an Land
Ergänzung Kategorie SgK23MaStRVSV0
Löschung Kategorien WiK23b22---eMW, WiK23b21----AS
Ergänzung Kategorie für Aufschlag gem. § 23b Abs. 2 EEG 2021-2 für ausgeförderte Windenergieanlagen
Ergänzung der Kategorien BiK51nGK17y-03, BiK51aGK17y-03, BiK51nK20---03 und BiK51aK20---03</t>
  </si>
  <si>
    <t>BiK51nGK17y-03</t>
  </si>
  <si>
    <t xml:space="preserve"> 0-0,15 MW, Bonusregeln G, y und K erstmals 2017</t>
  </si>
  <si>
    <t>BiK51aGK17y-03</t>
  </si>
  <si>
    <t xml:space="preserve"> 0,15-0,5 MW, Bonusregeln G, y und K erstmals 2017</t>
  </si>
  <si>
    <t>BiK51nK20---03</t>
  </si>
  <si>
    <t xml:space="preserve"> 0-0,150 MW, Bonusregel K erstmals 2020</t>
  </si>
  <si>
    <t>BiK51aK20---03</t>
  </si>
  <si>
    <t xml:space="preserve"> 0,150-0,5 MW, Bonusregel K erstmals 2020</t>
  </si>
  <si>
    <t>Unter den Voraussetzungen des § 23b Abs. 3 EEG 2021-2 können zum 31.12.2020 ausgeförderte Windenergieanlagen für das Leistungsjahr 2021 einmalig einen Aufschlag für die Strommenge in der Einspeisevergütung nach § 19 Abs. 1 Nr. 2 EEG 2021-2 erhalten. Gemäß § 23b Abs. 2 EEG 2021-2 beträgt die Höhe des Aufschlages 1,0 ct/kWh für Strom, der vor dem 01.07.2021 erzeugt worden ist, 0,5 ct/kWh für Strom, der nach dem 30.06.2021 und vor dem 01.10.2021 erzeugt worden ist und 0,25 ct/kWh für Strom, der nach dem 30.09.2021 und vor dem 01.01.2022 erzeugt worden ist.
Für diese Kategorie wird keine Strommenge, sondern nur der Aufschlag als positiver Euro-Betrag gemeldet.
Informationen zur Datenmeldung des VNB an den ÜNB erhalten Netzbetreiber bei ihrem zuständigen ÜNB.</t>
  </si>
  <si>
    <t>Ergänzung der Vergütungssätze für PV-Anlagen mit Inbetriebnahme November 2021 bis Dezember 2021
Anpassung Beschreibung der Kategorie für Aufschlag gem. § 23b Abs. 2 EEG 2021-2 für ausgeförderte Windenergieanlagen</t>
  </si>
  <si>
    <t>WaK20---MPM-AB</t>
  </si>
  <si>
    <t>BiK20---MPM-AB</t>
  </si>
  <si>
    <t>GaK20---MPM-AB</t>
  </si>
  <si>
    <t>DeK20---MPM-AB</t>
  </si>
  <si>
    <t>KlK20---MPM-AB</t>
  </si>
  <si>
    <t>GrK20---MPM-AB</t>
  </si>
  <si>
    <t>GeK20---MPM-AB</t>
  </si>
  <si>
    <t>WiK20---MPM-AB</t>
  </si>
  <si>
    <t>WnK20---MPM-AB</t>
  </si>
  <si>
    <t>WrK20---MPM-AB</t>
  </si>
  <si>
    <t>WfK20---MPM-AB</t>
  </si>
  <si>
    <t>SoK20---MPM-AB</t>
  </si>
  <si>
    <t>SgK20---MPM-AB</t>
  </si>
  <si>
    <t>Marktwerte Januar [ct/kWh]</t>
  </si>
  <si>
    <t>Marktwerte Februar [ct/kWh]</t>
  </si>
  <si>
    <t>Marktwerte März [ct/kWh]</t>
  </si>
  <si>
    <t>Marktwerte April [ct/kWh]</t>
  </si>
  <si>
    <t>Marktwerte Mai [ct/kWh]</t>
  </si>
  <si>
    <t>Marktwerte Juni [ct/kWh]</t>
  </si>
  <si>
    <t>Marktwerte Juli [ct/kWh]</t>
  </si>
  <si>
    <t>Marktwerte August [ct/kWh]</t>
  </si>
  <si>
    <t>Marktwerte September [ct/kWh]</t>
  </si>
  <si>
    <t>Marktwerte Oktober [ct/kWh]</t>
  </si>
  <si>
    <t>Marktwerte November [ct/kWh]</t>
  </si>
  <si>
    <t>Marktwerte Dezember [ct/kWh]</t>
  </si>
  <si>
    <t>Strommenge 
[kWh] für das Kalenderjahr</t>
  </si>
  <si>
    <t>Strom-menge
Januar [kWh]</t>
  </si>
  <si>
    <t>Strom-menge
Februar [kWh]</t>
  </si>
  <si>
    <t>Strom-menge
März [kWh]</t>
  </si>
  <si>
    <t>Strom-menge
April [kWh]</t>
  </si>
  <si>
    <t>Strom-menge
Mai [kWh]</t>
  </si>
  <si>
    <t>Strom-menge
Juni [kWh]</t>
  </si>
  <si>
    <t>Strom-menge
Juli [kWh]</t>
  </si>
  <si>
    <t>Strom-menge
August [kWh]</t>
  </si>
  <si>
    <t>Strom-menge
September [kWh]</t>
  </si>
  <si>
    <t>Strom-menge
Oktober [kWh]</t>
  </si>
  <si>
    <t>Strom-menge
November [kWh]</t>
  </si>
  <si>
    <t>Strom-menge
Dezember [kWh]</t>
  </si>
  <si>
    <t>Markt-prämie
Januar [EUR]</t>
  </si>
  <si>
    <t>Markt-prämie
Februar [EUR]</t>
  </si>
  <si>
    <t>Markt-prämie
März [EUR]</t>
  </si>
  <si>
    <t>Markt-prämie
April [EUR]</t>
  </si>
  <si>
    <t>Markt-prämie
Mai [EUR]</t>
  </si>
  <si>
    <t>Markt-prämie
Juni [EUR]</t>
  </si>
  <si>
    <t>Markt-prämie
Juli [EUR]</t>
  </si>
  <si>
    <t>Markt-prämie
August [EUR]</t>
  </si>
  <si>
    <t>Markt-prämie
September [EUR]</t>
  </si>
  <si>
    <t>Markt-prämie
Oktober [EUR]</t>
  </si>
  <si>
    <t>Markt-prämie
November [EUR]</t>
  </si>
  <si>
    <t>Markt-prämie
Dezember [EUR]</t>
  </si>
  <si>
    <t>E12345010000000000620387850500003</t>
  </si>
  <si>
    <t>SgK4821--Nov20</t>
  </si>
  <si>
    <t>Berechnung der Marktprämie bei hohen Marktpreisen - Unzulässige Anwendung des "Topfauffüllmodells"</t>
  </si>
  <si>
    <t>Beispiel Wasserkraftanlage mit installierter Leistung von 4 MW bei einer angenommenen monatlichen Einspeisung von je 2 Mio. kWh.</t>
  </si>
  <si>
    <t>Das gibt im Jahr mit 365 Tagen eine Einspeisung von 24 Mio. kWh, was einer Bemessungsleistung von 2.739,726 kW entspricht.</t>
  </si>
  <si>
    <t xml:space="preserve"> 0-0,5 MW</t>
  </si>
  <si>
    <t>max.</t>
  </si>
  <si>
    <t>kWh/Jahr</t>
  </si>
  <si>
    <t xml:space="preserve"> 0,5-2 MW</t>
  </si>
  <si>
    <t xml:space="preserve"> 2-5 MW</t>
  </si>
  <si>
    <t>Angenommener monatlicher Marktwert (steuerbar) in ct/kWh:</t>
  </si>
  <si>
    <t>z.B. unterhalb niederigstem anzulegenden Wert (wie 6 ct/kWh), oberhalb höchsten anzulegenden Wert (wie 13 ct/kWh) und zwischen anzulegenden Werten (wie 7 oder 9 ct/kWh)</t>
  </si>
  <si>
    <t>Aufteilung aller Strommengen gemäß Bemessungsleistung auf die Leistungsstufen nach § 23d EEG</t>
  </si>
  <si>
    <t>Strommenge in kWh</t>
  </si>
  <si>
    <t>anzuleg. Wert</t>
  </si>
  <si>
    <t>Summe Jan-Dez</t>
  </si>
  <si>
    <t>Gesamtjahr</t>
  </si>
  <si>
    <t>Marktprämie</t>
  </si>
  <si>
    <t>Marktprämie vor der Kappung in Euro</t>
  </si>
  <si>
    <t>Summe vor der Kappung</t>
  </si>
  <si>
    <t>In diesem Beispiel wird für alle Monate derselbe Monatsmarktwert angenommen. Je nach zeitlicher Entwicklung des Monatsmarktwertes im Jahresverlauf kann das "Topfauffüllmodell" für den Anlagenbetreiber auch nachteilig ausfallen.</t>
  </si>
  <si>
    <t>SgK21----MW-AB</t>
  </si>
  <si>
    <t>SoK21----MW-AB</t>
  </si>
  <si>
    <t>WfK21----MW-AB</t>
  </si>
  <si>
    <t>WrK21----MW-AB</t>
  </si>
  <si>
    <t>WnK21----MW-AB</t>
  </si>
  <si>
    <t>WiK21----MW-AB</t>
  </si>
  <si>
    <t>GeK21----MW-AB</t>
  </si>
  <si>
    <t>GrK21----MW-AB</t>
  </si>
  <si>
    <t>KlK21----MW-AB</t>
  </si>
  <si>
    <t>DeK21----MW-AB</t>
  </si>
  <si>
    <t>GaK21----MW-AB</t>
  </si>
  <si>
    <t>BiK21----MW-AB</t>
  </si>
  <si>
    <t>WaK21----MW-AB</t>
  </si>
  <si>
    <t>Ausgleichsbetrag zum Ausgleich der andernfalls negativen Marktprämienzahlung</t>
  </si>
  <si>
    <t>Marktwertzahlung [EUR] für das Kalenderjahr</t>
  </si>
  <si>
    <t>Beispiel für die Datenmeldung und Darstellung von Ausgleichsbeträgen für rechnerisch negative Marktprämienzahlungen</t>
  </si>
  <si>
    <t>Beispiel für die Datenmeldung und Darstellung von Ausgleichsbeträgen für rechnerisch zu hohe Marktwertsanktionsbeträge</t>
  </si>
  <si>
    <t>Marktwerte
Februar [EUR]</t>
  </si>
  <si>
    <t>Marktwerte
März [EUR]</t>
  </si>
  <si>
    <t>Marktwerte
April [EUR]</t>
  </si>
  <si>
    <t>Marktwerte
Mai [EUR]</t>
  </si>
  <si>
    <t>Marktwerte
Juni [EUR]</t>
  </si>
  <si>
    <t>Marktwerte
Juli [EUR]</t>
  </si>
  <si>
    <t>Anzule-gender Wert [ct/kWh]</t>
  </si>
  <si>
    <t>Jan22</t>
  </si>
  <si>
    <t>HJ1</t>
  </si>
  <si>
    <t>HJ2</t>
  </si>
  <si>
    <t>Halbjahr</t>
  </si>
  <si>
    <t>§ 42 EEG</t>
  </si>
  <si>
    <t>§ 44 EEG</t>
  </si>
  <si>
    <t>§ 43 EEG</t>
  </si>
  <si>
    <t>WnK46-------22</t>
  </si>
  <si>
    <t>Inbetriebnahme 2022</t>
  </si>
  <si>
    <t>https://www.bundesnetzagentur.de/DE/Sachgebiete/ElektrizitaetundGas/Unternehmen_Institutionen/ErneuerbareEnergien/ZahlenDatenInformationen/EEG_Registerdaten/start.html</t>
  </si>
  <si>
    <t xml:space="preserve"> &gt;5 MW, Zubau 0-0,5 MW</t>
  </si>
  <si>
    <t xml:space="preserve"> &gt;5 MW, Zubau 0,5-10 MW</t>
  </si>
  <si>
    <t>&gt; 5 MW, Zubau. Anspruch auf Förderung gem. § 12 Abs. 3 Satz 2 EEG 2004 zum 31.12.2021 beendet</t>
  </si>
  <si>
    <t>Ab dem 01.01.2021 gelten die besonderen Bestimmungen zur Einspeisevergütung</t>
  </si>
  <si>
    <t>bei ausgeförderten Anlagen nach § 23b EEG 2021-2</t>
  </si>
  <si>
    <t>der sich ab dem Jahr 2021 in entsprechender Anwendung von Anlage 1 Nummer 4 berechnet. Diese Einspeisevergütung ist bis 31.12.2027 befristet.</t>
  </si>
  <si>
    <t>Erneuerbare-Energien-Gesetzes am 31. Dezember 2020 beträgt der anzulegende Wert der Monatsmarktwert für Windenergieanlagen an Land. Diese Einspeisevergütung</t>
  </si>
  <si>
    <t>gilt ausschließlich für das Leistungsjahr 2021. Der anzulegende Wert erhöht sich unter den Bedingungen des § 23b Abs. 3 bis 5 EEG 2021-2 um einen Aufschlag von maximal</t>
  </si>
  <si>
    <t xml:space="preserve">  1. 1,0 Cent pro Kilowattstunde für Strom, der vor dem 1. Juli 2021 erzeugt worden ist,</t>
  </si>
  <si>
    <t xml:space="preserve">  2. 0,5 Cent pro Kilowattstunde für Strom, der nach dem 30. Juni 2021 und vor dem 1. Oktober 2021 erzeugt worden ist, und</t>
  </si>
  <si>
    <t xml:space="preserve">  3. 0,25 Cent pro Kilowattstunde für Strom, der nach dem 30. September 2021 und vor dem 1. Januar 2022 erzeugt worden ist.</t>
  </si>
  <si>
    <t>Die anzulegenden Werte reduzieren sich nach Maßgabe von § 53 Abs. 2 EEG 2021-2.</t>
  </si>
  <si>
    <t>unterjährig einsetzende neue Vergütungssätze (bei PV-Anlagen z. B. ab Juli): Monatsangaben in den Stellen 10 bis 12, Quartalsangaben Q1 bis Q4, Halbjahresangaben HJ1 und HJ2</t>
  </si>
  <si>
    <t>Marktprämie nach der Kappung</t>
  </si>
  <si>
    <t>Beispiel für die unzulässige Anwendung des "Topfauffüllmodells"</t>
  </si>
  <si>
    <t xml:space="preserve">  </t>
  </si>
  <si>
    <t>Zwischensumme</t>
  </si>
  <si>
    <t>Gesamtsumme</t>
  </si>
  <si>
    <t xml:space="preserve"> &lt;= Abzug Managementkosten gemäß § 53 Abs. 1 EEG 2021 bzw. § 53 Satz 1 EEG 2017</t>
  </si>
  <si>
    <t xml:space="preserve"> &lt;= Marktwert nach Anwendung § 53 EEG</t>
  </si>
  <si>
    <t>Einspeise-
vergütung [ct/kWh]</t>
  </si>
  <si>
    <t>Einspeise-vergütung
Januar [EUR]</t>
  </si>
  <si>
    <t>Einspeise-vergütung
August [EUR]</t>
  </si>
  <si>
    <t>Einspeise-vergütung
September [EUR]</t>
  </si>
  <si>
    <t>Einspeise-vergütung
Oktober [EUR]</t>
  </si>
  <si>
    <t>Einspeise-vergütung
November [EUR]</t>
  </si>
  <si>
    <t>Einspeise-vergütung
Dezember [EUR]</t>
  </si>
  <si>
    <t>Die Kategorien XxK21----MW-AB dienen der Sicherstellung, dass die Sanktionierung gemäß § 52 Abs. 2 EEG ("Der anzulegende Wert verringert sich auf den Marktwert ...") im Fall sehr hoher Marktprämie nicht sogar die reguläre Vergütung ohne Sanktionierung übersteigt.  
Der Netzbetreiber muss im Fall der Sanktionierung gemäß § 52 Abs. 2 EEG immer auch die reguläre Vergütung ohne Sanktionierung berechnen, um diese mit jener Vergütung zu vergleichen, die sich aus dem Marktwert abzüglich der Managementkosten gemäß § 53 EEG ergibt. Die tatsächlich an den Anlagenbetreiber zu zahlende Vergütung ist jeweils der kleinere der beiden Werte. Sollte die reguläre Vergütung geringer sein, ist die Differenz als negativer Wert (ohne Angabe einer Strommenge) zu melden.</t>
  </si>
  <si>
    <t>* Angenommene fiktive Marktwerte für einzelne Kalendermonate *</t>
  </si>
  <si>
    <t>Zwischensumme (hypothetische Einspeisevergütung ohne Sanktionierung)</t>
  </si>
  <si>
    <t>Tatsächliche Auszahlung Einspeisevergütung</t>
  </si>
  <si>
    <t xml:space="preserve"> &lt;= Hypothetische Einspeisevergütung ohne Sanktionierung 1. Leistungsstufe</t>
  </si>
  <si>
    <t xml:space="preserve"> &lt;= Hypothetische Einspeisevergütung ohne Sanktionierung 2. Leistungsstufe</t>
  </si>
  <si>
    <t>* Aufteilung auf Leistungsstufen für eine PV-Anlage von 25,0 kW *</t>
  </si>
  <si>
    <t xml:space="preserve"> &lt;= Einspeisevergütung auf Basis Marktwert nach Anwendung § 53 EEG für sanktionierte Strommenge</t>
  </si>
  <si>
    <t>Für die Kategorienverwendung in den regelzonenspezifischen Datenmeldungen wenden Sie sich bitte an Ihren zuständigen Übertragungsnetzbetreiber.</t>
  </si>
  <si>
    <t>Kategorien zum Ausgleich bzw. zur Abschöpfung von Marktwertzahlungen, wenn diese über der hypothetischen Einspeisevergütung ohne Sanktionierung liegen</t>
  </si>
  <si>
    <t>Gemäß § 23d EEG 2021 und ebenso in allen Vorgängerversionen dieser Regelung ist jede kWh gemäß der installierten oder Bemessungsleistung auf alle Leistungsstufen aufzuteilen. Eine Zuteilung von einzelnen Strommengen nur bestimmten Leistungsstufen ist unzulässig. Das gilt gleichmaßen für eine monatlich unterschiedliche Aufteilung, z.B. im Januar mit der ersten Leistungsstufe beginnend, bis die maximal zulässige Strommenge dieser Leistungsstufe erreicht ist, um erst im Anschluss mit der nächsten Leistungsstufe fortzufahren. Bildlich gesprochen wird bei diesem Ansatz erst der "Topf" der ersten Leistungsstufe aufgefüllt, bis dieser voll ist, um dann den nächstgrößeren "Topf" (nächste Leistungsstufe) gleichermaßen aufzufüllen.
Dieses Verfahren wurde einst verbreitet verwendet, weil es eine monatliche Abschlagsberechnung vereinfacht, solange die jährliche Bemessungsleistung noch nicht bekannt ist. Allerdings führt das Verfahren in verschiedenen Fällen zu einem falschen Ergebnis und ist daher sowohl für die Berechnung der Einspeisevergütung als auch der Marktprämie unzulässig. Einer dieser Fälle ist die Kappung einer negativen Marktprämie aufgrund sehr hoher Marktwerte. Dies wird auf dieser Seite anhand der korrekten Aufteilung und dem unzulässigen "Topfauffüllmodell" gezeigt. Dies ist der Fall, wenn der monatliche Marktwert höher als der niedrigste anzulegende Wert einer Kategorie ist.</t>
  </si>
  <si>
    <t>Eine beispielhafte Erläuterung zur Verwendung der Kategorien im Fall einer fiktiven PV-Anlage können Sie der nachfolgenden Tabelle entnehmen. Bitte beachten Sie auch die korrekte Aufteilung der monatlichen Strommengen auf mehrere Leistungsstufen entsprechend der Bemessungsleistung oder installierten Leistung gemäß § 23d EEG auf dem Tabellenblatt "Beispiel Leistungsstufen", dass in diesem Fall der Einspeisevergütung analoge Anwendung findet. Für die Kategorienverwendung in den regelzonenspezifischen Datenmeldungen wenden Sie sich bitte an Ihren zuständigen Übertragungsnetzbetreiber.</t>
  </si>
  <si>
    <t>Eine beispielhafte Erläuterung zur Verwendung der Kategorien im Fall einer fiktiven PV-Anlage können Sie der nachfolgenden Tabelle entnehmen. Bitte beachten Sie auch die korrekte Aufteilung der monatlichen Strommengen auf mehrere Leistungsstufen entsprechend der Bemessungsleistung oder installierten Leistung gemäß § 23d EEG auf dem Tabellenblatt "Beispiel Leistungsstufen". Für die Kategorienverwendung in den regelzonenspezifischen Datenmeldungen wenden Sie sich bitte an Ihren zuständigen Übertragungsnetzbetreiber.</t>
  </si>
  <si>
    <t xml:space="preserve">Beispielhafte Erläuterung zur Verwendung der Kategorien können Sie dem Tabellenblatt "Beispiel Sanktion Marktwert" entnehmen. Bitte beachten Sie die Hinweise zur korrekten Aufteilung auf die Leistungszonen auf den Tabellenblatt "Beispiel Leistungsstufen". </t>
  </si>
  <si>
    <r>
      <t xml:space="preserve">Da die Höhe der Marktprämie nicht nur von der individuellen Vergütung der konkreten EEG-Anlage abhängig ist, sondern auch vom energieträgerspezifisch durchschnittlichen Marktwert im jeweiligen Kalendermonat, sind die Marktprämien-Strommenge und die ausgeschüttete Marktprämie für jeden Kalendermonat separat mit einer eigenen Kategorie zu melden, die keinen fixen Vergütungssatz in ct/kWh besitzt.
</t>
    </r>
    <r>
      <rPr>
        <b/>
        <sz val="10"/>
        <color indexed="10"/>
        <rFont val="Arial"/>
        <family val="2"/>
      </rPr>
      <t xml:space="preserve">Bitte beachten Sie die Hinweise zur korrekten Berechnung und Meldung der Marktprämie insbesondere bei hohen Marktwerten und die Aufteilung auf die Leistungsstufen auf den Tabellenblättern "Beispiel negative Marktprämie" und "Beispiel Leistungsstufen". 
</t>
    </r>
  </si>
  <si>
    <t>Sofern eine Unterscheidung zwischen dem EEG 2012 in der vom 01.01.2012 bis 31.03.2012 geltenden alten Fassung und der ab 01.04.2012 gelten neuen Fassung erforderlich ist, ist dies durch die Verwendung von EEG 2012 a.F. bzw. EEG 2012 n.F. gekennzeichnet.
Die zum 27.07.2021 in Kraft getretene "Frühjahrsnovelle" wird als EEG 2021-2 bezeichnet, sofern eine Unterscheidung zum am 01.01.2021 in Kraft getretenen EEG 2021 erforderlich ist.</t>
  </si>
  <si>
    <r>
      <t xml:space="preserve">Biomasse
</t>
    </r>
    <r>
      <rPr>
        <b/>
        <sz val="12"/>
        <color indexed="8"/>
        <rFont val="Calibri"/>
        <family val="2"/>
      </rPr>
      <t xml:space="preserve"> 
</t>
    </r>
    <r>
      <rPr>
        <b/>
        <u/>
        <sz val="12"/>
        <color indexed="8"/>
        <rFont val="Calibri"/>
        <family val="2"/>
      </rPr>
      <t>Hinweis zu KWK-Bonus nach Anlage 3 EEG 2009</t>
    </r>
    <r>
      <rPr>
        <b/>
        <sz val="12"/>
        <color indexed="8"/>
        <rFont val="Calibri"/>
        <family val="2"/>
      </rPr>
      <t xml:space="preserve"> 
Beginnend mit dem Jahr 2013 werden die Kategorien "Bonusregel K erstmals ..." nur noch bei tatsächlichem Bedarf für entsprechend umgerüstete Altanlagen in diese Tabelle aufgenommen. Sofern ein solcher Bedarf besteht, setzen sich Netzbetreiber bitte zwecks Ergänzung der Tabelle mit ihren zugeordneten ÜNB in Verbindung.
Bei erstmaliger Erfüllung der Anforderungen nach Anlage 3 EEG 2009 in den Jahren 2013 bis 2020 beträgt dieser KWK-Bonus "K13" bis "K21" 2,88 ct/kWh, 2,85 ct/kWh, 2,82 ct/kWh, 2,80 ct/kWh, 2,77 ct/kWh, 2,74 ct/kWh, 2,71 ct/kWh bzw. 2,69 ct/kWh. 
Bei erstmaliger Erfüllung der Anforderungen nach Anlage 3 EEG 2009 in den Jahren 2021 bis 2028 beträgt der Bonus 2,66 ct/kWh, 2,63 ct/kWh, 2,61 ct/kWh, 2,58 ct/kWh, 2,55 ct/kWh, 2,53 ct/kWh, 2,50 ct/kWh bzw. 2,48 ct/kWh.</t>
    </r>
  </si>
  <si>
    <t>Die Kategorien XxK20---MPM-AB dienen der Kappung einer Marktprämie auf 0 Euro, sofern der energieträgerspezifische Marktwert höher als der anzulegende Wert ist, der sich aus der Anwendung des § 23d EEG ergibt. Die Marktprämie einer Anlage ist für den betreffenden Kalendermonat zunächst mit denselben Kategorien zu melden, als wäre der Marktwert niedriger als der anzulegende Wert. Hierbei können sich für eine oder auch mehrere Kategorien negative Euro-Beträge ergeben (siehe Zwischensumme). Da bei im Ergebnis negativer Marktprämie der Wert auf ‚null‘ gesetzt werden muss, ist mit der nachfolgenden Kategorie XxK20---MPM-AB  die Differenz zu 0 Euro mit positivem Euro-Betrag (ohne Angabe einer Strommenge) zu melden. Bei der Saldierung aller Kategorien muss sich hierbei exakt 0 Euro ergeben (siehe Gesamtsumme).</t>
  </si>
  <si>
    <r>
      <t>Die Strommengen ergeben sich in der Datenmeldung aus den Vergütungskategorien, die nach den Vorgaben des jeweiligen Übertragungsnetzbetreibers verwendet werden. Sollten sich rein rechnerisch negative Marktprämienzahlungen ergeben, sind die nachstehenden Kategorien ohne Angabe der Strommenge dahingehend zu verwenden, die Marktprämie durch eine positive Angabe in Euro auf Null zu begrenzen.</t>
    </r>
    <r>
      <rPr>
        <b/>
        <sz val="10"/>
        <color indexed="10"/>
        <rFont val="Arial"/>
        <family val="2"/>
      </rPr>
      <t xml:space="preserve"> Bitte beachten Sie die Hinweise zur korrekten Berechnung und Meldung der Marktprämie insbesondere bei hohen Marktwerten und die Aufteilung auf die Leistungsstufen auf den Tabellenblättern "Beispiel negative Marktprämie" und "Beispiel Leistungsstufen". </t>
    </r>
  </si>
  <si>
    <t>Kategorien Anschlussförderung für Güllekleinanlagen nach Abschnitt 3a der Erneuerbare-Energien-Verordnung (EEV)</t>
  </si>
  <si>
    <t xml:space="preserve">Für Strom aus Anlagen, in denen Biogas eingesetzt wird, verlängert sich der ursprüngliche Anspruch auf Zahlung nach der für die Anlage maßgeblichen Fassung des Erneuerbare-Energien-Gesetzes einmalig um zehn Jahre (Anschlusszeitraum), wenn die Voraussetzungen nach § 12a und § 12b EEV sowie die Mitteilungspflichten nach § 12d EEV erfüllt sind. 
</t>
  </si>
  <si>
    <t xml:space="preserve">In dem Anschlusszeitraum ist der ursprüngliche Anspruch auf Zahlung der Höhe nach begrenzt auf die durchschnittliche Höhe des anzulegenden Werts für den in der jeweiligen Anlage erzeugten Strom in Cent pro Kilowattstunde nach dem Erneuerbare-Energien-Gesetz in der für die Anlage maßgeblichen Fassung, wobei der Durchschnitt der drei letzten Kalenderjahre des ursprünglichen Anspruchszeitraums maßgeblich ist. Zudem besteht nach § 12c Abs. 1 Nr. 2 und § 12c Abs. 2 EEV eine Anspruchsbegrenzung in Abhängigkeit von der Bemessungsleistung und dem Beginn des Anschlusszeitraums. 
</t>
  </si>
  <si>
    <t>BiK12cEEV---01</t>
  </si>
  <si>
    <t>Einspeisevergütung für Güllekleinanlagen nach § 12c EEV</t>
  </si>
  <si>
    <t>BiK12cEEVMPM01</t>
  </si>
  <si>
    <t>Marktprämie für Güllekleinanlagen nach § 12c EEV</t>
  </si>
  <si>
    <t>GrK102100---01</t>
  </si>
  <si>
    <t>GrK102100MPM01</t>
  </si>
  <si>
    <t>Kategorien Anschlussförderung für Grubengas nach  § 102 EEG 2021-2</t>
  </si>
  <si>
    <t>Einspeisevergütung für Grubengasanlagen nach § 102 Abs. 1 Satz 2  Nr. 1 EEG 2021-2 (100%)</t>
  </si>
  <si>
    <t>Marktprämie für Grubengasanlagen nach § 102 Abs. 1 Satz 2  Nr. 1 EEG 2021-2 (100%)</t>
  </si>
  <si>
    <t>Einspeisevergütung für Altholzanlagen nach § 101 Satz 4  Nr. 1 EEG 2021 (100%)</t>
  </si>
  <si>
    <t>Marktprämie für Altholzanlagen nach § 101 Satz 4  Nr. 1 EEG 2021 (100%)</t>
  </si>
  <si>
    <t>1. im Kalenderjahr 2021 100 Prozent des anzulegenden Werts für den in der jeweiligen Anlage erzeugten Strom nach dem Erneuerbare-Energien-Gesetz in der für die Anlage bisher maßgeblichen Fassung,</t>
  </si>
  <si>
    <t xml:space="preserve">2. im Kalenderjahr 2022 95 Prozent des anzulegenden Werts für den in der jeweiligen Anlage erzeugten Strom nach dem Erneuerbare-Energien-Gesetz in der für die Anlage bisher maßgeblichen Fassung, </t>
  </si>
  <si>
    <t xml:space="preserve">3. im Kalenderjahr 2023 90 Prozent des anzulegenden Werts für den in der jeweiligen Anlage erzeugten Strom nach dem Erneuerbare-Energien-Gesetz in der für die Anlage bisher maßgeblichen Fassung, </t>
  </si>
  <si>
    <t>4. im Kalenderjahr 2024 85 Prozent des anzulegenden Werts für den in der jeweiligen Anlage erzeugten Strom nach dem Erneuerbare-Energien-Gesetz in der für die Anlage bisher maßgeblichen Fassung,</t>
  </si>
  <si>
    <t>Der sich nach Satz 2 ergebende Wert wird auf zwei Stellen nach dem Komma gerundet.</t>
  </si>
  <si>
    <t>Der sich nach Satz 4 ergebende Wert wird auf zwei Stellen nach dem Komma gerundet.</t>
  </si>
  <si>
    <t>GrK102-95---01</t>
  </si>
  <si>
    <t>GrK102-95MPM01</t>
  </si>
  <si>
    <t>Einspeisevergütung für Grubengasanlagen nach § 102 Abs. 1 Satz 2  Nr. 2 EEG 2021-2 (95%)</t>
  </si>
  <si>
    <t>Marktprämie für Grubengasanlagen nach § 102 Abs. 1 Satz 2  Nr. 2 EEG 2021-2 (95%)</t>
  </si>
  <si>
    <t>Leistungsjahr 2021</t>
  </si>
  <si>
    <t>Leistungsjahr 2022</t>
  </si>
  <si>
    <t>SgK38d-----PSB</t>
  </si>
  <si>
    <t>Inbetriebnahme ab 27.07.2021</t>
  </si>
  <si>
    <t>- Projektsicherungsbeitrag nach § 38d EEG 2021-2</t>
  </si>
  <si>
    <t>Leistungsjahre 2021 und 2022</t>
  </si>
  <si>
    <t xml:space="preserve">Für Altholz-Anlagen verlängert sich der Zeitraum, nach dem Ende des ursprünglichen Anspruchs auf Zahlung, das in der Fassung des Erneuerbare-Energien-Gesetzes festgelegt ist, das bei Inbetriebnahme der Anlage anzuwenden war, einmalig bis zum 31. Dezember 2026. Der anzulegende Wert der Anschlussförderung entspricht nach Satz 4 </t>
  </si>
  <si>
    <t>Für Grubengas-Anlagen verlängert sich der Zeitraum, nach dem Ende des ursprünglichen Anspruchs auf Zahlung, das in der Fassung des Erneuerbare-Energien-Gesetzes festgelegt ist, das bei Inbetriebnahme der Anlage anzuwenden war, einmalig bis zum 31. Dezember 2024, wenn das Grubengas aus Bergwerken des aktiven oder stillgelegten Bergbaus stammt. Der anzulegende Wert der Anschlussförderung entspricht nach Satz 2</t>
  </si>
  <si>
    <t>Ausgleichsbetrag für den Fall von Marktwerten, die über den hypothetisch förderfähigen anzulegenden Werten liegen</t>
  </si>
  <si>
    <t>SgK23MSRVMSZAB</t>
  </si>
  <si>
    <t>BiK23MSRVFLPAB</t>
  </si>
  <si>
    <t>BiK23MSRVFLZAB</t>
  </si>
  <si>
    <t>Abzugsbetrag für Flexibilitätsprämie nach § 50b EEG, die nach § 23 MaStRV nicht fällig geworden ist</t>
  </si>
  <si>
    <t>Abzugsbetrag für Marktprämie nach § 20 EEG, die nach § 23 MaStRV nicht fällig geworden ist</t>
  </si>
  <si>
    <t>Abzugsbetrag für Flexibilitätszuschlag nach § 50a EEG, der nach § 23 MaStRV nicht fällig geworden ist</t>
  </si>
  <si>
    <t>Abzugsbetrag für vergüteten Selbstverbrauch nach § 33 Abs. 2 EEG 2009/2012 a.F., der nach § 23 MaStRV nicht fällig geworden ist</t>
  </si>
  <si>
    <t>Abzugsbetrag für Mieterstromzuschlag nach § 21 Abs. 3 EEG, der nach § 23 MaStRV nicht fällig geworden ist</t>
  </si>
  <si>
    <t>Abzugsbetrag für Einspeisevergütung nach § 21 Abs. 1 EEG, die nach § 23 MaStRV nicht fällig geworden ist</t>
  </si>
  <si>
    <t>Nachträgliche Zahlung für Einspeisevergütung nach § 21 Abs. 1 EEG, die nach Registrierung im MaStRV fällig geworden ist</t>
  </si>
  <si>
    <t>Nachträgliche Zahlung für vergüteten Selbstverbrauch nach § 33 Abs. 2 EEG 2009/2012 a.F., die nach Registrierung im MaStRV fällig geworden ist</t>
  </si>
  <si>
    <t>Nachträgliche Zahlung für Mieterstromzuschlag nach § 21 Abs. 3 EEG, die nach Registrierung im MaStRV fällig geworden ist</t>
  </si>
  <si>
    <t>Nachträgliche Zahlung für Marktprämie nach § 20 EEG, die nach Registrierung im MaStRV fällig geworden ist</t>
  </si>
  <si>
    <t>Nachträgliche Zahlung für Flexibilitätszuschlag nach § 50a EEG, die nach Registrierung im MaStRV fällig geworden ist</t>
  </si>
  <si>
    <t>Nachträgliche Zahlung für Flexibilitätsprämie nach § 50b EEG, die nach Registrierung im MaStRV fällig geworden ist</t>
  </si>
  <si>
    <t>Ein Beispiel für die Datenmeldung mit den Kategorien XxK23MSRV-FGAB und XxK23MSRV-FGNZ finden Sie weiter unten auf diesem Tabellenblatt.</t>
  </si>
  <si>
    <t>Ja</t>
  </si>
  <si>
    <t>Nein</t>
  </si>
  <si>
    <t>Dem Grunde nach bestehender Zahlungsanspruch Einspeisevergütung</t>
  </si>
  <si>
    <t>[kWh]</t>
  </si>
  <si>
    <t>[Euro]</t>
  </si>
  <si>
    <t>August 2021</t>
  </si>
  <si>
    <t>Juli 2021</t>
  </si>
  <si>
    <t>September 2021</t>
  </si>
  <si>
    <t>Oktober 2021</t>
  </si>
  <si>
    <t>November 2021</t>
  </si>
  <si>
    <t>Dezember 2021</t>
  </si>
  <si>
    <t>1. Schritt: Berechnung des dem Grunde nach bestehenden Zahlungsanspruchs Einspeisevergütung (monatliche Abschläge)</t>
  </si>
  <si>
    <t>SgK4821--Jan18</t>
  </si>
  <si>
    <t>Auszahlung der Abschläge gemäß § 23 MaStRV</t>
  </si>
  <si>
    <t>Registrierung der Anlage im MaStR zum Zeitpunkt des Abschlags</t>
  </si>
  <si>
    <t>2. Schritt: Prüfung der Auszahlung der Einspeisevergütung</t>
  </si>
  <si>
    <t>3. Schritt: Datenmeldung der monatliche Abschläge</t>
  </si>
  <si>
    <t>Gesamtsumme der Abschlags-Datenmeldung</t>
  </si>
  <si>
    <t>Summe
Juli bis Dezember 2021</t>
  </si>
  <si>
    <t>Innerhalb eines Leistungsjahres darf die Summe der Strommengen, die mit XxK23-MaStRV-0 gemeldet worden sind, von Januar bis zum jeweiligen Monat für keine Anlage keine negative Strommenge annehmen.</t>
  </si>
  <si>
    <t>Einspeisevergütung [ct/kWh]</t>
  </si>
  <si>
    <t>Anlage</t>
  </si>
  <si>
    <t>Ein Beispiel für die Datenmeldung mit den Kategorien XxK23-MaStRV-0 finden Sie weiter oben auf diesem Tabellenblatt.</t>
  </si>
  <si>
    <t>Sobald die verfristete Registrierung erfolgt ist, ist die nicht ausgezahlte Einspeisevergütung, für die dem Grunde nach ein Zahlungsanspruch besteht, an den Anlagenbetreiber auszuzahlen. Diese nachträglich gezahlte und bislang nicht in den Belastungsausgleich eingebrachte Einspeisevergütung kann aperiodisch dem Übertragungsnetzbetreiber gemeldet werden. Zur Verbesserung der Transparenz sind hierfür nicht die Kategorien der aperiodischen Zahlung XxK-ap------FG zu verwenden, sondern die Kategorien XxK23MSRV-FGNZ. Der positiv gemeldete Euro-Betrag darf nicht höher als der mit XxK23MSRV-FGAB gemeldete negative Euro-Betrag sein. Die Kategorie XxK23MSRV-FGNZ darf zeitlich erst nach der Meldung XxK23MSRV-FGAB erfolgen. Wird die Kategorie XxK23MSRV-FGAB innerhalb der monatlichen Datenmeldung verwendet, darf die Kategorie XxK23MSRV-FGNZ nur innerhalb desselben Leistungsjahres gemeldet werden. Sofern die Registrierung erst im Folgejahr erfolgt, erfolgt die Nachzahlung im Zuge der Jahresmeldung, im Ausnahmefall ist das Vorgehen mit dem jeweiligen ÜNB abzustimmen.</t>
  </si>
  <si>
    <t xml:space="preserve">Die Kategorien sind stets mit einer Strommenge von 0 kWh sowie einem negativen Euro-Betrag zu melden. Sie dienen der Meldung der Abzugsbeträge in Euro, die dem Anlagenbetreiber als Einspeisevergütung dem Grunde nach zustehen würde, wenn die Anlage im MaStR registriert worden wäre, die aber wegen nicht eingetretener Fälligkeit bis zum Zeitpunkt der Jahresmeldung nicht an den Anlagenbetreiber ausgezahlt worden sind. Zusätzlich sind die Vergütungskategorien der Einspeisevergütung mit den zu wälzenden Strommengen und der dem Grunde nach zustehenden Vergütung (die ihrerseits sanktioniert sein kann) zu melden. Im Ergebnis ist dann der negative Euro-Abzugsbetrag dieser Kategorie abzuziehen und dieses Saldo (das nicht negativ werden darf) zu testieren. </t>
  </si>
  <si>
    <t xml:space="preserve">Die Kategorien XxK23MSRV-FGAB und XxK23MSRV-FGNZ sind für die Einspeisevergütung nach § 21 Abs. 1 EEG in der Jahresmeldung vorgesehen, können in Abstimmung mit dem zuständigen Übertragungsnetzbetreiber aber auch für die monatliche Datenmeldung verwendet werden. Sowohl die Verwendung in der Jahresmeldung als auch Monatsmeldung wird im folgenden Beispiel demonstriert. </t>
  </si>
  <si>
    <t>Für die anderen Fördersachverhalte Marktprämie, vergüteter Selbstverbrauch, Mieterstromzuschlag, Flexibilitätszuschlag und Flexibilitätsprämie existieren mit XxK23MSRVMPMAB / XxK23MSRVMPMNZ, SgK23MSRV-SVAB / SgK23MSRV-SVNZ, SgK23MSRVMSZAB / SgK23MSRVMSZNZ, BiK23MSRVFLZAB / BiK23MSRVFLZNZ bzw. BiK23MSRVFLZAB / BiK23MSRVFLZNZ separate Kategorien-Paare, die in analoger Weise zu verwenden sind. Auch hier ergibt das Saldo den zu testierenden Euro-Betrag des jeweiligen Fördersachverhalts.</t>
  </si>
  <si>
    <t>Vewendung der Kategorien für die monatlichen Datenmeldungen eines Leistungsjahres</t>
  </si>
  <si>
    <t>SgK23MSRV-FGAB</t>
  </si>
  <si>
    <t>SgK23MSRV-FGNZ</t>
  </si>
  <si>
    <t>(8,00)</t>
  </si>
  <si>
    <r>
      <rPr>
        <b/>
        <u/>
        <sz val="11"/>
        <color indexed="8"/>
        <rFont val="Arial"/>
        <family val="2"/>
      </rPr>
      <t>Erläuterung für das folgende fiktive Beispiel</t>
    </r>
    <r>
      <rPr>
        <sz val="11"/>
        <color indexed="8"/>
        <rFont val="Arial"/>
        <family val="2"/>
      </rPr>
      <t xml:space="preserve"> einer PV-Anlage von 25,0 kW aus dem Jahr 2018, die mit Inbetriebnahme im Vorläuferregister des MaStR, aber erst in der 2. Novemberhälfte 2021 im MaStR registriert worden ist für das zweite Halbjahr 2021. Im Monat Dezember muss eine Sanktionierung auf den Marktwert wegen Verstoß gegen die Vorschriften zum Wechsel der Veräußerungsform erfolgen. Der Marktwert wird mit 8,40 ct/kWh angenommen. Das fiktive Beispiel übernimmt damit dieselben Annahmen wie weiter oben auf diesem Tabellenblatt, um die Gemeinsamkeiten und Unterschiede zur Verwendung der Kategorie XxK23-MaStRV-0 aufzuzeigen.
Bis Leistungsmonat August hat der Anlagenbetreiber ungeachtet der fehlenden Registrierung im MaStR einen Anspruch auf den monatlichen Abschlag zum 15. des Folgemonats. Für die Monate September bis November muss die Strommenge an den ÜNB gewälzt werden und sind mit den regulären Vergütungskategorien zu melden. Damit mit der Meldung dieser Kategorien zugleich eine Auszahlung des ÜNB an den meldenden VNB verbunden ist, die jedoch wegen des nicht fälligen Anspruchs auf die Einspeisevergütung gerade nicht erfolgen soll, ist die nicht fällige und nicht zu zahlenden Einspeisevergütung mit der Kategorie SgK23MSRV-FGAB als negativer Euro-Betrag ohne Angabe der Strommenge zu melden. In der Summe aller Kategorien wird folglich nur die Strommenge zwecks Wälzung gemeldet, aber kein auszuzahlender Euro-Betrag. 
Nachdem in der zweiten Novemberhälfte die Registrierung erfolgt ist, ist nicht nur der Abschlag für den Monat Dezember zum 15. Januar 2022 zu zahlen, sondern der Anlagenbetreiber hat auch einen Anspruch, die bislang nicht ausgezahlten Zahlungen für die Leistungsmonate September bis November 2021 zusätzlich ausgezahlt zu bekommen. Die Strommengen und Einspeisevergütungen des Monats Dezember sind mit den regulären Kategorien zu melden. Zusätzlich sind mit der Kategorie SgK23MSRV-FGNZ die nicht ausgezahlten Einspeisevergütungen der Monate September bis November mit positiven Vorzeichen zu melden.</t>
    </r>
  </si>
  <si>
    <r>
      <t xml:space="preserve">Jahresmeldung
</t>
    </r>
    <r>
      <rPr>
        <sz val="10"/>
        <color indexed="8"/>
        <rFont val="Arial"/>
        <family val="2"/>
      </rPr>
      <t>(Juli bis Dezember 2021)</t>
    </r>
  </si>
  <si>
    <t>Gesamtsumme der Jahresmeldung</t>
  </si>
  <si>
    <r>
      <rPr>
        <b/>
        <u/>
        <sz val="11"/>
        <color indexed="8"/>
        <rFont val="Arial"/>
        <family val="2"/>
      </rPr>
      <t>Erläuterung für das folgende fiktive Beispiel:</t>
    </r>
    <r>
      <rPr>
        <sz val="11"/>
        <color indexed="8"/>
        <rFont val="Arial"/>
        <family val="2"/>
      </rPr>
      <t xml:space="preserve"> Das obige Beispiel wird dahingehend modifiziert, dass angenommen wird, dass die Registrierung der Anlage im MaStR nicht bereits im November 2021, sondern erst zu einem späteren Zeitpunkt:
  (a) vor Abschluss der Jahresabrechnung, Jahresmeldung und Testierung
  (b) erst nach Abschluss der Jahresabrechnung, Jahresmeldung und Testierung.
Zunächst die monatlichen Datenmeldungen 2021, wie sie unter den geänderten Annahmen aussehen würde:</t>
    </r>
  </si>
  <si>
    <t>(a) Registrierung vor Abschluss der Jahresabrechnung, Jahresmeldung und Testierung 2021</t>
  </si>
  <si>
    <t>In diesem Fall besteht keine Notwendigkeit, in der Jahresmeldung diese Kategorien zu verwenden, weil die Auszahlung des dem Grunde nach bestehenden Zahlungsanspruchs an den Anlagenbetreiber ungekürzt erfolgt und der Netzbetreiber diese Auszahlung durch den ÜNB erhält. Daher sieht die Jahresmeldung genauso aus, wie oben unter der Annahme, dass die Registrierung bereits im November 2021 erfolgt ist.</t>
  </si>
  <si>
    <t>(b) Registrierung nach Abschluss der Jahresabrechnung, Jahresmeldung und Testierung 2021</t>
  </si>
  <si>
    <t>Beispiel für die Datenmeldung mit den Kategorien XxK23MSRV-FGAB und XxK23MSRV-FGNZ</t>
  </si>
  <si>
    <t>Wenn Sie nur die tatsächlich an Anlagenbetreiber geleisteten Zahlungen in der Jahresmeldung melden und testieren wollen, ist dennoch der dem Grunde nach bestehende Zahlungsanspruch mit den hierfür vorgesehenen Kategorien zu melden, wie dies oben bei der Monatsmeldung bereits erläutert worden ist. Die Differenz zur tatsächlichen Auszahlung, die in den Wälzungsmechnismus einzubringen ist, ist mit der Kategorie  XxK23MSRV-FGAB mit negativem Euro-Betrag (ohne Strommenge) zu melden. Dieser Abzugsbetrag reduziert in der Tabelle der Einspeisevergütung im Testat den Euro-Betrag, während die Strommenge unverändert bleibt.</t>
  </si>
  <si>
    <t>Im obigen Beispiel würde eie Jahresmeldung 2021 für den Zeitraum Juli bis Dezember 2021 wie folgend aussehen, wobei die Meldung für Januar bis Juni noch zu ergänzen wäre:</t>
  </si>
  <si>
    <t>Da die Nachzahlung bereits innerhalb des Leistungsjahres vorgenommen worden ist, würde die Jahresmeldung 2021 für den Zeitraum Juli bis Dezember 2021 wie folgend aussehen, wobei die Meldung für Januar bis Juni noch zu ergänzen wäre:</t>
  </si>
  <si>
    <t>Jahresmeldung 2022</t>
  </si>
  <si>
    <t>…</t>
  </si>
  <si>
    <t>( + 9.078,64)</t>
  </si>
  <si>
    <t>Nachdem die Registrierung erfolgt ist, kann die nicht fällig gewordene und nicht in den Wälzungsmechanismus eingebrachte Zahlung mit Hilfe der Kategorie XxK23MSRV-FGNZ in einer späteren Jahresmeldung und Testierung (2022 oder später) eingebracht werden.  Diese nachträgliche Zahlung erhöht in der Tabelle der Einspeisevergütung im Testat den Euro-Betrag, während die Strommenge unverändert bleibt. Der Betrag der nachträglichen Zahlung darf nicht höher sein als die vorherigen Abzugsbeträge dieser Anlage, die in der bzw. den vorherigen Jahresmeldung(en) gemeldet worden sind. Hierbei müssen Meldungen in den monatlichen Datenmeldung unberücksichtigt bleiben!</t>
  </si>
  <si>
    <t>Verwendung der Kategorien für die Jahresmeldung</t>
  </si>
  <si>
    <r>
      <t xml:space="preserve">Damit der Netzbetreiber nicht über ggf. ein ganzes Jahr in Vorleistung gehen muss, kann die nachträgliche Zahlung mit dieser Kategorie auch in den monatlichen Datenmeldungen der Abschlagszahlung gemeldet werden. </t>
    </r>
    <r>
      <rPr>
        <sz val="11"/>
        <color indexed="10"/>
        <rFont val="Arial"/>
        <family val="2"/>
      </rPr>
      <t>Dabei muss zwingend beachtet werden, das die Einbringung in die Jahresmeldung und Testierung nur für dasselbe Leistungsjahr zulässig ist, für das der monatliche Abschlag gemeldet und gezahlt worden ist.</t>
    </r>
    <r>
      <rPr>
        <sz val="11"/>
        <color indexed="8"/>
        <rFont val="Arial"/>
        <family val="2"/>
      </rPr>
      <t xml:space="preserve"> Wurde daher z.B. für den Leistungsmonat März 2022 die Kategorie gemeldet, darf die Einbringung in die Jahresmeldung und Testierung erst für das Leistungsjahr 2022 erfolgen! In der Jahresmeldung und Testierung 2021 muss ein gleich hoher Abzugsbetrag eingebracht werden bzw. eingebracht worden sein.</t>
    </r>
  </si>
  <si>
    <r>
      <t xml:space="preserve">Die Kategorien XxK23MSRV-FGAB sind für die Einspeisevergütung nach § 21 Abs. 1 EEG in der </t>
    </r>
    <r>
      <rPr>
        <b/>
        <u/>
        <sz val="10"/>
        <color indexed="8"/>
        <rFont val="Arial"/>
        <family val="2"/>
      </rPr>
      <t>Jahresmeldung</t>
    </r>
    <r>
      <rPr>
        <b/>
        <sz val="10"/>
        <color indexed="8"/>
        <rFont val="Arial"/>
        <family val="2"/>
      </rPr>
      <t xml:space="preserve"> vorgesehen. Die Kategorien sind stets mit einer Strommenge von 0 kWh sowie einem negativen Euro-Betrag zu melden. Sie dienen der Meldung der Abzugsbeträge in Euro, die dem Anlagenbetreiber als Einspeisevergütung dem Grunde nach zustehen würde, wenn die Anlage im MaStR registriert worden wäre, die aber wegen nicht eingetretener Fälligkeit bis zum Zeitpunkt der Jahresmeldung nicht an den Anlagenbetreiber ausgezahlt worden sind. Zusätzlich sind die Vergütungskategorien der Einspeisevergütung mit den zu wälzenden Strommengen und der dem Grunde nach zustehenden Vergütung (die ihrerseits sanktioniert sein kann) zu melden. Im Ergebnis ist dann der negative Euro-Abzugsbetrag dieser Kategorie abzuziehen und dieses Saldo (das nicht negativ werden darf) zu testieren. Diese Kategorien können in Abstimmung mit dem zuständigen Übertragungsnetzbetreiber auch für die monatliche Datenmeldung verwendet werden. 
</t>
    </r>
  </si>
  <si>
    <t>- Flexibilitätszuschlag für Anlagen, die bereits eine Flexibilitätsprämie erhalten haben, gemäß § 50a Abs. 1 Satz 2 EEG 2021-2</t>
  </si>
  <si>
    <r>
      <t xml:space="preserve">Die folgenden Sachverhalte erhielten </t>
    </r>
    <r>
      <rPr>
        <b/>
        <u/>
        <sz val="11"/>
        <color indexed="8"/>
        <rFont val="Calibri"/>
        <family val="2"/>
      </rPr>
      <t>keine</t>
    </r>
    <r>
      <rPr>
        <sz val="11"/>
        <color theme="1"/>
        <rFont val="Calibri"/>
        <family val="2"/>
        <scheme val="minor"/>
      </rPr>
      <t xml:space="preserve"> beihilferechtliche Genehmigung und dürfen daher keine Anwendung finden:</t>
    </r>
  </si>
  <si>
    <t>Die hierfür vorgesehenen Vergütungskategorien wurden aus dem Tabellenblatt "EEG-Vergütungen und vNNE" in das Tabellenblatt "Nicht mehr verwendbare Kateg." verschoben.</t>
  </si>
  <si>
    <r>
      <t xml:space="preserve">Die Kategorien XxK23-MaStRV-0 sind für die für die Einspeisevergütung nach § 21 Abs. 1 EEG in den </t>
    </r>
    <r>
      <rPr>
        <b/>
        <u/>
        <sz val="10"/>
        <color indexed="8"/>
        <rFont val="Arial"/>
        <family val="2"/>
      </rPr>
      <t>monatlichen Datenmeldungen</t>
    </r>
    <r>
      <rPr>
        <b/>
        <sz val="10"/>
        <color indexed="8"/>
        <rFont val="Arial"/>
        <family val="2"/>
      </rPr>
      <t xml:space="preserve"> vorgesehen. Die Kategorien sind stets mit einem Betrag von 0 Euro sowie einer positiven oder negativen Strommenge zu melden. Sie dienen der Meldung der wälzungspflichtigen Strommengen der Einspeisevergütung des Leistungsmonats. Die Strommengen, für die die Fälligkeit der Einspeisevergütung ausgesetzt ist, sind mit positivem Vorzeichen in den Kategorien zu melden. Sofern die Registrierung im gleichen Leistungsjahr erfolgt ist, sind die Strommengen aus Vormonaten mit negativem Vorzeichen zu melden und gleichzeitig in den regulären Vergütungskategorie mit positivem Vorzeichen nachzumelden. Daher heben sich die Strommengen gegenseitig auf und sind nicht erneut zu wälzen. Sofern die Registrierung erst im Folgejahr erfolgt, erfolgt die Nachzahlung im Zuge der Jahresmeldung, im Ausnahmefall ist das Vorgehen mit dem jeweiligen ÜNB abzustimmen. In Absprache mit dem ÜNB können die Vergütungskategorien auch für die Marktprämie verwendet werden.</t>
    </r>
  </si>
  <si>
    <t xml:space="preserve">In analoger Weise sind die Kategorien für die Marktprämie, den vergüteten Selbstverbrauch, den Mieterstromzuschlag, den Flexibilitätszuschlag bzw. die Flexibilitätsprämie zu verwenden, um in der Jahresmeldung den Abzugsbetrag der nicht fällig gewordenen Zahlungen zusätzlich zur regulär zu verwendenden Kategorie mit dem im Grunde nach zustehenden Zahlungsanspruch zu melden. Auch hier ergibt das Saldo den zu testierenden Euro-Betrag des jeweiligen Fördersachverhalts.
</t>
  </si>
  <si>
    <t>Verringerung auf null nach § 23 MaStRV, nicht fällig werdende Ansprüche für vergüteten Selbstverbrauch nach § 33 Abs. 2 EEG 2009/2012 a.F. bei unterlassener Registrierung im MaStR</t>
  </si>
  <si>
    <t>Die Kategorien XxK23-MaStRV-0 sind für die für die Einspeisevergütung nach § 21 Abs. 1 EEG in den monatlichen Datenmeldungen vorgesehen. Die Kategorien sind stets mit einem Betrag von 0 Euro sowie einer positiven oder negativen Strommenge zu melden. Sie dienen der Meldung der wälzungspflichtigen Strommengen der Einspeisevergütung des Leistungsmonats. Die Strommengen, für die die Fälligkeit der Einspeisevergütung ausgesetzt ist, sind mit positivem Vorzeichen in den Kategorien zu melden. Sofern die Registrierung im gleichen Leistungsjahr erfolgt ist, sind die Strommengen aus Vormonaten mit negativem Vorzeichen zu melden und gleichzeitig in den regulären Vergütungskategorie mit positivem Vorzeichen nachzumelden. Daher heben sich die Strommengen gegenseitig auf und sind nicht erneut zu wälzen. Sofern die Registrierung erst im Folgejahr erfolgt, erfolgt die Nachzahlung im Zuge der Jahresmeldung, im Ausnahmefall ist das Vorgehen mit dem jeweiligen ÜNB abzustimmen. In Absprache mit dem ÜNB können die Vergütungskategorien auch für die Marktprämie verwendet werden.</t>
  </si>
  <si>
    <r>
      <t>Da sich bei Verwendung dieser Kategorie nicht erkennen lässt, wie sich der dem Grunde nach bestehende Vergütungsanspruch zusammensetzt</t>
    </r>
    <r>
      <rPr>
        <sz val="11"/>
        <color indexed="8"/>
        <rFont val="Arial"/>
        <family val="2"/>
      </rPr>
      <t>, ist diese Kategorie nicht für die Jahresmeldung zulässig. Stattdessen sind die weiter unten beschriebenen Kategorien zu verwenden, die neben der Jahresmeldung auch für die monatliche Datenmeldung für die Abschläge verwendbar sind, sofern der jeweilige ÜNB dies unterstützt.</t>
    </r>
  </si>
  <si>
    <t>Wenn die Nachzahlung nicht bereits innerhalb des Leistungsjahres vorgenommen worden ist, würde die Jahresmeldung die Kategorie SgK23MSRV-FGAB erfordern. 
Dieser Fall wird weiter unten beim Beispiel zur Kategorie XxK23MSRV-FGAB beschrieben.</t>
  </si>
  <si>
    <t xml:space="preserve">Ergänzung der Kategorien für nicht fällig gewordene Zahlungen gemäß § 23 Abs. 1 MaStRV in der Jahresmeldung (siehe Tabellenblatt "Beispiel § 23 MaStRV")
Anpassung der beihilferechtlich genehmigten Regelungen in Tabellenblatt "Vorbehalt und Haftungsausschluss"
Verschiebung der nicht beihilferechtlich genehmigten Vergütungskategorien auf Tabellenblatt "Nicht mehr verwendbare Kateg."
(3 ct/kWh Aufschlag für Wasserkraftanlagen, Grubengas- und Altholz-Anschlussförderung)
</t>
  </si>
  <si>
    <r>
      <t xml:space="preserve">Die nachfolgenden Kategorien sind ausschließlich für solche Anlagen anzuwenden, die 
  - zum Zeitpunkt der Inbetriebnahme oder Leistungserhöhung nicht der Registrierungspflicht unterlagen (Solar mit Inbetriebnahme vor dem 01.01.2009, sonstige Energieträger vor dem 01.08.2014) oder
  - die einer Registrierungspflicht unterlagen und tatsächlich auch in einem Vorgängerregister zum MaStR registriert worden sind, 
nicht aber fristgerecht vor dem 01.10.2021 im MaStR registriert worden sind. In diesen Fällen bleiben die Zahlungsansprüche nach § 19 und § 50 EEG erhalten, werden aber nicht zur Auszahlung an den Anlagenbetreiber fällig. Davon zu unterscheiden sind die tatsächlichen Sanktionen nach § 52 Abs. 1 Nr. 1 oder 2 sowie Abs. 3 EEG, für die die dafür vorgesehenen Sanktionskategorien zu verwenden sind.
Die Strommengen für die Marktprämie, Einspeisevergütung, vergütetem Selbstverbrauch und Mieterstromzuschlag sind trotzdem für den jeweiligen Leistungszeitraum zu melden und im Fall der Einspeisevergütung an den ÜNB zu wälzen. 
Es sind zwei Möglichkeiten für die Datenmeldung vorgesehen. Die erste ist ausschließlich für die monatliche Datenmeldung, nicht aber für die Jahresmeldung zu verwenden. Die zweite ist für die Jahresmeldung bestimmt, kann nach Rücksprache mit dem ÜNB auch für die monatlichen Datenmeldungen genutzt werden. 
</t>
    </r>
    <r>
      <rPr>
        <b/>
        <sz val="10"/>
        <color indexed="10"/>
        <rFont val="Arial"/>
        <family val="2"/>
      </rPr>
      <t>Bitte beachten Sie die Hinweise zur Verwendung dieser Kategorien auf dem Tabellenblatt "Beispiel § 23 MaStRV".</t>
    </r>
  </si>
  <si>
    <t>Kategorien für Wasserkraftanlagen &lt; 500 kW mit IB vor 01.01.2009 und Modernisierung 2012 bis 2020 (Erhöhung 3 ct/kWh)</t>
  </si>
  <si>
    <t>Kategorien für temporär nicht erfolgte Zahlungen nach § 23 MaStRV (Marktstammdatenregisterverordnung) und Abwicklung nachträglicher Zahlungen</t>
  </si>
  <si>
    <t>Beispiel für die Datenmeldung mit den Kategorien XxK23-MaStRV-0
temporär nicht erfolgte Zahlungen nach § 23 MaStRV (Marktstammdatenregisterverordnung) und Abwicklung nachträglicher Zahlungen</t>
  </si>
  <si>
    <t>Datum an dem die jeweilige Kategorie in 'EEG-Vergütung und vNNE' aufgenommen oder geändert wurde</t>
  </si>
  <si>
    <t>Gelöscht, da § 102 EEG 2021 von der EU-Kommission beihilferechtlich abgelehnt worden ist</t>
  </si>
  <si>
    <t>Gelöscht, da § 100 Abs. 7 EEG 2021 von der EU-Kommission beihilferechtlich abgelehnt worden ist</t>
  </si>
  <si>
    <t>Gelöscht, da § 101 EEG 2021 von der EU-Kommission beihilferechtlich abgelehnt worden ist</t>
  </si>
  <si>
    <t>Grund für die Entfernung aus der Tabelle der aktuellen Vergütungskategorien: Seit Leistungsjahr 2020 sind die vermiedene Netzentgelte für volatile Energieträger (Wind und Solar) entfallen.
Anmerkung: Teilweise wird die Meldung dieser Kategorien für Leistungsjahre ab 2020 noch akzeptiert, allerdings nur mit exakt 0 Euro.</t>
  </si>
  <si>
    <t>- Anschlussförderung für Güllekleinanlagen nach Abschnitt 3a der Erneuerbare-Energien-Verordnung (EEV), geändert am 14. Juli 2021</t>
  </si>
  <si>
    <t>Verringerung der Marktprämie auf Null (4-h-, 6-h- bzw. 1-h-Regel für negative Börsenpreise)</t>
  </si>
  <si>
    <t>Angaben zur gekürzten Vergütung, z. B. "MW" für Marktwert und "-0" für 0 ct/kWh, außerdem individuelle Vergütung "AS" bei Ausschreibung und AB für Ausgleichsbetrag/Abzugsbetrag</t>
  </si>
  <si>
    <t>Da die Nachzahlung nicht innerhalb des Leistungsjahres vorgenommen worden ist, stimmt die zu wälzende Strommenge mit der tatsächlichen Einspeisung überein, die ausgezahlte Einspeisevergütung ist jedoch niedriger als der dem Grunde nach bestehende Zahlungsanspruch. Dieser ist entweder
  (a) im Rahmen der Jahresmeldung, Testierung und Jahresausgleich 2021 im Jahr 2022 oder
  (b) in einem noch späteren Zeitraum
auszugleichen.</t>
  </si>
  <si>
    <t>Der Betrag der nachträglichen Zahlung - im Beispiel im Monat Dezember - darf nicht höher sein als die vorherigen Abzugsbeträge dieser Anlage, die in den vorherigen monatlichen Datenmeldungen - hier September bis November - gemeldet worden sind.
Da die Nachzahlung bereits innerhalb des Leistungsjahres vorgenommen worden ist, würde die Jahresmeldung 2021 für den Zeitraum Juli bis Dezember 2021 wie folgend aussehen, wobei die Meldung für Januar bis Juni noch zu ergänzen wäre:</t>
  </si>
  <si>
    <r>
      <rPr>
        <b/>
        <u/>
        <sz val="11"/>
        <color indexed="8"/>
        <rFont val="Arial"/>
        <family val="2"/>
      </rPr>
      <t>Erläuterung für das folgende fiktive Beispiel</t>
    </r>
    <r>
      <rPr>
        <sz val="11"/>
        <color indexed="8"/>
        <rFont val="Arial"/>
        <family val="2"/>
      </rPr>
      <t xml:space="preserve"> einer PV-Anlage von 25,0 kW aus dem Jahr 2018, die mit Inbetriebnahme im Vorläuferregister des MaStR, aber erst in der 2. Novemberhälfte 2021 im MaStR registriert worden ist für das zweite Halbjahr 2021. Zur Demonstration, wie die Meldung im Fall einer Sanktionierung auf den Marktwert nach § 52 Abs. 2 EEG zu melden wäre, wird eine Sanktionierung auf den Marktwert wegen Verstoß gegen die Vorschriften zum Wechsel der Veräußerungsform unabhängig von dem Registrierungsverstoß angenommen. Der Marktwert wird mit 8,40 ct/kWh angenommen.
Bis Leistungsmonat August hat der Anlagenbetreiber ungeachtet der fehlenden Registrierung im MaStR einen Anspruch auf den monatlichen Abschlag zum 15. des Folgemonats. Für die Monate September bis November besteht jedoch nicht der Anspruch auf die Einspeisevergütung, allerdings muss die Strommenge an den ÜNB gewälzt und daher mit der Kategorie SgK23-MaStRV-0 gemeldet werden. Nachdem in der zweiten Novemberhälfte die Registrierung erfolgt ist, ist nicht nur der Abschlag für den Monat Dezember zum 15. Januar 2022 zu zahlen, sondern der Anlagenbetreiber hat auch einen Anspruch, die bislang nicht ausgezahlten Zahlungen für die Leistungsmonate September bis November 2021 zusätzlich ausgezahlt zu bekommen. Die Strommengen und Einspeisevergütungen dieser Monate sind zusätzlich mit jenen Werten des Dezembers zu melden. Damit die Strommenge nicht doppelt gewälzt werden muss, ist die Strommenge der Monate September bis November mit negativen Vorzeichen zu melden.
</t>
    </r>
  </si>
  <si>
    <r>
      <t xml:space="preserve">§ 52 Abs. 3 EEG 2017/2021: Der anzulegende Wert verringert sich um jeweils 20 Prozent, wobei das Ergebnis auf zwei Stellen nach dem Komma gerundet wird,
1. solange Anlagenbetreiber die zur Registrierung der Anlage erforderlichen Angaben nicht an das Register übermittelt haben, aber die Meldung nach § 71 Nr. 1 erfolgt ist, oder
2. solange und soweit Anlagenbetreiber einer im Register registrierten Anlage eine Erhöhung der installierten Leistung der Anlage nicht nach Maßgabe der Rechtsverordnung nach § 93 EEG 2017 bzw. Marktstammdatenregisterverordnung (MaStRV) übermittelt haben, aber die Meldung nach § 71 Nr. 1 erfolgt ist. 
Die beiden Verstöße wirken kumulativ, d. h. bei Verstoß gegen beide Vorgaben ist der anzulegende Wert um 40 Prozent zu kürzen. Bitte beachten Sie die Reihenfolge der vorzunehmenden Kürzungen gemäß § 23 Abs. 3 EEG 2017/2021. Zum Beispiel ist die Kürzung der Einspeisevergütung nach § 53 EEG 2017/2021 nach der Kürzung nach § 52 Abs. 3 EEG 2017/2021 vorzunehmen.
</t>
    </r>
    <r>
      <rPr>
        <b/>
        <u/>
        <sz val="10"/>
        <rFont val="Arial"/>
        <family val="2"/>
      </rPr>
      <t>Diese Sanktion ist u.a. für Strom anzuwenden, der nach dem 31. Dezember 2015 eingespeist worden ist.</t>
    </r>
    <r>
      <rPr>
        <b/>
        <sz val="10"/>
        <rFont val="Arial"/>
        <family val="2"/>
      </rPr>
      <t xml:space="preserve"> Sie gilt auch für Anlagen, die vor dem 01.08.2014 in Betrieb genommen worden sind. Da § 52 Abs. 3 EEG 2017/2021 an die Bedingung der fristgerechte Abgabe der Jahresabrechnung gemäß § 71 Nr. 1 EEG gekoppelt ist, können diese Kategorien nicht in der monatlichen Meldung verwendet werden, sondern ausschließlich in der Jahresmeldung. Unterjährig sind die für die Sanktionen der § 25 Abs. 1 Nr. 1 und 2 EEG 2014 und § 52 Abs. 1 Nr. 1 und 2 EEG 2017/2021 vorgesehenen Sanktionskategorien zu verwenden.
Das Änderungsgesetz vom 22.12.2016 sieht vor, dass § 52 Abs. 3 EEG 2017 auch rückwirkend für Strommengen, die nach dem 31.07.2014 und vor dem 01.01.2016 eingespeist worden sind, anzuwenden ist. Diese Strommengen wurden in den Jahren 2014 und 2015 bereits mit Sanktionskategorien gemeldet. Für die nachträgliche Zahlung der auf 60 % bzw. 80 % reduzierten EEG-Förderungen </t>
    </r>
    <r>
      <rPr>
        <b/>
        <u/>
        <sz val="10"/>
        <rFont val="Arial"/>
        <family val="2"/>
      </rPr>
      <t>für Strommengen, die nach dem 31.07.2014 und vor dem 01.01.2016 eingespeist worden sind, sind diese Kategorien nach Vorgaben Ihres zuständigen ÜNB zu verwenden.</t>
    </r>
    <r>
      <rPr>
        <b/>
        <sz val="10"/>
        <rFont val="Arial"/>
        <family val="2"/>
      </rPr>
      <t xml:space="preserve">
Darüber hinaus können Ansprüche für nachträgliche Zahlungen von Anlagen, die vor dem 01.08.2014 in Betrieb genommen wurden und die erst mit dem Energiesammelgesetz vom 17.12.2018 entstanden sind, erstmalig und einmalig in der Jahresabrechnung für das Jahr 2018 als aperiodische Beträge für Strommengen, die nach dem 31.07.2014 und vor dem 01.01.2018 einspeist worden sind, abgerechnet werden. Für derartige nachträgliche Zahlungen der auf 60 % bzw. 80 % reduzierten EEG-Förderungen</t>
    </r>
    <r>
      <rPr>
        <b/>
        <u/>
        <sz val="10"/>
        <rFont val="Arial"/>
        <family val="2"/>
      </rPr>
      <t xml:space="preserve"> für Strommengen sind ebenfalls die Kategorien nach Vorgaben Ihres zuständigen ÜNB zu verwenden.</t>
    </r>
    <r>
      <rPr>
        <b/>
        <sz val="10"/>
        <rFont val="Arial"/>
        <family val="2"/>
      </rPr>
      <t xml:space="preserve">
Da der Strom bereits über eine Vergütungs- oder Sanktionskategorie gemeldet wird, fließt er nicht in die Summenberechnung der Energiemenge ein, die der Berechnung der Bemessungsleistung und der vNNE zugrunde gelegt und in den Rechnungen, Testaten etc. als direkt vermarktete Strommenge oder Strommenge in der Einspeisevergütung ausgewiesen wird. Die Kürzung der Vergütung, die mit den vorliegenden Kategorien </t>
    </r>
    <r>
      <rPr>
        <b/>
        <u/>
        <sz val="10"/>
        <rFont val="Arial"/>
        <family val="2"/>
      </rPr>
      <t>als negative Eurobeträge</t>
    </r>
    <r>
      <rPr>
        <b/>
        <sz val="10"/>
        <rFont val="Arial"/>
        <family val="2"/>
      </rPr>
      <t xml:space="preserve"> zu melden ist, fließt in die o. g. Summenberechnung der EEG-Förderung ein. Nähere Informationen zur Abwicklung erhalten Sie von Ihrem zuständigen ÜNB. 
</t>
    </r>
  </si>
  <si>
    <t>Die Einspeisevergütung nach § 19 Abs. 1 Nummer 2 in Verbindung mit § 21 Abs. 1 Nummer 3 ist zu zahlen bei ausgeförderten Anlagen, die keine Windenergieanlagen an Land sind und die eine installierte Leistung von bis zu 100 Kilowatt haben, bis zum 31. Dezember 2027.</t>
  </si>
  <si>
    <t>Für die Vergütungskategorien nach EEG 2000 bis 2012 ist es nicht möglich, in der Spalte "Anzulegender Wert" einen Wert einzutragen, da gemäß der Übergangsbestimmung § 100 Abs. 1 Nr. 8 EEG 2014 die bisherige Managementprämie addiert werden muss, deren Höhe kein fester Wert ist. Vielmehr ist sie nicht nur vom Energieträger abhängig, sondern auch vom Zeitraum der Einspeisung und der Erfüllung der Anforderungen an fernsteuerbare Anlagen. Dies gilt für alle Anlagen mit Inbetriebnahme vor dem 01.08.2014, außerdem auch für alle Anlagen mit Inbetriebnahme vor dem 01.01.2015, die aufgrund des Vertrauensschutztatbestandes gemäß § 100 Abs. 3 EEG 2014 nach dem EEG 2012 vergütet werden.</t>
  </si>
  <si>
    <t>Ergänzung Vergütungskategorien für 2015
Erweiterung des Erläuterungstextes bei § 35 EEG 2014 (Sanktionierung nach § 25 EEG)
Anpassung der Erläuterungen zum Aufbau der Vergütungskategorien nach EEG 2014
Löschung von Vergütungskategorien für § 32 EEG 2012 August bis Dezember 2014 
Löschung von Vergütungskategorien für § 17 Abs. 2, Nr. 1 - 4 und Abs. 3 EEG 2012
Löschung von Vergütungskategorien für § 33f und § 33g EEG 2012
Löschung von Vergütungskategorien für § 39 EEG 2012 (GSP)
Löschung von Vergütungskategorien für § 56 EEG 2012 (Doppelvermarktungsverbot)
Löschung von Vergütungskategorien für § 66 Abs. 1 Nr. 14 (Nichterfüllung Systemstabilitätsverordnung)
Änderung Einspeisevergütung für 2014 modernisierte Wasserkraftanlagen</t>
  </si>
  <si>
    <t>Löschung von Vergütungskategorien (unzulässige Energieträger) für § 52 Abs. 1 Nr. 4 EEG</t>
  </si>
  <si>
    <t>Löschung von Vergütungskategorien (unzulässige Energieträger) für § 52 Abs. 2 Satz 1 Nr. 3 EEG</t>
  </si>
  <si>
    <t>Kategorie BiK51aM2K14-01 ergänzt</t>
  </si>
  <si>
    <t>Ergänzung Vorbehaltshinweis zur beihilferechtlichen Genehmigung durch EU-KOM.
Kategorien mit Endung 01 nur noch für Inbetriebnahme 2001 zulässig. (Vorher bis Inbetriebnahme 2001. Ausnahme Wasserkraft)
Ergänzung der Kategorien für das Inbetriebnahmejahr 2021 auf Stand EEG 2021
Ergänzung Kategorie für erzeugten Strom &gt; 50 % für Solaranlagen &lt;300 kW bis 750 kW
Ergänzung Kategorien für Mieterstromzuschlag ab IB 01.01.2021
Ergänzung der Kategorien für ausgeförderte Anlagen.
Ergänzung Kategorien für Wasserkraft &lt; 500 KW mit Inbetriebnahmedatum vor 01.01.2021 (Erhöhung 3 ct/kWh)
Ergänzung Kategorien für Altholzanlagen
Ergänzung der Kategorien für Zahlungsaufschub bei fehlender MaStR-Registrierung
Löschung von Wasserkraftkategorien &gt; 5 MW, Zubau Inbetriebnahme 2005 wegen Auslaufen der Förderung</t>
  </si>
  <si>
    <t>Ergänzung Kategorien für Güllekleinanlagen nach § 12c EEV
Ergänzung Kategorien für Grubengasanlagen nach § 102 EEG 2021-2
Ergänzung Kategorie für Projektsicherungsbeitrag nach § 38d EEG 2021-2 
Ergänzung Kategorien zur Meldung von Ausgleichsbeträgen bei sehr hohen Marktwerten, die zu negativen Marktprämien (XxK20---MPM-AB) oder zu Sanktionen oberhalb der regulären Vergütung führen würden (XxK21----MW-AB). Hinweise dazu auf den Tabellenblättern "Beispiel negative Marktprämie", "Beispiel Leistungsstufen" und "Beispiel Sanktion Marktwert".
Verschiebung der Kategorien für vermiedene Netzentgelte für volatile Energieträger (Wind und Solar) auf Tabellenblatt "Nicht mehr verwendbare Kateg."
Verschiebung der Kategorien für ausgeförderte Anlagen (Inbetriebnahme 2001 außer Energieträger Wasser) auf Tabellenblatt "Kategorien Auslauf d. Förderung"
Verschiebung von Wasserkraftkategorien &gt; 5 MW, Zubau Inbetriebnahme 2006 wegen Auslaufen der Förderung auf Tabellenblatt "Kategorien Auslauf d. Förderung"
Ergänzung der Kategorien für Anlagen mit Inbetriebnahme 2022</t>
  </si>
  <si>
    <t>Anpassung der Beschreibung der Kategorien für Verringerung der Marktprämie auf Null (4-h- bzw. 6-h-Regel für negative Börsenpreise) um 1-h-Regel gemäß § 9 InnAusV
Anpassung der Beschreibung der Kategorien zur Abschöpfung von Marktwertzahlungen (XxK21----MW-AB)
Ergänzung der Beschreibung der Kategorien für die Kürzung des anzulegenden Werts um 20% (XxK523-MPM20PZ)
Verschiebung der nur für das Jahr 2021 gültigen Kategorien für ausgeförderte Windenergieanlagen an Land
Ergänzung der Vergütungssätze für PV-Anlagen/MSZ mit Inbetriebnahme Februar 2022 bis April 2022</t>
  </si>
  <si>
    <t>WnK36h2----MPM</t>
  </si>
  <si>
    <t>WnK36h2-----AV</t>
  </si>
  <si>
    <t>WnK36h2ZinsMPM</t>
  </si>
  <si>
    <t>WnK36h2Zins-AV</t>
  </si>
  <si>
    <t>Ergänzung der Kategorien für Anlagen mit einer Korrektur des anzulegenden Wertes nach § 36h Abs. 2 EEG 2017/2021</t>
  </si>
  <si>
    <t>Die anzulegenden Werte werden jeweils mit Wirkung ab Beginn des sechsten, elften und sechzehnten auf die Inbetriebnahme der Anlage folgenden Jahres anhand des Standortertrags der Anlagen nach Anlage 2 Nummer 7 in den fünf vorangegangenen Jahren angepasst. In dem überprüften Zeitraum zu viel oder zu wenig geleistete Zahlungen nach § 19 Absatz 1 müssen erstattet werden, wenn der Gütefaktor auf Basis des Standortertrags der jeweils zuletzt betrachteten fünf Jahre mehr als 2 Prozentpunkte von dem zuletzt berechneten Gütefaktor abweicht. Dabei werden Ansprüche des Netzbetreibers auf Rückzahlung mit 1 Prozentpunkt über dem am ersten Tag des Überprüfungszeitraums geltenden Euro Interbank Offered Rate-Satz für die Beschaffung von Zwölfmonatsgeld von ersten Adressen in den Teilnehmerstaaten der Europäischen Währungsunion verzinst. Eine Aufrechnung mit Ansprüchen nach § 19 Absatz 1 ist zulässig.
Für diese Kategorien wird keine Strommenge, sondern nur die Differenz der Förderung gemeldet: Eine Nachzahlung an den Anlagenbetreiber ist als positiver Euro-Betrag, eine Rückzahlung des Anlagenbetreibers als negativer Euro-Betrag zu erfassen.
Der nachzuzahlende Zinsbetrag einer Rückzahlung ist als negativer Euro-Betrag ohne Angabe einer Strommenge anzugeben.</t>
  </si>
  <si>
    <t>BiK51nM1K13y02</t>
  </si>
  <si>
    <t>BiK51aM2K13y02</t>
  </si>
  <si>
    <t>BiK83a2K16--08</t>
  </si>
  <si>
    <t>0,5-5 MW, Bonusregeln a2 und K erstmals 2016</t>
  </si>
  <si>
    <t>Ergänzung der Kategorien BiK51nM1K13y02, BiK51aM2K13y02, BiK83a2K16--08, BiK81M1K21y-08, BiK82M2K21y-08 und BiK83a2K21--08
Ergänzung der Vergütungssätze für PV-Anlagen/MSZ mit Inbetriebnahme Mai 2022 bis Juli 2022</t>
  </si>
  <si>
    <t>BiK81M1K21y-08</t>
  </si>
  <si>
    <t>0-0,15 MW, Bonusregeln M1, y und K erstmals 2021</t>
  </si>
  <si>
    <t>Anteil KWK, erstmals 2021</t>
  </si>
  <si>
    <t>BiK82M2K21y-08</t>
  </si>
  <si>
    <t>0,15-0,5 MW, Bonusregeln M2, y und K erstmals 2021</t>
  </si>
  <si>
    <t>BiK83a2K21--08</t>
  </si>
  <si>
    <t>0,5-5 MW, Bonusregeln a2 und K erstmals 2021</t>
  </si>
  <si>
    <t>Ergänzung der Vergütungssätze für PV-Anlagen/MSZ mit Inbetriebnahme August 2022 bis Oktober 2022 
(Anwendung bis zur beihilferechtlichen Genehmigung des EEG 2023, siehe Vorbehalt und Haftungsausschluss)</t>
  </si>
  <si>
    <t>SgK1001410--22</t>
  </si>
  <si>
    <t>SgK1001411--22</t>
  </si>
  <si>
    <t>SgK1001412--22</t>
  </si>
  <si>
    <t>SgK1001420--22</t>
  </si>
  <si>
    <t>SgK1001421--22</t>
  </si>
  <si>
    <t>SgK1001422--22</t>
  </si>
  <si>
    <t>SgK1001423--22</t>
  </si>
  <si>
    <t>Volleinspeisung</t>
  </si>
  <si>
    <t>0 - 10 kW, § 100 Abs. 14 S. 2 Nr. 1 EEG 2021</t>
  </si>
  <si>
    <t>10 - 40 kW, § 100 Abs. 14 S. 2 Nr. 2 EEG 2021</t>
  </si>
  <si>
    <t>40 - 100 kW, § 100 Abs. 14 S. 2 Nr. 3 EEG 2021</t>
  </si>
  <si>
    <t>100 - 300 kW, § 100 Abs. 14 S. 2 Nr. 4 EEG 2021</t>
  </si>
  <si>
    <t>0 - 10 kW, § 100 Abs. 14 S. 1 Nr. 1 EEG 2021</t>
  </si>
  <si>
    <t>10 - 40 kW, § 100 Abs. 14 S. 1 Nr. 2 EEG 2021</t>
  </si>
  <si>
    <t>40 - 750 kW, § 100 Abs. 14 S. 1 Nr. 3 EEG 2021</t>
  </si>
  <si>
    <t>SgK100144---MW</t>
  </si>
  <si>
    <t>Verringerung auf Monatsmarktwert nach § 100 Abs. 14 Satz 4 EEG 2021 (Verstoß gegen Volleinspeisungsgebot)</t>
  </si>
  <si>
    <t>Inbetriebnahme 01.07. bis 29.07.2022</t>
  </si>
  <si>
    <t>Inbetriebnahme 30.07. bis 31.12.2022</t>
  </si>
  <si>
    <t>Kategorien für Solare Strahlungsenergie</t>
  </si>
  <si>
    <t>Gelöscht, da Degression für Anlagen mit Inbetriebnahme im Zeitraum 30.07.2022 bis 31.12.2022 mit § 100 Abs. 14 EEG 2021 ausgesetzt und die Förderung erhöht worden ist. Ersatz durch neue Kategorien für den Zeitraum 30.07. bis 31.12.2022.</t>
  </si>
  <si>
    <t>bezuschlagt in einem Innovationsausschreibungsverfahren nach EEG 2017/2021 vor dem 01.12.2022</t>
  </si>
  <si>
    <t>Anpassung der Erläuterungen zu der beihilferechtlichen Genehmigung unter 'Vorbehalt und Haftungsausschluss'
Verschiebung der Vergütungssätze für Gebäude PV-Anlagen mit Inbetriebnahme August 2022 bis Oktober 2022 auf Tabellenblatt "Nicht mehr verwendbare Kateg."
Ergänzung der Vergütungssätze für Gebäude PV-Anlagen mit Inbetriebnahme ab 30.07.2022 bis 31.12.2022 inklusive Kategorien mit Berücksichtigung Volleinspeiseraufschlag
Ergänzung der Sanktionskategorie für Gebäude PV-Anlagen bei Verstoß gegen Volleinspeisungsgebot
Geänderte Erläuterung zu Kategorien der Innovationsausschreibungsverfahren</t>
  </si>
  <si>
    <t xml:space="preserve">Vorbehalt zur beihilferechtlichen Genehmigung durch EU-Kommission nach § 105 EEG 2021 </t>
  </si>
  <si>
    <t>Die hinsichtlich der EEG-Förderung relevanten Änderungen des Artikel 7 des EnSiGuaÄndG sind zwar mit Wirkung vom 13.10.2022 in Kraft getreten, dürfen aber vor der noch ausstehenden beihilferechtlichen Genehmigung nicht angewendet werden.</t>
  </si>
  <si>
    <r>
      <t xml:space="preserve">Grundsätzlich galt ab dem 1. Januar 2021 das EEG 2021, welches zuletzt durch die Gesetzesnovellierungen vom 20. Juli 2022 </t>
    </r>
    <r>
      <rPr>
        <i/>
        <sz val="10"/>
        <color indexed="8"/>
        <rFont val="Arial"/>
        <family val="2"/>
      </rPr>
      <t>Sofortmaßnahmen für einen beschleunigten Ausbau der erneuerbaren Energien und weiteren Maßnahmen im Stromsektor</t>
    </r>
    <r>
      <rPr>
        <sz val="10"/>
        <color indexed="8"/>
        <rFont val="Arial"/>
        <family val="2"/>
      </rPr>
      <t xml:space="preserve"> (EEGAusbGuEnFG) und 8. Oktober 2022 </t>
    </r>
    <r>
      <rPr>
        <i/>
        <sz val="10"/>
        <color indexed="8"/>
        <rFont val="Arial"/>
        <family val="2"/>
      </rPr>
      <t xml:space="preserve">Änderung des Energiesicherungsgesetzes und anderer energiewirtschaftlicher Vorschriften </t>
    </r>
    <r>
      <rPr>
        <sz val="10"/>
        <color indexed="8"/>
        <rFont val="Arial"/>
        <family val="2"/>
      </rPr>
      <t xml:space="preserve">(EnSiGuaÄndG) geändert wurde. </t>
    </r>
  </si>
  <si>
    <t>Gewisse Bestimmungen nach Artikel 1 des EEGAusbGuEnFG sind bereits mit Verkündung und Veröffentlichung, also mit Wirkung vom 29.07.2022 in Kraft getreten, durften jedoch vor der inzwischen erfolgten beihilferechtlichen Genehmigung nicht angewendet werden. Die beilhilferechtliche Genehmigung gilt jedoch nur für diejenigen Änderungen des EEG 2021, nicht jedoch für die erst ab 01.01.2023 (EEG 2023) geltenden Änderungen, für die die beihilferechtliche Genehmigung noch ausstehend ist.</t>
  </si>
  <si>
    <t>Wir verweisen auf die Ausführungen des BMWK unter den folgenden Links:</t>
  </si>
  <si>
    <t>https://www.bmwk.de/Redaktion/DE/FAQ/dach-solaranlagen/faq-dach-solaranlagen.html</t>
  </si>
  <si>
    <t>Seitens des BMWK sind die folgenden Sachverhalte nunmehr von der EU-Kommission genehmigt (Stand: 14.10.2022) und dürfen damit Anwendung finden:</t>
  </si>
  <si>
    <t>https://www.bmwk.de/Redaktion/DE/FAQ/EEG-2021/faq-beihilferechtlichen-genehmigung-eu-kommission.html</t>
  </si>
  <si>
    <t>- Erhöhung der PV-Fördersätze für Gebäudeanlagen mit Inbetriebnahme 30.07.2022 bis 31.12.2022 (keine Degression) gemäß § 100 Absatz 14 Satz 1 EEG 2021</t>
  </si>
  <si>
    <t>- Einführung von PV-Fördersätzen für Gebäudeanlagen mit Volleinspeisung mit Inbetriebnahme 30.07.2022 bis 31.12.2022  (keine Degression) gemäß § 100 Absatz 14 Satz 2 EEG 2021</t>
  </si>
  <si>
    <t>- Ersatz der fixen durch die gleitende Marktprämie bei Innovationsausschreibungen ab dem 01.12.2022 gemäß Artikel 16 Nr. 6 EEGAusbGuEnFG</t>
  </si>
  <si>
    <t>- Erhöhung des anzulegenden Wertes um 3 ct/kWh nach § 100 Abs. 7 EEG 2021 für Anlagen zur Erzeugung von Strom aus Wasserkraft mit einer installierten Leistung bis einschließlich 500 kW,
   die vor dem 1. Januar 2021 in Betrieb genommen worden sind.</t>
  </si>
  <si>
    <t>- befristete Aufhebung der Beschränkung auf die Höchstbemessungsleistung nach § 44b Absatz 1 EEG 2021 und § 101 Absatz 1 EEG 2017 für Biogasanlagen, die kein Biomethan einsetzen, für die
   Leistungsjahre 2022 und 2023 gemäß § 100 Absatz 16 EEG 2021</t>
  </si>
  <si>
    <t>Ergänzung der Vergütungssätze für sonstige PV-Anlagen/MSZ mit Inbetriebnahme November 2022 und  Dezember 2022 
(Anwendung bis zur beihilferechtlichen Genehmigung des EEG 2023, siehe Vorbehalt und Haftungsausschluss)</t>
  </si>
  <si>
    <t>EEG-Vergütungskategorientabelle für das Leistungsjahr 2023</t>
  </si>
  <si>
    <t>&gt; 5 MW, Zubau. Anspruch auf Förderung gem. § 12 Abs. 3 Satz 2 EEG 2004 zum 31.12.2022 beendet</t>
  </si>
  <si>
    <t>§ 40 Abs. 1 EEG 2023</t>
  </si>
  <si>
    <t>§ 40 Abs. 1 EEG 2021</t>
  </si>
  <si>
    <t>§ 41 Abs. 1 EEG 2023</t>
  </si>
  <si>
    <t>Biomasse nach § 42 EEG 2017/2021/2023</t>
  </si>
  <si>
    <t>BiK420------23</t>
  </si>
  <si>
    <t>Inbetriebnahme 2023</t>
  </si>
  <si>
    <t>nicht für Biomethan</t>
  </si>
  <si>
    <t>BiK430------23</t>
  </si>
  <si>
    <t>BiK431------23</t>
  </si>
  <si>
    <t>Biomasse nach § 44 EEG 2017/2021/2023 (Vergärung von Gülle)</t>
  </si>
  <si>
    <t>§ 44 EEG 2023</t>
  </si>
  <si>
    <t>Vergärung von Gülle in Anlagen 75 kW bis maximal 150 kW installierter Leistung</t>
  </si>
  <si>
    <t>§ 40 Abs. 2 EEG 2023 i.V.m. Abs. 1</t>
  </si>
  <si>
    <t>WnK46-------23</t>
  </si>
  <si>
    <t>Onshore - Vergütung nach § 46 i.V.m. § 36h EEG 2023</t>
  </si>
  <si>
    <t>§ 48 Abs. 1 EEG 2023</t>
  </si>
  <si>
    <t>§ 48 Abs. 2 EEG 2023</t>
  </si>
  <si>
    <t>40 - 1000 kW</t>
  </si>
  <si>
    <t>40 - 100 kW</t>
  </si>
  <si>
    <t>100 - 400 kW</t>
  </si>
  <si>
    <t>§ 48 Abs. 2a EEG 2023</t>
  </si>
  <si>
    <t>§ 48a EEG 2023</t>
  </si>
  <si>
    <t>01.01.2021 bis 31.12.2022</t>
  </si>
  <si>
    <t>Verringerung Marktprämie auf Null nach § 48 Abs. 5 ( &gt; 50% bzw &gt; 80% der erzeugten Strommenge)</t>
  </si>
  <si>
    <t>Verringerung Einspeisevergütung auf Null nach § 48 Abs. 5 ( &gt; 50% bzw. &gt; 80% der erzeugten Strommenge)</t>
  </si>
  <si>
    <t>§ 52 Abs. 1 Nr. 6 EEG 2023: Anlagenbetreiber müssen eine Zahlung an Ihren zuständigen Netzbetreiber in Höhe vom 10 Euro pro Kilowatt installierter Leistung der Anlage und Kalendermonat nach § 52 Abs. 2 EEG 2023 zahlen, wenn die Einspeisevergütung in Anspruch genommen wird und dabei gegen § 21 Abs. 2  EEG verstoßen.</t>
  </si>
  <si>
    <t>§ 52 Abs. 1 Nr. 8 EEG 2023: Anlagenbetreiber müssen eine Zahlung an Ihren zuständigen Netzbetreiber in Höhe vom 10 Euro pro Kilowatt installierter Leistung der Anlage und Kalendermonat nach § 52 Abs. 2 EEG 2023 zahlen, wenn entgegen § 21b Abs. 3 nicht die gesamte Ist-Einspeisung in viertelstündlicher Auflöung gemessen und bilanziert wird.</t>
  </si>
  <si>
    <t>§ 52 Abs. 1 Nr. 9 EEG 2023: Anlagenbetreiber müssen eine Zahlung an Ihren zuständigen Netzbetreiber in Höhe vom 10 Euro pro Kilowatt installierter Leistung der Anlage und Kalendermonat nach § 52 Abs. 2 EEG 2023 zahlen, wenn dem Netzbetreiber die Zuordnung oder der Wechsel zwischen den Veräußerungsformen nach § 21b Absatz 1 EEG nicht nach Maßgabe des 21c EEG übermittelt wurde. Die Zahlung ist zusätzlich für den jeweils auf den Pflichtverstoß folgenden Kalendermonat zu leisten.</t>
  </si>
  <si>
    <t>§ 52 Abs. 1 Nr. 10 EEG 2023: Anlagenbetreiber müssen eine Zahlung an Ihren zuständigen Netzbetreiber in Höhe vom 2 Euro pro Kilowatt installierter Leistung der Anlage und Kalendermonat nach § 52 Abs. 3 EEG 2023 zahlen, wenn entgegen der Mitteilung nach § 48 Abs. 2a EEG nicht der im gesamten Kalenderjahr in der Anlage erzeugte Strom in das Netz eingespeist wurde. Die Zahlung ist für alle Kalendermonate des Kalenderjahres zu leisten.</t>
  </si>
  <si>
    <t>§ 52 Abs. 1 Nr. 7 EEG 2023: Anlagenbetreiber müssen eine Zahlung an Ihren zuständigen Netzbetreiber in Höhe vom 10 Euro pro Kilowatt installierter Leistung der Anlage und Kalendermonat nach § 52 Abs. 2 EEG 2023 zahlen, wenn gegen § 21b Abs. 2 Satz 1 zweiter Halbsatz  verstoßen wird. Die Zahlung ist zusätzlich für die jeweils 3 auf den Pflichtverstoß folgenden Kalendermonate zu leisten.</t>
  </si>
  <si>
    <t>§ 52 Abs. 1 Nr. 12 EEG 2023: Anlagenbetreiber müssen eine Zahlung an Ihren zuständigen Netzbetreiber in Höhe vom 10 Euro pro Kilowatt installierter Leistung der Anlage und Kalendermonat nach § 52 Abs. 2 EEG 2023 zahlen, wenn gegen eine Pflicht nach § 80 EEG verstoßen wurde. Die Zahlung ist zusätzlich für die jeweils 6 auf den Pflichtverstoß folgenden Kalendermonate zu leisten.</t>
  </si>
  <si>
    <t xml:space="preserve">§ 47 Abs. 2 Nr. 1 EEG 2014: Der finanzielle Anspruch für Strom aus Biomasse besteht nur, wenn 
- über ein Einsatzstofftagebuch mittels Art, Herkunft, Menge und Einheit der eingesetzten Stoffe nachgewiesen wird, welche Biomasse und in welchem Umfang Speichergas oder Grubengas eingesetzt werden, 
- soweit bei Anlagen, in denen Biomethan eingesetzt wird, der Strom aus Kraft-Wärme-Kopplung erzeugt wird
- wenn in Anlagen flüssige Biomasse eingesetzt wird, für den Stromanteil aus flüssiger Biomasse, die zur Anfahr-, Zünd- und Stützfeuerung notwendig ist
Im EEG 2017 finden sich analoge, teils verschärfte Regelungen in § 44b Abs. 2 bis 3 EEG 2017 und § 44c Abs. 1 und 2 EEG 2017.
Im EEG 2021/2023 finden sich analoge, teils verschärfte Regelungen in § 44b Abs. 2 EEG 2021/2023 und § 44c Abs. 1 bis 7 EEG 2021/2023.
</t>
  </si>
  <si>
    <t>§ 47 Abs. 1 EEG 2014: Der finanzielle Anspruch für Strom aus Biogas besteht für Strom, der in Anlagen mit einer installierten Leistung  von mehr als 100 kW erzeugt wird, nur für den Anteil der in einem Kalenderjahr erzeugten Strommenge, der einer Bemessungsleistung von 50 % des Wertes der installierten Leistung entspricht. Für den darüber hinausgehenden Teil verringert sich der Anspruch auf finanzielle Förderung in der Marktprämie auf null und in der Einspeisevergütung nach § 20 Abs. 1 Nr. 3 und 4 EEG 2014 auf den monatlich Marktwert.
§ 39h Abs. 2 EEG 2017/§ 39i EEG 2021/2023: Für Biomasseanlagen verringert sich bei Überschreitung der Höchstbemessungsleistung für Anlagen mit Inbetriebnahme ab dem 01.01.2017 der Anspruch auf eine Marktprämie auf Null und in der Einspeisevergütung auf den Marktwert.
§ 44b Abs. 1 Satz 1 und 2 EEG 2017/2021/2023: Für Biogasanlagen mit Inbetriebnahme ab dem 01.01.2017 mit einer installierten Leistung größer 100 kW verringert sich der Vergütungsanspruch für jede Kilowattstunde Strom, um die in einem Kalenderjahr die  Höchstbemessungsleistung der Anlage überschritten wird, auf den in der Einspeisevergütung auf den Marktwert und in der Marktprämie auf Null. 
§ 44b Abs. 1 Satz 3 EEG 2023: Für Gülleanlagen nach § 44 EEG ist Absatz 1 Satz 1 und 2 nicht anzuwenden.</t>
  </si>
  <si>
    <t>§ 47 Abs. 4 EEG 2014: Der finanzielle Anspruch für Strom aus Biomasse verringert sich im jeweiligen Kalenderjahr auf den Wert Monatsmarktwert, wenn die Voraussetzungen (KWK-Nachweis nach Abs. 2 Nr. 2 i. V. m. Abs. 3 Nr. 1 und der Nachweis zum Stromanteil aus flüssiger Biomase nach Abs. 2 Nr. 3 i. V. m. Abs. 3 Nr. 2 nach Absatz 3 nicht nachgewiesen werden. Da bei der Berechnung der Marktprämie der Monatsmarktwert abgezogen wird, führt dies zu einer Kürzung der Marktprämie auf null.
§ 44c Abs. 3 EEG 2017: Der Vergütungsanspruch für Strom aus Biomasse verringert sich auf den Monatsmarktwert, wenn die Nachweisführung nicht in der nach § 44c Abs. 2 (Einsatzstofftagebuch) oder 44b Abs. 2 Satz 2 oder 3 (Nachweis für KWK bzw. Umweltgutachten) vorgeschriebenen Weise erfolgt ist.
§ 44c Abs. 8 EEG 2021/2023: Der Vergütungsanspruch für Strom aus Biomasse verringert sich auf den Marktwert, wenn die Nachweisführung nicht in der nach den § 44c Abs. 2 (Einsatzstofftagebuch) und § 44c Abs. 6 (Nachweis für KWK bzw. Umweltgutachten) vorgeschriebenen Weise erfolgt ist.</t>
  </si>
  <si>
    <t>1 - 6 MW (Bürgerenergiegesellschaften)</t>
  </si>
  <si>
    <t>Freiflächen- und Nicht-Gebäudeanlagen 0 - 1 MW</t>
  </si>
  <si>
    <t>Freiflächen- und Nicht-Gebäudeanlagen 1 - 6 MW (Bürgerenergiegesellschaften)</t>
  </si>
  <si>
    <t>400 - 1 MW</t>
  </si>
  <si>
    <t>40 - 1 MW</t>
  </si>
  <si>
    <t>Kategorie für Solaranlagen mit einer installierten Leistung von mehr als 1 MW nach § 48 Abs. 1a EEG 2023</t>
  </si>
  <si>
    <t>Für Strom aus Solaranlagen mit einer installierten Leistung von mehr als 1 Megawatt, deren anzulegender Wert gesetzlich bestimmt wird, beträgt dieser den Durchschnitt aus den Gebotswerten des jeweils höchsten noch bezuschlagten Gebots der Gebotstermine für Solaranlagen des ersten bzw. zweiten Segments in dem der Inbetriebnahme vorangegangenen Kalenderjahr.</t>
  </si>
  <si>
    <t>§ 52 Abs. 3 Nr. 1 EEG 2023: Bei einem Pflichtverstoß nach § 52 Abs. 1 Nr. 1, 3, 4 und 11 EEG verringert sich die zu leistende Zahlung auf 2 Euro pro installierter Leistung der Anlage und Kalendermonat sobald die Pflicht erfüllt, zurück bis zum Beginn des Pflichtverstoßes. Über diese Kategorien ist die Differenz zu den für eine Anlage und Kalendermonat bereits geleisteten Zahlungen gem § 52 Abs. 2 EEG  als negativer Betrag einzutragen.</t>
  </si>
  <si>
    <t>0-75 kW, Vergärung von Gülle in Anlagen bis maximal 150 kW installierter Leistung</t>
  </si>
  <si>
    <t>75-150 kW, Vergärung von Gülle in Anlagen bis maximal 150 kW installierter Leistung</t>
  </si>
  <si>
    <t>Biomasse nach § 43 EEG 2017/2021/2023 (Vergärung von Bioabfällen)</t>
  </si>
  <si>
    <t>Für Windenergieanlagen an Land, die nach dem 31.12.2018 in Betrieb genommen werden und deren anzulegender Wert gesetzlich festgelegt wird, wird die Vergütungssystematik an jene Windenergieanlagen angeglichen, deren anzulegender Wert durch eine Ausschreibung ermittelt worden ist. Jede Anlage erhält einen individuellen anzulegenden Wert, der gemäß § 36h Abs. 1 EEG 2017/2021/2023 aus dem individuellen Gütefaktor der Anlage gemäß Anlage 2 Nr. 2 und 7 EEG und dem von der BNetzA gemäß § 46b Abs. 2 EEG 2017 bzw. § 46 Abs. 2 EEG 2021/2023 berechneten und veröffentlichten Wert für den Referenzstandort berechnet wird. Der individuelle anzulegende Wert ist gemäß § 36h Abs. 2 bis 4 EEG 2017/2021/2023 zu bestimmten Fristen an den tatsächlichen Standortertrag der Anlage anzupassen und ggf. auch rückwirkend zu korrigieren.
Der in Spalte G angegebene Wert ist der von der BNetzA gemäß § 46b Abs. 2 EEG 2017 bzw. § 46 Abs. 2 EEG 2021/2023 berechnete und veröffentlichte Wert angegeben, der für das jeweilige Inbetriebnahmejahr der Anlage maßgeblich ist.</t>
  </si>
  <si>
    <t>negativer Ausgleichsbetrag zur Verringerung einer Sanktion nach § 52 Abs. 3 oder Abs. 5 EEG</t>
  </si>
  <si>
    <t>6. Anlagen mit Vergütung nach EEG 2017/2021/2023</t>
  </si>
  <si>
    <t>Angaben zu Sonderregelungen wie, z.B. "MW" für Marktwert", "VZ" für Verringerte Zahlung, "20PZ" für 20 % oder 40 % Kürzung, "SSB" für Stromsteuerbefreiung, "-0" für 0 ct/kWh, "AS" bei Ausschreibung, "MSZ" für Mieterstromzuschlag, "FB" bei finanzieller Beteiligung von Kommunen, "AUF" für Aufschlag nach § 23b Abs. 2 EEG 2021-2, "AB" für Ausgleichsbetrag, "NZ" für Nachträgliche Zahlung, "PSB" für Projektsicherungsbeitrag, "SZ" für Strafzahlung</t>
  </si>
  <si>
    <t>WaK5211-----SZ</t>
  </si>
  <si>
    <t>BiK5211-----SZ</t>
  </si>
  <si>
    <t>GaK5211-----SZ</t>
  </si>
  <si>
    <t>DeK5211-----SZ</t>
  </si>
  <si>
    <t>KlK5211-----SZ</t>
  </si>
  <si>
    <t>GrK5211-----SZ</t>
  </si>
  <si>
    <t>GeK5211-----SZ</t>
  </si>
  <si>
    <t>WiK5211-----SZ</t>
  </si>
  <si>
    <t>WnK5211-----SZ</t>
  </si>
  <si>
    <t>WrK5211-----SZ</t>
  </si>
  <si>
    <t>WfK5211-----SZ</t>
  </si>
  <si>
    <t>SoK5211-----SZ</t>
  </si>
  <si>
    <t>SgK5211-----SZ</t>
  </si>
  <si>
    <t>BiK5212-----SZ</t>
  </si>
  <si>
    <t>WiK5213-----SZ</t>
  </si>
  <si>
    <t>WfK5213-----SZ</t>
  </si>
  <si>
    <t>WaK5214-----SZ</t>
  </si>
  <si>
    <t>BiK5214-----SZ</t>
  </si>
  <si>
    <t>GaK5214-----SZ</t>
  </si>
  <si>
    <t>DeK5214-----SZ</t>
  </si>
  <si>
    <t>KlK5214-----SZ</t>
  </si>
  <si>
    <t>GrK5214-----SZ</t>
  </si>
  <si>
    <t>GeK5214-----SZ</t>
  </si>
  <si>
    <t>WiK5214-----SZ</t>
  </si>
  <si>
    <t>WnK5214-----SZ</t>
  </si>
  <si>
    <t>WrK5214-----SZ</t>
  </si>
  <si>
    <t>WfK5214-----SZ</t>
  </si>
  <si>
    <t>SoK5214-----SZ</t>
  </si>
  <si>
    <t>SgK5214-----SZ</t>
  </si>
  <si>
    <t>WaK5215-----SZ</t>
  </si>
  <si>
    <t>BiK5215-----SZ</t>
  </si>
  <si>
    <t>GaK5215-----SZ</t>
  </si>
  <si>
    <t>DeK5215-----SZ</t>
  </si>
  <si>
    <t>KlK5215-----SZ</t>
  </si>
  <si>
    <t>GrK5215-----SZ</t>
  </si>
  <si>
    <t>GeK5215-----SZ</t>
  </si>
  <si>
    <t>WiK5215-----SZ</t>
  </si>
  <si>
    <t>WnK5215-----SZ</t>
  </si>
  <si>
    <t>WrK5215-----SZ</t>
  </si>
  <si>
    <t>WfK5215-----SZ</t>
  </si>
  <si>
    <t>SoK5215-----SZ</t>
  </si>
  <si>
    <t>SgK5215-----SZ</t>
  </si>
  <si>
    <t>WaK5216-----SZ</t>
  </si>
  <si>
    <t>BiK5216-----SZ</t>
  </si>
  <si>
    <t>GaK5216-----SZ</t>
  </si>
  <si>
    <t>DeK5216-----SZ</t>
  </si>
  <si>
    <t>KlK5216-----SZ</t>
  </si>
  <si>
    <t>GrK5216-----SZ</t>
  </si>
  <si>
    <t>GeK5216-----SZ</t>
  </si>
  <si>
    <t>WiK5216-----SZ</t>
  </si>
  <si>
    <t>WnK5216-----SZ</t>
  </si>
  <si>
    <t>WrK5216-----SZ</t>
  </si>
  <si>
    <t>WfK5216-----SZ</t>
  </si>
  <si>
    <t>SoK5216-----SZ</t>
  </si>
  <si>
    <t>SgK5216-----SZ</t>
  </si>
  <si>
    <t>WaK5217-----SZ</t>
  </si>
  <si>
    <t>BiK5217-----SZ</t>
  </si>
  <si>
    <t>GaK5217-----SZ</t>
  </si>
  <si>
    <t>DeK5217-----SZ</t>
  </si>
  <si>
    <t>KlK5217-----SZ</t>
  </si>
  <si>
    <t>GrK5217-----SZ</t>
  </si>
  <si>
    <t>GeK5217-----SZ</t>
  </si>
  <si>
    <t>WiK5217-----SZ</t>
  </si>
  <si>
    <t>WnK5217-----SZ</t>
  </si>
  <si>
    <t>WrK5217-----SZ</t>
  </si>
  <si>
    <t>WfK5217-----SZ</t>
  </si>
  <si>
    <t>SoK5217-----SZ</t>
  </si>
  <si>
    <t>SgK5217-----SZ</t>
  </si>
  <si>
    <t>WaK5218-----SZ</t>
  </si>
  <si>
    <t>BiK5218-----SZ</t>
  </si>
  <si>
    <t>GaK5218-----SZ</t>
  </si>
  <si>
    <t>DeK5218-----SZ</t>
  </si>
  <si>
    <t>KlK5218-----SZ</t>
  </si>
  <si>
    <t>GrK5218-----SZ</t>
  </si>
  <si>
    <t>GeK5218-----SZ</t>
  </si>
  <si>
    <t>WiK5218-----SZ</t>
  </si>
  <si>
    <t>WnK5218-----SZ</t>
  </si>
  <si>
    <t>WrK5218-----SZ</t>
  </si>
  <si>
    <t>WfK5218-----SZ</t>
  </si>
  <si>
    <t>SoK5218-----SZ</t>
  </si>
  <si>
    <t>SgK5218-----SZ</t>
  </si>
  <si>
    <t>WaK5219-----SZ</t>
  </si>
  <si>
    <t>BiK5219-----SZ</t>
  </si>
  <si>
    <t>GaK5219-----SZ</t>
  </si>
  <si>
    <t>DeK5219-----SZ</t>
  </si>
  <si>
    <t>KlK5219-----SZ</t>
  </si>
  <si>
    <t>GrK5219-----SZ</t>
  </si>
  <si>
    <t>GeK5219-----SZ</t>
  </si>
  <si>
    <t>WiK5219-----SZ</t>
  </si>
  <si>
    <t>WnK5219-----SZ</t>
  </si>
  <si>
    <t>WrK5219-----SZ</t>
  </si>
  <si>
    <t>WfK5219-----SZ</t>
  </si>
  <si>
    <t>SoK5219-----SZ</t>
  </si>
  <si>
    <t>SgK5219-----SZ</t>
  </si>
  <si>
    <t>SgK52110----SZ</t>
  </si>
  <si>
    <t>WaK52111----SZ</t>
  </si>
  <si>
    <t>BiK52111----SZ</t>
  </si>
  <si>
    <t>GaK52111----SZ</t>
  </si>
  <si>
    <t>DeK52111----SZ</t>
  </si>
  <si>
    <t>KlK52111----SZ</t>
  </si>
  <si>
    <t>GrK52111----SZ</t>
  </si>
  <si>
    <t>GeK52111----SZ</t>
  </si>
  <si>
    <t>WiK52111----SZ</t>
  </si>
  <si>
    <t>WnK52111----SZ</t>
  </si>
  <si>
    <t>WrK52111----SZ</t>
  </si>
  <si>
    <t>WfK52111----SZ</t>
  </si>
  <si>
    <t>SoK52111----SZ</t>
  </si>
  <si>
    <t>SgK52111----SZ</t>
  </si>
  <si>
    <t>WaK52112----SZ</t>
  </si>
  <si>
    <t>BiK52112----SZ</t>
  </si>
  <si>
    <t>GaK52112----SZ</t>
  </si>
  <si>
    <t>DeK52112----SZ</t>
  </si>
  <si>
    <t>KlK52112----SZ</t>
  </si>
  <si>
    <t>GrK52112----SZ</t>
  </si>
  <si>
    <t>GeK52112----SZ</t>
  </si>
  <si>
    <t>WiK52112----SZ</t>
  </si>
  <si>
    <t>WnK52112----SZ</t>
  </si>
  <si>
    <t>WrK52112----SZ</t>
  </si>
  <si>
    <t>WfK52112----SZ</t>
  </si>
  <si>
    <t>SoK52112----SZ</t>
  </si>
  <si>
    <t>SgK52112----SZ</t>
  </si>
  <si>
    <t>WaK523-5----AB</t>
  </si>
  <si>
    <t>BiK523-5----AB</t>
  </si>
  <si>
    <t>GaK523-5----AB</t>
  </si>
  <si>
    <t>DeK523-5----AB</t>
  </si>
  <si>
    <t>KlK523-5----AB</t>
  </si>
  <si>
    <t>GrK523-5----AB</t>
  </si>
  <si>
    <t>GeK523-5----AB</t>
  </si>
  <si>
    <t>WiK523-5----AB</t>
  </si>
  <si>
    <t>WnK523-5----AB</t>
  </si>
  <si>
    <t>WrK523-5----AB</t>
  </si>
  <si>
    <t>WfK523-5----AB</t>
  </si>
  <si>
    <t>SoK523-5----AB</t>
  </si>
  <si>
    <t>SgK523-5----AB</t>
  </si>
  <si>
    <t>Beispiele für die Datenmeldung und Darstellung von Zahlungen bei Pflichtverstößen nach § 52 EEG 2023</t>
  </si>
  <si>
    <t>Monatsmeldung
Januar</t>
  </si>
  <si>
    <t>Monatsmeldung
Februar</t>
  </si>
  <si>
    <t>Monatsmeldung
März</t>
  </si>
  <si>
    <t>Monatsmeldung
April</t>
  </si>
  <si>
    <t>Monatsmeldung
Mai</t>
  </si>
  <si>
    <t>Monatsmeldung
Juni</t>
  </si>
  <si>
    <t>Monatsmeldung
Juli</t>
  </si>
  <si>
    <t>Monatsmeldung
August</t>
  </si>
  <si>
    <t>Monatsmeldung
September</t>
  </si>
  <si>
    <t>Monatsmeldung
Oktober</t>
  </si>
  <si>
    <t>Monatsmeldung
November</t>
  </si>
  <si>
    <t>Monatsmeldung
Dezember</t>
  </si>
  <si>
    <t>Eingabe positiv</t>
  </si>
  <si>
    <t>Eingabe negativ</t>
  </si>
  <si>
    <t>Beispiel 1: Strafzahlung bei einem Pflichtverstoß und Reduzierung der Strafzahlung bei Erfüllung der Pflicht</t>
  </si>
  <si>
    <t>- Verstoß gegen technische Vorgaben (SgK5211-----SZ) durch eine Solar/Gebäude-Anlage mit einer installierten Leistung von 10 kWp ab Januar 2023 bis 25. Oktober 2023</t>
  </si>
  <si>
    <t>- Verstoß gegen technische Vorgaben (SgK5211-----SZ) durch eine Solar/Gebäude-Anlage mit einer installierten Leistung von 10 kWp ab Januar 2023 bis 25. März 2023</t>
  </si>
  <si>
    <t>§ 17 Abs. 1 EEG 2012: Der Vergütungsanspruch nach § 16 EEG 2012 oder § 19 EEG 2014 verringert sich auf Null, solange Anlagenbetreiber gegen § 6 Absatz 1, 2, 4 oder 5  EEG 2012 (Technische Vorgaben) verstoßen.
Gelöscht da Neuregelung Sanktionierung § 52 EEG 2023.</t>
  </si>
  <si>
    <t>§ 25 Abs. 1 Nr. 1 EEG 2014: Der anzulegende Wert nach § 23 Abs. 1 Satz 2 EEG 2014 verringert sich sich auf null, solange Anlagenbetreiber die zur Registrierung der Anlage erforderlichen Angaben nicht nach Maßgabe der Anlagenregisterverordnung übermittelt haben.
§ 52 Abs. 1 Satz 1 Nr. 1 EEG 2017/2021: Der anzulegende Wert verringert sich auf null, solange Anlagenbetreiber die zur Registrierung der Anlage erforderlichen Angaben nicht an das Register übermittelt haben und die Meldung nach § 71 noch nicht erfolgt ist.
Gelöscht da Neuregelung Sanktionierung § 52 EEG 2023.</t>
  </si>
  <si>
    <t>§ 25 Abs. 1 Nr. 2 EEG 2014: Der anzulegende Wert nach § 23 Abs. 1 Satz 2 EEG 2014 verringert sich sich auf null, solange und soweit Anlagenbetreiber einer nach Maßgabe der Anlagenregisterverordnung registrierten Anlage eine Erhöhung der installierten Leistung der Anlage nicht nach Maßgabe der Anlagenregisterverordnung übermittelt haben.
§ 52 Abs. 1 Satz 1 Nr. 2 EEG 2017/2021: Der anzulegende Wert  verringert sich sich auf null, solange und soweit Betreiber von im Register registrierten Anlagen die zur Meldung einer Erhöhung der installierten Leistung der Anlage erforderlichen Angaben nicht an das Register übermittelt haben und die Meldung nach § 71 noch nicht erfolgt ist.
Gelöscht da Neuregelung Sanktionierung § 52 EEG 2023.</t>
  </si>
  <si>
    <t>§ 25 Abs. 1 Nr. 3 EEG 2014: Der anzulegende Wert nach § 23 Abs. 1 Satz 2 EEG 2014 verringert sich sich auf null, wenn Anlagenbetreiber gegen § 20 Abs. 2 Satz 2 EEG 2014 verstoßen, d. h. wenn die gemeldeten Prozentsätze für die anteilige Direktvermarktung nicht jederzeit eingehalten wurden.
§ 52 Abs. 1 Satz 1 Nr. 3 EEG 2017/2021: Der anzulegende Wert verringert sich auf null, wenn Anlagenbetreiber gegen § 21b Abs. 2 Satz 1 zweiter Halbsatz (anteilige DV) oder Abs. 3 (Pflicht zur Viertelstundenmessung bei Direktvermarktung) verstoßen.
Diese Verringerung gilt bis zum Ablauf des dritten Kalendermonats, der auf die Beendigung des Verstoßes folgt.
Gelöscht da Neuregelung Sanktionierung § 52 EEG 2023.</t>
  </si>
  <si>
    <r>
      <t xml:space="preserve">Unter Maßgabe der § 100 Abs. 4 und § 100 Abs. 4a EEG 2021 gilt:
§ 25 Abs. 2 Nr. 1 EEG 2014: Der anzulegende Wert nach § 23 Abs. 1 Satz 2 EEG 2014 verringert sich sich auf den Monatsmarktwert, solange Anlagenbetreiber gegen § 9 Abs. 1 (Einspeisemanagement für Anlage &gt;100kW), Abs. 2 (Einspeisemanagement für PV-Anlagen bis 100kW), Abs. 5 (Gärrestlager, 150 Tage hydraulische Verweilzeit und zusätzliche Gasverbrauchseinrichtung bei Biogasanlagen) , Abs. 6 EEG 2014 (Erfüllung Systemdienstleistungsverordnung für Windenergieanlagen mit Inbetriebnahme vor 2017) verstoßen.
§ 52 Abs. 2 Satz 1 Nr. 1 EEG 2017: Der anzulegende Wert verringert sich auf den Monatsmarktwert, solange Anlagenbetreiber gegen § 9 Abs. 1, 2, 5 oder 6 EEG 2017 verstoßen.
§ 52 Abs. 2 Satz 1 Nr. 1b EEG 2017: Der anzulegende Wert verringert sich auf den Monatsmarktwert, solange Anlagenbetreiber gegen § 9 Abs. 8 EEG 2017 verstoßen (Änderung aus dem Energiesammelgesetz: Pflicht zur Nachtkennzeichnung bei Windenergieanlagen).
§ 52 Abs. 2 Satz 1 Nr. 1 EEG 2021: Der anzulegende Wert verringert sich auf den Marktwert, solange Anlagenbetreiber gegen § 9 Abs. 1, 1a 2, oder 5 EEG 2021 verstoßen.
Im Fall des § 48a ist Satz 1 entsprechend mit der Maßgabe anzuwenden, dass sich der anzulegende Wert auf null verringert.
</t>
    </r>
    <r>
      <rPr>
        <b/>
        <u/>
        <sz val="10"/>
        <rFont val="Arial"/>
        <family val="2"/>
      </rPr>
      <t>Achtung:</t>
    </r>
    <r>
      <rPr>
        <b/>
        <sz val="10"/>
        <rFont val="Arial"/>
        <family val="2"/>
      </rPr>
      <t xml:space="preserve"> Bei Altanlagen (Vergütung nach EEG 2000 bis 2012) ist bei einem Verstoß gegen die technischen Vorgaben gemäß § 100 Abs. 1 Nr. 2 EEG 2014 bzw. § 100 Abs. 1 Nr. 10 Buchstabe b EEG 2017 die Sanktion nach § 17 Abs. 1 EEG 2012 (Verringerung der Vergütung auf null) und die entsprechende Sanktionskategorie XxK171* anzuwenden.
Gelöscht da Neuregelung Sanktionierung § 52 EEG 2023.</t>
    </r>
  </si>
  <si>
    <t>§ 25 Abs. 2 Nr. 2 EEG 2014: Der anzulegende Wert nach § 23 Abs. 1 Satz 2 EEG 2014 verringert sich sich auf den Monatsmarktwert, wenn Anlagenbetreiber dem Netzbetreiber den Wechsel zwischen den verschiedenen Vermarktungsformen nach § 20 Abs 1 EEG 2014 nicht nach Maßgabe des § 21 EEG 2014 übermittelt haben (verspätete, fehlerhafte oder unvollständige Meldung von Wechseln zwischen den Vermarktungsformen). Die Verringerung gilt bis zum Ablauf des Kalendermonats, der auf die Beendigung des Verstoßes folgt.
§ 52 Abs. 2 Satz 1 Nr. 2 EEG 2017: Der anzulegende Wert verringert sich sich auf den Monatsmarktwert, wenn Anlagenbetreiber dem Netzbetreiber die Zuordnung oder den Wechsel zwischen den verschiedenen Veräußerungsformen nach § 21b Abs. 1 nicht nach Maßgabe des § 21c EEG 2017 übermittelt haben (verspätete, fehlerhafte oder unvollständige Meldung von Wechseln zwischen den Vermarktungsformen). Die Verringerung gilt bis zum Ablauf des Kalendermonats, der auf die Beendigung des Verstoßes folgt.
§ 52 Abs. 2 Satz 1 Nr. 2 EEG 2021: Der anzulegende Wert verringert sich sich auf den Marktwert, wenn Anlagenbetreiber dem Netzbetreiber die Zuordnung oder den Wechsel zwischen den verschiedenen Veräußerungsformen nach § 21b Abs. 1 nicht nach Maßgabe des § 21c EEG 2021 übermittelt haben (verspätete, fehlerhafte oder unvollständige Meldung von Wechseln zwischen den Vermarktungsformen). Die Verringerung gilt bis zum Ablauf des Kalendermonats, der auf die Beendigung des Verstoßes folgt. Im Fall des § 48a ist Satz 1 entsprechend mit der Maßgabe anzuwenden, dass sich der anzulegende Wert auf null verringert.
Gelöscht da Neuregelung Sanktionierung § 52 EEG 2023.</t>
  </si>
  <si>
    <r>
      <t xml:space="preserve">§ 25 Abs. 2 Nr. 4 EEG 2014: Der anzulegende Wert nach § 23 Abs. 1 Satz 2 EEG 2014 verringert sich sich auf den Monatsmarktwert, solange Anlagenbetreiber, die den in der Anlage erzeugten Strom dem Netzbetreiber nach § 19 Abs. 1 Nr. 2 EEG 2014 zur Verfügung stellen gegen § 39 Abs. 2 EEG 2014 verstoßen, mindestens jedoch für die Dauer des gesamten Kalendermonats, in dem ein solcher Verstoß erfolgt ist.
§ 52 Abs. 2 Satz 1 Nr. 4 EEG 2017: Der anzulegende Wert  verringert sich sich auf den Monatsmarktwert, solange Anlagenbetreiber, die eine Einspeisevergütung in Anspruch nehmen, gegen § 21 Abs. 2 EEG 2017 verstoßen, mindestens jedoch für die Dauer des gesamten Kalendermonats, in dem ein solcher Verstoß erfolgt ist.
§ 52 Abs. 2 Satz 1 Nr. 4 EEG 2021: Der anzulegende Wert  verringert sich sich auf den Marktwert, solange Anlagenbetreiber, die eine Einspeisevergütung in Anspruch nehmen, gegen § 21 Abs. 2 EEG 2021 verstoßen, mindestens jedoch für die Dauer des gesamten Kalendermonats, in dem ein solcher Verstoß erfolgt ist. Im Fall des § 48a ist Satz 1 entsprechend mit der Maßgabe anzuwenden, dass sich der anzulegende Wert auf null verringert.
</t>
    </r>
    <r>
      <rPr>
        <b/>
        <u/>
        <sz val="10"/>
        <rFont val="Arial"/>
        <family val="2"/>
      </rPr>
      <t>Achtung:</t>
    </r>
    <r>
      <rPr>
        <b/>
        <sz val="10"/>
        <rFont val="Arial"/>
        <family val="2"/>
      </rPr>
      <t xml:space="preserve"> Es kann auch ein Verstoß gegen das Doppelvermarktungsverbot des § 80 EEG 2014/2017/2021 vorliegen, der gemäß § 25 Abs. 2 Nr. 5 EEG 2014 bzw. § 52 Abs. 2 Nr. 5 EEG 2017/2021 zu sanktionieren ist, und zwar für die Dauer des Verstoßes zuzüglich der darauf folgenden sechs Kalendermonate.
Gelöscht da Neuregelung Sanktionierung § 52 EEG 2023.</t>
    </r>
  </si>
  <si>
    <t>§ 25 Abs. 2 Nr. 5 EEG 2014: Der anzulegende Wert nach § 23 Abs. 1 Satz 2 EEG 2014 verringert sich sich auf den Monatsmarktwert, wenn Anlagenbetreiber gegen die in § 80 EEG 2014 geregelten Pflichten verstoßen (Doppelvermarktungsverbot). Die Verringerung gilt für die Dauer des Verstoßes zuzüglich der darauf folgenden sechs Kalendermonate.
§ 52 Abs. 2 Satz 1 Nr. 5 EEG 2017: Der anzulegende Wert verringert sich sich auf den Monatsmarktwert, wenn Anlagenbetreiber gegen die in § 80 EEG 2017 geregelten Pflichten verstoßen (Doppelvermarktungsverbot). Die Verringerung gilt für die Dauer des Verstoßes zuzüglich der darauf folgenden sechs Kalendermonate. 
§ 52 Abs. 2 Satz 1 Nr. 5 EEG 2021: Der anzulegende Wert verringert sich sich auf den Marktwert, wenn Anlagenbetreiber gegen die in § 80 EEG 2021 geregelten Pflichten verstoßen (Doppelvermarktungsverbot). Die Verringerung gilt für die Dauer des Verstoßes zuzüglich der darauf folgenden sechs Kalendermonate. Im Fall des § 48a ist Satz 1 entsprechend mit der Maßgabe anzuwenden, dass sich der anzulegende Wert auf null verringert.
Gelöscht da Neuregelung Sanktionierung § 52 EEG 2023.</t>
  </si>
  <si>
    <t>Für den Fall, dass sich auf Grund hoher Marktwerte in Summe ein rein rechnerisch positiver Wert ergeben würde, der aber nicht positiv gemeldet werden darf, ist als Eurobetrag 0,00 Euro anzugeben.
Gelöscht da Neuregelung Sanktionierung § 52 EEG 2023.</t>
  </si>
  <si>
    <t>§100 Abs. 14 Satz 4 EEG 2021: Wenn der Anlagenbetreiber entgegen der Mitteilung nach § 100 Abs. 14 Satz 2 EEG 2021 (Inanspruchnahme der erhöhten Volleinspeiservergütung) nicht den gesamten in der Anlage in einem Kalenderjahr erzeugten Strom in das Netz einspeist, verringert sich der anzulegende Wert für dieses Kalenderjahr auf den Marktwert, höchstens jedoch die Vergütung nach § 100 Absatz 14 Satz 1 EEG 2021 (Überschusseinspeisung).
Gelöscht da Neuregelung Sanktionierung § 52 EEG 2023.</t>
  </si>
  <si>
    <t>Die Kategorien erfassen die nach § 27 Abs. 7, § 33 Abs. 2 und 4 EEG 2012, den § 25 Abs. 2 Nr. 6 und § 47 Abs. 1 EEG 2014 sowie § 51, § 52 EEG 2017/2021/2023, § 44b EEG 2017/2021/2023 bzw. § 44c EEG 2021/2023 die an den Anlagenbetreiber gezahlten reduzierten EEG-Vergütungen sowie die zugrundeliegende Strommenge. Weiterhin wird die EEG-Vergütung für Biomasse-Anlagen um den Wert kostenlos zugeteilter  Berechtigungen nach § 9 Treibhausgas-Emissionshandelsgesetz gemäß § 66 Abs. 21 EEG 2012 gekürzt, um eine Doppelförderung zu vermeiden. Bis auf § 25 Abs. 2 Nr. 6 EEG 2014 (Vorbildwirkung öffentlicher Gebäude), § 24 EEG 2014 bzw. § 51 EEG 2017/2021/2023 (6-h-Regel/4-h-Regel negative Börsenpreise), § 33 Abs. 2 EEG 2012 (Marktintegration), § 47 Abs. 1 EEG 2014 bzw. § 44b EEG 2017/2021 (Begrenzung großer Biogas-Anlagen) und § 66 Abs. 21 EEG 2012 (Wert kostenloser Berechtigungen) handelt es sich um Sanktionen bei verschiedenen Verstößen gegen Vorschriften des EEG.</t>
  </si>
  <si>
    <t xml:space="preserve">§ 24 EEG 2014 und § 51 EEG 2017/2021/2023: Wenn der Wert der Stundenkontrakte für die Preiszone Deutschland am Spotmarkt der Strombörsen an mindestens vier bzw. sechs aufeinanderfolgenden Stunden negativ ist, verringert sich der anzulegende Wert  für den gesamten Zeitraum, in dem die Stundenkontrakte ohne Unterbrechnung negativ sind, auf Null. In § 24 Abs. 3 EEG werden die Anlagen definiert, auf die diese Regelung nicht anzuwenden ist. Anlagen, für die diese Regelung anzuwenden sind, unterliegen immer der Direktvermarktungspflicht, d.h. eine Einspeisevergütung nach § 37 EEG 2014 ist ausgeschlossen. Für die während dieses Zeitraums eingespeisten Strommengen wird keine Marktprämie und keine Ausfallvergütung gezahlt. 
Der Anspruch auf Ausfallvergütung nach § 38 EEG 2014 verringert sich in einem Monat, in dem gegen die Meldepflicht nach § 24 Abs. 2 Halbsatz 1 EEG 2014 verstoßen wird, um 5 % pro Kalendertag, in dem der relevante Zeitraum von mindestens 6 aufeinanderfolgenden Stunden mit negativen Preisen nach § 24 Abs. 1 EEG 2014 ganz oder teilweise liegt. Die Kürzung der Ausfallvergütung ist äquivalent zur Kürzung der in diesem Monat eingespeisten Strommenge um 5 % je Kalendertag. Diese gekürzte Strommenge ist ersatzweise zur tatsächlich gemäß § 24 Abs. 2 Halbsatz 1 EEG 2014 vom Anlagenbetreiber gemeldeten Strommenge mit diesen Kategorien zu melden.
Diese Kategorien werden ab 2017 analog weitergeführt. Die Rechtsgrundlage für die Sanktion ist in § 51 EEG 2017 analog zum § 24 EEG 2014 geregelt.
Diese Kategorien werden ab 2021 analog weitergeführt. Die Rechtsgrundlage für die Sanktion ist in § 51 EEG 2021 analog zum § 24 EEG 2014 geregelt (4h-Regel für negative Börsenpreise).
Diese Kategorien werden ab 2023 analog weitergeführt. Die Rechtsgrundlage für die Sanktion ist in § 51 EEG 2023 analog zum § 24 EEG 2014 geregelt (4h-Regel für negative Börsenpreise).
Die Sanktion nach § 24 EEG 2014 bzw. § 51 EEG 2017/2021/2023 ist nicht für Anlagen mit Inbetriebnahme vor dem 01. Januar 2016 anzuwenden.
§ 9 InnAusV: Für Anlagen, die Zahlungen aufgrund eines Zuschlags in der Innovationsauschreibung erhalten, verringert sich die fixe Marktprämie für einen Zeitraum, in dem der Wert der Stundenkontrakte für die Preiszone für Deutschland am Spotmarkt der Strombörse in der vortägigen Auktion negativ ist, auf null.
Diese Kategorien werden auch für Anlagen, die Zahlungen aufgrund eines Zuschlags in der Innovationsausschreibung erhalten, analog verwendet. 
Die mit diesen Kategorien zu meldenden Strommengen fließen in die Berechnung der vNNE ein und sind im Fall der Ausfallvermarktung an den ÜNB energetisch zu wälzen.
Die Ausweisung dieser Zeiträume ist unter folgender URL ersichtlich: http://www.netztransparenz.de/de/Marktwerte.htm </t>
  </si>
  <si>
    <t>Für die folgenden Sachverhalte steht die beihilferechtliche Genehmigung noch aus. Daher dürfen diese noch keine Anwendung finden:</t>
  </si>
  <si>
    <t xml:space="preserve">Vorbehalt zur beihilferechtlichen Genehmigung durch EU-Kommission nach § 101 EEG 2023 </t>
  </si>
  <si>
    <t>§ 48 Abs. 5 EEG 2021: Für Solaranlagen mit einer instalierten Leistung von mehr als 300 kW bis einschließlich 750 kW mit Inbetriebnahme vom 01.01.2021 bis 29.07.2022 verringert sich der Vergütungsanspruch für jede Kilowattstunde Strom, der 50 Prozent der erzeugten Strommenge in einem Kalenderjahr überschreitet, sowohl in der Einspeisevergütung als auch Marktprämie auf Null.  Die nicht in das Netz eingespeiste Strommenge (Selbstverbrauch) ist über die Kategorie SgK33a2-----SV zu melden.
§ 100 Abs. 9 EEG 2021: Für Solaranlagen mit einer installierten Leistung von mehr als 300 kW bis einschließlich 750 kW mit Inbetriebnahme ab dem 30.07.2022 besteht Anspruch nach § 19 Abs. 1 Nr. 1 und 2 für 80 Prozent der erzeugten Strommenge. 
§ 48 EEG Absatz 5 ist im EEG 2023 nicht mehr enthalten, so dass diese Regelung nur Anwendung findet für Strom aus Anlagen, die vor dem 01.01.2023 in Betrieb genommen worden sind.</t>
  </si>
  <si>
    <t>§ 52 Abs. 1 Nr. 1 EEG 2023: Anlagenbetreiber müssen eine Zahlung an Ihren zuständigen Netzbetreiber in Höhe vom 10 Euro pro Kilowatt installierter Leistung der Anlage und Kalendermonat nach § 52 Abs. 2 EEG 2023 zahlen, wenn gegen § 9 Abs. 1, 1a oder 2 EEG verstoßen wird. Die zu leistende Zahlung verringert sich rückwirkend auf 2 Euro pro Kilowatt installierter Leistung der Anlage und Kalendermonat, sobald die Pflicht erfüllt ist. Die Verringerung des Pflichtverstoßes ist über die entsprechende Gegenkategorie  (XxK523-5----AB) zu melden.</t>
  </si>
  <si>
    <t xml:space="preserve">§ 52 Abs. 1 Nr. 2 EEG 2023: Anlagenbetreiber müssen eine Zahlung an Ihren zuständigen Netzbetreiber in Höhe vom 10 Euro pro Kilowatt installierter Leistung der Anlage und Kalendermonat nach § 52 Abs. 2 EEG 2023 zahlen, wenn gegen § 9 Abs. 5 EEG verstoßen wird. </t>
  </si>
  <si>
    <t>Strafzahlung 10 Euro pro Kilowatt installierter Leistung und Kalendermonat nach § 52 Abs. 1 Nr. 1 EEG (Verstoß gegen technische Vorgaben)</t>
  </si>
  <si>
    <t>Strafzahlung 10 Euro pro Kilowatt installierter Leistung und Kalendermonat nach § 52 Abs. 1 Nr. 2 EEG (Verstoß gegen technische Vorgaben -Freisetzung von Biogas-)</t>
  </si>
  <si>
    <t>Strafzahlung 10 Euro pro Kilowatt installierter Leistung und Kalendermonat nach § 52 Abs. 1 Nr. 3 EEG (Verstoß gegen technische Vorgaben -Nachtkennzeichnung-)</t>
  </si>
  <si>
    <t>§ 52 Abs. 1 Nr. 3 EEG 2023: Anlagenbetreiber müssen eine Zahlung an Ihren zuständigen Netzbetreiber in Höhe vom 10 Euro pro Kilowatt installierter Leistung der Anlage und Kalendermonat nach § 52 Abs. 2 EEG 2023 zahlen, wenn ab dem 01.01.2024 gegen § 9 Abs. 8 EEG verstoßen wird. Die zu leistende Zahlung verringert sich rückwirkend auf 2 Euro pro Kilowatt installierter Leistung der Anlage und Kalendermonat, sobald die Pflicht erfüllt ist. Die Verringerung des Pflichtverstoßes ist über die entsprechende Ausgleichsbetragskategorie (XxK523-5----AB) zu melden.</t>
  </si>
  <si>
    <t>Strafzahlung 10 Euro pro Kilowatt installierter Leistung und Kalendermonat nach § 52 Abs. 1 Nr. 4 EEG (Verstoß gegen Vorgaben zur Direktvermarktung)</t>
  </si>
  <si>
    <t>Die Sanktionen nach § 52  EEG 2023 sind auch für Anlagen anzuwenden, die keine Förderung nach § 19 Abs. 1 EEG in Anspruch nehmen (z.B. Sonstige Direktvermarktung, freiwilliger Verzicht auf EEG-Förderung).</t>
  </si>
  <si>
    <t>Strafzahlung 10 Euro pro Kilowatt installierter Leistung und Kalendermonat nach § 52 Abs. 1 Nr. 5 EEG (Überschreitung der Höchstdauer bei Ausfallvergütung)</t>
  </si>
  <si>
    <t>Strafzahlung 10 Euro pro Kilowatt installierter Leistung und Kalendermonat nach § 52 Abs. 1 Nr. 6 EEG (Verstoß gegen Stromüberlassung nach §21 Abs. 2 EEG)</t>
  </si>
  <si>
    <t>Strafzahlung 10 Euro pro Kilowatt installierter Leistung und Kalendermonat nach § 52 Abs. 1 Nr. 7 EEG (Verstoß gegen prozentale Aufteilung auf verschiedene Veräußerungsformen)</t>
  </si>
  <si>
    <t>Strafzahlung 10 Euro pro Kilowatt installierter Leistung und Kalendermonat nach § 52 Abs. 1 Nr. 8 EEG (Viertelstundenmessung)</t>
  </si>
  <si>
    <t>Strafzahlung 10 Euro pro Kilowatt installierter Leistung und Kalendermonat nach § 52 Abs. 1 Nr. 9 EEG (Verstoß gegen Meldepflicht zum Wechsel der Vermarktungsform)</t>
  </si>
  <si>
    <t>Strafzahlung 2 Euro pro Kilowatt installierter Leistung und Kalendermonat nach § 52 Abs. 1 Nr. 10 EEG (Verstoß gegen Volleinspeisungsgebot)</t>
  </si>
  <si>
    <t>Strafzahlung 10 Euro pro Kilowatt installierter Leistung und Kalendermonat nach § 52 Abs. 1 Nr. 12 EEG (Doppelvermarktung)</t>
  </si>
  <si>
    <t>SgK23b1-MSZ-AB</t>
  </si>
  <si>
    <t>Ausgleichsbetrag zum Ausgleich des andernfalls negativen Mieterstromzuschlags</t>
  </si>
  <si>
    <t>Kategorien Sonstige Direktvermarktung nach § 20 Abs. 1 Nr. 2 EEG 2014 und § 21a EEG 2017/2021/2023</t>
  </si>
  <si>
    <t>Die nachfolgenden Kategorien dienen der Datenmeldung der nach § 33b Nr. 3 EEG 2012 (vor 01.08.2014), § 20 Abs. 1 Nr. 2 EEG 2014 (nach 31.07.2014 und vor 01.01.2017) oder § 21a EEG 2017/2021/2023 (nach 31.12.2016) direkt vermarkteten und erzeugten, nicht durch das EEG geförderten Strommengen ("Sonstige Direktvermarktung").</t>
  </si>
  <si>
    <t>Für diese Strommengen wird keine EEG-Vergütung an den Anlagenbetreiber gezahlt. Die vNNE werden an den Anlagenbetreiber ausgezahlt und sind nicht in der Datenmeldung zu erfassen. Ab 01.01.2017 erfolgt nach Maßgabe § 52 Abs. 4 EEG 2017/2021 keine Zahlung der vNNE an den Anlagenbetreiber, solange gegen § 9 Abs. 1, 2, 5 oder 6 EEG 2017, § 9 Abs. 1, 1a, 2 oder 5 EEG 2021  oder § 21b Abs. 3 EEG 2017/2021 verstoßen wird. Ab 01.01.2023 sind bei einem Verstoß nach § 52 Abs. 1 EEG 2023 keine vNNe an den Anlagenbetreiber nach § 52 Abs. 7 EEG 2023 zu zahlen.</t>
  </si>
  <si>
    <t>- Die Sanktionierung erfolgt für den kompletten Kalendermonat, auch wenn der Verstoß nicht den gesamten Monat andauert.</t>
  </si>
  <si>
    <t>- Verstoß gegen prozentuale Aufteilung auf verschiedene Veräußerungsformen (SgK5217-----SZ) durch eine Solar/Gebäude-Anlage mit einer installierten Leistung von 10 kWp ab Januar 2023 bis 5. April 2023. Sanktionierung wird nach § 52 Abs. 4 Nr. 1 um 3 Kalendermonate verlängert.</t>
  </si>
  <si>
    <t>- Die rückwirkende Reduzierung der Sanktionierung auf 2 EUR/kW hat für die Monate Januar bis Juli keinen Effekt, da die Sanktionierung nach § 52 Abs. 1 Nr. 7 weiterhin 10 EUR/kW beträgt.</t>
  </si>
  <si>
    <t>Beispiel 2.3: Begrenzung der Strafzahlungen bei mehreren Pflichtverstößen und Reduzierung der Strafzahlung bei Erfüllung beider Pflichten</t>
  </si>
  <si>
    <t>Beispiel 2.2: Begrenzung der Strafzahlungen bei mehreren Pflichtverstößen und Reduzierung der Strafzahlung bei Erfüllung nur einer Pflicht</t>
  </si>
  <si>
    <t>Beispiel 2.1: Begrenzung der Strafzahlungen bei mehreren Pflichtverstößen und Reduzierung der Strafzahlung bei Erfüllung nur einer Pflicht</t>
  </si>
  <si>
    <t xml:space="preserve">- Verstoß gegen Registrierungspflicht (SgK52111----SZ) durch eine Solar/Gebäude-Anlage mit einer installierten Leistung von 10 kWp ab Januar 2023 bis 5. April 2023. </t>
  </si>
  <si>
    <t>- Verstoß gegen prozentuale Aufteilung auf verschiedene Veräußerungsformen (SgK5217-----SZ) durch eine Solar/Gebäude-Anlage mit einer installierten Leistung von 10 kWp ab Januar 2023 bis 31. Juli 2023. Sanktionierung wird nach § 52 Abs. 4 Nr. 1 um 3 Kalendermonate verlängert.</t>
  </si>
  <si>
    <t>Kategorie Mieterstromzuschlag nach § 21 Abs. 3 EEG 2017/2021/2023</t>
  </si>
  <si>
    <t>Informationen zur Datenmeldung des VNB an den ÜNB für Anlagen mit Inbetriebnahme vor dem 01.01.2021 erhalten Netzbetreiber bei ihrem zuständigen ÜNB. Für Anlagen, die nach dem 31.12.2020 in Betrieb gegangen sind, sind die Kategorien beginnend mit SgK48a zu verwenden.</t>
  </si>
  <si>
    <t>Diese Kategorien erfassen die nach § 21 Abs. 3 EEG 2017/2021/2023 (nach 24.07.2017) an Letztverbraucher gelieferte Strommengen mit Inanspruchnahme des Mieterstromzuschlags, sowie die Höhe des an den Anlagenbetreiber ausgezahlten Mieterstromzuschlags.</t>
  </si>
  <si>
    <t>Voraussetzung für die Nutzung dieser Kategorien für Strommengen, die nach dem 24.07.2017 erzeugt worden sind, ist die Einhaltung der besonderen Bestimmung zum Mieterstromzuschlag  gemäß §§ 21 Abs. 3, 21b und 23b EEG 2017 oder §§ 21 Abs. 3, 21b EEG 2021/2023 und § 23c EEG 2021.</t>
  </si>
  <si>
    <t xml:space="preserve">Sofern der anzulegende Wert einer Anlage nicht gesetzlich bestimmt wurde, sind die folgenden Kategorien unter Berücksichtigung der sonstigen Bestimmungen zu verwenden.
Bei der Berechnung der Förderung von Solar-Anlagen ist ggf. auch eine Verringerung nach § 54 EEG 2017/2021/2023 sowie § 54a EEG 2021 (verspätete Inbetriebnahme, abweichender Standort) zu berücksichtigen.
Die Kategorie SoK55-------AS ist für solche Freiflächenanlagen zu verwenden, die in einem nach EEG 2014 / FFAV durchgeführten Ausschreibungsverfahren bezuschlagt worden sind, auch wenn deren Inbetriebnahme erst nach dem 31.12.2016 erfolgte.
Sollte der Zuschlag im Rahmen der Innovationsausschreibung nach § 39j EEG 2017 oder § 39n EEG 2021 erteilt worden sein, sind die hierfür vorgesehenen Kategorien zu verwenden, da hier eine abweichende Berechnung der Marktprämie gemäß § 8 InnAusV erfolgt.
Dies gilt nur für Anlagen, die den Zuschlag in einem Ausschreibungsverfahren vor dem 1. Dezember 2022 erhalten haben. Für Anlagen eines späteren Innovationsausschreibungsverfahrens sind die energieträgerspezifischen Kategorien XxK22-------AS zu verwenden. </t>
  </si>
  <si>
    <t>bezuschlagt in einem Ausschreibungsverfahren nach EEG 2017/2021/2023</t>
  </si>
  <si>
    <t>Kategorien für Anlagen mit einer Korrektur des anzulegenden Wertes nach § 36h Abs. 2 EEG 2017/2021/2023</t>
  </si>
  <si>
    <t>Korrekturbetrag der Marktprämie nach § 36h Abs. 2 S. 2 EEG 2017/2021/2023</t>
  </si>
  <si>
    <t>Korrekturbetrag der Ausfallvergütung nach § 36h Abs. 2 S. 2 EEG 2017/2021/2023</t>
  </si>
  <si>
    <t>Zinsen auf negativen Korrekturbetrag der Marktprämie nach § 36h Abs. 2 S. 3 EEG 2017/2021/2023</t>
  </si>
  <si>
    <t>Zinsen auf negativen Korrekturbetrag der Ausfallvergütung nach § 36h Abs. 2 S. 3 EEG 2017/2021/2023</t>
  </si>
  <si>
    <t>Kategorie für den Projektsicherungsbeitrag nach § 38d EEG 2021-2/2023</t>
  </si>
  <si>
    <t>Projektsicherungsbeitrag nach § 38d EEG 2021-2/2023</t>
  </si>
  <si>
    <t xml:space="preserve">Bieter müssen für ihre Gebote, die sie im Rahmen von Ausschreibungen für Solaranlagen des zweiten Segments abgeben, einen Projektsicherungsbeitrag gemäß § 38d EEG 2021-2/2023 leisten. Der Netzbetreiber erstattet nach der Inbetriebnahme einer Anlage den von dem Anlagenbetreiber geleisteten Projektsicherungsbeitrag in Höhe von 35 Euro je Kilowatt installierter und bezuschlagter Gebotsmenge im Rahmen der ersten auf die Inbetriebnahme folgenden Endabrechnung in Form einer Einmalzahlung. Diese geleisteten Zahlungen sind dem Netzbetreiber durch den vorgelagerten Übertragungsnetzbetreiber nach § 57 Abs. 1 EEG 2021-2 bzw. § 13 Abs. 1 EnFG zu erstatten.
Für diese Kategorie wird keine Strommenge, sondern nur der Projektsicherungsbeitrag als positiver Euro-Betrag gemeldet.
Die Meldung kann auschließlich im Rahmen einer Jahresabrechnung erfolgen. 
</t>
  </si>
  <si>
    <t>finanzielle Beteiligung von Kommunen nach § 6 Abs. 2 EEG 2021/2023</t>
  </si>
  <si>
    <t>Betreiber von Windenergieanlagen an Land mit Inbetriebnahme nach dem 31.12.2020, die einen Zuschlag für ihre Anlage erhalten, dürfen gemäß § 6 Abs. 2 EEG 2021/2023 den Gemeinden, die von der Errichtung der Windenergieanlage betroffen sind, Beträge durch einseitige Zuwendung ohne Gegenleistung von insgesamt 0,2 Cent pro Kilowattstunde für die tatsächlich eingespeiste Strommenge und für die fiktive Strommenge nach Anlage 2 Nummer 7.2 EEG 2021/2023 anbieten.
Betreiber von Freiflächenanlagen mit Inbetriebnahme ab dem 01.01.2021 bzw. 27.07.2021 (in Klärung), die einen Zuschlag für ihre Anlage erhalten, dürfen gemäß § 6 Abs. 3 EEG 2021/2023 den Gemeinden, die von der Errichtung der Freiflächenanlage betroffen sind, Beträge durch einseitige Zuwendung ohne Gegenleistung von insgesamt 0,2 Cent pro Kilowattstunde für die tatsächlich eingespeiste Strommenge anbieten.
Für diese Kategorien wird keine Strommenge, sondern nur die finanzielle Beteiligung an die jeweilige Kommune als positiver Euro-Betrag gemeldet.
Die Meldung kann auschließlich im Rahmen einer Jahresabrechnung erfolgen.</t>
  </si>
  <si>
    <t>Kategorien für ausgeförderte Anlagen gemäß § 3 Nr. 3a) EEG 2021/2023</t>
  </si>
  <si>
    <t>Gemäß § 21 Abs. 1 Nr. 3 EEG 2021/2023 besteht der Anspruch auf Zahlung der Einspeisevergütung nach § 19 Abs. 1 Nr. 2 EEG 2021/2023 für Strom aus ausgeförderten Anlagen, die keine Windenergieanlagen an Land sind und eine installierte Leistung von bis zu 100 Kilowatt haben.</t>
  </si>
  <si>
    <t>Der anzulegende Wert beträgt für die Anlagen, die keine Windenergieanlagen an Land sind, der Jahresmarktwert des jeweiligen Energieträgers.
Der anzulegende Wert verringert sich in diesen Fällen nach Maßgabe des § 53 Abs. 2 EEG 2021/2023. Der Wert nach § 53 Abs. 2 Satz 1 EEG 2021/2023 verringert sich um die Hälfte für Strom aus ausgeförderten Anlagen, die mit einem intelligenten Messsystem ausgestattet sind.</t>
  </si>
  <si>
    <t>Die Besonderen Bestimmungen zur Einspeisevergütung bei ausgeförderten Anlagen gem. § 23b EEG 2021/2023 sind zu beachten.</t>
  </si>
  <si>
    <t>Kategorien Selbstverbrauch und Verbrauch durch Dritte in räumlicher Nähe nach § 20 Abs. 3 Nr. 2 EEG 2014 und § 21b Abs. 4 Nr. 2 EEG 2017/2021/2023</t>
  </si>
  <si>
    <r>
      <t xml:space="preserve">Die nachfolgenden Kategorien dienen der Datenmeldung der selbst verbrauchten oder nach  § 33a Abs. 2 EEG 2012 (vor 01.08.2014), § 20 Abs. 3 Nr. 2 EEG 2014 (nach 31.07.2014 und vor 01.01.2017) oder § 21b Abs. 4 Nr. 2 EEG 2017/2021/2023 (nach 31.12.2016) an Dritte veräußerten Strommengen, die in unmittelbarer räumlicher Nähe der Anlage verbraucht werden, ohne durch ein Netz durchgeleitet zu werden. Es handelt sich hierbei </t>
    </r>
    <r>
      <rPr>
        <b/>
        <u/>
        <sz val="10"/>
        <rFont val="Arial"/>
        <family val="2"/>
      </rPr>
      <t>nicht</t>
    </r>
    <r>
      <rPr>
        <b/>
        <sz val="10"/>
        <rFont val="Arial"/>
        <family val="2"/>
      </rPr>
      <t xml:space="preserve"> um eine Direktvermarktung. </t>
    </r>
  </si>
  <si>
    <t>Die nach § 33 Abs. 2 EEG 2009 oder 2012 a.F. selbst oder durch Dritte verbrauchten und vergüteten Solarstrommengen sind in den Vergütungskategorien, die mit SgK334 beginnen, zu melden. Solarstrommengen sind mit den nachfolgenden Kategorien nur dann zu melden, wenn generell keine EEG-Vergütung nach § 33 Abs. 2 EEG 2009 oder EEG 2012 a.F. gezahlt wird, z. B. im Fall von Freiflächenanlagen, Dachanlagen über 500 kW installierter Leistung oder einer grundsätzlich nicht gegebenen Vergütungsfähigkeit (EEG 2000, EEG 2004, EEG 2012 n.F., EEG 2014, EEG 2017, EEG 2021, EEG 2023). Wird für an sich nach § 33 Abs. 2 EEG 2009 oder 2012 a.F. vergütungsfähige Strommengen aufgrund von Sanktionen die Selbstverbrauchsvergütung auf 0 gekürzt, sind die hierfür vorgesehenen Sanktionskategorien zu verwenden.</t>
  </si>
  <si>
    <t>Kategorien Marktprämie nach § 34 EEG 2014 und § 20 EEG 2017/2021/2023</t>
  </si>
  <si>
    <t>Die Kategorien erfassen die nach § 33b Nr. 1 EEG 2012 (vor 01.08.2014), § 34 EEG 2014 (nach 31.07.2014 und vor 01.01.2017) oder § 20 EEG 2017/2021/2023 (nach 31.12.2016) direkt vermarkteten und erzeugten Strommengen mit Inanspruchnahme der Marktprämie ("Marktprämiemodell") sowie die Höhe der an den Anlagenbetreiber ausgezahlten Marktprämie.</t>
  </si>
  <si>
    <t>Voraussetzung für die Nutzung dieser Kategorien für Strommengen, die nach dem 31.07.2014 erzeugt worden sind, ist die Einhaltung der Vorschriften zur Fernsteuerbarkeit der Anlagen gemäß § 36 EEG 2014 oder § 20 Abs. 2 EEG 2017 entsprechend den Stichtagsregelungen der § 35 und § 100 Abs. 1 Nr. 8 EEG 2014 oder § 20 Abs. 1 Satz 2 EEG 2017 oder § 10b EEG 2021/2023. Sollte nach Ablauf des Stichtags eine verpflichtende Fernsteuerbarkeit nicht vorhanden sein, sind nicht diese Kategorien zu verwenden, sondern die weiter unten aufgeführten Sanktionskategorien.</t>
  </si>
  <si>
    <t>Kategorien zur Saldierung von rechnerisch negativen Marktprämienzahlungen nach § 20 i.V.m. Anlage 1 zu § 23a EEG 2021/2023</t>
  </si>
  <si>
    <t xml:space="preserve">Die nachfolgenden Kategorien dienen der Datenmeldung der positiven Saldierungsbeträge zu kalendermonatlich ggf. mit negativen Werten berechneten Marktprämienzahlungen mit den Zweck, die sachgerechte Reduzierung der Marktprämie auf Null Euro Förderung darzustellen. Dies ist für den Fall relevant, dass der Marktwert (MW) echt größer ist als der relevante anzulegende Wert (AW) der geförderten EEG-Anlage. Aus der gesetzlichen Berechnungsvorschrift ergibt sich daraus das Erfordernis, die Marktprämie (MP) mit "null festzusetzen" (vgl. Abschnitt 3.1.2 der Anlage 1 zum EEG 2021/2023 für die Höhe der Marktprämienzahlung). Sollte sich die Vergütung aus mehreren Vergütungskategorien ergeben, ist die Reduzierung der Marktprämie auf Null nicht auf der Ebene der einzelnen Kategorie, sondern erst nach der Saldierung sämtlicher Vergütungskategorien vorzunehmen, sofern diese negativ ist. 
</t>
  </si>
  <si>
    <t>Kategorien Ausfallvermarktung ("Einspeisung in Ausnahmefällen") nach § 38 EEG 2014 und § 21 Abs. 1 Nr. 2 EEG 2017/2021/2023</t>
  </si>
  <si>
    <t>Im EEG 2017/2021 ist die Ausfallvergütung in den § 21 Abs. 1 Nr. 2, § 52 Abs. 2 Nr. 3, § 53 Satz 2 EEG 2017 und § 53 Abs. 3 EEG 2021 geregelt. Im § 23 Abs. 3 EEG 2017/2021 wird die Reihenfolge festgelegt, in der mehrere Kürzungen vorzunehmen sind. So ist z. B. zuerst eine ggf. vorzunehmende Kürzung auf den Marktwert vorzunehmen, der je nach Rechtsauslegung im Fall der Ausfallvergütung ggf. weiter auf 80 % (gerundet auf 2 Nachkommastellen) zu reduzieren ist. Hiervon sind anschließend die ggf. nach § 54 EEG 2017/2021 oder § 54a EEG 2021 vorzunehmenden Kürzungen bei Solaranlagen im Ausschreibungsverfahren (verspätete Inbetriebnahme, anderer Standort) abzuziehen. Ab dem 01.01.2023 erfolgt nach Überschreitung der Höchstdauer nach Abs. 1 Nr. 2 EEG 2023 ausschließlich eine Sanktionierung nach § 52 Abs. 1 Nr. 5 EEG 2023.</t>
  </si>
  <si>
    <t>Ausfallvermarktung nach § 38 EEG 2014 oder § 21 Abs. 1 Nr.  2 EEG 2017/2021/2023</t>
  </si>
  <si>
    <t>Kategorien Flexibilitätszuschlag für neue Biogas-Anlagen nach § 53 EEG 2014 bzw. nach § 50a EEG 2017/2021/2023</t>
  </si>
  <si>
    <t>Die Kategorien erfassen den nach § 53 EEG 2014 oder § 50a EEG 2017/2021/2023 an den Anlagenbetreiber ausgezahlten Flexibilitätszuschlag. Der Anspruch besteht nur, sofern für die Biogas-Anlage eine finanzielle Förderung nach § 19 EEG 2014 bzw. § 19 Abs. 1 EEG 2017/2021/2023(Marktprämie, Einspeise- oder Ausfallvergütung) für den in § 47 Abs. 1 EEG 2014  bzw. § 44 Abs. 1 EEG 2017/2021/2023 bestimmten Anteil (entsprechend 50 % der installierten Leistung) in Anspruch genommen wird und dieser Anspruch nicht nach § 25 EEG 2014 bzw. § 52 EEG 2017/2021/2023 verringert ist.</t>
  </si>
  <si>
    <t>Kategorien Flexibilitätsprämie für bestehende Biogas-Anlagen nach § 54 EEG 2014 bzw. § 50b EEG 2017/2021/2023</t>
  </si>
  <si>
    <t>Die Kategorien erfassen die nach § 54 EEG 2014  bzw. § 50b EEG 2017/2021/2023 die an den Anlagenbetreiber ausgezahlte Flexibilitätsprämie sowie die der Berechnung zugrundeliegende Marktprämien-Strommenge bzw. die zugrundeliegende Menge in der sonstigen Direktvermarktung.</t>
  </si>
  <si>
    <t>Der Vergütungssatz berechnet sich nach Anlage 3 EEG 2014 bzw. Anlage 3 EEG 2017/2021/2023 aus der Bemessungsleistung der Anlage (während des Kalenderjahrs oder Zeitraums der Inanspruchnahme der Flexibilitätsprämie), der installierten Leistung und der Art des eingesetzten Biogases. Dieser Vergütungssatz ist mit der Menge des während des gleichen Zeitraums nach Marktprämienmodell oder sonstiger Direktvermarktung direkt vermarkteten und tatsächlich eingespeisten Stroms zu multiplizieren.</t>
  </si>
  <si>
    <t>§ 53b EEG 2017/2021/2023: Für die direkt vermarktete Strommenge, für die dem Anlagenbetreiber ein Regionalnachweis ausgestellt worden ist, reduziert sich der anzulegende Wert um 0,1 ct/kWh. Dies gilt nur bei solchen Anlagen, deren anzulegender Wert gesetzlich festgelegt ist, also nicht durch eine Ausschreibung bestimmt worden ist. 
Die Strommengen werden einerseits mit der Förderung ohne Berücksichtigung des Regionalnachweises gemeldet. Die Kürzung für den Regionalnachweis erfolgt durch die zusätzliche Meldung mit den unten genannten Kategorien. Im Regelfall ist hierfür die jeweilige Kategorie mit der Endung "VZ" zu verwenden. Durch den negativen Vergütungssatz ergibt sich eine Kürzung der Förderung. Für den Fall, dass die Anlage aufgrund anderer Regelungen (bspw. wegen Pflichtverstoß) bereits auf Null sanktioniert ist oder sich in der Sonstigen Direktvermarktung befindet, ist die entsprechende Kategorie mit der Endung "0" zu verwenden.
Da der Strom, der in dieser Kategorie gemeldet wird, bereits über eine Vergütungs- oder Sanktionskategorie gemeldet wird, fließt er nicht in die Summenberechnung der Energiemenge ein, die der Berechnung der Bemessungsleistung und der vNNE zugrunde gelegt und in den Rechnungen, Testaten etc. als direkt vermarktete Strommenge ausgewiesen wird. Der negative Eurobetrag, der sich aus der Meldung in der vorliegenden Kategorie ergibt, fließt in die o. g. Summenberechnung der EEG-Förderung ein.</t>
  </si>
  <si>
    <r>
      <t xml:space="preserve">§ 53c EEG 2017/2021/2023: Der anzulegende Wert verringert sich für Strom, der durch ein Netz durchgeleitet wird und der von der Stromsteuer nach dem Stromsteuergesetz befreit ist, um die Höhe der pro Kilowattstunde gewährten Stromsteuerbefreiung.
Für diese Kategorie wird </t>
    </r>
    <r>
      <rPr>
        <b/>
        <u/>
        <sz val="10"/>
        <rFont val="Arial"/>
        <family val="2"/>
      </rPr>
      <t>keine Strommenge, sondern nur die Stromsteuerbefreiung als negativer Euro-Betrag</t>
    </r>
    <r>
      <rPr>
        <b/>
        <sz val="10"/>
        <rFont val="Arial"/>
        <family val="2"/>
      </rPr>
      <t xml:space="preserve"> gemeldet. Der Euro-Betrag errechnet sich aus der Einspeisevergütung oder Marktprämie mit Berücksichtigung von § 53c EEG 2017/2021/2023 abzüglich der Einspeisevergütung bzw. Marktprämie ohne Berücksichtigung von § 53c EEG 2017/2021/2023. Dabei ist die Reihenfolge der verschiedenen Vergütungskürzungen gemäß § 23 Abs. 3 EEG 2017/2021/2023  und die ggf. vorzunehmende Kappung auf 0 ct/kWh zu beachten.
Der negative Eurobetrag, der sich aus der Meldung in der vorliegenden Kategorie ergibt, fließt in die Summenberechnung der EEG-Förderung oder der Marktprämie ein. Für Rechnungsstellung und Testierung ist eine korrekte Zuordnung der Kürzung zur Einspeisevergütung bzw. Marktprämie erforderlich. Daher gibt es zwei verschiedene Kategorien für die Vermarktungsformen der Einspeisevergütung (§ 21 EEG 2017/2021/2023) und der Marktprämien-Direktvermarktung (§ 20 EEG 2017/2021/2023). Die Kürzung nach § 53c EEG 2017/2021/2023 ist dagegen nicht anzuwenden für die Sonstige Direktvermarktung (keine EEG-Förderung) und für Selbstverbrauch oder Verbrauch durch Dritte in unmittelbarer räumlicher Nähe (keine Netzdurchleitung). 
Diese Kürzung ist rückwirkend auch auf </t>
    </r>
    <r>
      <rPr>
        <b/>
        <u/>
        <sz val="10"/>
        <rFont val="Arial"/>
        <family val="2"/>
      </rPr>
      <t>Strommengen, die ab dem 01.01.2016 erzeugt</t>
    </r>
    <r>
      <rPr>
        <b/>
        <sz val="10"/>
        <rFont val="Arial"/>
        <family val="2"/>
      </rPr>
      <t xml:space="preserve"> worden sind, anzuwenden (§ 104 Abs. 5 EEG 2017).</t>
    </r>
  </si>
  <si>
    <t xml:space="preserve">Nur für Strommengen vor 01.01.2023: Im Fall sehr hoher Marktwerte könnte die formale Sanktionierung auf den Marktwert nach § 52 Abs. 2 EEG 2017/2021 die hypothetische Förderung ohne Sanktionierung übersteigen. In diesem Fall muss zwar die Sanktionskategorie gemeldet werden, aber die Einspeisevergütung auf die hypothetische Einspeisevergütung ohne Sanktionierung begrenzt werden. Um zu prüfen, ob ein solcher Fall vorliegt, ist neben der Sanktionierung auf den Marktwert auch die hypothetische Förderung ohne Sanktionierung zu berechnen. Ist letztere geringer, muss der Differenzbetrag als negativer Euro-Betrag ohne Angabe einer Strommenge mit den folgenden Kategorien gemeldet werden. 
</t>
  </si>
  <si>
    <t>Diese Kategorien sind auch im Fall der Überschreitung der förderfähigen Strommengen nach § 44b Abs. 1 EEG 2017/2021/2023 und § 101 Abs. 1 EEG 2017 (Höchstbemessungsleistung), § 33 Abs. 2 EEG 2012 n.F (Marktintegrationsmodell) sowie § 52 Abs. 2 Nr. 3 EEG 2017/2021 (Überschreitung Höchstförderdauer der EEG-Ausfallvergütung) anzuwenden.</t>
  </si>
  <si>
    <t>Sammelkategorie für Strom, der aus sonstigen Gründen zwar in den Belastungsausgleich oder im Fall der Direktvermarktung oder des nicht vergüteten Selbstverbrauchs in die Mengenmeldung einfließt, für den der Verteilnetzbetreiber dem Anlagenbetreiber jedoch keine EEG-Förderung (Einspeisevergütung, Marktprämie, Selbstverbrauchsvergütung) ausgezahlt hat.
Die folgenden Kategorien sind für solche Fälle vorgesehen, in denen der Anlagenbetreiber auf seinen monetären Anspruch auf EEG-Förderung verzichtet oder in denen eine Anlage keinen Anspruch auf eine Förderung nach dem EEG hat, weil die Anforderungen der §§ 23 bis 33 EEG 2009 oder 2012, §§ 40 bis 51 EEG 2014 sowie §§ 40 bis 48 EEG 2017/2021/2023 (zeitweilig) nicht erfüllt sind, z. B. bei Wasserkraftanlagen ein nicht vorhandener oder nicht durch vorgeschriebene Nachweise belegter ökologischer Zustand gemäß § 23 EEG 2012, § 40 EEG 2014 bzw. § 40 EEG 2017/2021/2023.
Soweit die betroffene Anlage Strom in der Sonstigen Direktvermarktung gemäß § 20 Abs. 1 Nr. 2 EEG 2014 oder § 21a EEG 2017/2021/2023 vermarktet, sind diese Strommengen nicht mit diesen Kategorien, sondern jenen der Sonstigen Direktvermarktung zu melden. Für den selbst oder durch Dritte in räumlicher Nähe nach § 20 Abs. 3 Nr. 2 EEG 2014 und § 21 Abs. 2 EEG 2017/2021/2023 verbrauchten Strom können alternativ die Selbstverbrauchskategorien ohne Vergütungsanspruch verwendet werden. Weiterhin sind diese Kategorien nur dann zu verwenden, wenn der Sanktionstatbestand nicht durch eine spezielle Sanktionskategorie abgedeckt wird.
In den bundesweiten Belastungsausgleich fließen die Marktprämienmodell vermarkteten Strommengen nicht ein. Daher sind diese Strommengen getrennt auszuweisen.
Diese Strommengen fließen mit Ausnahme des nicht vergüteten Selbstverbrauchs in die Berechnung der vNNE ein, die an den ÜNB zu zahlen sind, und reduzieren somit im bundesweiten Belastungsausgleich die EEG-Umlage.</t>
  </si>
  <si>
    <r>
      <t xml:space="preserve">Vergütungsansprüche für ein Leistungsjahr sind vom Anlagenbetreiber bis zum 28. Februar des Folgejahres dem Anschluss-Netzbetreiber zu melden. Dieser hat bis zum 31. Mai des Folgejahres dem ÜNB die Vergütungsansprüche zu melden und zu testieren. Vom Grundsatz bedürfen alle Änderungen der Strommengen und/oder Vergütungen nach dem 31. Mai einer Nachtragstestierung nach § 62 EEG 2014 /2017/2021 bzw. § 20 EnFG. In </t>
    </r>
    <r>
      <rPr>
        <b/>
        <u/>
        <sz val="10"/>
        <rFont val="Arial"/>
        <family val="2"/>
      </rPr>
      <t>sehr eng begrenzten</t>
    </r>
    <r>
      <rPr>
        <b/>
        <sz val="10"/>
        <rFont val="Arial"/>
        <family val="2"/>
      </rPr>
      <t xml:space="preserve"> Fällen ist die Nachtragstestierung nicht erforderlich, nämlich dann, wenn die Fälligkeit des Anspruches erst nach dem genannten Termin entstanden ist (vgl. Clearingstelle EEG Empfehlungsverfahren 2012/12 und Hinweisverfahren 2011/21). Die Fälligkeit entsteht, wenn das EEG die Vorlage eines Gutachten erfordert, erst bei Vorliegen des Gutachtens. In der Regel können Gutachten bis zu den genannten Terminen erstellt und damit die Vergütungsansprüche 'ordnungsgemäß' in die Jahresmeldung und Testierung aufgenommen werden. Eine Ausnahme ist bspw. das SDL-Gutachten für Prototypen-WEA, für die das Gesetz eine Frist von 2 Jahren ab Inbetriebnahme der Anlage einräumt.</t>
    </r>
  </si>
  <si>
    <r>
      <t xml:space="preserve">Die nachfolgenden Kategorien dienen dazu, in diesen Ausnahmefällen die Vergütung </t>
    </r>
    <r>
      <rPr>
        <b/>
        <u/>
        <sz val="10"/>
        <rFont val="Arial"/>
        <family val="2"/>
      </rPr>
      <t>abgeschlossener Jahre</t>
    </r>
    <r>
      <rPr>
        <b/>
        <sz val="10"/>
        <rFont val="Arial"/>
        <family val="2"/>
      </rPr>
      <t xml:space="preserve"> nachträglich (aperiodisch) in den Belastungsausgleich einbringen zu können. Sie dürfen nicht zur Umgehung einer erforderlichen Nachtragstestierung nach § 62 EEG 2014 /2017/2021 bzw. § 20 EnFG verwendet werden und stellen auch keinen Freibrief dar, Gutachten verspätet zu erstellen oder in den Belastungsausgleich einzubringen. Um die ordnungsgemäße Verwendung sicherstellen und nachprüfen zu können, sind vom VNB </t>
    </r>
    <r>
      <rPr>
        <b/>
        <u/>
        <sz val="10"/>
        <rFont val="Arial"/>
        <family val="2"/>
      </rPr>
      <t>in jedem Einzelfall</t>
    </r>
    <r>
      <rPr>
        <b/>
        <sz val="10"/>
        <rFont val="Arial"/>
        <family val="2"/>
      </rPr>
      <t xml:space="preserve"> der Verwendung einer dieser Kategorien dem ÜNB </t>
    </r>
    <r>
      <rPr>
        <b/>
        <u/>
        <sz val="10"/>
        <rFont val="Arial"/>
        <family val="2"/>
      </rPr>
      <t>unaufgefordert und zeitgleich ein schriftlicher Nachweis</t>
    </r>
    <r>
      <rPr>
        <b/>
        <sz val="10"/>
        <rFont val="Arial"/>
        <family val="2"/>
      </rPr>
      <t xml:space="preserve"> vorzulegen, weshalb diese Kategorie verwendet wird, warum keine Nachtragstestierung nach § 62 EEG 2014 /2017/2021 bzw. § 20 EnFG erforderlich ist und wie sich die nachträgliche Forderung konkret berechnet.</t>
    </r>
  </si>
  <si>
    <t xml:space="preserve">relevanter Paragraph aus dem EEG 2017/2021/2023: </t>
  </si>
  <si>
    <t>52 für Verringerung der Förderung bei Pflichtverstößen (neue Sanktionen des EEG 2017/2021/2023)</t>
  </si>
  <si>
    <t>53c für Stromsteuer</t>
  </si>
  <si>
    <t>Erläuterungen zur EEG-Vergütungskategorientabelle für das Leistungsjahr 2023</t>
  </si>
  <si>
    <t>Bei Pflichtverstößen müssen Anlagenbetreiber an den Netzbetreiber eine Zahlung leisten. Die zu leistende Zahlung variiert je nach Pflichtverstoß der Höhe nach und ist in Euro pro Kilowatt installierter Leistung der Anlage und Kalendermonat zu zahlen. Um die Strafzahlungen des Anlagenbetreibers an den Netzbetreiber zu melden, wurden je Pflichtverstoß die energieträgerspezifischen Kategorien XxK5211x----SZ eingeführt. Die Meldung erfolgt je Pflichtverstoß als positiver Eurobetrag ohne Berücksichtigung einer ggf. vorzunehmenden Begrenzung der Strafzahlung beim Vorliegen mehrerer Pflichtverstöße.  
Die vom Anlagenbetreiber an den Netzbetreiber zu leistenden Strafzahlungen sind beim Vorliegen mehrerer Pflichtverstöße auf insgesamt 10 Euro pro Kilowatt installierter Leistung der Anlage und Kalendermonat zu begrenzen. Wenn eine Pflicht erfüllt wird und ein Pflichtverstoß somit nicht mehr vorliegt, kann sich die zu leistende Strafzahlung je nach Tatbestand rückwirkend reduzieren. Um die Begrenzung bzw. Reduzierung der Strafzahlung abzubilden und zu melden, wurden die energieträgerspezifischen Kategorien XxK523-5----AB eingeführt. Die Meldung erfolgt ohne Differenzierung nach einzelnen Pflichtverstößen als negativer Eurobetrag.</t>
  </si>
  <si>
    <t>BiK82GK16y--08</t>
  </si>
  <si>
    <t>0-0,15 MW, Bonusregeln G, y und K erstmals 2016</t>
  </si>
  <si>
    <t>0,15-0,5 MW, Bonusregeln G, y und K erstmals 2016</t>
  </si>
  <si>
    <t>BiK81GK16y--08</t>
  </si>
  <si>
    <t xml:space="preserve">Ergänzung Vorbehaltshinweis zur beihilferechtlichen Genehmigung durch EU-KOM.
Ergänzung der Kategorien für das Inbetriebnahmejahr 2023 auf Stand EEG 2023
Anpassung Erläuterung Kategorie für erzeugten Strom für Solaranlagen &lt;300 kW bis 750 kW. (&gt; 80 %,  Inbetriebnahme bis 31.12.2022)
Ergänzung Ausgleichsbetrag für ansonsten negativen Mieterstromzuschlag
Anpassung Erläuterung zu den Kategorien der Sonstigen Direktvermarktung und zu den Sanktionskategorien
Diverse Anpassungen der Kategorienbeschreibungen auf das EEG 2023
Verschiebung alter Kategorien für Sanktionierung nach § 25 EEG 2014 bzw. 52 EEG 2017/2021 auf Tabellenblatt "Nicht mehr verwendbare Kateg."
Verschiebung der Kategorie Verringerung auf Monatsmarktwert nach § 100 Abs. 14 Satz 4 EEG 2021 auf Tabellenblatt "Nicht mehr verwendbare Kateg."
Verschiebung der Kategorien für ausgeförderte Anlagen (Inbetriebnahme 2002 außer Energieträger Wasser) auf Tabellenblatt "Kategorien Auslauf d. Förderung"
Verschiebung von Wasserkraftkategorien &gt; 5 MW, Zubau Inbetriebnahme 2007 wegen Auslaufen der Förderung auf Tabellenblatt "Kategorien Auslauf d. Förderung"
Anpassung Erläuterung zu § 44b EEG 2023
Ergänzung Tabellenblatt "Beispiel Sanktionen § 52 EEG 2023"
Geänderte Erläuterung in den Kategorien der Ausschreibungsverfahren
Ergänzung der Kategorien BiK81GK16y--08, BiK82GK16y--08
</t>
  </si>
  <si>
    <t>§ 52 Abs. 1 Nr. 4 EEG 2023: Anlagenbetreiber müssen eine Zahlung an Ihren zuständigen Netzbetreiber in Höhe vom 10 Euro pro Kilowatt installierter Leistung der Anlage und Kalendermonat nach § 52 Abs. 2 EEG 2023 zahlen, wenn gegen § 10b EEG verstoßen wird. Die zu leistende Zahlung verringert sich rückwirkend auf 2 Euro pro Kilowatt installierter Leistung der Anlage und Kalendermonat, sobald die Pflicht erfüllt ist. Die Verringerung des Pflichtverstoßes ist über die entsprechende Ausgleichsbetragskategorie  (XxK523-5----AB) zu melden.
Gemäß § 52 Abs. 1b EEG 2023 sind diese Kategorien nur für Anlagen über 500 kW installierter Leistung sowie für sämtliche Anlagen ab dem 01.01.2024 zu verwenden.</t>
  </si>
  <si>
    <t>§ 52 Abs. 1 Nr. 5 EEG 2023: Anlagenbetreiber müssen eine Zahlung an Ihren zuständigen Netzbetreiber in Höhe vom 10 Euro pro Kilowatt installierter Leistung der Anlage und Kalendermonat nach § 52 Abs. 2 EEG 2023 zahlen, wenn die Ausfallvergütung in Anspruch genommen wird und dabei eine der Höchstdauern nach § 21 Abs. 1 Nr. 2  EEG überschritten wird.
Gemäß § 52 Abs. 1b EEG 2023 sind diese Kategorien nur für Anlagen über 500 kW installierter Leistung sowie für sämtliche Anlagen ab dem 01.01.2024 zu verwenden.</t>
  </si>
  <si>
    <t>§ 52 Abs. 1 Nr. 11 EEG 2023: Anlagenbetreiber müssen eine Zahlung an Ihren zuständigen Netzbetreiber in Höhe vom 10 Euro pro Kilowatt installierter Leistung der Anlage und Kalendermonat nach § 52 Abs. 2 EEG 2023 zahlen, wenn die zur Registrierung der Anlage erforderlichen Angabe nicht nach Maßgabe der MaStRV an das Register übermittelt wurde und keine Meldung nach § 71 Abs. 1 Nr. 1 EEG erfolgt ist. Die Verringerung des Pflichtverstoßes ist über die entsprechende Ausgleichsbetragskategorie (XxK523-5----AB) zu melden. 
Es ist rechtlich ungeklärt, ob diese Sanktion auch im Fall einer nicht erfolgten Meldung einer Leistungserhöhung erfolgt.</t>
  </si>
  <si>
    <t>§ 52 Abs. 2 Satz 1 Nr. 3 EEG 2017/2021: Der anzulegende Wert verringert sich auf den Marktwert, solange Anlagenbetreiber, die die Ausfallvermarktung in Anspruch nehmen, eine der Höchstdauern nach § 21 Abs. 1 Nr. 2 erster Halbsatz EEG 2017/2021 überschreiten. Diese Kategorien sind unter Berücksichtigung der Übergangsbestimmungen nach § 100 Abs. 1 Nr. 1 EEG 2017 nur für Anlagen mit Inbetriebnahme ab dem 01.01.2017 anzuwenden.
Es ist derzeit noch rechtlich umstritten, ob die Kürzung des Marktwertes auch für den Fall der Überschreitung der Höchstdauer in der Ausfallvermarktung anzuwenden ist.
Die Sanktion ist für die Dauer des gesamten Kalendermonats, in dem ein solcher Verstoß erfolgt ist, anzuwenden.
Gemäß § 52 Abs. 1b EEG 2023 sind diese Kategorien nur für Anlagen bis 500 kW installierter Leistung und nur für Strommengen, die vor dem 01.01.2024 eingespeist worden sind, zu verwenden. Andernfalls sind die Kategorien der Sanktion gemäß § 52 Abs. 1 Nr. 5 EEG 2023 zu verwenden.</t>
  </si>
  <si>
    <t>§ 52 Abs. 1 Satz 1 Nr. 2a EEG 2021: Der anzulegende Wert verringert sich sich auf null, solange Anlagenbetreiber gegen § 10b (Vorgaben zur Direktvermarktung) verstoßen.
Die Kategorien sind nur für Strommengen vorgesehen, bei denen die Anlagen sich in der Veräußerungsform der Marktprämie befinden.
Gemäß § 52 Abs. 1b EEG 2023 sind diese Kategorien nur für Anlagen bis 500 kW installierter Leistung und nur für Strommengen, die vor dem 01.01.2024 eingespeist worden sind, zu verwenden. Andernfalls sind die Kategorien der Sanktion gemäß § 52 Abs. 1 Nr. 4 EEG 2023 zu verwenden.</t>
  </si>
  <si>
    <t>Strafzahlung 10 Euro pro Kilowatt installierter Leistung und Kalendermonat nach § 52 Abs. 1 Nr. 11 EEG (Unterlassene Registrierung)</t>
  </si>
  <si>
    <t>Anpassung Vorbehaltshinweis zur beihilferechtlichen Genehmigung durch EU-KOM
Anpassung an § 52 Abs. 1b EEG 2023: Reaktivierung der Sanktionskategorien XxK5212a-----0 und XxK52213----MW
Anpassung Beschreibung der Kategorien XxK5214-----SZ und XxK5215-----SZ
Anpassung Beschreibung der Kategorien XxK52111----SZ
Ergänzung Rundung für Kategorien SgK48a1-----23 und SgK48a2-----23</t>
  </si>
  <si>
    <r>
      <t xml:space="preserve">Die Bestimmungen des Teil 3 dürfen, soweit sie durch Artikel 2 der Gesetzesnovellierungen vom 20. Juli 2022 </t>
    </r>
    <r>
      <rPr>
        <i/>
        <sz val="11"/>
        <color theme="1"/>
        <rFont val="Calibri"/>
        <family val="2"/>
        <scheme val="minor"/>
      </rPr>
      <t xml:space="preserve">Sofortmaßnahmen für einen beschleunigten Ausbau der erneuerbaren Energien und weiteren Maßnahmen im Stromsektor </t>
    </r>
    <r>
      <rPr>
        <sz val="11"/>
        <color theme="1"/>
        <rFont val="Calibri"/>
        <family val="2"/>
        <scheme val="minor"/>
      </rPr>
      <t>(EEGAusbGuEnFG) geändert worden sind, erst nach der beihilferechtlichen Genehmigung durch die Europäische Kommission und nur nach Maßgabe dieser Genehmigung angewandt werden. Die EU-KOM hat am 22.12.2022 das EEG 2023 beihilferechtlich genehmigt.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</si>
</sst>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0\ &quot;€&quot;;\-#,##0\ &quot;€&quot;"/>
    <numFmt numFmtId="6" formatCode="#,##0\ &quot;€&quot;;[Red]\-#,##0\ &quot;€&quot;"/>
    <numFmt numFmtId="164" formatCode="_-* #,##0.00\ _€_-;\-* #,##0.00\ _€_-;_-* &quot;-&quot;??\ _€_-;_-@_-"/>
    <numFmt numFmtId="165" formatCode="#,##0_ ;\-#,##0\ "/>
    <numFmt numFmtId="166" formatCode="#,##0.00_ ;\-#,##0.00\ "/>
    <numFmt numFmtId="167" formatCode="0.0%"/>
    <numFmt numFmtId="168" formatCode=";;;"/>
    <numFmt numFmtId="169" formatCode="0_ ;\-0\ "/>
    <numFmt numFmtId="170" formatCode="0.0"/>
    <numFmt numFmtId="171" formatCode="0.0000"/>
    <numFmt numFmtId="172" formatCode="0.000000"/>
    <numFmt numFmtId="173" formatCode="_-* #,##0\ _€_-;\-* #,##0\ _€_-;_-* &quot;-&quot;??\ _€_-;_-@_-"/>
    <numFmt numFmtId="174" formatCode="#,##0.000"/>
    <numFmt numFmtId="175" formatCode="#,##0.0"/>
    <numFmt numFmtId="176" formatCode="#,##0.0000"/>
    <numFmt numFmtId="177" formatCode="[$-407]mmmyy;@"/>
    <numFmt numFmtId="178" formatCode="_-* #,##0_-;\-* #,##0_-;_-* &quot;-&quot;??_-;_-@_-"/>
    <numFmt numFmtId="179" formatCode="_-* #,##0.00\ [$€-407]_-;\-* #,##0.00\ [$€-407]_-;_-* &quot;-&quot;??\ [$€-407]_-;_-@_-"/>
    <numFmt numFmtId="180" formatCode="mmm"/>
    <numFmt numFmtId="181" formatCode="#,##0_ ;[Red]\-#,##0\ "/>
  </numFmts>
  <fonts count="132" x14ac:knownFonts="1">
    <font>
      <sz val="11"/>
      <color theme="1"/>
      <name val="Calibri"/>
      <family val="2"/>
      <scheme val="minor"/>
    </font>
    <font>
      <sz val="11"/>
      <color indexed="8"/>
      <name val="Calibri"/>
      <family val="2"/>
    </font>
    <font>
      <sz val="10"/>
      <name val="Arial"/>
      <family val="2"/>
    </font>
    <font>
      <b/>
      <sz val="10"/>
      <name val="Arial"/>
      <family val="2"/>
    </font>
    <font>
      <b/>
      <sz val="10"/>
      <name val="Arial"/>
      <family val="2"/>
    </font>
    <font>
      <sz val="10"/>
      <name val="Courier"/>
      <family val="3"/>
    </font>
    <font>
      <sz val="10"/>
      <name val="Arial"/>
      <family val="2"/>
    </font>
    <font>
      <b/>
      <sz val="11"/>
      <color indexed="8"/>
      <name val="Calibri"/>
      <family val="2"/>
    </font>
    <font>
      <b/>
      <sz val="20"/>
      <color indexed="8"/>
      <name val="Calibri"/>
      <family val="2"/>
    </font>
    <font>
      <b/>
      <u/>
      <sz val="11"/>
      <color indexed="8"/>
      <name val="Calibri"/>
      <family val="2"/>
    </font>
    <font>
      <sz val="11"/>
      <color indexed="8"/>
      <name val="Calibri"/>
      <family val="2"/>
    </font>
    <font>
      <sz val="8"/>
      <name val="Calibri"/>
      <family val="2"/>
    </font>
    <font>
      <u/>
      <sz val="11"/>
      <color indexed="12"/>
      <name val="Calibri"/>
      <family val="2"/>
    </font>
    <font>
      <sz val="10"/>
      <color indexed="8"/>
      <name val="Arial"/>
      <family val="2"/>
    </font>
    <font>
      <sz val="11"/>
      <name val="Calibri"/>
      <family val="2"/>
    </font>
    <font>
      <b/>
      <sz val="11"/>
      <name val="Calibri"/>
      <family val="2"/>
    </font>
    <font>
      <b/>
      <sz val="16"/>
      <color indexed="8"/>
      <name val="Calibri"/>
      <family val="2"/>
    </font>
    <font>
      <b/>
      <sz val="10.5"/>
      <name val="Arial"/>
      <family val="2"/>
    </font>
    <font>
      <sz val="10.5"/>
      <color indexed="8"/>
      <name val="Calibri"/>
      <family val="2"/>
    </font>
    <font>
      <sz val="8"/>
      <name val="Arial"/>
      <family val="2"/>
    </font>
    <font>
      <b/>
      <sz val="8"/>
      <name val="Arial"/>
      <family val="2"/>
    </font>
    <font>
      <b/>
      <sz val="8"/>
      <name val="Arial"/>
      <family val="2"/>
    </font>
    <font>
      <sz val="8"/>
      <color indexed="81"/>
      <name val="Tahoma"/>
      <family val="2"/>
    </font>
    <font>
      <b/>
      <sz val="8"/>
      <color indexed="81"/>
      <name val="Tahoma"/>
      <family val="2"/>
    </font>
    <font>
      <vertAlign val="superscript"/>
      <sz val="8"/>
      <name val="Arial"/>
      <family val="2"/>
    </font>
    <font>
      <b/>
      <sz val="12"/>
      <name val="Arial"/>
      <family val="2"/>
    </font>
    <font>
      <sz val="8"/>
      <color indexed="55"/>
      <name val="Arial"/>
      <family val="2"/>
    </font>
    <font>
      <sz val="8"/>
      <color indexed="55"/>
      <name val="Arial"/>
      <family val="2"/>
    </font>
    <font>
      <sz val="8"/>
      <name val="Arial"/>
      <family val="2"/>
    </font>
    <font>
      <u/>
      <sz val="8"/>
      <name val="Arial"/>
      <family val="2"/>
    </font>
    <font>
      <sz val="9"/>
      <name val="Arial"/>
      <family val="2"/>
    </font>
    <font>
      <b/>
      <u/>
      <sz val="8"/>
      <name val="Arial"/>
      <family val="2"/>
    </font>
    <font>
      <sz val="10.5"/>
      <name val="Calibri"/>
      <family val="2"/>
    </font>
    <font>
      <b/>
      <sz val="10.5"/>
      <name val="Calibri"/>
      <family val="2"/>
    </font>
    <font>
      <b/>
      <sz val="18"/>
      <color indexed="8"/>
      <name val="Calibri"/>
      <family val="2"/>
    </font>
    <font>
      <sz val="11"/>
      <color indexed="8"/>
      <name val="Arial"/>
      <family val="2"/>
    </font>
    <font>
      <b/>
      <sz val="11"/>
      <color indexed="8"/>
      <name val="Arial"/>
      <family val="2"/>
    </font>
    <font>
      <u/>
      <sz val="11"/>
      <color indexed="8"/>
      <name val="Arial"/>
      <family val="2"/>
    </font>
    <font>
      <b/>
      <sz val="14"/>
      <color indexed="8"/>
      <name val="Arial"/>
      <family val="2"/>
    </font>
    <font>
      <vertAlign val="subscript"/>
      <sz val="11"/>
      <color indexed="8"/>
      <name val="Arial"/>
      <family val="2"/>
    </font>
    <font>
      <b/>
      <vertAlign val="subscript"/>
      <sz val="11"/>
      <color indexed="8"/>
      <name val="Arial"/>
      <family val="2"/>
    </font>
    <font>
      <sz val="10"/>
      <color indexed="8"/>
      <name val="Calibri"/>
      <family val="2"/>
    </font>
    <font>
      <sz val="9"/>
      <color indexed="8"/>
      <name val="Arial"/>
      <family val="2"/>
    </font>
    <font>
      <sz val="8"/>
      <color indexed="8"/>
      <name val="Calibri"/>
      <family val="2"/>
    </font>
    <font>
      <b/>
      <sz val="8"/>
      <color indexed="8"/>
      <name val="Arial"/>
      <family val="2"/>
    </font>
    <font>
      <sz val="10"/>
      <name val="Calibri"/>
      <family val="2"/>
    </font>
    <font>
      <b/>
      <u/>
      <sz val="11"/>
      <color indexed="8"/>
      <name val="Arial"/>
      <family val="2"/>
    </font>
    <font>
      <b/>
      <u/>
      <sz val="14"/>
      <color indexed="8"/>
      <name val="Calibri"/>
      <family val="2"/>
    </font>
    <font>
      <sz val="9"/>
      <color indexed="81"/>
      <name val="Tahoma"/>
      <family val="2"/>
    </font>
    <font>
      <b/>
      <sz val="9"/>
      <color indexed="81"/>
      <name val="Tahoma"/>
      <family val="2"/>
    </font>
    <font>
      <sz val="8"/>
      <color indexed="8"/>
      <name val="Arial"/>
      <family val="2"/>
    </font>
    <font>
      <sz val="11"/>
      <name val="Courier New"/>
      <family val="3"/>
    </font>
    <font>
      <b/>
      <sz val="11"/>
      <name val="Arial"/>
      <family val="2"/>
    </font>
    <font>
      <sz val="10"/>
      <color indexed="8"/>
      <name val="Courier New"/>
      <family val="3"/>
    </font>
    <font>
      <sz val="11"/>
      <color indexed="8"/>
      <name val="Courier New"/>
      <family val="3"/>
    </font>
    <font>
      <sz val="8"/>
      <color indexed="8"/>
      <name val="Arial"/>
      <family val="2"/>
    </font>
    <font>
      <sz val="11"/>
      <color indexed="8"/>
      <name val="Arial"/>
      <family val="2"/>
    </font>
    <font>
      <sz val="10"/>
      <color indexed="8"/>
      <name val="Arial"/>
      <family val="2"/>
    </font>
    <font>
      <b/>
      <sz val="10"/>
      <color indexed="8"/>
      <name val="Arial"/>
      <family val="2"/>
    </font>
    <font>
      <b/>
      <u/>
      <sz val="10"/>
      <name val="Arial"/>
      <family val="2"/>
    </font>
    <font>
      <b/>
      <sz val="10"/>
      <color indexed="81"/>
      <name val="Tahoma"/>
      <family val="2"/>
    </font>
    <font>
      <sz val="10"/>
      <color indexed="81"/>
      <name val="Tahoma"/>
      <family val="2"/>
    </font>
    <font>
      <b/>
      <vertAlign val="subscript"/>
      <sz val="10"/>
      <color indexed="8"/>
      <name val="Arial"/>
      <family val="2"/>
    </font>
    <font>
      <b/>
      <sz val="12"/>
      <color indexed="8"/>
      <name val="Calibri"/>
      <family val="2"/>
    </font>
    <font>
      <sz val="11"/>
      <color indexed="8"/>
      <name val="Calibri"/>
      <family val="2"/>
    </font>
    <font>
      <b/>
      <sz val="11"/>
      <color indexed="8"/>
      <name val="Calibri"/>
      <family val="2"/>
    </font>
    <font>
      <sz val="11"/>
      <color indexed="8"/>
      <name val="Courier New"/>
      <family val="3"/>
    </font>
    <font>
      <sz val="11"/>
      <color indexed="8"/>
      <name val="Arial"/>
      <family val="2"/>
    </font>
    <font>
      <sz val="11"/>
      <name val="Calibri"/>
      <family val="2"/>
    </font>
    <font>
      <sz val="8"/>
      <color indexed="8"/>
      <name val="Arial"/>
      <family val="2"/>
    </font>
    <font>
      <b/>
      <sz val="10"/>
      <color indexed="8"/>
      <name val="Arial"/>
      <family val="2"/>
    </font>
    <font>
      <b/>
      <u/>
      <sz val="12"/>
      <color indexed="8"/>
      <name val="Calibri"/>
      <family val="2"/>
    </font>
    <font>
      <sz val="11"/>
      <name val="Arial"/>
      <family val="2"/>
    </font>
    <font>
      <b/>
      <sz val="10"/>
      <name val="Courier"/>
      <family val="3"/>
    </font>
    <font>
      <b/>
      <u/>
      <sz val="9"/>
      <color indexed="81"/>
      <name val="Tahoma"/>
      <family val="2"/>
    </font>
    <font>
      <b/>
      <sz val="11"/>
      <color indexed="8"/>
      <name val="Calibri"/>
      <family val="2"/>
    </font>
    <font>
      <b/>
      <sz val="20"/>
      <color indexed="8"/>
      <name val="Calibri"/>
      <family val="2"/>
    </font>
    <font>
      <b/>
      <sz val="14"/>
      <color indexed="8"/>
      <name val="Calibri"/>
      <family val="2"/>
    </font>
    <font>
      <b/>
      <sz val="18"/>
      <color indexed="8"/>
      <name val="Arial"/>
      <family val="2"/>
    </font>
    <font>
      <b/>
      <sz val="11"/>
      <name val="Courier New"/>
      <family val="3"/>
    </font>
    <font>
      <b/>
      <sz val="11"/>
      <color indexed="81"/>
      <name val="Tahoma"/>
      <family val="2"/>
    </font>
    <font>
      <sz val="11"/>
      <color indexed="81"/>
      <name val="Tahoma"/>
      <family val="2"/>
    </font>
    <font>
      <b/>
      <sz val="9"/>
      <color indexed="81"/>
      <name val="Segoe UI"/>
      <family val="2"/>
    </font>
    <font>
      <sz val="11"/>
      <color indexed="10"/>
      <name val="Calibri"/>
      <family val="2"/>
    </font>
    <font>
      <b/>
      <u/>
      <sz val="9"/>
      <color indexed="81"/>
      <name val="Segoe UI"/>
      <family val="2"/>
    </font>
    <font>
      <sz val="9"/>
      <color indexed="81"/>
      <name val="Segoe UI"/>
      <family val="2"/>
    </font>
    <font>
      <sz val="14"/>
      <color indexed="8"/>
      <name val="Calibri"/>
      <family val="2"/>
    </font>
    <font>
      <b/>
      <sz val="18"/>
      <name val="Calibri"/>
      <family val="2"/>
    </font>
    <font>
      <b/>
      <sz val="10"/>
      <color indexed="10"/>
      <name val="Arial"/>
      <family val="2"/>
    </font>
    <font>
      <b/>
      <u/>
      <sz val="10"/>
      <color indexed="8"/>
      <name val="Arial"/>
      <family val="2"/>
    </font>
    <font>
      <b/>
      <sz val="12"/>
      <color indexed="8"/>
      <name val="Arial"/>
      <family val="2"/>
    </font>
    <font>
      <sz val="11"/>
      <color indexed="10"/>
      <name val="Arial"/>
      <family val="2"/>
    </font>
    <font>
      <b/>
      <sz val="20"/>
      <name val="Calibri"/>
      <family val="2"/>
    </font>
    <font>
      <i/>
      <sz val="10"/>
      <color indexed="8"/>
      <name val="Arial"/>
      <family val="2"/>
    </font>
    <font>
      <sz val="11"/>
      <color theme="1"/>
      <name val="Calibri"/>
      <family val="2"/>
      <scheme val="minor"/>
    </font>
    <font>
      <sz val="11"/>
      <color theme="0"/>
      <name val="Calibri"/>
      <family val="2"/>
      <scheme val="minor"/>
    </font>
    <font>
      <b/>
      <sz val="11"/>
      <color theme="1"/>
      <name val="Calibri"/>
      <family val="2"/>
      <scheme val="minor"/>
    </font>
    <font>
      <sz val="11"/>
      <color rgb="FFFF0000"/>
      <name val="Calibri"/>
      <family val="2"/>
      <scheme val="minor"/>
    </font>
    <font>
      <sz val="10"/>
      <color theme="1"/>
      <name val="Calibri"/>
      <family val="2"/>
      <scheme val="minor"/>
    </font>
    <font>
      <sz val="11"/>
      <color theme="1"/>
      <name val="Arial"/>
      <family val="2"/>
    </font>
    <font>
      <sz val="11"/>
      <name val="Calibri"/>
      <family val="2"/>
      <scheme val="minor"/>
    </font>
    <font>
      <sz val="8"/>
      <color theme="1"/>
      <name val="Arial"/>
      <family val="2"/>
    </font>
    <font>
      <sz val="10"/>
      <color rgb="FFEEECE1"/>
      <name val="Arial"/>
      <family val="2"/>
    </font>
    <font>
      <sz val="14"/>
      <color theme="1"/>
      <name val="Calibri"/>
      <family val="2"/>
      <scheme val="minor"/>
    </font>
    <font>
      <b/>
      <sz val="10"/>
      <color theme="1"/>
      <name val="Arial"/>
      <family val="2"/>
    </font>
    <font>
      <sz val="11"/>
      <color rgb="FF00B050"/>
      <name val="Calibri"/>
      <family val="2"/>
      <scheme val="minor"/>
    </font>
    <font>
      <b/>
      <sz val="11"/>
      <color rgb="FFFF0000"/>
      <name val="Calibri"/>
      <family val="2"/>
      <scheme val="minor"/>
    </font>
    <font>
      <sz val="11"/>
      <color theme="1"/>
      <name val="Courier New"/>
      <family val="3"/>
    </font>
    <font>
      <sz val="11"/>
      <color rgb="FFFF0000"/>
      <name val="Courier New"/>
      <family val="3"/>
    </font>
    <font>
      <i/>
      <sz val="11"/>
      <color theme="0" tint="-0.499984740745262"/>
      <name val="Calibri"/>
      <family val="2"/>
      <scheme val="minor"/>
    </font>
    <font>
      <b/>
      <sz val="12"/>
      <color theme="1"/>
      <name val="Calibri"/>
      <family val="2"/>
      <scheme val="minor"/>
    </font>
    <font>
      <i/>
      <sz val="10"/>
      <color theme="0" tint="-0.34998626667073579"/>
      <name val="Calibri"/>
      <family val="2"/>
      <scheme val="minor"/>
    </font>
    <font>
      <sz val="11"/>
      <color theme="0"/>
      <name val="Courier New"/>
      <family val="3"/>
    </font>
    <font>
      <b/>
      <sz val="11"/>
      <color rgb="FFFF0000"/>
      <name val="Arial"/>
      <family val="2"/>
    </font>
    <font>
      <sz val="11"/>
      <color rgb="FF0070C0"/>
      <name val="Calibri"/>
      <family val="2"/>
      <scheme val="minor"/>
    </font>
    <font>
      <sz val="11"/>
      <color rgb="FF00B050"/>
      <name val="Courier New"/>
      <family val="3"/>
    </font>
    <font>
      <b/>
      <sz val="10"/>
      <name val="Calibri"/>
      <family val="2"/>
      <scheme val="minor"/>
    </font>
    <font>
      <sz val="10"/>
      <color rgb="FFFF0000"/>
      <name val="Arial"/>
      <family val="2"/>
    </font>
    <font>
      <b/>
      <sz val="18"/>
      <color rgb="FF000000"/>
      <name val="Calibri"/>
      <family val="2"/>
    </font>
    <font>
      <sz val="11"/>
      <color theme="1"/>
      <name val="Calibri"/>
      <family val="2"/>
    </font>
    <font>
      <b/>
      <sz val="10"/>
      <color rgb="FF000000"/>
      <name val="Arial"/>
      <family val="2"/>
    </font>
    <font>
      <sz val="24"/>
      <color rgb="FF666666"/>
      <name val="Arial"/>
      <family val="2"/>
    </font>
    <font>
      <sz val="10"/>
      <color theme="1"/>
      <name val="Arial"/>
      <family val="2"/>
    </font>
    <font>
      <b/>
      <sz val="10"/>
      <color rgb="FFFF0000"/>
      <name val="Arial"/>
      <family val="2"/>
    </font>
    <font>
      <sz val="10"/>
      <color rgb="FF0070C0"/>
      <name val="Arial"/>
      <family val="2"/>
    </font>
    <font>
      <b/>
      <sz val="16"/>
      <color theme="1"/>
      <name val="Calibri"/>
      <family val="2"/>
      <scheme val="minor"/>
    </font>
    <font>
      <sz val="11"/>
      <color rgb="FFFF0000"/>
      <name val="Arial"/>
      <family val="2"/>
    </font>
    <font>
      <sz val="11"/>
      <color rgb="FF002060"/>
      <name val="Arial"/>
      <family val="2"/>
    </font>
    <font>
      <i/>
      <sz val="11"/>
      <color theme="1"/>
      <name val="Calibri"/>
      <family val="2"/>
      <scheme val="minor"/>
    </font>
    <font>
      <b/>
      <sz val="10"/>
      <color indexed="8"/>
      <name val="Calibri"/>
      <family val="2"/>
    </font>
    <font>
      <sz val="9"/>
      <color indexed="81"/>
      <name val="Segoe UI"/>
      <charset val="1"/>
    </font>
    <font>
      <u/>
      <sz val="9"/>
      <color indexed="81"/>
      <name val="Segoe UI"/>
      <family val="2"/>
    </font>
  </fonts>
  <fills count="28">
    <fill>
      <patternFill patternType="none"/>
    </fill>
    <fill>
      <patternFill patternType="gray125"/>
    </fill>
    <fill>
      <patternFill patternType="solid">
        <fgColor indexed="13"/>
        <bgColor indexed="64"/>
      </patternFill>
    </fill>
    <fill>
      <patternFill patternType="solid">
        <fgColor indexed="11"/>
        <bgColor indexed="64"/>
      </patternFill>
    </fill>
    <fill>
      <patternFill patternType="solid">
        <fgColor indexed="22"/>
        <bgColor indexed="64"/>
      </patternFill>
    </fill>
    <fill>
      <patternFill patternType="solid">
        <fgColor indexed="9"/>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51"/>
        <bgColor indexed="64"/>
      </patternFill>
    </fill>
    <fill>
      <patternFill patternType="solid">
        <fgColor indexed="52"/>
        <bgColor indexed="64"/>
      </patternFill>
    </fill>
    <fill>
      <patternFill patternType="solid">
        <fgColor indexed="46"/>
        <bgColor indexed="64"/>
      </patternFill>
    </fill>
    <fill>
      <patternFill patternType="darkHorizontal">
        <fgColor indexed="53"/>
        <bgColor indexed="29"/>
      </patternFill>
    </fill>
    <fill>
      <patternFill patternType="solid">
        <fgColor indexed="40"/>
        <bgColor indexed="64"/>
      </patternFill>
    </fill>
    <fill>
      <patternFill patternType="solid">
        <fgColor indexed="42"/>
        <bgColor indexed="64"/>
      </patternFill>
    </fill>
    <fill>
      <patternFill patternType="solid">
        <fgColor indexed="44"/>
        <bgColor indexed="53"/>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00CCFF"/>
        <bgColor indexed="64"/>
      </patternFill>
    </fill>
    <fill>
      <patternFill patternType="solid">
        <fgColor theme="0"/>
        <bgColor indexed="64"/>
      </patternFill>
    </fill>
    <fill>
      <patternFill patternType="solid">
        <fgColor theme="0" tint="-0.14990691854609822"/>
        <bgColor indexed="64"/>
      </patternFill>
    </fill>
    <fill>
      <patternFill patternType="solid">
        <fgColor rgb="FFFFC000"/>
        <bgColor indexed="64"/>
      </patternFill>
    </fill>
    <fill>
      <patternFill patternType="solid">
        <fgColor theme="6"/>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0C0C0"/>
        <bgColor indexed="64"/>
      </patternFill>
    </fill>
    <fill>
      <patternFill patternType="solid">
        <fgColor theme="0" tint="-0.14999847407452621"/>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style="thin">
        <color indexed="9"/>
      </right>
      <top/>
      <bottom/>
      <diagonal/>
    </border>
    <border>
      <left style="thin">
        <color indexed="9"/>
      </left>
      <right style="thin">
        <color indexed="9"/>
      </right>
      <top style="thin">
        <color indexed="9"/>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medium">
        <color indexed="64"/>
      </left>
      <right/>
      <top style="medium">
        <color indexed="64"/>
      </top>
      <bottom/>
      <diagonal/>
    </border>
    <border>
      <left style="medium">
        <color indexed="64"/>
      </left>
      <right/>
      <top/>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indexed="9"/>
      </left>
      <right style="thin">
        <color indexed="9"/>
      </right>
      <top style="hair">
        <color theme="0"/>
      </top>
      <bottom style="thin">
        <color indexed="9"/>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style="thin">
        <color theme="0"/>
      </right>
      <top style="thin">
        <color indexed="64"/>
      </top>
      <bottom/>
      <diagonal/>
    </border>
    <border>
      <left/>
      <right style="thin">
        <color indexed="9"/>
      </right>
      <top style="thin">
        <color theme="0"/>
      </top>
      <bottom style="thin">
        <color indexed="9"/>
      </bottom>
      <diagonal/>
    </border>
    <border>
      <left style="medium">
        <color theme="1"/>
      </left>
      <right style="thin">
        <color indexed="64"/>
      </right>
      <top style="medium">
        <color theme="1"/>
      </top>
      <bottom style="medium">
        <color theme="1"/>
      </bottom>
      <diagonal/>
    </border>
    <border>
      <left style="thin">
        <color indexed="64"/>
      </left>
      <right style="thin">
        <color indexed="64"/>
      </right>
      <top style="medium">
        <color theme="1"/>
      </top>
      <bottom style="medium">
        <color theme="1"/>
      </bottom>
      <diagonal/>
    </border>
    <border>
      <left style="thin">
        <color indexed="64"/>
      </left>
      <right style="medium">
        <color theme="1"/>
      </right>
      <top style="medium">
        <color theme="1"/>
      </top>
      <bottom style="medium">
        <color theme="1"/>
      </bottom>
      <diagonal/>
    </border>
    <border>
      <left style="thin">
        <color theme="0"/>
      </left>
      <right/>
      <top/>
      <bottom/>
      <diagonal/>
    </border>
    <border>
      <left/>
      <right style="thin">
        <color theme="0"/>
      </right>
      <top/>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thin">
        <color theme="1"/>
      </left>
      <right style="thin">
        <color theme="1"/>
      </right>
      <top style="thin">
        <color theme="1"/>
      </top>
      <bottom style="thin">
        <color theme="1"/>
      </bottom>
      <diagonal/>
    </border>
    <border>
      <left style="thin">
        <color indexed="64"/>
      </left>
      <right/>
      <top style="medium">
        <color theme="1"/>
      </top>
      <bottom style="medium">
        <color theme="1"/>
      </bottom>
      <diagonal/>
    </border>
    <border>
      <left/>
      <right style="thin">
        <color indexed="64"/>
      </right>
      <top style="medium">
        <color theme="1"/>
      </top>
      <bottom style="medium">
        <color theme="1"/>
      </bottom>
      <diagonal/>
    </border>
    <border>
      <left style="thin">
        <color indexed="9"/>
      </left>
      <right/>
      <top style="thin">
        <color theme="0"/>
      </top>
      <bottom style="thin">
        <color indexed="9"/>
      </bottom>
      <diagonal/>
    </border>
    <border>
      <left/>
      <right/>
      <top style="thin">
        <color theme="0"/>
      </top>
      <bottom style="thin">
        <color indexed="9"/>
      </bottom>
      <diagonal/>
    </border>
    <border>
      <left/>
      <right/>
      <top style="thin">
        <color theme="0"/>
      </top>
      <bottom style="thin">
        <color theme="0"/>
      </bottom>
      <diagonal/>
    </border>
    <border>
      <left/>
      <right style="thin">
        <color indexed="64"/>
      </right>
      <top style="medium">
        <color indexed="64"/>
      </top>
      <bottom style="medium">
        <color indexed="64"/>
      </bottom>
      <diagonal/>
    </border>
  </borders>
  <cellStyleXfs count="14">
    <xf numFmtId="0" fontId="0" fillId="0" borderId="0"/>
    <xf numFmtId="164" fontId="1"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0" fontId="6" fillId="0" borderId="0"/>
    <xf numFmtId="0" fontId="2" fillId="0" borderId="0"/>
    <xf numFmtId="0" fontId="2" fillId="0" borderId="0"/>
    <xf numFmtId="0" fontId="2" fillId="0" borderId="0" applyFont="0" applyFill="0" applyBorder="0" applyAlignment="0" applyProtection="0"/>
  </cellStyleXfs>
  <cellXfs count="1261">
    <xf numFmtId="0" fontId="0" fillId="0" borderId="0" xfId="0"/>
    <xf numFmtId="0" fontId="2" fillId="0" borderId="1" xfId="9" applyBorder="1"/>
    <xf numFmtId="0" fontId="2" fillId="0" borderId="1" xfId="9" applyFill="1" applyBorder="1"/>
    <xf numFmtId="0" fontId="5" fillId="0" borderId="2" xfId="9" applyFont="1" applyBorder="1"/>
    <xf numFmtId="0" fontId="5" fillId="0" borderId="2" xfId="9" applyFont="1" applyFill="1" applyBorder="1"/>
    <xf numFmtId="0" fontId="0" fillId="0" borderId="3" xfId="0" applyBorder="1" applyAlignment="1">
      <alignment horizontal="left" vertical="top"/>
    </xf>
    <xf numFmtId="0" fontId="5" fillId="0" borderId="3" xfId="0" applyFont="1" applyBorder="1" applyAlignment="1">
      <alignment horizontal="left" vertical="top"/>
    </xf>
    <xf numFmtId="2" fontId="0" fillId="0" borderId="3" xfId="0" applyNumberFormat="1" applyBorder="1" applyAlignment="1">
      <alignment horizontal="left" vertical="top"/>
    </xf>
    <xf numFmtId="0" fontId="0" fillId="0" borderId="4" xfId="0" applyBorder="1" applyAlignment="1">
      <alignment horizontal="left" vertical="top"/>
    </xf>
    <xf numFmtId="0" fontId="5" fillId="0" borderId="4" xfId="0" applyFont="1" applyBorder="1" applyAlignment="1">
      <alignment horizontal="left" vertical="top"/>
    </xf>
    <xf numFmtId="2" fontId="0" fillId="0" borderId="4" xfId="0" applyNumberFormat="1" applyBorder="1" applyAlignment="1">
      <alignment horizontal="left" vertical="top"/>
    </xf>
    <xf numFmtId="0" fontId="2" fillId="0" borderId="0" xfId="9" applyBorder="1"/>
    <xf numFmtId="0" fontId="0" fillId="0" borderId="0" xfId="0" applyFill="1"/>
    <xf numFmtId="4" fontId="2" fillId="0" borderId="1" xfId="9" applyNumberFormat="1" applyBorder="1"/>
    <xf numFmtId="4" fontId="2" fillId="0" borderId="1" xfId="9" applyNumberFormat="1" applyFill="1" applyBorder="1"/>
    <xf numFmtId="4" fontId="0" fillId="0" borderId="0" xfId="0" applyNumberFormat="1"/>
    <xf numFmtId="0" fontId="5" fillId="0" borderId="0" xfId="9" applyFont="1" applyFill="1" applyBorder="1"/>
    <xf numFmtId="0" fontId="2" fillId="2" borderId="1" xfId="9" applyFill="1" applyBorder="1"/>
    <xf numFmtId="4" fontId="2" fillId="2" borderId="1" xfId="9" applyNumberFormat="1" applyFill="1" applyBorder="1"/>
    <xf numFmtId="0" fontId="8" fillId="0" borderId="0" xfId="0" applyFont="1"/>
    <xf numFmtId="0" fontId="3" fillId="0" borderId="0" xfId="0" applyFont="1" applyBorder="1" applyAlignment="1">
      <alignment horizontal="left" vertical="top" wrapText="1"/>
    </xf>
    <xf numFmtId="0" fontId="6" fillId="2" borderId="1" xfId="9" applyFont="1" applyFill="1" applyBorder="1"/>
    <xf numFmtId="0" fontId="6" fillId="0" borderId="1" xfId="9" applyFont="1" applyFill="1" applyBorder="1"/>
    <xf numFmtId="4" fontId="0" fillId="0" borderId="0" xfId="0" applyNumberFormat="1" applyFill="1"/>
    <xf numFmtId="0" fontId="9" fillId="2" borderId="1" xfId="0" applyFont="1" applyFill="1" applyBorder="1" applyAlignment="1">
      <alignment wrapText="1"/>
    </xf>
    <xf numFmtId="0" fontId="7" fillId="2" borderId="1" xfId="0" applyFont="1" applyFill="1" applyBorder="1" applyAlignment="1">
      <alignment wrapText="1"/>
    </xf>
    <xf numFmtId="0" fontId="0" fillId="2" borderId="1" xfId="0" applyFill="1" applyBorder="1" applyAlignment="1">
      <alignment wrapText="1"/>
    </xf>
    <xf numFmtId="0" fontId="0" fillId="0" borderId="0" xfId="0" applyFill="1" applyBorder="1"/>
    <xf numFmtId="0" fontId="2" fillId="0" borderId="0" xfId="9" applyFill="1" applyBorder="1"/>
    <xf numFmtId="4" fontId="2" fillId="0" borderId="0" xfId="9" applyNumberFormat="1" applyFill="1" applyBorder="1"/>
    <xf numFmtId="0" fontId="2" fillId="2" borderId="1" xfId="9" applyFont="1" applyFill="1" applyBorder="1"/>
    <xf numFmtId="0" fontId="2" fillId="3" borderId="1" xfId="9" applyFill="1" applyBorder="1"/>
    <xf numFmtId="0" fontId="6" fillId="3" borderId="1" xfId="9" applyFont="1" applyFill="1" applyBorder="1"/>
    <xf numFmtId="0" fontId="2" fillId="3" borderId="1" xfId="9" applyFont="1" applyFill="1" applyBorder="1"/>
    <xf numFmtId="0" fontId="2" fillId="0" borderId="1" xfId="9" applyFont="1" applyFill="1" applyBorder="1"/>
    <xf numFmtId="4" fontId="2" fillId="0" borderId="0" xfId="9" applyNumberFormat="1" applyFont="1" applyFill="1" applyBorder="1"/>
    <xf numFmtId="0" fontId="2" fillId="0" borderId="1" xfId="9" applyFont="1" applyBorder="1"/>
    <xf numFmtId="0" fontId="14" fillId="0" borderId="0" xfId="0" applyFont="1"/>
    <xf numFmtId="0" fontId="16" fillId="0" borderId="0" xfId="0" applyFont="1"/>
    <xf numFmtId="4" fontId="3" fillId="0" borderId="0" xfId="9" applyNumberFormat="1" applyFont="1" applyFill="1" applyBorder="1"/>
    <xf numFmtId="4" fontId="19" fillId="0" borderId="5" xfId="9" applyNumberFormat="1" applyFont="1" applyFill="1" applyBorder="1"/>
    <xf numFmtId="4" fontId="19" fillId="0" borderId="0" xfId="9" applyNumberFormat="1" applyFont="1" applyFill="1" applyBorder="1"/>
    <xf numFmtId="4" fontId="19" fillId="0" borderId="0" xfId="9" applyNumberFormat="1" applyFont="1" applyFill="1" applyBorder="1" applyAlignment="1">
      <alignment wrapText="1"/>
    </xf>
    <xf numFmtId="4" fontId="2" fillId="0" borderId="6" xfId="9" applyNumberFormat="1" applyFont="1" applyFill="1" applyBorder="1"/>
    <xf numFmtId="4" fontId="19" fillId="0" borderId="6" xfId="9" applyNumberFormat="1" applyFont="1" applyFill="1" applyBorder="1" applyAlignment="1">
      <alignment wrapText="1"/>
    </xf>
    <xf numFmtId="4" fontId="19" fillId="0" borderId="7" xfId="9" applyNumberFormat="1" applyFont="1" applyFill="1" applyBorder="1"/>
    <xf numFmtId="0" fontId="0" fillId="0" borderId="0" xfId="0" applyAlignment="1">
      <alignment wrapText="1"/>
    </xf>
    <xf numFmtId="0" fontId="0" fillId="0" borderId="5" xfId="0" applyBorder="1"/>
    <xf numFmtId="4" fontId="20" fillId="0" borderId="0" xfId="9" applyNumberFormat="1" applyFont="1" applyFill="1" applyBorder="1" applyAlignment="1">
      <alignment wrapText="1"/>
    </xf>
    <xf numFmtId="4" fontId="21" fillId="0" borderId="0" xfId="9" applyNumberFormat="1" applyFont="1" applyFill="1" applyBorder="1"/>
    <xf numFmtId="0" fontId="0" fillId="0" borderId="8" xfId="0" applyBorder="1"/>
    <xf numFmtId="4" fontId="19" fillId="0" borderId="8" xfId="9" applyNumberFormat="1" applyFont="1" applyFill="1" applyBorder="1" applyAlignment="1">
      <alignment wrapText="1"/>
    </xf>
    <xf numFmtId="4" fontId="19" fillId="0" borderId="9" xfId="9" applyNumberFormat="1" applyFont="1" applyFill="1" applyBorder="1"/>
    <xf numFmtId="0" fontId="0" fillId="0" borderId="8" xfId="0" applyFill="1" applyBorder="1"/>
    <xf numFmtId="4" fontId="0" fillId="0" borderId="6" xfId="0" applyNumberFormat="1" applyBorder="1"/>
    <xf numFmtId="0" fontId="0" fillId="0" borderId="10" xfId="0" applyBorder="1"/>
    <xf numFmtId="4" fontId="19" fillId="0" borderId="10" xfId="9" applyNumberFormat="1" applyFont="1" applyFill="1" applyBorder="1" applyAlignment="1">
      <alignment wrapText="1"/>
    </xf>
    <xf numFmtId="4" fontId="19" fillId="0" borderId="11" xfId="9" applyNumberFormat="1" applyFont="1" applyFill="1" applyBorder="1"/>
    <xf numFmtId="0" fontId="0" fillId="0" borderId="10" xfId="0" applyFill="1" applyBorder="1"/>
    <xf numFmtId="4" fontId="21" fillId="0" borderId="5" xfId="9" applyNumberFormat="1" applyFont="1" applyFill="1" applyBorder="1"/>
    <xf numFmtId="4" fontId="2" fillId="0" borderId="12" xfId="9" applyNumberFormat="1" applyFill="1" applyBorder="1"/>
    <xf numFmtId="4" fontId="2" fillId="0" borderId="6" xfId="9" applyNumberFormat="1" applyFill="1" applyBorder="1"/>
    <xf numFmtId="0" fontId="0" fillId="0" borderId="13" xfId="0" applyBorder="1"/>
    <xf numFmtId="4" fontId="19" fillId="4" borderId="0" xfId="9" applyNumberFormat="1" applyFont="1" applyFill="1" applyBorder="1" applyAlignment="1">
      <alignment wrapText="1"/>
    </xf>
    <xf numFmtId="4" fontId="19" fillId="4" borderId="5" xfId="9" applyNumberFormat="1" applyFont="1" applyFill="1" applyBorder="1"/>
    <xf numFmtId="0" fontId="0" fillId="4" borderId="0" xfId="0" applyFill="1"/>
    <xf numFmtId="0" fontId="0" fillId="4" borderId="13" xfId="0" applyFill="1" applyBorder="1"/>
    <xf numFmtId="0" fontId="0" fillId="4" borderId="8" xfId="0" applyFill="1" applyBorder="1"/>
    <xf numFmtId="4" fontId="25" fillId="0" borderId="0" xfId="9" applyNumberFormat="1" applyFont="1" applyFill="1" applyBorder="1"/>
    <xf numFmtId="0" fontId="0" fillId="0" borderId="14" xfId="0" applyBorder="1"/>
    <xf numFmtId="4" fontId="26" fillId="0" borderId="0" xfId="9" applyNumberFormat="1" applyFont="1" applyFill="1" applyBorder="1"/>
    <xf numFmtId="0" fontId="27" fillId="0" borderId="0" xfId="0" applyFont="1"/>
    <xf numFmtId="0" fontId="13" fillId="0" borderId="0" xfId="0" applyFont="1"/>
    <xf numFmtId="0" fontId="27" fillId="0" borderId="5" xfId="0" applyFont="1" applyBorder="1"/>
    <xf numFmtId="4" fontId="0" fillId="4" borderId="0" xfId="0" applyNumberFormat="1" applyFill="1"/>
    <xf numFmtId="0" fontId="0" fillId="4" borderId="10" xfId="0" applyFill="1" applyBorder="1"/>
    <xf numFmtId="0" fontId="0" fillId="4" borderId="11" xfId="0" applyFill="1" applyBorder="1"/>
    <xf numFmtId="0" fontId="0" fillId="4" borderId="5" xfId="0" applyFill="1" applyBorder="1"/>
    <xf numFmtId="0" fontId="0" fillId="4" borderId="9" xfId="0" applyFill="1" applyBorder="1"/>
    <xf numFmtId="4" fontId="29" fillId="0" borderId="0" xfId="9" applyNumberFormat="1" applyFont="1" applyFill="1" applyBorder="1" applyAlignment="1">
      <alignment wrapText="1"/>
    </xf>
    <xf numFmtId="4" fontId="29" fillId="0" borderId="10" xfId="9" applyNumberFormat="1" applyFont="1" applyFill="1" applyBorder="1" applyAlignment="1">
      <alignment wrapText="1"/>
    </xf>
    <xf numFmtId="4" fontId="29" fillId="0" borderId="8" xfId="9" applyNumberFormat="1" applyFont="1" applyFill="1" applyBorder="1" applyAlignment="1">
      <alignment wrapText="1"/>
    </xf>
    <xf numFmtId="4" fontId="0" fillId="0" borderId="7" xfId="0" applyNumberFormat="1" applyFill="1" applyBorder="1"/>
    <xf numFmtId="4" fontId="26" fillId="0" borderId="5" xfId="9" applyNumberFormat="1" applyFont="1" applyFill="1" applyBorder="1"/>
    <xf numFmtId="4" fontId="2" fillId="0" borderId="5" xfId="9" applyNumberFormat="1" applyFont="1" applyFill="1" applyBorder="1"/>
    <xf numFmtId="4" fontId="30" fillId="4" borderId="5" xfId="9" applyNumberFormat="1" applyFont="1" applyFill="1" applyBorder="1"/>
    <xf numFmtId="4" fontId="0" fillId="4" borderId="6" xfId="0" applyNumberFormat="1" applyFill="1" applyBorder="1"/>
    <xf numFmtId="4" fontId="0" fillId="4" borderId="0" xfId="0" applyNumberFormat="1" applyFill="1" applyBorder="1"/>
    <xf numFmtId="4" fontId="0" fillId="0" borderId="6" xfId="0" applyNumberFormat="1" applyFill="1" applyBorder="1"/>
    <xf numFmtId="4" fontId="19" fillId="0" borderId="15" xfId="9" applyNumberFormat="1" applyFont="1" applyFill="1" applyBorder="1"/>
    <xf numFmtId="4" fontId="19" fillId="0" borderId="8" xfId="9" applyNumberFormat="1" applyFont="1" applyFill="1" applyBorder="1"/>
    <xf numFmtId="0" fontId="0" fillId="4" borderId="0" xfId="0" applyFill="1" applyBorder="1"/>
    <xf numFmtId="0" fontId="0" fillId="0" borderId="0" xfId="0" applyBorder="1"/>
    <xf numFmtId="4" fontId="19" fillId="0" borderId="6" xfId="9" applyNumberFormat="1" applyFont="1" applyFill="1" applyBorder="1"/>
    <xf numFmtId="0" fontId="0" fillId="0" borderId="6" xfId="0" applyFill="1" applyBorder="1"/>
    <xf numFmtId="2" fontId="6" fillId="0" borderId="1" xfId="9" applyNumberFormat="1" applyFont="1" applyFill="1" applyBorder="1"/>
    <xf numFmtId="2" fontId="6" fillId="0" borderId="1" xfId="9" applyNumberFormat="1" applyFont="1" applyBorder="1"/>
    <xf numFmtId="176" fontId="26" fillId="0" borderId="0" xfId="9" applyNumberFormat="1" applyFont="1" applyFill="1" applyBorder="1"/>
    <xf numFmtId="0" fontId="13" fillId="3" borderId="0" xfId="0" applyFont="1" applyFill="1"/>
    <xf numFmtId="0" fontId="13" fillId="2" borderId="0" xfId="0" applyFont="1" applyFill="1"/>
    <xf numFmtId="0" fontId="0" fillId="2" borderId="1" xfId="0" applyFill="1" applyBorder="1" applyAlignment="1">
      <alignment vertical="top" wrapText="1"/>
    </xf>
    <xf numFmtId="0" fontId="7" fillId="2" borderId="1" xfId="0" applyFont="1" applyFill="1" applyBorder="1" applyAlignment="1">
      <alignment vertical="top" wrapText="1"/>
    </xf>
    <xf numFmtId="0" fontId="15" fillId="2" borderId="1" xfId="0" applyFont="1" applyFill="1" applyBorder="1" applyAlignment="1">
      <alignment vertical="top" wrapText="1"/>
    </xf>
    <xf numFmtId="0" fontId="14" fillId="2" borderId="1" xfId="0" applyFont="1" applyFill="1" applyBorder="1" applyAlignment="1">
      <alignment vertical="top" wrapText="1"/>
    </xf>
    <xf numFmtId="0" fontId="0" fillId="2" borderId="0" xfId="0" applyFill="1" applyAlignment="1">
      <alignment vertical="top"/>
    </xf>
    <xf numFmtId="0" fontId="13" fillId="0" borderId="0" xfId="0" applyFont="1" applyBorder="1"/>
    <xf numFmtId="4" fontId="2" fillId="0" borderId="8" xfId="9" applyNumberFormat="1" applyFill="1" applyBorder="1"/>
    <xf numFmtId="4" fontId="30" fillId="0" borderId="0" xfId="9" applyNumberFormat="1" applyFont="1" applyFill="1" applyBorder="1"/>
    <xf numFmtId="4" fontId="2" fillId="3" borderId="1" xfId="9" applyNumberFormat="1" applyFill="1" applyBorder="1"/>
    <xf numFmtId="0" fontId="13" fillId="2" borderId="1" xfId="0" applyFont="1" applyFill="1" applyBorder="1"/>
    <xf numFmtId="0" fontId="34" fillId="4" borderId="0" xfId="0" applyFont="1" applyFill="1"/>
    <xf numFmtId="0" fontId="0" fillId="0" borderId="9" xfId="0" applyBorder="1"/>
    <xf numFmtId="0" fontId="41" fillId="0" borderId="8" xfId="0" applyFont="1" applyBorder="1"/>
    <xf numFmtId="0" fontId="41" fillId="0" borderId="0" xfId="0" applyFont="1"/>
    <xf numFmtId="0" fontId="41" fillId="0" borderId="9" xfId="0" applyFont="1" applyBorder="1"/>
    <xf numFmtId="0" fontId="41" fillId="0" borderId="5" xfId="0" applyFont="1" applyBorder="1"/>
    <xf numFmtId="0" fontId="27" fillId="0" borderId="0" xfId="0" applyFont="1" applyBorder="1"/>
    <xf numFmtId="0" fontId="41" fillId="0" borderId="0" xfId="0" applyFont="1" applyBorder="1"/>
    <xf numFmtId="4" fontId="28" fillId="0" borderId="0" xfId="9" applyNumberFormat="1" applyFont="1" applyFill="1" applyBorder="1" applyAlignment="1">
      <alignment wrapText="1"/>
    </xf>
    <xf numFmtId="167" fontId="19" fillId="0" borderId="0" xfId="5" applyNumberFormat="1" applyFont="1" applyFill="1" applyBorder="1" applyAlignment="1">
      <alignment wrapText="1"/>
    </xf>
    <xf numFmtId="0" fontId="41" fillId="4" borderId="0" xfId="0" applyFont="1" applyFill="1"/>
    <xf numFmtId="0" fontId="41" fillId="4" borderId="0" xfId="0" applyFont="1" applyFill="1" applyBorder="1"/>
    <xf numFmtId="0" fontId="41" fillId="4" borderId="5" xfId="0" applyFont="1" applyFill="1" applyBorder="1"/>
    <xf numFmtId="0" fontId="41" fillId="4" borderId="6" xfId="0" applyFont="1" applyFill="1" applyBorder="1"/>
    <xf numFmtId="0" fontId="0" fillId="0" borderId="6" xfId="0" applyBorder="1"/>
    <xf numFmtId="10" fontId="42" fillId="0" borderId="0" xfId="0" applyNumberFormat="1" applyFont="1"/>
    <xf numFmtId="0" fontId="0" fillId="0" borderId="0" xfId="0" applyNumberFormat="1"/>
    <xf numFmtId="0" fontId="0" fillId="0" borderId="0" xfId="0" quotePrefix="1"/>
    <xf numFmtId="0" fontId="0" fillId="0" borderId="0" xfId="0" quotePrefix="1" applyNumberFormat="1"/>
    <xf numFmtId="4" fontId="2" fillId="0" borderId="0" xfId="9" applyNumberFormat="1" applyFill="1" applyBorder="1" applyAlignment="1">
      <alignment horizontal="right"/>
    </xf>
    <xf numFmtId="0" fontId="2" fillId="0" borderId="10" xfId="9" applyFont="1" applyFill="1" applyBorder="1" applyAlignment="1">
      <alignment horizontal="right"/>
    </xf>
    <xf numFmtId="0" fontId="43" fillId="0" borderId="5" xfId="0" applyFont="1" applyBorder="1"/>
    <xf numFmtId="0" fontId="43" fillId="0" borderId="0" xfId="0" applyFont="1"/>
    <xf numFmtId="0" fontId="44" fillId="0" borderId="5" xfId="0" applyFont="1" applyBorder="1"/>
    <xf numFmtId="0" fontId="43" fillId="0" borderId="0" xfId="0" applyFont="1" applyBorder="1"/>
    <xf numFmtId="172" fontId="41" fillId="0" borderId="0" xfId="0" applyNumberFormat="1" applyFont="1"/>
    <xf numFmtId="9" fontId="41" fillId="0" borderId="0" xfId="0" applyNumberFormat="1" applyFont="1"/>
    <xf numFmtId="0" fontId="45" fillId="0" borderId="0" xfId="0" applyFont="1"/>
    <xf numFmtId="4" fontId="45" fillId="0" borderId="0" xfId="0" applyNumberFormat="1" applyFont="1"/>
    <xf numFmtId="4" fontId="41" fillId="0" borderId="0" xfId="0" applyNumberFormat="1" applyFont="1"/>
    <xf numFmtId="0" fontId="38" fillId="0" borderId="16" xfId="0" applyFont="1" applyBorder="1"/>
    <xf numFmtId="0" fontId="35" fillId="0" borderId="16" xfId="0" applyFont="1" applyBorder="1"/>
    <xf numFmtId="0" fontId="36" fillId="0" borderId="16" xfId="0" applyFont="1" applyBorder="1"/>
    <xf numFmtId="0" fontId="37" fillId="0" borderId="16" xfId="0" applyFont="1" applyBorder="1"/>
    <xf numFmtId="0" fontId="35" fillId="0" borderId="16" xfId="0" applyFont="1" applyBorder="1" applyAlignment="1">
      <alignment horizontal="right"/>
    </xf>
    <xf numFmtId="3" fontId="35" fillId="0" borderId="16" xfId="0" applyNumberFormat="1" applyFont="1" applyBorder="1"/>
    <xf numFmtId="0" fontId="35" fillId="0" borderId="16" xfId="0" applyFont="1" applyBorder="1" applyAlignment="1">
      <alignment vertical="center"/>
    </xf>
    <xf numFmtId="0" fontId="35" fillId="0" borderId="16" xfId="0" applyFont="1" applyBorder="1" applyAlignment="1">
      <alignment horizontal="center" vertical="center" wrapText="1"/>
    </xf>
    <xf numFmtId="0" fontId="35" fillId="0" borderId="16" xfId="0" applyFont="1" applyBorder="1" applyAlignment="1">
      <alignment horizontal="center" vertical="center"/>
    </xf>
    <xf numFmtId="0" fontId="35" fillId="0" borderId="16" xfId="0" applyFont="1" applyBorder="1" applyAlignment="1">
      <alignment horizontal="center"/>
    </xf>
    <xf numFmtId="0" fontId="5" fillId="3" borderId="16" xfId="9" applyFont="1" applyFill="1" applyBorder="1"/>
    <xf numFmtId="167" fontId="35" fillId="0" borderId="16" xfId="5" applyNumberFormat="1" applyFont="1" applyBorder="1" applyAlignment="1">
      <alignment horizontal="center"/>
    </xf>
    <xf numFmtId="0" fontId="35" fillId="0" borderId="16" xfId="0" quotePrefix="1" applyFont="1" applyBorder="1"/>
    <xf numFmtId="3" fontId="35" fillId="0" borderId="16" xfId="0" applyNumberFormat="1" applyFont="1" applyBorder="1" applyAlignment="1">
      <alignment horizontal="right"/>
    </xf>
    <xf numFmtId="4" fontId="35" fillId="0" borderId="16" xfId="0" applyNumberFormat="1" applyFont="1" applyBorder="1"/>
    <xf numFmtId="0" fontId="5" fillId="0" borderId="16" xfId="9" applyFont="1" applyBorder="1"/>
    <xf numFmtId="2" fontId="35" fillId="0" borderId="16" xfId="0" applyNumberFormat="1" applyFont="1" applyBorder="1" applyAlignment="1">
      <alignment horizontal="center"/>
    </xf>
    <xf numFmtId="167" fontId="35" fillId="0" borderId="16" xfId="0" applyNumberFormat="1" applyFont="1" applyBorder="1" applyAlignment="1">
      <alignment horizontal="center"/>
    </xf>
    <xf numFmtId="4" fontId="36" fillId="0" borderId="16" xfId="0" applyNumberFormat="1" applyFont="1" applyBorder="1"/>
    <xf numFmtId="0" fontId="36" fillId="0" borderId="16" xfId="0" quotePrefix="1" applyFont="1" applyBorder="1"/>
    <xf numFmtId="0" fontId="5" fillId="0" borderId="16" xfId="9" applyFont="1" applyFill="1" applyBorder="1"/>
    <xf numFmtId="0" fontId="0" fillId="0" borderId="16" xfId="0" applyBorder="1"/>
    <xf numFmtId="0" fontId="46" fillId="0" borderId="16" xfId="0" applyFont="1" applyBorder="1"/>
    <xf numFmtId="0" fontId="5" fillId="2" borderId="16" xfId="9" applyFont="1" applyFill="1" applyBorder="1"/>
    <xf numFmtId="3" fontId="35" fillId="0" borderId="16" xfId="0" quotePrefix="1" applyNumberFormat="1" applyFont="1" applyBorder="1"/>
    <xf numFmtId="0" fontId="35" fillId="0" borderId="4" xfId="0" applyFont="1" applyBorder="1"/>
    <xf numFmtId="0" fontId="35" fillId="0" borderId="17" xfId="0" applyFont="1" applyBorder="1"/>
    <xf numFmtId="0" fontId="35" fillId="0" borderId="18" xfId="0" applyFont="1" applyBorder="1"/>
    <xf numFmtId="0" fontId="35" fillId="0" borderId="19" xfId="0" applyFont="1" applyBorder="1"/>
    <xf numFmtId="0" fontId="2" fillId="0" borderId="16" xfId="9" applyFill="1" applyBorder="1"/>
    <xf numFmtId="0" fontId="2" fillId="0" borderId="16" xfId="9" applyFont="1" applyFill="1" applyBorder="1"/>
    <xf numFmtId="0" fontId="35" fillId="0" borderId="16" xfId="0" applyFont="1" applyBorder="1" applyAlignment="1">
      <alignment horizontal="right" vertical="center"/>
    </xf>
    <xf numFmtId="3" fontId="36" fillId="0" borderId="16" xfId="0" applyNumberFormat="1" applyFont="1" applyBorder="1"/>
    <xf numFmtId="4" fontId="2" fillId="0" borderId="0" xfId="9" applyNumberFormat="1" applyFont="1" applyFill="1" applyBorder="1" applyAlignment="1">
      <alignment horizontal="right"/>
    </xf>
    <xf numFmtId="0" fontId="41" fillId="0" borderId="0" xfId="0" applyFont="1" applyFill="1"/>
    <xf numFmtId="4" fontId="41" fillId="0" borderId="0" xfId="0" applyNumberFormat="1" applyFont="1" applyFill="1"/>
    <xf numFmtId="4" fontId="1" fillId="4" borderId="6" xfId="0" applyNumberFormat="1" applyFont="1" applyFill="1" applyBorder="1"/>
    <xf numFmtId="4" fontId="1" fillId="0" borderId="0" xfId="0" applyNumberFormat="1" applyFont="1"/>
    <xf numFmtId="0" fontId="1" fillId="0" borderId="0" xfId="0" applyFont="1"/>
    <xf numFmtId="0" fontId="1" fillId="0" borderId="10" xfId="0" applyFont="1" applyBorder="1"/>
    <xf numFmtId="0" fontId="1" fillId="4" borderId="0" xfId="0" applyFont="1" applyFill="1"/>
    <xf numFmtId="0" fontId="1" fillId="0" borderId="6" xfId="0" applyFont="1" applyFill="1" applyBorder="1"/>
    <xf numFmtId="0" fontId="1" fillId="0" borderId="0" xfId="0" applyFont="1" applyFill="1" applyBorder="1"/>
    <xf numFmtId="4" fontId="1" fillId="0" borderId="0" xfId="0" applyNumberFormat="1" applyFont="1" applyFill="1"/>
    <xf numFmtId="0" fontId="1" fillId="0" borderId="0" xfId="0" applyFont="1" applyFill="1"/>
    <xf numFmtId="0" fontId="1" fillId="0" borderId="10" xfId="0" applyFont="1" applyFill="1" applyBorder="1"/>
    <xf numFmtId="4" fontId="1" fillId="0" borderId="6" xfId="0" applyNumberFormat="1" applyFont="1" applyBorder="1"/>
    <xf numFmtId="4" fontId="1" fillId="0" borderId="6" xfId="0" applyNumberFormat="1" applyFont="1" applyFill="1" applyBorder="1"/>
    <xf numFmtId="0" fontId="41" fillId="0" borderId="0" xfId="0" applyFont="1" applyFill="1" applyBorder="1"/>
    <xf numFmtId="4" fontId="2" fillId="0" borderId="0" xfId="9" applyNumberFormat="1" applyBorder="1"/>
    <xf numFmtId="169" fontId="2" fillId="0" borderId="0" xfId="2" applyNumberFormat="1" applyFont="1" applyFill="1" applyBorder="1"/>
    <xf numFmtId="4" fontId="0" fillId="0" borderId="0" xfId="0" applyNumberFormat="1" applyBorder="1"/>
    <xf numFmtId="0" fontId="0" fillId="0" borderId="1" xfId="0" applyFill="1" applyBorder="1"/>
    <xf numFmtId="0" fontId="0" fillId="3" borderId="1" xfId="0" applyFill="1" applyBorder="1"/>
    <xf numFmtId="0" fontId="0" fillId="2" borderId="1" xfId="0" applyFill="1" applyBorder="1"/>
    <xf numFmtId="4" fontId="1" fillId="0" borderId="0" xfId="0" applyNumberFormat="1" applyFont="1" applyBorder="1"/>
    <xf numFmtId="0" fontId="0" fillId="4" borderId="6" xfId="0" applyFill="1" applyBorder="1"/>
    <xf numFmtId="4" fontId="1" fillId="0" borderId="0" xfId="0" applyNumberFormat="1" applyFont="1" applyFill="1" applyBorder="1"/>
    <xf numFmtId="4" fontId="19" fillId="0" borderId="10" xfId="9" applyNumberFormat="1" applyFont="1" applyFill="1" applyBorder="1"/>
    <xf numFmtId="0" fontId="1" fillId="0" borderId="0" xfId="0" applyFont="1" applyBorder="1"/>
    <xf numFmtId="0" fontId="1" fillId="0" borderId="6" xfId="0" applyFont="1" applyBorder="1"/>
    <xf numFmtId="0" fontId="1" fillId="4" borderId="0" xfId="0" applyFont="1" applyFill="1" applyBorder="1"/>
    <xf numFmtId="4" fontId="19" fillId="4" borderId="0" xfId="9" applyNumberFormat="1" applyFont="1" applyFill="1" applyBorder="1"/>
    <xf numFmtId="2" fontId="0" fillId="2" borderId="1" xfId="0" applyNumberFormat="1" applyFill="1" applyBorder="1" applyAlignment="1">
      <alignment vertical="top" wrapText="1"/>
    </xf>
    <xf numFmtId="4" fontId="19" fillId="5" borderId="7" xfId="9" applyNumberFormat="1" applyFont="1" applyFill="1" applyBorder="1"/>
    <xf numFmtId="4" fontId="19" fillId="5" borderId="0" xfId="9" applyNumberFormat="1" applyFont="1" applyFill="1" applyBorder="1"/>
    <xf numFmtId="4" fontId="30" fillId="5" borderId="5" xfId="9" applyNumberFormat="1" applyFont="1" applyFill="1" applyBorder="1"/>
    <xf numFmtId="0" fontId="0" fillId="5" borderId="5" xfId="0" applyFill="1" applyBorder="1"/>
    <xf numFmtId="0" fontId="0" fillId="5" borderId="11" xfId="0" applyFill="1" applyBorder="1"/>
    <xf numFmtId="0" fontId="0" fillId="5" borderId="9" xfId="0" applyFill="1" applyBorder="1"/>
    <xf numFmtId="0" fontId="0" fillId="5" borderId="0" xfId="0" applyFill="1"/>
    <xf numFmtId="173" fontId="2" fillId="0" borderId="0" xfId="2" applyNumberFormat="1" applyFont="1" applyFill="1" applyBorder="1"/>
    <xf numFmtId="0" fontId="0" fillId="2" borderId="0" xfId="0" applyFill="1" applyBorder="1"/>
    <xf numFmtId="0" fontId="0" fillId="6" borderId="0" xfId="0" applyFill="1"/>
    <xf numFmtId="0" fontId="0" fillId="3" borderId="0" xfId="0" applyFill="1"/>
    <xf numFmtId="0" fontId="0" fillId="7" borderId="0" xfId="0" applyFill="1"/>
    <xf numFmtId="0" fontId="53" fillId="8" borderId="0" xfId="0" applyFont="1" applyFill="1"/>
    <xf numFmtId="0" fontId="0" fillId="2" borderId="0" xfId="0" quotePrefix="1" applyFill="1" applyBorder="1"/>
    <xf numFmtId="0" fontId="13" fillId="9" borderId="0" xfId="0" applyFont="1" applyFill="1"/>
    <xf numFmtId="0" fontId="2" fillId="9" borderId="1" xfId="9" applyFont="1" applyFill="1" applyBorder="1"/>
    <xf numFmtId="0" fontId="6" fillId="9" borderId="1" xfId="9" applyFont="1" applyFill="1" applyBorder="1"/>
    <xf numFmtId="0" fontId="2" fillId="9" borderId="1" xfId="9" applyFill="1" applyBorder="1"/>
    <xf numFmtId="4" fontId="2" fillId="9" borderId="1" xfId="9" applyNumberFormat="1" applyFill="1" applyBorder="1"/>
    <xf numFmtId="4" fontId="25" fillId="0" borderId="0" xfId="9" quotePrefix="1" applyNumberFormat="1" applyFont="1" applyFill="1" applyBorder="1"/>
    <xf numFmtId="4" fontId="0" fillId="0" borderId="0" xfId="0" applyNumberFormat="1" applyFill="1" applyBorder="1"/>
    <xf numFmtId="4" fontId="30" fillId="5" borderId="0" xfId="9" applyNumberFormat="1" applyFont="1" applyFill="1" applyBorder="1"/>
    <xf numFmtId="0" fontId="0" fillId="5" borderId="0" xfId="0" applyFill="1" applyBorder="1"/>
    <xf numFmtId="4" fontId="19" fillId="0" borderId="7" xfId="9" applyNumberFormat="1" applyFont="1" applyFill="1" applyBorder="1" applyAlignment="1">
      <alignment wrapText="1"/>
    </xf>
    <xf numFmtId="4" fontId="6" fillId="0" borderId="6" xfId="9" applyNumberFormat="1" applyFont="1" applyFill="1" applyBorder="1"/>
    <xf numFmtId="0" fontId="5" fillId="0" borderId="2" xfId="9" applyFont="1" applyFill="1" applyBorder="1" applyAlignment="1">
      <alignment vertical="top"/>
    </xf>
    <xf numFmtId="0" fontId="2" fillId="0" borderId="1" xfId="9" applyFill="1" applyBorder="1" applyAlignment="1">
      <alignment vertical="top"/>
    </xf>
    <xf numFmtId="0" fontId="6" fillId="0" borderId="1" xfId="9" applyFont="1" applyFill="1" applyBorder="1" applyAlignment="1">
      <alignment vertical="top"/>
    </xf>
    <xf numFmtId="0" fontId="2" fillId="0" borderId="1" xfId="9" applyFont="1" applyFill="1" applyBorder="1" applyAlignment="1">
      <alignment vertical="top"/>
    </xf>
    <xf numFmtId="2" fontId="6" fillId="0" borderId="1" xfId="9" applyNumberFormat="1" applyFont="1" applyFill="1" applyBorder="1" applyAlignment="1">
      <alignment vertical="top"/>
    </xf>
    <xf numFmtId="4" fontId="2" fillId="0" borderId="0" xfId="9" applyNumberFormat="1" applyFill="1" applyBorder="1" applyAlignment="1">
      <alignment vertical="top"/>
    </xf>
    <xf numFmtId="169" fontId="2" fillId="0" borderId="0" xfId="2" applyNumberFormat="1" applyFont="1" applyFill="1" applyBorder="1" applyAlignment="1">
      <alignment vertical="top"/>
    </xf>
    <xf numFmtId="0" fontId="41" fillId="0" borderId="0" xfId="0" applyFont="1" applyBorder="1" applyAlignment="1">
      <alignment horizontal="center" vertical="top"/>
    </xf>
    <xf numFmtId="0" fontId="0" fillId="0" borderId="0" xfId="0" applyFill="1" applyAlignment="1">
      <alignment vertical="top"/>
    </xf>
    <xf numFmtId="0" fontId="0" fillId="0" borderId="0" xfId="0" applyAlignment="1">
      <alignment vertical="top"/>
    </xf>
    <xf numFmtId="4" fontId="2" fillId="0" borderId="15" xfId="9" applyNumberFormat="1" applyFill="1" applyBorder="1"/>
    <xf numFmtId="4" fontId="19" fillId="0" borderId="5" xfId="9" applyNumberFormat="1" applyFont="1" applyFill="1" applyBorder="1" applyAlignment="1">
      <alignment wrapText="1"/>
    </xf>
    <xf numFmtId="4" fontId="19" fillId="0" borderId="9" xfId="9" applyNumberFormat="1" applyFont="1" applyFill="1" applyBorder="1" applyAlignment="1">
      <alignment wrapText="1"/>
    </xf>
    <xf numFmtId="4" fontId="20" fillId="0" borderId="0" xfId="9" applyNumberFormat="1" applyFont="1" applyFill="1" applyBorder="1" applyAlignment="1">
      <alignment vertical="top" wrapText="1"/>
    </xf>
    <xf numFmtId="4" fontId="19" fillId="0" borderId="0" xfId="9" applyNumberFormat="1" applyFont="1" applyFill="1" applyBorder="1" applyAlignment="1">
      <alignment vertical="top" wrapText="1"/>
    </xf>
    <xf numFmtId="4" fontId="28" fillId="0" borderId="15" xfId="9" applyNumberFormat="1" applyFont="1" applyFill="1" applyBorder="1" applyAlignment="1">
      <alignment vertical="top" wrapText="1"/>
    </xf>
    <xf numFmtId="4" fontId="28" fillId="0" borderId="8" xfId="9" applyNumberFormat="1" applyFont="1" applyFill="1" applyBorder="1" applyAlignment="1">
      <alignment vertical="top" wrapText="1"/>
    </xf>
    <xf numFmtId="4" fontId="28" fillId="0" borderId="12" xfId="9" applyNumberFormat="1" applyFont="1" applyFill="1" applyBorder="1" applyAlignment="1">
      <alignment vertical="top" wrapText="1"/>
    </xf>
    <xf numFmtId="0" fontId="50" fillId="0" borderId="12" xfId="0" applyFont="1" applyBorder="1" applyAlignment="1">
      <alignment vertical="top" wrapText="1"/>
    </xf>
    <xf numFmtId="0" fontId="50" fillId="0" borderId="15" xfId="0" applyFont="1" applyBorder="1" applyAlignment="1">
      <alignment vertical="top" wrapText="1"/>
    </xf>
    <xf numFmtId="0" fontId="50" fillId="0" borderId="13" xfId="0" applyFont="1" applyBorder="1" applyAlignment="1">
      <alignment vertical="top" wrapText="1"/>
    </xf>
    <xf numFmtId="4" fontId="28" fillId="0" borderId="6" xfId="9" applyNumberFormat="1" applyFont="1" applyFill="1" applyBorder="1" applyAlignment="1">
      <alignment horizontal="center" wrapText="1"/>
    </xf>
    <xf numFmtId="4" fontId="28" fillId="0" borderId="0" xfId="9" applyNumberFormat="1" applyFont="1" applyFill="1" applyBorder="1" applyAlignment="1">
      <alignment horizontal="center" wrapText="1"/>
    </xf>
    <xf numFmtId="4" fontId="28" fillId="0" borderId="8" xfId="9" applyNumberFormat="1" applyFont="1" applyFill="1" applyBorder="1" applyAlignment="1">
      <alignment horizontal="center" wrapText="1"/>
    </xf>
    <xf numFmtId="4" fontId="6" fillId="0" borderId="0" xfId="9" applyNumberFormat="1" applyFont="1" applyFill="1" applyBorder="1"/>
    <xf numFmtId="0" fontId="54" fillId="0" borderId="0" xfId="0" applyFont="1"/>
    <xf numFmtId="0" fontId="2" fillId="0" borderId="1" xfId="9" applyFill="1" applyBorder="1" applyAlignment="1">
      <alignment vertical="center"/>
    </xf>
    <xf numFmtId="0" fontId="2" fillId="0" borderId="1" xfId="9" applyBorder="1" applyAlignment="1">
      <alignment vertical="center"/>
    </xf>
    <xf numFmtId="4" fontId="2" fillId="0" borderId="1" xfId="9" applyNumberFormat="1" applyBorder="1" applyAlignment="1">
      <alignment vertical="center"/>
    </xf>
    <xf numFmtId="0" fontId="2" fillId="0" borderId="0" xfId="9" applyFill="1" applyBorder="1" applyAlignment="1">
      <alignment vertical="center"/>
    </xf>
    <xf numFmtId="0" fontId="0" fillId="0" borderId="0" xfId="0" applyAlignment="1">
      <alignment vertical="center"/>
    </xf>
    <xf numFmtId="4" fontId="25" fillId="0" borderId="0" xfId="9" applyNumberFormat="1" applyFont="1" applyFill="1" applyBorder="1" applyAlignment="1">
      <alignment vertical="center"/>
    </xf>
    <xf numFmtId="4" fontId="0" fillId="0" borderId="0" xfId="0" applyNumberFormat="1" applyAlignment="1">
      <alignment vertical="center"/>
    </xf>
    <xf numFmtId="0" fontId="0" fillId="0" borderId="0" xfId="0" applyFill="1" applyAlignment="1">
      <alignment vertical="center"/>
    </xf>
    <xf numFmtId="0" fontId="2" fillId="0" borderId="1" xfId="9" applyBorder="1" applyAlignment="1">
      <alignment vertical="top"/>
    </xf>
    <xf numFmtId="4" fontId="25" fillId="0" borderId="0" xfId="9" quotePrefix="1" applyNumberFormat="1" applyFont="1" applyFill="1" applyBorder="1" applyAlignment="1">
      <alignment vertical="top"/>
    </xf>
    <xf numFmtId="4" fontId="3" fillId="0" borderId="0" xfId="9" applyNumberFormat="1" applyFont="1" applyFill="1" applyBorder="1" applyAlignment="1">
      <alignment vertical="top"/>
    </xf>
    <xf numFmtId="0" fontId="25" fillId="0" borderId="2" xfId="9" applyFont="1" applyFill="1" applyBorder="1" applyAlignment="1">
      <alignment vertical="center"/>
    </xf>
    <xf numFmtId="0" fontId="13" fillId="0" borderId="0" xfId="0" applyFont="1" applyBorder="1" applyAlignment="1">
      <alignment horizontal="center" vertical="top" wrapText="1"/>
    </xf>
    <xf numFmtId="0" fontId="50" fillId="0" borderId="0" xfId="0" applyFont="1" applyBorder="1" applyAlignment="1">
      <alignment vertical="top" wrapText="1"/>
    </xf>
    <xf numFmtId="4" fontId="27" fillId="0" borderId="0" xfId="9" applyNumberFormat="1" applyFont="1" applyFill="1" applyBorder="1"/>
    <xf numFmtId="4" fontId="19" fillId="0" borderId="0" xfId="9" applyNumberFormat="1" applyFont="1" applyFill="1" applyBorder="1" applyAlignment="1"/>
    <xf numFmtId="4" fontId="30" fillId="0" borderId="0" xfId="9" applyNumberFormat="1" applyFont="1" applyFill="1" applyBorder="1" applyAlignment="1">
      <alignment vertical="top"/>
    </xf>
    <xf numFmtId="4" fontId="2" fillId="0" borderId="0" xfId="9" applyNumberFormat="1" applyFill="1" applyBorder="1" applyAlignment="1">
      <alignment vertical="center"/>
    </xf>
    <xf numFmtId="4" fontId="3" fillId="0" borderId="0" xfId="9" applyNumberFormat="1" applyFont="1" applyFill="1" applyBorder="1" applyAlignment="1">
      <alignment vertical="center"/>
    </xf>
    <xf numFmtId="0" fontId="0" fillId="0" borderId="0" xfId="0" applyBorder="1" applyAlignment="1">
      <alignment wrapText="1"/>
    </xf>
    <xf numFmtId="167" fontId="55" fillId="0" borderId="0" xfId="5" applyNumberFormat="1" applyFont="1"/>
    <xf numFmtId="0" fontId="41" fillId="0" borderId="6" xfId="0" applyFont="1" applyBorder="1"/>
    <xf numFmtId="4" fontId="28" fillId="0" borderId="0" xfId="9" applyNumberFormat="1" applyFont="1" applyFill="1" applyBorder="1" applyAlignment="1"/>
    <xf numFmtId="4" fontId="19" fillId="5" borderId="5" xfId="9" applyNumberFormat="1" applyFont="1" applyFill="1" applyBorder="1"/>
    <xf numFmtId="4" fontId="19" fillId="5" borderId="9" xfId="9" applyNumberFormat="1" applyFont="1" applyFill="1" applyBorder="1" applyAlignment="1">
      <alignment horizontal="right"/>
    </xf>
    <xf numFmtId="4" fontId="28" fillId="0" borderId="0" xfId="9" applyNumberFormat="1" applyFont="1" applyFill="1" applyBorder="1" applyAlignment="1">
      <alignment horizontal="left"/>
    </xf>
    <xf numFmtId="9" fontId="41" fillId="0" borderId="0" xfId="0" applyNumberFormat="1" applyFont="1" applyFill="1"/>
    <xf numFmtId="172" fontId="41" fillId="0" borderId="0" xfId="0" applyNumberFormat="1" applyFont="1" applyFill="1"/>
    <xf numFmtId="0" fontId="2" fillId="6" borderId="1" xfId="9" applyFill="1" applyBorder="1"/>
    <xf numFmtId="0" fontId="2" fillId="6" borderId="1" xfId="9" applyFont="1" applyFill="1" applyBorder="1"/>
    <xf numFmtId="0" fontId="6" fillId="6" borderId="1" xfId="9" applyFont="1" applyFill="1" applyBorder="1"/>
    <xf numFmtId="4" fontId="2" fillId="6" borderId="1" xfId="9" applyNumberFormat="1" applyFill="1" applyBorder="1"/>
    <xf numFmtId="4" fontId="2" fillId="6" borderId="1" xfId="9" applyNumberFormat="1" applyFont="1" applyFill="1" applyBorder="1" applyAlignment="1">
      <alignment horizontal="right"/>
    </xf>
    <xf numFmtId="4" fontId="2" fillId="6" borderId="1" xfId="9" applyNumberFormat="1" applyFill="1" applyBorder="1" applyAlignment="1">
      <alignment horizontal="right"/>
    </xf>
    <xf numFmtId="0" fontId="56" fillId="6" borderId="1" xfId="0" applyFont="1" applyFill="1" applyBorder="1"/>
    <xf numFmtId="0" fontId="51" fillId="6" borderId="1" xfId="0" applyFont="1" applyFill="1" applyBorder="1"/>
    <xf numFmtId="0" fontId="13" fillId="6" borderId="0" xfId="0" applyFont="1" applyFill="1"/>
    <xf numFmtId="0" fontId="0" fillId="2" borderId="1" xfId="0" applyFill="1" applyBorder="1" applyAlignment="1">
      <alignment vertical="top"/>
    </xf>
    <xf numFmtId="0" fontId="0" fillId="2" borderId="14" xfId="0" applyFill="1" applyBorder="1" applyAlignment="1">
      <alignment vertical="top"/>
    </xf>
    <xf numFmtId="0" fontId="0" fillId="2" borderId="11" xfId="0" applyFill="1" applyBorder="1" applyAlignment="1">
      <alignment vertical="top"/>
    </xf>
    <xf numFmtId="0" fontId="2" fillId="10" borderId="1" xfId="9" applyFill="1" applyBorder="1"/>
    <xf numFmtId="0" fontId="2" fillId="10" borderId="1" xfId="9" applyFont="1" applyFill="1" applyBorder="1"/>
    <xf numFmtId="0" fontId="6" fillId="10" borderId="1" xfId="9" applyFont="1" applyFill="1" applyBorder="1"/>
    <xf numFmtId="4" fontId="2" fillId="10" borderId="1" xfId="9" applyNumberFormat="1" applyFill="1" applyBorder="1"/>
    <xf numFmtId="0" fontId="13" fillId="10" borderId="0" xfId="0" applyFont="1" applyFill="1"/>
    <xf numFmtId="0" fontId="54" fillId="10" borderId="1" xfId="0" applyFont="1" applyFill="1" applyBorder="1"/>
    <xf numFmtId="0" fontId="56" fillId="10" borderId="1" xfId="0" applyFont="1" applyFill="1" applyBorder="1"/>
    <xf numFmtId="2" fontId="2" fillId="0" borderId="1" xfId="9" applyNumberFormat="1" applyFont="1" applyFill="1" applyBorder="1" applyAlignment="1">
      <alignment vertical="top"/>
    </xf>
    <xf numFmtId="0" fontId="52" fillId="4" borderId="2" xfId="9" applyFont="1" applyFill="1" applyBorder="1" applyAlignment="1">
      <alignment vertical="center"/>
    </xf>
    <xf numFmtId="0" fontId="2" fillId="4" borderId="1" xfId="9" applyFill="1" applyBorder="1"/>
    <xf numFmtId="0" fontId="6" fillId="4" borderId="1" xfId="9" applyFont="1" applyFill="1" applyBorder="1"/>
    <xf numFmtId="0" fontId="2" fillId="4" borderId="1" xfId="9" applyFont="1" applyFill="1" applyBorder="1"/>
    <xf numFmtId="2" fontId="6" fillId="4" borderId="1" xfId="9" applyNumberFormat="1" applyFont="1" applyFill="1" applyBorder="1"/>
    <xf numFmtId="0" fontId="0" fillId="0" borderId="1" xfId="0" applyBorder="1" applyAlignment="1">
      <alignment vertical="top"/>
    </xf>
    <xf numFmtId="0" fontId="66" fillId="10" borderId="1" xfId="0" applyFont="1" applyFill="1" applyBorder="1"/>
    <xf numFmtId="0" fontId="67" fillId="10" borderId="1" xfId="0" applyFont="1" applyFill="1" applyBorder="1"/>
    <xf numFmtId="4" fontId="67" fillId="10" borderId="1" xfId="0" applyNumberFormat="1" applyFont="1" applyFill="1" applyBorder="1"/>
    <xf numFmtId="0" fontId="66" fillId="0" borderId="0" xfId="0" applyFont="1"/>
    <xf numFmtId="0" fontId="67" fillId="0" borderId="0" xfId="0" applyFont="1"/>
    <xf numFmtId="4" fontId="67" fillId="0" borderId="0" xfId="0" applyNumberFormat="1" applyFont="1"/>
    <xf numFmtId="49" fontId="51" fillId="10" borderId="1" xfId="0" applyNumberFormat="1" applyFont="1" applyFill="1" applyBorder="1"/>
    <xf numFmtId="49" fontId="67" fillId="10" borderId="1" xfId="0" applyNumberFormat="1" applyFont="1" applyFill="1" applyBorder="1"/>
    <xf numFmtId="0" fontId="51" fillId="10" borderId="1" xfId="0" applyFont="1" applyFill="1" applyBorder="1"/>
    <xf numFmtId="0" fontId="51" fillId="0" borderId="0" xfId="0" applyFont="1" applyFill="1" applyBorder="1"/>
    <xf numFmtId="0" fontId="67" fillId="0" borderId="0" xfId="0" applyFont="1" applyFill="1" applyBorder="1"/>
    <xf numFmtId="4" fontId="67" fillId="0" borderId="0" xfId="0" applyNumberFormat="1" applyFont="1" applyFill="1" applyBorder="1"/>
    <xf numFmtId="0" fontId="2" fillId="11" borderId="1" xfId="9" applyFill="1" applyBorder="1"/>
    <xf numFmtId="0" fontId="2" fillId="11" borderId="1" xfId="9" applyFont="1" applyFill="1" applyBorder="1"/>
    <xf numFmtId="4" fontId="2" fillId="11" borderId="1" xfId="9" applyNumberFormat="1" applyFill="1" applyBorder="1"/>
    <xf numFmtId="0" fontId="41" fillId="0" borderId="0" xfId="0" applyNumberFormat="1" applyFont="1"/>
    <xf numFmtId="14" fontId="45" fillId="0" borderId="0" xfId="0" applyNumberFormat="1" applyFont="1"/>
    <xf numFmtId="9" fontId="0" fillId="0" borderId="0" xfId="0" applyNumberFormat="1" applyFill="1"/>
    <xf numFmtId="2" fontId="0" fillId="0" borderId="0" xfId="0" applyNumberFormat="1" applyFill="1"/>
    <xf numFmtId="0" fontId="65" fillId="0" borderId="0" xfId="0" applyFont="1"/>
    <xf numFmtId="173" fontId="41" fillId="0" borderId="0" xfId="3" applyNumberFormat="1" applyFont="1"/>
    <xf numFmtId="173" fontId="41" fillId="0" borderId="0" xfId="3" applyNumberFormat="1" applyFont="1" applyFill="1"/>
    <xf numFmtId="173" fontId="2" fillId="0" borderId="0" xfId="3" applyNumberFormat="1" applyFont="1" applyFill="1" applyBorder="1" applyAlignment="1">
      <alignment horizontal="right"/>
    </xf>
    <xf numFmtId="0" fontId="0" fillId="0" borderId="0" xfId="0" applyAlignment="1"/>
    <xf numFmtId="177" fontId="45" fillId="0" borderId="0" xfId="0" applyNumberFormat="1" applyFont="1"/>
    <xf numFmtId="14" fontId="2" fillId="0" borderId="0" xfId="3" applyNumberFormat="1" applyFont="1" applyFill="1" applyBorder="1" applyAlignment="1">
      <alignment horizontal="right"/>
    </xf>
    <xf numFmtId="0" fontId="54" fillId="11" borderId="1" xfId="0" applyFont="1" applyFill="1" applyBorder="1"/>
    <xf numFmtId="0" fontId="35" fillId="11" borderId="1" xfId="0" applyFont="1" applyFill="1" applyBorder="1"/>
    <xf numFmtId="4" fontId="35" fillId="11" borderId="1" xfId="0" applyNumberFormat="1" applyFont="1" applyFill="1" applyBorder="1"/>
    <xf numFmtId="0" fontId="66" fillId="0" borderId="1" xfId="0" applyFont="1" applyFill="1" applyBorder="1"/>
    <xf numFmtId="0" fontId="67" fillId="0" borderId="1" xfId="0" applyFont="1" applyFill="1" applyBorder="1"/>
    <xf numFmtId="4" fontId="67" fillId="0" borderId="1" xfId="0" applyNumberFormat="1" applyFont="1" applyFill="1" applyBorder="1"/>
    <xf numFmtId="0" fontId="57" fillId="12" borderId="0" xfId="0" applyFont="1" applyFill="1" applyBorder="1"/>
    <xf numFmtId="0" fontId="2" fillId="11" borderId="0" xfId="9" applyFill="1" applyBorder="1"/>
    <xf numFmtId="4" fontId="35" fillId="2" borderId="1" xfId="0" applyNumberFormat="1" applyFont="1" applyFill="1" applyBorder="1"/>
    <xf numFmtId="167" fontId="0" fillId="0" borderId="0" xfId="0" applyNumberFormat="1" applyFill="1"/>
    <xf numFmtId="9" fontId="64" fillId="0" borderId="0" xfId="5" applyFont="1"/>
    <xf numFmtId="0" fontId="54" fillId="0" borderId="0" xfId="0" applyFont="1" applyFill="1"/>
    <xf numFmtId="0" fontId="69" fillId="0" borderId="0" xfId="0" applyFont="1" applyFill="1" applyBorder="1"/>
    <xf numFmtId="2" fontId="69" fillId="0" borderId="0" xfId="0" applyNumberFormat="1" applyFont="1" applyFill="1" applyBorder="1"/>
    <xf numFmtId="2" fontId="41" fillId="0" borderId="8" xfId="0" applyNumberFormat="1" applyFont="1" applyBorder="1"/>
    <xf numFmtId="169" fontId="2" fillId="0" borderId="15" xfId="2" applyNumberFormat="1" applyFont="1" applyFill="1" applyBorder="1" applyAlignment="1">
      <alignment vertical="top"/>
    </xf>
    <xf numFmtId="4" fontId="19" fillId="0" borderId="20" xfId="9" applyNumberFormat="1" applyFont="1" applyFill="1" applyBorder="1"/>
    <xf numFmtId="4" fontId="19" fillId="0" borderId="21" xfId="9" applyNumberFormat="1" applyFont="1" applyFill="1" applyBorder="1"/>
    <xf numFmtId="4" fontId="19" fillId="0" borderId="2" xfId="9" applyNumberFormat="1" applyFont="1" applyFill="1" applyBorder="1"/>
    <xf numFmtId="4" fontId="21" fillId="0" borderId="15" xfId="9" applyNumberFormat="1" applyFont="1" applyFill="1" applyBorder="1"/>
    <xf numFmtId="169" fontId="2" fillId="0" borderId="5" xfId="2" applyNumberFormat="1" applyFont="1" applyFill="1" applyBorder="1" applyAlignment="1">
      <alignment vertical="top"/>
    </xf>
    <xf numFmtId="4" fontId="6" fillId="0" borderId="7" xfId="9" applyNumberFormat="1" applyFont="1" applyFill="1" applyBorder="1"/>
    <xf numFmtId="4" fontId="2" fillId="0" borderId="5" xfId="9" applyNumberFormat="1" applyFill="1" applyBorder="1"/>
    <xf numFmtId="0" fontId="0" fillId="0" borderId="20" xfId="0" applyBorder="1"/>
    <xf numFmtId="4" fontId="19" fillId="0" borderId="8" xfId="9" applyNumberFormat="1" applyFont="1" applyFill="1" applyBorder="1" applyAlignment="1">
      <alignment vertical="top" wrapText="1"/>
    </xf>
    <xf numFmtId="4" fontId="0" fillId="0" borderId="9" xfId="0" applyNumberFormat="1" applyBorder="1"/>
    <xf numFmtId="4" fontId="0" fillId="0" borderId="2" xfId="0" applyNumberFormat="1" applyBorder="1"/>
    <xf numFmtId="0" fontId="0" fillId="0" borderId="0" xfId="0" applyBorder="1" applyAlignment="1">
      <alignment vertical="center"/>
    </xf>
    <xf numFmtId="167" fontId="19" fillId="0" borderId="6" xfId="5" applyNumberFormat="1" applyFont="1" applyFill="1" applyBorder="1" applyAlignment="1">
      <alignment wrapText="1"/>
    </xf>
    <xf numFmtId="0" fontId="41" fillId="0" borderId="7" xfId="0" applyFont="1" applyBorder="1"/>
    <xf numFmtId="0" fontId="50" fillId="0" borderId="8" xfId="0" applyFont="1" applyBorder="1" applyAlignment="1">
      <alignment vertical="top" wrapText="1"/>
    </xf>
    <xf numFmtId="0" fontId="0" fillId="0" borderId="2" xfId="0" applyBorder="1"/>
    <xf numFmtId="0" fontId="41" fillId="0" borderId="5" xfId="0" applyFont="1" applyFill="1" applyBorder="1"/>
    <xf numFmtId="2" fontId="41" fillId="0" borderId="9" xfId="0" applyNumberFormat="1" applyFont="1" applyBorder="1"/>
    <xf numFmtId="0" fontId="2" fillId="13" borderId="0" xfId="9" applyFont="1" applyFill="1" applyBorder="1"/>
    <xf numFmtId="0" fontId="67" fillId="13" borderId="1" xfId="0" applyFont="1" applyFill="1" applyBorder="1"/>
    <xf numFmtId="0" fontId="66" fillId="13" borderId="1" xfId="0" applyFont="1" applyFill="1" applyBorder="1"/>
    <xf numFmtId="0" fontId="2" fillId="13" borderId="1" xfId="9" applyFill="1" applyBorder="1"/>
    <xf numFmtId="0" fontId="6" fillId="13" borderId="1" xfId="9" applyFont="1" applyFill="1" applyBorder="1"/>
    <xf numFmtId="4" fontId="2" fillId="13" borderId="1" xfId="9" applyNumberFormat="1" applyFill="1" applyBorder="1"/>
    <xf numFmtId="0" fontId="2" fillId="13" borderId="1" xfId="9" applyFont="1" applyFill="1" applyBorder="1"/>
    <xf numFmtId="0" fontId="4" fillId="4" borderId="9" xfId="9" applyFont="1" applyFill="1" applyBorder="1" applyAlignment="1">
      <alignment horizontal="left" vertical="center"/>
    </xf>
    <xf numFmtId="0" fontId="4" fillId="4" borderId="11" xfId="9" applyFont="1" applyFill="1" applyBorder="1" applyAlignment="1">
      <alignment horizontal="left" vertical="center"/>
    </xf>
    <xf numFmtId="4" fontId="3" fillId="4" borderId="11" xfId="9" applyNumberFormat="1" applyFont="1" applyFill="1" applyBorder="1" applyAlignment="1">
      <alignment horizontal="left" vertical="center" wrapText="1"/>
    </xf>
    <xf numFmtId="0" fontId="35" fillId="13" borderId="1" xfId="0" applyFont="1" applyFill="1" applyBorder="1"/>
    <xf numFmtId="0" fontId="58" fillId="0" borderId="0" xfId="0" applyFont="1" applyAlignment="1">
      <alignment vertical="top"/>
    </xf>
    <xf numFmtId="0" fontId="58" fillId="0" borderId="0" xfId="0" applyFont="1"/>
    <xf numFmtId="0" fontId="2" fillId="7" borderId="0" xfId="9" applyFont="1" applyFill="1" applyBorder="1"/>
    <xf numFmtId="0" fontId="54" fillId="7" borderId="1" xfId="0" applyFont="1" applyFill="1" applyBorder="1"/>
    <xf numFmtId="0" fontId="56" fillId="7" borderId="1" xfId="0" applyFont="1" applyFill="1" applyBorder="1"/>
    <xf numFmtId="4" fontId="56" fillId="7" borderId="1" xfId="0" applyNumberFormat="1" applyFont="1" applyFill="1" applyBorder="1"/>
    <xf numFmtId="0" fontId="35" fillId="7" borderId="1" xfId="0" applyFont="1" applyFill="1" applyBorder="1"/>
    <xf numFmtId="4" fontId="20" fillId="0" borderId="0" xfId="9" applyNumberFormat="1" applyFont="1" applyFill="1" applyBorder="1"/>
    <xf numFmtId="4" fontId="19" fillId="0" borderId="6" xfId="9" applyNumberFormat="1" applyFont="1" applyFill="1" applyBorder="1" applyAlignment="1">
      <alignment horizontal="center" wrapText="1"/>
    </xf>
    <xf numFmtId="4" fontId="19" fillId="0" borderId="0" xfId="9" applyNumberFormat="1" applyFont="1" applyFill="1" applyBorder="1" applyAlignment="1">
      <alignment horizontal="center" wrapText="1"/>
    </xf>
    <xf numFmtId="4" fontId="19" fillId="0" borderId="8" xfId="9" applyNumberFormat="1" applyFont="1" applyFill="1" applyBorder="1" applyAlignment="1">
      <alignment horizontal="center" wrapText="1"/>
    </xf>
    <xf numFmtId="4" fontId="41" fillId="4" borderId="6" xfId="0" applyNumberFormat="1" applyFont="1" applyFill="1" applyBorder="1"/>
    <xf numFmtId="0" fontId="41" fillId="4" borderId="0" xfId="0" applyNumberFormat="1" applyFont="1" applyFill="1" applyBorder="1"/>
    <xf numFmtId="4" fontId="41" fillId="4" borderId="0" xfId="0" applyNumberFormat="1" applyFont="1" applyFill="1" applyBorder="1"/>
    <xf numFmtId="1" fontId="41" fillId="4" borderId="0" xfId="0" applyNumberFormat="1" applyFont="1" applyFill="1" applyBorder="1"/>
    <xf numFmtId="167" fontId="50" fillId="0" borderId="0" xfId="6" applyNumberFormat="1" applyFont="1"/>
    <xf numFmtId="169" fontId="2" fillId="0" borderId="0" xfId="3" applyNumberFormat="1" applyFont="1" applyFill="1" applyBorder="1" applyAlignment="1">
      <alignment vertical="top"/>
    </xf>
    <xf numFmtId="4" fontId="19" fillId="0" borderId="12" xfId="9" applyNumberFormat="1" applyFont="1" applyFill="1" applyBorder="1" applyAlignment="1">
      <alignment vertical="top" wrapText="1"/>
    </xf>
    <xf numFmtId="4" fontId="19" fillId="0" borderId="15" xfId="9" applyNumberFormat="1" applyFont="1" applyFill="1" applyBorder="1" applyAlignment="1">
      <alignment vertical="top" wrapText="1"/>
    </xf>
    <xf numFmtId="4" fontId="19" fillId="0" borderId="0" xfId="9" applyNumberFormat="1" applyFont="1" applyFill="1" applyBorder="1" applyAlignment="1">
      <alignment horizontal="left"/>
    </xf>
    <xf numFmtId="0" fontId="26" fillId="0" borderId="0" xfId="0" applyFont="1"/>
    <xf numFmtId="169" fontId="2" fillId="0" borderId="5" xfId="3" applyNumberFormat="1" applyFont="1" applyFill="1" applyBorder="1" applyAlignment="1">
      <alignment vertical="top"/>
    </xf>
    <xf numFmtId="9" fontId="1" fillId="0" borderId="0" xfId="6" applyFont="1"/>
    <xf numFmtId="2" fontId="2" fillId="13" borderId="1" xfId="9" applyNumberFormat="1" applyFill="1" applyBorder="1"/>
    <xf numFmtId="0" fontId="50" fillId="0" borderId="0" xfId="0" applyFont="1" applyFill="1" applyBorder="1"/>
    <xf numFmtId="4" fontId="20" fillId="0" borderId="15" xfId="9" applyNumberFormat="1" applyFont="1" applyFill="1" applyBorder="1"/>
    <xf numFmtId="4" fontId="20" fillId="0" borderId="5" xfId="9" applyNumberFormat="1" applyFont="1" applyFill="1" applyBorder="1"/>
    <xf numFmtId="169" fontId="2" fillId="0" borderId="15" xfId="3" applyNumberFormat="1" applyFont="1" applyFill="1" applyBorder="1" applyAlignment="1">
      <alignment vertical="top"/>
    </xf>
    <xf numFmtId="4" fontId="2" fillId="0" borderId="7" xfId="9" applyNumberFormat="1" applyFont="1" applyFill="1" applyBorder="1"/>
    <xf numFmtId="0" fontId="26" fillId="0" borderId="0" xfId="0" applyFont="1" applyBorder="1"/>
    <xf numFmtId="0" fontId="7" fillId="0" borderId="0" xfId="0" applyFont="1"/>
    <xf numFmtId="0" fontId="68" fillId="0" borderId="0" xfId="0" applyFont="1" applyFill="1" applyAlignment="1">
      <alignment vertical="center"/>
    </xf>
    <xf numFmtId="0" fontId="68" fillId="0" borderId="0" xfId="0" applyFont="1" applyFill="1"/>
    <xf numFmtId="164" fontId="2" fillId="0" borderId="0" xfId="3" applyNumberFormat="1" applyFont="1" applyFill="1" applyBorder="1" applyAlignment="1">
      <alignment horizontal="right"/>
    </xf>
    <xf numFmtId="176" fontId="19" fillId="0" borderId="0" xfId="9" applyNumberFormat="1" applyFont="1" applyFill="1" applyBorder="1"/>
    <xf numFmtId="171" fontId="69" fillId="0" borderId="0" xfId="5" applyNumberFormat="1" applyFont="1"/>
    <xf numFmtId="0" fontId="51" fillId="13" borderId="1" xfId="9" applyFont="1" applyFill="1" applyBorder="1"/>
    <xf numFmtId="0" fontId="72" fillId="13" borderId="1" xfId="9" applyFont="1" applyFill="1" applyBorder="1"/>
    <xf numFmtId="2" fontId="72" fillId="13" borderId="1" xfId="9" applyNumberFormat="1" applyFont="1" applyFill="1" applyBorder="1"/>
    <xf numFmtId="0" fontId="14" fillId="0" borderId="10" xfId="0" applyFont="1" applyFill="1" applyBorder="1"/>
    <xf numFmtId="0" fontId="14" fillId="0" borderId="10" xfId="0" applyFont="1" applyBorder="1"/>
    <xf numFmtId="0" fontId="14" fillId="0" borderId="0" xfId="0" applyFont="1" applyFill="1"/>
    <xf numFmtId="0" fontId="14" fillId="4" borderId="0" xfId="0" applyFont="1" applyFill="1"/>
    <xf numFmtId="0" fontId="14" fillId="4" borderId="0" xfId="0" applyFont="1" applyFill="1" applyBorder="1"/>
    <xf numFmtId="0" fontId="14" fillId="0" borderId="6" xfId="0" applyFont="1" applyFill="1" applyBorder="1"/>
    <xf numFmtId="0" fontId="14" fillId="0" borderId="0" xfId="0" applyFont="1" applyFill="1" applyBorder="1"/>
    <xf numFmtId="0" fontId="14" fillId="0" borderId="6" xfId="0" applyFont="1" applyBorder="1"/>
    <xf numFmtId="0" fontId="14" fillId="4" borderId="10" xfId="0" applyFont="1" applyFill="1" applyBorder="1"/>
    <xf numFmtId="0" fontId="3" fillId="4" borderId="0" xfId="9" applyFont="1" applyFill="1" applyBorder="1" applyAlignment="1">
      <alignment vertical="top" wrapText="1"/>
    </xf>
    <xf numFmtId="0" fontId="58" fillId="4" borderId="0" xfId="0" applyFont="1" applyFill="1" applyAlignment="1">
      <alignment vertical="center" wrapText="1"/>
    </xf>
    <xf numFmtId="0" fontId="70" fillId="4" borderId="0" xfId="0" applyFont="1" applyFill="1" applyAlignment="1">
      <alignment vertical="center" wrapText="1"/>
    </xf>
    <xf numFmtId="0" fontId="70" fillId="4" borderId="0" xfId="0" applyFont="1" applyFill="1" applyAlignment="1">
      <alignment vertical="top" wrapText="1"/>
    </xf>
    <xf numFmtId="0" fontId="70" fillId="4" borderId="0" xfId="0" applyFont="1" applyFill="1" applyAlignment="1">
      <alignment vertical="top"/>
    </xf>
    <xf numFmtId="0" fontId="3" fillId="4" borderId="0" xfId="9" applyFont="1" applyFill="1" applyBorder="1"/>
    <xf numFmtId="0" fontId="2" fillId="14" borderId="0" xfId="9" applyFont="1" applyFill="1" applyBorder="1"/>
    <xf numFmtId="0" fontId="2" fillId="14" borderId="1" xfId="9" applyFill="1" applyBorder="1"/>
    <xf numFmtId="0" fontId="2" fillId="14" borderId="1" xfId="9" applyFont="1" applyFill="1" applyBorder="1"/>
    <xf numFmtId="4" fontId="2" fillId="14" borderId="1" xfId="9" applyNumberFormat="1" applyFill="1" applyBorder="1"/>
    <xf numFmtId="0" fontId="4" fillId="4" borderId="9" xfId="9" applyFont="1" applyFill="1" applyBorder="1" applyAlignment="1">
      <alignment horizontal="left" vertical="center" wrapText="1"/>
    </xf>
    <xf numFmtId="0" fontId="4" fillId="4" borderId="11" xfId="9" applyFont="1" applyFill="1" applyBorder="1" applyAlignment="1">
      <alignment horizontal="left" vertical="center" wrapText="1"/>
    </xf>
    <xf numFmtId="0" fontId="0" fillId="0" borderId="0" xfId="0" applyAlignment="1">
      <alignment vertical="center" wrapText="1"/>
    </xf>
    <xf numFmtId="0" fontId="75" fillId="0" borderId="0" xfId="0" applyFont="1"/>
    <xf numFmtId="4" fontId="3" fillId="0" borderId="1" xfId="9" applyNumberFormat="1" applyFont="1" applyBorder="1"/>
    <xf numFmtId="0" fontId="75" fillId="4" borderId="0" xfId="0" applyFont="1" applyFill="1"/>
    <xf numFmtId="4" fontId="3" fillId="2" borderId="1" xfId="9" applyNumberFormat="1" applyFont="1" applyFill="1" applyBorder="1"/>
    <xf numFmtId="4" fontId="3" fillId="0" borderId="1" xfId="9" applyNumberFormat="1" applyFont="1" applyFill="1" applyBorder="1"/>
    <xf numFmtId="4" fontId="3" fillId="9" borderId="1" xfId="9" applyNumberFormat="1" applyFont="1" applyFill="1" applyBorder="1"/>
    <xf numFmtId="4" fontId="3" fillId="6" borderId="1" xfId="9" applyNumberFormat="1" applyFont="1" applyFill="1" applyBorder="1"/>
    <xf numFmtId="4" fontId="3" fillId="10" borderId="1" xfId="9" applyNumberFormat="1" applyFont="1" applyFill="1" applyBorder="1"/>
    <xf numFmtId="4" fontId="3" fillId="13" borderId="1" xfId="9" applyNumberFormat="1" applyFont="1" applyFill="1" applyBorder="1"/>
    <xf numFmtId="4" fontId="3" fillId="14" borderId="1" xfId="9" applyNumberFormat="1" applyFont="1" applyFill="1" applyBorder="1"/>
    <xf numFmtId="2" fontId="58" fillId="3" borderId="1" xfId="0" applyNumberFormat="1" applyFont="1" applyFill="1" applyBorder="1"/>
    <xf numFmtId="2" fontId="58" fillId="2" borderId="1" xfId="0" applyNumberFormat="1" applyFont="1" applyFill="1" applyBorder="1"/>
    <xf numFmtId="2" fontId="58" fillId="9" borderId="1" xfId="0" applyNumberFormat="1" applyFont="1" applyFill="1" applyBorder="1"/>
    <xf numFmtId="2" fontId="3" fillId="2" borderId="1" xfId="9" applyNumberFormat="1" applyFont="1" applyFill="1" applyBorder="1"/>
    <xf numFmtId="2" fontId="3" fillId="9" borderId="1" xfId="9" applyNumberFormat="1" applyFont="1" applyFill="1" applyBorder="1"/>
    <xf numFmtId="2" fontId="3" fillId="0" borderId="1" xfId="9" applyNumberFormat="1" applyFont="1" applyFill="1" applyBorder="1"/>
    <xf numFmtId="2" fontId="3" fillId="0" borderId="1" xfId="9" applyNumberFormat="1" applyFont="1" applyBorder="1"/>
    <xf numFmtId="2" fontId="58" fillId="13" borderId="1" xfId="0" applyNumberFormat="1" applyFont="1" applyFill="1" applyBorder="1"/>
    <xf numFmtId="2" fontId="3" fillId="13" borderId="1" xfId="9" applyNumberFormat="1" applyFont="1" applyFill="1" applyBorder="1"/>
    <xf numFmtId="2" fontId="3" fillId="3" borderId="1" xfId="9" applyNumberFormat="1" applyFont="1" applyFill="1" applyBorder="1"/>
    <xf numFmtId="0" fontId="3" fillId="13" borderId="1" xfId="9" applyFont="1" applyFill="1" applyBorder="1"/>
    <xf numFmtId="2" fontId="3" fillId="0" borderId="1" xfId="9" applyNumberFormat="1" applyFont="1" applyBorder="1" applyAlignment="1">
      <alignment vertical="top"/>
    </xf>
    <xf numFmtId="4" fontId="3" fillId="0" borderId="1" xfId="9" applyNumberFormat="1" applyFont="1" applyBorder="1" applyAlignment="1">
      <alignment vertical="center"/>
    </xf>
    <xf numFmtId="2" fontId="3" fillId="0" borderId="1" xfId="9" applyNumberFormat="1" applyFont="1" applyFill="1" applyBorder="1" applyAlignment="1">
      <alignment vertical="top"/>
    </xf>
    <xf numFmtId="2" fontId="3" fillId="6" borderId="1" xfId="9" applyNumberFormat="1" applyFont="1" applyFill="1" applyBorder="1"/>
    <xf numFmtId="2" fontId="3" fillId="4" borderId="1" xfId="9" applyNumberFormat="1" applyFont="1" applyFill="1" applyBorder="1"/>
    <xf numFmtId="2" fontId="3" fillId="10" borderId="1" xfId="9" applyNumberFormat="1" applyFont="1" applyFill="1" applyBorder="1"/>
    <xf numFmtId="0" fontId="73" fillId="0" borderId="2" xfId="9" applyFont="1" applyFill="1" applyBorder="1"/>
    <xf numFmtId="4" fontId="3" fillId="3" borderId="1" xfId="9" applyNumberFormat="1" applyFont="1" applyFill="1" applyBorder="1"/>
    <xf numFmtId="4" fontId="3" fillId="0" borderId="0" xfId="9" applyNumberFormat="1" applyFont="1" applyBorder="1"/>
    <xf numFmtId="4" fontId="75" fillId="0" borderId="0" xfId="0" applyNumberFormat="1" applyFont="1"/>
    <xf numFmtId="4" fontId="3" fillId="11" borderId="1" xfId="9" applyNumberFormat="1" applyFont="1" applyFill="1" applyBorder="1"/>
    <xf numFmtId="4" fontId="3" fillId="2" borderId="1" xfId="9" applyNumberFormat="1" applyFont="1" applyFill="1" applyBorder="1" applyAlignment="1">
      <alignment horizontal="right"/>
    </xf>
    <xf numFmtId="4" fontId="3" fillId="6" borderId="1" xfId="9" applyNumberFormat="1" applyFont="1" applyFill="1" applyBorder="1" applyAlignment="1">
      <alignment horizontal="right"/>
    </xf>
    <xf numFmtId="4" fontId="36" fillId="10" borderId="1" xfId="0" applyNumberFormat="1" applyFont="1" applyFill="1" applyBorder="1"/>
    <xf numFmtId="4" fontId="36" fillId="0" borderId="0" xfId="0" applyNumberFormat="1" applyFont="1"/>
    <xf numFmtId="4" fontId="36" fillId="13" borderId="1" xfId="0" applyNumberFormat="1" applyFont="1" applyFill="1" applyBorder="1"/>
    <xf numFmtId="4" fontId="36" fillId="0" borderId="0" xfId="0" applyNumberFormat="1" applyFont="1" applyFill="1" applyBorder="1"/>
    <xf numFmtId="4" fontId="36" fillId="7" borderId="1" xfId="0" applyNumberFormat="1" applyFont="1" applyFill="1" applyBorder="1"/>
    <xf numFmtId="0" fontId="36" fillId="6" borderId="1" xfId="0" applyFont="1" applyFill="1" applyBorder="1"/>
    <xf numFmtId="0" fontId="52" fillId="13" borderId="1" xfId="9" applyFont="1" applyFill="1" applyBorder="1"/>
    <xf numFmtId="2" fontId="52" fillId="13" borderId="1" xfId="9" applyNumberFormat="1" applyFont="1" applyFill="1" applyBorder="1"/>
    <xf numFmtId="4" fontId="36" fillId="0" borderId="1" xfId="0" applyNumberFormat="1" applyFont="1" applyFill="1" applyBorder="1"/>
    <xf numFmtId="4" fontId="13" fillId="3" borderId="1" xfId="0" applyNumberFormat="1" applyFont="1" applyFill="1" applyBorder="1"/>
    <xf numFmtId="4" fontId="13" fillId="2" borderId="1" xfId="0" applyNumberFormat="1" applyFont="1" applyFill="1" applyBorder="1"/>
    <xf numFmtId="4" fontId="13" fillId="9" borderId="1" xfId="0" applyNumberFormat="1" applyFont="1" applyFill="1" applyBorder="1"/>
    <xf numFmtId="4" fontId="6" fillId="2" borderId="1" xfId="9" applyNumberFormat="1" applyFont="1" applyFill="1" applyBorder="1"/>
    <xf numFmtId="4" fontId="6" fillId="9" borderId="1" xfId="9" applyNumberFormat="1" applyFont="1" applyFill="1" applyBorder="1"/>
    <xf numFmtId="4" fontId="6" fillId="0" borderId="1" xfId="9" applyNumberFormat="1" applyFont="1" applyFill="1" applyBorder="1"/>
    <xf numFmtId="4" fontId="6" fillId="0" borderId="1" xfId="9" applyNumberFormat="1" applyFont="1" applyBorder="1"/>
    <xf numFmtId="4" fontId="2" fillId="0" borderId="1" xfId="9" applyNumberFormat="1" applyFont="1" applyBorder="1"/>
    <xf numFmtId="4" fontId="13" fillId="13" borderId="1" xfId="0" applyNumberFormat="1" applyFont="1" applyFill="1" applyBorder="1"/>
    <xf numFmtId="4" fontId="6" fillId="13" borderId="1" xfId="9" applyNumberFormat="1" applyFont="1" applyFill="1" applyBorder="1"/>
    <xf numFmtId="4" fontId="6" fillId="3" borderId="1" xfId="9" applyNumberFormat="1" applyFont="1" applyFill="1" applyBorder="1"/>
    <xf numFmtId="4" fontId="6" fillId="0" borderId="1" xfId="9" applyNumberFormat="1" applyFont="1" applyBorder="1" applyAlignment="1">
      <alignment vertical="top"/>
    </xf>
    <xf numFmtId="4" fontId="6" fillId="0" borderId="1" xfId="9" applyNumberFormat="1" applyFont="1" applyFill="1" applyBorder="1" applyAlignment="1">
      <alignment vertical="top"/>
    </xf>
    <xf numFmtId="4" fontId="6" fillId="6" borderId="1" xfId="9" applyNumberFormat="1" applyFont="1" applyFill="1" applyBorder="1"/>
    <xf numFmtId="4" fontId="2" fillId="0" borderId="1" xfId="9" applyNumberFormat="1" applyFont="1" applyFill="1" applyBorder="1" applyAlignment="1">
      <alignment vertical="top"/>
    </xf>
    <xf numFmtId="4" fontId="2" fillId="0" borderId="1" xfId="9" applyNumberFormat="1" applyFont="1" applyFill="1" applyBorder="1"/>
    <xf numFmtId="4" fontId="2" fillId="13" borderId="1" xfId="9" applyNumberFormat="1" applyFont="1" applyFill="1" applyBorder="1"/>
    <xf numFmtId="4" fontId="6" fillId="4" borderId="1" xfId="9" applyNumberFormat="1" applyFont="1" applyFill="1" applyBorder="1"/>
    <xf numFmtId="4" fontId="6" fillId="10" borderId="1" xfId="9" applyNumberFormat="1" applyFont="1" applyFill="1" applyBorder="1"/>
    <xf numFmtId="4" fontId="5" fillId="0" borderId="2" xfId="9" applyNumberFormat="1" applyFont="1" applyFill="1" applyBorder="1"/>
    <xf numFmtId="4" fontId="3" fillId="4" borderId="0" xfId="9" applyNumberFormat="1" applyFont="1" applyFill="1" applyBorder="1" applyAlignment="1">
      <alignment vertical="top" wrapText="1"/>
    </xf>
    <xf numFmtId="4" fontId="70" fillId="4" borderId="0" xfId="0" applyNumberFormat="1" applyFont="1" applyFill="1" applyAlignment="1">
      <alignment vertical="top" wrapText="1"/>
    </xf>
    <xf numFmtId="4" fontId="3" fillId="4" borderId="0" xfId="9" applyNumberFormat="1" applyFont="1" applyFill="1" applyBorder="1"/>
    <xf numFmtId="4" fontId="70" fillId="4" borderId="0" xfId="0" applyNumberFormat="1" applyFont="1" applyFill="1" applyAlignment="1">
      <alignment vertical="top"/>
    </xf>
    <xf numFmtId="4" fontId="58" fillId="4" borderId="0" xfId="0" applyNumberFormat="1" applyFont="1" applyFill="1" applyAlignment="1">
      <alignment vertical="center" wrapText="1"/>
    </xf>
    <xf numFmtId="4" fontId="72" fillId="13" borderId="1" xfId="9" applyNumberFormat="1" applyFont="1" applyFill="1" applyBorder="1"/>
    <xf numFmtId="4" fontId="70" fillId="4" borderId="0" xfId="0" applyNumberFormat="1" applyFont="1" applyFill="1" applyAlignment="1">
      <alignment vertical="center" wrapText="1"/>
    </xf>
    <xf numFmtId="4" fontId="34" fillId="4" borderId="5" xfId="0" applyNumberFormat="1" applyFont="1" applyFill="1" applyBorder="1" applyAlignment="1">
      <alignment horizontal="left" vertical="top" wrapText="1"/>
    </xf>
    <xf numFmtId="4" fontId="34" fillId="4" borderId="9" xfId="0" applyNumberFormat="1" applyFont="1" applyFill="1" applyBorder="1" applyAlignment="1">
      <alignment horizontal="left" vertical="top" wrapText="1"/>
    </xf>
    <xf numFmtId="0" fontId="2" fillId="0" borderId="21" xfId="9" applyFill="1" applyBorder="1"/>
    <xf numFmtId="0" fontId="2" fillId="0" borderId="20" xfId="9" applyFont="1" applyFill="1" applyBorder="1"/>
    <xf numFmtId="0" fontId="2" fillId="0" borderId="20" xfId="9" applyFill="1" applyBorder="1"/>
    <xf numFmtId="2" fontId="3" fillId="0" borderId="20" xfId="9" applyNumberFormat="1" applyFont="1" applyFill="1" applyBorder="1"/>
    <xf numFmtId="2" fontId="6" fillId="0" borderId="20" xfId="9" applyNumberFormat="1" applyFont="1" applyFill="1" applyBorder="1"/>
    <xf numFmtId="4" fontId="6" fillId="0" borderId="20" xfId="9" applyNumberFormat="1" applyFont="1" applyFill="1" applyBorder="1"/>
    <xf numFmtId="168" fontId="2" fillId="2" borderId="1" xfId="9" applyNumberFormat="1" applyFill="1" applyBorder="1"/>
    <xf numFmtId="168" fontId="2" fillId="0" borderId="1" xfId="9" applyNumberFormat="1" applyBorder="1"/>
    <xf numFmtId="168" fontId="2" fillId="0" borderId="1" xfId="9" applyNumberFormat="1" applyFill="1" applyBorder="1"/>
    <xf numFmtId="168" fontId="2" fillId="9" borderId="1" xfId="9" applyNumberFormat="1" applyFill="1" applyBorder="1"/>
    <xf numFmtId="168" fontId="2" fillId="6" borderId="1" xfId="9" applyNumberFormat="1" applyFill="1" applyBorder="1"/>
    <xf numFmtId="168" fontId="2" fillId="10" borderId="1" xfId="9" applyNumberFormat="1" applyFill="1" applyBorder="1"/>
    <xf numFmtId="168" fontId="2" fillId="13" borderId="1" xfId="9" applyNumberFormat="1" applyFill="1" applyBorder="1"/>
    <xf numFmtId="168" fontId="13" fillId="3" borderId="1" xfId="0" applyNumberFormat="1" applyFont="1" applyFill="1" applyBorder="1"/>
    <xf numFmtId="168" fontId="13" fillId="2" borderId="1" xfId="0" applyNumberFormat="1" applyFont="1" applyFill="1" applyBorder="1"/>
    <xf numFmtId="168" fontId="13" fillId="9" borderId="1" xfId="0" applyNumberFormat="1" applyFont="1" applyFill="1" applyBorder="1"/>
    <xf numFmtId="168" fontId="6" fillId="2" borderId="1" xfId="9" applyNumberFormat="1" applyFont="1" applyFill="1" applyBorder="1"/>
    <xf numFmtId="168" fontId="6" fillId="9" borderId="1" xfId="9" applyNumberFormat="1" applyFont="1" applyFill="1" applyBorder="1"/>
    <xf numFmtId="168" fontId="6" fillId="0" borderId="1" xfId="9" applyNumberFormat="1" applyFont="1" applyFill="1" applyBorder="1"/>
    <xf numFmtId="168" fontId="6" fillId="0" borderId="1" xfId="9" applyNumberFormat="1" applyFont="1" applyBorder="1"/>
    <xf numFmtId="168" fontId="2" fillId="0" borderId="1" xfId="9" applyNumberFormat="1" applyFont="1" applyBorder="1"/>
    <xf numFmtId="168" fontId="13" fillId="13" borderId="1" xfId="0" applyNumberFormat="1" applyFont="1" applyFill="1" applyBorder="1"/>
    <xf numFmtId="168" fontId="6" fillId="13" borderId="1" xfId="9" applyNumberFormat="1" applyFont="1" applyFill="1" applyBorder="1"/>
    <xf numFmtId="168" fontId="6" fillId="3" borderId="1" xfId="9" applyNumberFormat="1" applyFont="1" applyFill="1" applyBorder="1"/>
    <xf numFmtId="168" fontId="0" fillId="0" borderId="0" xfId="0" applyNumberFormat="1"/>
    <xf numFmtId="168" fontId="6" fillId="0" borderId="1" xfId="9" applyNumberFormat="1" applyFont="1" applyBorder="1" applyAlignment="1">
      <alignment vertical="top"/>
    </xf>
    <xf numFmtId="168" fontId="2" fillId="0" borderId="1" xfId="9" applyNumberFormat="1" applyBorder="1" applyAlignment="1">
      <alignment vertical="center"/>
    </xf>
    <xf numFmtId="168" fontId="6" fillId="0" borderId="1" xfId="9" applyNumberFormat="1" applyFont="1" applyFill="1" applyBorder="1" applyAlignment="1">
      <alignment vertical="top"/>
    </xf>
    <xf numFmtId="168" fontId="6" fillId="6" borderId="1" xfId="9" applyNumberFormat="1" applyFont="1" applyFill="1" applyBorder="1"/>
    <xf numFmtId="168" fontId="2" fillId="0" borderId="1" xfId="9" applyNumberFormat="1" applyFont="1" applyFill="1" applyBorder="1" applyAlignment="1">
      <alignment vertical="top"/>
    </xf>
    <xf numFmtId="168" fontId="2" fillId="0" borderId="1" xfId="9" applyNumberFormat="1" applyFont="1" applyFill="1" applyBorder="1"/>
    <xf numFmtId="168" fontId="2" fillId="13" borderId="1" xfId="9" applyNumberFormat="1" applyFont="1" applyFill="1" applyBorder="1"/>
    <xf numFmtId="168" fontId="6" fillId="10" borderId="1" xfId="9" applyNumberFormat="1" applyFont="1" applyFill="1" applyBorder="1"/>
    <xf numFmtId="168" fontId="2" fillId="3" borderId="1" xfId="9" applyNumberFormat="1" applyFill="1" applyBorder="1"/>
    <xf numFmtId="168" fontId="2" fillId="0" borderId="0" xfId="9" applyNumberFormat="1" applyBorder="1"/>
    <xf numFmtId="168" fontId="0" fillId="4" borderId="0" xfId="0" applyNumberFormat="1" applyFill="1"/>
    <xf numFmtId="168" fontId="2" fillId="11" borderId="1" xfId="9" applyNumberFormat="1" applyFill="1" applyBorder="1"/>
    <xf numFmtId="168" fontId="2" fillId="2" borderId="1" xfId="9" applyNumberFormat="1" applyFont="1" applyFill="1" applyBorder="1" applyAlignment="1">
      <alignment horizontal="right"/>
    </xf>
    <xf numFmtId="168" fontId="2" fillId="2" borderId="1" xfId="9" applyNumberFormat="1" applyFill="1" applyBorder="1" applyAlignment="1">
      <alignment horizontal="right"/>
    </xf>
    <xf numFmtId="168" fontId="2" fillId="6" borderId="1" xfId="9" applyNumberFormat="1" applyFont="1" applyFill="1" applyBorder="1" applyAlignment="1">
      <alignment horizontal="right"/>
    </xf>
    <xf numFmtId="168" fontId="2" fillId="6" borderId="1" xfId="9" applyNumberFormat="1" applyFill="1" applyBorder="1" applyAlignment="1">
      <alignment horizontal="right"/>
    </xf>
    <xf numFmtId="4" fontId="2" fillId="0" borderId="1" xfId="9" applyNumberFormat="1" applyBorder="1" applyAlignment="1">
      <alignment vertical="center" wrapText="1"/>
    </xf>
    <xf numFmtId="4" fontId="3" fillId="4" borderId="11" xfId="9" applyNumberFormat="1" applyFont="1" applyFill="1" applyBorder="1" applyAlignment="1">
      <alignment horizontal="center" vertical="center" wrapText="1"/>
    </xf>
    <xf numFmtId="0" fontId="0" fillId="0" borderId="0" xfId="0" applyAlignment="1">
      <alignment vertical="top" wrapText="1"/>
    </xf>
    <xf numFmtId="0" fontId="76" fillId="0" borderId="0" xfId="0" applyFont="1" applyAlignment="1">
      <alignment vertical="top" wrapText="1"/>
    </xf>
    <xf numFmtId="0" fontId="77" fillId="0" borderId="0" xfId="0" applyFont="1" applyAlignment="1">
      <alignment vertical="top" wrapText="1"/>
    </xf>
    <xf numFmtId="0" fontId="0" fillId="0" borderId="1" xfId="0" applyBorder="1" applyAlignment="1">
      <alignment vertical="top" wrapText="1"/>
    </xf>
    <xf numFmtId="0" fontId="4" fillId="4" borderId="9" xfId="9" applyFont="1" applyFill="1" applyBorder="1" applyAlignment="1">
      <alignment horizontal="center" vertical="top" wrapText="1"/>
    </xf>
    <xf numFmtId="14" fontId="0" fillId="0" borderId="1" xfId="0" applyNumberFormat="1" applyBorder="1" applyAlignment="1">
      <alignment horizontal="center" vertical="top"/>
    </xf>
    <xf numFmtId="0" fontId="0" fillId="0" borderId="0" xfId="0" applyAlignment="1">
      <alignment horizontal="center" vertical="top"/>
    </xf>
    <xf numFmtId="0" fontId="67" fillId="14" borderId="1" xfId="0" applyFont="1" applyFill="1" applyBorder="1"/>
    <xf numFmtId="4" fontId="36" fillId="14" borderId="1" xfId="0" applyNumberFormat="1" applyFont="1" applyFill="1" applyBorder="1"/>
    <xf numFmtId="0" fontId="35" fillId="14" borderId="1" xfId="0" applyFont="1" applyFill="1" applyBorder="1"/>
    <xf numFmtId="0" fontId="35" fillId="6" borderId="1" xfId="0" applyFont="1" applyFill="1" applyBorder="1"/>
    <xf numFmtId="0" fontId="3" fillId="4" borderId="9" xfId="9" applyFont="1" applyFill="1" applyBorder="1" applyAlignment="1">
      <alignment horizontal="left" vertical="center" wrapText="1"/>
    </xf>
    <xf numFmtId="10" fontId="50" fillId="0" borderId="0" xfId="6" applyNumberFormat="1" applyFont="1"/>
    <xf numFmtId="174" fontId="0" fillId="0" borderId="0" xfId="0" applyNumberFormat="1" applyFill="1"/>
    <xf numFmtId="17" fontId="0" fillId="0" borderId="0" xfId="0" quotePrefix="1" applyNumberFormat="1"/>
    <xf numFmtId="0" fontId="34" fillId="4" borderId="15" xfId="0" applyFont="1" applyFill="1" applyBorder="1"/>
    <xf numFmtId="0" fontId="0" fillId="4" borderId="15" xfId="0" applyFill="1" applyBorder="1"/>
    <xf numFmtId="0" fontId="75" fillId="4" borderId="15" xfId="0" applyFont="1" applyFill="1" applyBorder="1"/>
    <xf numFmtId="4" fontId="75" fillId="0" borderId="0" xfId="0" applyNumberFormat="1" applyFont="1" applyBorder="1"/>
    <xf numFmtId="4" fontId="36" fillId="10" borderId="10" xfId="0" applyNumberFormat="1" applyFont="1" applyFill="1" applyBorder="1"/>
    <xf numFmtId="0" fontId="34" fillId="4" borderId="0" xfId="0" applyFont="1" applyFill="1" applyBorder="1"/>
    <xf numFmtId="0" fontId="75" fillId="4" borderId="0" xfId="0" applyFont="1" applyFill="1" applyBorder="1"/>
    <xf numFmtId="0" fontId="54" fillId="10" borderId="10" xfId="0" applyFont="1" applyFill="1" applyBorder="1"/>
    <xf numFmtId="0" fontId="56" fillId="10" borderId="10" xfId="0" applyFont="1" applyFill="1" applyBorder="1"/>
    <xf numFmtId="4" fontId="75" fillId="0" borderId="10" xfId="0" applyNumberFormat="1" applyFont="1" applyBorder="1"/>
    <xf numFmtId="0" fontId="54" fillId="6" borderId="10" xfId="0" applyFont="1" applyFill="1" applyBorder="1"/>
    <xf numFmtId="0" fontId="56" fillId="6" borderId="10" xfId="0" applyFont="1" applyFill="1" applyBorder="1"/>
    <xf numFmtId="4" fontId="36" fillId="6" borderId="10" xfId="0" applyNumberFormat="1" applyFont="1" applyFill="1" applyBorder="1"/>
    <xf numFmtId="0" fontId="54" fillId="7" borderId="10" xfId="0" applyFont="1" applyFill="1" applyBorder="1"/>
    <xf numFmtId="0" fontId="56" fillId="7" borderId="10" xfId="0" applyFont="1" applyFill="1" applyBorder="1"/>
    <xf numFmtId="4" fontId="36" fillId="7" borderId="10" xfId="0" applyNumberFormat="1" applyFont="1" applyFill="1" applyBorder="1"/>
    <xf numFmtId="0" fontId="54" fillId="12" borderId="10" xfId="0" applyFont="1" applyFill="1" applyBorder="1"/>
    <xf numFmtId="0" fontId="56" fillId="12" borderId="10" xfId="0" applyFont="1" applyFill="1" applyBorder="1"/>
    <xf numFmtId="4" fontId="36" fillId="12" borderId="10" xfId="0" applyNumberFormat="1" applyFont="1" applyFill="1" applyBorder="1"/>
    <xf numFmtId="0" fontId="54" fillId="15" borderId="10" xfId="0" applyFont="1" applyFill="1" applyBorder="1"/>
    <xf numFmtId="0" fontId="56" fillId="15" borderId="10" xfId="0" applyFont="1" applyFill="1" applyBorder="1"/>
    <xf numFmtId="0" fontId="35" fillId="10" borderId="10" xfId="0" applyFont="1" applyFill="1" applyBorder="1"/>
    <xf numFmtId="0" fontId="51" fillId="13" borderId="10" xfId="9" applyFont="1" applyFill="1" applyBorder="1"/>
    <xf numFmtId="0" fontId="72" fillId="13" borderId="10" xfId="9" applyFont="1" applyFill="1" applyBorder="1"/>
    <xf numFmtId="2" fontId="52" fillId="13" borderId="10" xfId="9" applyNumberFormat="1" applyFont="1" applyFill="1" applyBorder="1"/>
    <xf numFmtId="0" fontId="54" fillId="10" borderId="11" xfId="0" applyFont="1" applyFill="1" applyBorder="1"/>
    <xf numFmtId="0" fontId="56" fillId="10" borderId="11" xfId="0" applyFont="1" applyFill="1" applyBorder="1"/>
    <xf numFmtId="4" fontId="36" fillId="10" borderId="11" xfId="0" applyNumberFormat="1" applyFont="1" applyFill="1" applyBorder="1"/>
    <xf numFmtId="0" fontId="0" fillId="0" borderId="0" xfId="0" applyBorder="1" applyAlignment="1">
      <alignment vertical="top"/>
    </xf>
    <xf numFmtId="0" fontId="35" fillId="10" borderId="1" xfId="0" applyFont="1" applyFill="1" applyBorder="1"/>
    <xf numFmtId="0" fontId="0" fillId="0" borderId="1" xfId="0" applyBorder="1"/>
    <xf numFmtId="4" fontId="75" fillId="0" borderId="1" xfId="0" applyNumberFormat="1" applyFont="1" applyBorder="1"/>
    <xf numFmtId="4" fontId="36" fillId="11" borderId="1" xfId="0" applyNumberFormat="1" applyFont="1" applyFill="1" applyBorder="1"/>
    <xf numFmtId="0" fontId="34" fillId="4" borderId="0" xfId="0" applyFont="1" applyFill="1" applyAlignment="1">
      <alignment vertical="center"/>
    </xf>
    <xf numFmtId="0" fontId="0" fillId="4" borderId="0" xfId="0" applyFill="1" applyAlignment="1">
      <alignment vertical="center"/>
    </xf>
    <xf numFmtId="0" fontId="75" fillId="4" borderId="0" xfId="0" applyFont="1" applyFill="1" applyAlignment="1">
      <alignment vertical="center"/>
    </xf>
    <xf numFmtId="0" fontId="51" fillId="14" borderId="2" xfId="9" applyFont="1" applyFill="1" applyBorder="1"/>
    <xf numFmtId="0" fontId="51" fillId="0" borderId="2" xfId="9" applyFont="1" applyFill="1" applyBorder="1"/>
    <xf numFmtId="0" fontId="51" fillId="0" borderId="2" xfId="9" applyFont="1" applyBorder="1"/>
    <xf numFmtId="0" fontId="51" fillId="2" borderId="2" xfId="9" applyFont="1" applyFill="1" applyBorder="1"/>
    <xf numFmtId="0" fontId="51" fillId="0" borderId="1" xfId="9" applyFont="1" applyFill="1" applyBorder="1"/>
    <xf numFmtId="0" fontId="51" fillId="2" borderId="1" xfId="9" applyFont="1" applyFill="1" applyBorder="1"/>
    <xf numFmtId="0" fontId="51" fillId="6" borderId="2" xfId="9" applyFont="1" applyFill="1" applyBorder="1"/>
    <xf numFmtId="0" fontId="51" fillId="11" borderId="2" xfId="9" applyFont="1" applyFill="1" applyBorder="1"/>
    <xf numFmtId="0" fontId="51" fillId="13" borderId="2" xfId="9" applyFont="1" applyFill="1" applyBorder="1"/>
    <xf numFmtId="0" fontId="51" fillId="0" borderId="0" xfId="9" applyFont="1" applyFill="1" applyBorder="1"/>
    <xf numFmtId="0" fontId="79" fillId="0" borderId="2" xfId="9" applyFont="1" applyFill="1" applyBorder="1" applyAlignment="1">
      <alignment vertical="center"/>
    </xf>
    <xf numFmtId="0" fontId="51" fillId="3" borderId="2" xfId="9" applyFont="1" applyFill="1" applyBorder="1"/>
    <xf numFmtId="0" fontId="51" fillId="6" borderId="2" xfId="10" applyFont="1" applyFill="1" applyBorder="1"/>
    <xf numFmtId="0" fontId="51" fillId="13" borderId="2" xfId="10" applyFont="1" applyFill="1" applyBorder="1"/>
    <xf numFmtId="0" fontId="51" fillId="0" borderId="2" xfId="9" applyFont="1" applyFill="1" applyBorder="1" applyAlignment="1">
      <alignment vertical="top"/>
    </xf>
    <xf numFmtId="0" fontId="51" fillId="0" borderId="2" xfId="9" applyFont="1" applyBorder="1" applyAlignment="1">
      <alignment vertical="center"/>
    </xf>
    <xf numFmtId="0" fontId="51" fillId="10" borderId="2" xfId="9" applyFont="1" applyFill="1" applyBorder="1"/>
    <xf numFmtId="0" fontId="51" fillId="0" borderId="2" xfId="9" applyFont="1" applyBorder="1" applyAlignment="1">
      <alignment vertical="top"/>
    </xf>
    <xf numFmtId="0" fontId="51" fillId="9" borderId="2" xfId="9" applyFont="1" applyFill="1" applyBorder="1"/>
    <xf numFmtId="0" fontId="51" fillId="9" borderId="1" xfId="9" applyFont="1" applyFill="1" applyBorder="1"/>
    <xf numFmtId="0" fontId="51" fillId="3" borderId="1" xfId="9" applyFont="1" applyFill="1" applyBorder="1"/>
    <xf numFmtId="0" fontId="51" fillId="0" borderId="1" xfId="9" applyFont="1" applyBorder="1"/>
    <xf numFmtId="168" fontId="2" fillId="14" borderId="1" xfId="9" applyNumberFormat="1" applyFill="1" applyBorder="1"/>
    <xf numFmtId="0" fontId="3" fillId="4" borderId="0" xfId="9" applyFont="1" applyFill="1" applyBorder="1" applyAlignment="1">
      <alignment vertical="center" wrapText="1"/>
    </xf>
    <xf numFmtId="4" fontId="3" fillId="4" borderId="0" xfId="9" applyNumberFormat="1" applyFont="1" applyFill="1" applyBorder="1" applyAlignment="1">
      <alignment vertical="center" wrapText="1"/>
    </xf>
    <xf numFmtId="0" fontId="0" fillId="0" borderId="16" xfId="0" applyBorder="1" applyAlignment="1">
      <alignment vertical="top"/>
    </xf>
    <xf numFmtId="4" fontId="19" fillId="0" borderId="8" xfId="9" applyNumberFormat="1" applyFont="1" applyFill="1" applyBorder="1" applyAlignment="1"/>
    <xf numFmtId="4" fontId="19" fillId="0" borderId="0" xfId="9" applyNumberFormat="1" applyFont="1" applyFill="1" applyBorder="1" applyAlignment="1">
      <alignment vertical="top"/>
    </xf>
    <xf numFmtId="4" fontId="19" fillId="0" borderId="0" xfId="9" applyNumberFormat="1" applyFont="1" applyFill="1" applyBorder="1" applyAlignment="1">
      <alignment horizontal="center"/>
    </xf>
    <xf numFmtId="0" fontId="0" fillId="0" borderId="0" xfId="0" quotePrefix="1" applyAlignment="1">
      <alignment horizontal="center"/>
    </xf>
    <xf numFmtId="167" fontId="50" fillId="0" borderId="0" xfId="6" applyNumberFormat="1" applyFont="1" applyAlignment="1">
      <alignment horizontal="center"/>
    </xf>
    <xf numFmtId="4" fontId="2" fillId="14" borderId="1" xfId="9" applyNumberFormat="1" applyFont="1" applyFill="1" applyBorder="1"/>
    <xf numFmtId="17" fontId="98" fillId="0" borderId="0" xfId="0" quotePrefix="1" applyNumberFormat="1" applyFont="1"/>
    <xf numFmtId="0" fontId="98" fillId="0" borderId="0" xfId="0" quotePrefix="1" applyFont="1"/>
    <xf numFmtId="0" fontId="98" fillId="0" borderId="0" xfId="0" applyFont="1"/>
    <xf numFmtId="0" fontId="2" fillId="16" borderId="0" xfId="9" applyFont="1" applyFill="1" applyBorder="1"/>
    <xf numFmtId="0" fontId="2" fillId="16" borderId="1" xfId="9" applyFont="1" applyFill="1" applyBorder="1"/>
    <xf numFmtId="0" fontId="51" fillId="16" borderId="2" xfId="9" applyFont="1" applyFill="1" applyBorder="1"/>
    <xf numFmtId="0" fontId="2" fillId="16" borderId="1" xfId="9" applyFill="1" applyBorder="1"/>
    <xf numFmtId="0" fontId="54" fillId="16" borderId="1" xfId="0" applyFont="1" applyFill="1" applyBorder="1"/>
    <xf numFmtId="0" fontId="56" fillId="16" borderId="1" xfId="0" applyFont="1" applyFill="1" applyBorder="1"/>
    <xf numFmtId="4" fontId="36" fillId="16" borderId="1" xfId="0" applyNumberFormat="1" applyFont="1" applyFill="1" applyBorder="1"/>
    <xf numFmtId="4" fontId="56" fillId="16" borderId="1" xfId="0" applyNumberFormat="1" applyFont="1" applyFill="1" applyBorder="1"/>
    <xf numFmtId="4" fontId="35" fillId="16" borderId="1" xfId="0" applyNumberFormat="1" applyFont="1" applyFill="1" applyBorder="1"/>
    <xf numFmtId="0" fontId="35" fillId="16" borderId="1" xfId="0" applyFont="1" applyFill="1" applyBorder="1"/>
    <xf numFmtId="14" fontId="72" fillId="16" borderId="0" xfId="9" applyNumberFormat="1" applyFont="1" applyFill="1" applyBorder="1" applyAlignment="1">
      <alignment vertical="center"/>
    </xf>
    <xf numFmtId="14" fontId="0" fillId="0" borderId="0" xfId="0" applyNumberFormat="1" applyBorder="1" applyAlignment="1">
      <alignment horizontal="center" vertical="top"/>
    </xf>
    <xf numFmtId="0" fontId="0" fillId="0" borderId="0" xfId="0" applyBorder="1" applyAlignment="1">
      <alignment vertical="top" wrapText="1"/>
    </xf>
    <xf numFmtId="0" fontId="8" fillId="0" borderId="0" xfId="0" applyFont="1" applyAlignment="1">
      <alignment vertical="top" wrapText="1"/>
    </xf>
    <xf numFmtId="4" fontId="2" fillId="16" borderId="1" xfId="9" applyNumberFormat="1" applyFill="1" applyBorder="1"/>
    <xf numFmtId="4" fontId="3" fillId="16" borderId="1" xfId="9" applyNumberFormat="1" applyFont="1" applyFill="1" applyBorder="1"/>
    <xf numFmtId="4" fontId="2" fillId="16" borderId="1" xfId="9" applyNumberFormat="1" applyFont="1" applyFill="1" applyBorder="1"/>
    <xf numFmtId="0" fontId="50" fillId="0" borderId="0" xfId="6" applyNumberFormat="1" applyFont="1"/>
    <xf numFmtId="49" fontId="19" fillId="0" borderId="0" xfId="9" applyNumberFormat="1" applyFont="1" applyFill="1" applyBorder="1" applyAlignment="1">
      <alignment horizontal="center"/>
    </xf>
    <xf numFmtId="49" fontId="19" fillId="0" borderId="0" xfId="9" applyNumberFormat="1" applyFont="1" applyFill="1" applyBorder="1" applyAlignment="1">
      <alignment horizontal="center" vertical="center"/>
    </xf>
    <xf numFmtId="0" fontId="0" fillId="0" borderId="0" xfId="0" applyAlignment="1">
      <alignment horizontal="center"/>
    </xf>
    <xf numFmtId="0" fontId="34" fillId="4" borderId="0" xfId="0" applyFont="1" applyFill="1" applyAlignment="1">
      <alignment horizontal="left" vertical="center"/>
    </xf>
    <xf numFmtId="4" fontId="0" fillId="4" borderId="0" xfId="0" applyNumberFormat="1" applyFill="1" applyAlignment="1">
      <alignment vertical="center"/>
    </xf>
    <xf numFmtId="0" fontId="0" fillId="4" borderId="0" xfId="0" applyFill="1" applyAlignment="1">
      <alignment vertical="top"/>
    </xf>
    <xf numFmtId="4" fontId="0" fillId="4" borderId="0" xfId="0" applyNumberFormat="1" applyFill="1" applyAlignment="1">
      <alignment vertical="top"/>
    </xf>
    <xf numFmtId="4" fontId="0" fillId="0" borderId="0" xfId="0" applyNumberFormat="1" applyAlignment="1">
      <alignment vertical="top"/>
    </xf>
    <xf numFmtId="14" fontId="99" fillId="0" borderId="0" xfId="0" applyNumberFormat="1" applyFont="1" applyAlignment="1">
      <alignment vertical="center"/>
    </xf>
    <xf numFmtId="14" fontId="72" fillId="0" borderId="0" xfId="9" applyNumberFormat="1" applyFont="1" applyBorder="1" applyAlignment="1">
      <alignment vertical="center"/>
    </xf>
    <xf numFmtId="14" fontId="99" fillId="4" borderId="0" xfId="0" applyNumberFormat="1" applyFont="1" applyFill="1" applyAlignment="1">
      <alignment vertical="center"/>
    </xf>
    <xf numFmtId="4" fontId="35" fillId="10" borderId="21" xfId="0" applyNumberFormat="1" applyFont="1" applyFill="1" applyBorder="1"/>
    <xf numFmtId="4" fontId="35" fillId="0" borderId="0" xfId="0" applyNumberFormat="1" applyFont="1"/>
    <xf numFmtId="4" fontId="3" fillId="17" borderId="1" xfId="9" applyNumberFormat="1" applyFont="1" applyFill="1" applyBorder="1"/>
    <xf numFmtId="2" fontId="41" fillId="0" borderId="0" xfId="0" applyNumberFormat="1" applyFont="1"/>
    <xf numFmtId="14" fontId="0" fillId="0" borderId="1" xfId="0" applyNumberFormat="1" applyBorder="1" applyAlignment="1">
      <alignment horizontal="center" vertical="top" wrapText="1"/>
    </xf>
    <xf numFmtId="14" fontId="0" fillId="0" borderId="1" xfId="0" applyNumberFormat="1" applyFill="1" applyBorder="1" applyAlignment="1">
      <alignment horizontal="center" vertical="top" wrapText="1"/>
    </xf>
    <xf numFmtId="0" fontId="0" fillId="0" borderId="1" xfId="0" applyFill="1" applyBorder="1" applyAlignment="1">
      <alignment vertical="top" wrapText="1"/>
    </xf>
    <xf numFmtId="0" fontId="3" fillId="0" borderId="1" xfId="9" applyFont="1" applyFill="1" applyBorder="1"/>
    <xf numFmtId="14" fontId="0" fillId="0" borderId="2" xfId="0" applyNumberFormat="1" applyFill="1" applyBorder="1" applyAlignment="1">
      <alignment horizontal="center" vertical="top" wrapText="1"/>
    </xf>
    <xf numFmtId="177" fontId="45" fillId="0" borderId="0" xfId="0" applyNumberFormat="1" applyFont="1" applyFill="1"/>
    <xf numFmtId="10" fontId="50" fillId="0" borderId="0" xfId="6" applyNumberFormat="1" applyFont="1" applyFill="1"/>
    <xf numFmtId="14" fontId="45" fillId="0" borderId="0" xfId="0" applyNumberFormat="1" applyFont="1" applyFill="1"/>
    <xf numFmtId="0" fontId="97" fillId="0" borderId="0" xfId="0" applyFont="1"/>
    <xf numFmtId="2" fontId="3" fillId="13" borderId="1" xfId="0" applyNumberFormat="1" applyFont="1" applyFill="1" applyBorder="1"/>
    <xf numFmtId="0" fontId="0" fillId="18" borderId="0" xfId="0" applyFill="1"/>
    <xf numFmtId="10" fontId="19" fillId="0" borderId="0" xfId="6" applyNumberFormat="1" applyFont="1"/>
    <xf numFmtId="175" fontId="50" fillId="0" borderId="0" xfId="6" applyNumberFormat="1" applyFont="1"/>
    <xf numFmtId="171" fontId="0" fillId="0" borderId="0" xfId="0" applyNumberFormat="1"/>
    <xf numFmtId="0" fontId="0" fillId="0" borderId="1" xfId="0" applyBorder="1" applyAlignment="1">
      <alignment vertical="top" wrapText="1"/>
    </xf>
    <xf numFmtId="14" fontId="0" fillId="0" borderId="1" xfId="0" applyNumberFormat="1" applyFill="1" applyBorder="1" applyAlignment="1">
      <alignment horizontal="center" vertical="top" wrapText="1"/>
    </xf>
    <xf numFmtId="4" fontId="0" fillId="0" borderId="0" xfId="0" applyNumberFormat="1" applyAlignment="1">
      <alignment horizontal="center"/>
    </xf>
    <xf numFmtId="4" fontId="2" fillId="0" borderId="1" xfId="9" applyNumberFormat="1" applyBorder="1" applyAlignment="1">
      <alignment horizontal="center"/>
    </xf>
    <xf numFmtId="4" fontId="0" fillId="4" borderId="0" xfId="0" applyNumberFormat="1" applyFill="1" applyAlignment="1">
      <alignment horizontal="center"/>
    </xf>
    <xf numFmtId="4" fontId="2" fillId="2" borderId="1" xfId="9" applyNumberFormat="1" applyFill="1" applyBorder="1" applyAlignment="1">
      <alignment horizontal="center"/>
    </xf>
    <xf numFmtId="4" fontId="2" fillId="0" borderId="1" xfId="9" applyNumberFormat="1" applyFill="1" applyBorder="1" applyAlignment="1">
      <alignment horizontal="center"/>
    </xf>
    <xf numFmtId="4" fontId="2" fillId="9" borderId="1" xfId="9" applyNumberFormat="1" applyFill="1" applyBorder="1" applyAlignment="1">
      <alignment horizontal="center"/>
    </xf>
    <xf numFmtId="4" fontId="2" fillId="6" borderId="1" xfId="9" applyNumberFormat="1" applyFill="1" applyBorder="1" applyAlignment="1">
      <alignment horizontal="center"/>
    </xf>
    <xf numFmtId="4" fontId="2" fillId="10" borderId="1" xfId="9" applyNumberFormat="1" applyFill="1" applyBorder="1" applyAlignment="1">
      <alignment horizontal="center"/>
    </xf>
    <xf numFmtId="4" fontId="2" fillId="13" borderId="1" xfId="9" applyNumberFormat="1" applyFill="1" applyBorder="1" applyAlignment="1">
      <alignment horizontal="center"/>
    </xf>
    <xf numFmtId="4" fontId="2" fillId="14" borderId="1" xfId="9" applyNumberFormat="1" applyFill="1" applyBorder="1" applyAlignment="1">
      <alignment horizontal="center"/>
    </xf>
    <xf numFmtId="4" fontId="2" fillId="16" borderId="1" xfId="9" applyNumberFormat="1" applyFill="1" applyBorder="1" applyAlignment="1">
      <alignment horizontal="center"/>
    </xf>
    <xf numFmtId="4" fontId="34" fillId="4" borderId="9" xfId="0" applyNumberFormat="1" applyFont="1" applyFill="1" applyBorder="1" applyAlignment="1">
      <alignment horizontal="center" vertical="top" wrapText="1"/>
    </xf>
    <xf numFmtId="4" fontId="13" fillId="3" borderId="1" xfId="0" applyNumberFormat="1" applyFont="1" applyFill="1" applyBorder="1" applyAlignment="1">
      <alignment horizontal="center"/>
    </xf>
    <xf numFmtId="4" fontId="13" fillId="2" borderId="1" xfId="0" applyNumberFormat="1" applyFont="1" applyFill="1" applyBorder="1" applyAlignment="1">
      <alignment horizontal="center"/>
    </xf>
    <xf numFmtId="4" fontId="13" fillId="9" borderId="1" xfId="0" applyNumberFormat="1" applyFont="1" applyFill="1" applyBorder="1" applyAlignment="1">
      <alignment horizontal="center"/>
    </xf>
    <xf numFmtId="4" fontId="6" fillId="2" borderId="1" xfId="9" applyNumberFormat="1" applyFont="1" applyFill="1" applyBorder="1" applyAlignment="1">
      <alignment horizontal="center"/>
    </xf>
    <xf numFmtId="4" fontId="6" fillId="9" borderId="1" xfId="9" applyNumberFormat="1" applyFont="1" applyFill="1" applyBorder="1" applyAlignment="1">
      <alignment horizontal="center"/>
    </xf>
    <xf numFmtId="4" fontId="6" fillId="0" borderId="1" xfId="9" applyNumberFormat="1" applyFont="1" applyFill="1" applyBorder="1" applyAlignment="1">
      <alignment horizontal="center"/>
    </xf>
    <xf numFmtId="4" fontId="6" fillId="0" borderId="1" xfId="9" applyNumberFormat="1" applyFont="1" applyBorder="1" applyAlignment="1">
      <alignment horizontal="center"/>
    </xf>
    <xf numFmtId="4" fontId="2" fillId="0" borderId="1" xfId="9" applyNumberFormat="1" applyFont="1" applyBorder="1" applyAlignment="1">
      <alignment horizontal="center"/>
    </xf>
    <xf numFmtId="4" fontId="13" fillId="13" borderId="1" xfId="0" applyNumberFormat="1" applyFont="1" applyFill="1" applyBorder="1" applyAlignment="1">
      <alignment horizontal="center"/>
    </xf>
    <xf numFmtId="4" fontId="6" fillId="13" borderId="1" xfId="9" applyNumberFormat="1" applyFont="1" applyFill="1" applyBorder="1" applyAlignment="1">
      <alignment horizontal="center"/>
    </xf>
    <xf numFmtId="4" fontId="6" fillId="3" borderId="1" xfId="9" applyNumberFormat="1" applyFont="1" applyFill="1" applyBorder="1" applyAlignment="1">
      <alignment horizontal="center"/>
    </xf>
    <xf numFmtId="4" fontId="2" fillId="13" borderId="1" xfId="9" applyNumberFormat="1" applyFont="1" applyFill="1" applyBorder="1" applyAlignment="1">
      <alignment horizontal="center"/>
    </xf>
    <xf numFmtId="4" fontId="2" fillId="0" borderId="1" xfId="9" applyNumberFormat="1" applyFont="1" applyFill="1" applyBorder="1" applyAlignment="1">
      <alignment horizontal="center"/>
    </xf>
    <xf numFmtId="4" fontId="6" fillId="0" borderId="1" xfId="9" applyNumberFormat="1" applyFont="1" applyBorder="1" applyAlignment="1">
      <alignment horizontal="center" vertical="top"/>
    </xf>
    <xf numFmtId="4" fontId="2" fillId="0" borderId="1" xfId="9" applyNumberFormat="1" applyBorder="1" applyAlignment="1">
      <alignment horizontal="center" vertical="center"/>
    </xf>
    <xf numFmtId="4" fontId="6" fillId="0" borderId="1" xfId="9" applyNumberFormat="1" applyFont="1" applyFill="1" applyBorder="1" applyAlignment="1">
      <alignment horizontal="center" vertical="top"/>
    </xf>
    <xf numFmtId="4" fontId="6" fillId="6" borderId="1" xfId="9" applyNumberFormat="1" applyFont="1" applyFill="1" applyBorder="1" applyAlignment="1">
      <alignment horizontal="center"/>
    </xf>
    <xf numFmtId="4" fontId="2" fillId="0" borderId="1" xfId="9" applyNumberFormat="1" applyFont="1" applyFill="1" applyBorder="1" applyAlignment="1">
      <alignment horizontal="center" vertical="top"/>
    </xf>
    <xf numFmtId="4" fontId="6" fillId="4" borderId="1" xfId="9" applyNumberFormat="1" applyFont="1" applyFill="1" applyBorder="1" applyAlignment="1">
      <alignment horizontal="center"/>
    </xf>
    <xf numFmtId="4" fontId="6" fillId="10" borderId="1" xfId="9" applyNumberFormat="1" applyFont="1" applyFill="1" applyBorder="1" applyAlignment="1">
      <alignment horizontal="center"/>
    </xf>
    <xf numFmtId="4" fontId="5" fillId="0" borderId="2" xfId="9" applyNumberFormat="1" applyFont="1" applyFill="1" applyBorder="1" applyAlignment="1">
      <alignment horizontal="center"/>
    </xf>
    <xf numFmtId="4" fontId="6" fillId="0" borderId="20" xfId="9" applyNumberFormat="1" applyFont="1" applyFill="1" applyBorder="1" applyAlignment="1">
      <alignment horizontal="center"/>
    </xf>
    <xf numFmtId="4" fontId="2" fillId="3" borderId="1" xfId="9" applyNumberFormat="1" applyFill="1" applyBorder="1" applyAlignment="1">
      <alignment horizontal="center"/>
    </xf>
    <xf numFmtId="4" fontId="2" fillId="0" borderId="0" xfId="9" applyNumberFormat="1" applyBorder="1" applyAlignment="1">
      <alignment horizontal="center"/>
    </xf>
    <xf numFmtId="4" fontId="2" fillId="11" borderId="1" xfId="9" applyNumberFormat="1" applyFill="1" applyBorder="1" applyAlignment="1">
      <alignment horizontal="center"/>
    </xf>
    <xf numFmtId="4" fontId="2" fillId="6" borderId="1" xfId="9" applyNumberFormat="1" applyFont="1" applyFill="1" applyBorder="1" applyAlignment="1">
      <alignment horizontal="center"/>
    </xf>
    <xf numFmtId="4" fontId="0" fillId="4" borderId="0" xfId="0" applyNumberFormat="1" applyFill="1" applyAlignment="1">
      <alignment horizontal="center" vertical="center"/>
    </xf>
    <xf numFmtId="4" fontId="0" fillId="4" borderId="0" xfId="0" applyNumberFormat="1" applyFill="1" applyAlignment="1">
      <alignment horizontal="center" vertical="top"/>
    </xf>
    <xf numFmtId="4" fontId="3" fillId="4" borderId="0" xfId="9" applyNumberFormat="1" applyFont="1" applyFill="1" applyBorder="1" applyAlignment="1">
      <alignment horizontal="center" vertical="top" wrapText="1"/>
    </xf>
    <xf numFmtId="4" fontId="70" fillId="4" borderId="0" xfId="0" applyNumberFormat="1" applyFont="1" applyFill="1" applyAlignment="1">
      <alignment horizontal="center" vertical="top" wrapText="1"/>
    </xf>
    <xf numFmtId="4" fontId="67" fillId="10" borderId="1" xfId="0" applyNumberFormat="1" applyFont="1" applyFill="1" applyBorder="1" applyAlignment="1">
      <alignment horizontal="center"/>
    </xf>
    <xf numFmtId="4" fontId="3" fillId="4" borderId="0" xfId="9" applyNumberFormat="1" applyFont="1" applyFill="1" applyBorder="1" applyAlignment="1">
      <alignment horizontal="center"/>
    </xf>
    <xf numFmtId="4" fontId="70" fillId="4" borderId="0" xfId="0" applyNumberFormat="1" applyFont="1" applyFill="1" applyAlignment="1">
      <alignment horizontal="center" vertical="top"/>
    </xf>
    <xf numFmtId="4" fontId="35" fillId="10" borderId="21" xfId="0" applyNumberFormat="1" applyFont="1" applyFill="1" applyBorder="1" applyAlignment="1">
      <alignment horizontal="center"/>
    </xf>
    <xf numFmtId="4" fontId="67" fillId="0" borderId="0" xfId="0" applyNumberFormat="1" applyFont="1" applyFill="1" applyBorder="1" applyAlignment="1">
      <alignment horizontal="center"/>
    </xf>
    <xf numFmtId="4" fontId="3" fillId="4" borderId="0" xfId="9" applyNumberFormat="1" applyFont="1" applyFill="1" applyBorder="1" applyAlignment="1">
      <alignment horizontal="center" vertical="center" wrapText="1"/>
    </xf>
    <xf numFmtId="4" fontId="36" fillId="14" borderId="1" xfId="0" applyNumberFormat="1" applyFont="1" applyFill="1" applyBorder="1" applyAlignment="1">
      <alignment horizontal="center"/>
    </xf>
    <xf numFmtId="4" fontId="3" fillId="14" borderId="1" xfId="9" applyNumberFormat="1" applyFont="1" applyFill="1" applyBorder="1" applyAlignment="1">
      <alignment horizontal="center"/>
    </xf>
    <xf numFmtId="4" fontId="58" fillId="4" borderId="0" xfId="0" applyNumberFormat="1" applyFont="1" applyFill="1" applyAlignment="1">
      <alignment horizontal="center" vertical="center" wrapText="1"/>
    </xf>
    <xf numFmtId="0" fontId="36" fillId="6" borderId="1" xfId="0" applyFont="1" applyFill="1" applyBorder="1" applyAlignment="1">
      <alignment horizontal="center"/>
    </xf>
    <xf numFmtId="0" fontId="52" fillId="13" borderId="1" xfId="9" applyFont="1" applyFill="1" applyBorder="1" applyAlignment="1">
      <alignment horizontal="center"/>
    </xf>
    <xf numFmtId="4" fontId="72" fillId="13" borderId="1" xfId="9" applyNumberFormat="1" applyFont="1" applyFill="1" applyBorder="1" applyAlignment="1">
      <alignment horizontal="center"/>
    </xf>
    <xf numFmtId="4" fontId="3" fillId="17" borderId="1" xfId="9" applyNumberFormat="1" applyFont="1" applyFill="1" applyBorder="1" applyAlignment="1">
      <alignment horizontal="center"/>
    </xf>
    <xf numFmtId="4" fontId="35" fillId="16" borderId="1" xfId="0" applyNumberFormat="1" applyFont="1" applyFill="1" applyBorder="1" applyAlignment="1">
      <alignment horizontal="center"/>
    </xf>
    <xf numFmtId="4" fontId="56" fillId="16" borderId="1" xfId="0" applyNumberFormat="1" applyFont="1" applyFill="1" applyBorder="1" applyAlignment="1">
      <alignment horizontal="center"/>
    </xf>
    <xf numFmtId="4" fontId="70" fillId="4" borderId="0" xfId="0" applyNumberFormat="1" applyFont="1" applyFill="1" applyAlignment="1">
      <alignment horizontal="center" vertical="center" wrapText="1"/>
    </xf>
    <xf numFmtId="4" fontId="67" fillId="0" borderId="1" xfId="0" applyNumberFormat="1" applyFont="1" applyFill="1" applyBorder="1" applyAlignment="1">
      <alignment horizontal="center"/>
    </xf>
    <xf numFmtId="4" fontId="56" fillId="7" borderId="1" xfId="0" applyNumberFormat="1" applyFont="1" applyFill="1" applyBorder="1" applyAlignment="1">
      <alignment horizontal="center"/>
    </xf>
    <xf numFmtId="0" fontId="2" fillId="0" borderId="0" xfId="9" applyFont="1" applyFill="1" applyBorder="1" applyAlignment="1">
      <alignment horizontal="right"/>
    </xf>
    <xf numFmtId="2" fontId="100" fillId="0" borderId="0" xfId="0" applyNumberFormat="1" applyFont="1" applyFill="1"/>
    <xf numFmtId="0" fontId="2" fillId="0" borderId="0" xfId="9" applyFont="1" applyFill="1" applyBorder="1"/>
    <xf numFmtId="0" fontId="58" fillId="0" borderId="0" xfId="0" applyFont="1" applyFill="1" applyAlignment="1">
      <alignment vertical="center" wrapText="1"/>
    </xf>
    <xf numFmtId="0" fontId="0" fillId="0" borderId="0" xfId="0" applyFill="1" applyAlignment="1"/>
    <xf numFmtId="4" fontId="2" fillId="14" borderId="1" xfId="9" applyNumberFormat="1" applyFont="1" applyFill="1" applyBorder="1" applyAlignment="1">
      <alignment horizontal="right"/>
    </xf>
    <xf numFmtId="0" fontId="13" fillId="16" borderId="1" xfId="0" applyFont="1" applyFill="1" applyBorder="1"/>
    <xf numFmtId="4" fontId="58" fillId="16" borderId="1" xfId="0" applyNumberFormat="1" applyFont="1" applyFill="1" applyBorder="1"/>
    <xf numFmtId="4" fontId="13" fillId="16" borderId="1" xfId="0" applyNumberFormat="1" applyFont="1" applyFill="1" applyBorder="1"/>
    <xf numFmtId="4" fontId="13" fillId="16" borderId="1" xfId="0" applyNumberFormat="1" applyFont="1" applyFill="1" applyBorder="1" applyAlignment="1">
      <alignment horizontal="right"/>
    </xf>
    <xf numFmtId="0" fontId="1" fillId="18" borderId="10" xfId="0" applyFont="1" applyFill="1" applyBorder="1"/>
    <xf numFmtId="0" fontId="14" fillId="18" borderId="0" xfId="0" applyFont="1" applyFill="1"/>
    <xf numFmtId="0" fontId="14" fillId="18" borderId="0" xfId="0" applyFont="1" applyFill="1" applyBorder="1"/>
    <xf numFmtId="4" fontId="2" fillId="13" borderId="21" xfId="9" applyNumberFormat="1" applyFont="1" applyFill="1" applyBorder="1"/>
    <xf numFmtId="0" fontId="0" fillId="0" borderId="10" xfId="0" applyBorder="1"/>
    <xf numFmtId="0" fontId="0" fillId="0" borderId="0" xfId="0" applyBorder="1"/>
    <xf numFmtId="0" fontId="0" fillId="2" borderId="0" xfId="0" applyFill="1" applyBorder="1"/>
    <xf numFmtId="0" fontId="0" fillId="0" borderId="0" xfId="0"/>
    <xf numFmtId="4" fontId="0" fillId="0" borderId="0" xfId="0" applyNumberFormat="1"/>
    <xf numFmtId="0" fontId="0" fillId="6" borderId="0" xfId="0" applyFill="1"/>
    <xf numFmtId="0" fontId="0" fillId="3" borderId="0" xfId="0" applyFill="1"/>
    <xf numFmtId="0" fontId="0" fillId="7" borderId="0" xfId="0" applyFill="1"/>
    <xf numFmtId="0" fontId="0" fillId="2" borderId="0" xfId="0" quotePrefix="1" applyFill="1" applyBorder="1"/>
    <xf numFmtId="0" fontId="0" fillId="0" borderId="0" xfId="0"/>
    <xf numFmtId="0" fontId="0" fillId="4" borderId="0" xfId="0" applyFill="1"/>
    <xf numFmtId="0" fontId="0" fillId="4" borderId="10" xfId="0" applyFill="1" applyBorder="1"/>
    <xf numFmtId="0" fontId="0" fillId="4" borderId="0" xfId="0" applyFill="1" applyBorder="1"/>
    <xf numFmtId="0" fontId="0" fillId="0" borderId="6" xfId="0" applyBorder="1"/>
    <xf numFmtId="0" fontId="101" fillId="0" borderId="0" xfId="0" applyFont="1"/>
    <xf numFmtId="0" fontId="101" fillId="0" borderId="0" xfId="0" quotePrefix="1" applyFont="1"/>
    <xf numFmtId="2" fontId="101" fillId="0" borderId="0" xfId="0" applyNumberFormat="1" applyFont="1" applyFill="1"/>
    <xf numFmtId="4" fontId="97" fillId="0" borderId="0" xfId="0" applyNumberFormat="1" applyFont="1" applyFill="1"/>
    <xf numFmtId="4" fontId="100" fillId="0" borderId="0" xfId="0" applyNumberFormat="1" applyFont="1" applyFill="1"/>
    <xf numFmtId="14" fontId="2" fillId="0" borderId="1" xfId="9" applyNumberFormat="1" applyBorder="1"/>
    <xf numFmtId="167" fontId="12" fillId="0" borderId="0" xfId="4" applyNumberFormat="1" applyAlignment="1" applyProtection="1"/>
    <xf numFmtId="14" fontId="72" fillId="16" borderId="1" xfId="9" applyNumberFormat="1" applyFont="1" applyFill="1" applyBorder="1" applyAlignment="1">
      <alignment vertical="center"/>
    </xf>
    <xf numFmtId="0" fontId="0" fillId="18" borderId="6" xfId="0" applyFill="1" applyBorder="1"/>
    <xf numFmtId="0" fontId="41" fillId="18" borderId="0" xfId="0" applyNumberFormat="1" applyFont="1" applyFill="1" applyBorder="1"/>
    <xf numFmtId="14" fontId="0" fillId="0" borderId="0" xfId="0" applyNumberFormat="1" applyFill="1" applyBorder="1" applyAlignment="1">
      <alignment horizontal="center" vertical="top" wrapText="1"/>
    </xf>
    <xf numFmtId="14" fontId="0" fillId="0" borderId="1" xfId="0" applyNumberFormat="1" applyFont="1" applyFill="1" applyBorder="1" applyAlignment="1">
      <alignment horizontal="center" vertical="top" wrapText="1"/>
    </xf>
    <xf numFmtId="4" fontId="2" fillId="16" borderId="1" xfId="9" applyNumberFormat="1" applyFill="1" applyBorder="1" applyAlignment="1" applyProtection="1">
      <alignment horizontal="center"/>
      <protection hidden="1"/>
    </xf>
    <xf numFmtId="4" fontId="102" fillId="16" borderId="1" xfId="9" applyNumberFormat="1" applyFont="1" applyFill="1" applyBorder="1" applyAlignment="1" applyProtection="1">
      <alignment horizontal="center"/>
      <protection hidden="1"/>
    </xf>
    <xf numFmtId="4" fontId="3" fillId="16" borderId="1" xfId="9" applyNumberFormat="1" applyFont="1" applyFill="1" applyBorder="1" applyProtection="1">
      <protection hidden="1"/>
    </xf>
    <xf numFmtId="0" fontId="3" fillId="4" borderId="0" xfId="9" applyFont="1" applyFill="1" applyBorder="1" applyAlignment="1">
      <alignment vertical="top"/>
    </xf>
    <xf numFmtId="4" fontId="2" fillId="16" borderId="1" xfId="9" applyNumberFormat="1" applyFont="1" applyFill="1" applyBorder="1" applyProtection="1">
      <protection hidden="1"/>
    </xf>
    <xf numFmtId="4" fontId="2" fillId="16" borderId="1" xfId="9" applyNumberFormat="1" applyFont="1" applyFill="1" applyBorder="1" applyAlignment="1">
      <alignment horizontal="center"/>
    </xf>
    <xf numFmtId="0" fontId="2" fillId="0" borderId="1" xfId="9" applyFont="1" applyFill="1" applyBorder="1" applyAlignment="1">
      <alignment horizontal="center"/>
    </xf>
    <xf numFmtId="0" fontId="86" fillId="18" borderId="22" xfId="0" applyFont="1" applyFill="1" applyBorder="1" applyAlignment="1">
      <alignment vertical="top"/>
    </xf>
    <xf numFmtId="0" fontId="77" fillId="18" borderId="22" xfId="0" applyFont="1" applyFill="1" applyBorder="1" applyAlignment="1">
      <alignment vertical="top"/>
    </xf>
    <xf numFmtId="0" fontId="77" fillId="18" borderId="23" xfId="0" applyFont="1" applyFill="1" applyBorder="1" applyAlignment="1">
      <alignment vertical="top"/>
    </xf>
    <xf numFmtId="0" fontId="103" fillId="18" borderId="24" xfId="0" applyFont="1" applyFill="1" applyBorder="1"/>
    <xf numFmtId="0" fontId="86" fillId="18" borderId="25" xfId="0" applyFont="1" applyFill="1" applyBorder="1" applyAlignment="1">
      <alignment vertical="top"/>
    </xf>
    <xf numFmtId="0" fontId="86" fillId="18" borderId="26" xfId="0" applyFont="1" applyFill="1" applyBorder="1" applyAlignment="1">
      <alignment vertical="top"/>
    </xf>
    <xf numFmtId="0" fontId="103" fillId="18" borderId="26" xfId="0" applyFont="1" applyFill="1" applyBorder="1"/>
    <xf numFmtId="0" fontId="103" fillId="18" borderId="27" xfId="0" applyFont="1" applyFill="1" applyBorder="1"/>
    <xf numFmtId="0" fontId="87" fillId="4" borderId="0" xfId="0" applyFont="1" applyFill="1" applyAlignment="1">
      <alignment vertical="center"/>
    </xf>
    <xf numFmtId="0" fontId="51" fillId="16" borderId="1" xfId="9" applyFont="1" applyFill="1" applyBorder="1"/>
    <xf numFmtId="0" fontId="20" fillId="0" borderId="0" xfId="6" applyNumberFormat="1" applyFont="1"/>
    <xf numFmtId="0" fontId="12" fillId="0" borderId="0" xfId="4" applyAlignment="1" applyProtection="1">
      <alignment vertical="center"/>
    </xf>
    <xf numFmtId="0" fontId="2" fillId="0" borderId="6" xfId="9" applyFont="1" applyFill="1" applyBorder="1" applyAlignment="1">
      <alignment horizontal="right"/>
    </xf>
    <xf numFmtId="4" fontId="0" fillId="0" borderId="5" xfId="0" applyNumberFormat="1" applyFill="1" applyBorder="1"/>
    <xf numFmtId="0" fontId="0" fillId="0" borderId="1" xfId="0" applyFont="1" applyBorder="1" applyAlignment="1">
      <alignment vertical="top" wrapText="1"/>
    </xf>
    <xf numFmtId="0" fontId="100" fillId="0" borderId="0" xfId="0" quotePrefix="1" applyFont="1" applyAlignment="1">
      <alignment horizontal="left" vertical="top" wrapText="1" indent="2"/>
    </xf>
    <xf numFmtId="0" fontId="100" fillId="0" borderId="0" xfId="0" applyFont="1" applyAlignment="1">
      <alignment wrapText="1"/>
    </xf>
    <xf numFmtId="0" fontId="0" fillId="0" borderId="0" xfId="0" applyAlignment="1">
      <alignment horizontal="left" vertical="top" wrapText="1"/>
    </xf>
    <xf numFmtId="4" fontId="0" fillId="0" borderId="0" xfId="0" applyNumberFormat="1" applyFill="1" applyAlignment="1">
      <alignment horizontal="center"/>
    </xf>
    <xf numFmtId="4" fontId="3" fillId="0" borderId="0" xfId="9" applyNumberFormat="1" applyFont="1" applyFill="1" applyBorder="1" applyAlignment="1">
      <alignment horizontal="center"/>
    </xf>
    <xf numFmtId="0" fontId="51" fillId="19" borderId="2" xfId="9" applyFont="1" applyFill="1" applyBorder="1"/>
    <xf numFmtId="0" fontId="2" fillId="19" borderId="1" xfId="9" applyFont="1" applyFill="1" applyBorder="1"/>
    <xf numFmtId="2" fontId="3" fillId="19" borderId="1" xfId="9" applyNumberFormat="1" applyFont="1" applyFill="1" applyBorder="1"/>
    <xf numFmtId="168" fontId="13" fillId="19" borderId="1" xfId="0" applyNumberFormat="1" applyFont="1" applyFill="1" applyBorder="1"/>
    <xf numFmtId="4" fontId="2" fillId="19" borderId="21" xfId="9" applyNumberFormat="1" applyFont="1" applyFill="1" applyBorder="1"/>
    <xf numFmtId="2" fontId="58" fillId="19" borderId="1" xfId="0" applyNumberFormat="1" applyFont="1" applyFill="1" applyBorder="1"/>
    <xf numFmtId="4" fontId="13" fillId="19" borderId="21" xfId="0" applyNumberFormat="1" applyFont="1" applyFill="1" applyBorder="1"/>
    <xf numFmtId="4" fontId="2" fillId="19" borderId="1" xfId="9" applyNumberFormat="1" applyFont="1" applyFill="1" applyBorder="1"/>
    <xf numFmtId="4" fontId="13" fillId="19" borderId="1" xfId="0" applyNumberFormat="1" applyFont="1" applyFill="1" applyBorder="1"/>
    <xf numFmtId="0" fontId="58" fillId="4" borderId="0" xfId="0" applyFont="1" applyFill="1" applyAlignment="1">
      <alignment vertical="top" wrapText="1"/>
    </xf>
    <xf numFmtId="0" fontId="35" fillId="0" borderId="0" xfId="0" applyFont="1"/>
    <xf numFmtId="0" fontId="7" fillId="4" borderId="0" xfId="0" applyFont="1" applyFill="1" applyAlignment="1">
      <alignment vertical="center"/>
    </xf>
    <xf numFmtId="4" fontId="58" fillId="4" borderId="0" xfId="0" applyNumberFormat="1" applyFont="1" applyFill="1" applyAlignment="1">
      <alignment vertical="top" wrapText="1"/>
    </xf>
    <xf numFmtId="4" fontId="58" fillId="4" borderId="0" xfId="0" applyNumberFormat="1" applyFont="1" applyFill="1" applyAlignment="1">
      <alignment horizontal="center" vertical="top" wrapText="1"/>
    </xf>
    <xf numFmtId="4" fontId="7" fillId="0" borderId="0" xfId="0" applyNumberFormat="1" applyFont="1"/>
    <xf numFmtId="0" fontId="35" fillId="0" borderId="16" xfId="0" applyNumberFormat="1" applyFont="1" applyBorder="1"/>
    <xf numFmtId="0" fontId="35" fillId="20" borderId="16" xfId="0" applyFont="1" applyFill="1" applyBorder="1"/>
    <xf numFmtId="0" fontId="0" fillId="20" borderId="0" xfId="0" applyFill="1"/>
    <xf numFmtId="0" fontId="0" fillId="20" borderId="0" xfId="0" applyNumberFormat="1" applyFill="1"/>
    <xf numFmtId="0" fontId="104" fillId="21" borderId="21" xfId="0" applyFont="1" applyFill="1" applyBorder="1" applyAlignment="1" applyProtection="1">
      <alignment horizontal="center" vertical="center" wrapText="1"/>
    </xf>
    <xf numFmtId="0" fontId="104" fillId="21" borderId="1" xfId="0" applyFont="1" applyFill="1" applyBorder="1" applyAlignment="1" applyProtection="1">
      <alignment horizontal="center" vertical="center" wrapText="1"/>
    </xf>
    <xf numFmtId="174" fontId="2" fillId="20" borderId="10" xfId="13" quotePrefix="1" applyNumberFormat="1" applyFont="1" applyFill="1" applyBorder="1" applyAlignment="1" applyProtection="1">
      <alignment horizontal="center" vertical="center"/>
    </xf>
    <xf numFmtId="174" fontId="2" fillId="22" borderId="10" xfId="13" quotePrefix="1" applyNumberFormat="1" applyFont="1" applyFill="1" applyBorder="1" applyAlignment="1" applyProtection="1">
      <alignment horizontal="center" vertical="center"/>
    </xf>
    <xf numFmtId="174" fontId="100" fillId="20" borderId="10" xfId="13" quotePrefix="1" applyNumberFormat="1" applyFont="1" applyFill="1" applyBorder="1" applyAlignment="1" applyProtection="1">
      <alignment horizontal="center" vertical="center"/>
    </xf>
    <xf numFmtId="174" fontId="100" fillId="22" borderId="10" xfId="13" quotePrefix="1" applyNumberFormat="1" applyFont="1" applyFill="1" applyBorder="1" applyAlignment="1" applyProtection="1">
      <alignment horizontal="center" vertical="center"/>
    </xf>
    <xf numFmtId="178" fontId="104" fillId="21" borderId="28" xfId="3" applyNumberFormat="1" applyFont="1" applyFill="1" applyBorder="1" applyAlignment="1" applyProtection="1">
      <alignment horizontal="center" vertical="center" wrapText="1"/>
    </xf>
    <xf numFmtId="178" fontId="104" fillId="21" borderId="29" xfId="3" applyNumberFormat="1" applyFont="1" applyFill="1" applyBorder="1" applyAlignment="1" applyProtection="1">
      <alignment horizontal="center" vertical="center" wrapText="1"/>
    </xf>
    <xf numFmtId="178" fontId="104" fillId="21" borderId="30" xfId="3" applyNumberFormat="1" applyFont="1" applyFill="1" applyBorder="1" applyAlignment="1" applyProtection="1">
      <alignment horizontal="center" vertical="center" wrapText="1"/>
    </xf>
    <xf numFmtId="0" fontId="96" fillId="20" borderId="0" xfId="0" applyFont="1" applyFill="1"/>
    <xf numFmtId="2" fontId="0" fillId="20" borderId="1" xfId="0" applyNumberFormat="1" applyFill="1" applyBorder="1" applyAlignment="1">
      <alignment horizontal="center"/>
    </xf>
    <xf numFmtId="179" fontId="0" fillId="20" borderId="1" xfId="0" applyNumberFormat="1" applyFill="1" applyBorder="1"/>
    <xf numFmtId="170" fontId="0" fillId="20" borderId="1" xfId="0" applyNumberFormat="1" applyFill="1" applyBorder="1" applyAlignment="1">
      <alignment horizontal="center"/>
    </xf>
    <xf numFmtId="0" fontId="96" fillId="20" borderId="0" xfId="0" quotePrefix="1" applyFont="1" applyFill="1"/>
    <xf numFmtId="0" fontId="35" fillId="20" borderId="16" xfId="0" applyNumberFormat="1" applyFont="1" applyFill="1" applyBorder="1"/>
    <xf numFmtId="0" fontId="35" fillId="20" borderId="16" xfId="0" applyFont="1" applyFill="1" applyBorder="1" applyAlignment="1">
      <alignment horizontal="right"/>
    </xf>
    <xf numFmtId="179" fontId="0" fillId="23" borderId="1" xfId="0" applyNumberFormat="1" applyFill="1" applyBorder="1"/>
    <xf numFmtId="179" fontId="105" fillId="20" borderId="1" xfId="0" applyNumberFormat="1" applyFont="1" applyFill="1" applyBorder="1"/>
    <xf numFmtId="0" fontId="46" fillId="20" borderId="16" xfId="0" applyFont="1" applyFill="1" applyBorder="1"/>
    <xf numFmtId="0" fontId="35" fillId="20" borderId="16" xfId="0" applyFont="1" applyFill="1" applyBorder="1" applyAlignment="1">
      <alignment vertical="center"/>
    </xf>
    <xf numFmtId="0" fontId="35" fillId="20" borderId="4" xfId="0" applyFont="1" applyFill="1" applyBorder="1"/>
    <xf numFmtId="0" fontId="5" fillId="20" borderId="16" xfId="9" applyFont="1" applyFill="1" applyBorder="1"/>
    <xf numFmtId="0" fontId="2" fillId="20" borderId="16" xfId="9" applyFill="1" applyBorder="1"/>
    <xf numFmtId="0" fontId="2" fillId="20" borderId="16" xfId="9" applyFont="1" applyFill="1" applyBorder="1"/>
    <xf numFmtId="0" fontId="35" fillId="20" borderId="17" xfId="0" applyFont="1" applyFill="1" applyBorder="1"/>
    <xf numFmtId="0" fontId="36" fillId="20" borderId="16" xfId="0" applyFont="1" applyFill="1" applyBorder="1"/>
    <xf numFmtId="0" fontId="35" fillId="20" borderId="16" xfId="0" applyNumberFormat="1" applyFont="1" applyFill="1" applyBorder="1" applyAlignment="1">
      <alignment horizontal="center"/>
    </xf>
    <xf numFmtId="0" fontId="106" fillId="0" borderId="0" xfId="0" applyFont="1"/>
    <xf numFmtId="179" fontId="97" fillId="20" borderId="1" xfId="0" applyNumberFormat="1" applyFont="1" applyFill="1" applyBorder="1"/>
    <xf numFmtId="4" fontId="19" fillId="0" borderId="0" xfId="9" applyNumberFormat="1" applyFont="1"/>
    <xf numFmtId="4" fontId="2" fillId="16" borderId="1" xfId="9" applyNumberFormat="1" applyFill="1" applyBorder="1" applyProtection="1">
      <protection hidden="1"/>
    </xf>
    <xf numFmtId="164" fontId="2" fillId="0" borderId="0" xfId="3" applyFont="1" applyFill="1" applyBorder="1" applyAlignment="1">
      <alignment horizontal="right"/>
    </xf>
    <xf numFmtId="0" fontId="106" fillId="0" borderId="0" xfId="0" applyFont="1" applyAlignment="1">
      <alignment horizontal="right"/>
    </xf>
    <xf numFmtId="9" fontId="0" fillId="0" borderId="0" xfId="0" applyNumberFormat="1"/>
    <xf numFmtId="2" fontId="0" fillId="0" borderId="0" xfId="0" applyNumberFormat="1"/>
    <xf numFmtId="4" fontId="2" fillId="0" borderId="0" xfId="9" applyNumberFormat="1" applyAlignment="1">
      <alignment horizontal="right"/>
    </xf>
    <xf numFmtId="167" fontId="0" fillId="0" borderId="0" xfId="0" applyNumberFormat="1"/>
    <xf numFmtId="0" fontId="73" fillId="0" borderId="2" xfId="9" applyFont="1" applyBorder="1"/>
    <xf numFmtId="4" fontId="5" fillId="0" borderId="2" xfId="9" applyNumberFormat="1" applyFont="1" applyBorder="1"/>
    <xf numFmtId="4" fontId="5" fillId="0" borderId="2" xfId="9" applyNumberFormat="1" applyFont="1" applyBorder="1" applyAlignment="1">
      <alignment horizontal="center"/>
    </xf>
    <xf numFmtId="4" fontId="26" fillId="0" borderId="0" xfId="9" applyNumberFormat="1" applyFont="1"/>
    <xf numFmtId="4" fontId="19" fillId="0" borderId="0" xfId="9" applyNumberFormat="1" applyFont="1" applyAlignment="1">
      <alignment horizontal="center"/>
    </xf>
    <xf numFmtId="4" fontId="2" fillId="0" borderId="0" xfId="9" applyNumberFormat="1"/>
    <xf numFmtId="4" fontId="20" fillId="0" borderId="0" xfId="9" applyNumberFormat="1" applyFont="1"/>
    <xf numFmtId="10" fontId="50" fillId="0" borderId="0" xfId="6" applyNumberFormat="1" applyFont="1" applyAlignment="1">
      <alignment horizontal="center"/>
    </xf>
    <xf numFmtId="0" fontId="5" fillId="0" borderId="0" xfId="9" applyFont="1"/>
    <xf numFmtId="0" fontId="2" fillId="0" borderId="0" xfId="9"/>
    <xf numFmtId="4" fontId="3" fillId="0" borderId="0" xfId="9" applyNumberFormat="1" applyFont="1"/>
    <xf numFmtId="4" fontId="2" fillId="0" borderId="0" xfId="9" applyNumberFormat="1" applyAlignment="1">
      <alignment horizontal="center"/>
    </xf>
    <xf numFmtId="2" fontId="101" fillId="0" borderId="0" xfId="0" applyNumberFormat="1" applyFont="1"/>
    <xf numFmtId="0" fontId="12" fillId="0" borderId="0" xfId="4" applyAlignment="1" applyProtection="1"/>
    <xf numFmtId="0" fontId="8" fillId="0" borderId="0" xfId="0" applyFont="1" applyAlignment="1">
      <alignment vertical="top"/>
    </xf>
    <xf numFmtId="0" fontId="86" fillId="18" borderId="0" xfId="0" applyFont="1" applyFill="1" applyAlignment="1">
      <alignment vertical="top"/>
    </xf>
    <xf numFmtId="0" fontId="103" fillId="18" borderId="0" xfId="0" applyFont="1" applyFill="1"/>
    <xf numFmtId="3" fontId="0" fillId="0" borderId="1" xfId="0" applyNumberFormat="1" applyFont="1" applyFill="1" applyBorder="1" applyAlignment="1" applyProtection="1">
      <alignment vertical="center"/>
      <protection locked="0"/>
    </xf>
    <xf numFmtId="178" fontId="0" fillId="0" borderId="1" xfId="0" applyNumberFormat="1" applyFont="1" applyFill="1" applyBorder="1" applyAlignment="1" applyProtection="1">
      <alignment vertical="center"/>
      <protection locked="0"/>
    </xf>
    <xf numFmtId="4" fontId="0" fillId="0" borderId="1" xfId="0" applyNumberFormat="1" applyFont="1" applyFill="1" applyBorder="1" applyAlignment="1" applyProtection="1">
      <alignment vertical="center"/>
      <protection locked="0"/>
    </xf>
    <xf numFmtId="178" fontId="94" fillId="0" borderId="1" xfId="3" applyNumberFormat="1" applyFont="1" applyFill="1" applyBorder="1" applyAlignment="1" applyProtection="1">
      <alignment vertical="center"/>
      <protection locked="0"/>
    </xf>
    <xf numFmtId="3" fontId="107" fillId="0" borderId="1" xfId="0" applyNumberFormat="1" applyFont="1" applyFill="1" applyBorder="1" applyAlignment="1" applyProtection="1">
      <alignment vertical="center"/>
      <protection locked="0"/>
    </xf>
    <xf numFmtId="3" fontId="108" fillId="0" borderId="1" xfId="0" applyNumberFormat="1" applyFont="1" applyFill="1" applyBorder="1" applyAlignment="1" applyProtection="1">
      <alignment vertical="center"/>
      <protection locked="0"/>
    </xf>
    <xf numFmtId="0" fontId="35" fillId="20" borderId="18" xfId="0" applyFont="1" applyFill="1" applyBorder="1" applyAlignment="1">
      <alignment horizontal="center" vertical="center" wrapText="1"/>
    </xf>
    <xf numFmtId="0" fontId="35" fillId="20" borderId="18" xfId="0" applyFont="1" applyFill="1" applyBorder="1" applyAlignment="1">
      <alignment horizontal="center"/>
    </xf>
    <xf numFmtId="4" fontId="35" fillId="20" borderId="18" xfId="0" applyNumberFormat="1" applyFont="1" applyFill="1" applyBorder="1" applyAlignment="1">
      <alignment horizontal="center"/>
    </xf>
    <xf numFmtId="3" fontId="0" fillId="0" borderId="21" xfId="0" applyNumberFormat="1" applyFont="1" applyFill="1" applyBorder="1" applyAlignment="1" applyProtection="1">
      <alignment vertical="center"/>
      <protection locked="0"/>
    </xf>
    <xf numFmtId="3" fontId="0" fillId="0" borderId="39" xfId="0" applyNumberFormat="1" applyFont="1" applyFill="1" applyBorder="1" applyAlignment="1" applyProtection="1">
      <alignment vertical="center"/>
      <protection locked="0"/>
    </xf>
    <xf numFmtId="178" fontId="94" fillId="0" borderId="2" xfId="3" applyNumberFormat="1" applyFont="1" applyFill="1" applyBorder="1" applyAlignment="1" applyProtection="1">
      <alignment vertical="center"/>
      <protection locked="0"/>
    </xf>
    <xf numFmtId="3" fontId="107" fillId="0" borderId="40" xfId="0" applyNumberFormat="1" applyFont="1" applyFill="1" applyBorder="1" applyAlignment="1" applyProtection="1">
      <alignment vertical="center"/>
      <protection locked="0"/>
    </xf>
    <xf numFmtId="178" fontId="94" fillId="0" borderId="21" xfId="3" applyNumberFormat="1" applyFont="1" applyFill="1" applyBorder="1" applyAlignment="1" applyProtection="1">
      <alignment vertical="center"/>
      <protection locked="0"/>
    </xf>
    <xf numFmtId="178" fontId="94" fillId="0" borderId="40" xfId="3" applyNumberFormat="1" applyFont="1" applyFill="1" applyBorder="1" applyAlignment="1" applyProtection="1">
      <alignment vertical="center"/>
      <protection locked="0"/>
    </xf>
    <xf numFmtId="2" fontId="0" fillId="20" borderId="2" xfId="0" applyNumberFormat="1" applyFill="1" applyBorder="1" applyAlignment="1">
      <alignment horizontal="center"/>
    </xf>
    <xf numFmtId="0" fontId="0" fillId="20" borderId="0" xfId="0" quotePrefix="1" applyFill="1"/>
    <xf numFmtId="2" fontId="0" fillId="20" borderId="0" xfId="0" applyNumberFormat="1" applyFill="1" applyBorder="1" applyAlignment="1">
      <alignment horizontal="center"/>
    </xf>
    <xf numFmtId="179" fontId="109" fillId="20" borderId="0" xfId="0" applyNumberFormat="1" applyFont="1" applyFill="1" applyBorder="1"/>
    <xf numFmtId="0" fontId="35" fillId="20" borderId="41" xfId="0" applyFont="1" applyFill="1" applyBorder="1"/>
    <xf numFmtId="0" fontId="35" fillId="0" borderId="31" xfId="0" applyFont="1" applyBorder="1" applyAlignment="1"/>
    <xf numFmtId="4" fontId="35" fillId="20" borderId="16" xfId="0" applyNumberFormat="1" applyFont="1" applyFill="1" applyBorder="1" applyAlignment="1">
      <alignment horizontal="center"/>
    </xf>
    <xf numFmtId="0" fontId="35" fillId="20" borderId="16" xfId="0" applyFont="1" applyFill="1" applyBorder="1" applyAlignment="1">
      <alignment horizontal="center" vertical="center" wrapText="1"/>
    </xf>
    <xf numFmtId="0" fontId="35" fillId="20" borderId="16" xfId="0" applyFont="1" applyFill="1" applyBorder="1" applyAlignment="1">
      <alignment horizontal="center"/>
    </xf>
    <xf numFmtId="0" fontId="0" fillId="0" borderId="42" xfId="0" applyBorder="1" applyAlignment="1">
      <alignment vertical="center"/>
    </xf>
    <xf numFmtId="0" fontId="0" fillId="0" borderId="42" xfId="0" applyBorder="1"/>
    <xf numFmtId="4" fontId="0" fillId="0" borderId="42" xfId="0" applyNumberFormat="1" applyBorder="1" applyAlignment="1">
      <alignment horizontal="right" indent="1"/>
    </xf>
    <xf numFmtId="0" fontId="0" fillId="0" borderId="42" xfId="0" applyBorder="1" applyAlignment="1">
      <alignment horizontal="right" indent="1"/>
    </xf>
    <xf numFmtId="3" fontId="0" fillId="0" borderId="42" xfId="0" applyNumberFormat="1" applyBorder="1" applyAlignment="1">
      <alignment horizontal="right" indent="1"/>
    </xf>
    <xf numFmtId="0" fontId="110" fillId="0" borderId="42" xfId="0" applyFont="1" applyBorder="1"/>
    <xf numFmtId="0" fontId="0" fillId="24" borderId="42" xfId="0" applyFill="1" applyBorder="1"/>
    <xf numFmtId="0" fontId="0" fillId="24" borderId="42" xfId="0" applyFill="1" applyBorder="1" applyAlignment="1">
      <alignment horizontal="center"/>
    </xf>
    <xf numFmtId="180" fontId="0" fillId="24" borderId="42" xfId="0" applyNumberFormat="1" applyFill="1" applyBorder="1" applyAlignment="1">
      <alignment horizontal="center"/>
    </xf>
    <xf numFmtId="3" fontId="0" fillId="0" borderId="42" xfId="0" applyNumberFormat="1" applyBorder="1"/>
    <xf numFmtId="4" fontId="0" fillId="0" borderId="42" xfId="0" applyNumberFormat="1" applyBorder="1"/>
    <xf numFmtId="4" fontId="0" fillId="24" borderId="42" xfId="0" applyNumberFormat="1" applyFill="1" applyBorder="1" applyAlignment="1">
      <alignment horizontal="right" indent="1"/>
    </xf>
    <xf numFmtId="0" fontId="106" fillId="0" borderId="42" xfId="0" applyFont="1" applyBorder="1"/>
    <xf numFmtId="0" fontId="0" fillId="0" borderId="43" xfId="0" applyBorder="1" applyAlignment="1">
      <alignment horizontal="right" indent="1"/>
    </xf>
    <xf numFmtId="0" fontId="0" fillId="0" borderId="44" xfId="0" applyBorder="1"/>
    <xf numFmtId="3" fontId="0" fillId="0" borderId="45" xfId="0" applyNumberFormat="1" applyBorder="1" applyAlignment="1">
      <alignment horizontal="left" indent="1"/>
    </xf>
    <xf numFmtId="0" fontId="0" fillId="0" borderId="46" xfId="0" applyBorder="1" applyAlignment="1">
      <alignment horizontal="right" indent="1"/>
    </xf>
    <xf numFmtId="4" fontId="0" fillId="25" borderId="1" xfId="0" applyNumberFormat="1" applyFill="1" applyBorder="1" applyAlignment="1">
      <alignment horizontal="right" indent="1"/>
    </xf>
    <xf numFmtId="178" fontId="94" fillId="0" borderId="1" xfId="3" applyNumberFormat="1" applyFont="1" applyFill="1" applyBorder="1" applyAlignment="1" applyProtection="1">
      <alignment vertical="center"/>
    </xf>
    <xf numFmtId="178" fontId="111" fillId="0" borderId="1" xfId="3" applyNumberFormat="1" applyFont="1" applyFill="1" applyBorder="1" applyAlignment="1" applyProtection="1">
      <alignment vertical="center"/>
    </xf>
    <xf numFmtId="166" fontId="0" fillId="20" borderId="1" xfId="0" applyNumberFormat="1" applyFill="1" applyBorder="1"/>
    <xf numFmtId="166" fontId="0" fillId="22" borderId="1" xfId="0" applyNumberFormat="1" applyFill="1" applyBorder="1"/>
    <xf numFmtId="166" fontId="0" fillId="0" borderId="1" xfId="0" applyNumberFormat="1" applyFill="1" applyBorder="1"/>
    <xf numFmtId="0" fontId="0" fillId="0" borderId="0" xfId="0" applyFill="1" applyAlignment="1">
      <alignment horizontal="center" vertical="center"/>
    </xf>
    <xf numFmtId="14" fontId="0" fillId="0" borderId="0" xfId="0" applyNumberFormat="1" applyFill="1" applyAlignment="1">
      <alignment horizontal="center" vertical="center"/>
    </xf>
    <xf numFmtId="0" fontId="0" fillId="0" borderId="0" xfId="0" applyFill="1" applyAlignment="1">
      <alignment horizontal="center"/>
    </xf>
    <xf numFmtId="14" fontId="72" fillId="0" borderId="0" xfId="9" applyNumberFormat="1" applyFont="1" applyFill="1" applyBorder="1" applyAlignment="1">
      <alignment horizontal="center" vertical="center"/>
    </xf>
    <xf numFmtId="3" fontId="108" fillId="0" borderId="1" xfId="0" applyNumberFormat="1" applyFont="1" applyBorder="1" applyAlignment="1" applyProtection="1">
      <alignment vertical="center"/>
      <protection locked="0"/>
    </xf>
    <xf numFmtId="0" fontId="2" fillId="0" borderId="0" xfId="9" applyAlignment="1">
      <alignment horizontal="right"/>
    </xf>
    <xf numFmtId="0" fontId="7" fillId="4" borderId="0" xfId="0" applyFont="1" applyFill="1"/>
    <xf numFmtId="0" fontId="3" fillId="4" borderId="0" xfId="9" applyFont="1" applyFill="1"/>
    <xf numFmtId="4" fontId="3" fillId="4" borderId="0" xfId="9" applyNumberFormat="1" applyFont="1" applyFill="1"/>
    <xf numFmtId="4" fontId="3" fillId="4" borderId="0" xfId="9" applyNumberFormat="1" applyFont="1" applyFill="1" applyAlignment="1">
      <alignment horizontal="center"/>
    </xf>
    <xf numFmtId="174" fontId="0" fillId="0" borderId="0" xfId="0" applyNumberFormat="1"/>
    <xf numFmtId="3" fontId="95" fillId="0" borderId="1" xfId="0" applyNumberFormat="1" applyFont="1" applyFill="1" applyBorder="1" applyAlignment="1" applyProtection="1">
      <alignment vertical="center"/>
      <protection locked="0"/>
    </xf>
    <xf numFmtId="3" fontId="112" fillId="0" borderId="1" xfId="0" applyNumberFormat="1" applyFont="1" applyFill="1" applyBorder="1" applyAlignment="1" applyProtection="1">
      <alignment vertical="center"/>
      <protection locked="0"/>
    </xf>
    <xf numFmtId="178" fontId="95" fillId="0" borderId="1" xfId="3" applyNumberFormat="1" applyFont="1" applyFill="1" applyBorder="1" applyAlignment="1" applyProtection="1">
      <alignment vertical="center"/>
      <protection locked="0"/>
    </xf>
    <xf numFmtId="2" fontId="95" fillId="20" borderId="1" xfId="0" applyNumberFormat="1" applyFont="1" applyFill="1" applyBorder="1" applyAlignment="1">
      <alignment horizontal="center"/>
    </xf>
    <xf numFmtId="179" fontId="95" fillId="20" borderId="1" xfId="0" applyNumberFormat="1" applyFont="1" applyFill="1" applyBorder="1"/>
    <xf numFmtId="0" fontId="72" fillId="16" borderId="1" xfId="9" applyFont="1" applyFill="1" applyBorder="1"/>
    <xf numFmtId="0" fontId="35" fillId="20" borderId="16" xfId="0" applyFont="1" applyFill="1" applyBorder="1" applyProtection="1"/>
    <xf numFmtId="0" fontId="35" fillId="0" borderId="16" xfId="0" applyFont="1" applyBorder="1" applyProtection="1"/>
    <xf numFmtId="0" fontId="35" fillId="0" borderId="4" xfId="0" applyFont="1" applyBorder="1" applyProtection="1"/>
    <xf numFmtId="0" fontId="113" fillId="0" borderId="42" xfId="0" applyFont="1" applyBorder="1" applyAlignment="1" applyProtection="1">
      <alignment vertical="center"/>
    </xf>
    <xf numFmtId="0" fontId="35" fillId="0" borderId="42" xfId="0" applyFont="1" applyBorder="1" applyProtection="1"/>
    <xf numFmtId="0" fontId="35" fillId="20" borderId="19" xfId="0" applyFont="1" applyFill="1" applyBorder="1" applyProtection="1"/>
    <xf numFmtId="0" fontId="0" fillId="20" borderId="0" xfId="0" applyFill="1" applyProtection="1"/>
    <xf numFmtId="0" fontId="114" fillId="20" borderId="0" xfId="0" applyFont="1" applyFill="1" applyProtection="1"/>
    <xf numFmtId="0" fontId="0" fillId="20" borderId="0" xfId="0" applyFill="1" applyAlignment="1" applyProtection="1">
      <alignment horizontal="center" vertical="center" wrapText="1"/>
    </xf>
    <xf numFmtId="0" fontId="96" fillId="20" borderId="0" xfId="0" applyFont="1" applyFill="1" applyProtection="1"/>
    <xf numFmtId="3" fontId="0" fillId="0" borderId="1" xfId="0" applyNumberFormat="1" applyFont="1" applyFill="1" applyBorder="1" applyAlignment="1" applyProtection="1">
      <alignment vertical="center"/>
    </xf>
    <xf numFmtId="3" fontId="107" fillId="0" borderId="1" xfId="0" applyNumberFormat="1" applyFont="1" applyFill="1" applyBorder="1" applyAlignment="1" applyProtection="1">
      <alignment vertical="center"/>
    </xf>
    <xf numFmtId="2" fontId="0" fillId="20" borderId="1" xfId="0" applyNumberFormat="1" applyFill="1" applyBorder="1" applyAlignment="1" applyProtection="1">
      <alignment horizontal="center"/>
    </xf>
    <xf numFmtId="3" fontId="95" fillId="0" borderId="1" xfId="0" applyNumberFormat="1" applyFont="1" applyFill="1" applyBorder="1" applyAlignment="1" applyProtection="1">
      <alignment vertical="center"/>
    </xf>
    <xf numFmtId="3" fontId="112" fillId="0" borderId="1" xfId="0" applyNumberFormat="1" applyFont="1" applyFill="1" applyBorder="1" applyAlignment="1" applyProtection="1">
      <alignment vertical="center"/>
    </xf>
    <xf numFmtId="2" fontId="95" fillId="20" borderId="1" xfId="0" applyNumberFormat="1" applyFont="1" applyFill="1" applyBorder="1" applyAlignment="1" applyProtection="1">
      <alignment horizontal="center"/>
    </xf>
    <xf numFmtId="178" fontId="95" fillId="0" borderId="1" xfId="3" applyNumberFormat="1" applyFont="1" applyFill="1" applyBorder="1" applyAlignment="1" applyProtection="1">
      <alignment vertical="center"/>
    </xf>
    <xf numFmtId="179" fontId="95" fillId="20" borderId="1" xfId="0" applyNumberFormat="1" applyFont="1" applyFill="1" applyBorder="1" applyProtection="1"/>
    <xf numFmtId="3" fontId="0" fillId="0" borderId="39" xfId="0" applyNumberFormat="1" applyFont="1" applyFill="1" applyBorder="1" applyAlignment="1" applyProtection="1">
      <alignment vertical="center"/>
    </xf>
    <xf numFmtId="3" fontId="107" fillId="0" borderId="40" xfId="0" applyNumberFormat="1" applyFont="1" applyFill="1" applyBorder="1" applyAlignment="1" applyProtection="1">
      <alignment vertical="center"/>
    </xf>
    <xf numFmtId="178" fontId="94" fillId="0" borderId="40" xfId="3" applyNumberFormat="1" applyFont="1" applyFill="1" applyBorder="1" applyAlignment="1" applyProtection="1">
      <alignment vertical="center"/>
    </xf>
    <xf numFmtId="178" fontId="94" fillId="0" borderId="47" xfId="3" applyNumberFormat="1" applyFont="1" applyFill="1" applyBorder="1" applyAlignment="1" applyProtection="1">
      <alignment vertical="center"/>
    </xf>
    <xf numFmtId="165" fontId="0" fillId="20" borderId="1" xfId="0" applyNumberFormat="1" applyFill="1" applyBorder="1" applyProtection="1"/>
    <xf numFmtId="3" fontId="0" fillId="0" borderId="48" xfId="0" applyNumberFormat="1" applyFont="1" applyFill="1" applyBorder="1" applyAlignment="1" applyProtection="1">
      <alignment vertical="center"/>
    </xf>
    <xf numFmtId="3" fontId="107" fillId="0" borderId="49" xfId="0" applyNumberFormat="1" applyFont="1" applyFill="1" applyBorder="1" applyAlignment="1" applyProtection="1">
      <alignment vertical="center"/>
    </xf>
    <xf numFmtId="178" fontId="94" fillId="0" borderId="49" xfId="3" applyNumberFormat="1" applyFont="1" applyFill="1" applyBorder="1" applyAlignment="1" applyProtection="1">
      <alignment vertical="center"/>
    </xf>
    <xf numFmtId="178" fontId="94" fillId="0" borderId="50" xfId="3" applyNumberFormat="1" applyFont="1" applyFill="1" applyBorder="1" applyAlignment="1" applyProtection="1">
      <alignment vertical="center"/>
    </xf>
    <xf numFmtId="0" fontId="35" fillId="0" borderId="51" xfId="0" applyFont="1" applyBorder="1" applyAlignment="1" applyProtection="1">
      <alignment horizontal="center"/>
    </xf>
    <xf numFmtId="3" fontId="108" fillId="0" borderId="1" xfId="0" applyNumberFormat="1" applyFont="1" applyBorder="1" applyAlignment="1" applyProtection="1">
      <alignment vertical="center"/>
    </xf>
    <xf numFmtId="3" fontId="0" fillId="0" borderId="21" xfId="0" applyNumberFormat="1" applyFont="1" applyFill="1" applyBorder="1" applyAlignment="1" applyProtection="1">
      <alignment vertical="center"/>
    </xf>
    <xf numFmtId="0" fontId="96" fillId="20" borderId="0" xfId="0" quotePrefix="1" applyFont="1" applyFill="1" applyProtection="1"/>
    <xf numFmtId="0" fontId="35" fillId="20" borderId="16" xfId="0" applyFont="1" applyFill="1" applyBorder="1" applyAlignment="1" applyProtection="1">
      <alignment horizontal="right"/>
    </xf>
    <xf numFmtId="0" fontId="46" fillId="20" borderId="16" xfId="0" applyFont="1" applyFill="1" applyBorder="1" applyProtection="1"/>
    <xf numFmtId="0" fontId="5" fillId="20" borderId="16" xfId="9" applyFont="1" applyFill="1" applyBorder="1" applyProtection="1"/>
    <xf numFmtId="4" fontId="35" fillId="20" borderId="18" xfId="0" applyNumberFormat="1" applyFont="1" applyFill="1" applyBorder="1" applyAlignment="1" applyProtection="1">
      <alignment horizontal="center"/>
    </xf>
    <xf numFmtId="0" fontId="2" fillId="20" borderId="16" xfId="9" applyFill="1" applyBorder="1" applyProtection="1"/>
    <xf numFmtId="0" fontId="35" fillId="0" borderId="19" xfId="0" applyFont="1" applyBorder="1" applyProtection="1"/>
    <xf numFmtId="0" fontId="2" fillId="20" borderId="16" xfId="9" applyFont="1" applyFill="1" applyBorder="1" applyProtection="1"/>
    <xf numFmtId="0" fontId="35" fillId="20" borderId="17" xfId="0" applyFont="1" applyFill="1" applyBorder="1" applyProtection="1"/>
    <xf numFmtId="0" fontId="35" fillId="0" borderId="17" xfId="0" applyFont="1" applyBorder="1" applyProtection="1"/>
    <xf numFmtId="0" fontId="36" fillId="20" borderId="16" xfId="0" applyFont="1" applyFill="1" applyBorder="1" applyProtection="1"/>
    <xf numFmtId="0" fontId="0" fillId="0" borderId="16" xfId="0" applyBorder="1" applyProtection="1"/>
    <xf numFmtId="181" fontId="94" fillId="0" borderId="1" xfId="3" applyNumberFormat="1" applyFont="1" applyFill="1" applyBorder="1" applyAlignment="1" applyProtection="1">
      <alignment vertical="center"/>
    </xf>
    <xf numFmtId="4" fontId="94" fillId="0" borderId="1" xfId="3" applyNumberFormat="1" applyFont="1" applyFill="1" applyBorder="1" applyAlignment="1" applyProtection="1">
      <alignment vertical="center"/>
    </xf>
    <xf numFmtId="4" fontId="35" fillId="0" borderId="16" xfId="0" applyNumberFormat="1" applyFont="1" applyBorder="1" applyProtection="1"/>
    <xf numFmtId="4" fontId="0" fillId="20" borderId="1" xfId="0" applyNumberFormat="1" applyFill="1" applyBorder="1" applyProtection="1"/>
    <xf numFmtId="4" fontId="95" fillId="0" borderId="1" xfId="3" applyNumberFormat="1" applyFont="1" applyFill="1" applyBorder="1" applyAlignment="1" applyProtection="1">
      <alignment vertical="center"/>
    </xf>
    <xf numFmtId="4" fontId="94" fillId="0" borderId="40" xfId="3" applyNumberFormat="1" applyFont="1" applyFill="1" applyBorder="1" applyAlignment="1" applyProtection="1">
      <alignment vertical="center"/>
    </xf>
    <xf numFmtId="4" fontId="95" fillId="20" borderId="1" xfId="0" applyNumberFormat="1" applyFont="1" applyFill="1" applyBorder="1" applyProtection="1"/>
    <xf numFmtId="3" fontId="94" fillId="0" borderId="1" xfId="3" applyNumberFormat="1" applyFont="1" applyFill="1" applyBorder="1" applyAlignment="1" applyProtection="1">
      <alignment vertical="center"/>
    </xf>
    <xf numFmtId="178" fontId="104" fillId="21" borderId="52" xfId="3" applyNumberFormat="1" applyFont="1" applyFill="1" applyBorder="1" applyAlignment="1" applyProtection="1">
      <alignment horizontal="center" vertical="center" wrapText="1"/>
    </xf>
    <xf numFmtId="178" fontId="104" fillId="21" borderId="53" xfId="3" applyNumberFormat="1" applyFont="1" applyFill="1" applyBorder="1" applyAlignment="1" applyProtection="1">
      <alignment horizontal="center" vertical="center" wrapText="1"/>
    </xf>
    <xf numFmtId="178" fontId="104" fillId="21" borderId="54" xfId="3" applyNumberFormat="1" applyFont="1" applyFill="1" applyBorder="1" applyAlignment="1" applyProtection="1">
      <alignment horizontal="center" vertical="center" wrapText="1"/>
    </xf>
    <xf numFmtId="0" fontId="35" fillId="0" borderId="3" xfId="0" applyFont="1" applyBorder="1" applyProtection="1"/>
    <xf numFmtId="0" fontId="0" fillId="20" borderId="0" xfId="0" applyFill="1" applyAlignment="1" applyProtection="1">
      <alignment horizontal="left" vertical="center"/>
    </xf>
    <xf numFmtId="0" fontId="35" fillId="20" borderId="32" xfId="0" applyFont="1" applyFill="1" applyBorder="1" applyAlignment="1" applyProtection="1">
      <alignment horizontal="left" vertical="top" wrapText="1"/>
    </xf>
    <xf numFmtId="0" fontId="35" fillId="20" borderId="33" xfId="0" applyFont="1" applyFill="1" applyBorder="1" applyAlignment="1" applyProtection="1">
      <alignment horizontal="left" vertical="top" wrapText="1"/>
    </xf>
    <xf numFmtId="3" fontId="115" fillId="0" borderId="1" xfId="0" applyNumberFormat="1" applyFont="1" applyBorder="1" applyAlignment="1" applyProtection="1">
      <alignment vertical="center"/>
    </xf>
    <xf numFmtId="165" fontId="94" fillId="0" borderId="1" xfId="3" applyNumberFormat="1" applyFont="1" applyFill="1" applyBorder="1" applyAlignment="1" applyProtection="1">
      <alignment vertical="center"/>
    </xf>
    <xf numFmtId="4" fontId="97" fillId="0" borderId="1" xfId="3" applyNumberFormat="1" applyFont="1" applyFill="1" applyBorder="1" applyAlignment="1" applyProtection="1">
      <alignment vertical="center"/>
    </xf>
    <xf numFmtId="4" fontId="105" fillId="0" borderId="1" xfId="3" applyNumberFormat="1" applyFont="1" applyFill="1" applyBorder="1" applyAlignment="1" applyProtection="1">
      <alignment vertical="center"/>
    </xf>
    <xf numFmtId="2" fontId="0" fillId="20" borderId="1" xfId="0" quotePrefix="1" applyNumberFormat="1" applyFill="1" applyBorder="1" applyAlignment="1" applyProtection="1">
      <alignment horizontal="center"/>
    </xf>
    <xf numFmtId="0" fontId="5" fillId="20" borderId="16" xfId="9" applyFont="1" applyFill="1" applyBorder="1" applyAlignment="1" applyProtection="1">
      <alignment vertical="top"/>
    </xf>
    <xf numFmtId="4" fontId="35" fillId="20" borderId="18" xfId="0" applyNumberFormat="1" applyFont="1" applyFill="1" applyBorder="1" applyAlignment="1" applyProtection="1">
      <alignment horizontal="center" vertical="top"/>
    </xf>
    <xf numFmtId="0" fontId="2" fillId="20" borderId="16" xfId="9" applyFill="1" applyBorder="1" applyAlignment="1" applyProtection="1">
      <alignment vertical="top"/>
    </xf>
    <xf numFmtId="0" fontId="35" fillId="20" borderId="16" xfId="0" applyFont="1" applyFill="1" applyBorder="1" applyAlignment="1" applyProtection="1">
      <alignment vertical="top"/>
    </xf>
    <xf numFmtId="0" fontId="35" fillId="0" borderId="16" xfId="0" applyFont="1" applyBorder="1" applyAlignment="1" applyProtection="1">
      <alignment vertical="top"/>
    </xf>
    <xf numFmtId="0" fontId="35" fillId="0" borderId="19" xfId="0" applyFont="1" applyBorder="1" applyAlignment="1" applyProtection="1">
      <alignment vertical="top"/>
    </xf>
    <xf numFmtId="0" fontId="2" fillId="20" borderId="16" xfId="9" applyFont="1" applyFill="1" applyBorder="1" applyAlignment="1" applyProtection="1">
      <alignment vertical="top"/>
    </xf>
    <xf numFmtId="3" fontId="107" fillId="0" borderId="1" xfId="0" applyNumberFormat="1" applyFont="1" applyFill="1" applyBorder="1" applyAlignment="1" applyProtection="1">
      <alignment horizontal="center" vertical="center"/>
    </xf>
    <xf numFmtId="4" fontId="100" fillId="0" borderId="1" xfId="3" applyNumberFormat="1" applyFont="1" applyFill="1" applyBorder="1" applyAlignment="1" applyProtection="1">
      <alignment horizontal="right" vertical="center"/>
    </xf>
    <xf numFmtId="0" fontId="35" fillId="0" borderId="16" xfId="0" quotePrefix="1" applyFont="1" applyBorder="1" applyProtection="1"/>
    <xf numFmtId="0" fontId="12" fillId="0" borderId="0" xfId="4" applyFill="1" applyAlignment="1" applyProtection="1"/>
    <xf numFmtId="14" fontId="100" fillId="0" borderId="0" xfId="9" applyNumberFormat="1" applyFont="1" applyFill="1" applyBorder="1" applyAlignment="1">
      <alignment horizontal="center" vertical="center"/>
    </xf>
    <xf numFmtId="14" fontId="0" fillId="0" borderId="0" xfId="0" applyNumberFormat="1" applyFont="1" applyFill="1" applyAlignment="1">
      <alignment horizontal="center" vertical="center"/>
    </xf>
    <xf numFmtId="0" fontId="0" fillId="0" borderId="0" xfId="0" applyFont="1" applyFill="1" applyAlignment="1">
      <alignment horizontal="center"/>
    </xf>
    <xf numFmtId="0" fontId="116" fillId="0" borderId="0" xfId="9" applyFont="1" applyFill="1" applyBorder="1" applyAlignment="1">
      <alignment horizontal="center"/>
    </xf>
    <xf numFmtId="14" fontId="0" fillId="0" borderId="14" xfId="0" applyNumberFormat="1" applyFont="1" applyFill="1" applyBorder="1" applyAlignment="1">
      <alignment horizontal="center" vertical="top" wrapText="1"/>
    </xf>
    <xf numFmtId="0" fontId="0" fillId="0" borderId="14" xfId="0" applyFont="1" applyBorder="1" applyAlignment="1">
      <alignment vertical="top" wrapText="1"/>
    </xf>
    <xf numFmtId="14" fontId="0" fillId="0" borderId="0" xfId="0" applyNumberFormat="1"/>
    <xf numFmtId="0" fontId="3" fillId="0" borderId="0" xfId="9" applyFont="1" applyFill="1" applyBorder="1" applyAlignment="1">
      <alignment vertical="top" wrapText="1"/>
    </xf>
    <xf numFmtId="0" fontId="87" fillId="4" borderId="34" xfId="0" applyFont="1" applyFill="1" applyBorder="1" applyAlignment="1">
      <alignment vertical="center"/>
    </xf>
    <xf numFmtId="0" fontId="0" fillId="4" borderId="22" xfId="0" applyFill="1" applyBorder="1"/>
    <xf numFmtId="0" fontId="75" fillId="4" borderId="23" xfId="0" applyFont="1" applyFill="1" applyBorder="1"/>
    <xf numFmtId="0" fontId="87" fillId="4" borderId="35" xfId="0" applyFont="1" applyFill="1" applyBorder="1" applyAlignment="1">
      <alignment vertical="center"/>
    </xf>
    <xf numFmtId="0" fontId="75" fillId="4" borderId="24" xfId="0" applyFont="1" applyFill="1" applyBorder="1"/>
    <xf numFmtId="0" fontId="58" fillId="18" borderId="34" xfId="0" applyFont="1" applyFill="1" applyBorder="1"/>
    <xf numFmtId="0" fontId="58" fillId="18" borderId="35" xfId="0" applyFont="1" applyFill="1" applyBorder="1" applyAlignment="1">
      <alignment vertical="top"/>
    </xf>
    <xf numFmtId="0" fontId="58" fillId="18" borderId="35" xfId="0" quotePrefix="1" applyFont="1" applyFill="1" applyBorder="1" applyAlignment="1">
      <alignment vertical="top"/>
    </xf>
    <xf numFmtId="0" fontId="0" fillId="2" borderId="0" xfId="0" quotePrefix="1" applyFill="1"/>
    <xf numFmtId="0" fontId="92" fillId="0" borderId="0" xfId="0" applyFont="1" applyAlignment="1">
      <alignment vertical="top" wrapText="1"/>
    </xf>
    <xf numFmtId="4" fontId="117" fillId="16" borderId="1" xfId="9" applyNumberFormat="1" applyFont="1" applyFill="1" applyBorder="1" applyProtection="1">
      <protection hidden="1"/>
    </xf>
    <xf numFmtId="164" fontId="2" fillId="0" borderId="0" xfId="3" quotePrefix="1" applyFont="1" applyFill="1" applyBorder="1" applyAlignment="1">
      <alignment horizontal="left"/>
    </xf>
    <xf numFmtId="4" fontId="100" fillId="0" borderId="0" xfId="0" applyNumberFormat="1" applyFont="1"/>
    <xf numFmtId="0" fontId="118" fillId="26" borderId="0" xfId="0" applyFont="1" applyFill="1" applyAlignment="1">
      <alignment vertical="center"/>
    </xf>
    <xf numFmtId="0" fontId="118" fillId="0" borderId="0" xfId="0" applyFont="1" applyFill="1" applyAlignment="1">
      <alignment vertical="center"/>
    </xf>
    <xf numFmtId="0" fontId="119" fillId="0" borderId="0" xfId="0" applyFont="1" applyFill="1" applyAlignment="1">
      <alignment vertical="center" wrapText="1"/>
    </xf>
    <xf numFmtId="0" fontId="120" fillId="0" borderId="0" xfId="0" applyFont="1" applyFill="1" applyAlignment="1">
      <alignment vertical="center" wrapText="1"/>
    </xf>
    <xf numFmtId="0" fontId="12" fillId="0" borderId="0" xfId="4" applyFill="1" applyAlignment="1" applyProtection="1">
      <alignment vertical="top" wrapText="1"/>
    </xf>
    <xf numFmtId="0" fontId="121" fillId="0" borderId="0" xfId="0" applyFont="1" applyAlignment="1">
      <alignment horizontal="left" vertical="center"/>
    </xf>
    <xf numFmtId="0" fontId="122" fillId="0" borderId="0" xfId="0" applyFont="1" applyAlignment="1">
      <alignment vertical="center" wrapText="1"/>
    </xf>
    <xf numFmtId="0" fontId="122" fillId="0" borderId="0" xfId="0" applyFont="1" applyAlignment="1">
      <alignment vertical="top" wrapText="1"/>
    </xf>
    <xf numFmtId="0" fontId="14" fillId="0" borderId="0" xfId="0" applyFont="1" applyAlignment="1">
      <alignment vertical="top" wrapText="1"/>
    </xf>
    <xf numFmtId="14" fontId="0" fillId="0" borderId="2" xfId="0" applyNumberFormat="1" applyFont="1" applyFill="1" applyBorder="1" applyAlignment="1">
      <alignment horizontal="center" vertical="top" wrapText="1"/>
    </xf>
    <xf numFmtId="0" fontId="58" fillId="4" borderId="0" xfId="0" applyFont="1" applyFill="1" applyBorder="1" applyAlignment="1">
      <alignment vertical="center" wrapText="1"/>
    </xf>
    <xf numFmtId="10" fontId="0" fillId="0" borderId="0" xfId="0" applyNumberFormat="1"/>
    <xf numFmtId="4" fontId="58" fillId="4" borderId="0" xfId="0" applyNumberFormat="1" applyFont="1" applyFill="1" applyBorder="1" applyAlignment="1">
      <alignment vertical="center" wrapText="1"/>
    </xf>
    <xf numFmtId="4" fontId="58" fillId="4" borderId="0" xfId="0" applyNumberFormat="1" applyFont="1" applyFill="1" applyBorder="1" applyAlignment="1">
      <alignment horizontal="center" vertical="center" wrapText="1"/>
    </xf>
    <xf numFmtId="0" fontId="70" fillId="4" borderId="0" xfId="0" applyFont="1" applyFill="1" applyAlignment="1">
      <alignment vertical="top"/>
    </xf>
    <xf numFmtId="0" fontId="58" fillId="4" borderId="0" xfId="0" applyFont="1" applyFill="1" applyBorder="1" applyAlignment="1">
      <alignment vertical="center" wrapText="1"/>
    </xf>
    <xf numFmtId="4" fontId="0" fillId="0" borderId="0" xfId="0" applyNumberFormat="1" applyBorder="1" applyAlignment="1">
      <alignment horizontal="center"/>
    </xf>
    <xf numFmtId="4" fontId="3" fillId="16" borderId="1" xfId="9" applyNumberFormat="1" applyFont="1" applyFill="1" applyBorder="1" applyAlignment="1">
      <alignment horizontal="center"/>
    </xf>
    <xf numFmtId="0" fontId="35" fillId="20" borderId="16" xfId="0" applyFont="1" applyFill="1" applyBorder="1" applyAlignment="1">
      <alignment horizontal="left"/>
    </xf>
    <xf numFmtId="0" fontId="35" fillId="20" borderId="1" xfId="0" applyFont="1" applyFill="1" applyBorder="1" applyAlignment="1">
      <alignment horizontal="left"/>
    </xf>
    <xf numFmtId="0" fontId="35" fillId="20" borderId="1" xfId="0" applyFont="1" applyFill="1" applyBorder="1"/>
    <xf numFmtId="6" fontId="35" fillId="20" borderId="1" xfId="0" applyNumberFormat="1" applyFont="1" applyFill="1" applyBorder="1" applyAlignment="1">
      <alignment horizontal="right"/>
    </xf>
    <xf numFmtId="0" fontId="46" fillId="20" borderId="16" xfId="0" applyFont="1" applyFill="1" applyBorder="1" applyAlignment="1">
      <alignment horizontal="left"/>
    </xf>
    <xf numFmtId="178" fontId="104" fillId="21" borderId="65" xfId="3" applyNumberFormat="1" applyFont="1" applyFill="1" applyBorder="1" applyAlignment="1" applyProtection="1">
      <alignment horizontal="center" vertical="center" wrapText="1"/>
    </xf>
    <xf numFmtId="5" fontId="72" fillId="20" borderId="1" xfId="0" applyNumberFormat="1" applyFont="1" applyFill="1" applyBorder="1" applyAlignment="1">
      <alignment horizontal="right"/>
    </xf>
    <xf numFmtId="6" fontId="35" fillId="20" borderId="0" xfId="0" applyNumberFormat="1" applyFont="1" applyFill="1" applyBorder="1" applyAlignment="1">
      <alignment horizontal="right"/>
    </xf>
    <xf numFmtId="0" fontId="35" fillId="20" borderId="19" xfId="0" applyFont="1" applyFill="1" applyBorder="1"/>
    <xf numFmtId="0" fontId="35" fillId="0" borderId="0" xfId="0" applyFont="1" applyFill="1" applyBorder="1" applyAlignment="1">
      <alignment horizontal="right"/>
    </xf>
    <xf numFmtId="0" fontId="35" fillId="0" borderId="0" xfId="0" applyFont="1" applyFill="1" applyBorder="1"/>
    <xf numFmtId="0" fontId="54" fillId="0" borderId="0" xfId="0" applyFont="1" applyFill="1" applyBorder="1"/>
    <xf numFmtId="0" fontId="35" fillId="20" borderId="16" xfId="0" quotePrefix="1" applyFont="1" applyFill="1" applyBorder="1" applyAlignment="1">
      <alignment horizontal="left"/>
    </xf>
    <xf numFmtId="0" fontId="58" fillId="4" borderId="0" xfId="0" applyFont="1" applyFill="1" applyBorder="1" applyAlignment="1">
      <alignment vertical="center" wrapText="1"/>
    </xf>
    <xf numFmtId="0" fontId="126" fillId="0" borderId="16" xfId="0" applyFont="1" applyBorder="1"/>
    <xf numFmtId="6" fontId="35" fillId="20" borderId="16" xfId="0" applyNumberFormat="1" applyFont="1" applyFill="1" applyBorder="1"/>
    <xf numFmtId="0" fontId="127" fillId="0" borderId="16" xfId="0" applyFont="1" applyBorder="1" applyAlignment="1">
      <alignment horizontal="right"/>
    </xf>
    <xf numFmtId="0" fontId="3" fillId="4" borderId="0" xfId="9" applyFont="1" applyFill="1" applyBorder="1" applyAlignment="1">
      <alignment vertical="top" wrapText="1"/>
    </xf>
    <xf numFmtId="0" fontId="0" fillId="0" borderId="0" xfId="0" applyAlignment="1">
      <alignment horizontal="left" vertical="center" wrapText="1"/>
    </xf>
    <xf numFmtId="0" fontId="53" fillId="16" borderId="1" xfId="0" applyFont="1" applyFill="1" applyBorder="1"/>
    <xf numFmtId="4" fontId="13" fillId="16" borderId="1" xfId="0" applyNumberFormat="1" applyFont="1" applyFill="1" applyBorder="1" applyAlignment="1">
      <alignment horizontal="center"/>
    </xf>
    <xf numFmtId="14" fontId="2" fillId="0" borderId="0" xfId="9" applyNumberFormat="1" applyFont="1" applyBorder="1" applyAlignment="1">
      <alignment vertical="center"/>
    </xf>
    <xf numFmtId="0" fontId="98" fillId="0" borderId="0" xfId="0" applyFont="1" applyBorder="1"/>
    <xf numFmtId="4" fontId="129" fillId="0" borderId="0" xfId="0" applyNumberFormat="1" applyFont="1"/>
    <xf numFmtId="4" fontId="98" fillId="0" borderId="0" xfId="0" applyNumberFormat="1" applyFont="1"/>
    <xf numFmtId="4" fontId="98" fillId="0" borderId="0" xfId="0" applyNumberFormat="1" applyFont="1" applyAlignment="1">
      <alignment horizontal="center"/>
    </xf>
    <xf numFmtId="0" fontId="53" fillId="13" borderId="1" xfId="0" applyFont="1" applyFill="1" applyBorder="1"/>
    <xf numFmtId="0" fontId="13" fillId="13" borderId="1" xfId="0" applyFont="1" applyFill="1" applyBorder="1"/>
    <xf numFmtId="4" fontId="58" fillId="13" borderId="1" xfId="0" applyNumberFormat="1" applyFont="1" applyFill="1" applyBorder="1"/>
    <xf numFmtId="4" fontId="58" fillId="13" borderId="1" xfId="0" applyNumberFormat="1" applyFont="1" applyFill="1" applyBorder="1" applyAlignment="1">
      <alignment horizontal="center"/>
    </xf>
    <xf numFmtId="0" fontId="100" fillId="0" borderId="1" xfId="0" applyFont="1" applyBorder="1" applyAlignment="1">
      <alignment vertical="top" wrapText="1"/>
    </xf>
    <xf numFmtId="0" fontId="35" fillId="20" borderId="0" xfId="0" applyFont="1" applyFill="1" applyBorder="1"/>
    <xf numFmtId="0" fontId="35" fillId="0" borderId="0" xfId="0" applyFont="1" applyBorder="1"/>
    <xf numFmtId="0" fontId="127" fillId="20" borderId="16" xfId="0" applyFont="1" applyFill="1" applyBorder="1" applyAlignment="1">
      <alignment horizontal="center"/>
    </xf>
    <xf numFmtId="0" fontId="35" fillId="20" borderId="16" xfId="0" quotePrefix="1" applyFont="1" applyFill="1" applyBorder="1"/>
    <xf numFmtId="0" fontId="126" fillId="20" borderId="16" xfId="0" applyFont="1" applyFill="1" applyBorder="1"/>
    <xf numFmtId="0" fontId="35" fillId="20" borderId="31" xfId="0" applyFont="1" applyFill="1" applyBorder="1" applyAlignment="1">
      <alignment vertical="top" wrapText="1"/>
    </xf>
    <xf numFmtId="0" fontId="35" fillId="20" borderId="19" xfId="0" applyFont="1" applyFill="1" applyBorder="1" applyAlignment="1">
      <alignment vertical="top" wrapText="1"/>
    </xf>
    <xf numFmtId="14" fontId="72" fillId="0" borderId="0" xfId="9" applyNumberFormat="1" applyFont="1" applyFill="1" applyBorder="1" applyAlignment="1">
      <alignment vertical="center"/>
    </xf>
    <xf numFmtId="14" fontId="0" fillId="0" borderId="0" xfId="0" applyNumberFormat="1" applyFont="1" applyFill="1" applyBorder="1" applyAlignment="1">
      <alignment horizontal="center" vertical="top" wrapText="1"/>
    </xf>
    <xf numFmtId="0" fontId="100" fillId="0" borderId="0" xfId="0" applyFont="1" applyBorder="1" applyAlignment="1">
      <alignment vertical="top" wrapText="1"/>
    </xf>
    <xf numFmtId="0" fontId="58" fillId="4" borderId="0" xfId="0" applyFont="1" applyFill="1" applyBorder="1" applyAlignment="1">
      <alignment vertical="center" wrapText="1"/>
    </xf>
    <xf numFmtId="0" fontId="0" fillId="2" borderId="1" xfId="0" applyFill="1" applyBorder="1" applyAlignment="1">
      <alignment horizontal="left" vertical="top" wrapText="1"/>
    </xf>
    <xf numFmtId="0" fontId="7" fillId="2" borderId="1" xfId="0" applyFont="1" applyFill="1" applyBorder="1" applyAlignment="1">
      <alignment horizontal="left" vertical="top" wrapText="1"/>
    </xf>
    <xf numFmtId="0" fontId="3" fillId="0" borderId="21" xfId="0" applyFont="1" applyBorder="1" applyAlignment="1">
      <alignment horizontal="left" vertical="top" wrapText="1"/>
    </xf>
    <xf numFmtId="0" fontId="3" fillId="0" borderId="20" xfId="0" applyFont="1" applyBorder="1" applyAlignment="1">
      <alignment horizontal="left" vertical="top" wrapText="1"/>
    </xf>
    <xf numFmtId="0" fontId="3" fillId="0" borderId="2" xfId="0" applyFont="1" applyBorder="1" applyAlignment="1">
      <alignment horizontal="left" vertical="top" wrapText="1"/>
    </xf>
    <xf numFmtId="0" fontId="8" fillId="0" borderId="0" xfId="0" applyFont="1" applyAlignment="1">
      <alignment horizontal="left"/>
    </xf>
    <xf numFmtId="0" fontId="0" fillId="2" borderId="1" xfId="0" applyFill="1" applyBorder="1" applyAlignment="1">
      <alignment horizontal="left" wrapText="1"/>
    </xf>
    <xf numFmtId="0" fontId="58" fillId="0" borderId="0" xfId="0" applyFont="1" applyAlignment="1">
      <alignment horizontal="left" vertical="top" wrapText="1"/>
    </xf>
    <xf numFmtId="0" fontId="9" fillId="2" borderId="1" xfId="0" applyFont="1" applyFill="1" applyBorder="1" applyAlignment="1">
      <alignment horizontal="left" wrapText="1"/>
    </xf>
    <xf numFmtId="0" fontId="47" fillId="2" borderId="21" xfId="0" applyFont="1" applyFill="1" applyBorder="1" applyAlignment="1">
      <alignment horizontal="center" wrapText="1"/>
    </xf>
    <xf numFmtId="0" fontId="47" fillId="2" borderId="20" xfId="0" applyFont="1" applyFill="1" applyBorder="1" applyAlignment="1">
      <alignment horizontal="center" wrapText="1"/>
    </xf>
    <xf numFmtId="0" fontId="47" fillId="2" borderId="2" xfId="0" applyFont="1" applyFill="1" applyBorder="1" applyAlignment="1">
      <alignment horizontal="center" wrapText="1"/>
    </xf>
    <xf numFmtId="0" fontId="17" fillId="0" borderId="21" xfId="0" applyFont="1" applyBorder="1" applyAlignment="1">
      <alignment horizontal="left" vertical="top" wrapText="1"/>
    </xf>
    <xf numFmtId="0" fontId="17" fillId="0" borderId="20" xfId="0" applyFont="1" applyBorder="1" applyAlignment="1">
      <alignment horizontal="left" vertical="top" wrapText="1"/>
    </xf>
    <xf numFmtId="0" fontId="17" fillId="0" borderId="2" xfId="0" applyFont="1" applyBorder="1" applyAlignment="1">
      <alignment horizontal="left" vertical="top" wrapText="1"/>
    </xf>
    <xf numFmtId="0" fontId="3" fillId="0" borderId="2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2" xfId="0" applyFont="1" applyFill="1" applyBorder="1" applyAlignment="1">
      <alignment horizontal="left" vertical="top" wrapText="1"/>
    </xf>
    <xf numFmtId="0" fontId="15" fillId="0" borderId="21" xfId="0" applyFont="1" applyBorder="1" applyAlignment="1">
      <alignment horizontal="left" vertical="top" wrapText="1"/>
    </xf>
    <xf numFmtId="0" fontId="58" fillId="4" borderId="0" xfId="0" applyFont="1" applyFill="1" applyAlignment="1">
      <alignment vertical="top" wrapText="1"/>
    </xf>
    <xf numFmtId="0" fontId="58" fillId="4" borderId="0" xfId="0" applyFont="1" applyFill="1" applyAlignment="1">
      <alignment horizontal="left" vertical="top" wrapText="1"/>
    </xf>
    <xf numFmtId="0" fontId="3" fillId="4" borderId="0" xfId="9" applyFont="1" applyFill="1" applyBorder="1" applyAlignment="1">
      <alignment vertical="top" wrapText="1"/>
    </xf>
    <xf numFmtId="0" fontId="123" fillId="4" borderId="0" xfId="0" applyFont="1" applyFill="1" applyAlignment="1">
      <alignment vertical="top" wrapText="1"/>
    </xf>
    <xf numFmtId="0" fontId="3" fillId="4" borderId="0" xfId="0" applyFont="1" applyFill="1" applyAlignment="1">
      <alignment vertical="top" wrapText="1"/>
    </xf>
    <xf numFmtId="0" fontId="3" fillId="4" borderId="0" xfId="0" applyFont="1" applyFill="1" applyBorder="1" applyAlignment="1">
      <alignment vertical="center" wrapText="1"/>
    </xf>
    <xf numFmtId="0" fontId="70" fillId="4" borderId="0" xfId="0" applyFont="1" applyFill="1" applyAlignment="1">
      <alignment vertical="top" wrapText="1"/>
    </xf>
    <xf numFmtId="0" fontId="3" fillId="4" borderId="0" xfId="0" applyFont="1" applyFill="1" applyAlignment="1">
      <alignment vertical="center" wrapText="1"/>
    </xf>
    <xf numFmtId="0" fontId="58" fillId="4" borderId="0" xfId="0" applyFont="1" applyFill="1" applyAlignment="1">
      <alignment vertical="center" wrapText="1"/>
    </xf>
    <xf numFmtId="4" fontId="6" fillId="0" borderId="21" xfId="9" applyNumberFormat="1" applyFont="1" applyFill="1" applyBorder="1" applyAlignment="1">
      <alignment horizontal="center" vertical="top" wrapText="1"/>
    </xf>
    <xf numFmtId="4" fontId="6" fillId="0" borderId="20" xfId="9" applyNumberFormat="1" applyFont="1" applyFill="1" applyBorder="1" applyAlignment="1">
      <alignment horizontal="center" vertical="top" wrapText="1"/>
    </xf>
    <xf numFmtId="4" fontId="6" fillId="0" borderId="2" xfId="9" applyNumberFormat="1" applyFont="1" applyFill="1" applyBorder="1" applyAlignment="1">
      <alignment horizontal="center" vertical="top" wrapText="1"/>
    </xf>
    <xf numFmtId="4" fontId="2" fillId="0" borderId="21" xfId="9" applyNumberFormat="1" applyFont="1" applyFill="1" applyBorder="1" applyAlignment="1">
      <alignment horizontal="center" vertical="top" wrapText="1"/>
    </xf>
    <xf numFmtId="4" fontId="2" fillId="0" borderId="20" xfId="9" applyNumberFormat="1" applyFont="1" applyFill="1" applyBorder="1" applyAlignment="1">
      <alignment horizontal="center" vertical="top" wrapText="1"/>
    </xf>
    <xf numFmtId="4" fontId="2" fillId="0" borderId="2" xfId="9" applyNumberFormat="1" applyFont="1" applyFill="1" applyBorder="1" applyAlignment="1">
      <alignment horizontal="center" vertical="top" wrapText="1"/>
    </xf>
    <xf numFmtId="4" fontId="19" fillId="0" borderId="6" xfId="9" applyNumberFormat="1" applyFont="1" applyFill="1" applyBorder="1" applyAlignment="1">
      <alignment horizontal="center" vertical="top" wrapText="1"/>
    </xf>
    <xf numFmtId="4" fontId="19" fillId="0" borderId="0" xfId="9" applyNumberFormat="1" applyFont="1" applyFill="1" applyBorder="1" applyAlignment="1">
      <alignment horizontal="center" vertical="top" wrapText="1"/>
    </xf>
    <xf numFmtId="4" fontId="19" fillId="0" borderId="8" xfId="9" applyNumberFormat="1" applyFont="1" applyFill="1" applyBorder="1" applyAlignment="1">
      <alignment horizontal="center" vertical="top" wrapText="1"/>
    </xf>
    <xf numFmtId="0" fontId="41" fillId="0" borderId="7" xfId="0" applyFont="1" applyBorder="1" applyAlignment="1">
      <alignment horizontal="center"/>
    </xf>
    <xf numFmtId="0" fontId="41" fillId="0" borderId="5" xfId="0" applyFont="1" applyBorder="1" applyAlignment="1">
      <alignment horizontal="center"/>
    </xf>
    <xf numFmtId="0" fontId="41" fillId="0" borderId="9" xfId="0" applyFont="1" applyBorder="1" applyAlignment="1">
      <alignment horizontal="center"/>
    </xf>
    <xf numFmtId="0" fontId="3" fillId="4" borderId="0" xfId="9" applyFont="1" applyFill="1" applyBorder="1" applyAlignment="1">
      <alignment horizontal="left" vertical="center" wrapText="1"/>
    </xf>
    <xf numFmtId="0" fontId="13" fillId="4" borderId="0" xfId="0" applyFont="1" applyFill="1" applyAlignment="1">
      <alignment horizontal="left" vertical="center" wrapText="1"/>
    </xf>
    <xf numFmtId="0" fontId="58" fillId="4" borderId="0" xfId="0" applyFont="1" applyFill="1" applyAlignment="1">
      <alignment horizontal="left" vertical="center" wrapText="1"/>
    </xf>
    <xf numFmtId="0" fontId="41" fillId="0" borderId="6" xfId="0" applyFont="1" applyBorder="1" applyAlignment="1">
      <alignment horizontal="center"/>
    </xf>
    <xf numFmtId="0" fontId="41" fillId="0" borderId="0" xfId="0" applyFont="1" applyAlignment="1">
      <alignment horizontal="center"/>
    </xf>
    <xf numFmtId="0" fontId="41" fillId="0" borderId="8" xfId="0" applyFont="1" applyBorder="1" applyAlignment="1">
      <alignment horizontal="center"/>
    </xf>
    <xf numFmtId="4" fontId="19" fillId="0" borderId="7" xfId="9" applyNumberFormat="1" applyFont="1" applyFill="1" applyBorder="1" applyAlignment="1">
      <alignment horizontal="center"/>
    </xf>
    <xf numFmtId="4" fontId="19" fillId="0" borderId="5" xfId="9" applyNumberFormat="1" applyFont="1" applyFill="1" applyBorder="1" applyAlignment="1">
      <alignment horizontal="center"/>
    </xf>
    <xf numFmtId="4" fontId="19" fillId="0" borderId="9" xfId="9" applyNumberFormat="1" applyFont="1" applyFill="1" applyBorder="1" applyAlignment="1">
      <alignment horizontal="center"/>
    </xf>
    <xf numFmtId="0" fontId="13" fillId="0" borderId="21" xfId="0" applyFont="1" applyBorder="1" applyAlignment="1">
      <alignment horizontal="center" vertical="top" wrapText="1"/>
    </xf>
    <xf numFmtId="0" fontId="13" fillId="0" borderId="20" xfId="0" applyFont="1" applyBorder="1" applyAlignment="1">
      <alignment horizontal="center" vertical="top" wrapText="1"/>
    </xf>
    <xf numFmtId="0" fontId="13" fillId="0" borderId="2" xfId="0" applyFont="1" applyBorder="1" applyAlignment="1">
      <alignment horizontal="center" vertical="top" wrapText="1"/>
    </xf>
    <xf numFmtId="4" fontId="19" fillId="0" borderId="6" xfId="9" applyNumberFormat="1" applyFont="1" applyFill="1" applyBorder="1" applyAlignment="1">
      <alignment horizontal="center" wrapText="1"/>
    </xf>
    <xf numFmtId="4" fontId="19" fillId="0" borderId="0" xfId="9" applyNumberFormat="1" applyFont="1" applyFill="1" applyBorder="1" applyAlignment="1">
      <alignment horizontal="center" wrapText="1"/>
    </xf>
    <xf numFmtId="4" fontId="19" fillId="0" borderId="8" xfId="9" applyNumberFormat="1" applyFont="1" applyFill="1" applyBorder="1" applyAlignment="1">
      <alignment horizontal="center" wrapText="1"/>
    </xf>
    <xf numFmtId="0" fontId="3" fillId="4" borderId="0" xfId="9" applyFont="1" applyFill="1" applyBorder="1" applyAlignment="1">
      <alignment horizontal="left" vertical="top" wrapText="1"/>
    </xf>
    <xf numFmtId="0" fontId="104" fillId="4" borderId="0" xfId="9" applyFont="1" applyFill="1" applyBorder="1" applyAlignment="1">
      <alignment vertical="top" wrapText="1"/>
    </xf>
    <xf numFmtId="0" fontId="70" fillId="4" borderId="0" xfId="0" applyFont="1" applyFill="1" applyAlignment="1">
      <alignment vertical="top"/>
    </xf>
    <xf numFmtId="0" fontId="58" fillId="4" borderId="0" xfId="0" applyFont="1" applyFill="1" applyBorder="1" applyAlignment="1">
      <alignment vertical="center" wrapText="1"/>
    </xf>
    <xf numFmtId="0" fontId="8" fillId="0" borderId="0" xfId="0" applyFont="1"/>
    <xf numFmtId="0" fontId="3" fillId="4" borderId="0" xfId="9" applyFont="1" applyFill="1" applyBorder="1"/>
    <xf numFmtId="0" fontId="34" fillId="4" borderId="20" xfId="0" applyFont="1" applyFill="1" applyBorder="1" applyAlignment="1">
      <alignment horizontal="left" vertical="top" wrapText="1"/>
    </xf>
    <xf numFmtId="0" fontId="3" fillId="4" borderId="0" xfId="9" applyFont="1" applyFill="1" applyBorder="1" applyAlignment="1">
      <alignment vertical="top"/>
    </xf>
    <xf numFmtId="0" fontId="34" fillId="4" borderId="0" xfId="0" applyFont="1" applyFill="1" applyAlignment="1">
      <alignment horizontal="left" vertical="center" wrapText="1"/>
    </xf>
    <xf numFmtId="0" fontId="3" fillId="4" borderId="0" xfId="9" applyFont="1" applyFill="1" applyAlignment="1">
      <alignment horizontal="left" vertical="top" wrapText="1"/>
    </xf>
    <xf numFmtId="0" fontId="70" fillId="4" borderId="0" xfId="0" applyFont="1" applyFill="1" applyAlignment="1">
      <alignment vertical="center" wrapText="1"/>
    </xf>
    <xf numFmtId="0" fontId="120" fillId="0" borderId="0" xfId="0" applyFont="1" applyFill="1" applyAlignment="1">
      <alignment vertical="center" wrapText="1"/>
    </xf>
    <xf numFmtId="0" fontId="3" fillId="4" borderId="20" xfId="9" applyFont="1" applyFill="1" applyBorder="1" applyAlignment="1">
      <alignment vertical="top" wrapText="1"/>
    </xf>
    <xf numFmtId="0" fontId="51" fillId="0" borderId="20" xfId="9" applyFont="1" applyBorder="1"/>
    <xf numFmtId="0" fontId="51" fillId="0" borderId="2" xfId="9" applyFont="1" applyBorder="1"/>
    <xf numFmtId="0" fontId="34" fillId="4" borderId="0" xfId="0" applyFont="1" applyFill="1" applyAlignment="1">
      <alignment vertical="top" wrapText="1"/>
    </xf>
    <xf numFmtId="0" fontId="0" fillId="0" borderId="5" xfId="0" applyBorder="1"/>
    <xf numFmtId="0" fontId="34" fillId="4" borderId="5" xfId="0" applyFont="1" applyFill="1" applyBorder="1" applyAlignment="1">
      <alignment horizontal="left" vertical="center" wrapText="1"/>
    </xf>
    <xf numFmtId="0" fontId="58" fillId="4" borderId="0" xfId="0" applyFont="1" applyFill="1" applyBorder="1" applyAlignment="1">
      <alignment vertical="top" wrapText="1"/>
    </xf>
    <xf numFmtId="0" fontId="70" fillId="4" borderId="0" xfId="0" applyFont="1" applyFill="1" applyBorder="1" applyAlignment="1">
      <alignment vertical="top" wrapText="1"/>
    </xf>
    <xf numFmtId="0" fontId="58" fillId="4" borderId="8" xfId="0" applyFont="1" applyFill="1" applyBorder="1" applyAlignment="1">
      <alignment vertical="center" wrapText="1"/>
    </xf>
    <xf numFmtId="0" fontId="58" fillId="4" borderId="10" xfId="0" applyFont="1" applyFill="1" applyBorder="1" applyAlignment="1">
      <alignment vertical="center" wrapText="1"/>
    </xf>
    <xf numFmtId="0" fontId="58" fillId="4" borderId="15" xfId="0" applyFont="1" applyFill="1" applyBorder="1" applyAlignment="1">
      <alignment vertical="center" wrapText="1"/>
    </xf>
    <xf numFmtId="0" fontId="78" fillId="4" borderId="0" xfId="0" applyFont="1" applyFill="1" applyAlignment="1">
      <alignment vertical="center" wrapText="1"/>
    </xf>
    <xf numFmtId="0" fontId="35" fillId="0" borderId="0" xfId="0" applyFont="1" applyAlignment="1">
      <alignment vertical="center"/>
    </xf>
    <xf numFmtId="0" fontId="0" fillId="0" borderId="0" xfId="0" applyAlignment="1"/>
    <xf numFmtId="0" fontId="3" fillId="4" borderId="0" xfId="9" applyFont="1" applyFill="1" applyBorder="1" applyAlignment="1">
      <alignment vertical="center" wrapText="1"/>
    </xf>
    <xf numFmtId="0" fontId="58" fillId="4" borderId="2" xfId="0" applyFont="1" applyFill="1" applyBorder="1" applyAlignment="1">
      <alignment vertical="center" wrapText="1"/>
    </xf>
    <xf numFmtId="0" fontId="58" fillId="4" borderId="1" xfId="0" applyFont="1" applyFill="1" applyBorder="1" applyAlignment="1">
      <alignment vertical="center" wrapText="1"/>
    </xf>
    <xf numFmtId="0" fontId="3" fillId="4" borderId="25" xfId="9" applyFont="1" applyFill="1" applyBorder="1" applyAlignment="1">
      <alignment horizontal="left" vertical="top" wrapText="1"/>
    </xf>
    <xf numFmtId="0" fontId="3" fillId="4" borderId="26" xfId="9" applyFont="1" applyFill="1" applyBorder="1" applyAlignment="1">
      <alignment horizontal="left" vertical="top" wrapText="1"/>
    </xf>
    <xf numFmtId="0" fontId="3" fillId="4" borderId="27" xfId="9" applyFont="1" applyFill="1" applyBorder="1" applyAlignment="1">
      <alignment horizontal="left" vertical="top" wrapText="1"/>
    </xf>
    <xf numFmtId="0" fontId="38" fillId="0" borderId="18" xfId="0" applyFont="1" applyBorder="1" applyAlignment="1">
      <alignment horizontal="left"/>
    </xf>
    <xf numFmtId="0" fontId="38" fillId="0" borderId="31" xfId="0" applyFont="1" applyBorder="1" applyAlignment="1">
      <alignment horizontal="left"/>
    </xf>
    <xf numFmtId="0" fontId="38" fillId="0" borderId="19" xfId="0" applyFont="1" applyBorder="1" applyAlignment="1">
      <alignment horizontal="left"/>
    </xf>
    <xf numFmtId="0" fontId="35" fillId="20" borderId="18" xfId="0" applyFont="1" applyFill="1" applyBorder="1" applyAlignment="1">
      <alignment horizontal="left" vertical="top" wrapText="1"/>
    </xf>
    <xf numFmtId="0" fontId="35" fillId="20" borderId="31" xfId="0" applyFont="1" applyFill="1" applyBorder="1" applyAlignment="1">
      <alignment horizontal="left" vertical="top" wrapText="1"/>
    </xf>
    <xf numFmtId="0" fontId="35" fillId="20" borderId="18" xfId="0" applyFont="1" applyFill="1" applyBorder="1" applyAlignment="1" applyProtection="1">
      <alignment vertical="top" wrapText="1"/>
    </xf>
    <xf numFmtId="0" fontId="35" fillId="20" borderId="31" xfId="0" applyFont="1" applyFill="1" applyBorder="1" applyAlignment="1" applyProtection="1">
      <alignment vertical="top" wrapText="1"/>
    </xf>
    <xf numFmtId="0" fontId="35" fillId="20" borderId="19" xfId="0" applyFont="1" applyFill="1" applyBorder="1" applyAlignment="1" applyProtection="1">
      <alignment vertical="top" wrapText="1"/>
    </xf>
    <xf numFmtId="178" fontId="104" fillId="21" borderId="57" xfId="3" quotePrefix="1" applyNumberFormat="1" applyFont="1" applyFill="1" applyBorder="1" applyAlignment="1" applyProtection="1">
      <alignment horizontal="center" vertical="center" wrapText="1"/>
    </xf>
    <xf numFmtId="178" fontId="104" fillId="21" borderId="58" xfId="3" applyNumberFormat="1" applyFont="1" applyFill="1" applyBorder="1" applyAlignment="1" applyProtection="1">
      <alignment horizontal="center" vertical="center" wrapText="1"/>
    </xf>
    <xf numFmtId="174" fontId="124" fillId="20" borderId="55" xfId="13" quotePrefix="1" applyNumberFormat="1" applyFont="1" applyFill="1" applyBorder="1" applyAlignment="1" applyProtection="1">
      <alignment horizontal="left" vertical="center"/>
    </xf>
    <xf numFmtId="174" fontId="124" fillId="20" borderId="0" xfId="13" quotePrefix="1" applyNumberFormat="1" applyFont="1" applyFill="1" applyBorder="1" applyAlignment="1" applyProtection="1">
      <alignment horizontal="left" vertical="center"/>
    </xf>
    <xf numFmtId="174" fontId="124" fillId="20" borderId="56" xfId="13" quotePrefix="1" applyNumberFormat="1" applyFont="1" applyFill="1" applyBorder="1" applyAlignment="1" applyProtection="1">
      <alignment horizontal="left" vertical="center"/>
    </xf>
    <xf numFmtId="0" fontId="35" fillId="20" borderId="18" xfId="0" applyFont="1" applyFill="1" applyBorder="1" applyAlignment="1" applyProtection="1">
      <alignment wrapText="1"/>
    </xf>
    <xf numFmtId="0" fontId="35" fillId="20" borderId="31" xfId="0" applyFont="1" applyFill="1" applyBorder="1" applyAlignment="1" applyProtection="1">
      <alignment wrapText="1"/>
    </xf>
    <xf numFmtId="0" fontId="35" fillId="20" borderId="19" xfId="0" applyFont="1" applyFill="1" applyBorder="1" applyAlignment="1" applyProtection="1">
      <alignment wrapText="1"/>
    </xf>
    <xf numFmtId="0" fontId="36" fillId="20" borderId="18" xfId="0" applyFont="1" applyFill="1" applyBorder="1" applyAlignment="1" applyProtection="1">
      <alignment wrapText="1"/>
    </xf>
    <xf numFmtId="0" fontId="36" fillId="20" borderId="31" xfId="0" applyFont="1" applyFill="1" applyBorder="1" applyAlignment="1" applyProtection="1">
      <alignment wrapText="1"/>
    </xf>
    <xf numFmtId="0" fontId="36" fillId="20" borderId="19" xfId="0" applyFont="1" applyFill="1" applyBorder="1" applyAlignment="1" applyProtection="1">
      <alignment wrapText="1"/>
    </xf>
    <xf numFmtId="174" fontId="2" fillId="22" borderId="59" xfId="13" quotePrefix="1" applyNumberFormat="1" applyFont="1" applyFill="1" applyBorder="1" applyAlignment="1" applyProtection="1">
      <alignment horizontal="center" vertical="center"/>
    </xf>
    <xf numFmtId="3" fontId="0" fillId="0" borderId="21" xfId="0" applyNumberFormat="1" applyFont="1" applyFill="1" applyBorder="1" applyAlignment="1" applyProtection="1">
      <alignment vertical="center"/>
    </xf>
    <xf numFmtId="3" fontId="0" fillId="0" borderId="20" xfId="0" applyNumberFormat="1" applyFont="1" applyFill="1" applyBorder="1" applyAlignment="1" applyProtection="1">
      <alignment vertical="center"/>
    </xf>
    <xf numFmtId="174" fontId="2" fillId="20" borderId="59" xfId="13" quotePrefix="1" applyNumberFormat="1" applyFont="1" applyFill="1" applyBorder="1" applyAlignment="1" applyProtection="1">
      <alignment horizontal="center" vertical="center"/>
    </xf>
    <xf numFmtId="3" fontId="0" fillId="0" borderId="47" xfId="0" applyNumberFormat="1" applyFont="1" applyFill="1" applyBorder="1" applyAlignment="1" applyProtection="1">
      <alignment vertical="center"/>
    </xf>
    <xf numFmtId="0" fontId="90" fillId="20" borderId="18" xfId="0" applyFont="1" applyFill="1" applyBorder="1" applyAlignment="1" applyProtection="1">
      <alignment horizontal="left"/>
    </xf>
    <xf numFmtId="0" fontId="90" fillId="20" borderId="31" xfId="0" applyFont="1" applyFill="1" applyBorder="1" applyAlignment="1" applyProtection="1">
      <alignment horizontal="left"/>
    </xf>
    <xf numFmtId="0" fontId="90" fillId="20" borderId="19" xfId="0" applyFont="1" applyFill="1" applyBorder="1" applyAlignment="1" applyProtection="1">
      <alignment horizontal="left"/>
    </xf>
    <xf numFmtId="0" fontId="35" fillId="0" borderId="36" xfId="0" applyFont="1" applyBorder="1" applyAlignment="1" applyProtection="1">
      <alignment horizontal="left" vertical="top" wrapText="1"/>
    </xf>
    <xf numFmtId="0" fontId="35" fillId="0" borderId="37" xfId="0" applyFont="1" applyBorder="1" applyAlignment="1" applyProtection="1">
      <alignment horizontal="left" vertical="top"/>
    </xf>
    <xf numFmtId="0" fontId="35" fillId="0" borderId="38" xfId="0" applyFont="1" applyBorder="1" applyAlignment="1" applyProtection="1">
      <alignment horizontal="left" vertical="top"/>
    </xf>
    <xf numFmtId="17" fontId="104" fillId="21" borderId="57" xfId="0" quotePrefix="1" applyNumberFormat="1" applyFont="1" applyFill="1" applyBorder="1" applyAlignment="1" applyProtection="1">
      <alignment horizontal="center" vertical="center" wrapText="1"/>
    </xf>
    <xf numFmtId="0" fontId="104" fillId="21" borderId="61" xfId="0" applyFont="1" applyFill="1" applyBorder="1" applyAlignment="1" applyProtection="1">
      <alignment horizontal="center" vertical="center" wrapText="1"/>
    </xf>
    <xf numFmtId="0" fontId="104" fillId="21" borderId="60" xfId="0" quotePrefix="1" applyFont="1" applyFill="1" applyBorder="1" applyAlignment="1" applyProtection="1">
      <alignment horizontal="center" vertical="center" wrapText="1"/>
    </xf>
    <xf numFmtId="178" fontId="104" fillId="21" borderId="60" xfId="3" quotePrefix="1" applyNumberFormat="1" applyFont="1" applyFill="1" applyBorder="1" applyAlignment="1" applyProtection="1">
      <alignment horizontal="center" vertical="center" wrapText="1"/>
    </xf>
    <xf numFmtId="0" fontId="35" fillId="20" borderId="18" xfId="0" applyFont="1" applyFill="1" applyBorder="1" applyAlignment="1" applyProtection="1">
      <alignment horizontal="left" vertical="top" wrapText="1"/>
    </xf>
    <xf numFmtId="0" fontId="35" fillId="20" borderId="31" xfId="0" applyFont="1" applyFill="1" applyBorder="1" applyAlignment="1" applyProtection="1">
      <alignment horizontal="left" vertical="top" wrapText="1"/>
    </xf>
    <xf numFmtId="0" fontId="35" fillId="20" borderId="19" xfId="0" applyFont="1" applyFill="1" applyBorder="1" applyAlignment="1" applyProtection="1">
      <alignment horizontal="left" vertical="top" wrapText="1"/>
    </xf>
    <xf numFmtId="0" fontId="90" fillId="20" borderId="18" xfId="0" applyFont="1" applyFill="1" applyBorder="1" applyAlignment="1" applyProtection="1">
      <alignment horizontal="left" vertical="top"/>
    </xf>
    <xf numFmtId="0" fontId="90" fillId="20" borderId="31" xfId="0" applyFont="1" applyFill="1" applyBorder="1" applyAlignment="1" applyProtection="1">
      <alignment horizontal="left" vertical="top"/>
    </xf>
    <xf numFmtId="0" fontId="90" fillId="20" borderId="19" xfId="0" applyFont="1" applyFill="1" applyBorder="1" applyAlignment="1" applyProtection="1">
      <alignment horizontal="left" vertical="top"/>
    </xf>
    <xf numFmtId="0" fontId="38" fillId="0" borderId="18" xfId="0" applyFont="1" applyBorder="1" applyAlignment="1" applyProtection="1">
      <alignment horizontal="left"/>
    </xf>
    <xf numFmtId="0" fontId="38" fillId="0" borderId="31" xfId="0" applyFont="1" applyBorder="1" applyAlignment="1" applyProtection="1">
      <alignment horizontal="left"/>
    </xf>
    <xf numFmtId="0" fontId="38" fillId="0" borderId="19" xfId="0" applyFont="1" applyBorder="1" applyAlignment="1" applyProtection="1">
      <alignment horizontal="left"/>
    </xf>
    <xf numFmtId="0" fontId="35" fillId="20" borderId="62" xfId="0" applyFont="1" applyFill="1" applyBorder="1" applyAlignment="1" applyProtection="1">
      <alignment horizontal="left" vertical="top" wrapText="1"/>
    </xf>
    <xf numFmtId="0" fontId="35" fillId="20" borderId="63" xfId="0" applyFont="1" applyFill="1" applyBorder="1" applyAlignment="1" applyProtection="1">
      <alignment horizontal="left" vertical="top" wrapText="1"/>
    </xf>
    <xf numFmtId="0" fontId="38" fillId="0" borderId="18" xfId="0" applyFont="1" applyBorder="1" applyAlignment="1" applyProtection="1">
      <alignment horizontal="left" wrapText="1"/>
    </xf>
    <xf numFmtId="0" fontId="35" fillId="0" borderId="18" xfId="0" applyFont="1" applyBorder="1" applyAlignment="1">
      <alignment horizontal="center"/>
    </xf>
    <xf numFmtId="0" fontId="35" fillId="0" borderId="31" xfId="0" applyFont="1" applyBorder="1" applyAlignment="1">
      <alignment horizontal="center"/>
    </xf>
    <xf numFmtId="0" fontId="35" fillId="0" borderId="19" xfId="0" applyFont="1" applyBorder="1" applyAlignment="1">
      <alignment horizontal="center"/>
    </xf>
    <xf numFmtId="0" fontId="35" fillId="20" borderId="19" xfId="0" applyFont="1" applyFill="1" applyBorder="1" applyAlignment="1">
      <alignment horizontal="left" vertical="top" wrapText="1"/>
    </xf>
    <xf numFmtId="0" fontId="0" fillId="0" borderId="0" xfId="0" applyNumberFormat="1" applyFill="1" applyBorder="1" applyAlignment="1">
      <alignment horizontal="center" vertical="center"/>
    </xf>
    <xf numFmtId="0" fontId="125" fillId="0" borderId="44" xfId="0" applyFont="1" applyBorder="1" applyAlignment="1">
      <alignment horizontal="left" vertical="center"/>
    </xf>
    <xf numFmtId="0" fontId="125" fillId="0" borderId="64" xfId="0" applyFont="1" applyBorder="1" applyAlignment="1">
      <alignment horizontal="left" vertical="center"/>
    </xf>
    <xf numFmtId="0" fontId="125" fillId="0" borderId="45" xfId="0" applyFont="1" applyBorder="1" applyAlignment="1">
      <alignment horizontal="left" vertical="center"/>
    </xf>
    <xf numFmtId="0" fontId="96" fillId="27" borderId="42" xfId="0" applyFont="1" applyFill="1" applyBorder="1" applyAlignment="1">
      <alignment horizontal="center"/>
    </xf>
    <xf numFmtId="0" fontId="35" fillId="20" borderId="42" xfId="0" applyFont="1" applyFill="1" applyBorder="1" applyAlignment="1">
      <alignment horizontal="left" vertical="top" wrapText="1"/>
    </xf>
    <xf numFmtId="4" fontId="35" fillId="20" borderId="16" xfId="0" applyNumberFormat="1" applyFont="1" applyFill="1" applyBorder="1" applyAlignment="1">
      <alignment horizontal="center"/>
    </xf>
    <xf numFmtId="0" fontId="35" fillId="20" borderId="16" xfId="0" applyFont="1" applyFill="1" applyBorder="1" applyAlignment="1">
      <alignment horizontal="center"/>
    </xf>
    <xf numFmtId="0" fontId="38" fillId="0" borderId="18" xfId="0" applyFont="1" applyBorder="1" applyAlignment="1">
      <alignment horizontal="left" vertical="center"/>
    </xf>
    <xf numFmtId="0" fontId="38" fillId="0" borderId="31" xfId="0" applyFont="1" applyBorder="1" applyAlignment="1">
      <alignment horizontal="left" vertical="center"/>
    </xf>
    <xf numFmtId="0" fontId="38" fillId="0" borderId="19" xfId="0" applyFont="1" applyBorder="1" applyAlignment="1">
      <alignment horizontal="left" vertical="center"/>
    </xf>
    <xf numFmtId="0" fontId="35" fillId="20" borderId="16" xfId="0" applyFont="1" applyFill="1" applyBorder="1" applyAlignment="1">
      <alignment horizontal="center" vertical="center" wrapText="1"/>
    </xf>
    <xf numFmtId="0" fontId="35" fillId="0" borderId="16" xfId="0" applyFont="1" applyBorder="1" applyAlignment="1">
      <alignment horizontal="center" vertical="center" wrapText="1"/>
    </xf>
    <xf numFmtId="4" fontId="35" fillId="0" borderId="16" xfId="0" applyNumberFormat="1" applyFont="1" applyBorder="1" applyAlignment="1">
      <alignment horizontal="center"/>
    </xf>
    <xf numFmtId="0" fontId="35" fillId="0" borderId="16" xfId="0" applyFont="1" applyBorder="1" applyAlignment="1">
      <alignment horizontal="center"/>
    </xf>
  </cellXfs>
  <cellStyles count="14">
    <cellStyle name="Dezimal 3" xfId="1"/>
    <cellStyle name="Komma" xfId="2" builtinId="3"/>
    <cellStyle name="Komma 2" xfId="3"/>
    <cellStyle name="Link" xfId="4" builtinId="8"/>
    <cellStyle name="Prozent" xfId="5" builtinId="5"/>
    <cellStyle name="Prozent 2" xfId="6"/>
    <cellStyle name="Prozent 2 2" xfId="7"/>
    <cellStyle name="Prozent 3" xfId="8"/>
    <cellStyle name="Standard" xfId="0" builtinId="0"/>
    <cellStyle name="Standard 2" xfId="9"/>
    <cellStyle name="Standard 2 2" xfId="10"/>
    <cellStyle name="Standard 2 2 2" xfId="11"/>
    <cellStyle name="Standard 2 2_EEG-Vergütungen und vNNE" xfId="12"/>
    <cellStyle name="Währung 2" xfId="13"/>
  </cellStyles>
  <dxfs count="23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0.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6" Type="http://schemas.openxmlformats.org/officeDocument/2006/relationships/image" Target="../media/image4.emf"/><Relationship Id="rId5" Type="http://schemas.openxmlformats.org/officeDocument/2006/relationships/image" Target="../media/image6.emf"/><Relationship Id="rId4" Type="http://schemas.openxmlformats.org/officeDocument/2006/relationships/image" Target="../media/image3.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6" Type="http://schemas.openxmlformats.org/officeDocument/2006/relationships/image" Target="../media/image4.emf"/><Relationship Id="rId5" Type="http://schemas.openxmlformats.org/officeDocument/2006/relationships/image" Target="../media/image6.emf"/><Relationship Id="rId4"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61</xdr:row>
          <xdr:rowOff>0</xdr:rowOff>
        </xdr:from>
        <xdr:to>
          <xdr:col>2</xdr:col>
          <xdr:colOff>0</xdr:colOff>
          <xdr:row>61</xdr:row>
          <xdr:rowOff>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0600-000002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61</xdr:row>
          <xdr:rowOff>0</xdr:rowOff>
        </xdr:from>
        <xdr:to>
          <xdr:col>2</xdr:col>
          <xdr:colOff>0</xdr:colOff>
          <xdr:row>61</xdr:row>
          <xdr:rowOff>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0600-000003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61</xdr:row>
          <xdr:rowOff>0</xdr:rowOff>
        </xdr:from>
        <xdr:to>
          <xdr:col>2</xdr:col>
          <xdr:colOff>0</xdr:colOff>
          <xdr:row>61</xdr:row>
          <xdr:rowOff>0</xdr:rowOff>
        </xdr:to>
        <xdr:sp macro="" textlink="">
          <xdr:nvSpPr>
            <xdr:cNvPr id="53252" name="Object 4" hidden="1">
              <a:extLst>
                <a:ext uri="{63B3BB69-23CF-44E3-9099-C40C66FF867C}">
                  <a14:compatExt spid="_x0000_s53252"/>
                </a:ext>
                <a:ext uri="{FF2B5EF4-FFF2-40B4-BE49-F238E27FC236}">
                  <a16:creationId xmlns:a16="http://schemas.microsoft.com/office/drawing/2014/main" id="{00000000-0008-0000-0600-000004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61</xdr:row>
          <xdr:rowOff>0</xdr:rowOff>
        </xdr:from>
        <xdr:to>
          <xdr:col>2</xdr:col>
          <xdr:colOff>0</xdr:colOff>
          <xdr:row>61</xdr:row>
          <xdr:rowOff>0</xdr:rowOff>
        </xdr:to>
        <xdr:sp macro="" textlink="">
          <xdr:nvSpPr>
            <xdr:cNvPr id="53253" name="Object 5" hidden="1">
              <a:extLst>
                <a:ext uri="{63B3BB69-23CF-44E3-9099-C40C66FF867C}">
                  <a14:compatExt spid="_x0000_s53253"/>
                </a:ext>
                <a:ext uri="{FF2B5EF4-FFF2-40B4-BE49-F238E27FC236}">
                  <a16:creationId xmlns:a16="http://schemas.microsoft.com/office/drawing/2014/main" id="{00000000-0008-0000-0600-000005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15</xdr:row>
          <xdr:rowOff>0</xdr:rowOff>
        </xdr:from>
        <xdr:to>
          <xdr:col>2</xdr:col>
          <xdr:colOff>0</xdr:colOff>
          <xdr:row>15</xdr:row>
          <xdr:rowOff>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0700-000001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167</xdr:row>
          <xdr:rowOff>0</xdr:rowOff>
        </xdr:from>
        <xdr:to>
          <xdr:col>2</xdr:col>
          <xdr:colOff>0</xdr:colOff>
          <xdr:row>167</xdr:row>
          <xdr:rowOff>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0700-000002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167</xdr:row>
          <xdr:rowOff>0</xdr:rowOff>
        </xdr:from>
        <xdr:to>
          <xdr:col>2</xdr:col>
          <xdr:colOff>0</xdr:colOff>
          <xdr:row>167</xdr:row>
          <xdr:rowOff>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0700-000003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167</xdr:row>
          <xdr:rowOff>0</xdr:rowOff>
        </xdr:from>
        <xdr:to>
          <xdr:col>2</xdr:col>
          <xdr:colOff>0</xdr:colOff>
          <xdr:row>167</xdr:row>
          <xdr:rowOff>0</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0700-000004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167</xdr:row>
          <xdr:rowOff>0</xdr:rowOff>
        </xdr:from>
        <xdr:to>
          <xdr:col>2</xdr:col>
          <xdr:colOff>0</xdr:colOff>
          <xdr:row>167</xdr:row>
          <xdr:rowOff>0</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00000000-0008-0000-0700-000005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63</xdr:row>
          <xdr:rowOff>0</xdr:rowOff>
        </xdr:from>
        <xdr:to>
          <xdr:col>2</xdr:col>
          <xdr:colOff>0</xdr:colOff>
          <xdr:row>63</xdr:row>
          <xdr:rowOff>0</xdr:rowOff>
        </xdr:to>
        <xdr:sp macro="" textlink="">
          <xdr:nvSpPr>
            <xdr:cNvPr id="36873" name="Object 9" hidden="1">
              <a:extLst>
                <a:ext uri="{63B3BB69-23CF-44E3-9099-C40C66FF867C}">
                  <a14:compatExt spid="_x0000_s36873"/>
                </a:ext>
                <a:ext uri="{FF2B5EF4-FFF2-40B4-BE49-F238E27FC236}">
                  <a16:creationId xmlns:a16="http://schemas.microsoft.com/office/drawing/2014/main" id="{00000000-0008-0000-0700-000009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102</xdr:row>
          <xdr:rowOff>0</xdr:rowOff>
        </xdr:from>
        <xdr:to>
          <xdr:col>2</xdr:col>
          <xdr:colOff>0</xdr:colOff>
          <xdr:row>102</xdr:row>
          <xdr:rowOff>0</xdr:rowOff>
        </xdr:to>
        <xdr:sp macro="" textlink="">
          <xdr:nvSpPr>
            <xdr:cNvPr id="36874" name="Object 10" hidden="1">
              <a:extLst>
                <a:ext uri="{63B3BB69-23CF-44E3-9099-C40C66FF867C}">
                  <a14:compatExt spid="_x0000_s36874"/>
                </a:ext>
                <a:ext uri="{FF2B5EF4-FFF2-40B4-BE49-F238E27FC236}">
                  <a16:creationId xmlns:a16="http://schemas.microsoft.com/office/drawing/2014/main" id="{00000000-0008-0000-0700-00000A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13</xdr:row>
          <xdr:rowOff>0</xdr:rowOff>
        </xdr:from>
        <xdr:to>
          <xdr:col>2</xdr:col>
          <xdr:colOff>0</xdr:colOff>
          <xdr:row>13</xdr:row>
          <xdr:rowOff>0</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08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60</xdr:row>
          <xdr:rowOff>0</xdr:rowOff>
        </xdr:from>
        <xdr:to>
          <xdr:col>2</xdr:col>
          <xdr:colOff>0</xdr:colOff>
          <xdr:row>60</xdr:row>
          <xdr:rowOff>0</xdr:rowOff>
        </xdr:to>
        <xdr:sp macro="" textlink="">
          <xdr:nvSpPr>
            <xdr:cNvPr id="30722" name="Object 2" hidden="1">
              <a:extLst>
                <a:ext uri="{63B3BB69-23CF-44E3-9099-C40C66FF867C}">
                  <a14:compatExt spid="_x0000_s30722"/>
                </a:ext>
                <a:ext uri="{FF2B5EF4-FFF2-40B4-BE49-F238E27FC236}">
                  <a16:creationId xmlns:a16="http://schemas.microsoft.com/office/drawing/2014/main" id="{00000000-0008-0000-0800-000002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60</xdr:row>
          <xdr:rowOff>0</xdr:rowOff>
        </xdr:from>
        <xdr:to>
          <xdr:col>2</xdr:col>
          <xdr:colOff>0</xdr:colOff>
          <xdr:row>60</xdr:row>
          <xdr:rowOff>0</xdr:rowOff>
        </xdr:to>
        <xdr:sp macro="" textlink="">
          <xdr:nvSpPr>
            <xdr:cNvPr id="30723" name="Object 3" hidden="1">
              <a:extLst>
                <a:ext uri="{63B3BB69-23CF-44E3-9099-C40C66FF867C}">
                  <a14:compatExt spid="_x0000_s30723"/>
                </a:ext>
                <a:ext uri="{FF2B5EF4-FFF2-40B4-BE49-F238E27FC236}">
                  <a16:creationId xmlns:a16="http://schemas.microsoft.com/office/drawing/2014/main" id="{00000000-0008-0000-0800-000003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60</xdr:row>
          <xdr:rowOff>0</xdr:rowOff>
        </xdr:from>
        <xdr:to>
          <xdr:col>2</xdr:col>
          <xdr:colOff>0</xdr:colOff>
          <xdr:row>60</xdr:row>
          <xdr:rowOff>0</xdr:rowOff>
        </xdr:to>
        <xdr:sp macro="" textlink="">
          <xdr:nvSpPr>
            <xdr:cNvPr id="30724" name="Object 4" hidden="1">
              <a:extLst>
                <a:ext uri="{63B3BB69-23CF-44E3-9099-C40C66FF867C}">
                  <a14:compatExt spid="_x0000_s30724"/>
                </a:ext>
                <a:ext uri="{FF2B5EF4-FFF2-40B4-BE49-F238E27FC236}">
                  <a16:creationId xmlns:a16="http://schemas.microsoft.com/office/drawing/2014/main" id="{00000000-0008-0000-0800-000004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60</xdr:row>
          <xdr:rowOff>0</xdr:rowOff>
        </xdr:from>
        <xdr:to>
          <xdr:col>2</xdr:col>
          <xdr:colOff>0</xdr:colOff>
          <xdr:row>60</xdr:row>
          <xdr:rowOff>0</xdr:rowOff>
        </xdr:to>
        <xdr:sp macro="" textlink="">
          <xdr:nvSpPr>
            <xdr:cNvPr id="30725" name="Object 5" hidden="1">
              <a:extLst>
                <a:ext uri="{63B3BB69-23CF-44E3-9099-C40C66FF867C}">
                  <a14:compatExt spid="_x0000_s30725"/>
                </a:ext>
                <a:ext uri="{FF2B5EF4-FFF2-40B4-BE49-F238E27FC236}">
                  <a16:creationId xmlns:a16="http://schemas.microsoft.com/office/drawing/2014/main" id="{00000000-0008-0000-0800-000005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367030</xdr:colOff>
      <xdr:row>16</xdr:row>
      <xdr:rowOff>77470</xdr:rowOff>
    </xdr:from>
    <xdr:to>
      <xdr:col>12</xdr:col>
      <xdr:colOff>662340</xdr:colOff>
      <xdr:row>26</xdr:row>
      <xdr:rowOff>7663</xdr:rowOff>
    </xdr:to>
    <xdr:sp macro="" textlink="">
      <xdr:nvSpPr>
        <xdr:cNvPr id="2" name="Rechteck 1">
          <a:extLst>
            <a:ext uri="{FF2B5EF4-FFF2-40B4-BE49-F238E27FC236}">
              <a16:creationId xmlns:a16="http://schemas.microsoft.com/office/drawing/2014/main" id="{00000000-0008-0000-0900-000002000000}"/>
            </a:ext>
          </a:extLst>
        </xdr:cNvPr>
        <xdr:cNvSpPr/>
      </xdr:nvSpPr>
      <xdr:spPr>
        <a:xfrm rot="20518239">
          <a:off x="3314700" y="2994660"/>
          <a:ext cx="7475220" cy="1760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3600">
              <a:solidFill>
                <a:srgbClr val="92D050"/>
              </a:solidFill>
            </a:rPr>
            <a:t>Verfahrensweise nach § 23d EEG</a:t>
          </a:r>
        </a:p>
      </xdr:txBody>
    </xdr:sp>
    <xdr:clientData/>
  </xdr:twoCellAnchor>
  <xdr:twoCellAnchor>
    <xdr:from>
      <xdr:col>3</xdr:col>
      <xdr:colOff>711200</xdr:colOff>
      <xdr:row>37</xdr:row>
      <xdr:rowOff>122555</xdr:rowOff>
    </xdr:from>
    <xdr:to>
      <xdr:col>13</xdr:col>
      <xdr:colOff>234943</xdr:colOff>
      <xdr:row>47</xdr:row>
      <xdr:rowOff>38150</xdr:rowOff>
    </xdr:to>
    <xdr:sp macro="" textlink="">
      <xdr:nvSpPr>
        <xdr:cNvPr id="3" name="Rechteck 2">
          <a:extLst>
            <a:ext uri="{FF2B5EF4-FFF2-40B4-BE49-F238E27FC236}">
              <a16:creationId xmlns:a16="http://schemas.microsoft.com/office/drawing/2014/main" id="{00000000-0008-0000-0900-000003000000}"/>
            </a:ext>
          </a:extLst>
        </xdr:cNvPr>
        <xdr:cNvSpPr/>
      </xdr:nvSpPr>
      <xdr:spPr>
        <a:xfrm rot="20518239">
          <a:off x="3665220" y="6873240"/>
          <a:ext cx="7475220" cy="1760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3600">
              <a:solidFill>
                <a:srgbClr val="FF0000"/>
              </a:solidFill>
            </a:rPr>
            <a:t>Unzulässige Verfahrensweise</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19</xdr:row>
          <xdr:rowOff>0</xdr:rowOff>
        </xdr:from>
        <xdr:to>
          <xdr:col>3</xdr:col>
          <xdr:colOff>0</xdr:colOff>
          <xdr:row>19</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0A00-000001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58</xdr:row>
          <xdr:rowOff>0</xdr:rowOff>
        </xdr:from>
        <xdr:to>
          <xdr:col>3</xdr:col>
          <xdr:colOff>0</xdr:colOff>
          <xdr:row>58</xdr:row>
          <xdr:rowOff>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0A00-000002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58</xdr:row>
          <xdr:rowOff>0</xdr:rowOff>
        </xdr:from>
        <xdr:to>
          <xdr:col>3</xdr:col>
          <xdr:colOff>0</xdr:colOff>
          <xdr:row>58</xdr:row>
          <xdr:rowOff>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A00-000003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58</xdr:row>
          <xdr:rowOff>0</xdr:rowOff>
        </xdr:from>
        <xdr:to>
          <xdr:col>3</xdr:col>
          <xdr:colOff>0</xdr:colOff>
          <xdr:row>58</xdr:row>
          <xdr:rowOff>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0A00-000004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58</xdr:row>
          <xdr:rowOff>0</xdr:rowOff>
        </xdr:from>
        <xdr:to>
          <xdr:col>3</xdr:col>
          <xdr:colOff>0</xdr:colOff>
          <xdr:row>58</xdr:row>
          <xdr:rowOff>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0A00-000005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24</xdr:row>
          <xdr:rowOff>28575</xdr:rowOff>
        </xdr:from>
        <xdr:to>
          <xdr:col>3</xdr:col>
          <xdr:colOff>1028700</xdr:colOff>
          <xdr:row>27</xdr:row>
          <xdr:rowOff>161925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B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60</xdr:row>
          <xdr:rowOff>47625</xdr:rowOff>
        </xdr:from>
        <xdr:to>
          <xdr:col>6</xdr:col>
          <xdr:colOff>1038225</xdr:colOff>
          <xdr:row>63</xdr:row>
          <xdr:rowOff>171450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B00-000002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342900</xdr:colOff>
          <xdr:row>64</xdr:row>
          <xdr:rowOff>9525</xdr:rowOff>
        </xdr:from>
        <xdr:to>
          <xdr:col>5</xdr:col>
          <xdr:colOff>1409700</xdr:colOff>
          <xdr:row>66</xdr:row>
          <xdr:rowOff>133350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B00-000003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67</xdr:row>
          <xdr:rowOff>85725</xdr:rowOff>
        </xdr:from>
        <xdr:to>
          <xdr:col>5</xdr:col>
          <xdr:colOff>933450</xdr:colOff>
          <xdr:row>69</xdr:row>
          <xdr:rowOff>114300</xdr:rowOff>
        </xdr:to>
        <xdr:sp macro="" textlink="">
          <xdr:nvSpPr>
            <xdr:cNvPr id="2052" name="Object 4" hidden="1">
              <a:extLst>
                <a:ext uri="{63B3BB69-23CF-44E3-9099-C40C66FF867C}">
                  <a14:compatExt spid="_x0000_s2052"/>
                </a:ext>
                <a:ext uri="{FF2B5EF4-FFF2-40B4-BE49-F238E27FC236}">
                  <a16:creationId xmlns:a16="http://schemas.microsoft.com/office/drawing/2014/main" id="{00000000-0008-0000-0B00-000004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69</xdr:row>
          <xdr:rowOff>171450</xdr:rowOff>
        </xdr:from>
        <xdr:to>
          <xdr:col>6</xdr:col>
          <xdr:colOff>1038225</xdr:colOff>
          <xdr:row>72</xdr:row>
          <xdr:rowOff>123825</xdr:rowOff>
        </xdr:to>
        <xdr:sp macro="" textlink="">
          <xdr:nvSpPr>
            <xdr:cNvPr id="2054" name="Object 6" hidden="1">
              <a:extLst>
                <a:ext uri="{63B3BB69-23CF-44E3-9099-C40C66FF867C}">
                  <a14:compatExt spid="_x0000_s2054"/>
                </a:ext>
                <a:ext uri="{FF2B5EF4-FFF2-40B4-BE49-F238E27FC236}">
                  <a16:creationId xmlns:a16="http://schemas.microsoft.com/office/drawing/2014/main" id="{00000000-0008-0000-0B00-000006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70</xdr:row>
          <xdr:rowOff>38100</xdr:rowOff>
        </xdr:from>
        <xdr:to>
          <xdr:col>3</xdr:col>
          <xdr:colOff>971550</xdr:colOff>
          <xdr:row>72</xdr:row>
          <xdr:rowOff>95250</xdr:rowOff>
        </xdr:to>
        <xdr:sp macro="" textlink="">
          <xdr:nvSpPr>
            <xdr:cNvPr id="2055" name="Object 7" hidden="1">
              <a:extLst>
                <a:ext uri="{63B3BB69-23CF-44E3-9099-C40C66FF867C}">
                  <a14:compatExt spid="_x0000_s2055"/>
                </a:ext>
                <a:ext uri="{FF2B5EF4-FFF2-40B4-BE49-F238E27FC236}">
                  <a16:creationId xmlns:a16="http://schemas.microsoft.com/office/drawing/2014/main" id="{00000000-0008-0000-0B00-000007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9</xdr:row>
          <xdr:rowOff>0</xdr:rowOff>
        </xdr:from>
        <xdr:to>
          <xdr:col>3</xdr:col>
          <xdr:colOff>1009650</xdr:colOff>
          <xdr:row>9</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C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62</xdr:row>
          <xdr:rowOff>0</xdr:rowOff>
        </xdr:from>
        <xdr:to>
          <xdr:col>6</xdr:col>
          <xdr:colOff>1038225</xdr:colOff>
          <xdr:row>62</xdr:row>
          <xdr:rowOff>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C00-000002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342900</xdr:colOff>
          <xdr:row>62</xdr:row>
          <xdr:rowOff>0</xdr:rowOff>
        </xdr:from>
        <xdr:to>
          <xdr:col>5</xdr:col>
          <xdr:colOff>1409700</xdr:colOff>
          <xdr:row>62</xdr:row>
          <xdr:rowOff>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C00-000003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62</xdr:row>
          <xdr:rowOff>0</xdr:rowOff>
        </xdr:from>
        <xdr:to>
          <xdr:col>5</xdr:col>
          <xdr:colOff>933450</xdr:colOff>
          <xdr:row>62</xdr:row>
          <xdr:rowOff>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C00-000004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971550</xdr:colOff>
          <xdr:row>62</xdr:row>
          <xdr:rowOff>0</xdr:rowOff>
        </xdr:from>
        <xdr:to>
          <xdr:col>6</xdr:col>
          <xdr:colOff>1038225</xdr:colOff>
          <xdr:row>62</xdr:row>
          <xdr:rowOff>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C00-000005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62</xdr:row>
          <xdr:rowOff>0</xdr:rowOff>
        </xdr:from>
        <xdr:to>
          <xdr:col>3</xdr:col>
          <xdr:colOff>942975</xdr:colOff>
          <xdr:row>62</xdr:row>
          <xdr:rowOff>0</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C00-000006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bmwk.de/Redaktion/DE/FAQ/EEG-2021/faq-beihilferechtlichen-genehmigung-eu-kommission.htm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19.bin"/><Relationship Id="rId13" Type="http://schemas.openxmlformats.org/officeDocument/2006/relationships/image" Target="../media/image4.emf"/><Relationship Id="rId3" Type="http://schemas.openxmlformats.org/officeDocument/2006/relationships/vmlDrawing" Target="../drawings/vmlDrawing9.vml"/><Relationship Id="rId7" Type="http://schemas.openxmlformats.org/officeDocument/2006/relationships/image" Target="../media/image1.emf"/><Relationship Id="rId12" Type="http://schemas.openxmlformats.org/officeDocument/2006/relationships/oleObject" Target="../embeddings/oleObject21.bin"/><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oleObject" Target="../embeddings/oleObject18.bin"/><Relationship Id="rId11" Type="http://schemas.openxmlformats.org/officeDocument/2006/relationships/image" Target="../media/image3.emf"/><Relationship Id="rId5" Type="http://schemas.openxmlformats.org/officeDocument/2006/relationships/image" Target="../media/image5.emf"/><Relationship Id="rId10" Type="http://schemas.openxmlformats.org/officeDocument/2006/relationships/oleObject" Target="../embeddings/oleObject20.bin"/><Relationship Id="rId4" Type="http://schemas.openxmlformats.org/officeDocument/2006/relationships/oleObject" Target="../embeddings/oleObject17.bin"/><Relationship Id="rId9" Type="http://schemas.openxmlformats.org/officeDocument/2006/relationships/image" Target="../media/image2.emf"/><Relationship Id="rId1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24.bin"/><Relationship Id="rId13" Type="http://schemas.openxmlformats.org/officeDocument/2006/relationships/image" Target="../media/image6.emf"/><Relationship Id="rId3" Type="http://schemas.openxmlformats.org/officeDocument/2006/relationships/vmlDrawing" Target="../drawings/vmlDrawing10.vml"/><Relationship Id="rId7" Type="http://schemas.openxmlformats.org/officeDocument/2006/relationships/image" Target="../media/image1.emf"/><Relationship Id="rId12" Type="http://schemas.openxmlformats.org/officeDocument/2006/relationships/oleObject" Target="../embeddings/oleObject26.bin"/><Relationship Id="rId2" Type="http://schemas.openxmlformats.org/officeDocument/2006/relationships/drawing" Target="../drawings/drawing6.xml"/><Relationship Id="rId1" Type="http://schemas.openxmlformats.org/officeDocument/2006/relationships/printerSettings" Target="../printerSettings/printerSettings12.bin"/><Relationship Id="rId6" Type="http://schemas.openxmlformats.org/officeDocument/2006/relationships/oleObject" Target="../embeddings/oleObject23.bin"/><Relationship Id="rId11" Type="http://schemas.openxmlformats.org/officeDocument/2006/relationships/image" Target="../media/image3.emf"/><Relationship Id="rId5" Type="http://schemas.openxmlformats.org/officeDocument/2006/relationships/image" Target="../media/image5.emf"/><Relationship Id="rId15" Type="http://schemas.openxmlformats.org/officeDocument/2006/relationships/image" Target="../media/image4.emf"/><Relationship Id="rId10" Type="http://schemas.openxmlformats.org/officeDocument/2006/relationships/oleObject" Target="../embeddings/oleObject25.bin"/><Relationship Id="rId4" Type="http://schemas.openxmlformats.org/officeDocument/2006/relationships/oleObject" Target="../embeddings/oleObject22.bin"/><Relationship Id="rId9" Type="http://schemas.openxmlformats.org/officeDocument/2006/relationships/image" Target="../media/image2.emf"/><Relationship Id="rId14" Type="http://schemas.openxmlformats.org/officeDocument/2006/relationships/oleObject" Target="../embeddings/oleObject27.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30.bin"/><Relationship Id="rId13" Type="http://schemas.openxmlformats.org/officeDocument/2006/relationships/image" Target="../media/image6.emf"/><Relationship Id="rId3" Type="http://schemas.openxmlformats.org/officeDocument/2006/relationships/vmlDrawing" Target="../drawings/vmlDrawing11.vml"/><Relationship Id="rId7" Type="http://schemas.openxmlformats.org/officeDocument/2006/relationships/image" Target="../media/image1.emf"/><Relationship Id="rId12" Type="http://schemas.openxmlformats.org/officeDocument/2006/relationships/oleObject" Target="../embeddings/oleObject32.bin"/><Relationship Id="rId2" Type="http://schemas.openxmlformats.org/officeDocument/2006/relationships/drawing" Target="../drawings/drawing7.xml"/><Relationship Id="rId1" Type="http://schemas.openxmlformats.org/officeDocument/2006/relationships/printerSettings" Target="../printerSettings/printerSettings13.bin"/><Relationship Id="rId6" Type="http://schemas.openxmlformats.org/officeDocument/2006/relationships/oleObject" Target="../embeddings/oleObject29.bin"/><Relationship Id="rId11" Type="http://schemas.openxmlformats.org/officeDocument/2006/relationships/image" Target="../media/image3.emf"/><Relationship Id="rId5" Type="http://schemas.openxmlformats.org/officeDocument/2006/relationships/image" Target="../media/image5.emf"/><Relationship Id="rId15" Type="http://schemas.openxmlformats.org/officeDocument/2006/relationships/image" Target="../media/image4.emf"/><Relationship Id="rId10" Type="http://schemas.openxmlformats.org/officeDocument/2006/relationships/oleObject" Target="../embeddings/oleObject31.bin"/><Relationship Id="rId4" Type="http://schemas.openxmlformats.org/officeDocument/2006/relationships/oleObject" Target="../embeddings/oleObject28.bin"/><Relationship Id="rId9" Type="http://schemas.openxmlformats.org/officeDocument/2006/relationships/image" Target="../media/image2.emf"/><Relationship Id="rId14" Type="http://schemas.openxmlformats.org/officeDocument/2006/relationships/oleObject" Target="../embeddings/oleObject3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s://www.bundesnetzagentur.de/DE/Sachgebiete/ElektrizitaetundGas/Unternehmen_Institutionen/ErneuerbareEnergien/ZahlenDatenInformationen/EEG_Registerdaten/start.html"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comments" Target="../comments5.xml"/><Relationship Id="rId2" Type="http://schemas.openxmlformats.org/officeDocument/2006/relationships/drawing" Target="../drawings/drawing1.xml"/><Relationship Id="rId1" Type="http://schemas.openxmlformats.org/officeDocument/2006/relationships/printerSettings" Target="../printerSettings/printerSettings7.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7.bin"/><Relationship Id="rId13" Type="http://schemas.openxmlformats.org/officeDocument/2006/relationships/image" Target="../media/image4.emf"/><Relationship Id="rId3" Type="http://schemas.openxmlformats.org/officeDocument/2006/relationships/vmlDrawing" Target="../drawings/vmlDrawing6.vml"/><Relationship Id="rId7" Type="http://schemas.openxmlformats.org/officeDocument/2006/relationships/image" Target="../media/image1.emf"/><Relationship Id="rId12" Type="http://schemas.openxmlformats.org/officeDocument/2006/relationships/oleObject" Target="../embeddings/oleObject9.bin"/><Relationship Id="rId2" Type="http://schemas.openxmlformats.org/officeDocument/2006/relationships/drawing" Target="../drawings/drawing2.xml"/><Relationship Id="rId16" Type="http://schemas.openxmlformats.org/officeDocument/2006/relationships/comments" Target="../comments6.xml"/><Relationship Id="rId1" Type="http://schemas.openxmlformats.org/officeDocument/2006/relationships/printerSettings" Target="../printerSettings/printerSettings8.bin"/><Relationship Id="rId6" Type="http://schemas.openxmlformats.org/officeDocument/2006/relationships/oleObject" Target="../embeddings/oleObject6.bin"/><Relationship Id="rId11" Type="http://schemas.openxmlformats.org/officeDocument/2006/relationships/image" Target="../media/image3.emf"/><Relationship Id="rId5" Type="http://schemas.openxmlformats.org/officeDocument/2006/relationships/image" Target="../media/image5.emf"/><Relationship Id="rId15" Type="http://schemas.openxmlformats.org/officeDocument/2006/relationships/oleObject" Target="../embeddings/oleObject11.bin"/><Relationship Id="rId10" Type="http://schemas.openxmlformats.org/officeDocument/2006/relationships/oleObject" Target="../embeddings/oleObject8.bin"/><Relationship Id="rId4" Type="http://schemas.openxmlformats.org/officeDocument/2006/relationships/oleObject" Target="../embeddings/oleObject5.bin"/><Relationship Id="rId9" Type="http://schemas.openxmlformats.org/officeDocument/2006/relationships/image" Target="../media/image2.emf"/><Relationship Id="rId14" Type="http://schemas.openxmlformats.org/officeDocument/2006/relationships/oleObject" Target="../embeddings/oleObject10.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14.bin"/><Relationship Id="rId13" Type="http://schemas.openxmlformats.org/officeDocument/2006/relationships/image" Target="../media/image4.emf"/><Relationship Id="rId3" Type="http://schemas.openxmlformats.org/officeDocument/2006/relationships/vmlDrawing" Target="../drawings/vmlDrawing7.vml"/><Relationship Id="rId7" Type="http://schemas.openxmlformats.org/officeDocument/2006/relationships/image" Target="../media/image1.emf"/><Relationship Id="rId12" Type="http://schemas.openxmlformats.org/officeDocument/2006/relationships/oleObject" Target="../embeddings/oleObject16.bin"/><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oleObject" Target="../embeddings/oleObject13.bin"/><Relationship Id="rId11" Type="http://schemas.openxmlformats.org/officeDocument/2006/relationships/image" Target="../media/image3.emf"/><Relationship Id="rId5" Type="http://schemas.openxmlformats.org/officeDocument/2006/relationships/image" Target="../media/image5.emf"/><Relationship Id="rId10" Type="http://schemas.openxmlformats.org/officeDocument/2006/relationships/oleObject" Target="../embeddings/oleObject15.bin"/><Relationship Id="rId4" Type="http://schemas.openxmlformats.org/officeDocument/2006/relationships/oleObject" Target="../embeddings/oleObject12.bin"/><Relationship Id="rId9" Type="http://schemas.openxmlformats.org/officeDocument/2006/relationships/image" Target="../media/image2.emf"/><Relationship Id="rId1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FF0000"/>
  </sheetPr>
  <dimension ref="B2:R51"/>
  <sheetViews>
    <sheetView tabSelected="1" workbookViewId="0">
      <selection activeCell="B2" sqref="B2"/>
    </sheetView>
  </sheetViews>
  <sheetFormatPr baseColWidth="10" defaultRowHeight="15" x14ac:dyDescent="0.25"/>
  <cols>
    <col min="1" max="1" width="4.5703125" customWidth="1"/>
    <col min="2" max="2" width="171.5703125" style="556" customWidth="1"/>
  </cols>
  <sheetData>
    <row r="2" spans="2:2" ht="26.25" x14ac:dyDescent="0.25">
      <c r="B2" s="557" t="s">
        <v>316</v>
      </c>
    </row>
    <row r="4" spans="2:2" x14ac:dyDescent="0.25">
      <c r="B4" s="556" t="s">
        <v>946</v>
      </c>
    </row>
    <row r="5" spans="2:2" ht="60" x14ac:dyDescent="0.25">
      <c r="B5" s="556" t="s">
        <v>947</v>
      </c>
    </row>
    <row r="8" spans="2:2" ht="26.25" x14ac:dyDescent="0.25">
      <c r="B8" s="557" t="s">
        <v>317</v>
      </c>
    </row>
    <row r="10" spans="2:2" ht="30" x14ac:dyDescent="0.25">
      <c r="B10" s="556" t="s">
        <v>330</v>
      </c>
    </row>
    <row r="11" spans="2:2" ht="77.25" customHeight="1" x14ac:dyDescent="0.25">
      <c r="B11" s="556" t="s">
        <v>334</v>
      </c>
    </row>
    <row r="12" spans="2:2" ht="30" x14ac:dyDescent="0.25">
      <c r="B12" s="556" t="s">
        <v>948</v>
      </c>
    </row>
    <row r="13" spans="2:2" ht="30" x14ac:dyDescent="0.25">
      <c r="B13" s="556" t="s">
        <v>318</v>
      </c>
    </row>
    <row r="14" spans="2:2" s="774" customFormat="1" x14ac:dyDescent="0.25">
      <c r="B14" s="556"/>
    </row>
    <row r="15" spans="2:2" ht="26.25" x14ac:dyDescent="0.25">
      <c r="B15" s="1045" t="s">
        <v>8122</v>
      </c>
    </row>
    <row r="16" spans="2:2" s="774" customFormat="1" ht="15" customHeight="1" x14ac:dyDescent="0.25">
      <c r="B16" s="1045"/>
    </row>
    <row r="17" spans="2:18" s="774" customFormat="1" ht="57.75" customHeight="1" x14ac:dyDescent="0.25">
      <c r="B17" s="1085" t="s">
        <v>8212</v>
      </c>
    </row>
    <row r="19" spans="2:18" ht="26.25" x14ac:dyDescent="0.25">
      <c r="B19" s="1045" t="s">
        <v>7892</v>
      </c>
    </row>
    <row r="20" spans="2:18" s="774" customFormat="1" ht="15" customHeight="1" x14ac:dyDescent="0.25">
      <c r="B20" s="655"/>
    </row>
    <row r="21" spans="2:18" s="774" customFormat="1" ht="38.25" x14ac:dyDescent="0.25">
      <c r="B21" s="1055" t="s">
        <v>7894</v>
      </c>
    </row>
    <row r="22" spans="2:18" s="238" customFormat="1" ht="38.25" x14ac:dyDescent="0.25">
      <c r="B22" s="1056" t="s">
        <v>7895</v>
      </c>
    </row>
    <row r="23" spans="2:18" s="238" customFormat="1" ht="25.5" x14ac:dyDescent="0.25">
      <c r="B23" s="1056" t="s">
        <v>7893</v>
      </c>
    </row>
    <row r="24" spans="2:18" s="774" customFormat="1" x14ac:dyDescent="0.25">
      <c r="B24" s="1053"/>
    </row>
    <row r="25" spans="2:18" s="774" customFormat="1" x14ac:dyDescent="0.25">
      <c r="B25" s="1057" t="s">
        <v>7896</v>
      </c>
    </row>
    <row r="26" spans="2:18" x14ac:dyDescent="0.25">
      <c r="B26" s="809" t="s">
        <v>7899</v>
      </c>
    </row>
    <row r="27" spans="2:18" s="774" customFormat="1" x14ac:dyDescent="0.25">
      <c r="B27" s="1027" t="s">
        <v>7897</v>
      </c>
    </row>
    <row r="28" spans="2:18" s="774" customFormat="1" x14ac:dyDescent="0.25">
      <c r="B28" s="1027"/>
    </row>
    <row r="29" spans="2:18" s="774" customFormat="1" ht="17.25" customHeight="1" x14ac:dyDescent="0.25">
      <c r="B29" s="815" t="s">
        <v>7898</v>
      </c>
      <c r="R29" s="1054"/>
    </row>
    <row r="30" spans="2:18" x14ac:dyDescent="0.25">
      <c r="B30" s="1027"/>
    </row>
    <row r="31" spans="2:18" s="774" customFormat="1" x14ac:dyDescent="0.25">
      <c r="B31" s="813" t="s">
        <v>7834</v>
      </c>
    </row>
    <row r="32" spans="2:18" x14ac:dyDescent="0.25">
      <c r="B32" s="813" t="s">
        <v>7815</v>
      </c>
    </row>
    <row r="33" spans="2:2" s="774" customFormat="1" x14ac:dyDescent="0.25">
      <c r="B33" s="813" t="s">
        <v>7535</v>
      </c>
    </row>
    <row r="34" spans="2:2" s="774" customFormat="1" x14ac:dyDescent="0.25">
      <c r="B34" s="813" t="s">
        <v>7745</v>
      </c>
    </row>
    <row r="35" spans="2:2" x14ac:dyDescent="0.25">
      <c r="B35" s="813" t="s">
        <v>7900</v>
      </c>
    </row>
    <row r="36" spans="2:2" s="774" customFormat="1" x14ac:dyDescent="0.25">
      <c r="B36" s="813" t="s">
        <v>7901</v>
      </c>
    </row>
    <row r="37" spans="2:2" s="774" customFormat="1" x14ac:dyDescent="0.25">
      <c r="B37" s="813" t="s">
        <v>7902</v>
      </c>
    </row>
    <row r="38" spans="2:2" s="774" customFormat="1" x14ac:dyDescent="0.25">
      <c r="B38" s="813"/>
    </row>
    <row r="39" spans="2:2" s="774" customFormat="1" x14ac:dyDescent="0.25">
      <c r="B39" s="556" t="s">
        <v>8121</v>
      </c>
    </row>
    <row r="40" spans="2:2" s="774" customFormat="1" x14ac:dyDescent="0.25">
      <c r="B40" s="556"/>
    </row>
    <row r="41" spans="2:2" s="774" customFormat="1" ht="33" customHeight="1" x14ac:dyDescent="0.25">
      <c r="B41" s="813" t="s">
        <v>7904</v>
      </c>
    </row>
    <row r="42" spans="2:2" s="774" customFormat="1" ht="33" customHeight="1" x14ac:dyDescent="0.25">
      <c r="B42" s="813"/>
    </row>
    <row r="43" spans="2:2" x14ac:dyDescent="0.25">
      <c r="B43" s="556" t="s">
        <v>7816</v>
      </c>
    </row>
    <row r="45" spans="2:2" ht="33.75" customHeight="1" x14ac:dyDescent="0.25">
      <c r="B45" s="813" t="s">
        <v>7903</v>
      </c>
    </row>
    <row r="46" spans="2:2" x14ac:dyDescent="0.25">
      <c r="B46" s="813" t="s">
        <v>7456</v>
      </c>
    </row>
    <row r="47" spans="2:2" x14ac:dyDescent="0.25">
      <c r="B47" s="813" t="s">
        <v>7534</v>
      </c>
    </row>
    <row r="48" spans="2:2" s="774" customFormat="1" x14ac:dyDescent="0.25">
      <c r="B48" s="813"/>
    </row>
    <row r="49" spans="2:2" s="774" customFormat="1" x14ac:dyDescent="0.25">
      <c r="B49" s="556" t="s">
        <v>7817</v>
      </c>
    </row>
    <row r="50" spans="2:2" s="774" customFormat="1" x14ac:dyDescent="0.25">
      <c r="B50" s="556"/>
    </row>
    <row r="51" spans="2:2" ht="30" x14ac:dyDescent="0.25">
      <c r="B51" s="814" t="s">
        <v>7537</v>
      </c>
    </row>
  </sheetData>
  <phoneticPr fontId="11" type="noConversion"/>
  <hyperlinks>
    <hyperlink ref="B26" r:id="rId1"/>
  </hyperlinks>
  <pageMargins left="0.7" right="0.7" top="0.78740157499999996" bottom="0.78740157499999996" header="0.3" footer="0.3"/>
  <pageSetup paperSize="9" orientation="portrait"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52"/>
  <sheetViews>
    <sheetView workbookViewId="0">
      <selection sqref="A1:R1"/>
    </sheetView>
  </sheetViews>
  <sheetFormatPr baseColWidth="10" defaultColWidth="11.5703125" defaultRowHeight="15" x14ac:dyDescent="0.25"/>
  <cols>
    <col min="1" max="1" width="17.42578125" style="916" customWidth="1"/>
    <col min="2" max="2" width="13.5703125" style="916" customWidth="1"/>
    <col min="3" max="5" width="11.5703125" style="916"/>
    <col min="6" max="6" width="12.42578125" style="916" customWidth="1"/>
    <col min="7" max="14" width="11.5703125" style="916"/>
    <col min="15" max="15" width="3.42578125" style="916" customWidth="1"/>
    <col min="16" max="16" width="13.5703125" style="916" customWidth="1"/>
    <col min="17" max="17" width="3.42578125" style="916" customWidth="1"/>
    <col min="18" max="16384" width="11.5703125" style="916"/>
  </cols>
  <sheetData>
    <row r="1" spans="1:18" s="915" customFormat="1" ht="29.1" customHeight="1" x14ac:dyDescent="0.25">
      <c r="A1" s="1247" t="s">
        <v>7618</v>
      </c>
      <c r="B1" s="1248"/>
      <c r="C1" s="1248"/>
      <c r="D1" s="1248"/>
      <c r="E1" s="1248"/>
      <c r="F1" s="1248"/>
      <c r="G1" s="1248"/>
      <c r="H1" s="1248"/>
      <c r="I1" s="1248"/>
      <c r="J1" s="1248"/>
      <c r="K1" s="1248"/>
      <c r="L1" s="1248"/>
      <c r="M1" s="1248"/>
      <c r="N1" s="1248"/>
      <c r="O1" s="1248"/>
      <c r="P1" s="1248"/>
      <c r="Q1" s="1248"/>
      <c r="R1" s="1249"/>
    </row>
    <row r="2" spans="1:18" ht="128.1" customHeight="1" x14ac:dyDescent="0.25">
      <c r="A2" s="1251" t="s">
        <v>7708</v>
      </c>
      <c r="B2" s="1251"/>
      <c r="C2" s="1251"/>
      <c r="D2" s="1251"/>
      <c r="E2" s="1251"/>
      <c r="F2" s="1251"/>
      <c r="G2" s="1251"/>
      <c r="H2" s="1251"/>
      <c r="I2" s="1251"/>
      <c r="J2" s="1251"/>
      <c r="K2" s="1251"/>
      <c r="L2" s="1251"/>
      <c r="M2" s="1251"/>
      <c r="N2" s="1251"/>
      <c r="O2" s="1251"/>
      <c r="P2" s="1251"/>
      <c r="Q2" s="1251"/>
      <c r="R2" s="1251"/>
    </row>
    <row r="4" spans="1:18" x14ac:dyDescent="0.25">
      <c r="A4" s="916" t="s">
        <v>7619</v>
      </c>
    </row>
    <row r="5" spans="1:18" x14ac:dyDescent="0.25">
      <c r="A5" s="916" t="s">
        <v>7620</v>
      </c>
    </row>
    <row r="7" spans="1:18" x14ac:dyDescent="0.25">
      <c r="A7" s="916" t="s">
        <v>6638</v>
      </c>
      <c r="B7" s="916" t="s">
        <v>7621</v>
      </c>
      <c r="C7" s="917">
        <v>12.15</v>
      </c>
      <c r="D7" s="916" t="s">
        <v>5596</v>
      </c>
      <c r="E7" s="918" t="s">
        <v>7622</v>
      </c>
      <c r="F7" s="919">
        <f>8760*500</f>
        <v>4380000</v>
      </c>
      <c r="G7" s="916" t="s">
        <v>7623</v>
      </c>
    </row>
    <row r="8" spans="1:18" x14ac:dyDescent="0.25">
      <c r="A8" s="916" t="s">
        <v>6639</v>
      </c>
      <c r="B8" s="916" t="s">
        <v>7624</v>
      </c>
      <c r="C8" s="917">
        <v>8.01</v>
      </c>
      <c r="D8" s="916" t="s">
        <v>5596</v>
      </c>
      <c r="E8" s="918" t="s">
        <v>7622</v>
      </c>
      <c r="F8" s="919">
        <f>8760*1500</f>
        <v>13140000</v>
      </c>
      <c r="G8" s="916" t="s">
        <v>7623</v>
      </c>
    </row>
    <row r="9" spans="1:18" x14ac:dyDescent="0.25">
      <c r="A9" s="916" t="s">
        <v>6640</v>
      </c>
      <c r="B9" s="916" t="s">
        <v>7625</v>
      </c>
      <c r="C9" s="917">
        <v>6.13</v>
      </c>
      <c r="D9" s="916" t="s">
        <v>5596</v>
      </c>
      <c r="E9" s="918" t="s">
        <v>7622</v>
      </c>
      <c r="F9" s="919">
        <f>8760*3000</f>
        <v>26280000</v>
      </c>
      <c r="G9" s="916" t="s">
        <v>7623</v>
      </c>
    </row>
    <row r="10" spans="1:18" x14ac:dyDescent="0.25">
      <c r="C10" s="917"/>
      <c r="E10" s="928"/>
      <c r="F10" s="919"/>
    </row>
    <row r="11" spans="1:18" x14ac:dyDescent="0.25">
      <c r="A11" s="916" t="s">
        <v>7626</v>
      </c>
      <c r="C11" s="917"/>
      <c r="D11" s="929"/>
      <c r="E11" s="932">
        <v>7</v>
      </c>
      <c r="F11" s="930" t="s">
        <v>5596</v>
      </c>
      <c r="G11" s="916" t="s">
        <v>7627</v>
      </c>
    </row>
    <row r="12" spans="1:18" x14ac:dyDescent="0.25">
      <c r="C12" s="917"/>
      <c r="E12" s="931"/>
      <c r="F12" s="919"/>
    </row>
    <row r="14" spans="1:18" ht="15.75" x14ac:dyDescent="0.25">
      <c r="A14" s="920" t="s">
        <v>7628</v>
      </c>
    </row>
    <row r="16" spans="1:18" x14ac:dyDescent="0.25">
      <c r="C16" s="1250" t="s">
        <v>7629</v>
      </c>
      <c r="D16" s="1250"/>
      <c r="E16" s="1250"/>
      <c r="F16" s="1250"/>
      <c r="G16" s="1250"/>
      <c r="H16" s="1250"/>
      <c r="I16" s="1250"/>
      <c r="J16" s="1250"/>
      <c r="K16" s="1250"/>
      <c r="L16" s="1250"/>
      <c r="M16" s="1250"/>
      <c r="N16" s="1250"/>
      <c r="O16" s="1250"/>
      <c r="P16" s="1250"/>
      <c r="Q16" s="1250"/>
      <c r="R16" s="1250"/>
    </row>
    <row r="17" spans="1:18" x14ac:dyDescent="0.25">
      <c r="A17" s="921" t="s">
        <v>1764</v>
      </c>
      <c r="B17" s="922" t="s">
        <v>7630</v>
      </c>
      <c r="C17" s="923">
        <v>1</v>
      </c>
      <c r="D17" s="923">
        <f>C17+31</f>
        <v>32</v>
      </c>
      <c r="E17" s="923">
        <f t="shared" ref="E17:N17" si="0">D17+31</f>
        <v>63</v>
      </c>
      <c r="F17" s="923">
        <f t="shared" si="0"/>
        <v>94</v>
      </c>
      <c r="G17" s="923">
        <f t="shared" si="0"/>
        <v>125</v>
      </c>
      <c r="H17" s="923">
        <f t="shared" si="0"/>
        <v>156</v>
      </c>
      <c r="I17" s="923">
        <f t="shared" si="0"/>
        <v>187</v>
      </c>
      <c r="J17" s="923">
        <f t="shared" si="0"/>
        <v>218</v>
      </c>
      <c r="K17" s="923">
        <f t="shared" si="0"/>
        <v>249</v>
      </c>
      <c r="L17" s="923">
        <f t="shared" si="0"/>
        <v>280</v>
      </c>
      <c r="M17" s="923">
        <f t="shared" si="0"/>
        <v>311</v>
      </c>
      <c r="N17" s="923">
        <f t="shared" si="0"/>
        <v>342</v>
      </c>
      <c r="O17" s="922"/>
      <c r="P17" s="922" t="s">
        <v>7631</v>
      </c>
      <c r="Q17" s="922"/>
      <c r="R17" s="921" t="s">
        <v>7632</v>
      </c>
    </row>
    <row r="18" spans="1:18" x14ac:dyDescent="0.25">
      <c r="A18" s="916" t="s">
        <v>6638</v>
      </c>
      <c r="B18" s="917">
        <f>C7</f>
        <v>12.15</v>
      </c>
      <c r="C18" s="924">
        <f>2000000*500/(24000/8.76)</f>
        <v>365000</v>
      </c>
      <c r="D18" s="924">
        <f t="shared" ref="D18:N18" si="1">2000000*500/(24000/8.76)</f>
        <v>365000</v>
      </c>
      <c r="E18" s="924">
        <f t="shared" si="1"/>
        <v>365000</v>
      </c>
      <c r="F18" s="924">
        <f t="shared" si="1"/>
        <v>365000</v>
      </c>
      <c r="G18" s="924">
        <f t="shared" si="1"/>
        <v>365000</v>
      </c>
      <c r="H18" s="924">
        <f t="shared" si="1"/>
        <v>365000</v>
      </c>
      <c r="I18" s="924">
        <f t="shared" si="1"/>
        <v>365000</v>
      </c>
      <c r="J18" s="924">
        <f t="shared" si="1"/>
        <v>365000</v>
      </c>
      <c r="K18" s="924">
        <f t="shared" si="1"/>
        <v>365000</v>
      </c>
      <c r="L18" s="924">
        <f t="shared" si="1"/>
        <v>365000</v>
      </c>
      <c r="M18" s="924">
        <f t="shared" si="1"/>
        <v>365000</v>
      </c>
      <c r="N18" s="924">
        <f t="shared" si="1"/>
        <v>365000</v>
      </c>
      <c r="P18" s="924">
        <f>SUM(C18:N18)</f>
        <v>4380000</v>
      </c>
      <c r="R18" s="924">
        <f>SUM(C18:N18)</f>
        <v>4380000</v>
      </c>
    </row>
    <row r="19" spans="1:18" x14ac:dyDescent="0.25">
      <c r="A19" s="916" t="s">
        <v>6639</v>
      </c>
      <c r="B19" s="917">
        <f>C8</f>
        <v>8.01</v>
      </c>
      <c r="C19" s="924">
        <f>2000000*1500/(24000/8.76)</f>
        <v>1095000</v>
      </c>
      <c r="D19" s="924">
        <f t="shared" ref="D19:N19" si="2">2000000*1500/(24000/8.76)</f>
        <v>1095000</v>
      </c>
      <c r="E19" s="924">
        <f t="shared" si="2"/>
        <v>1095000</v>
      </c>
      <c r="F19" s="924">
        <f t="shared" si="2"/>
        <v>1095000</v>
      </c>
      <c r="G19" s="924">
        <f t="shared" si="2"/>
        <v>1095000</v>
      </c>
      <c r="H19" s="924">
        <f t="shared" si="2"/>
        <v>1095000</v>
      </c>
      <c r="I19" s="924">
        <f t="shared" si="2"/>
        <v>1095000</v>
      </c>
      <c r="J19" s="924">
        <f t="shared" si="2"/>
        <v>1095000</v>
      </c>
      <c r="K19" s="924">
        <f t="shared" si="2"/>
        <v>1095000</v>
      </c>
      <c r="L19" s="924">
        <f t="shared" si="2"/>
        <v>1095000</v>
      </c>
      <c r="M19" s="924">
        <f t="shared" si="2"/>
        <v>1095000</v>
      </c>
      <c r="N19" s="924">
        <f t="shared" si="2"/>
        <v>1095000</v>
      </c>
      <c r="P19" s="924">
        <f>SUM(C19:N19)</f>
        <v>13140000</v>
      </c>
      <c r="R19" s="924">
        <f>SUM(C19:N19)</f>
        <v>13140000</v>
      </c>
    </row>
    <row r="20" spans="1:18" x14ac:dyDescent="0.25">
      <c r="A20" s="916" t="s">
        <v>6640</v>
      </c>
      <c r="B20" s="917">
        <f>C9</f>
        <v>6.13</v>
      </c>
      <c r="C20" s="924">
        <f>2000000-C18-C19</f>
        <v>540000</v>
      </c>
      <c r="D20" s="924">
        <f t="shared" ref="D20:N20" si="3">2000000-D18-D19</f>
        <v>540000</v>
      </c>
      <c r="E20" s="924">
        <f t="shared" si="3"/>
        <v>540000</v>
      </c>
      <c r="F20" s="924">
        <f t="shared" si="3"/>
        <v>540000</v>
      </c>
      <c r="G20" s="924">
        <f t="shared" si="3"/>
        <v>540000</v>
      </c>
      <c r="H20" s="924">
        <f t="shared" si="3"/>
        <v>540000</v>
      </c>
      <c r="I20" s="924">
        <f t="shared" si="3"/>
        <v>540000</v>
      </c>
      <c r="J20" s="924">
        <f t="shared" si="3"/>
        <v>540000</v>
      </c>
      <c r="K20" s="924">
        <f t="shared" si="3"/>
        <v>540000</v>
      </c>
      <c r="L20" s="924">
        <f t="shared" si="3"/>
        <v>540000</v>
      </c>
      <c r="M20" s="924">
        <f t="shared" si="3"/>
        <v>540000</v>
      </c>
      <c r="N20" s="924">
        <f t="shared" si="3"/>
        <v>540000</v>
      </c>
      <c r="P20" s="924">
        <f>SUM(C20:N20)</f>
        <v>6480000</v>
      </c>
      <c r="R20" s="924">
        <f>SUM(C20:N20)</f>
        <v>6480000</v>
      </c>
    </row>
    <row r="21" spans="1:18" x14ac:dyDescent="0.25">
      <c r="B21" s="922" t="s">
        <v>7633</v>
      </c>
      <c r="C21" s="1250" t="s">
        <v>7634</v>
      </c>
      <c r="D21" s="1250"/>
      <c r="E21" s="1250"/>
      <c r="F21" s="1250"/>
      <c r="G21" s="1250"/>
      <c r="H21" s="1250"/>
      <c r="I21" s="1250"/>
      <c r="J21" s="1250"/>
      <c r="K21" s="1250"/>
      <c r="L21" s="1250"/>
      <c r="M21" s="1250"/>
      <c r="N21" s="1250"/>
      <c r="O21" s="1250"/>
      <c r="P21" s="1250"/>
      <c r="Q21" s="1250"/>
      <c r="R21" s="1250"/>
    </row>
    <row r="22" spans="1:18" x14ac:dyDescent="0.25">
      <c r="A22" s="916" t="s">
        <v>6638</v>
      </c>
      <c r="B22" s="917">
        <f>$B18-$E$11</f>
        <v>5.15</v>
      </c>
      <c r="C22" s="925">
        <f t="shared" ref="C22:N22" si="4">IF(C18&lt;&gt;"",$B22*C18/100,"")</f>
        <v>18797.500000000004</v>
      </c>
      <c r="D22" s="925">
        <f t="shared" si="4"/>
        <v>18797.500000000004</v>
      </c>
      <c r="E22" s="925">
        <f t="shared" si="4"/>
        <v>18797.500000000004</v>
      </c>
      <c r="F22" s="925">
        <f t="shared" si="4"/>
        <v>18797.500000000004</v>
      </c>
      <c r="G22" s="925">
        <f t="shared" si="4"/>
        <v>18797.500000000004</v>
      </c>
      <c r="H22" s="925">
        <f t="shared" si="4"/>
        <v>18797.500000000004</v>
      </c>
      <c r="I22" s="925">
        <f t="shared" si="4"/>
        <v>18797.500000000004</v>
      </c>
      <c r="J22" s="925">
        <f t="shared" si="4"/>
        <v>18797.500000000004</v>
      </c>
      <c r="K22" s="925">
        <f t="shared" si="4"/>
        <v>18797.500000000004</v>
      </c>
      <c r="L22" s="925">
        <f t="shared" si="4"/>
        <v>18797.500000000004</v>
      </c>
      <c r="M22" s="925">
        <f t="shared" si="4"/>
        <v>18797.500000000004</v>
      </c>
      <c r="N22" s="925">
        <f t="shared" si="4"/>
        <v>18797.500000000004</v>
      </c>
      <c r="P22" s="925">
        <f>SUM(C22:N22)</f>
        <v>225570.00000000003</v>
      </c>
      <c r="R22" s="925">
        <f>IF(R18&lt;&gt;"",$B22*R18/100,"")</f>
        <v>225570</v>
      </c>
    </row>
    <row r="23" spans="1:18" x14ac:dyDescent="0.25">
      <c r="A23" s="916" t="s">
        <v>6639</v>
      </c>
      <c r="B23" s="917">
        <f>$B19-$E$11</f>
        <v>1.0099999999999998</v>
      </c>
      <c r="C23" s="925">
        <f t="shared" ref="C23:N23" si="5">IF(C19&lt;&gt;"",$B23*C19/100,"")</f>
        <v>11059.499999999998</v>
      </c>
      <c r="D23" s="925">
        <f t="shared" si="5"/>
        <v>11059.499999999998</v>
      </c>
      <c r="E23" s="925">
        <f t="shared" si="5"/>
        <v>11059.499999999998</v>
      </c>
      <c r="F23" s="925">
        <f t="shared" si="5"/>
        <v>11059.499999999998</v>
      </c>
      <c r="G23" s="925">
        <f t="shared" si="5"/>
        <v>11059.499999999998</v>
      </c>
      <c r="H23" s="925">
        <f t="shared" si="5"/>
        <v>11059.499999999998</v>
      </c>
      <c r="I23" s="925">
        <f t="shared" si="5"/>
        <v>11059.499999999998</v>
      </c>
      <c r="J23" s="925">
        <f t="shared" si="5"/>
        <v>11059.499999999998</v>
      </c>
      <c r="K23" s="925">
        <f t="shared" si="5"/>
        <v>11059.499999999998</v>
      </c>
      <c r="L23" s="925">
        <f t="shared" si="5"/>
        <v>11059.499999999998</v>
      </c>
      <c r="M23" s="925">
        <f t="shared" si="5"/>
        <v>11059.499999999998</v>
      </c>
      <c r="N23" s="925">
        <f t="shared" si="5"/>
        <v>11059.499999999998</v>
      </c>
      <c r="P23" s="925">
        <f>SUM(C23:N23)</f>
        <v>132713.99999999997</v>
      </c>
      <c r="R23" s="925">
        <f>IF(R19&lt;&gt;"",$B23*R19/100,"")</f>
        <v>132713.99999999997</v>
      </c>
    </row>
    <row r="24" spans="1:18" x14ac:dyDescent="0.25">
      <c r="A24" s="916" t="s">
        <v>6640</v>
      </c>
      <c r="B24" s="917">
        <f>$B20-$E$11</f>
        <v>-0.87000000000000011</v>
      </c>
      <c r="C24" s="925">
        <f t="shared" ref="C24:N24" si="6">IF(C20&lt;&gt;"",$B24*C20/100,"")</f>
        <v>-4698.0000000000009</v>
      </c>
      <c r="D24" s="925">
        <f t="shared" si="6"/>
        <v>-4698.0000000000009</v>
      </c>
      <c r="E24" s="925">
        <f t="shared" si="6"/>
        <v>-4698.0000000000009</v>
      </c>
      <c r="F24" s="925">
        <f t="shared" si="6"/>
        <v>-4698.0000000000009</v>
      </c>
      <c r="G24" s="925">
        <f t="shared" si="6"/>
        <v>-4698.0000000000009</v>
      </c>
      <c r="H24" s="925">
        <f t="shared" si="6"/>
        <v>-4698.0000000000009</v>
      </c>
      <c r="I24" s="925">
        <f t="shared" si="6"/>
        <v>-4698.0000000000009</v>
      </c>
      <c r="J24" s="925">
        <f t="shared" si="6"/>
        <v>-4698.0000000000009</v>
      </c>
      <c r="K24" s="925">
        <f t="shared" si="6"/>
        <v>-4698.0000000000009</v>
      </c>
      <c r="L24" s="925">
        <f t="shared" si="6"/>
        <v>-4698.0000000000009</v>
      </c>
      <c r="M24" s="925">
        <f t="shared" si="6"/>
        <v>-4698.0000000000009</v>
      </c>
      <c r="N24" s="925">
        <f t="shared" si="6"/>
        <v>-4698.0000000000009</v>
      </c>
      <c r="P24" s="925">
        <f>SUM(C24:N24)</f>
        <v>-56376.000000000007</v>
      </c>
      <c r="R24" s="925">
        <f>IF(R20&lt;&gt;"",$B24*R20/100,"")</f>
        <v>-56376.000000000007</v>
      </c>
    </row>
    <row r="25" spans="1:18" x14ac:dyDescent="0.25">
      <c r="B25" s="917"/>
      <c r="C25" s="925"/>
      <c r="D25" s="925"/>
      <c r="E25" s="925"/>
      <c r="F25" s="925"/>
      <c r="G25" s="925"/>
      <c r="H25" s="925"/>
      <c r="I25" s="925"/>
      <c r="J25" s="925"/>
      <c r="K25" s="925"/>
      <c r="L25" s="925"/>
      <c r="M25" s="925"/>
      <c r="N25" s="925"/>
      <c r="R25" s="925"/>
    </row>
    <row r="26" spans="1:18" x14ac:dyDescent="0.25">
      <c r="A26" s="921" t="s">
        <v>7635</v>
      </c>
      <c r="B26" s="926"/>
      <c r="C26" s="925">
        <f>SUM(C22:C24)</f>
        <v>25159</v>
      </c>
      <c r="D26" s="925">
        <f t="shared" ref="D26:N26" si="7">SUM(D22:D24)</f>
        <v>25159</v>
      </c>
      <c r="E26" s="925">
        <f t="shared" si="7"/>
        <v>25159</v>
      </c>
      <c r="F26" s="925">
        <f t="shared" si="7"/>
        <v>25159</v>
      </c>
      <c r="G26" s="925">
        <f t="shared" si="7"/>
        <v>25159</v>
      </c>
      <c r="H26" s="925">
        <f t="shared" si="7"/>
        <v>25159</v>
      </c>
      <c r="I26" s="925">
        <f t="shared" si="7"/>
        <v>25159</v>
      </c>
      <c r="J26" s="925">
        <f t="shared" si="7"/>
        <v>25159</v>
      </c>
      <c r="K26" s="925">
        <f t="shared" si="7"/>
        <v>25159</v>
      </c>
      <c r="L26" s="925">
        <f t="shared" si="7"/>
        <v>25159</v>
      </c>
      <c r="M26" s="925">
        <f t="shared" si="7"/>
        <v>25159</v>
      </c>
      <c r="N26" s="925">
        <f t="shared" si="7"/>
        <v>25159</v>
      </c>
      <c r="O26" s="925"/>
      <c r="P26" s="925">
        <f>SUM(C26:N26)</f>
        <v>301908</v>
      </c>
      <c r="Q26" s="925"/>
      <c r="R26" s="925">
        <f>SUM(R22:R24)</f>
        <v>301908</v>
      </c>
    </row>
    <row r="28" spans="1:18" x14ac:dyDescent="0.25">
      <c r="A28" s="921" t="s">
        <v>7684</v>
      </c>
      <c r="B28" s="921"/>
      <c r="C28" s="925">
        <f t="shared" ref="C28:K28" si="8">MAX(SUM(C22:C24),0)</f>
        <v>25159</v>
      </c>
      <c r="D28" s="925">
        <f t="shared" si="8"/>
        <v>25159</v>
      </c>
      <c r="E28" s="925">
        <f t="shared" si="8"/>
        <v>25159</v>
      </c>
      <c r="F28" s="925">
        <f t="shared" si="8"/>
        <v>25159</v>
      </c>
      <c r="G28" s="925">
        <f t="shared" si="8"/>
        <v>25159</v>
      </c>
      <c r="H28" s="925">
        <f t="shared" si="8"/>
        <v>25159</v>
      </c>
      <c r="I28" s="925">
        <f t="shared" si="8"/>
        <v>25159</v>
      </c>
      <c r="J28" s="925">
        <f t="shared" si="8"/>
        <v>25159</v>
      </c>
      <c r="K28" s="925">
        <f t="shared" si="8"/>
        <v>25159</v>
      </c>
      <c r="L28" s="925">
        <f>MAX(SUM(L22:L24),0)</f>
        <v>25159</v>
      </c>
      <c r="M28" s="925">
        <f>MAX(SUM(M22:M24),0)</f>
        <v>25159</v>
      </c>
      <c r="N28" s="925">
        <f>MAX(SUM(N22:N24),0)</f>
        <v>25159</v>
      </c>
      <c r="O28" s="925"/>
      <c r="P28" s="925">
        <f>SUM(C28:N28)</f>
        <v>301908</v>
      </c>
      <c r="Q28" s="925"/>
      <c r="R28" s="925">
        <f>MAX(SUM(R22:R24),0)</f>
        <v>301908</v>
      </c>
    </row>
    <row r="33" spans="1:18" ht="15.75" x14ac:dyDescent="0.25">
      <c r="A33" s="920" t="s">
        <v>7685</v>
      </c>
    </row>
    <row r="35" spans="1:18" x14ac:dyDescent="0.25">
      <c r="C35" s="1250" t="s">
        <v>7629</v>
      </c>
      <c r="D35" s="1250"/>
      <c r="E35" s="1250"/>
      <c r="F35" s="1250"/>
      <c r="G35" s="1250"/>
      <c r="H35" s="1250"/>
      <c r="I35" s="1250"/>
      <c r="J35" s="1250"/>
      <c r="K35" s="1250"/>
      <c r="L35" s="1250"/>
      <c r="M35" s="1250"/>
      <c r="N35" s="1250"/>
      <c r="O35" s="1250"/>
      <c r="P35" s="1250"/>
      <c r="Q35" s="1250"/>
      <c r="R35" s="1250"/>
    </row>
    <row r="36" spans="1:18" x14ac:dyDescent="0.25">
      <c r="A36" s="921" t="s">
        <v>1764</v>
      </c>
      <c r="B36" s="922" t="s">
        <v>7630</v>
      </c>
      <c r="C36" s="923">
        <v>1</v>
      </c>
      <c r="D36" s="923">
        <f>C36+31</f>
        <v>32</v>
      </c>
      <c r="E36" s="923">
        <f t="shared" ref="E36:N36" si="9">D36+31</f>
        <v>63</v>
      </c>
      <c r="F36" s="923">
        <f t="shared" si="9"/>
        <v>94</v>
      </c>
      <c r="G36" s="923">
        <f t="shared" si="9"/>
        <v>125</v>
      </c>
      <c r="H36" s="923">
        <f t="shared" si="9"/>
        <v>156</v>
      </c>
      <c r="I36" s="923">
        <f t="shared" si="9"/>
        <v>187</v>
      </c>
      <c r="J36" s="923">
        <f t="shared" si="9"/>
        <v>218</v>
      </c>
      <c r="K36" s="923">
        <f t="shared" si="9"/>
        <v>249</v>
      </c>
      <c r="L36" s="923">
        <f t="shared" si="9"/>
        <v>280</v>
      </c>
      <c r="M36" s="923">
        <f t="shared" si="9"/>
        <v>311</v>
      </c>
      <c r="N36" s="923">
        <f t="shared" si="9"/>
        <v>342</v>
      </c>
      <c r="O36" s="922"/>
      <c r="P36" s="922" t="s">
        <v>7631</v>
      </c>
      <c r="Q36" s="922"/>
      <c r="R36" s="921" t="s">
        <v>7632</v>
      </c>
    </row>
    <row r="37" spans="1:18" x14ac:dyDescent="0.25">
      <c r="A37" s="916" t="s">
        <v>6638</v>
      </c>
      <c r="B37" s="917">
        <f>C7</f>
        <v>12.15</v>
      </c>
      <c r="C37" s="924">
        <v>2000000</v>
      </c>
      <c r="D37" s="924">
        <v>2000000</v>
      </c>
      <c r="E37" s="924">
        <v>380000</v>
      </c>
      <c r="F37" s="924"/>
      <c r="G37" s="924"/>
      <c r="H37" s="924"/>
      <c r="I37" s="924"/>
      <c r="J37" s="924"/>
      <c r="K37" s="924"/>
      <c r="L37" s="924"/>
      <c r="M37" s="924"/>
      <c r="N37" s="924"/>
      <c r="P37" s="924">
        <f>SUM(C37:N37)</f>
        <v>4380000</v>
      </c>
      <c r="R37" s="924">
        <f>SUM(C37:N37)</f>
        <v>4380000</v>
      </c>
    </row>
    <row r="38" spans="1:18" x14ac:dyDescent="0.25">
      <c r="A38" s="916" t="s">
        <v>6639</v>
      </c>
      <c r="B38" s="917">
        <f>C8</f>
        <v>8.01</v>
      </c>
      <c r="C38" s="924"/>
      <c r="D38" s="924"/>
      <c r="E38" s="924">
        <v>1620000</v>
      </c>
      <c r="F38" s="924">
        <v>2000000</v>
      </c>
      <c r="G38" s="924">
        <v>2000000</v>
      </c>
      <c r="H38" s="924">
        <v>2000000</v>
      </c>
      <c r="I38" s="924">
        <v>2000000</v>
      </c>
      <c r="J38" s="924">
        <v>2000000</v>
      </c>
      <c r="K38" s="924">
        <v>1520000</v>
      </c>
      <c r="L38" s="924"/>
      <c r="M38" s="924"/>
      <c r="N38" s="924"/>
      <c r="P38" s="924">
        <f>SUM(C38:N38)</f>
        <v>13140000</v>
      </c>
      <c r="R38" s="924">
        <f>SUM(C38:N38)</f>
        <v>13140000</v>
      </c>
    </row>
    <row r="39" spans="1:18" x14ac:dyDescent="0.25">
      <c r="A39" s="916" t="s">
        <v>6640</v>
      </c>
      <c r="B39" s="917">
        <f>C9</f>
        <v>6.13</v>
      </c>
      <c r="C39" s="924"/>
      <c r="D39" s="924"/>
      <c r="E39" s="924"/>
      <c r="F39" s="924"/>
      <c r="G39" s="924"/>
      <c r="H39" s="924"/>
      <c r="I39" s="924"/>
      <c r="J39" s="924"/>
      <c r="K39" s="924">
        <v>480000</v>
      </c>
      <c r="L39" s="924">
        <v>2000000</v>
      </c>
      <c r="M39" s="924">
        <v>2000000</v>
      </c>
      <c r="N39" s="924">
        <v>2000000</v>
      </c>
      <c r="P39" s="924">
        <f>SUM(C39:N39)</f>
        <v>6480000</v>
      </c>
      <c r="R39" s="924">
        <f>SUM(C39:N39)</f>
        <v>6480000</v>
      </c>
    </row>
    <row r="40" spans="1:18" x14ac:dyDescent="0.25">
      <c r="B40" s="922" t="s">
        <v>7633</v>
      </c>
      <c r="C40" s="1250" t="s">
        <v>7634</v>
      </c>
      <c r="D40" s="1250"/>
      <c r="E40" s="1250"/>
      <c r="F40" s="1250"/>
      <c r="G40" s="1250"/>
      <c r="H40" s="1250"/>
      <c r="I40" s="1250"/>
      <c r="J40" s="1250"/>
      <c r="K40" s="1250"/>
      <c r="L40" s="1250"/>
      <c r="M40" s="1250"/>
      <c r="N40" s="1250"/>
      <c r="O40" s="1250"/>
      <c r="P40" s="1250"/>
      <c r="Q40" s="1250"/>
      <c r="R40" s="1250"/>
    </row>
    <row r="41" spans="1:18" x14ac:dyDescent="0.25">
      <c r="A41" s="916" t="s">
        <v>6638</v>
      </c>
      <c r="B41" s="917">
        <f>$B37-$E$11</f>
        <v>5.15</v>
      </c>
      <c r="C41" s="925">
        <f>IF(C37&lt;&gt;"",$B41*C37/100,"")</f>
        <v>103000</v>
      </c>
      <c r="D41" s="925">
        <f t="shared" ref="D41:N41" si="10">IF(D37&lt;&gt;"",$B41*D37/100,"")</f>
        <v>103000</v>
      </c>
      <c r="E41" s="925">
        <f t="shared" si="10"/>
        <v>19570.000000000004</v>
      </c>
      <c r="F41" s="925" t="str">
        <f t="shared" si="10"/>
        <v/>
      </c>
      <c r="G41" s="925" t="str">
        <f t="shared" si="10"/>
        <v/>
      </c>
      <c r="H41" s="925" t="str">
        <f t="shared" si="10"/>
        <v/>
      </c>
      <c r="I41" s="925" t="str">
        <f t="shared" si="10"/>
        <v/>
      </c>
      <c r="J41" s="925" t="str">
        <f t="shared" si="10"/>
        <v/>
      </c>
      <c r="K41" s="925" t="str">
        <f t="shared" si="10"/>
        <v/>
      </c>
      <c r="L41" s="925" t="str">
        <f t="shared" si="10"/>
        <v/>
      </c>
      <c r="M41" s="925" t="str">
        <f t="shared" si="10"/>
        <v/>
      </c>
      <c r="N41" s="925" t="str">
        <f t="shared" si="10"/>
        <v/>
      </c>
      <c r="P41" s="925">
        <f>SUM(C41:N41)</f>
        <v>225570</v>
      </c>
      <c r="R41" s="925">
        <f>IF(R37&lt;&gt;"",$B41*R37/100,"")</f>
        <v>225570</v>
      </c>
    </row>
    <row r="42" spans="1:18" x14ac:dyDescent="0.25">
      <c r="A42" s="916" t="s">
        <v>6639</v>
      </c>
      <c r="B42" s="917">
        <f>$B38-$E$11</f>
        <v>1.0099999999999998</v>
      </c>
      <c r="C42" s="925" t="str">
        <f t="shared" ref="C42:N43" si="11">IF(C38&lt;&gt;"",$B42*C38/100,"")</f>
        <v/>
      </c>
      <c r="D42" s="925" t="str">
        <f t="shared" si="11"/>
        <v/>
      </c>
      <c r="E42" s="925">
        <f t="shared" si="11"/>
        <v>16361.999999999998</v>
      </c>
      <c r="F42" s="925">
        <f t="shared" si="11"/>
        <v>20199.999999999996</v>
      </c>
      <c r="G42" s="925">
        <f t="shared" si="11"/>
        <v>20199.999999999996</v>
      </c>
      <c r="H42" s="925">
        <f t="shared" si="11"/>
        <v>20199.999999999996</v>
      </c>
      <c r="I42" s="925">
        <f t="shared" si="11"/>
        <v>20199.999999999996</v>
      </c>
      <c r="J42" s="925">
        <f t="shared" si="11"/>
        <v>20199.999999999996</v>
      </c>
      <c r="K42" s="925">
        <f t="shared" si="11"/>
        <v>15351.999999999998</v>
      </c>
      <c r="L42" s="925" t="str">
        <f t="shared" si="11"/>
        <v/>
      </c>
      <c r="M42" s="925" t="str">
        <f t="shared" si="11"/>
        <v/>
      </c>
      <c r="N42" s="925" t="str">
        <f t="shared" si="11"/>
        <v/>
      </c>
      <c r="P42" s="925">
        <f>SUM(C42:N42)</f>
        <v>132713.99999999997</v>
      </c>
      <c r="R42" s="925">
        <f>IF(R38&lt;&gt;"",$B42*R38/100,"")</f>
        <v>132713.99999999997</v>
      </c>
    </row>
    <row r="43" spans="1:18" x14ac:dyDescent="0.25">
      <c r="A43" s="916" t="s">
        <v>6640</v>
      </c>
      <c r="B43" s="917">
        <f>$B39-$E$11</f>
        <v>-0.87000000000000011</v>
      </c>
      <c r="C43" s="925" t="str">
        <f t="shared" si="11"/>
        <v/>
      </c>
      <c r="D43" s="925" t="str">
        <f t="shared" si="11"/>
        <v/>
      </c>
      <c r="E43" s="925" t="str">
        <f t="shared" si="11"/>
        <v/>
      </c>
      <c r="F43" s="925" t="str">
        <f t="shared" si="11"/>
        <v/>
      </c>
      <c r="G43" s="925" t="str">
        <f t="shared" si="11"/>
        <v/>
      </c>
      <c r="H43" s="925" t="str">
        <f t="shared" si="11"/>
        <v/>
      </c>
      <c r="I43" s="925" t="str">
        <f t="shared" si="11"/>
        <v/>
      </c>
      <c r="J43" s="925" t="str">
        <f t="shared" si="11"/>
        <v/>
      </c>
      <c r="K43" s="925">
        <f t="shared" si="11"/>
        <v>-4176.0000000000009</v>
      </c>
      <c r="L43" s="925">
        <f t="shared" si="11"/>
        <v>-17400.000000000004</v>
      </c>
      <c r="M43" s="925">
        <f t="shared" si="11"/>
        <v>-17400.000000000004</v>
      </c>
      <c r="N43" s="925">
        <f t="shared" si="11"/>
        <v>-17400.000000000004</v>
      </c>
      <c r="P43" s="925">
        <f>SUM(C43:N43)</f>
        <v>-56376.000000000015</v>
      </c>
      <c r="R43" s="925">
        <f>IF(R39&lt;&gt;"",$B43*R39/100,"")</f>
        <v>-56376.000000000007</v>
      </c>
    </row>
    <row r="44" spans="1:18" x14ac:dyDescent="0.25">
      <c r="B44" s="917"/>
      <c r="C44" s="925"/>
      <c r="D44" s="925"/>
      <c r="E44" s="925"/>
      <c r="F44" s="925"/>
      <c r="G44" s="925"/>
      <c r="H44" s="925"/>
      <c r="I44" s="925"/>
      <c r="J44" s="925"/>
      <c r="K44" s="925"/>
      <c r="L44" s="925"/>
      <c r="M44" s="925"/>
      <c r="N44" s="925"/>
      <c r="R44" s="925"/>
    </row>
    <row r="45" spans="1:18" x14ac:dyDescent="0.25">
      <c r="A45" s="921" t="s">
        <v>7635</v>
      </c>
      <c r="B45" s="926"/>
      <c r="C45" s="925">
        <f>SUM(C41:C43)</f>
        <v>103000</v>
      </c>
      <c r="D45" s="925">
        <f t="shared" ref="D45:N45" si="12">SUM(D41:D43)</f>
        <v>103000</v>
      </c>
      <c r="E45" s="925">
        <f t="shared" si="12"/>
        <v>35932</v>
      </c>
      <c r="F45" s="925">
        <f t="shared" si="12"/>
        <v>20199.999999999996</v>
      </c>
      <c r="G45" s="925">
        <f t="shared" si="12"/>
        <v>20199.999999999996</v>
      </c>
      <c r="H45" s="925">
        <f t="shared" si="12"/>
        <v>20199.999999999996</v>
      </c>
      <c r="I45" s="925">
        <f t="shared" si="12"/>
        <v>20199.999999999996</v>
      </c>
      <c r="J45" s="925">
        <f t="shared" si="12"/>
        <v>20199.999999999996</v>
      </c>
      <c r="K45" s="925">
        <f t="shared" si="12"/>
        <v>11175.999999999996</v>
      </c>
      <c r="L45" s="925">
        <f t="shared" si="12"/>
        <v>-17400.000000000004</v>
      </c>
      <c r="M45" s="925">
        <f t="shared" si="12"/>
        <v>-17400.000000000004</v>
      </c>
      <c r="N45" s="925">
        <f t="shared" si="12"/>
        <v>-17400.000000000004</v>
      </c>
      <c r="O45" s="925"/>
      <c r="P45" s="925">
        <f>SUM(C45:N45)</f>
        <v>301908</v>
      </c>
      <c r="Q45" s="925"/>
      <c r="R45" s="925">
        <f>SUM(R41:R43)</f>
        <v>301908</v>
      </c>
    </row>
    <row r="47" spans="1:18" x14ac:dyDescent="0.25">
      <c r="A47" s="921" t="s">
        <v>7684</v>
      </c>
      <c r="B47" s="921"/>
      <c r="C47" s="925">
        <f t="shared" ref="C47:N47" si="13">MAX(SUM(C41:C43),0)</f>
        <v>103000</v>
      </c>
      <c r="D47" s="925">
        <f t="shared" si="13"/>
        <v>103000</v>
      </c>
      <c r="E47" s="925">
        <f t="shared" si="13"/>
        <v>35932</v>
      </c>
      <c r="F47" s="925">
        <f t="shared" si="13"/>
        <v>20199.999999999996</v>
      </c>
      <c r="G47" s="925">
        <f t="shared" si="13"/>
        <v>20199.999999999996</v>
      </c>
      <c r="H47" s="925">
        <f t="shared" si="13"/>
        <v>20199.999999999996</v>
      </c>
      <c r="I47" s="925">
        <f t="shared" si="13"/>
        <v>20199.999999999996</v>
      </c>
      <c r="J47" s="925">
        <f t="shared" si="13"/>
        <v>20199.999999999996</v>
      </c>
      <c r="K47" s="925">
        <f t="shared" si="13"/>
        <v>11175.999999999996</v>
      </c>
      <c r="L47" s="925">
        <f t="shared" si="13"/>
        <v>0</v>
      </c>
      <c r="M47" s="925">
        <f t="shared" si="13"/>
        <v>0</v>
      </c>
      <c r="N47" s="925">
        <f t="shared" si="13"/>
        <v>0</v>
      </c>
      <c r="O47" s="925"/>
      <c r="P47" s="925">
        <f>SUM(C47:N47)</f>
        <v>354108</v>
      </c>
      <c r="Q47" s="925"/>
      <c r="R47" s="925">
        <f>MAX(SUM(R41:R43),0)</f>
        <v>301908</v>
      </c>
    </row>
    <row r="52" spans="1:1" x14ac:dyDescent="0.25">
      <c r="A52" s="927" t="s">
        <v>7636</v>
      </c>
    </row>
  </sheetData>
  <mergeCells count="6">
    <mergeCell ref="A1:R1"/>
    <mergeCell ref="C16:R16"/>
    <mergeCell ref="C21:R21"/>
    <mergeCell ref="C35:R35"/>
    <mergeCell ref="C40:R40"/>
    <mergeCell ref="A2:R2"/>
  </mergeCells>
  <pageMargins left="0.7" right="0.7" top="0.78740157499999996" bottom="0.78740157499999996" header="0.3" footer="0.3"/>
  <pageSetup paperSize="9" orientation="portrait" verticalDpi="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73"/>
  <sheetViews>
    <sheetView workbookViewId="0">
      <selection sqref="A1:AC1"/>
    </sheetView>
  </sheetViews>
  <sheetFormatPr baseColWidth="10" defaultColWidth="11.42578125" defaultRowHeight="14.25" outlineLevelCol="1" x14ac:dyDescent="0.2"/>
  <cols>
    <col min="1" max="1" width="35.42578125" style="141" customWidth="1"/>
    <col min="2" max="2" width="18.5703125" style="141" customWidth="1"/>
    <col min="3" max="4" width="22.42578125" style="833" hidden="1" customWidth="1"/>
    <col min="5" max="5" width="11.42578125" style="141"/>
    <col min="6" max="11" width="11.42578125" style="141" hidden="1" customWidth="1" outlineLevel="1"/>
    <col min="12" max="12" width="11.42578125" style="141" collapsed="1"/>
    <col min="13" max="15" width="11.42578125" style="141"/>
    <col min="16" max="16" width="11.5703125" style="141" bestFit="1" customWidth="1"/>
    <col min="17" max="18" width="11.42578125" style="141"/>
    <col min="19" max="24" width="11.42578125" style="141" hidden="1" customWidth="1" outlineLevel="1"/>
    <col min="25" max="25" width="11.42578125" style="141" collapsed="1"/>
    <col min="26" max="16384" width="11.42578125" style="141"/>
  </cols>
  <sheetData>
    <row r="1" spans="1:30" s="146" customFormat="1" ht="23.1" customHeight="1" x14ac:dyDescent="0.25">
      <c r="A1" s="1254" t="s">
        <v>7653</v>
      </c>
      <c r="B1" s="1255"/>
      <c r="C1" s="1255"/>
      <c r="D1" s="1255"/>
      <c r="E1" s="1255"/>
      <c r="F1" s="1255"/>
      <c r="G1" s="1255"/>
      <c r="H1" s="1255"/>
      <c r="I1" s="1255"/>
      <c r="J1" s="1255"/>
      <c r="K1" s="1255"/>
      <c r="L1" s="1255"/>
      <c r="M1" s="1255"/>
      <c r="N1" s="1255"/>
      <c r="O1" s="1255"/>
      <c r="P1" s="1255"/>
      <c r="Q1" s="1255"/>
      <c r="R1" s="1255"/>
      <c r="S1" s="1255"/>
      <c r="T1" s="1255"/>
      <c r="U1" s="1255"/>
      <c r="V1" s="1255"/>
      <c r="W1" s="1255"/>
      <c r="X1" s="1255"/>
      <c r="Y1" s="1255"/>
      <c r="Z1" s="1255"/>
      <c r="AA1" s="1255"/>
      <c r="AB1" s="1255"/>
      <c r="AC1" s="1256"/>
      <c r="AD1" s="856"/>
    </row>
    <row r="2" spans="1:30" ht="77.849999999999994" customHeight="1" x14ac:dyDescent="0.2">
      <c r="A2" s="1199" t="s">
        <v>7698</v>
      </c>
      <c r="B2" s="1200"/>
      <c r="C2" s="1200"/>
      <c r="D2" s="1200"/>
      <c r="E2" s="1200"/>
      <c r="F2" s="1200"/>
      <c r="G2" s="1200"/>
      <c r="H2" s="1200"/>
      <c r="I2" s="1200"/>
      <c r="J2" s="1200"/>
      <c r="K2" s="1200"/>
      <c r="L2" s="1200"/>
      <c r="M2" s="1200"/>
      <c r="N2" s="1200"/>
      <c r="O2" s="1200"/>
      <c r="P2" s="1200"/>
      <c r="Q2" s="1200"/>
      <c r="R2" s="1200"/>
      <c r="S2" s="1200"/>
      <c r="T2" s="1200"/>
      <c r="U2" s="1200"/>
      <c r="V2" s="1200"/>
      <c r="W2" s="1200"/>
      <c r="X2" s="1200"/>
      <c r="Y2" s="1200"/>
      <c r="Z2" s="1200"/>
      <c r="AA2" s="1245"/>
    </row>
    <row r="3" spans="1:30" ht="57" customHeight="1" x14ac:dyDescent="0.2">
      <c r="A3" s="1199" t="s">
        <v>7709</v>
      </c>
      <c r="B3" s="1200"/>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45"/>
    </row>
    <row r="4" spans="1:30" ht="5.85" customHeight="1" x14ac:dyDescent="0.2">
      <c r="A4" s="834"/>
      <c r="B4" s="834"/>
      <c r="C4" s="834"/>
      <c r="D4" s="834"/>
      <c r="E4" s="834"/>
    </row>
    <row r="5" spans="1:30" x14ac:dyDescent="0.2">
      <c r="A5" s="834"/>
      <c r="B5" s="834"/>
      <c r="C5" s="834"/>
      <c r="D5" s="834"/>
      <c r="E5" s="834"/>
      <c r="Q5" s="911"/>
      <c r="R5" s="1242" t="s">
        <v>7699</v>
      </c>
      <c r="S5" s="1243"/>
      <c r="T5" s="1243"/>
      <c r="U5" s="1243"/>
      <c r="V5" s="1243"/>
      <c r="W5" s="1243"/>
      <c r="X5" s="1243"/>
      <c r="Y5" s="1243"/>
      <c r="Z5" s="1243"/>
      <c r="AA5" s="1243"/>
      <c r="AB5" s="1243"/>
      <c r="AC5" s="1244"/>
    </row>
    <row r="6" spans="1:30" ht="4.5" customHeight="1" x14ac:dyDescent="0.2">
      <c r="AD6" s="834"/>
    </row>
    <row r="7" spans="1:30" ht="38.25" x14ac:dyDescent="0.25">
      <c r="A7" s="835"/>
      <c r="B7" s="835"/>
      <c r="C7" s="836"/>
      <c r="D7" s="836"/>
      <c r="E7" s="835"/>
      <c r="F7" s="835"/>
      <c r="G7" s="835"/>
      <c r="H7" s="835"/>
      <c r="I7" s="835"/>
      <c r="J7" s="835"/>
      <c r="K7" s="835"/>
      <c r="L7" s="835"/>
      <c r="M7" s="835"/>
      <c r="N7" s="835"/>
      <c r="O7" s="835"/>
      <c r="P7" s="835"/>
      <c r="Q7" s="835"/>
      <c r="R7" s="837" t="s">
        <v>7579</v>
      </c>
      <c r="S7" s="837" t="s">
        <v>7580</v>
      </c>
      <c r="T7" s="837" t="s">
        <v>7581</v>
      </c>
      <c r="U7" s="837" t="s">
        <v>7582</v>
      </c>
      <c r="V7" s="837" t="s">
        <v>7583</v>
      </c>
      <c r="W7" s="837" t="s">
        <v>7584</v>
      </c>
      <c r="X7" s="837" t="s">
        <v>7585</v>
      </c>
      <c r="Y7" s="837" t="s">
        <v>7586</v>
      </c>
      <c r="Z7" s="837" t="s">
        <v>7587</v>
      </c>
      <c r="AA7" s="837" t="s">
        <v>7588</v>
      </c>
      <c r="AB7" s="837" t="s">
        <v>7589</v>
      </c>
      <c r="AC7" s="838" t="s">
        <v>7590</v>
      </c>
      <c r="AD7" s="835"/>
    </row>
    <row r="8" spans="1:30" ht="15" x14ac:dyDescent="0.25">
      <c r="A8" s="835"/>
      <c r="B8" s="835"/>
      <c r="C8" s="836"/>
      <c r="D8" s="836"/>
      <c r="E8" s="835"/>
      <c r="F8" s="835"/>
      <c r="G8" s="835"/>
      <c r="H8" s="835"/>
      <c r="I8" s="835"/>
      <c r="J8" s="835"/>
      <c r="K8" s="835"/>
      <c r="L8" s="835"/>
      <c r="M8" s="835"/>
      <c r="N8" s="835"/>
      <c r="O8" s="835"/>
      <c r="P8" s="835"/>
      <c r="Q8" s="835"/>
      <c r="R8" s="935">
        <v>5.5430000000000001</v>
      </c>
      <c r="S8" s="935">
        <v>4.4989999999999997</v>
      </c>
      <c r="T8" s="935">
        <v>4.1050000000000004</v>
      </c>
      <c r="U8" s="935">
        <v>4.5510000000000002</v>
      </c>
      <c r="V8" s="935">
        <v>4.1870000000000003</v>
      </c>
      <c r="W8" s="935">
        <v>6.8639999999999999</v>
      </c>
      <c r="X8" s="935">
        <v>7.4089999999999998</v>
      </c>
      <c r="Y8" s="935">
        <v>7.681</v>
      </c>
      <c r="Z8" s="936">
        <v>11.715</v>
      </c>
      <c r="AA8" s="935">
        <v>3.2690000000000001</v>
      </c>
      <c r="AB8" s="937">
        <v>8.7200000000000006</v>
      </c>
      <c r="AC8" s="936">
        <v>8.86</v>
      </c>
      <c r="AD8" s="835"/>
    </row>
    <row r="9" spans="1:30" ht="15" x14ac:dyDescent="0.25">
      <c r="A9" s="852"/>
      <c r="B9" s="834"/>
      <c r="C9" s="851"/>
      <c r="D9" s="851"/>
      <c r="E9" s="834"/>
      <c r="F9" s="834"/>
      <c r="G9" s="834"/>
      <c r="R9" s="935">
        <v>-0.4</v>
      </c>
      <c r="S9" s="935">
        <v>-0.4</v>
      </c>
      <c r="T9" s="935">
        <v>-0.4</v>
      </c>
      <c r="U9" s="935">
        <v>-0.4</v>
      </c>
      <c r="V9" s="935">
        <v>-0.4</v>
      </c>
      <c r="W9" s="935">
        <v>-0.4</v>
      </c>
      <c r="X9" s="935">
        <v>-0.4</v>
      </c>
      <c r="Y9" s="935">
        <v>-0.4</v>
      </c>
      <c r="Z9" s="935">
        <v>-0.4</v>
      </c>
      <c r="AA9" s="935">
        <v>-0.4</v>
      </c>
      <c r="AB9" s="935">
        <v>-0.4</v>
      </c>
      <c r="AC9" s="935">
        <v>-0.4</v>
      </c>
      <c r="AD9" s="907" t="s">
        <v>7689</v>
      </c>
    </row>
    <row r="10" spans="1:30" ht="15.75" thickBot="1" x14ac:dyDescent="0.3">
      <c r="A10" s="852"/>
      <c r="B10" s="834"/>
      <c r="C10" s="851"/>
      <c r="D10" s="851"/>
      <c r="E10" s="1242" t="s">
        <v>7704</v>
      </c>
      <c r="F10" s="1243"/>
      <c r="G10" s="1243"/>
      <c r="H10" s="1243"/>
      <c r="I10" s="1243"/>
      <c r="J10" s="1243"/>
      <c r="K10" s="1243"/>
      <c r="L10" s="1243"/>
      <c r="M10" s="1243"/>
      <c r="N10" s="1243"/>
      <c r="O10" s="1243"/>
      <c r="P10" s="1244"/>
      <c r="R10" s="935">
        <f>R8+R9</f>
        <v>5.1429999999999998</v>
      </c>
      <c r="S10" s="935">
        <f t="shared" ref="S10:X10" si="0">S8+S9</f>
        <v>4.0989999999999993</v>
      </c>
      <c r="T10" s="935">
        <f t="shared" si="0"/>
        <v>3.7050000000000005</v>
      </c>
      <c r="U10" s="935">
        <f t="shared" si="0"/>
        <v>4.1509999999999998</v>
      </c>
      <c r="V10" s="935">
        <f t="shared" si="0"/>
        <v>3.7870000000000004</v>
      </c>
      <c r="W10" s="935">
        <f t="shared" si="0"/>
        <v>6.4639999999999995</v>
      </c>
      <c r="X10" s="935">
        <f t="shared" si="0"/>
        <v>7.0089999999999995</v>
      </c>
      <c r="Y10" s="935">
        <f>Y8+Y9</f>
        <v>7.2809999999999997</v>
      </c>
      <c r="Z10" s="935">
        <f>Z8+Z9</f>
        <v>11.315</v>
      </c>
      <c r="AA10" s="935">
        <f>AA8+AA9</f>
        <v>2.8690000000000002</v>
      </c>
      <c r="AB10" s="935">
        <f>AB8+AB9</f>
        <v>8.32</v>
      </c>
      <c r="AC10" s="935">
        <f>AC8+AC9</f>
        <v>8.4599999999999991</v>
      </c>
      <c r="AD10" s="907" t="s">
        <v>7690</v>
      </c>
    </row>
    <row r="11" spans="1:30" ht="51.75" thickBot="1" x14ac:dyDescent="0.3">
      <c r="A11" s="835"/>
      <c r="B11" s="835"/>
      <c r="C11" s="843" t="s">
        <v>7591</v>
      </c>
      <c r="D11" s="843" t="s">
        <v>7651</v>
      </c>
      <c r="E11" s="843" t="s">
        <v>7592</v>
      </c>
      <c r="F11" s="844" t="s">
        <v>7593</v>
      </c>
      <c r="G11" s="844" t="s">
        <v>7594</v>
      </c>
      <c r="H11" s="844" t="s">
        <v>7595</v>
      </c>
      <c r="I11" s="844" t="s">
        <v>7596</v>
      </c>
      <c r="J11" s="844" t="s">
        <v>7597</v>
      </c>
      <c r="K11" s="844" t="s">
        <v>7598</v>
      </c>
      <c r="L11" s="844" t="s">
        <v>7599</v>
      </c>
      <c r="M11" s="844" t="s">
        <v>7600</v>
      </c>
      <c r="N11" s="844" t="s">
        <v>7601</v>
      </c>
      <c r="O11" s="844" t="s">
        <v>7602</v>
      </c>
      <c r="P11" s="845" t="s">
        <v>7603</v>
      </c>
      <c r="Q11" s="845" t="s">
        <v>7691</v>
      </c>
      <c r="R11" s="843" t="s">
        <v>7692</v>
      </c>
      <c r="S11" s="844" t="s">
        <v>7654</v>
      </c>
      <c r="T11" s="844" t="s">
        <v>7655</v>
      </c>
      <c r="U11" s="844" t="s">
        <v>7656</v>
      </c>
      <c r="V11" s="844" t="s">
        <v>7657</v>
      </c>
      <c r="W11" s="844" t="s">
        <v>7658</v>
      </c>
      <c r="X11" s="844" t="s">
        <v>7659</v>
      </c>
      <c r="Y11" s="844" t="s">
        <v>7693</v>
      </c>
      <c r="Z11" s="844" t="s">
        <v>7694</v>
      </c>
      <c r="AA11" s="844" t="s">
        <v>7695</v>
      </c>
      <c r="AB11" s="844" t="s">
        <v>7696</v>
      </c>
      <c r="AC11" s="845" t="s">
        <v>7697</v>
      </c>
      <c r="AD11" s="835"/>
    </row>
    <row r="12" spans="1:30" ht="15" x14ac:dyDescent="0.25">
      <c r="A12" s="846"/>
      <c r="B12" s="835"/>
      <c r="C12" s="836"/>
      <c r="D12" s="836"/>
      <c r="E12" s="835"/>
      <c r="F12" s="835"/>
      <c r="G12" s="835"/>
      <c r="H12" s="835"/>
      <c r="I12" s="835"/>
      <c r="J12" s="835"/>
      <c r="K12" s="835"/>
      <c r="L12" s="835"/>
      <c r="M12" s="835"/>
      <c r="N12" s="835"/>
      <c r="O12" s="835"/>
      <c r="P12" s="835"/>
      <c r="Q12" s="835"/>
      <c r="R12" s="835"/>
      <c r="S12" s="835"/>
      <c r="T12" s="835"/>
      <c r="U12" s="835"/>
      <c r="V12" s="835"/>
      <c r="W12" s="835"/>
      <c r="X12" s="835"/>
      <c r="Y12" s="835"/>
      <c r="Z12" s="835"/>
      <c r="AA12" s="835"/>
      <c r="AB12" s="835"/>
      <c r="AC12" s="835"/>
      <c r="AD12" s="835"/>
    </row>
    <row r="13" spans="1:30" ht="15" x14ac:dyDescent="0.25">
      <c r="A13" s="891" t="s">
        <v>7616</v>
      </c>
      <c r="B13" s="895" t="s">
        <v>6597</v>
      </c>
      <c r="C13" s="892">
        <f>SUM(E13:P13)</f>
        <v>3194</v>
      </c>
      <c r="D13" s="893">
        <f>SUM(R13:AC13)</f>
        <v>270.85120000000006</v>
      </c>
      <c r="E13" s="934">
        <f>ROUND(E18*10/25,0)</f>
        <v>38</v>
      </c>
      <c r="F13" s="934">
        <f t="shared" ref="F13:K13" si="1">ROUND(F18*10/25,0)</f>
        <v>150</v>
      </c>
      <c r="G13" s="934">
        <f t="shared" si="1"/>
        <v>210</v>
      </c>
      <c r="H13" s="934">
        <f t="shared" si="1"/>
        <v>448</v>
      </c>
      <c r="I13" s="934">
        <f t="shared" si="1"/>
        <v>545</v>
      </c>
      <c r="J13" s="934">
        <f t="shared" si="1"/>
        <v>684</v>
      </c>
      <c r="K13" s="934">
        <f t="shared" si="1"/>
        <v>391</v>
      </c>
      <c r="L13" s="934">
        <f>ROUND(L18*10/25,0)</f>
        <v>358</v>
      </c>
      <c r="M13" s="934">
        <f>ROUND(M18*10/25,0)</f>
        <v>234</v>
      </c>
      <c r="N13" s="934">
        <f>ROUND(N18*10/25,0)</f>
        <v>97</v>
      </c>
      <c r="O13" s="934">
        <f>ROUND(O18*10/25,0)</f>
        <v>21</v>
      </c>
      <c r="P13" s="934">
        <f>ROUND(P18*10/25,0)</f>
        <v>18</v>
      </c>
      <c r="Q13" s="847">
        <v>8.48</v>
      </c>
      <c r="R13" s="848">
        <f>E13*$Q13/100</f>
        <v>3.2223999999999999</v>
      </c>
      <c r="S13" s="848">
        <f t="shared" ref="S13:X14" si="2">F13*$Q13/100</f>
        <v>12.72</v>
      </c>
      <c r="T13" s="848">
        <f t="shared" si="2"/>
        <v>17.808000000000003</v>
      </c>
      <c r="U13" s="848">
        <f t="shared" si="2"/>
        <v>37.990400000000001</v>
      </c>
      <c r="V13" s="848">
        <f t="shared" si="2"/>
        <v>46.216000000000001</v>
      </c>
      <c r="W13" s="848">
        <f t="shared" si="2"/>
        <v>58.003200000000007</v>
      </c>
      <c r="X13" s="848">
        <f t="shared" si="2"/>
        <v>33.156800000000004</v>
      </c>
      <c r="Y13" s="848">
        <f t="shared" ref="Y13:AC14" si="3">L13*$Q13/100</f>
        <v>30.358400000000003</v>
      </c>
      <c r="Z13" s="854">
        <f t="shared" si="3"/>
        <v>19.843200000000003</v>
      </c>
      <c r="AA13" s="848">
        <f t="shared" si="3"/>
        <v>8.2256</v>
      </c>
      <c r="AB13" s="848">
        <f t="shared" si="3"/>
        <v>1.7808000000000002</v>
      </c>
      <c r="AC13" s="854">
        <f t="shared" si="3"/>
        <v>1.5264000000000002</v>
      </c>
      <c r="AD13" s="907" t="s">
        <v>7702</v>
      </c>
    </row>
    <row r="14" spans="1:30" ht="15" x14ac:dyDescent="0.25">
      <c r="A14" s="891" t="s">
        <v>7616</v>
      </c>
      <c r="B14" s="895" t="s">
        <v>7617</v>
      </c>
      <c r="C14" s="892">
        <f>SUM(E14:P14)</f>
        <v>4791</v>
      </c>
      <c r="D14" s="893">
        <f>SUM(R14:AC14)</f>
        <v>394.77839999999998</v>
      </c>
      <c r="E14" s="934">
        <f>E18-E13</f>
        <v>58</v>
      </c>
      <c r="F14" s="934">
        <f t="shared" ref="F14:K14" si="4">F18-F13</f>
        <v>226</v>
      </c>
      <c r="G14" s="934">
        <f t="shared" si="4"/>
        <v>314</v>
      </c>
      <c r="H14" s="934">
        <f t="shared" si="4"/>
        <v>673</v>
      </c>
      <c r="I14" s="934">
        <f t="shared" si="4"/>
        <v>817</v>
      </c>
      <c r="J14" s="934">
        <f t="shared" si="4"/>
        <v>1025</v>
      </c>
      <c r="K14" s="934">
        <f t="shared" si="4"/>
        <v>586</v>
      </c>
      <c r="L14" s="934">
        <f>L18-L13</f>
        <v>536</v>
      </c>
      <c r="M14" s="934">
        <f>M18-M13</f>
        <v>351</v>
      </c>
      <c r="N14" s="934">
        <f>N18-N13</f>
        <v>145</v>
      </c>
      <c r="O14" s="934">
        <f>O18-O13</f>
        <v>32</v>
      </c>
      <c r="P14" s="934">
        <f>P18-P13</f>
        <v>28</v>
      </c>
      <c r="Q14" s="847">
        <v>8.24</v>
      </c>
      <c r="R14" s="848">
        <f>E14*$Q14/100</f>
        <v>4.7792000000000003</v>
      </c>
      <c r="S14" s="848">
        <f t="shared" si="2"/>
        <v>18.622399999999999</v>
      </c>
      <c r="T14" s="848">
        <f t="shared" si="2"/>
        <v>25.8736</v>
      </c>
      <c r="U14" s="848">
        <f t="shared" si="2"/>
        <v>55.455200000000005</v>
      </c>
      <c r="V14" s="848">
        <f t="shared" si="2"/>
        <v>67.320800000000006</v>
      </c>
      <c r="W14" s="848">
        <f t="shared" si="2"/>
        <v>84.46</v>
      </c>
      <c r="X14" s="848">
        <f t="shared" si="2"/>
        <v>48.2864</v>
      </c>
      <c r="Y14" s="848">
        <f t="shared" si="3"/>
        <v>44.166400000000003</v>
      </c>
      <c r="Z14" s="854">
        <f t="shared" si="3"/>
        <v>28.922400000000003</v>
      </c>
      <c r="AA14" s="848">
        <f t="shared" si="3"/>
        <v>11.948</v>
      </c>
      <c r="AB14" s="848">
        <f t="shared" si="3"/>
        <v>2.6368</v>
      </c>
      <c r="AC14" s="854">
        <f t="shared" si="3"/>
        <v>2.3071999999999999</v>
      </c>
      <c r="AD14" s="907" t="s">
        <v>7703</v>
      </c>
    </row>
    <row r="15" spans="1:30" ht="7.35" customHeight="1" x14ac:dyDescent="0.25">
      <c r="A15" s="901"/>
      <c r="B15" s="903"/>
      <c r="C15" s="905"/>
      <c r="D15" s="902"/>
      <c r="E15" s="894"/>
      <c r="F15" s="894"/>
      <c r="G15" s="894"/>
      <c r="H15" s="894"/>
      <c r="I15" s="904"/>
      <c r="J15" s="905"/>
      <c r="K15" s="905"/>
      <c r="L15" s="905"/>
      <c r="M15" s="905"/>
      <c r="N15" s="905"/>
      <c r="O15" s="905"/>
      <c r="P15" s="905"/>
      <c r="Q15" s="905"/>
      <c r="R15" s="905"/>
      <c r="S15" s="905"/>
      <c r="T15" s="905"/>
      <c r="U15" s="905"/>
      <c r="V15" s="905"/>
      <c r="W15" s="905"/>
      <c r="X15" s="905"/>
      <c r="Y15" s="905"/>
      <c r="Z15" s="905"/>
      <c r="AA15" s="905"/>
      <c r="AB15" s="835"/>
    </row>
    <row r="16" spans="1:30" ht="16.350000000000001" customHeight="1" x14ac:dyDescent="0.25">
      <c r="A16" s="901" t="s">
        <v>7700</v>
      </c>
      <c r="B16" s="903"/>
      <c r="C16" s="905"/>
      <c r="D16" s="902"/>
      <c r="E16" s="905"/>
      <c r="F16" s="894"/>
      <c r="G16" s="894"/>
      <c r="H16" s="894"/>
      <c r="I16" s="904"/>
      <c r="J16" s="905"/>
      <c r="K16" s="905"/>
      <c r="L16" s="905"/>
      <c r="M16" s="905"/>
      <c r="N16" s="905"/>
      <c r="O16" s="905"/>
      <c r="P16" s="905"/>
      <c r="Q16" s="906"/>
      <c r="R16" s="848">
        <f>SUM(R13:R14)</f>
        <v>8.0015999999999998</v>
      </c>
      <c r="S16" s="848">
        <f t="shared" ref="S16:X16" si="5">SUM(S13:S14)</f>
        <v>31.342399999999998</v>
      </c>
      <c r="T16" s="848">
        <f t="shared" si="5"/>
        <v>43.681600000000003</v>
      </c>
      <c r="U16" s="848">
        <f t="shared" si="5"/>
        <v>93.445600000000013</v>
      </c>
      <c r="V16" s="848">
        <f t="shared" si="5"/>
        <v>113.5368</v>
      </c>
      <c r="W16" s="848">
        <f t="shared" si="5"/>
        <v>142.4632</v>
      </c>
      <c r="X16" s="848">
        <f t="shared" si="5"/>
        <v>81.443200000000004</v>
      </c>
      <c r="Y16" s="848">
        <f>SUM(Y13:Y14)</f>
        <v>74.524799999999999</v>
      </c>
      <c r="Z16" s="854">
        <f>SUM(Z13:Z14)</f>
        <v>48.765600000000006</v>
      </c>
      <c r="AA16" s="848">
        <f>SUM(AA13:AA14)</f>
        <v>20.1736</v>
      </c>
      <c r="AB16" s="848">
        <f>SUM(AB13:AB14)</f>
        <v>4.4176000000000002</v>
      </c>
      <c r="AC16" s="854">
        <f>SUM(AC13:AC14)</f>
        <v>3.8336000000000001</v>
      </c>
      <c r="AD16" s="835"/>
    </row>
    <row r="17" spans="1:30" ht="7.5" customHeight="1" x14ac:dyDescent="0.25">
      <c r="A17" s="901"/>
      <c r="B17" s="903"/>
      <c r="C17" s="905"/>
      <c r="D17" s="902"/>
      <c r="E17" s="894"/>
      <c r="F17" s="894"/>
      <c r="G17" s="894"/>
      <c r="H17" s="894"/>
      <c r="I17" s="904"/>
      <c r="J17" s="905"/>
      <c r="K17" s="905"/>
      <c r="L17" s="905"/>
      <c r="M17" s="905"/>
      <c r="N17" s="905"/>
      <c r="O17" s="905"/>
      <c r="P17" s="905"/>
      <c r="Q17" s="905"/>
      <c r="R17" s="905"/>
      <c r="S17" s="905"/>
      <c r="T17" s="905"/>
      <c r="U17" s="905"/>
      <c r="V17" s="905"/>
      <c r="W17" s="905"/>
      <c r="X17" s="905"/>
      <c r="Y17" s="905"/>
      <c r="Z17" s="905"/>
      <c r="AA17" s="905"/>
      <c r="AB17" s="835"/>
    </row>
    <row r="18" spans="1:30" ht="15" x14ac:dyDescent="0.25">
      <c r="A18" s="891" t="s">
        <v>7616</v>
      </c>
      <c r="B18" s="895" t="s">
        <v>196</v>
      </c>
      <c r="C18" s="892">
        <f>SUM(E18:P18)</f>
        <v>7985</v>
      </c>
      <c r="D18" s="893">
        <f>SUM(R18:AC18)</f>
        <v>487.62812999999994</v>
      </c>
      <c r="E18" s="894">
        <v>96</v>
      </c>
      <c r="F18" s="894">
        <v>376</v>
      </c>
      <c r="G18" s="894">
        <v>524</v>
      </c>
      <c r="H18" s="894">
        <v>1121</v>
      </c>
      <c r="I18" s="894">
        <v>1362</v>
      </c>
      <c r="J18" s="894">
        <v>1709</v>
      </c>
      <c r="K18" s="894">
        <v>977</v>
      </c>
      <c r="L18" s="894">
        <v>894</v>
      </c>
      <c r="M18" s="894">
        <v>585</v>
      </c>
      <c r="N18" s="894">
        <v>242</v>
      </c>
      <c r="O18" s="894">
        <v>53</v>
      </c>
      <c r="P18" s="894">
        <v>46</v>
      </c>
      <c r="Q18" s="847"/>
      <c r="R18" s="848">
        <f>E18*R$10/100</f>
        <v>4.9372799999999994</v>
      </c>
      <c r="S18" s="848">
        <f t="shared" ref="S18:X18" si="6">F18*S$8/100</f>
        <v>16.916239999999998</v>
      </c>
      <c r="T18" s="848">
        <f t="shared" si="6"/>
        <v>21.510200000000005</v>
      </c>
      <c r="U18" s="848">
        <f t="shared" si="6"/>
        <v>51.016710000000003</v>
      </c>
      <c r="V18" s="848">
        <f t="shared" si="6"/>
        <v>57.026940000000003</v>
      </c>
      <c r="W18" s="848">
        <f t="shared" si="6"/>
        <v>117.30575999999999</v>
      </c>
      <c r="X18" s="848">
        <f t="shared" si="6"/>
        <v>72.385930000000002</v>
      </c>
      <c r="Y18" s="848">
        <f>L18*Y$10/100</f>
        <v>65.092140000000001</v>
      </c>
      <c r="Z18" s="865">
        <f>M18*Z$10/100</f>
        <v>66.19274999999999</v>
      </c>
      <c r="AA18" s="848">
        <f>N18*AA$10/100</f>
        <v>6.9429800000000004</v>
      </c>
      <c r="AB18" s="848">
        <f>O18*AB$10/100</f>
        <v>4.4096000000000002</v>
      </c>
      <c r="AC18" s="865">
        <f>P18*AC$10/100</f>
        <v>3.8915999999999995</v>
      </c>
      <c r="AD18" s="907" t="s">
        <v>7705</v>
      </c>
    </row>
    <row r="19" spans="1:30" ht="7.35" customHeight="1" x14ac:dyDescent="0.25">
      <c r="A19" s="908"/>
      <c r="B19" s="908"/>
      <c r="C19" s="908"/>
      <c r="D19" s="908"/>
      <c r="E19" s="908"/>
      <c r="F19" s="908"/>
      <c r="G19" s="908"/>
      <c r="H19" s="908"/>
      <c r="I19" s="908"/>
      <c r="J19" s="908"/>
      <c r="K19" s="908"/>
      <c r="L19" s="908"/>
      <c r="M19" s="908"/>
      <c r="N19" s="908"/>
      <c r="O19" s="908"/>
      <c r="P19" s="908"/>
      <c r="Q19" s="908"/>
      <c r="R19" s="909"/>
      <c r="S19" s="909"/>
      <c r="T19" s="909"/>
      <c r="U19" s="909"/>
      <c r="V19" s="909"/>
      <c r="W19" s="909"/>
      <c r="X19" s="909"/>
      <c r="Y19" s="909"/>
      <c r="Z19" s="909"/>
      <c r="AA19" s="909"/>
      <c r="AB19" s="909"/>
      <c r="AC19" s="909"/>
      <c r="AD19" s="835"/>
    </row>
    <row r="20" spans="1:30" ht="15" x14ac:dyDescent="0.25">
      <c r="A20" s="891" t="s">
        <v>7616</v>
      </c>
      <c r="B20" s="896" t="s">
        <v>7637</v>
      </c>
      <c r="C20" s="892"/>
      <c r="D20" s="893">
        <f>SUM(R20:AC20)</f>
        <v>-17.485149999999983</v>
      </c>
      <c r="E20" s="894"/>
      <c r="F20" s="894"/>
      <c r="G20" s="894"/>
      <c r="H20" s="894"/>
      <c r="I20" s="894"/>
      <c r="J20" s="894"/>
      <c r="K20" s="894"/>
      <c r="L20" s="894"/>
      <c r="M20" s="894"/>
      <c r="N20" s="894"/>
      <c r="O20" s="894"/>
      <c r="P20" s="894"/>
      <c r="Q20" s="847"/>
      <c r="R20" s="848">
        <f>IF(R16&lt;R18,R16-R18,0)</f>
        <v>0</v>
      </c>
      <c r="S20" s="848">
        <f t="shared" ref="S20:X20" si="7">IF(S16&lt;S18,S16-S18,0)</f>
        <v>0</v>
      </c>
      <c r="T20" s="848">
        <f t="shared" si="7"/>
        <v>0</v>
      </c>
      <c r="U20" s="848">
        <f t="shared" si="7"/>
        <v>0</v>
      </c>
      <c r="V20" s="848">
        <f t="shared" si="7"/>
        <v>0</v>
      </c>
      <c r="W20" s="848">
        <f t="shared" si="7"/>
        <v>0</v>
      </c>
      <c r="X20" s="848">
        <f t="shared" si="7"/>
        <v>0</v>
      </c>
      <c r="Y20" s="848">
        <f>IF(Y16&lt;Y18,Y16-Y18,0)</f>
        <v>0</v>
      </c>
      <c r="Z20" s="854">
        <f>IF(Z16&lt;Z18,Z16-Z18,0)</f>
        <v>-17.427149999999983</v>
      </c>
      <c r="AA20" s="848">
        <f>IF(AA16&lt;AA18,AA16-AA18,0)</f>
        <v>0</v>
      </c>
      <c r="AB20" s="848">
        <f>IF(AB16&lt;AB18,AB16-AB18,0)</f>
        <v>0</v>
      </c>
      <c r="AC20" s="848">
        <f>IF(AC16&lt;AC18,AC16-AC18,0)</f>
        <v>-5.7999999999999385E-2</v>
      </c>
      <c r="AD20" s="835"/>
    </row>
    <row r="21" spans="1:30" ht="15" x14ac:dyDescent="0.25">
      <c r="A21" s="850"/>
      <c r="B21" s="834"/>
      <c r="C21" s="851"/>
      <c r="D21" s="851"/>
      <c r="E21" s="834"/>
      <c r="F21" s="834"/>
      <c r="G21" s="834"/>
    </row>
    <row r="22" spans="1:30" ht="15" x14ac:dyDescent="0.25">
      <c r="A22" s="901" t="s">
        <v>7701</v>
      </c>
      <c r="B22" s="903"/>
      <c r="C22" s="905"/>
      <c r="D22" s="902"/>
      <c r="E22" s="905"/>
      <c r="F22" s="894"/>
      <c r="G22" s="894"/>
      <c r="H22" s="894"/>
      <c r="I22" s="904"/>
      <c r="J22" s="905"/>
      <c r="K22" s="905"/>
      <c r="L22" s="905"/>
      <c r="M22" s="905"/>
      <c r="N22" s="905"/>
      <c r="O22" s="905"/>
      <c r="P22" s="905"/>
      <c r="Q22" s="906"/>
      <c r="R22" s="848">
        <f>R18+R20</f>
        <v>4.9372799999999994</v>
      </c>
      <c r="S22" s="848">
        <f t="shared" ref="S22:X22" si="8">S18+S20</f>
        <v>16.916239999999998</v>
      </c>
      <c r="T22" s="848">
        <f t="shared" si="8"/>
        <v>21.510200000000005</v>
      </c>
      <c r="U22" s="848">
        <f t="shared" si="8"/>
        <v>51.016710000000003</v>
      </c>
      <c r="V22" s="848">
        <f t="shared" si="8"/>
        <v>57.026940000000003</v>
      </c>
      <c r="W22" s="848">
        <f t="shared" si="8"/>
        <v>117.30575999999999</v>
      </c>
      <c r="X22" s="848">
        <f t="shared" si="8"/>
        <v>72.385930000000002</v>
      </c>
      <c r="Y22" s="848">
        <f>Y18+Y20</f>
        <v>65.092140000000001</v>
      </c>
      <c r="Z22" s="848">
        <f>Z18+Z20</f>
        <v>48.765600000000006</v>
      </c>
      <c r="AA22" s="848">
        <f>AA18+AA20</f>
        <v>6.9429800000000004</v>
      </c>
      <c r="AB22" s="848">
        <f>AB18+AB20</f>
        <v>4.4096000000000002</v>
      </c>
      <c r="AC22" s="848">
        <f>AC18+AC20</f>
        <v>3.8336000000000001</v>
      </c>
      <c r="AD22" s="907"/>
    </row>
    <row r="23" spans="1:30" x14ac:dyDescent="0.2">
      <c r="A23" s="834"/>
      <c r="B23" s="910"/>
      <c r="C23" s="851"/>
      <c r="D23" s="851"/>
      <c r="E23" s="834"/>
      <c r="F23" s="834"/>
      <c r="G23" s="834"/>
    </row>
    <row r="24" spans="1:30" x14ac:dyDescent="0.2">
      <c r="A24" s="834"/>
      <c r="B24" s="834"/>
      <c r="C24" s="851"/>
      <c r="D24" s="851"/>
      <c r="E24" s="834"/>
      <c r="F24" s="834"/>
      <c r="G24" s="834"/>
    </row>
    <row r="25" spans="1:30" x14ac:dyDescent="0.2">
      <c r="A25" s="852"/>
      <c r="B25" s="834"/>
      <c r="C25" s="851"/>
      <c r="D25" s="851"/>
      <c r="E25" s="834"/>
      <c r="F25" s="834"/>
      <c r="G25" s="834"/>
    </row>
    <row r="26" spans="1:30" x14ac:dyDescent="0.2">
      <c r="A26" s="852"/>
      <c r="B26" s="834"/>
      <c r="C26" s="851"/>
      <c r="D26" s="851"/>
      <c r="E26" s="834"/>
      <c r="F26" s="834"/>
      <c r="G26" s="834"/>
      <c r="AA26" s="141" t="s">
        <v>7686</v>
      </c>
    </row>
    <row r="27" spans="1:30" x14ac:dyDescent="0.2">
      <c r="A27" s="852"/>
      <c r="B27" s="834"/>
      <c r="C27" s="851"/>
      <c r="D27" s="851"/>
      <c r="E27" s="834"/>
      <c r="F27" s="834"/>
      <c r="G27" s="834"/>
    </row>
    <row r="28" spans="1:30" x14ac:dyDescent="0.2">
      <c r="A28" s="852"/>
      <c r="B28" s="834"/>
      <c r="C28" s="851"/>
      <c r="D28" s="851"/>
      <c r="E28" s="834"/>
      <c r="F28" s="834"/>
      <c r="G28" s="834"/>
    </row>
    <row r="29" spans="1:30" x14ac:dyDescent="0.2">
      <c r="A29" s="834"/>
      <c r="B29" s="834"/>
      <c r="C29" s="851"/>
      <c r="D29" s="851"/>
      <c r="E29" s="834"/>
      <c r="F29" s="834"/>
      <c r="G29" s="834"/>
    </row>
    <row r="30" spans="1:30" x14ac:dyDescent="0.2">
      <c r="A30" s="834"/>
      <c r="B30" s="834"/>
      <c r="C30" s="851"/>
      <c r="D30" s="851"/>
      <c r="E30" s="834"/>
      <c r="F30" s="834"/>
      <c r="G30" s="834"/>
    </row>
    <row r="31" spans="1:30" x14ac:dyDescent="0.2">
      <c r="A31" s="834"/>
      <c r="B31" s="834"/>
      <c r="C31" s="851"/>
      <c r="D31" s="851"/>
      <c r="E31" s="834"/>
      <c r="F31" s="834"/>
      <c r="G31" s="834"/>
    </row>
    <row r="32" spans="1:30" ht="15" x14ac:dyDescent="0.25">
      <c r="A32" s="855"/>
      <c r="B32" s="834"/>
      <c r="C32" s="851"/>
      <c r="D32" s="851"/>
      <c r="E32" s="834"/>
      <c r="F32" s="834"/>
      <c r="G32" s="834"/>
    </row>
    <row r="33" spans="1:12" x14ac:dyDescent="0.2">
      <c r="A33" s="834"/>
      <c r="B33" s="834"/>
      <c r="C33" s="851"/>
      <c r="D33" s="851"/>
      <c r="E33" s="834"/>
      <c r="F33" s="834"/>
      <c r="G33" s="834"/>
    </row>
    <row r="34" spans="1:12" x14ac:dyDescent="0.2">
      <c r="A34" s="834"/>
      <c r="B34" s="834"/>
      <c r="C34" s="851"/>
      <c r="D34" s="851"/>
      <c r="E34" s="834"/>
      <c r="F34" s="834"/>
      <c r="G34" s="834"/>
    </row>
    <row r="35" spans="1:12" ht="9" customHeight="1" x14ac:dyDescent="0.2">
      <c r="A35" s="834"/>
      <c r="B35" s="834"/>
      <c r="C35" s="851"/>
      <c r="D35" s="851"/>
      <c r="E35" s="834"/>
      <c r="F35" s="834"/>
      <c r="G35" s="834"/>
    </row>
    <row r="36" spans="1:12" ht="43.5" customHeight="1" x14ac:dyDescent="0.2">
      <c r="A36" s="856"/>
      <c r="B36" s="1257"/>
      <c r="C36" s="1257"/>
      <c r="D36" s="913"/>
      <c r="E36" s="856"/>
      <c r="F36" s="834"/>
      <c r="G36" s="834"/>
    </row>
    <row r="37" spans="1:12" ht="15" customHeight="1" x14ac:dyDescent="0.2">
      <c r="A37" s="834"/>
      <c r="B37" s="1253"/>
      <c r="C37" s="1253"/>
      <c r="D37" s="914"/>
      <c r="E37" s="834"/>
      <c r="F37" s="834"/>
      <c r="G37" s="834"/>
    </row>
    <row r="38" spans="1:12" ht="6" customHeight="1" x14ac:dyDescent="0.2">
      <c r="A38" s="834"/>
      <c r="B38" s="834"/>
      <c r="C38" s="851"/>
      <c r="D38" s="851"/>
      <c r="E38" s="857"/>
      <c r="F38" s="857"/>
      <c r="G38" s="857"/>
      <c r="H38" s="165"/>
      <c r="I38" s="165"/>
      <c r="J38" s="165"/>
      <c r="K38" s="165"/>
    </row>
    <row r="39" spans="1:12" x14ac:dyDescent="0.2">
      <c r="A39" s="858"/>
      <c r="B39" s="1252"/>
      <c r="C39" s="1252"/>
      <c r="D39" s="912"/>
      <c r="E39" s="859"/>
      <c r="F39" s="834"/>
      <c r="G39" s="834"/>
      <c r="L39" s="168"/>
    </row>
    <row r="40" spans="1:12" ht="15" customHeight="1" x14ac:dyDescent="0.2">
      <c r="A40" s="858"/>
      <c r="B40" s="1252"/>
      <c r="C40" s="1252"/>
      <c r="D40" s="912"/>
      <c r="E40" s="860"/>
      <c r="F40" s="834"/>
      <c r="G40" s="834"/>
      <c r="L40" s="168"/>
    </row>
    <row r="41" spans="1:12" ht="15" customHeight="1" x14ac:dyDescent="0.2">
      <c r="A41" s="858"/>
      <c r="B41" s="1252"/>
      <c r="C41" s="1252"/>
      <c r="D41" s="912"/>
      <c r="E41" s="860"/>
      <c r="F41" s="834"/>
      <c r="G41" s="834"/>
      <c r="L41" s="168"/>
    </row>
    <row r="42" spans="1:12" ht="15" customHeight="1" x14ac:dyDescent="0.2">
      <c r="A42" s="858"/>
      <c r="B42" s="1252"/>
      <c r="C42" s="1252"/>
      <c r="D42" s="912"/>
      <c r="E42" s="860"/>
      <c r="F42" s="834"/>
      <c r="G42" s="834"/>
      <c r="L42" s="168"/>
    </row>
    <row r="43" spans="1:12" x14ac:dyDescent="0.2">
      <c r="A43" s="858"/>
      <c r="B43" s="1252"/>
      <c r="C43" s="1252"/>
      <c r="D43" s="912"/>
      <c r="E43" s="859"/>
      <c r="F43" s="834"/>
      <c r="G43" s="834"/>
      <c r="L43" s="168"/>
    </row>
    <row r="44" spans="1:12" ht="15" customHeight="1" x14ac:dyDescent="0.2">
      <c r="A44" s="858"/>
      <c r="B44" s="1252"/>
      <c r="C44" s="1252"/>
      <c r="D44" s="912"/>
      <c r="E44" s="860"/>
      <c r="F44" s="834"/>
      <c r="G44" s="834"/>
      <c r="L44" s="168"/>
    </row>
    <row r="45" spans="1:12" ht="15" customHeight="1" x14ac:dyDescent="0.2">
      <c r="A45" s="858"/>
      <c r="B45" s="1252"/>
      <c r="C45" s="1252"/>
      <c r="D45" s="912"/>
      <c r="E45" s="860"/>
      <c r="F45" s="834"/>
      <c r="G45" s="834"/>
      <c r="L45" s="168"/>
    </row>
    <row r="46" spans="1:12" ht="15" customHeight="1" x14ac:dyDescent="0.2">
      <c r="A46" s="858"/>
      <c r="B46" s="1252"/>
      <c r="C46" s="1252"/>
      <c r="D46" s="912"/>
      <c r="E46" s="860"/>
      <c r="F46" s="834"/>
      <c r="G46" s="834"/>
      <c r="L46" s="168"/>
    </row>
    <row r="47" spans="1:12" x14ac:dyDescent="0.2">
      <c r="A47" s="858"/>
      <c r="B47" s="1252"/>
      <c r="C47" s="1252"/>
      <c r="D47" s="912"/>
      <c r="E47" s="859"/>
      <c r="F47" s="834"/>
      <c r="G47" s="834"/>
      <c r="L47" s="168"/>
    </row>
    <row r="48" spans="1:12" ht="15" customHeight="1" x14ac:dyDescent="0.2">
      <c r="A48" s="858"/>
      <c r="B48" s="1252"/>
      <c r="C48" s="1252"/>
      <c r="D48" s="912"/>
      <c r="E48" s="860"/>
      <c r="F48" s="834"/>
      <c r="G48" s="834"/>
      <c r="L48" s="168"/>
    </row>
    <row r="49" spans="1:12" ht="15" customHeight="1" x14ac:dyDescent="0.2">
      <c r="A49" s="858"/>
      <c r="B49" s="1252"/>
      <c r="C49" s="1252"/>
      <c r="D49" s="912"/>
      <c r="E49" s="860"/>
      <c r="F49" s="834"/>
      <c r="G49" s="834"/>
      <c r="L49" s="168"/>
    </row>
    <row r="50" spans="1:12" ht="15" customHeight="1" x14ac:dyDescent="0.2">
      <c r="A50" s="858"/>
      <c r="B50" s="1252"/>
      <c r="C50" s="1252"/>
      <c r="D50" s="912"/>
      <c r="E50" s="860"/>
      <c r="F50" s="834"/>
      <c r="G50" s="834"/>
      <c r="L50" s="168"/>
    </row>
    <row r="51" spans="1:12" ht="6.75" customHeight="1" x14ac:dyDescent="0.2">
      <c r="A51" s="834"/>
      <c r="B51" s="834"/>
      <c r="C51" s="851"/>
      <c r="D51" s="851"/>
      <c r="E51" s="861"/>
      <c r="F51" s="861"/>
      <c r="G51" s="861"/>
      <c r="H51" s="166"/>
      <c r="I51" s="166"/>
      <c r="J51" s="166"/>
      <c r="K51" s="166"/>
    </row>
    <row r="52" spans="1:12" ht="15" x14ac:dyDescent="0.25">
      <c r="A52" s="862"/>
      <c r="B52" s="834"/>
      <c r="C52" s="863"/>
      <c r="D52" s="863"/>
      <c r="E52" s="859"/>
      <c r="F52" s="834"/>
      <c r="G52" s="834"/>
    </row>
    <row r="53" spans="1:12" ht="15" x14ac:dyDescent="0.25">
      <c r="A53" s="862"/>
      <c r="B53" s="834"/>
      <c r="C53" s="863"/>
      <c r="D53" s="863"/>
      <c r="E53" s="859"/>
      <c r="F53" s="834"/>
      <c r="G53" s="834"/>
    </row>
    <row r="54" spans="1:12" x14ac:dyDescent="0.2">
      <c r="A54" s="834"/>
      <c r="B54" s="834"/>
      <c r="C54" s="863"/>
      <c r="D54" s="863"/>
      <c r="E54" s="834"/>
      <c r="F54" s="834"/>
      <c r="G54" s="834"/>
    </row>
    <row r="55" spans="1:12" x14ac:dyDescent="0.2">
      <c r="A55" s="834"/>
      <c r="B55" s="834"/>
      <c r="C55" s="863"/>
      <c r="D55" s="863"/>
      <c r="E55" s="834"/>
      <c r="F55" s="834"/>
      <c r="G55" s="834"/>
    </row>
    <row r="56" spans="1:12" x14ac:dyDescent="0.2">
      <c r="A56" s="834"/>
      <c r="B56" s="834"/>
      <c r="C56" s="863"/>
      <c r="D56" s="863"/>
      <c r="E56" s="834"/>
      <c r="F56" s="834"/>
      <c r="G56" s="834"/>
    </row>
    <row r="57" spans="1:12" x14ac:dyDescent="0.2">
      <c r="A57" s="834"/>
      <c r="B57" s="834"/>
      <c r="C57" s="863"/>
      <c r="D57" s="863"/>
      <c r="E57" s="834"/>
      <c r="F57" s="834"/>
      <c r="G57" s="834"/>
    </row>
    <row r="58" spans="1:12" x14ac:dyDescent="0.2">
      <c r="A58" s="834"/>
      <c r="B58" s="834"/>
      <c r="C58" s="851"/>
      <c r="D58" s="851"/>
      <c r="E58" s="834"/>
      <c r="F58" s="834"/>
      <c r="G58" s="834"/>
    </row>
    <row r="59" spans="1:12" ht="15" x14ac:dyDescent="0.25">
      <c r="A59" s="855"/>
      <c r="B59" s="834"/>
      <c r="C59" s="851"/>
      <c r="D59" s="851"/>
      <c r="E59" s="834"/>
      <c r="F59" s="834"/>
      <c r="G59" s="834"/>
    </row>
    <row r="60" spans="1:12" x14ac:dyDescent="0.2">
      <c r="A60" s="834"/>
      <c r="B60" s="834"/>
      <c r="C60" s="851"/>
      <c r="D60" s="851"/>
      <c r="E60" s="834"/>
      <c r="F60" s="834"/>
      <c r="G60" s="834"/>
    </row>
    <row r="61" spans="1:12" x14ac:dyDescent="0.2">
      <c r="A61" s="834"/>
      <c r="B61" s="834"/>
      <c r="C61" s="851"/>
      <c r="D61" s="851"/>
      <c r="E61" s="834"/>
      <c r="F61" s="834"/>
      <c r="G61" s="834"/>
    </row>
    <row r="62" spans="1:12" x14ac:dyDescent="0.2">
      <c r="A62" s="834"/>
      <c r="B62" s="834"/>
      <c r="C62" s="851"/>
      <c r="D62" s="851"/>
      <c r="E62" s="834"/>
      <c r="F62" s="834"/>
      <c r="G62" s="834"/>
    </row>
    <row r="63" spans="1:12" x14ac:dyDescent="0.2">
      <c r="A63" s="858"/>
      <c r="B63" s="834"/>
      <c r="C63" s="851"/>
      <c r="D63" s="851"/>
      <c r="E63" s="834"/>
      <c r="F63" s="834"/>
      <c r="G63" s="834"/>
    </row>
    <row r="64" spans="1:12" x14ac:dyDescent="0.2">
      <c r="A64" s="858"/>
      <c r="B64" s="834"/>
      <c r="C64" s="851"/>
      <c r="D64" s="851"/>
      <c r="E64" s="834"/>
      <c r="F64" s="834"/>
      <c r="G64" s="834"/>
    </row>
    <row r="65" spans="1:7" x14ac:dyDescent="0.2">
      <c r="A65" s="834"/>
      <c r="B65" s="834"/>
      <c r="C65" s="851"/>
      <c r="D65" s="851"/>
      <c r="E65" s="834"/>
      <c r="F65" s="834"/>
      <c r="G65" s="834"/>
    </row>
    <row r="66" spans="1:7" x14ac:dyDescent="0.2">
      <c r="A66" s="834"/>
      <c r="B66" s="834"/>
      <c r="C66" s="851"/>
      <c r="D66" s="851"/>
      <c r="E66" s="834"/>
      <c r="F66" s="834"/>
      <c r="G66" s="834"/>
    </row>
    <row r="67" spans="1:7" x14ac:dyDescent="0.2">
      <c r="A67" s="834"/>
      <c r="B67" s="834"/>
      <c r="C67" s="851"/>
      <c r="D67" s="851"/>
      <c r="E67" s="834"/>
      <c r="F67" s="834"/>
      <c r="G67" s="834"/>
    </row>
    <row r="68" spans="1:7" x14ac:dyDescent="0.2">
      <c r="A68" s="834"/>
      <c r="B68" s="834"/>
      <c r="C68" s="851"/>
      <c r="D68" s="851"/>
      <c r="E68" s="834"/>
      <c r="F68" s="834"/>
      <c r="G68" s="834"/>
    </row>
    <row r="69" spans="1:7" x14ac:dyDescent="0.2">
      <c r="A69" s="834"/>
      <c r="B69" s="834"/>
      <c r="C69" s="851"/>
      <c r="D69" s="851"/>
      <c r="E69" s="834"/>
      <c r="F69" s="834"/>
      <c r="G69" s="834"/>
    </row>
    <row r="70" spans="1:7" x14ac:dyDescent="0.2">
      <c r="A70" s="834"/>
      <c r="B70" s="834"/>
      <c r="C70" s="851"/>
      <c r="D70" s="851"/>
      <c r="E70" s="834"/>
      <c r="F70" s="834"/>
      <c r="G70" s="834"/>
    </row>
    <row r="73" spans="1:7" ht="15" x14ac:dyDescent="0.25">
      <c r="A73" s="161"/>
    </row>
  </sheetData>
  <mergeCells count="19">
    <mergeCell ref="A1:AC1"/>
    <mergeCell ref="A2:AA2"/>
    <mergeCell ref="A3:AA3"/>
    <mergeCell ref="R5:AC5"/>
    <mergeCell ref="B36:C36"/>
    <mergeCell ref="B37:C37"/>
    <mergeCell ref="E10:P10"/>
    <mergeCell ref="B39:C39"/>
    <mergeCell ref="B40:C40"/>
    <mergeCell ref="B41:C41"/>
    <mergeCell ref="B47:C47"/>
    <mergeCell ref="B48:C48"/>
    <mergeCell ref="B49:C49"/>
    <mergeCell ref="B50:C50"/>
    <mergeCell ref="B42:C42"/>
    <mergeCell ref="B43:C43"/>
    <mergeCell ref="B44:C44"/>
    <mergeCell ref="B45:C45"/>
    <mergeCell ref="B46:C46"/>
  </mergeCells>
  <conditionalFormatting sqref="R13 Y13:AC13">
    <cfRule type="cellIs" dxfId="6" priority="9" stopIfTrue="1" operator="lessThan">
      <formula>0</formula>
    </cfRule>
  </conditionalFormatting>
  <conditionalFormatting sqref="R18:AC18">
    <cfRule type="cellIs" dxfId="5" priority="7" stopIfTrue="1" operator="lessThan">
      <formula>0</formula>
    </cfRule>
  </conditionalFormatting>
  <conditionalFormatting sqref="R20:AC20">
    <cfRule type="cellIs" dxfId="4" priority="8" stopIfTrue="1" operator="lessThan">
      <formula>0</formula>
    </cfRule>
  </conditionalFormatting>
  <conditionalFormatting sqref="R14">
    <cfRule type="cellIs" dxfId="3" priority="3" stopIfTrue="1" operator="lessThan">
      <formula>0</formula>
    </cfRule>
  </conditionalFormatting>
  <conditionalFormatting sqref="Y14:AC14">
    <cfRule type="cellIs" dxfId="2" priority="4" stopIfTrue="1" operator="lessThan">
      <formula>0</formula>
    </cfRule>
  </conditionalFormatting>
  <conditionalFormatting sqref="S14:X14">
    <cfRule type="cellIs" dxfId="1" priority="1" stopIfTrue="1" operator="lessThan">
      <formula>0</formula>
    </cfRule>
  </conditionalFormatting>
  <conditionalFormatting sqref="S13:X13">
    <cfRule type="cellIs" dxfId="0" priority="2" stopIfTrue="1" operator="lessThan">
      <formula>0</formula>
    </cfRule>
  </conditionalFormatting>
  <dataValidations count="1">
    <dataValidation type="list" allowBlank="1" showDropDown="1" showInputMessage="1" showErrorMessage="1" errorTitle="Ungültige Kategorie" error="Diese Kategorie ist für das aktuelle Jahr nicht zugelassen." sqref="B20 B13:B18 B22">
      <formula1>VGLISTE</formula1>
    </dataValidation>
  </dataValidations>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35841" r:id="rId4">
          <objectPr defaultSize="0" autoPict="0" r:id="rId5">
            <anchor moveWithCells="1" sizeWithCells="1">
              <from>
                <xdr:col>0</xdr:col>
                <xdr:colOff>57150</xdr:colOff>
                <xdr:row>19</xdr:row>
                <xdr:rowOff>0</xdr:rowOff>
              </from>
              <to>
                <xdr:col>3</xdr:col>
                <xdr:colOff>0</xdr:colOff>
                <xdr:row>19</xdr:row>
                <xdr:rowOff>0</xdr:rowOff>
              </to>
            </anchor>
          </objectPr>
        </oleObject>
      </mc:Choice>
      <mc:Fallback>
        <oleObject progId="Equation.3" shapeId="35841" r:id="rId4"/>
      </mc:Fallback>
    </mc:AlternateContent>
    <mc:AlternateContent xmlns:mc="http://schemas.openxmlformats.org/markup-compatibility/2006">
      <mc:Choice Requires="x14">
        <oleObject progId="Equation.3" shapeId="35842" r:id="rId6">
          <objectPr defaultSize="0" autoPict="0" r:id="rId7">
            <anchor moveWithCells="1" sizeWithCells="1">
              <from>
                <xdr:col>0</xdr:col>
                <xdr:colOff>0</xdr:colOff>
                <xdr:row>58</xdr:row>
                <xdr:rowOff>0</xdr:rowOff>
              </from>
              <to>
                <xdr:col>3</xdr:col>
                <xdr:colOff>0</xdr:colOff>
                <xdr:row>58</xdr:row>
                <xdr:rowOff>0</xdr:rowOff>
              </to>
            </anchor>
          </objectPr>
        </oleObject>
      </mc:Choice>
      <mc:Fallback>
        <oleObject progId="Equation.3" shapeId="35842" r:id="rId6"/>
      </mc:Fallback>
    </mc:AlternateContent>
    <mc:AlternateContent xmlns:mc="http://schemas.openxmlformats.org/markup-compatibility/2006">
      <mc:Choice Requires="x14">
        <oleObject progId="Equation.3" shapeId="35843" r:id="rId8">
          <objectPr defaultSize="0" autoPict="0" r:id="rId9">
            <anchor moveWithCells="1" sizeWithCells="1">
              <from>
                <xdr:col>0</xdr:col>
                <xdr:colOff>361950</xdr:colOff>
                <xdr:row>58</xdr:row>
                <xdr:rowOff>0</xdr:rowOff>
              </from>
              <to>
                <xdr:col>3</xdr:col>
                <xdr:colOff>0</xdr:colOff>
                <xdr:row>58</xdr:row>
                <xdr:rowOff>0</xdr:rowOff>
              </to>
            </anchor>
          </objectPr>
        </oleObject>
      </mc:Choice>
      <mc:Fallback>
        <oleObject progId="Equation.3" shapeId="35843" r:id="rId8"/>
      </mc:Fallback>
    </mc:AlternateContent>
    <mc:AlternateContent xmlns:mc="http://schemas.openxmlformats.org/markup-compatibility/2006">
      <mc:Choice Requires="x14">
        <oleObject progId="Equation.3" shapeId="35844" r:id="rId10">
          <objectPr defaultSize="0" autoPict="0" r:id="rId11">
            <anchor moveWithCells="1" sizeWithCells="1">
              <from>
                <xdr:col>0</xdr:col>
                <xdr:colOff>323850</xdr:colOff>
                <xdr:row>58</xdr:row>
                <xdr:rowOff>0</xdr:rowOff>
              </from>
              <to>
                <xdr:col>3</xdr:col>
                <xdr:colOff>0</xdr:colOff>
                <xdr:row>58</xdr:row>
                <xdr:rowOff>0</xdr:rowOff>
              </to>
            </anchor>
          </objectPr>
        </oleObject>
      </mc:Choice>
      <mc:Fallback>
        <oleObject progId="Equation.3" shapeId="35844" r:id="rId10"/>
      </mc:Fallback>
    </mc:AlternateContent>
    <mc:AlternateContent xmlns:mc="http://schemas.openxmlformats.org/markup-compatibility/2006">
      <mc:Choice Requires="x14">
        <oleObject progId="Equation.3" shapeId="35845" r:id="rId12">
          <objectPr defaultSize="0" autoPict="0" r:id="rId13">
            <anchor moveWithCells="1" sizeWithCells="1">
              <from>
                <xdr:col>0</xdr:col>
                <xdr:colOff>9525</xdr:colOff>
                <xdr:row>58</xdr:row>
                <xdr:rowOff>0</xdr:rowOff>
              </from>
              <to>
                <xdr:col>3</xdr:col>
                <xdr:colOff>0</xdr:colOff>
                <xdr:row>58</xdr:row>
                <xdr:rowOff>0</xdr:rowOff>
              </to>
            </anchor>
          </objectPr>
        </oleObject>
      </mc:Choice>
      <mc:Fallback>
        <oleObject progId="Equation.3" shapeId="35845" r:id="rId12"/>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dimension ref="A1:H96"/>
  <sheetViews>
    <sheetView workbookViewId="0"/>
  </sheetViews>
  <sheetFormatPr baseColWidth="10" defaultColWidth="11.42578125" defaultRowHeight="14.25" x14ac:dyDescent="0.2"/>
  <cols>
    <col min="1" max="1" width="21.42578125" style="141" customWidth="1"/>
    <col min="2" max="3" width="14.42578125" style="141" customWidth="1"/>
    <col min="4" max="4" width="23.42578125" style="141" customWidth="1"/>
    <col min="5" max="5" width="13.42578125" style="141" customWidth="1"/>
    <col min="6" max="6" width="22.5703125" style="141" customWidth="1"/>
    <col min="7" max="7" width="16" style="141" customWidth="1"/>
    <col min="8" max="16384" width="11.42578125" style="141"/>
  </cols>
  <sheetData>
    <row r="1" spans="1:7" ht="18" x14ac:dyDescent="0.25">
      <c r="A1" s="140" t="s">
        <v>5436</v>
      </c>
    </row>
    <row r="2" spans="1:7" ht="9" customHeight="1" x14ac:dyDescent="0.2"/>
    <row r="3" spans="1:7" x14ac:dyDescent="0.2">
      <c r="A3" s="141" t="s">
        <v>5437</v>
      </c>
    </row>
    <row r="4" spans="1:7" x14ac:dyDescent="0.2">
      <c r="A4" s="141" t="s">
        <v>796</v>
      </c>
    </row>
    <row r="5" spans="1:7" x14ac:dyDescent="0.2">
      <c r="A5" s="141" t="s">
        <v>1196</v>
      </c>
    </row>
    <row r="6" spans="1:7" x14ac:dyDescent="0.2">
      <c r="A6" s="141" t="s">
        <v>5446</v>
      </c>
    </row>
    <row r="7" spans="1:7" ht="23.25" customHeight="1" x14ac:dyDescent="0.2"/>
    <row r="8" spans="1:7" ht="15" x14ac:dyDescent="0.25">
      <c r="A8" s="142" t="s">
        <v>5438</v>
      </c>
    </row>
    <row r="10" spans="1:7" x14ac:dyDescent="0.2">
      <c r="A10" s="143" t="s">
        <v>5440</v>
      </c>
    </row>
    <row r="12" spans="1:7" ht="18.75" x14ac:dyDescent="0.35">
      <c r="A12" s="141" t="s">
        <v>5450</v>
      </c>
      <c r="D12" s="144" t="s">
        <v>793</v>
      </c>
      <c r="E12" s="145">
        <v>3285000</v>
      </c>
      <c r="F12" s="141" t="s">
        <v>5448</v>
      </c>
      <c r="G12" s="145"/>
    </row>
    <row r="13" spans="1:7" ht="6" customHeight="1" x14ac:dyDescent="0.2">
      <c r="E13" s="145"/>
      <c r="G13" s="145"/>
    </row>
    <row r="14" spans="1:7" ht="18.75" x14ac:dyDescent="0.35">
      <c r="A14" s="141" t="s">
        <v>4635</v>
      </c>
      <c r="D14" s="144" t="s">
        <v>792</v>
      </c>
      <c r="E14" s="141">
        <v>8760</v>
      </c>
      <c r="F14" s="141" t="s">
        <v>5449</v>
      </c>
    </row>
    <row r="15" spans="1:7" ht="6" customHeight="1" x14ac:dyDescent="0.2">
      <c r="E15" s="145"/>
      <c r="G15" s="145"/>
    </row>
    <row r="16" spans="1:7" x14ac:dyDescent="0.2">
      <c r="A16" s="141" t="s">
        <v>799</v>
      </c>
      <c r="D16" s="144"/>
    </row>
    <row r="17" spans="1:7" ht="15.75" customHeight="1" x14ac:dyDescent="0.35">
      <c r="A17" s="141" t="s">
        <v>800</v>
      </c>
      <c r="D17" s="144" t="s">
        <v>797</v>
      </c>
      <c r="E17" s="141">
        <v>0</v>
      </c>
      <c r="F17" s="141" t="s">
        <v>5449</v>
      </c>
    </row>
    <row r="18" spans="1:7" ht="6" customHeight="1" x14ac:dyDescent="0.2">
      <c r="E18" s="145"/>
      <c r="G18" s="145"/>
    </row>
    <row r="19" spans="1:7" x14ac:dyDescent="0.2">
      <c r="A19" s="141" t="s">
        <v>802</v>
      </c>
      <c r="D19" s="144"/>
    </row>
    <row r="20" spans="1:7" ht="15.75" customHeight="1" x14ac:dyDescent="0.35">
      <c r="A20" s="141" t="s">
        <v>801</v>
      </c>
      <c r="D20" s="144" t="s">
        <v>798</v>
      </c>
      <c r="E20" s="141">
        <v>0</v>
      </c>
      <c r="F20" s="141" t="s">
        <v>5449</v>
      </c>
    </row>
    <row r="21" spans="1:7" ht="6" customHeight="1" x14ac:dyDescent="0.2"/>
    <row r="22" spans="1:7" ht="18.75" x14ac:dyDescent="0.35">
      <c r="A22" s="142" t="s">
        <v>4572</v>
      </c>
      <c r="D22" s="144" t="s">
        <v>794</v>
      </c>
      <c r="E22" s="142">
        <f>E12/(E14-E17-E20)</f>
        <v>375</v>
      </c>
      <c r="F22" s="142" t="s">
        <v>5439</v>
      </c>
      <c r="G22" s="142"/>
    </row>
    <row r="23" spans="1:7" ht="15" x14ac:dyDescent="0.25">
      <c r="D23" s="144"/>
      <c r="E23" s="142"/>
      <c r="F23" s="142"/>
      <c r="G23" s="142"/>
    </row>
    <row r="24" spans="1:7" ht="18.75" x14ac:dyDescent="0.35">
      <c r="A24" s="141" t="s">
        <v>803</v>
      </c>
      <c r="D24" s="144"/>
      <c r="E24" s="142"/>
      <c r="F24" s="142"/>
      <c r="G24" s="142"/>
    </row>
    <row r="25" spans="1:7" ht="15" x14ac:dyDescent="0.25">
      <c r="D25" s="144"/>
      <c r="E25" s="142"/>
      <c r="F25" s="142"/>
      <c r="G25" s="142"/>
    </row>
    <row r="26" spans="1:7" ht="15" x14ac:dyDescent="0.25">
      <c r="D26" s="144"/>
      <c r="E26" s="142"/>
      <c r="F26" s="142"/>
      <c r="G26" s="142"/>
    </row>
    <row r="27" spans="1:7" ht="15" x14ac:dyDescent="0.25">
      <c r="D27" s="144"/>
      <c r="E27" s="142"/>
      <c r="F27" s="142"/>
      <c r="G27" s="142"/>
    </row>
    <row r="28" spans="1:7" ht="15" x14ac:dyDescent="0.25">
      <c r="D28" s="144"/>
      <c r="E28" s="142"/>
      <c r="F28" s="142"/>
      <c r="G28" s="142"/>
    </row>
    <row r="31" spans="1:7" x14ac:dyDescent="0.2">
      <c r="A31" s="143" t="s">
        <v>5441</v>
      </c>
    </row>
    <row r="32" spans="1:7" ht="8.25" customHeight="1" x14ac:dyDescent="0.2"/>
    <row r="33" spans="1:2" x14ac:dyDescent="0.2">
      <c r="A33" s="141" t="s">
        <v>5442</v>
      </c>
      <c r="B33" s="141" t="s">
        <v>4575</v>
      </c>
    </row>
    <row r="34" spans="1:2" x14ac:dyDescent="0.2">
      <c r="B34" s="141" t="s">
        <v>4576</v>
      </c>
    </row>
    <row r="36" spans="1:2" ht="15" x14ac:dyDescent="0.25">
      <c r="A36" s="141" t="s">
        <v>4569</v>
      </c>
    </row>
    <row r="37" spans="1:2" x14ac:dyDescent="0.2">
      <c r="A37" s="141" t="s">
        <v>795</v>
      </c>
    </row>
    <row r="38" spans="1:2" x14ac:dyDescent="0.2">
      <c r="A38" s="144" t="s">
        <v>5444</v>
      </c>
      <c r="B38" s="141" t="s">
        <v>4574</v>
      </c>
    </row>
    <row r="39" spans="1:2" x14ac:dyDescent="0.2">
      <c r="B39" s="141" t="s">
        <v>4573</v>
      </c>
    </row>
    <row r="41" spans="1:2" ht="15" x14ac:dyDescent="0.25">
      <c r="A41" s="141" t="s">
        <v>4570</v>
      </c>
    </row>
    <row r="42" spans="1:2" x14ac:dyDescent="0.2">
      <c r="A42" s="141" t="s">
        <v>4571</v>
      </c>
    </row>
    <row r="43" spans="1:2" x14ac:dyDescent="0.2">
      <c r="A43" s="144" t="s">
        <v>5444</v>
      </c>
      <c r="B43" s="141" t="s">
        <v>4574</v>
      </c>
    </row>
    <row r="44" spans="1:2" x14ac:dyDescent="0.2">
      <c r="B44" s="141" t="s">
        <v>4573</v>
      </c>
    </row>
    <row r="47" spans="1:2" x14ac:dyDescent="0.2">
      <c r="A47" s="141" t="s">
        <v>608</v>
      </c>
    </row>
    <row r="48" spans="1:2" ht="9" customHeight="1" x14ac:dyDescent="0.2"/>
    <row r="49" spans="1:8" ht="43.5" customHeight="1" x14ac:dyDescent="0.2">
      <c r="A49" s="146" t="s">
        <v>5443</v>
      </c>
      <c r="B49" s="1258" t="s">
        <v>606</v>
      </c>
      <c r="C49" s="1258"/>
      <c r="D49" s="1258" t="s">
        <v>607</v>
      </c>
      <c r="E49" s="1258"/>
      <c r="F49" s="147" t="s">
        <v>5445</v>
      </c>
      <c r="G49" s="148" t="s">
        <v>603</v>
      </c>
      <c r="H49" s="146"/>
    </row>
    <row r="50" spans="1:8" x14ac:dyDescent="0.2">
      <c r="E50" s="149" t="s">
        <v>5451</v>
      </c>
      <c r="F50" s="149" t="s">
        <v>5447</v>
      </c>
      <c r="G50" s="141" t="s">
        <v>604</v>
      </c>
    </row>
    <row r="51" spans="1:8" ht="6" customHeight="1" x14ac:dyDescent="0.2"/>
    <row r="52" spans="1:8" x14ac:dyDescent="0.2">
      <c r="A52" s="150" t="s">
        <v>876</v>
      </c>
      <c r="B52" s="141" t="s">
        <v>804</v>
      </c>
      <c r="C52" s="151">
        <f>0.4*0.7</f>
        <v>0.27999999999999997</v>
      </c>
      <c r="D52" s="152" t="s">
        <v>808</v>
      </c>
      <c r="E52" s="153">
        <f>C52*E$12</f>
        <v>919799.99999999988</v>
      </c>
      <c r="F52" s="149">
        <v>17.670000000000002</v>
      </c>
      <c r="G52" s="154">
        <f>E52*F52/100</f>
        <v>162528.66</v>
      </c>
    </row>
    <row r="53" spans="1:8" x14ac:dyDescent="0.2">
      <c r="A53" s="150" t="s">
        <v>4351</v>
      </c>
      <c r="B53" s="141" t="s">
        <v>805</v>
      </c>
      <c r="C53" s="151">
        <f>0.4*0.3</f>
        <v>0.12</v>
      </c>
      <c r="D53" s="152" t="s">
        <v>809</v>
      </c>
      <c r="E53" s="153">
        <f>C53*E$12</f>
        <v>394200</v>
      </c>
      <c r="F53" s="149">
        <v>20.67</v>
      </c>
      <c r="G53" s="154">
        <f>E53*F53/100</f>
        <v>81481.140000000014</v>
      </c>
    </row>
    <row r="54" spans="1:8" x14ac:dyDescent="0.2">
      <c r="A54" s="155" t="s">
        <v>884</v>
      </c>
      <c r="B54" s="141" t="s">
        <v>806</v>
      </c>
      <c r="C54" s="151">
        <f>0.6*0.7</f>
        <v>0.42</v>
      </c>
      <c r="D54" s="152" t="s">
        <v>4567</v>
      </c>
      <c r="E54" s="153">
        <f>C54*E$12</f>
        <v>1379700</v>
      </c>
      <c r="F54" s="156">
        <v>15.6</v>
      </c>
      <c r="G54" s="154">
        <f>E54*F54/100</f>
        <v>215233.2</v>
      </c>
    </row>
    <row r="55" spans="1:8" x14ac:dyDescent="0.2">
      <c r="A55" s="155" t="s">
        <v>4355</v>
      </c>
      <c r="B55" s="141" t="s">
        <v>807</v>
      </c>
      <c r="C55" s="151">
        <f>0.6*0.3</f>
        <v>0.18</v>
      </c>
      <c r="D55" s="152" t="s">
        <v>4568</v>
      </c>
      <c r="E55" s="153">
        <f>C55*E$12</f>
        <v>591300</v>
      </c>
      <c r="F55" s="156">
        <v>18.600000000000001</v>
      </c>
      <c r="G55" s="154">
        <f>E55*F55/100</f>
        <v>109981.8</v>
      </c>
    </row>
    <row r="56" spans="1:8" ht="6.75" customHeight="1" x14ac:dyDescent="0.2"/>
    <row r="57" spans="1:8" ht="15" x14ac:dyDescent="0.25">
      <c r="A57" s="142" t="s">
        <v>605</v>
      </c>
      <c r="C57" s="157">
        <f>SUM(C52:C55)</f>
        <v>1</v>
      </c>
      <c r="E57" s="145">
        <f>SUM(E52:E55)</f>
        <v>3285000</v>
      </c>
      <c r="G57" s="158">
        <f>SUM(G52:G55)</f>
        <v>569224.80000000005</v>
      </c>
    </row>
    <row r="60" spans="1:8" x14ac:dyDescent="0.2">
      <c r="A60" s="141" t="s">
        <v>4577</v>
      </c>
    </row>
    <row r="75" spans="1:1" x14ac:dyDescent="0.2">
      <c r="A75" s="152" t="s">
        <v>4534</v>
      </c>
    </row>
    <row r="76" spans="1:1" ht="14.25" customHeight="1" x14ac:dyDescent="0.2"/>
    <row r="77" spans="1:1" ht="15" x14ac:dyDescent="0.25">
      <c r="A77" s="159" t="s">
        <v>4535</v>
      </c>
    </row>
    <row r="82" spans="1:1" x14ac:dyDescent="0.2">
      <c r="A82" s="143" t="s">
        <v>602</v>
      </c>
    </row>
    <row r="84" spans="1:1" x14ac:dyDescent="0.2">
      <c r="A84" s="141" t="s">
        <v>4292</v>
      </c>
    </row>
    <row r="85" spans="1:1" x14ac:dyDescent="0.2">
      <c r="A85" s="141" t="s">
        <v>4293</v>
      </c>
    </row>
    <row r="86" spans="1:1" x14ac:dyDescent="0.2">
      <c r="A86" s="160" t="s">
        <v>921</v>
      </c>
    </row>
    <row r="87" spans="1:1" x14ac:dyDescent="0.2">
      <c r="A87" s="160"/>
    </row>
    <row r="88" spans="1:1" x14ac:dyDescent="0.2">
      <c r="A88" s="141" t="s">
        <v>4291</v>
      </c>
    </row>
    <row r="89" spans="1:1" x14ac:dyDescent="0.2">
      <c r="A89" s="141" t="s">
        <v>637</v>
      </c>
    </row>
    <row r="90" spans="1:1" x14ac:dyDescent="0.2">
      <c r="A90" s="141" t="s">
        <v>2810</v>
      </c>
    </row>
    <row r="91" spans="1:1" x14ac:dyDescent="0.2">
      <c r="A91" s="141" t="s">
        <v>2811</v>
      </c>
    </row>
    <row r="96" spans="1:1" ht="15" x14ac:dyDescent="0.25">
      <c r="A96" s="161"/>
    </row>
  </sheetData>
  <mergeCells count="2">
    <mergeCell ref="B49:C49"/>
    <mergeCell ref="D49:E49"/>
  </mergeCells>
  <phoneticPr fontId="11" type="noConversion"/>
  <pageMargins left="0.78740157480314965" right="0.78740157480314965" top="0.78740157480314965" bottom="0.78740157480314965" header="0.51181102362204722" footer="0.51181102362204722"/>
  <pageSetup paperSize="9" orientation="landscape" r:id="rId1"/>
  <headerFooter alignWithMargins="0"/>
  <rowBreaks count="2" manualBreakCount="2">
    <brk id="30" max="16383" man="1"/>
    <brk id="59" max="16383" man="1"/>
  </rowBreaks>
  <drawing r:id="rId2"/>
  <legacyDrawing r:id="rId3"/>
  <oleObjects>
    <mc:AlternateContent xmlns:mc="http://schemas.openxmlformats.org/markup-compatibility/2006">
      <mc:Choice Requires="x14">
        <oleObject progId="Equation.3" shapeId="2049" r:id="rId4">
          <objectPr defaultSize="0" autoPict="0" r:id="rId5">
            <anchor moveWithCells="1" sizeWithCells="1">
              <from>
                <xdr:col>0</xdr:col>
                <xdr:colOff>38100</xdr:colOff>
                <xdr:row>24</xdr:row>
                <xdr:rowOff>28575</xdr:rowOff>
              </from>
              <to>
                <xdr:col>3</xdr:col>
                <xdr:colOff>1028700</xdr:colOff>
                <xdr:row>27</xdr:row>
                <xdr:rowOff>161925</xdr:rowOff>
              </to>
            </anchor>
          </objectPr>
        </oleObject>
      </mc:Choice>
      <mc:Fallback>
        <oleObject progId="Equation.3" shapeId="2049" r:id="rId4"/>
      </mc:Fallback>
    </mc:AlternateContent>
    <mc:AlternateContent xmlns:mc="http://schemas.openxmlformats.org/markup-compatibility/2006">
      <mc:Choice Requires="x14">
        <oleObject progId="Equation.3" shapeId="2050" r:id="rId6">
          <objectPr defaultSize="0" autoPict="0" r:id="rId7">
            <anchor moveWithCells="1" sizeWithCells="1">
              <from>
                <xdr:col>0</xdr:col>
                <xdr:colOff>0</xdr:colOff>
                <xdr:row>60</xdr:row>
                <xdr:rowOff>47625</xdr:rowOff>
              </from>
              <to>
                <xdr:col>6</xdr:col>
                <xdr:colOff>1038225</xdr:colOff>
                <xdr:row>63</xdr:row>
                <xdr:rowOff>171450</xdr:rowOff>
              </to>
            </anchor>
          </objectPr>
        </oleObject>
      </mc:Choice>
      <mc:Fallback>
        <oleObject progId="Equation.3" shapeId="2050" r:id="rId6"/>
      </mc:Fallback>
    </mc:AlternateContent>
    <mc:AlternateContent xmlns:mc="http://schemas.openxmlformats.org/markup-compatibility/2006">
      <mc:Choice Requires="x14">
        <oleObject progId="Equation.3" shapeId="2051" r:id="rId8">
          <objectPr defaultSize="0" autoPict="0" r:id="rId9">
            <anchor moveWithCells="1" sizeWithCells="1">
              <from>
                <xdr:col>0</xdr:col>
                <xdr:colOff>342900</xdr:colOff>
                <xdr:row>64</xdr:row>
                <xdr:rowOff>9525</xdr:rowOff>
              </from>
              <to>
                <xdr:col>5</xdr:col>
                <xdr:colOff>1409700</xdr:colOff>
                <xdr:row>66</xdr:row>
                <xdr:rowOff>133350</xdr:rowOff>
              </to>
            </anchor>
          </objectPr>
        </oleObject>
      </mc:Choice>
      <mc:Fallback>
        <oleObject progId="Equation.3" shapeId="2051" r:id="rId8"/>
      </mc:Fallback>
    </mc:AlternateContent>
    <mc:AlternateContent xmlns:mc="http://schemas.openxmlformats.org/markup-compatibility/2006">
      <mc:Choice Requires="x14">
        <oleObject progId="Equation.3" shapeId="2052" r:id="rId10">
          <objectPr defaultSize="0" autoPict="0" r:id="rId11">
            <anchor moveWithCells="1" sizeWithCells="1">
              <from>
                <xdr:col>0</xdr:col>
                <xdr:colOff>304800</xdr:colOff>
                <xdr:row>67</xdr:row>
                <xdr:rowOff>85725</xdr:rowOff>
              </from>
              <to>
                <xdr:col>5</xdr:col>
                <xdr:colOff>933450</xdr:colOff>
                <xdr:row>69</xdr:row>
                <xdr:rowOff>114300</xdr:rowOff>
              </to>
            </anchor>
          </objectPr>
        </oleObject>
      </mc:Choice>
      <mc:Fallback>
        <oleObject progId="Equation.3" shapeId="2052" r:id="rId10"/>
      </mc:Fallback>
    </mc:AlternateContent>
    <mc:AlternateContent xmlns:mc="http://schemas.openxmlformats.org/markup-compatibility/2006">
      <mc:Choice Requires="x14">
        <oleObject progId="Equation.3" shapeId="2054" r:id="rId12">
          <objectPr defaultSize="0" autoPict="0" r:id="rId13">
            <anchor moveWithCells="1" sizeWithCells="1">
              <from>
                <xdr:col>3</xdr:col>
                <xdr:colOff>990600</xdr:colOff>
                <xdr:row>69</xdr:row>
                <xdr:rowOff>171450</xdr:rowOff>
              </from>
              <to>
                <xdr:col>6</xdr:col>
                <xdr:colOff>1038225</xdr:colOff>
                <xdr:row>72</xdr:row>
                <xdr:rowOff>123825</xdr:rowOff>
              </to>
            </anchor>
          </objectPr>
        </oleObject>
      </mc:Choice>
      <mc:Fallback>
        <oleObject progId="Equation.3" shapeId="2054" r:id="rId12"/>
      </mc:Fallback>
    </mc:AlternateContent>
    <mc:AlternateContent xmlns:mc="http://schemas.openxmlformats.org/markup-compatibility/2006">
      <mc:Choice Requires="x14">
        <oleObject progId="Equation.3" shapeId="2055" r:id="rId14">
          <objectPr defaultSize="0" autoPict="0" r:id="rId15">
            <anchor moveWithCells="1" sizeWithCells="1">
              <from>
                <xdr:col>0</xdr:col>
                <xdr:colOff>19050</xdr:colOff>
                <xdr:row>70</xdr:row>
                <xdr:rowOff>38100</xdr:rowOff>
              </from>
              <to>
                <xdr:col>3</xdr:col>
                <xdr:colOff>971550</xdr:colOff>
                <xdr:row>72</xdr:row>
                <xdr:rowOff>95250</xdr:rowOff>
              </to>
            </anchor>
          </objectPr>
        </oleObject>
      </mc:Choice>
      <mc:Fallback>
        <oleObject progId="Equation.3" shapeId="2055" r:id="rId1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dimension ref="A1:O77"/>
  <sheetViews>
    <sheetView workbookViewId="0"/>
  </sheetViews>
  <sheetFormatPr baseColWidth="10" defaultColWidth="11.42578125" defaultRowHeight="14.25" x14ac:dyDescent="0.2"/>
  <cols>
    <col min="1" max="1" width="21.42578125" style="141" customWidth="1"/>
    <col min="2" max="2" width="7.42578125" style="141" customWidth="1"/>
    <col min="3" max="3" width="29.42578125" style="141" customWidth="1"/>
    <col min="4" max="4" width="15.5703125" style="141" customWidth="1"/>
    <col min="5" max="5" width="8" style="141" customWidth="1"/>
    <col min="6" max="6" width="22.5703125" style="141" customWidth="1"/>
    <col min="7" max="7" width="16" style="141" customWidth="1"/>
    <col min="8" max="16384" width="11.42578125" style="141"/>
  </cols>
  <sheetData>
    <row r="1" spans="1:4" ht="18" x14ac:dyDescent="0.25">
      <c r="A1" s="140" t="s">
        <v>4453</v>
      </c>
    </row>
    <row r="2" spans="1:4" ht="9" customHeight="1" x14ac:dyDescent="0.2"/>
    <row r="3" spans="1:4" x14ac:dyDescent="0.2">
      <c r="A3" s="141" t="s">
        <v>1120</v>
      </c>
    </row>
    <row r="4" spans="1:4" x14ac:dyDescent="0.2">
      <c r="A4" s="141" t="s">
        <v>1121</v>
      </c>
    </row>
    <row r="5" spans="1:4" x14ac:dyDescent="0.2">
      <c r="A5" s="141" t="s">
        <v>2658</v>
      </c>
    </row>
    <row r="7" spans="1:4" ht="23.25" customHeight="1" x14ac:dyDescent="0.25">
      <c r="A7" s="162" t="s">
        <v>1145</v>
      </c>
    </row>
    <row r="9" spans="1:4" x14ac:dyDescent="0.2">
      <c r="A9" s="141" t="s">
        <v>1123</v>
      </c>
    </row>
    <row r="11" spans="1:4" ht="15" x14ac:dyDescent="0.25">
      <c r="A11" s="141" t="s">
        <v>1122</v>
      </c>
    </row>
    <row r="12" spans="1:4" x14ac:dyDescent="0.2">
      <c r="A12" s="141" t="s">
        <v>1124</v>
      </c>
    </row>
    <row r="13" spans="1:4" x14ac:dyDescent="0.2">
      <c r="A13" s="144"/>
      <c r="B13" s="141" t="s">
        <v>1147</v>
      </c>
      <c r="D13" s="144" t="s">
        <v>1126</v>
      </c>
    </row>
    <row r="14" spans="1:4" x14ac:dyDescent="0.2">
      <c r="A14" s="144"/>
      <c r="B14" s="141" t="s">
        <v>1127</v>
      </c>
      <c r="D14" s="144" t="s">
        <v>1129</v>
      </c>
    </row>
    <row r="15" spans="1:4" x14ac:dyDescent="0.2">
      <c r="A15" s="144"/>
      <c r="B15" s="141" t="s">
        <v>1139</v>
      </c>
      <c r="C15" s="141" t="s">
        <v>1148</v>
      </c>
      <c r="D15" s="144" t="s">
        <v>1140</v>
      </c>
    </row>
    <row r="16" spans="1:4" x14ac:dyDescent="0.2">
      <c r="A16" s="144"/>
      <c r="C16" s="141" t="s">
        <v>1149</v>
      </c>
      <c r="D16" s="144" t="s">
        <v>1141</v>
      </c>
    </row>
    <row r="17" spans="1:4" x14ac:dyDescent="0.2">
      <c r="B17" s="141" t="s">
        <v>1125</v>
      </c>
      <c r="D17" s="144" t="s">
        <v>1128</v>
      </c>
    </row>
    <row r="18" spans="1:4" x14ac:dyDescent="0.2">
      <c r="D18" s="144"/>
    </row>
    <row r="19" spans="1:4" ht="15" x14ac:dyDescent="0.25">
      <c r="A19" s="141" t="s">
        <v>1130</v>
      </c>
      <c r="D19" s="144"/>
    </row>
    <row r="20" spans="1:4" x14ac:dyDescent="0.2">
      <c r="A20" s="141" t="s">
        <v>1131</v>
      </c>
      <c r="D20" s="144"/>
    </row>
    <row r="21" spans="1:4" x14ac:dyDescent="0.2">
      <c r="A21" s="144"/>
      <c r="B21" s="141" t="s">
        <v>1147</v>
      </c>
      <c r="D21" s="144" t="s">
        <v>1132</v>
      </c>
    </row>
    <row r="22" spans="1:4" x14ac:dyDescent="0.2">
      <c r="A22" s="144"/>
      <c r="B22" s="141" t="s">
        <v>1127</v>
      </c>
      <c r="D22" s="144" t="s">
        <v>1134</v>
      </c>
    </row>
    <row r="23" spans="1:4" x14ac:dyDescent="0.2">
      <c r="A23" s="144"/>
      <c r="B23" s="141" t="s">
        <v>1139</v>
      </c>
      <c r="C23" s="141" t="s">
        <v>1148</v>
      </c>
      <c r="D23" s="144" t="s">
        <v>1142</v>
      </c>
    </row>
    <row r="24" spans="1:4" x14ac:dyDescent="0.2">
      <c r="A24" s="144"/>
      <c r="C24" s="141" t="s">
        <v>1149</v>
      </c>
      <c r="D24" s="144" t="s">
        <v>1143</v>
      </c>
    </row>
    <row r="25" spans="1:4" x14ac:dyDescent="0.2">
      <c r="B25" s="141" t="s">
        <v>1125</v>
      </c>
      <c r="D25" s="144" t="s">
        <v>1133</v>
      </c>
    </row>
    <row r="26" spans="1:4" x14ac:dyDescent="0.2">
      <c r="D26" s="144"/>
    </row>
    <row r="27" spans="1:4" ht="15" x14ac:dyDescent="0.25">
      <c r="A27" s="141" t="s">
        <v>1135</v>
      </c>
      <c r="D27" s="144"/>
    </row>
    <row r="28" spans="1:4" x14ac:dyDescent="0.2">
      <c r="A28" s="141" t="s">
        <v>1150</v>
      </c>
      <c r="D28" s="144"/>
    </row>
    <row r="29" spans="1:4" x14ac:dyDescent="0.2">
      <c r="A29" s="144"/>
      <c r="B29" s="141" t="s">
        <v>1147</v>
      </c>
      <c r="D29" s="144" t="s">
        <v>1136</v>
      </c>
    </row>
    <row r="30" spans="1:4" x14ac:dyDescent="0.2">
      <c r="A30" s="144"/>
      <c r="B30" s="141" t="s">
        <v>1127</v>
      </c>
      <c r="D30" s="144" t="s">
        <v>1138</v>
      </c>
    </row>
    <row r="31" spans="1:4" x14ac:dyDescent="0.2">
      <c r="A31" s="144"/>
      <c r="B31" s="141" t="s">
        <v>1139</v>
      </c>
      <c r="C31" s="141" t="s">
        <v>1148</v>
      </c>
      <c r="D31" s="144" t="s">
        <v>1126</v>
      </c>
    </row>
    <row r="32" spans="1:4" x14ac:dyDescent="0.2">
      <c r="A32" s="144"/>
      <c r="C32" s="141" t="s">
        <v>1149</v>
      </c>
      <c r="D32" s="144" t="s">
        <v>1144</v>
      </c>
    </row>
    <row r="33" spans="1:15" x14ac:dyDescent="0.2">
      <c r="B33" s="141" t="s">
        <v>1125</v>
      </c>
      <c r="D33" s="144" t="s">
        <v>1137</v>
      </c>
    </row>
    <row r="34" spans="1:15" x14ac:dyDescent="0.2">
      <c r="D34" s="144"/>
    </row>
    <row r="36" spans="1:15" ht="15" x14ac:dyDescent="0.25">
      <c r="A36" s="162" t="s">
        <v>1146</v>
      </c>
    </row>
    <row r="38" spans="1:15" x14ac:dyDescent="0.2">
      <c r="A38" s="141" t="s">
        <v>608</v>
      </c>
    </row>
    <row r="39" spans="1:15" ht="9" customHeight="1" x14ac:dyDescent="0.2"/>
    <row r="40" spans="1:15" ht="43.5" customHeight="1" x14ac:dyDescent="0.2">
      <c r="A40" s="146" t="s">
        <v>5443</v>
      </c>
      <c r="B40" s="1258" t="s">
        <v>5445</v>
      </c>
      <c r="C40" s="1258"/>
      <c r="D40" s="1258" t="s">
        <v>607</v>
      </c>
      <c r="E40" s="1258"/>
      <c r="F40" s="171" t="s">
        <v>603</v>
      </c>
      <c r="H40" s="146" t="s">
        <v>1151</v>
      </c>
    </row>
    <row r="41" spans="1:15" ht="15" customHeight="1" x14ac:dyDescent="0.2">
      <c r="B41" s="1260" t="s">
        <v>5447</v>
      </c>
      <c r="C41" s="1260"/>
      <c r="D41" s="1260" t="s">
        <v>5451</v>
      </c>
      <c r="E41" s="1260"/>
      <c r="F41" s="144" t="s">
        <v>604</v>
      </c>
    </row>
    <row r="42" spans="1:15" ht="6" customHeight="1" x14ac:dyDescent="0.2">
      <c r="H42" s="165"/>
      <c r="I42" s="165"/>
      <c r="J42" s="165"/>
      <c r="K42" s="165"/>
      <c r="L42" s="165"/>
      <c r="M42" s="165"/>
      <c r="N42" s="165"/>
    </row>
    <row r="43" spans="1:15" x14ac:dyDescent="0.2">
      <c r="A43" s="163" t="s">
        <v>4144</v>
      </c>
      <c r="B43" s="1259">
        <v>34.049999999999997</v>
      </c>
      <c r="C43" s="1259"/>
      <c r="D43" s="164">
        <v>18000</v>
      </c>
      <c r="E43" s="152"/>
      <c r="F43" s="154">
        <f t="shared" ref="F43:F54" si="0">D43*B43/100</f>
        <v>6129</v>
      </c>
      <c r="G43" s="167"/>
      <c r="H43" s="169" t="s">
        <v>744</v>
      </c>
      <c r="O43" s="168"/>
    </row>
    <row r="44" spans="1:15" ht="15" customHeight="1" x14ac:dyDescent="0.2">
      <c r="A44" s="163" t="s">
        <v>4152</v>
      </c>
      <c r="B44" s="1259">
        <v>34.049999999999997</v>
      </c>
      <c r="C44" s="1259"/>
      <c r="D44" s="164">
        <v>12000</v>
      </c>
      <c r="F44" s="154">
        <f t="shared" si="0"/>
        <v>4085.9999999999995</v>
      </c>
      <c r="G44" s="167"/>
      <c r="H44" s="170" t="s">
        <v>2892</v>
      </c>
      <c r="O44" s="168"/>
    </row>
    <row r="45" spans="1:15" ht="15" customHeight="1" x14ac:dyDescent="0.2">
      <c r="A45" s="163" t="s">
        <v>4154</v>
      </c>
      <c r="B45" s="1259">
        <v>16.38</v>
      </c>
      <c r="C45" s="1259"/>
      <c r="D45" s="164">
        <v>-9000</v>
      </c>
      <c r="F45" s="154">
        <f t="shared" si="0"/>
        <v>-1474.2</v>
      </c>
      <c r="G45" s="167"/>
      <c r="H45" s="170" t="s">
        <v>2893</v>
      </c>
      <c r="O45" s="168"/>
    </row>
    <row r="46" spans="1:15" ht="15" customHeight="1" x14ac:dyDescent="0.2">
      <c r="A46" s="163" t="s">
        <v>4539</v>
      </c>
      <c r="B46" s="1259">
        <v>12</v>
      </c>
      <c r="C46" s="1259"/>
      <c r="D46" s="164">
        <v>-3000</v>
      </c>
      <c r="F46" s="154">
        <f t="shared" si="0"/>
        <v>-360</v>
      </c>
      <c r="G46" s="167"/>
      <c r="H46" s="170" t="s">
        <v>1117</v>
      </c>
      <c r="O46" s="168"/>
    </row>
    <row r="47" spans="1:15" x14ac:dyDescent="0.2">
      <c r="A47" s="163" t="s">
        <v>4146</v>
      </c>
      <c r="B47" s="1259">
        <v>32.39</v>
      </c>
      <c r="C47" s="1259"/>
      <c r="D47" s="164">
        <v>42000</v>
      </c>
      <c r="E47" s="152"/>
      <c r="F47" s="154">
        <f t="shared" si="0"/>
        <v>13603.8</v>
      </c>
      <c r="G47" s="167"/>
      <c r="H47" s="169" t="s">
        <v>746</v>
      </c>
      <c r="O47" s="168"/>
    </row>
    <row r="48" spans="1:15" ht="15" customHeight="1" x14ac:dyDescent="0.2">
      <c r="A48" s="163" t="s">
        <v>4540</v>
      </c>
      <c r="B48" s="1259">
        <v>32.39</v>
      </c>
      <c r="C48" s="1259"/>
      <c r="D48" s="164">
        <v>28000</v>
      </c>
      <c r="F48" s="154">
        <f t="shared" si="0"/>
        <v>9069.2000000000007</v>
      </c>
      <c r="G48" s="167"/>
      <c r="H48" s="170" t="s">
        <v>2896</v>
      </c>
      <c r="O48" s="168"/>
    </row>
    <row r="49" spans="1:15" ht="15" customHeight="1" x14ac:dyDescent="0.2">
      <c r="A49" s="163" t="s">
        <v>4542</v>
      </c>
      <c r="B49" s="1259">
        <v>16.38</v>
      </c>
      <c r="C49" s="1259"/>
      <c r="D49" s="164">
        <v>-21000</v>
      </c>
      <c r="F49" s="154">
        <f t="shared" si="0"/>
        <v>-3439.8</v>
      </c>
      <c r="G49" s="167"/>
      <c r="H49" s="170" t="s">
        <v>2894</v>
      </c>
      <c r="O49" s="168"/>
    </row>
    <row r="50" spans="1:15" ht="15" customHeight="1" x14ac:dyDescent="0.2">
      <c r="A50" s="163" t="s">
        <v>4543</v>
      </c>
      <c r="B50" s="1259">
        <v>12</v>
      </c>
      <c r="C50" s="1259"/>
      <c r="D50" s="164">
        <v>-7000</v>
      </c>
      <c r="F50" s="154">
        <f t="shared" si="0"/>
        <v>-840</v>
      </c>
      <c r="G50" s="167"/>
      <c r="H50" s="170" t="s">
        <v>1118</v>
      </c>
      <c r="O50" s="168"/>
    </row>
    <row r="51" spans="1:15" x14ac:dyDescent="0.2">
      <c r="A51" s="163" t="s">
        <v>4148</v>
      </c>
      <c r="B51" s="1259">
        <v>30.65</v>
      </c>
      <c r="C51" s="1259"/>
      <c r="D51" s="164">
        <v>60000</v>
      </c>
      <c r="E51" s="152"/>
      <c r="F51" s="154">
        <f t="shared" si="0"/>
        <v>18390</v>
      </c>
      <c r="G51" s="167"/>
      <c r="H51" s="169" t="s">
        <v>853</v>
      </c>
      <c r="O51" s="168"/>
    </row>
    <row r="52" spans="1:15" ht="15" customHeight="1" x14ac:dyDescent="0.2">
      <c r="A52" s="163" t="s">
        <v>4544</v>
      </c>
      <c r="B52" s="1259">
        <v>30.65</v>
      </c>
      <c r="C52" s="1259"/>
      <c r="D52" s="164">
        <v>40000</v>
      </c>
      <c r="F52" s="154">
        <f t="shared" si="0"/>
        <v>12260</v>
      </c>
      <c r="G52" s="167"/>
      <c r="H52" s="170" t="s">
        <v>2897</v>
      </c>
      <c r="O52" s="168"/>
    </row>
    <row r="53" spans="1:15" ht="15" customHeight="1" x14ac:dyDescent="0.2">
      <c r="A53" s="163" t="s">
        <v>4546</v>
      </c>
      <c r="B53" s="1259">
        <v>16.38</v>
      </c>
      <c r="C53" s="1259"/>
      <c r="D53" s="164">
        <v>-30000</v>
      </c>
      <c r="F53" s="154">
        <f t="shared" si="0"/>
        <v>-4913.9999999999991</v>
      </c>
      <c r="G53" s="167"/>
      <c r="H53" s="170" t="s">
        <v>2895</v>
      </c>
      <c r="O53" s="168"/>
    </row>
    <row r="54" spans="1:15" ht="15" customHeight="1" x14ac:dyDescent="0.2">
      <c r="A54" s="163" t="s">
        <v>4547</v>
      </c>
      <c r="B54" s="1259">
        <v>12</v>
      </c>
      <c r="C54" s="1259"/>
      <c r="D54" s="164">
        <v>-10000</v>
      </c>
      <c r="F54" s="154">
        <f t="shared" si="0"/>
        <v>-1200</v>
      </c>
      <c r="G54" s="167"/>
      <c r="H54" s="170" t="s">
        <v>1119</v>
      </c>
      <c r="O54" s="168"/>
    </row>
    <row r="55" spans="1:15" ht="6.75" customHeight="1" x14ac:dyDescent="0.2">
      <c r="H55" s="166"/>
      <c r="I55" s="166"/>
      <c r="J55" s="166"/>
      <c r="K55" s="166"/>
      <c r="L55" s="166"/>
      <c r="M55" s="166"/>
      <c r="N55" s="166"/>
    </row>
    <row r="56" spans="1:15" ht="15" x14ac:dyDescent="0.25">
      <c r="A56" s="142" t="s">
        <v>605</v>
      </c>
      <c r="C56" s="157"/>
      <c r="D56" s="172">
        <f>SUM(D43:D54)</f>
        <v>120000</v>
      </c>
      <c r="E56" s="145"/>
      <c r="F56" s="158">
        <f>SUM(F43:F54)</f>
        <v>51310</v>
      </c>
      <c r="H56" s="169"/>
    </row>
    <row r="57" spans="1:15" ht="15" x14ac:dyDescent="0.25">
      <c r="A57" s="142"/>
      <c r="C57" s="157"/>
      <c r="E57" s="145"/>
      <c r="F57" s="158"/>
      <c r="H57" s="169"/>
    </row>
    <row r="58" spans="1:15" ht="15" x14ac:dyDescent="0.25">
      <c r="A58" s="141" t="s">
        <v>957</v>
      </c>
      <c r="C58" s="157"/>
      <c r="E58" s="145"/>
      <c r="F58" s="158"/>
    </row>
    <row r="59" spans="1:15" ht="15" x14ac:dyDescent="0.25">
      <c r="A59" s="141" t="s">
        <v>958</v>
      </c>
      <c r="C59" s="157"/>
      <c r="E59" s="145"/>
      <c r="F59" s="158"/>
    </row>
    <row r="60" spans="1:15" ht="15" x14ac:dyDescent="0.25">
      <c r="A60" s="141" t="s">
        <v>2657</v>
      </c>
      <c r="C60" s="157"/>
      <c r="E60" s="145"/>
      <c r="F60" s="158"/>
    </row>
    <row r="61" spans="1:15" ht="15" x14ac:dyDescent="0.25">
      <c r="C61" s="157"/>
      <c r="E61" s="145"/>
      <c r="F61" s="158"/>
    </row>
    <row r="63" spans="1:15" ht="15" x14ac:dyDescent="0.25">
      <c r="A63" s="162" t="s">
        <v>602</v>
      </c>
    </row>
    <row r="65" spans="1:1" x14ac:dyDescent="0.2">
      <c r="A65" s="141" t="s">
        <v>4292</v>
      </c>
    </row>
    <row r="66" spans="1:1" x14ac:dyDescent="0.2">
      <c r="A66" s="141" t="s">
        <v>4293</v>
      </c>
    </row>
    <row r="67" spans="1:1" x14ac:dyDescent="0.2">
      <c r="A67" s="160" t="s">
        <v>665</v>
      </c>
    </row>
    <row r="68" spans="1:1" x14ac:dyDescent="0.2">
      <c r="A68" s="160"/>
    </row>
    <row r="69" spans="1:1" x14ac:dyDescent="0.2">
      <c r="A69" s="141" t="s">
        <v>4291</v>
      </c>
    </row>
    <row r="70" spans="1:1" x14ac:dyDescent="0.2">
      <c r="A70" s="141" t="s">
        <v>637</v>
      </c>
    </row>
    <row r="71" spans="1:1" x14ac:dyDescent="0.2">
      <c r="A71" s="141" t="s">
        <v>2810</v>
      </c>
    </row>
    <row r="72" spans="1:1" x14ac:dyDescent="0.2">
      <c r="A72" s="141" t="s">
        <v>2811</v>
      </c>
    </row>
    <row r="77" spans="1:1" ht="15" x14ac:dyDescent="0.25">
      <c r="A77" s="161"/>
    </row>
  </sheetData>
  <mergeCells count="16">
    <mergeCell ref="D41:E41"/>
    <mergeCell ref="B44:C44"/>
    <mergeCell ref="B45:C45"/>
    <mergeCell ref="B40:C40"/>
    <mergeCell ref="D40:E40"/>
    <mergeCell ref="B41:C41"/>
    <mergeCell ref="B43:C43"/>
    <mergeCell ref="B52:C52"/>
    <mergeCell ref="B53:C53"/>
    <mergeCell ref="B54:C54"/>
    <mergeCell ref="B46:C46"/>
    <mergeCell ref="B48:C48"/>
    <mergeCell ref="B49:C49"/>
    <mergeCell ref="B50:C50"/>
    <mergeCell ref="B47:C47"/>
    <mergeCell ref="B51:C51"/>
  </mergeCells>
  <phoneticPr fontId="11" type="noConversion"/>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4097" r:id="rId4">
          <objectPr defaultSize="0" autoPict="0" r:id="rId5">
            <anchor moveWithCells="1" sizeWithCells="1">
              <from>
                <xdr:col>0</xdr:col>
                <xdr:colOff>38100</xdr:colOff>
                <xdr:row>9</xdr:row>
                <xdr:rowOff>0</xdr:rowOff>
              </from>
              <to>
                <xdr:col>3</xdr:col>
                <xdr:colOff>1009650</xdr:colOff>
                <xdr:row>9</xdr:row>
                <xdr:rowOff>0</xdr:rowOff>
              </to>
            </anchor>
          </objectPr>
        </oleObject>
      </mc:Choice>
      <mc:Fallback>
        <oleObject progId="Equation.3" shapeId="4097" r:id="rId4"/>
      </mc:Fallback>
    </mc:AlternateContent>
    <mc:AlternateContent xmlns:mc="http://schemas.openxmlformats.org/markup-compatibility/2006">
      <mc:Choice Requires="x14">
        <oleObject progId="Equation.3" shapeId="4098" r:id="rId6">
          <objectPr defaultSize="0" autoPict="0" r:id="rId7">
            <anchor moveWithCells="1" sizeWithCells="1">
              <from>
                <xdr:col>0</xdr:col>
                <xdr:colOff>0</xdr:colOff>
                <xdr:row>62</xdr:row>
                <xdr:rowOff>0</xdr:rowOff>
              </from>
              <to>
                <xdr:col>6</xdr:col>
                <xdr:colOff>1038225</xdr:colOff>
                <xdr:row>62</xdr:row>
                <xdr:rowOff>0</xdr:rowOff>
              </to>
            </anchor>
          </objectPr>
        </oleObject>
      </mc:Choice>
      <mc:Fallback>
        <oleObject progId="Equation.3" shapeId="4098" r:id="rId6"/>
      </mc:Fallback>
    </mc:AlternateContent>
    <mc:AlternateContent xmlns:mc="http://schemas.openxmlformats.org/markup-compatibility/2006">
      <mc:Choice Requires="x14">
        <oleObject progId="Equation.3" shapeId="4099" r:id="rId8">
          <objectPr defaultSize="0" autoPict="0" r:id="rId9">
            <anchor moveWithCells="1" sizeWithCells="1">
              <from>
                <xdr:col>0</xdr:col>
                <xdr:colOff>342900</xdr:colOff>
                <xdr:row>62</xdr:row>
                <xdr:rowOff>0</xdr:rowOff>
              </from>
              <to>
                <xdr:col>5</xdr:col>
                <xdr:colOff>1409700</xdr:colOff>
                <xdr:row>62</xdr:row>
                <xdr:rowOff>0</xdr:rowOff>
              </to>
            </anchor>
          </objectPr>
        </oleObject>
      </mc:Choice>
      <mc:Fallback>
        <oleObject progId="Equation.3" shapeId="4099" r:id="rId8"/>
      </mc:Fallback>
    </mc:AlternateContent>
    <mc:AlternateContent xmlns:mc="http://schemas.openxmlformats.org/markup-compatibility/2006">
      <mc:Choice Requires="x14">
        <oleObject progId="Equation.3" shapeId="4100" r:id="rId10">
          <objectPr defaultSize="0" autoPict="0" r:id="rId11">
            <anchor moveWithCells="1" sizeWithCells="1">
              <from>
                <xdr:col>0</xdr:col>
                <xdr:colOff>304800</xdr:colOff>
                <xdr:row>62</xdr:row>
                <xdr:rowOff>0</xdr:rowOff>
              </from>
              <to>
                <xdr:col>5</xdr:col>
                <xdr:colOff>933450</xdr:colOff>
                <xdr:row>62</xdr:row>
                <xdr:rowOff>0</xdr:rowOff>
              </to>
            </anchor>
          </objectPr>
        </oleObject>
      </mc:Choice>
      <mc:Fallback>
        <oleObject progId="Equation.3" shapeId="4100" r:id="rId10"/>
      </mc:Fallback>
    </mc:AlternateContent>
    <mc:AlternateContent xmlns:mc="http://schemas.openxmlformats.org/markup-compatibility/2006">
      <mc:Choice Requires="x14">
        <oleObject progId="Equation.3" shapeId="4101" r:id="rId12">
          <objectPr defaultSize="0" autoPict="0" r:id="rId13">
            <anchor moveWithCells="1" sizeWithCells="1">
              <from>
                <xdr:col>3</xdr:col>
                <xdr:colOff>971550</xdr:colOff>
                <xdr:row>62</xdr:row>
                <xdr:rowOff>0</xdr:rowOff>
              </from>
              <to>
                <xdr:col>6</xdr:col>
                <xdr:colOff>1038225</xdr:colOff>
                <xdr:row>62</xdr:row>
                <xdr:rowOff>0</xdr:rowOff>
              </to>
            </anchor>
          </objectPr>
        </oleObject>
      </mc:Choice>
      <mc:Fallback>
        <oleObject progId="Equation.3" shapeId="4101" r:id="rId12"/>
      </mc:Fallback>
    </mc:AlternateContent>
    <mc:AlternateContent xmlns:mc="http://schemas.openxmlformats.org/markup-compatibility/2006">
      <mc:Choice Requires="x14">
        <oleObject progId="Equation.3" shapeId="4102" r:id="rId14">
          <objectPr defaultSize="0" autoPict="0" r:id="rId15">
            <anchor moveWithCells="1" sizeWithCells="1">
              <from>
                <xdr:col>0</xdr:col>
                <xdr:colOff>19050</xdr:colOff>
                <xdr:row>62</xdr:row>
                <xdr:rowOff>0</xdr:rowOff>
              </from>
              <to>
                <xdr:col>3</xdr:col>
                <xdr:colOff>942975</xdr:colOff>
                <xdr:row>62</xdr:row>
                <xdr:rowOff>0</xdr:rowOff>
              </to>
            </anchor>
          </objectPr>
        </oleObject>
      </mc:Choice>
      <mc:Fallback>
        <oleObject progId="Equation.3" shapeId="4102" r:id="rId1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FFC000"/>
  </sheetPr>
  <dimension ref="A1:B103"/>
  <sheetViews>
    <sheetView workbookViewId="0">
      <pane ySplit="1" topLeftCell="A75" activePane="bottomLeft" state="frozen"/>
      <selection pane="bottomLeft" activeCell="B79" sqref="B79"/>
    </sheetView>
  </sheetViews>
  <sheetFormatPr baseColWidth="10" defaultRowHeight="15" x14ac:dyDescent="0.25"/>
  <cols>
    <col min="1" max="1" width="11.42578125" style="562" customWidth="1"/>
    <col min="2" max="2" width="163.42578125" style="556" customWidth="1"/>
  </cols>
  <sheetData>
    <row r="1" spans="1:2" x14ac:dyDescent="0.25">
      <c r="A1" s="560" t="s">
        <v>326</v>
      </c>
      <c r="B1" s="567" t="s">
        <v>36</v>
      </c>
    </row>
    <row r="2" spans="1:2" ht="45" x14ac:dyDescent="0.25">
      <c r="A2" s="561">
        <v>41627</v>
      </c>
      <c r="B2" s="559" t="s">
        <v>327</v>
      </c>
    </row>
    <row r="3" spans="1:2" x14ac:dyDescent="0.25">
      <c r="A3" s="561">
        <v>41656</v>
      </c>
      <c r="B3" s="559" t="s">
        <v>322</v>
      </c>
    </row>
    <row r="4" spans="1:2" x14ac:dyDescent="0.25">
      <c r="A4" s="561">
        <v>41670</v>
      </c>
      <c r="B4" s="559" t="s">
        <v>323</v>
      </c>
    </row>
    <row r="5" spans="1:2" x14ac:dyDescent="0.25">
      <c r="A5" s="561">
        <v>41751</v>
      </c>
      <c r="B5" s="559" t="s">
        <v>328</v>
      </c>
    </row>
    <row r="6" spans="1:2" x14ac:dyDescent="0.25">
      <c r="A6" s="561">
        <v>41759</v>
      </c>
      <c r="B6" s="559" t="s">
        <v>324</v>
      </c>
    </row>
    <row r="7" spans="1:2" x14ac:dyDescent="0.25">
      <c r="A7" s="561">
        <v>41773</v>
      </c>
      <c r="B7" s="559" t="s">
        <v>325</v>
      </c>
    </row>
    <row r="8" spans="1:2" ht="90" x14ac:dyDescent="0.25">
      <c r="A8" s="561">
        <v>41864</v>
      </c>
      <c r="B8" s="559" t="s">
        <v>29</v>
      </c>
    </row>
    <row r="9" spans="1:2" ht="30" x14ac:dyDescent="0.25">
      <c r="A9" s="561">
        <v>41871</v>
      </c>
      <c r="B9" s="559" t="s">
        <v>337</v>
      </c>
    </row>
    <row r="10" spans="1:2" ht="153.75" customHeight="1" x14ac:dyDescent="0.25">
      <c r="A10" s="561">
        <v>41988</v>
      </c>
      <c r="B10" s="559" t="s">
        <v>7843</v>
      </c>
    </row>
    <row r="11" spans="1:2" ht="17.25" customHeight="1" x14ac:dyDescent="0.25">
      <c r="A11" s="561">
        <v>42011</v>
      </c>
      <c r="B11" s="559" t="s">
        <v>5611</v>
      </c>
    </row>
    <row r="12" spans="1:2" ht="17.25" customHeight="1" x14ac:dyDescent="0.25">
      <c r="A12" s="561">
        <v>42048</v>
      </c>
      <c r="B12" s="559" t="s">
        <v>322</v>
      </c>
    </row>
    <row r="13" spans="1:2" s="632" customFormat="1" ht="35.25" customHeight="1" x14ac:dyDescent="0.25">
      <c r="A13" s="561">
        <v>42095</v>
      </c>
      <c r="B13" s="559" t="s">
        <v>5614</v>
      </c>
    </row>
    <row r="14" spans="1:2" ht="35.25" customHeight="1" x14ac:dyDescent="0.25">
      <c r="A14" s="561">
        <v>42121</v>
      </c>
      <c r="B14" s="559" t="s">
        <v>5619</v>
      </c>
    </row>
    <row r="15" spans="1:2" ht="66" customHeight="1" x14ac:dyDescent="0.25">
      <c r="A15" s="561">
        <v>42185</v>
      </c>
      <c r="B15" s="559" t="s">
        <v>5630</v>
      </c>
    </row>
    <row r="16" spans="1:2" ht="21.75" customHeight="1" x14ac:dyDescent="0.25">
      <c r="A16" s="561">
        <v>42186</v>
      </c>
      <c r="B16" s="559" t="s">
        <v>5629</v>
      </c>
    </row>
    <row r="17" spans="1:2" s="632" customFormat="1" ht="96.75" customHeight="1" x14ac:dyDescent="0.25">
      <c r="A17" s="561">
        <v>42285</v>
      </c>
      <c r="B17" s="559" t="s">
        <v>5645</v>
      </c>
    </row>
    <row r="18" spans="1:2" ht="35.25" customHeight="1" x14ac:dyDescent="0.25">
      <c r="A18" s="561">
        <v>42348</v>
      </c>
      <c r="B18" s="559" t="s">
        <v>5765</v>
      </c>
    </row>
    <row r="19" spans="1:2" ht="23.25" customHeight="1" x14ac:dyDescent="0.25">
      <c r="A19" s="561">
        <v>42373</v>
      </c>
      <c r="B19" s="559" t="s">
        <v>5782</v>
      </c>
    </row>
    <row r="20" spans="1:2" ht="23.25" customHeight="1" x14ac:dyDescent="0.25">
      <c r="A20" s="561">
        <v>42391</v>
      </c>
      <c r="B20" s="559" t="s">
        <v>5769</v>
      </c>
    </row>
    <row r="21" spans="1:2" ht="114" customHeight="1" x14ac:dyDescent="0.25">
      <c r="A21" s="561">
        <v>42460</v>
      </c>
      <c r="B21" s="559" t="s">
        <v>5794</v>
      </c>
    </row>
    <row r="22" spans="1:2" ht="66" customHeight="1" x14ac:dyDescent="0.25">
      <c r="A22" s="561">
        <v>42467</v>
      </c>
      <c r="B22" s="559" t="s">
        <v>5800</v>
      </c>
    </row>
    <row r="23" spans="1:2" ht="51.75" customHeight="1" x14ac:dyDescent="0.25">
      <c r="A23" s="561">
        <v>42552</v>
      </c>
      <c r="B23" s="559" t="s">
        <v>6117</v>
      </c>
    </row>
    <row r="24" spans="1:2" ht="98.25" customHeight="1" x14ac:dyDescent="0.25">
      <c r="A24" s="561">
        <v>42644</v>
      </c>
      <c r="B24" s="559" t="s">
        <v>5845</v>
      </c>
    </row>
    <row r="25" spans="1:2" ht="51.75" customHeight="1" x14ac:dyDescent="0.25">
      <c r="A25" s="561">
        <v>42705</v>
      </c>
      <c r="B25" s="559" t="s">
        <v>6096</v>
      </c>
    </row>
    <row r="26" spans="1:2" ht="69.75" customHeight="1" x14ac:dyDescent="0.25">
      <c r="A26" s="561">
        <v>42766</v>
      </c>
      <c r="B26" s="559" t="s">
        <v>6122</v>
      </c>
    </row>
    <row r="27" spans="1:2" ht="53.25" customHeight="1" x14ac:dyDescent="0.25">
      <c r="A27" s="675" t="s">
        <v>6151</v>
      </c>
      <c r="B27" s="559" t="s">
        <v>6152</v>
      </c>
    </row>
    <row r="28" spans="1:2" ht="39" customHeight="1" x14ac:dyDescent="0.25">
      <c r="A28" s="675">
        <v>42830</v>
      </c>
      <c r="B28" s="559" t="s">
        <v>6164</v>
      </c>
    </row>
    <row r="29" spans="1:2" s="12" customFormat="1" ht="24.75" customHeight="1" x14ac:dyDescent="0.25">
      <c r="A29" s="676">
        <v>42858</v>
      </c>
      <c r="B29" s="677" t="s">
        <v>6168</v>
      </c>
    </row>
    <row r="30" spans="1:2" s="12" customFormat="1" ht="24.75" customHeight="1" x14ac:dyDescent="0.25">
      <c r="A30" s="679">
        <v>42859</v>
      </c>
      <c r="B30" s="677" t="s">
        <v>6170</v>
      </c>
    </row>
    <row r="31" spans="1:2" s="12" customFormat="1" ht="53.25" customHeight="1" x14ac:dyDescent="0.25">
      <c r="A31" s="676">
        <v>42877</v>
      </c>
      <c r="B31" s="559" t="s">
        <v>6172</v>
      </c>
    </row>
    <row r="32" spans="1:2" s="12" customFormat="1" ht="66.75" customHeight="1" x14ac:dyDescent="0.25">
      <c r="A32" s="676">
        <v>42919</v>
      </c>
      <c r="B32" s="559" t="s">
        <v>6181</v>
      </c>
    </row>
    <row r="33" spans="1:2" s="12" customFormat="1" ht="23.25" customHeight="1" x14ac:dyDescent="0.25">
      <c r="A33" s="676">
        <v>42947</v>
      </c>
      <c r="B33" s="559" t="s">
        <v>6182</v>
      </c>
    </row>
    <row r="34" spans="1:2" s="12" customFormat="1" ht="30" x14ac:dyDescent="0.25">
      <c r="A34" s="676">
        <v>42993</v>
      </c>
      <c r="B34" s="559" t="s">
        <v>6183</v>
      </c>
    </row>
    <row r="35" spans="1:2" s="12" customFormat="1" ht="30" x14ac:dyDescent="0.25">
      <c r="A35" s="676">
        <v>42993</v>
      </c>
      <c r="B35" s="559" t="s">
        <v>6188</v>
      </c>
    </row>
    <row r="36" spans="1:2" s="12" customFormat="1" x14ac:dyDescent="0.25">
      <c r="A36" s="690">
        <v>43035</v>
      </c>
      <c r="B36" s="689" t="s">
        <v>6318</v>
      </c>
    </row>
    <row r="37" spans="1:2" s="12" customFormat="1" x14ac:dyDescent="0.25">
      <c r="A37" s="690">
        <v>43045</v>
      </c>
      <c r="B37" s="689" t="s">
        <v>6319</v>
      </c>
    </row>
    <row r="38" spans="1:2" x14ac:dyDescent="0.25">
      <c r="A38" s="690">
        <v>43077</v>
      </c>
      <c r="B38" s="689" t="s">
        <v>6317</v>
      </c>
    </row>
    <row r="39" spans="1:2" s="12" customFormat="1" x14ac:dyDescent="0.25">
      <c r="A39" s="690">
        <v>43077</v>
      </c>
      <c r="B39" s="689" t="s">
        <v>6321</v>
      </c>
    </row>
    <row r="40" spans="1:2" s="12" customFormat="1" x14ac:dyDescent="0.25">
      <c r="A40" s="690">
        <v>43077</v>
      </c>
      <c r="B40" s="689" t="s">
        <v>6322</v>
      </c>
    </row>
    <row r="41" spans="1:2" s="12" customFormat="1" x14ac:dyDescent="0.25">
      <c r="A41" s="690">
        <v>43077</v>
      </c>
      <c r="B41" s="689" t="s">
        <v>6323</v>
      </c>
    </row>
    <row r="42" spans="1:2" s="12" customFormat="1" x14ac:dyDescent="0.25">
      <c r="A42" s="690">
        <v>43077</v>
      </c>
      <c r="B42" s="689" t="s">
        <v>6328</v>
      </c>
    </row>
    <row r="43" spans="1:2" s="12" customFormat="1" x14ac:dyDescent="0.25">
      <c r="A43" s="690">
        <v>43077</v>
      </c>
      <c r="B43" s="689" t="s">
        <v>6329</v>
      </c>
    </row>
    <row r="44" spans="1:2" s="12" customFormat="1" x14ac:dyDescent="0.25">
      <c r="A44" s="690">
        <v>43077</v>
      </c>
      <c r="B44" s="689" t="s">
        <v>7844</v>
      </c>
    </row>
    <row r="45" spans="1:2" s="12" customFormat="1" x14ac:dyDescent="0.25">
      <c r="A45" s="690">
        <v>43077</v>
      </c>
      <c r="B45" s="689" t="s">
        <v>7845</v>
      </c>
    </row>
    <row r="46" spans="1:2" s="12" customFormat="1" x14ac:dyDescent="0.25">
      <c r="A46" s="690">
        <v>43112</v>
      </c>
      <c r="B46" s="689" t="s">
        <v>7846</v>
      </c>
    </row>
    <row r="47" spans="1:2" s="12" customFormat="1" x14ac:dyDescent="0.25">
      <c r="A47" s="690">
        <v>43131</v>
      </c>
      <c r="B47" s="689" t="s">
        <v>6335</v>
      </c>
    </row>
    <row r="48" spans="1:2" s="12" customFormat="1" ht="125.25" customHeight="1" x14ac:dyDescent="0.25">
      <c r="A48" s="690">
        <v>43222</v>
      </c>
      <c r="B48" s="689" t="s">
        <v>6353</v>
      </c>
    </row>
    <row r="49" spans="1:2" s="12" customFormat="1" ht="47.25" customHeight="1" x14ac:dyDescent="0.25">
      <c r="A49" s="690">
        <v>43318</v>
      </c>
      <c r="B49" s="689" t="s">
        <v>6361</v>
      </c>
    </row>
    <row r="50" spans="1:2" s="12" customFormat="1" ht="45" x14ac:dyDescent="0.25">
      <c r="A50" s="561">
        <v>43404</v>
      </c>
      <c r="B50" s="689" t="s">
        <v>6477</v>
      </c>
    </row>
    <row r="51" spans="1:2" s="12" customFormat="1" ht="15" customHeight="1" x14ac:dyDescent="0.25">
      <c r="A51" s="690">
        <v>43419</v>
      </c>
      <c r="B51" s="689" t="s">
        <v>6400</v>
      </c>
    </row>
    <row r="52" spans="1:2" s="12" customFormat="1" ht="30" x14ac:dyDescent="0.25">
      <c r="A52" s="690">
        <v>43496</v>
      </c>
      <c r="B52" s="689" t="s">
        <v>6484</v>
      </c>
    </row>
    <row r="53" spans="1:2" s="12" customFormat="1" x14ac:dyDescent="0.25">
      <c r="A53" s="561">
        <v>43531</v>
      </c>
      <c r="B53" s="689" t="s">
        <v>6485</v>
      </c>
    </row>
    <row r="54" spans="1:2" s="12" customFormat="1" ht="30" x14ac:dyDescent="0.25">
      <c r="A54" s="690">
        <v>43585</v>
      </c>
      <c r="B54" s="689" t="s">
        <v>6489</v>
      </c>
    </row>
    <row r="55" spans="1:2" s="12" customFormat="1" x14ac:dyDescent="0.25">
      <c r="A55" s="690">
        <v>43593</v>
      </c>
      <c r="B55" s="689" t="s">
        <v>6490</v>
      </c>
    </row>
    <row r="56" spans="1:2" s="12" customFormat="1" ht="60" x14ac:dyDescent="0.25">
      <c r="A56" s="690">
        <v>43677</v>
      </c>
      <c r="B56" s="689" t="s">
        <v>6494</v>
      </c>
    </row>
    <row r="57" spans="1:2" s="12" customFormat="1" x14ac:dyDescent="0.25">
      <c r="A57" s="690">
        <v>43769</v>
      </c>
      <c r="B57" s="689" t="s">
        <v>6606</v>
      </c>
    </row>
    <row r="58" spans="1:2" s="12" customFormat="1" ht="45" x14ac:dyDescent="0.25">
      <c r="A58" s="690">
        <v>43796</v>
      </c>
      <c r="B58" s="689" t="s">
        <v>6601</v>
      </c>
    </row>
    <row r="59" spans="1:2" s="12" customFormat="1" ht="30" x14ac:dyDescent="0.25">
      <c r="A59" s="561">
        <v>43873</v>
      </c>
      <c r="B59" s="689" t="s">
        <v>6607</v>
      </c>
    </row>
    <row r="60" spans="1:2" s="12" customFormat="1" ht="105" x14ac:dyDescent="0.25">
      <c r="A60" s="690">
        <v>43951</v>
      </c>
      <c r="B60" s="689" t="s">
        <v>6625</v>
      </c>
    </row>
    <row r="61" spans="1:2" s="12" customFormat="1" x14ac:dyDescent="0.25">
      <c r="A61" s="690">
        <v>44064</v>
      </c>
      <c r="B61" s="689" t="s">
        <v>6626</v>
      </c>
    </row>
    <row r="62" spans="1:2" s="12" customFormat="1" x14ac:dyDescent="0.25">
      <c r="A62" s="690">
        <v>44140</v>
      </c>
      <c r="B62" s="689" t="s">
        <v>6627</v>
      </c>
    </row>
    <row r="63" spans="1:2" s="12" customFormat="1" ht="150" x14ac:dyDescent="0.25">
      <c r="A63" s="790">
        <v>44196</v>
      </c>
      <c r="B63" s="812" t="s">
        <v>7847</v>
      </c>
    </row>
    <row r="64" spans="1:2" s="12" customFormat="1" ht="135" x14ac:dyDescent="0.25">
      <c r="A64" s="790">
        <v>44260</v>
      </c>
      <c r="B64" s="812" t="s">
        <v>7526</v>
      </c>
    </row>
    <row r="65" spans="1:2" s="12" customFormat="1" ht="45" x14ac:dyDescent="0.25">
      <c r="A65" s="790">
        <v>44351</v>
      </c>
      <c r="B65" s="812" t="s">
        <v>7533</v>
      </c>
    </row>
    <row r="66" spans="1:2" s="12" customFormat="1" ht="105" x14ac:dyDescent="0.25">
      <c r="A66" s="790">
        <v>44424</v>
      </c>
      <c r="B66" s="812" t="s">
        <v>7538</v>
      </c>
    </row>
    <row r="67" spans="1:2" s="12" customFormat="1" ht="78.75" customHeight="1" x14ac:dyDescent="0.25">
      <c r="A67" s="790">
        <v>44477</v>
      </c>
      <c r="B67" s="812" t="s">
        <v>7555</v>
      </c>
    </row>
    <row r="68" spans="1:2" s="12" customFormat="1" ht="33" customHeight="1" x14ac:dyDescent="0.25">
      <c r="A68" s="790">
        <v>44511</v>
      </c>
      <c r="B68" s="812" t="s">
        <v>7565</v>
      </c>
    </row>
    <row r="69" spans="1:2" s="12" customFormat="1" ht="143.1" customHeight="1" x14ac:dyDescent="0.25">
      <c r="A69" s="790">
        <v>44536</v>
      </c>
      <c r="B69" s="812" t="s">
        <v>7848</v>
      </c>
    </row>
    <row r="70" spans="1:2" s="12" customFormat="1" ht="71.25" customHeight="1" x14ac:dyDescent="0.25">
      <c r="A70" s="1032">
        <v>44545</v>
      </c>
      <c r="B70" s="1033" t="s">
        <v>7824</v>
      </c>
    </row>
    <row r="71" spans="1:2" s="12" customFormat="1" ht="81.75" customHeight="1" x14ac:dyDescent="0.25">
      <c r="A71" s="790">
        <v>44592</v>
      </c>
      <c r="B71" s="812" t="s">
        <v>7849</v>
      </c>
    </row>
    <row r="72" spans="1:2" s="12" customFormat="1" x14ac:dyDescent="0.25">
      <c r="A72" s="790">
        <v>44616</v>
      </c>
      <c r="B72" s="812" t="s">
        <v>7854</v>
      </c>
    </row>
    <row r="73" spans="1:2" s="12" customFormat="1" ht="30" x14ac:dyDescent="0.25">
      <c r="A73" s="790">
        <v>44681</v>
      </c>
      <c r="B73" s="812" t="s">
        <v>7860</v>
      </c>
    </row>
    <row r="74" spans="1:2" s="12" customFormat="1" ht="30" x14ac:dyDescent="0.25">
      <c r="A74" s="790">
        <v>44774</v>
      </c>
      <c r="B74" s="812" t="s">
        <v>7868</v>
      </c>
    </row>
    <row r="75" spans="1:2" s="12" customFormat="1" ht="75" x14ac:dyDescent="0.25">
      <c r="A75" s="790">
        <v>44848</v>
      </c>
      <c r="B75" s="812" t="s">
        <v>7891</v>
      </c>
    </row>
    <row r="76" spans="1:2" s="12" customFormat="1" ht="32.25" customHeight="1" x14ac:dyDescent="0.25">
      <c r="A76" s="1058">
        <v>44865</v>
      </c>
      <c r="B76" s="812" t="s">
        <v>7905</v>
      </c>
    </row>
    <row r="77" spans="1:2" s="12" customFormat="1" ht="225" x14ac:dyDescent="0.25">
      <c r="A77" s="790">
        <f>'EEG-Vergütungen und vNNE'!J31</f>
        <v>44896</v>
      </c>
      <c r="B77" s="1097" t="s">
        <v>8204</v>
      </c>
    </row>
    <row r="78" spans="1:2" s="12" customFormat="1" ht="75" customHeight="1" x14ac:dyDescent="0.25">
      <c r="A78" s="790">
        <v>44938</v>
      </c>
      <c r="B78" s="1097" t="s">
        <v>8211</v>
      </c>
    </row>
    <row r="79" spans="1:2" s="12" customFormat="1" ht="26.25" customHeight="1" x14ac:dyDescent="0.25">
      <c r="A79" s="1106"/>
      <c r="B79" s="1107"/>
    </row>
    <row r="80" spans="1:2" s="12" customFormat="1" ht="18.75" customHeight="1" x14ac:dyDescent="0.25">
      <c r="A80" s="789"/>
      <c r="B80" s="558" t="s">
        <v>7453</v>
      </c>
    </row>
    <row r="81" spans="1:2" s="12" customFormat="1" ht="56.25" customHeight="1" x14ac:dyDescent="0.25">
      <c r="A81" s="789"/>
      <c r="B81" s="654" t="s">
        <v>7452</v>
      </c>
    </row>
    <row r="82" spans="1:2" s="12" customFormat="1" ht="26.25" customHeight="1" x14ac:dyDescent="0.25">
      <c r="A82" s="789"/>
      <c r="B82" s="654"/>
    </row>
    <row r="83" spans="1:2" s="12" customFormat="1" ht="26.25" x14ac:dyDescent="0.25">
      <c r="A83" s="653"/>
      <c r="B83" s="655" t="s">
        <v>5846</v>
      </c>
    </row>
    <row r="84" spans="1:2" s="12" customFormat="1" ht="18.75" x14ac:dyDescent="0.25">
      <c r="A84" s="653"/>
      <c r="B84" s="558" t="s">
        <v>321</v>
      </c>
    </row>
    <row r="85" spans="1:2" ht="45" x14ac:dyDescent="0.25">
      <c r="A85" s="653"/>
      <c r="B85" s="654" t="s">
        <v>6097</v>
      </c>
    </row>
    <row r="86" spans="1:2" ht="30" x14ac:dyDescent="0.25">
      <c r="A86" s="653"/>
      <c r="B86" s="654" t="s">
        <v>5848</v>
      </c>
    </row>
    <row r="87" spans="1:2" ht="22.5" customHeight="1" x14ac:dyDescent="0.25">
      <c r="B87" s="558" t="s">
        <v>319</v>
      </c>
    </row>
    <row r="88" spans="1:2" ht="45" x14ac:dyDescent="0.25">
      <c r="B88" s="556" t="s">
        <v>6098</v>
      </c>
    </row>
    <row r="89" spans="1:2" ht="18.75" x14ac:dyDescent="0.25">
      <c r="A89" s="653"/>
      <c r="B89" s="558" t="s">
        <v>320</v>
      </c>
    </row>
    <row r="90" spans="1:2" ht="53.25" customHeight="1" x14ac:dyDescent="0.25">
      <c r="A90" s="653"/>
      <c r="B90" s="654" t="s">
        <v>6099</v>
      </c>
    </row>
    <row r="91" spans="1:2" x14ac:dyDescent="0.25">
      <c r="A91" s="653"/>
      <c r="B91" s="654"/>
    </row>
    <row r="92" spans="1:2" ht="21" customHeight="1" x14ac:dyDescent="0.25">
      <c r="A92" s="653"/>
      <c r="B92" s="654"/>
    </row>
    <row r="93" spans="1:2" ht="26.25" x14ac:dyDescent="0.25">
      <c r="B93" s="655" t="s">
        <v>5847</v>
      </c>
    </row>
    <row r="94" spans="1:2" ht="18.75" x14ac:dyDescent="0.25">
      <c r="B94" s="558" t="s">
        <v>321</v>
      </c>
    </row>
    <row r="95" spans="1:2" ht="89.25" customHeight="1" x14ac:dyDescent="0.25">
      <c r="B95" s="556" t="s">
        <v>950</v>
      </c>
    </row>
    <row r="96" spans="1:2" ht="45" x14ac:dyDescent="0.25">
      <c r="B96" s="556" t="s">
        <v>951</v>
      </c>
    </row>
    <row r="97" spans="1:2" ht="60" x14ac:dyDescent="0.25">
      <c r="B97" s="556" t="s">
        <v>7842</v>
      </c>
    </row>
    <row r="98" spans="1:2" ht="18.75" x14ac:dyDescent="0.25">
      <c r="B98" s="558" t="s">
        <v>319</v>
      </c>
    </row>
    <row r="99" spans="1:2" ht="71.25" customHeight="1" x14ac:dyDescent="0.25">
      <c r="B99" s="556" t="s">
        <v>949</v>
      </c>
    </row>
    <row r="100" spans="1:2" ht="18.75" x14ac:dyDescent="0.25">
      <c r="B100" s="558" t="s">
        <v>320</v>
      </c>
    </row>
    <row r="101" spans="1:2" ht="53.25" customHeight="1" x14ac:dyDescent="0.25">
      <c r="A101"/>
      <c r="B101" s="556" t="s">
        <v>952</v>
      </c>
    </row>
    <row r="102" spans="1:2" ht="105" x14ac:dyDescent="0.25">
      <c r="A102"/>
      <c r="B102" s="556" t="s">
        <v>329</v>
      </c>
    </row>
    <row r="103" spans="1:2" ht="32.25" customHeight="1" x14ac:dyDescent="0.25">
      <c r="A103"/>
    </row>
  </sheetData>
  <phoneticPr fontId="11" type="noConversion"/>
  <pageMargins left="0.7" right="0.7" top="0.78740157499999996" bottom="0.78740157499999996"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tabColor rgb="FFFFFF00"/>
  </sheetPr>
  <dimension ref="A1:I397"/>
  <sheetViews>
    <sheetView workbookViewId="0">
      <selection sqref="A1:F1"/>
    </sheetView>
  </sheetViews>
  <sheetFormatPr baseColWidth="10" defaultRowHeight="15" x14ac:dyDescent="0.25"/>
  <cols>
    <col min="1" max="1" width="24" customWidth="1"/>
    <col min="2" max="2" width="23.42578125" customWidth="1"/>
    <col min="3" max="3" width="24.5703125" customWidth="1"/>
    <col min="4" max="4" width="26.42578125" customWidth="1"/>
    <col min="5" max="5" width="18.5703125" customWidth="1"/>
    <col min="6" max="6" width="13.5703125" customWidth="1"/>
  </cols>
  <sheetData>
    <row r="1" spans="1:6" ht="26.25" x14ac:dyDescent="0.4">
      <c r="A1" s="1114" t="s">
        <v>8198</v>
      </c>
      <c r="B1" s="1114"/>
      <c r="C1" s="1114"/>
      <c r="D1" s="1114"/>
      <c r="E1" s="1114"/>
      <c r="F1" s="1114"/>
    </row>
    <row r="3" spans="1:6" x14ac:dyDescent="0.25">
      <c r="A3" s="381" t="s">
        <v>4579</v>
      </c>
      <c r="B3" s="72"/>
      <c r="C3" s="72"/>
      <c r="D3" s="72"/>
      <c r="E3" s="72"/>
      <c r="F3" s="72"/>
    </row>
    <row r="4" spans="1:6" x14ac:dyDescent="0.25">
      <c r="A4" s="72" t="s">
        <v>4580</v>
      </c>
      <c r="B4" s="72" t="s">
        <v>4581</v>
      </c>
      <c r="C4" s="72"/>
      <c r="D4" s="72"/>
      <c r="E4" s="72"/>
      <c r="F4" s="72"/>
    </row>
    <row r="5" spans="1:6" x14ac:dyDescent="0.25">
      <c r="A5" s="98" t="s">
        <v>4582</v>
      </c>
      <c r="B5" s="72" t="s">
        <v>4583</v>
      </c>
      <c r="C5" s="72"/>
      <c r="D5" s="72"/>
      <c r="E5" s="72"/>
      <c r="F5" s="72"/>
    </row>
    <row r="6" spans="1:6" x14ac:dyDescent="0.25">
      <c r="A6" s="99" t="s">
        <v>4584</v>
      </c>
      <c r="B6" s="72" t="s">
        <v>4585</v>
      </c>
      <c r="C6" s="72"/>
      <c r="D6" s="72"/>
      <c r="E6" s="72"/>
      <c r="F6" s="72"/>
    </row>
    <row r="7" spans="1:6" x14ac:dyDescent="0.25">
      <c r="A7" s="218" t="s">
        <v>1981</v>
      </c>
      <c r="B7" s="72" t="s">
        <v>2130</v>
      </c>
      <c r="C7" s="72"/>
      <c r="D7" s="72"/>
      <c r="E7" s="72"/>
      <c r="F7" s="72"/>
    </row>
    <row r="8" spans="1:6" x14ac:dyDescent="0.25">
      <c r="A8" s="291" t="s">
        <v>4160</v>
      </c>
      <c r="B8" s="72" t="s">
        <v>3130</v>
      </c>
      <c r="C8" s="72"/>
      <c r="D8" s="72"/>
      <c r="E8" s="72"/>
      <c r="F8" s="72"/>
    </row>
    <row r="9" spans="1:6" x14ac:dyDescent="0.25">
      <c r="A9" s="299" t="s">
        <v>3128</v>
      </c>
      <c r="B9" s="72" t="s">
        <v>3129</v>
      </c>
      <c r="C9" s="72"/>
      <c r="D9" s="72"/>
      <c r="E9" s="72"/>
      <c r="F9" s="72"/>
    </row>
    <row r="10" spans="1:6" x14ac:dyDescent="0.25">
      <c r="A10" s="341" t="s">
        <v>3131</v>
      </c>
      <c r="B10" s="72" t="s">
        <v>3132</v>
      </c>
      <c r="C10" s="72"/>
      <c r="D10" s="72"/>
      <c r="E10" s="72"/>
      <c r="F10" s="72"/>
    </row>
    <row r="11" spans="1:6" x14ac:dyDescent="0.25">
      <c r="A11" s="342" t="s">
        <v>4639</v>
      </c>
      <c r="B11" s="72" t="s">
        <v>4640</v>
      </c>
      <c r="C11" s="72"/>
      <c r="D11" s="72"/>
      <c r="E11" s="72"/>
      <c r="F11" s="72"/>
    </row>
    <row r="12" spans="1:6" x14ac:dyDescent="0.25">
      <c r="A12" s="369" t="s">
        <v>2837</v>
      </c>
      <c r="B12" s="72" t="s">
        <v>1707</v>
      </c>
      <c r="C12" s="72"/>
      <c r="D12" s="72"/>
      <c r="E12" s="72"/>
      <c r="F12" s="72"/>
    </row>
    <row r="13" spans="1:6" x14ac:dyDescent="0.25">
      <c r="A13" s="382" t="s">
        <v>2299</v>
      </c>
      <c r="B13" s="72" t="s">
        <v>315</v>
      </c>
      <c r="C13" s="72"/>
      <c r="D13" s="72"/>
      <c r="E13" s="72"/>
      <c r="F13" s="72"/>
    </row>
    <row r="14" spans="1:6" x14ac:dyDescent="0.25">
      <c r="A14" s="434" t="s">
        <v>4636</v>
      </c>
      <c r="B14" s="72" t="s">
        <v>5758</v>
      </c>
      <c r="C14" s="72"/>
      <c r="D14" s="72"/>
      <c r="E14" s="72"/>
      <c r="F14" s="72"/>
    </row>
    <row r="15" spans="1:6" x14ac:dyDescent="0.25">
      <c r="A15" s="642" t="s">
        <v>5803</v>
      </c>
      <c r="B15" s="72" t="s">
        <v>5804</v>
      </c>
      <c r="C15" s="72"/>
      <c r="D15" s="72"/>
      <c r="E15" s="72"/>
      <c r="F15" s="72"/>
    </row>
    <row r="16" spans="1:6" x14ac:dyDescent="0.25">
      <c r="A16" s="72"/>
      <c r="B16" s="72"/>
      <c r="C16" s="72"/>
      <c r="D16" s="72"/>
      <c r="E16" s="72"/>
      <c r="F16" s="72"/>
    </row>
    <row r="17" spans="1:6" s="238" customFormat="1" ht="74.849999999999994" customHeight="1" x14ac:dyDescent="0.25">
      <c r="A17" s="380" t="s">
        <v>2945</v>
      </c>
      <c r="B17" s="1116" t="s">
        <v>7713</v>
      </c>
      <c r="C17" s="1116"/>
      <c r="D17" s="1116"/>
      <c r="E17" s="1116"/>
      <c r="F17" s="1116"/>
    </row>
    <row r="18" spans="1:6" x14ac:dyDescent="0.25">
      <c r="A18" s="72"/>
      <c r="B18" s="72"/>
      <c r="C18" s="72"/>
      <c r="D18" s="72"/>
      <c r="E18" s="72"/>
      <c r="F18" s="72"/>
    </row>
    <row r="19" spans="1:6" ht="26.25" x14ac:dyDescent="0.4">
      <c r="A19" s="19" t="s">
        <v>4063</v>
      </c>
    </row>
    <row r="20" spans="1:6" ht="21" customHeight="1" x14ac:dyDescent="0.35">
      <c r="A20" s="38" t="s">
        <v>4064</v>
      </c>
    </row>
    <row r="21" spans="1:6" ht="16.5" customHeight="1" x14ac:dyDescent="0.25">
      <c r="A21" s="1127" t="s">
        <v>2851</v>
      </c>
      <c r="B21" s="1112"/>
      <c r="C21" s="1112"/>
      <c r="D21" s="1112"/>
      <c r="E21" s="1112"/>
      <c r="F21" s="1113"/>
    </row>
    <row r="22" spans="1:6" ht="12" customHeight="1" x14ac:dyDescent="0.25">
      <c r="A22" s="5"/>
      <c r="B22" s="6"/>
      <c r="C22" s="5"/>
      <c r="D22" s="5"/>
      <c r="E22" s="5"/>
      <c r="F22" s="7"/>
    </row>
    <row r="23" spans="1:6" ht="30.75" customHeight="1" x14ac:dyDescent="0.25">
      <c r="A23" s="1127" t="s">
        <v>2850</v>
      </c>
      <c r="B23" s="1112"/>
      <c r="C23" s="1112"/>
      <c r="D23" s="1112"/>
      <c r="E23" s="1112"/>
      <c r="F23" s="1113"/>
    </row>
    <row r="24" spans="1:6" ht="12" customHeight="1" x14ac:dyDescent="0.25">
      <c r="A24" s="5"/>
      <c r="B24" s="6"/>
      <c r="C24" s="5"/>
      <c r="D24" s="5"/>
      <c r="E24" s="5"/>
      <c r="F24" s="7"/>
    </row>
    <row r="25" spans="1:6" ht="87.75" customHeight="1" x14ac:dyDescent="0.25">
      <c r="A25" s="1121" t="s">
        <v>4578</v>
      </c>
      <c r="B25" s="1122"/>
      <c r="C25" s="1122"/>
      <c r="D25" s="1122"/>
      <c r="E25" s="1122"/>
      <c r="F25" s="1123"/>
    </row>
    <row r="26" spans="1:6" ht="12" customHeight="1" x14ac:dyDescent="0.25">
      <c r="A26" s="8"/>
      <c r="B26" s="9"/>
      <c r="C26" s="8"/>
      <c r="D26" s="8"/>
      <c r="E26" s="8"/>
      <c r="F26" s="10"/>
    </row>
    <row r="27" spans="1:6" ht="30.75" customHeight="1" x14ac:dyDescent="0.25">
      <c r="A27" s="1111" t="s">
        <v>4062</v>
      </c>
      <c r="B27" s="1112"/>
      <c r="C27" s="1112"/>
      <c r="D27" s="1112"/>
      <c r="E27" s="1112"/>
      <c r="F27" s="1113"/>
    </row>
    <row r="28" spans="1:6" x14ac:dyDescent="0.25">
      <c r="A28" s="20"/>
      <c r="B28" s="20"/>
      <c r="C28" s="20"/>
      <c r="D28" s="20"/>
      <c r="E28" s="20"/>
      <c r="F28" s="20"/>
    </row>
    <row r="29" spans="1:6" x14ac:dyDescent="0.25">
      <c r="A29" s="1124" t="s">
        <v>779</v>
      </c>
      <c r="B29" s="1125"/>
      <c r="C29" s="1125"/>
      <c r="D29" s="1125"/>
      <c r="E29" s="1125"/>
      <c r="F29" s="1126"/>
    </row>
    <row r="30" spans="1:6" ht="12" customHeight="1" x14ac:dyDescent="0.25">
      <c r="A30" s="5"/>
      <c r="B30" s="6"/>
      <c r="C30" s="5"/>
      <c r="D30" s="5"/>
      <c r="E30" s="5"/>
      <c r="F30" s="7"/>
    </row>
    <row r="31" spans="1:6" ht="75" customHeight="1" x14ac:dyDescent="0.25">
      <c r="A31" s="1121" t="s">
        <v>2911</v>
      </c>
      <c r="B31" s="1122"/>
      <c r="C31" s="1122"/>
      <c r="D31" s="1122"/>
      <c r="E31" s="1122"/>
      <c r="F31" s="1123"/>
    </row>
    <row r="32" spans="1:6" ht="12" customHeight="1" x14ac:dyDescent="0.25">
      <c r="A32" s="5"/>
      <c r="B32" s="6"/>
      <c r="C32" s="5"/>
      <c r="D32" s="5"/>
      <c r="E32" s="5"/>
      <c r="F32" s="7"/>
    </row>
    <row r="33" spans="1:9" s="37" customFormat="1" ht="132" customHeight="1" x14ac:dyDescent="0.25">
      <c r="A33" s="1121" t="s">
        <v>2686</v>
      </c>
      <c r="B33" s="1122"/>
      <c r="C33" s="1122"/>
      <c r="D33" s="1122"/>
      <c r="E33" s="1122"/>
      <c r="F33" s="1123"/>
    </row>
    <row r="34" spans="1:9" s="37" customFormat="1" ht="12" customHeight="1" x14ac:dyDescent="0.25">
      <c r="A34" s="20"/>
      <c r="B34" s="20"/>
      <c r="C34" s="20"/>
      <c r="D34" s="20"/>
      <c r="E34" s="20"/>
      <c r="F34" s="20"/>
    </row>
    <row r="35" spans="1:9" s="37" customFormat="1" ht="39.75" customHeight="1" x14ac:dyDescent="0.25">
      <c r="A35" s="1111" t="s">
        <v>4590</v>
      </c>
      <c r="B35" s="1112"/>
      <c r="C35" s="1112"/>
      <c r="D35" s="1112"/>
      <c r="E35" s="1112"/>
      <c r="F35" s="1113"/>
    </row>
    <row r="36" spans="1:9" s="37" customFormat="1" ht="12" customHeight="1" x14ac:dyDescent="0.25">
      <c r="A36" s="20"/>
      <c r="B36" s="20"/>
      <c r="C36" s="20"/>
      <c r="D36" s="20"/>
      <c r="E36" s="20"/>
      <c r="F36" s="20"/>
    </row>
    <row r="37" spans="1:9" s="37" customFormat="1" ht="42" customHeight="1" x14ac:dyDescent="0.25">
      <c r="A37" s="1111" t="s">
        <v>4851</v>
      </c>
      <c r="B37" s="1112"/>
      <c r="C37" s="1112"/>
      <c r="D37" s="1112"/>
      <c r="E37" s="1112"/>
      <c r="F37" s="1113"/>
    </row>
    <row r="38" spans="1:9" x14ac:dyDescent="0.25">
      <c r="F38" s="15"/>
    </row>
    <row r="39" spans="1:9" x14ac:dyDescent="0.25">
      <c r="F39" s="15"/>
    </row>
    <row r="40" spans="1:9" ht="26.25" x14ac:dyDescent="0.4">
      <c r="A40" s="19" t="s">
        <v>2682</v>
      </c>
    </row>
    <row r="41" spans="1:9" ht="21" customHeight="1" x14ac:dyDescent="0.35">
      <c r="A41" s="38" t="s">
        <v>4065</v>
      </c>
      <c r="F41" s="15"/>
    </row>
    <row r="42" spans="1:9" ht="18.75" customHeight="1" x14ac:dyDescent="0.3">
      <c r="F42" s="1118" t="s">
        <v>670</v>
      </c>
      <c r="G42" s="1119"/>
      <c r="H42" s="1119"/>
      <c r="I42" s="1120"/>
    </row>
    <row r="43" spans="1:9" x14ac:dyDescent="0.25">
      <c r="A43" s="24" t="s">
        <v>668</v>
      </c>
      <c r="B43" s="24" t="s">
        <v>669</v>
      </c>
      <c r="C43" s="24" t="s">
        <v>672</v>
      </c>
      <c r="D43" s="1117" t="s">
        <v>671</v>
      </c>
      <c r="E43" s="1117"/>
      <c r="F43" s="24" t="s">
        <v>5500</v>
      </c>
      <c r="G43" s="24" t="s">
        <v>5501</v>
      </c>
      <c r="H43" s="24" t="s">
        <v>5502</v>
      </c>
      <c r="I43" s="24" t="s">
        <v>2683</v>
      </c>
    </row>
    <row r="44" spans="1:9" x14ac:dyDescent="0.25">
      <c r="A44" s="25" t="s">
        <v>5418</v>
      </c>
      <c r="B44" s="26"/>
      <c r="C44" s="25" t="s">
        <v>5548</v>
      </c>
      <c r="D44" s="1115"/>
      <c r="E44" s="1115"/>
      <c r="F44" s="26"/>
      <c r="G44" s="26"/>
      <c r="H44" s="26"/>
    </row>
    <row r="45" spans="1:9" ht="48.75" customHeight="1" x14ac:dyDescent="0.25">
      <c r="A45" s="100" t="s">
        <v>5416</v>
      </c>
      <c r="B45" s="100" t="s">
        <v>4388</v>
      </c>
      <c r="C45" s="100" t="s">
        <v>5417</v>
      </c>
      <c r="D45" s="1109" t="s">
        <v>1923</v>
      </c>
      <c r="E45" s="1109"/>
      <c r="F45" s="203">
        <v>1</v>
      </c>
      <c r="G45" s="203">
        <v>0.99</v>
      </c>
      <c r="H45" s="203">
        <v>0.98</v>
      </c>
    </row>
    <row r="46" spans="1:9" x14ac:dyDescent="0.25">
      <c r="A46" s="100"/>
      <c r="B46" s="100"/>
      <c r="C46" s="100"/>
      <c r="D46" s="1109"/>
      <c r="E46" s="1109"/>
      <c r="F46" s="203"/>
      <c r="G46" s="203"/>
      <c r="H46" s="203"/>
    </row>
    <row r="47" spans="1:9" ht="45" x14ac:dyDescent="0.25">
      <c r="A47" s="101" t="s">
        <v>5419</v>
      </c>
      <c r="B47" s="101"/>
      <c r="C47" s="102" t="s">
        <v>922</v>
      </c>
      <c r="D47" s="1109"/>
      <c r="E47" s="1109"/>
      <c r="F47" s="100"/>
      <c r="G47" s="100"/>
      <c r="H47" s="100"/>
    </row>
    <row r="48" spans="1:9" ht="45" x14ac:dyDescent="0.25">
      <c r="A48" s="100" t="s">
        <v>2361</v>
      </c>
      <c r="B48" s="100" t="s">
        <v>5409</v>
      </c>
      <c r="C48" s="103" t="s">
        <v>923</v>
      </c>
      <c r="D48" s="1109" t="s">
        <v>1924</v>
      </c>
      <c r="E48" s="1109"/>
      <c r="F48" s="203">
        <v>2</v>
      </c>
      <c r="G48" s="203" t="s">
        <v>5503</v>
      </c>
      <c r="H48" s="203" t="s">
        <v>5504</v>
      </c>
    </row>
    <row r="49" spans="1:9" ht="45" x14ac:dyDescent="0.25">
      <c r="A49" s="100" t="s">
        <v>2362</v>
      </c>
      <c r="B49" s="100" t="s">
        <v>5409</v>
      </c>
      <c r="C49" s="103" t="s">
        <v>924</v>
      </c>
      <c r="D49" s="1109" t="s">
        <v>3285</v>
      </c>
      <c r="E49" s="1109"/>
      <c r="F49" s="203">
        <v>1</v>
      </c>
      <c r="G49" s="203">
        <v>0.99</v>
      </c>
      <c r="H49" s="203" t="s">
        <v>5505</v>
      </c>
    </row>
    <row r="50" spans="1:9" ht="45" x14ac:dyDescent="0.25">
      <c r="A50" s="100" t="s">
        <v>2363</v>
      </c>
      <c r="B50" s="100" t="s">
        <v>5410</v>
      </c>
      <c r="C50" s="100" t="s">
        <v>2364</v>
      </c>
      <c r="D50" s="1109" t="s">
        <v>3286</v>
      </c>
      <c r="E50" s="1109"/>
      <c r="F50" s="203">
        <v>2</v>
      </c>
      <c r="G50" s="203" t="s">
        <v>5503</v>
      </c>
      <c r="H50" s="203" t="s">
        <v>5504</v>
      </c>
      <c r="I50" s="292" t="s">
        <v>2684</v>
      </c>
    </row>
    <row r="51" spans="1:9" x14ac:dyDescent="0.25">
      <c r="A51" s="100"/>
      <c r="B51" s="100"/>
      <c r="C51" s="100"/>
      <c r="D51" s="1109"/>
      <c r="E51" s="1109"/>
      <c r="F51" s="100"/>
      <c r="G51" s="100"/>
      <c r="H51" s="100"/>
    </row>
    <row r="52" spans="1:9" x14ac:dyDescent="0.25">
      <c r="A52" s="101" t="s">
        <v>5420</v>
      </c>
      <c r="B52" s="101"/>
      <c r="C52" s="101" t="s">
        <v>5548</v>
      </c>
      <c r="D52" s="1109"/>
      <c r="E52" s="1109"/>
      <c r="F52" s="100"/>
      <c r="G52" s="100"/>
      <c r="H52" s="100"/>
    </row>
    <row r="53" spans="1:9" x14ac:dyDescent="0.25">
      <c r="A53" s="100" t="s">
        <v>5421</v>
      </c>
      <c r="B53" s="100" t="s">
        <v>854</v>
      </c>
      <c r="C53" s="100" t="s">
        <v>5422</v>
      </c>
      <c r="D53" s="1109" t="s">
        <v>2597</v>
      </c>
      <c r="E53" s="1109"/>
      <c r="F53" s="203">
        <v>6</v>
      </c>
      <c r="G53" s="203">
        <v>5.94</v>
      </c>
      <c r="H53" s="203">
        <v>5.88</v>
      </c>
      <c r="I53" s="293">
        <v>5.82</v>
      </c>
    </row>
    <row r="54" spans="1:9" x14ac:dyDescent="0.25">
      <c r="A54" s="100" t="s">
        <v>5423</v>
      </c>
      <c r="B54" s="100" t="s">
        <v>854</v>
      </c>
      <c r="C54" s="100" t="s">
        <v>5408</v>
      </c>
      <c r="D54" s="1109" t="s">
        <v>2598</v>
      </c>
      <c r="E54" s="1109"/>
      <c r="F54" s="203">
        <v>4</v>
      </c>
      <c r="G54" s="203">
        <v>3.96</v>
      </c>
      <c r="H54" s="203">
        <v>3.92</v>
      </c>
      <c r="I54" s="292">
        <v>3.88</v>
      </c>
    </row>
    <row r="55" spans="1:9" ht="30" x14ac:dyDescent="0.25">
      <c r="A55" s="100" t="s">
        <v>2365</v>
      </c>
      <c r="B55" s="100" t="s">
        <v>854</v>
      </c>
      <c r="C55" s="100" t="s">
        <v>5424</v>
      </c>
      <c r="D55" s="1109" t="s">
        <v>2599</v>
      </c>
      <c r="E55" s="1109"/>
      <c r="F55" s="203">
        <v>2.5</v>
      </c>
      <c r="G55" s="203">
        <v>2.48</v>
      </c>
      <c r="H55" s="203">
        <v>2.4500000000000002</v>
      </c>
      <c r="I55" s="294">
        <v>2.4300000000000002</v>
      </c>
    </row>
    <row r="56" spans="1:9" x14ac:dyDescent="0.25">
      <c r="A56" s="100"/>
      <c r="B56" s="100"/>
      <c r="C56" s="100"/>
      <c r="D56" s="1109"/>
      <c r="E56" s="1109"/>
      <c r="F56" s="100"/>
      <c r="G56" s="100"/>
      <c r="H56" s="100"/>
    </row>
    <row r="57" spans="1:9" x14ac:dyDescent="0.25">
      <c r="A57" s="100" t="s">
        <v>5425</v>
      </c>
      <c r="B57" s="100" t="s">
        <v>5426</v>
      </c>
      <c r="C57" s="100" t="s">
        <v>5428</v>
      </c>
      <c r="D57" s="1109" t="s">
        <v>2600</v>
      </c>
      <c r="E57" s="1109"/>
      <c r="F57" s="203">
        <v>7</v>
      </c>
      <c r="G57" s="203">
        <v>6.93</v>
      </c>
      <c r="H57" s="203">
        <v>6.86</v>
      </c>
    </row>
    <row r="58" spans="1:9" ht="30" x14ac:dyDescent="0.25">
      <c r="A58" s="100" t="s">
        <v>2369</v>
      </c>
      <c r="B58" s="100" t="s">
        <v>5426</v>
      </c>
      <c r="C58" s="100" t="s">
        <v>855</v>
      </c>
      <c r="D58" s="1109" t="s">
        <v>2601</v>
      </c>
      <c r="E58" s="1109"/>
      <c r="F58" s="203">
        <v>11</v>
      </c>
      <c r="G58" s="203">
        <v>10.89</v>
      </c>
      <c r="H58" s="203">
        <v>10.78</v>
      </c>
    </row>
    <row r="59" spans="1:9" ht="30" x14ac:dyDescent="0.25">
      <c r="A59" s="100" t="s">
        <v>2370</v>
      </c>
      <c r="B59" s="100" t="s">
        <v>5426</v>
      </c>
      <c r="C59" s="100" t="s">
        <v>856</v>
      </c>
      <c r="D59" s="1109" t="s">
        <v>2602</v>
      </c>
      <c r="E59" s="1109"/>
      <c r="F59" s="203">
        <v>8</v>
      </c>
      <c r="G59" s="203">
        <v>7.92</v>
      </c>
      <c r="H59" s="203">
        <v>7.84</v>
      </c>
    </row>
    <row r="60" spans="1:9" x14ac:dyDescent="0.25">
      <c r="A60" s="100"/>
      <c r="B60" s="100"/>
      <c r="C60" s="100"/>
      <c r="D60" s="1109"/>
      <c r="E60" s="1109"/>
      <c r="F60" s="100"/>
      <c r="G60" s="100"/>
      <c r="H60" s="100"/>
    </row>
    <row r="61" spans="1:9" ht="30" x14ac:dyDescent="0.25">
      <c r="A61" s="100" t="s">
        <v>791</v>
      </c>
      <c r="B61" s="100" t="s">
        <v>5426</v>
      </c>
      <c r="C61" s="100" t="s">
        <v>5427</v>
      </c>
      <c r="D61" s="1109" t="s">
        <v>2603</v>
      </c>
      <c r="E61" s="1109"/>
      <c r="F61" s="203">
        <v>9</v>
      </c>
      <c r="G61" s="203">
        <v>8.91</v>
      </c>
      <c r="H61" s="203">
        <v>8.82</v>
      </c>
    </row>
    <row r="62" spans="1:9" ht="45" x14ac:dyDescent="0.25">
      <c r="A62" s="100" t="s">
        <v>2118</v>
      </c>
      <c r="B62" s="100" t="s">
        <v>5426</v>
      </c>
      <c r="C62" s="100" t="s">
        <v>857</v>
      </c>
      <c r="D62" s="1109" t="s">
        <v>5061</v>
      </c>
      <c r="E62" s="1109"/>
      <c r="F62" s="203">
        <v>13</v>
      </c>
      <c r="G62" s="203">
        <v>12.87</v>
      </c>
      <c r="H62" s="203">
        <v>12.74</v>
      </c>
    </row>
    <row r="63" spans="1:9" ht="45" x14ac:dyDescent="0.25">
      <c r="A63" s="100" t="s">
        <v>2119</v>
      </c>
      <c r="B63" s="100" t="s">
        <v>5426</v>
      </c>
      <c r="C63" s="100" t="s">
        <v>1922</v>
      </c>
      <c r="D63" s="1109" t="s">
        <v>5060</v>
      </c>
      <c r="E63" s="1109"/>
      <c r="F63" s="203">
        <v>10</v>
      </c>
      <c r="G63" s="203">
        <v>9.9</v>
      </c>
      <c r="H63" s="203">
        <v>9.8000000000000007</v>
      </c>
    </row>
    <row r="64" spans="1:9" x14ac:dyDescent="0.25">
      <c r="A64" s="100"/>
      <c r="B64" s="100"/>
      <c r="C64" s="100"/>
      <c r="D64" s="1109"/>
      <c r="E64" s="1109"/>
      <c r="F64" s="100"/>
      <c r="G64" s="100"/>
      <c r="H64" s="100"/>
    </row>
    <row r="65" spans="1:9" x14ac:dyDescent="0.25">
      <c r="A65" s="101" t="s">
        <v>5429</v>
      </c>
      <c r="B65" s="101"/>
      <c r="C65" s="101" t="s">
        <v>5548</v>
      </c>
      <c r="D65" s="1110"/>
      <c r="E65" s="1110"/>
      <c r="F65" s="100"/>
      <c r="G65" s="100"/>
      <c r="H65" s="100"/>
    </row>
    <row r="66" spans="1:9" x14ac:dyDescent="0.25">
      <c r="A66" s="100" t="s">
        <v>3194</v>
      </c>
      <c r="B66" s="100" t="s">
        <v>5429</v>
      </c>
      <c r="C66" s="100" t="s">
        <v>2604</v>
      </c>
      <c r="D66" s="1109" t="s">
        <v>3287</v>
      </c>
      <c r="E66" s="1109"/>
      <c r="F66" s="203">
        <v>3</v>
      </c>
      <c r="G66" s="203">
        <v>2.97</v>
      </c>
      <c r="H66" s="203">
        <v>2.94</v>
      </c>
      <c r="I66" s="203">
        <v>2.91</v>
      </c>
    </row>
    <row r="67" spans="1:9" x14ac:dyDescent="0.25">
      <c r="A67" s="100"/>
      <c r="B67" s="100"/>
      <c r="C67" s="100"/>
      <c r="D67" s="1109"/>
      <c r="E67" s="1109"/>
      <c r="F67" s="203"/>
      <c r="G67" s="203"/>
      <c r="H67" s="203"/>
    </row>
    <row r="68" spans="1:9" ht="30" customHeight="1" x14ac:dyDescent="0.25">
      <c r="A68" s="101" t="s">
        <v>673</v>
      </c>
      <c r="B68" s="101"/>
      <c r="C68" s="101" t="s">
        <v>2034</v>
      </c>
      <c r="D68" s="1109"/>
      <c r="E68" s="1109"/>
      <c r="F68" s="203"/>
      <c r="G68" s="203"/>
      <c r="H68" s="203"/>
    </row>
    <row r="69" spans="1:9" x14ac:dyDescent="0.25">
      <c r="A69" s="100" t="s">
        <v>5516</v>
      </c>
      <c r="B69" s="100" t="s">
        <v>5515</v>
      </c>
      <c r="C69" s="100"/>
      <c r="D69" s="1109" t="s">
        <v>3721</v>
      </c>
      <c r="E69" s="1109"/>
      <c r="F69" s="203">
        <v>3</v>
      </c>
      <c r="G69" s="203">
        <v>2.97</v>
      </c>
      <c r="H69" s="203">
        <v>2.94</v>
      </c>
    </row>
    <row r="70" spans="1:9" x14ac:dyDescent="0.25">
      <c r="A70" s="100"/>
      <c r="B70" s="100"/>
      <c r="C70" s="100"/>
      <c r="D70" s="1109"/>
      <c r="E70" s="1109"/>
      <c r="F70" s="203"/>
      <c r="G70" s="203"/>
      <c r="H70" s="203"/>
    </row>
    <row r="71" spans="1:9" ht="47.25" customHeight="1" x14ac:dyDescent="0.25">
      <c r="A71" s="101" t="s">
        <v>3719</v>
      </c>
      <c r="B71" s="101"/>
      <c r="C71" s="101" t="s">
        <v>2034</v>
      </c>
      <c r="D71" s="104"/>
      <c r="E71" s="104"/>
      <c r="F71" s="203"/>
      <c r="G71" s="203"/>
      <c r="H71" s="203"/>
    </row>
    <row r="72" spans="1:9" ht="30" customHeight="1" x14ac:dyDescent="0.25">
      <c r="A72" s="100" t="s">
        <v>3722</v>
      </c>
      <c r="B72" s="100" t="s">
        <v>2680</v>
      </c>
      <c r="C72" s="100"/>
      <c r="D72" s="1109" t="s">
        <v>3720</v>
      </c>
      <c r="E72" s="1109"/>
      <c r="F72" s="203">
        <v>4</v>
      </c>
      <c r="G72" s="203">
        <v>3.96</v>
      </c>
      <c r="H72" s="203">
        <v>3.92</v>
      </c>
    </row>
    <row r="73" spans="1:9" x14ac:dyDescent="0.25">
      <c r="A73" s="100"/>
      <c r="B73" s="100"/>
      <c r="C73" s="100"/>
      <c r="D73" s="1109"/>
      <c r="E73" s="1109"/>
      <c r="F73" s="203"/>
      <c r="G73" s="203"/>
      <c r="H73" s="203"/>
    </row>
    <row r="74" spans="1:9" ht="36" customHeight="1" x14ac:dyDescent="0.25">
      <c r="A74" s="101" t="s">
        <v>2685</v>
      </c>
      <c r="B74" s="101"/>
      <c r="C74" s="101" t="s">
        <v>2067</v>
      </c>
      <c r="D74" s="1109"/>
      <c r="E74" s="1109"/>
      <c r="F74" s="203"/>
      <c r="G74" s="203"/>
      <c r="H74" s="203"/>
    </row>
    <row r="75" spans="1:9" ht="30" x14ac:dyDescent="0.25">
      <c r="A75" s="100" t="s">
        <v>5430</v>
      </c>
      <c r="B75" s="100" t="s">
        <v>2681</v>
      </c>
      <c r="C75" s="100"/>
      <c r="D75" s="1109" t="s">
        <v>3288</v>
      </c>
      <c r="E75" s="1109"/>
      <c r="F75" s="100">
        <v>0.5</v>
      </c>
      <c r="G75" s="100">
        <v>0.5</v>
      </c>
      <c r="H75" s="100">
        <v>0.49</v>
      </c>
    </row>
    <row r="80" spans="1:9" ht="26.25" x14ac:dyDescent="0.4">
      <c r="A80" s="19" t="s">
        <v>1925</v>
      </c>
    </row>
    <row r="81" spans="1:6" ht="15" customHeight="1" x14ac:dyDescent="0.25">
      <c r="A81" t="s">
        <v>4553</v>
      </c>
    </row>
    <row r="82" spans="1:6" ht="15" customHeight="1" x14ac:dyDescent="0.4">
      <c r="A82" s="19"/>
    </row>
    <row r="83" spans="1:6" ht="21" customHeight="1" x14ac:dyDescent="0.35">
      <c r="A83" s="38" t="s">
        <v>1171</v>
      </c>
      <c r="F83" s="15"/>
    </row>
    <row r="84" spans="1:6" ht="21" customHeight="1" x14ac:dyDescent="0.35">
      <c r="A84" s="38" t="s">
        <v>1172</v>
      </c>
      <c r="F84" s="15"/>
    </row>
    <row r="85" spans="1:6" x14ac:dyDescent="0.25">
      <c r="A85" t="s">
        <v>1926</v>
      </c>
      <c r="B85" t="s">
        <v>1951</v>
      </c>
    </row>
    <row r="86" spans="1:6" x14ac:dyDescent="0.25">
      <c r="B86" t="s">
        <v>1931</v>
      </c>
    </row>
    <row r="87" spans="1:6" x14ac:dyDescent="0.25">
      <c r="B87" t="s">
        <v>1932</v>
      </c>
    </row>
    <row r="88" spans="1:6" x14ac:dyDescent="0.25">
      <c r="B88" t="s">
        <v>1927</v>
      </c>
    </row>
    <row r="89" spans="1:6" x14ac:dyDescent="0.25">
      <c r="B89" t="s">
        <v>1928</v>
      </c>
    </row>
    <row r="90" spans="1:6" x14ac:dyDescent="0.25">
      <c r="B90" t="s">
        <v>1933</v>
      </c>
    </row>
    <row r="91" spans="1:6" x14ac:dyDescent="0.25">
      <c r="B91" t="s">
        <v>1929</v>
      </c>
    </row>
    <row r="92" spans="1:6" x14ac:dyDescent="0.25">
      <c r="A92" t="s">
        <v>1930</v>
      </c>
      <c r="B92" t="s">
        <v>1952</v>
      </c>
    </row>
    <row r="93" spans="1:6" x14ac:dyDescent="0.25">
      <c r="A93" t="s">
        <v>1934</v>
      </c>
      <c r="B93" t="s">
        <v>1953</v>
      </c>
    </row>
    <row r="94" spans="1:6" x14ac:dyDescent="0.25">
      <c r="B94" t="s">
        <v>1935</v>
      </c>
    </row>
    <row r="95" spans="1:6" x14ac:dyDescent="0.25">
      <c r="B95" t="s">
        <v>1936</v>
      </c>
    </row>
    <row r="96" spans="1:6" x14ac:dyDescent="0.25">
      <c r="B96" t="s">
        <v>1937</v>
      </c>
    </row>
    <row r="97" spans="1:2" x14ac:dyDescent="0.25">
      <c r="B97" t="s">
        <v>1938</v>
      </c>
    </row>
    <row r="98" spans="1:2" x14ac:dyDescent="0.25">
      <c r="B98" t="s">
        <v>1939</v>
      </c>
    </row>
    <row r="99" spans="1:2" x14ac:dyDescent="0.25">
      <c r="A99" t="s">
        <v>1940</v>
      </c>
      <c r="B99" t="s">
        <v>2873</v>
      </c>
    </row>
    <row r="100" spans="1:2" x14ac:dyDescent="0.25">
      <c r="A100" t="s">
        <v>1941</v>
      </c>
      <c r="B100" t="s">
        <v>2874</v>
      </c>
    </row>
    <row r="101" spans="1:2" x14ac:dyDescent="0.25">
      <c r="B101" t="s">
        <v>2875</v>
      </c>
    </row>
    <row r="102" spans="1:2" x14ac:dyDescent="0.25">
      <c r="A102" t="s">
        <v>2876</v>
      </c>
      <c r="B102" t="s">
        <v>2877</v>
      </c>
    </row>
    <row r="103" spans="1:2" x14ac:dyDescent="0.25">
      <c r="B103" t="s">
        <v>1944</v>
      </c>
    </row>
    <row r="104" spans="1:2" x14ac:dyDescent="0.25">
      <c r="B104" t="s">
        <v>1945</v>
      </c>
    </row>
    <row r="105" spans="1:2" x14ac:dyDescent="0.25">
      <c r="B105" t="s">
        <v>1946</v>
      </c>
    </row>
    <row r="106" spans="1:2" x14ac:dyDescent="0.25">
      <c r="B106" t="s">
        <v>1947</v>
      </c>
    </row>
    <row r="107" spans="1:2" x14ac:dyDescent="0.25">
      <c r="B107" t="s">
        <v>1948</v>
      </c>
    </row>
    <row r="108" spans="1:2" x14ac:dyDescent="0.25">
      <c r="B108" t="s">
        <v>1949</v>
      </c>
    </row>
    <row r="109" spans="1:2" x14ac:dyDescent="0.25">
      <c r="A109" t="s">
        <v>1942</v>
      </c>
      <c r="B109" t="s">
        <v>1943</v>
      </c>
    </row>
    <row r="110" spans="1:2" x14ac:dyDescent="0.25">
      <c r="A110" t="s">
        <v>1950</v>
      </c>
      <c r="B110" t="s">
        <v>2878</v>
      </c>
    </row>
    <row r="113" spans="1:6" ht="21" customHeight="1" x14ac:dyDescent="0.35">
      <c r="A113" s="38" t="s">
        <v>1174</v>
      </c>
      <c r="F113" s="15"/>
    </row>
    <row r="114" spans="1:6" ht="21" customHeight="1" x14ac:dyDescent="0.35">
      <c r="A114" s="38" t="s">
        <v>1173</v>
      </c>
      <c r="F114" s="15"/>
    </row>
    <row r="115" spans="1:6" x14ac:dyDescent="0.25">
      <c r="A115" t="s">
        <v>1926</v>
      </c>
      <c r="B115" t="s">
        <v>3689</v>
      </c>
    </row>
    <row r="116" spans="1:6" x14ac:dyDescent="0.25">
      <c r="A116" t="s">
        <v>1930</v>
      </c>
      <c r="B116" t="s">
        <v>1952</v>
      </c>
    </row>
    <row r="117" spans="1:6" x14ac:dyDescent="0.25">
      <c r="A117" t="s">
        <v>3690</v>
      </c>
      <c r="B117" t="s">
        <v>3691</v>
      </c>
    </row>
    <row r="118" spans="1:6" x14ac:dyDescent="0.25">
      <c r="B118" t="s">
        <v>3692</v>
      </c>
    </row>
    <row r="119" spans="1:6" x14ac:dyDescent="0.25">
      <c r="B119" t="s">
        <v>2879</v>
      </c>
    </row>
    <row r="120" spans="1:6" x14ac:dyDescent="0.25">
      <c r="B120" t="s">
        <v>2880</v>
      </c>
    </row>
    <row r="121" spans="1:6" x14ac:dyDescent="0.25">
      <c r="B121" t="s">
        <v>2881</v>
      </c>
    </row>
    <row r="122" spans="1:6" x14ac:dyDescent="0.25">
      <c r="B122" t="s">
        <v>2882</v>
      </c>
    </row>
    <row r="123" spans="1:6" x14ac:dyDescent="0.25">
      <c r="B123" t="s">
        <v>2883</v>
      </c>
    </row>
    <row r="124" spans="1:6" x14ac:dyDescent="0.25">
      <c r="A124" t="s">
        <v>1163</v>
      </c>
      <c r="B124" t="s">
        <v>1180</v>
      </c>
    </row>
    <row r="125" spans="1:6" x14ac:dyDescent="0.25">
      <c r="B125" t="s">
        <v>1181</v>
      </c>
    </row>
    <row r="126" spans="1:6" x14ac:dyDescent="0.25">
      <c r="A126" t="s">
        <v>2884</v>
      </c>
      <c r="B126" t="s">
        <v>2885</v>
      </c>
    </row>
    <row r="127" spans="1:6" x14ac:dyDescent="0.25">
      <c r="A127" t="s">
        <v>2884</v>
      </c>
      <c r="B127" t="s">
        <v>2886</v>
      </c>
    </row>
    <row r="128" spans="1:6" x14ac:dyDescent="0.25">
      <c r="A128" t="s">
        <v>2884</v>
      </c>
      <c r="B128" t="s">
        <v>2887</v>
      </c>
    </row>
    <row r="129" spans="1:2" x14ac:dyDescent="0.25">
      <c r="A129" t="s">
        <v>1164</v>
      </c>
      <c r="B129" t="s">
        <v>1165</v>
      </c>
    </row>
    <row r="130" spans="1:2" x14ac:dyDescent="0.25">
      <c r="B130" t="s">
        <v>2888</v>
      </c>
    </row>
    <row r="131" spans="1:2" x14ac:dyDescent="0.25">
      <c r="B131" t="s">
        <v>1945</v>
      </c>
    </row>
    <row r="132" spans="1:2" x14ac:dyDescent="0.25">
      <c r="B132" t="s">
        <v>2889</v>
      </c>
    </row>
    <row r="133" spans="1:2" x14ac:dyDescent="0.25">
      <c r="B133" t="s">
        <v>1947</v>
      </c>
    </row>
    <row r="134" spans="1:2" x14ac:dyDescent="0.25">
      <c r="B134" t="s">
        <v>2924</v>
      </c>
    </row>
    <row r="135" spans="1:2" x14ac:dyDescent="0.25">
      <c r="B135" t="s">
        <v>2890</v>
      </c>
    </row>
    <row r="136" spans="1:2" x14ac:dyDescent="0.25">
      <c r="B136" t="s">
        <v>2891</v>
      </c>
    </row>
    <row r="137" spans="1:2" x14ac:dyDescent="0.25">
      <c r="A137" t="s">
        <v>1166</v>
      </c>
      <c r="B137" t="s">
        <v>1167</v>
      </c>
    </row>
    <row r="138" spans="1:2" x14ac:dyDescent="0.25">
      <c r="B138" t="s">
        <v>1971</v>
      </c>
    </row>
    <row r="139" spans="1:2" x14ac:dyDescent="0.25">
      <c r="B139" t="s">
        <v>1972</v>
      </c>
    </row>
    <row r="140" spans="1:2" x14ac:dyDescent="0.25">
      <c r="B140" t="s">
        <v>1973</v>
      </c>
    </row>
    <row r="141" spans="1:2" x14ac:dyDescent="0.25">
      <c r="B141" t="s">
        <v>1168</v>
      </c>
    </row>
    <row r="142" spans="1:2" x14ac:dyDescent="0.25">
      <c r="B142" t="s">
        <v>2891</v>
      </c>
    </row>
    <row r="143" spans="1:2" x14ac:dyDescent="0.25">
      <c r="A143" t="s">
        <v>1187</v>
      </c>
      <c r="B143" t="s">
        <v>1169</v>
      </c>
    </row>
    <row r="144" spans="1:2" x14ac:dyDescent="0.25">
      <c r="B144" t="s">
        <v>1170</v>
      </c>
    </row>
    <row r="145" spans="1:6" x14ac:dyDescent="0.25">
      <c r="B145" t="s">
        <v>1975</v>
      </c>
    </row>
    <row r="146" spans="1:6" x14ac:dyDescent="0.25">
      <c r="A146" t="s">
        <v>1950</v>
      </c>
      <c r="B146" t="s">
        <v>2878</v>
      </c>
    </row>
    <row r="149" spans="1:6" ht="21" customHeight="1" x14ac:dyDescent="0.35">
      <c r="A149" s="38" t="s">
        <v>1175</v>
      </c>
      <c r="F149" s="15"/>
    </row>
    <row r="150" spans="1:6" x14ac:dyDescent="0.25">
      <c r="A150" t="s">
        <v>1926</v>
      </c>
      <c r="B150" t="s">
        <v>1176</v>
      </c>
    </row>
    <row r="151" spans="1:6" x14ac:dyDescent="0.25">
      <c r="B151" t="s">
        <v>1931</v>
      </c>
    </row>
    <row r="152" spans="1:6" x14ac:dyDescent="0.25">
      <c r="B152" t="s">
        <v>1932</v>
      </c>
    </row>
    <row r="153" spans="1:6" x14ac:dyDescent="0.25">
      <c r="B153" t="s">
        <v>2300</v>
      </c>
    </row>
    <row r="154" spans="1:6" x14ac:dyDescent="0.25">
      <c r="B154" t="s">
        <v>2301</v>
      </c>
    </row>
    <row r="155" spans="1:6" x14ac:dyDescent="0.25">
      <c r="B155" t="s">
        <v>2302</v>
      </c>
    </row>
    <row r="156" spans="1:6" x14ac:dyDescent="0.25">
      <c r="B156" t="s">
        <v>1928</v>
      </c>
    </row>
    <row r="157" spans="1:6" x14ac:dyDescent="0.25">
      <c r="B157" t="s">
        <v>2303</v>
      </c>
    </row>
    <row r="158" spans="1:6" x14ac:dyDescent="0.25">
      <c r="B158" t="s">
        <v>2304</v>
      </c>
    </row>
    <row r="159" spans="1:6" x14ac:dyDescent="0.25">
      <c r="B159" t="s">
        <v>2925</v>
      </c>
    </row>
    <row r="160" spans="1:6" x14ac:dyDescent="0.25">
      <c r="B160" t="s">
        <v>2305</v>
      </c>
    </row>
    <row r="161" spans="1:2" x14ac:dyDescent="0.25">
      <c r="B161" t="s">
        <v>2926</v>
      </c>
    </row>
    <row r="162" spans="1:2" x14ac:dyDescent="0.25">
      <c r="A162" t="s">
        <v>1930</v>
      </c>
      <c r="B162" t="s">
        <v>1952</v>
      </c>
    </row>
    <row r="163" spans="1:2" x14ac:dyDescent="0.25">
      <c r="A163" t="s">
        <v>2306</v>
      </c>
      <c r="B163" t="s">
        <v>1177</v>
      </c>
    </row>
    <row r="164" spans="1:2" x14ac:dyDescent="0.25">
      <c r="B164" t="s">
        <v>1178</v>
      </c>
    </row>
    <row r="165" spans="1:2" x14ac:dyDescent="0.25">
      <c r="B165" t="s">
        <v>2307</v>
      </c>
    </row>
    <row r="166" spans="1:2" x14ac:dyDescent="0.25">
      <c r="B166" t="s">
        <v>2308</v>
      </c>
    </row>
    <row r="167" spans="1:2" x14ac:dyDescent="0.25">
      <c r="B167" t="s">
        <v>2309</v>
      </c>
    </row>
    <row r="168" spans="1:2" x14ac:dyDescent="0.25">
      <c r="B168" t="s">
        <v>2310</v>
      </c>
    </row>
    <row r="169" spans="1:2" x14ac:dyDescent="0.25">
      <c r="B169" t="s">
        <v>2311</v>
      </c>
    </row>
    <row r="170" spans="1:2" x14ac:dyDescent="0.25">
      <c r="B170" t="s">
        <v>2312</v>
      </c>
    </row>
    <row r="171" spans="1:2" x14ac:dyDescent="0.25">
      <c r="B171" t="s">
        <v>2313</v>
      </c>
    </row>
    <row r="172" spans="1:2" x14ac:dyDescent="0.25">
      <c r="B172" t="s">
        <v>2314</v>
      </c>
    </row>
    <row r="173" spans="1:2" x14ac:dyDescent="0.25">
      <c r="B173" t="s">
        <v>2315</v>
      </c>
    </row>
    <row r="174" spans="1:2" x14ac:dyDescent="0.25">
      <c r="B174" t="s">
        <v>2316</v>
      </c>
    </row>
    <row r="175" spans="1:2" x14ac:dyDescent="0.25">
      <c r="A175" t="s">
        <v>1941</v>
      </c>
      <c r="B175" t="s">
        <v>1183</v>
      </c>
    </row>
    <row r="176" spans="1:2" x14ac:dyDescent="0.25">
      <c r="B176" t="s">
        <v>1182</v>
      </c>
    </row>
    <row r="177" spans="1:2" x14ac:dyDescent="0.25">
      <c r="B177" t="s">
        <v>2317</v>
      </c>
    </row>
    <row r="178" spans="1:2" x14ac:dyDescent="0.25">
      <c r="B178" t="s">
        <v>2318</v>
      </c>
    </row>
    <row r="179" spans="1:2" x14ac:dyDescent="0.25">
      <c r="B179" t="s">
        <v>2319</v>
      </c>
    </row>
    <row r="180" spans="1:2" x14ac:dyDescent="0.25">
      <c r="A180" t="s">
        <v>1184</v>
      </c>
      <c r="B180" t="s">
        <v>1179</v>
      </c>
    </row>
    <row r="181" spans="1:2" x14ac:dyDescent="0.25">
      <c r="B181" t="s">
        <v>1944</v>
      </c>
    </row>
    <row r="182" spans="1:2" x14ac:dyDescent="0.25">
      <c r="B182" t="s">
        <v>2320</v>
      </c>
    </row>
    <row r="183" spans="1:2" x14ac:dyDescent="0.25">
      <c r="B183" t="s">
        <v>4127</v>
      </c>
    </row>
    <row r="184" spans="1:2" x14ac:dyDescent="0.25">
      <c r="B184" t="s">
        <v>4128</v>
      </c>
    </row>
    <row r="185" spans="1:2" x14ac:dyDescent="0.25">
      <c r="B185" t="s">
        <v>4129</v>
      </c>
    </row>
    <row r="186" spans="1:2" x14ac:dyDescent="0.25">
      <c r="B186" t="s">
        <v>2890</v>
      </c>
    </row>
    <row r="187" spans="1:2" x14ac:dyDescent="0.25">
      <c r="A187" t="s">
        <v>1185</v>
      </c>
      <c r="B187" t="s">
        <v>1179</v>
      </c>
    </row>
    <row r="188" spans="1:2" x14ac:dyDescent="0.25">
      <c r="B188" t="s">
        <v>2915</v>
      </c>
    </row>
    <row r="189" spans="1:2" x14ac:dyDescent="0.25">
      <c r="B189" t="s">
        <v>1972</v>
      </c>
    </row>
    <row r="190" spans="1:2" x14ac:dyDescent="0.25">
      <c r="B190" t="s">
        <v>1973</v>
      </c>
    </row>
    <row r="191" spans="1:2" x14ac:dyDescent="0.25">
      <c r="B191" t="s">
        <v>1974</v>
      </c>
    </row>
    <row r="192" spans="1:2" x14ac:dyDescent="0.25">
      <c r="A192" t="s">
        <v>1186</v>
      </c>
      <c r="B192" t="s">
        <v>1169</v>
      </c>
    </row>
    <row r="193" spans="1:6" x14ac:dyDescent="0.25">
      <c r="B193" t="s">
        <v>1170</v>
      </c>
    </row>
    <row r="194" spans="1:6" x14ac:dyDescent="0.25">
      <c r="A194" t="s">
        <v>3107</v>
      </c>
      <c r="B194" t="s">
        <v>3109</v>
      </c>
    </row>
    <row r="195" spans="1:6" x14ac:dyDescent="0.25">
      <c r="B195" t="s">
        <v>3108</v>
      </c>
    </row>
    <row r="196" spans="1:6" x14ac:dyDescent="0.25">
      <c r="B196" t="s">
        <v>3263</v>
      </c>
    </row>
    <row r="197" spans="1:6" x14ac:dyDescent="0.25">
      <c r="B197" t="s">
        <v>3262</v>
      </c>
    </row>
    <row r="198" spans="1:6" x14ac:dyDescent="0.25">
      <c r="B198" t="s">
        <v>3110</v>
      </c>
    </row>
    <row r="199" spans="1:6" x14ac:dyDescent="0.25">
      <c r="A199" t="s">
        <v>3114</v>
      </c>
      <c r="B199" t="s">
        <v>3115</v>
      </c>
    </row>
    <row r="200" spans="1:6" x14ac:dyDescent="0.25">
      <c r="A200" t="s">
        <v>3111</v>
      </c>
    </row>
    <row r="201" spans="1:6" x14ac:dyDescent="0.25">
      <c r="B201" s="127" t="s">
        <v>3112</v>
      </c>
    </row>
    <row r="202" spans="1:6" x14ac:dyDescent="0.25">
      <c r="B202" s="127" t="s">
        <v>3126</v>
      </c>
    </row>
    <row r="203" spans="1:6" x14ac:dyDescent="0.25">
      <c r="A203" t="s">
        <v>1950</v>
      </c>
      <c r="B203" t="s">
        <v>2878</v>
      </c>
    </row>
    <row r="206" spans="1:6" ht="21" customHeight="1" x14ac:dyDescent="0.35">
      <c r="A206" s="38" t="s">
        <v>2937</v>
      </c>
      <c r="F206" s="15"/>
    </row>
    <row r="207" spans="1:6" x14ac:dyDescent="0.25">
      <c r="A207" t="s">
        <v>1926</v>
      </c>
      <c r="B207" t="s">
        <v>1176</v>
      </c>
    </row>
    <row r="208" spans="1:6" x14ac:dyDescent="0.25">
      <c r="B208" t="s">
        <v>1931</v>
      </c>
    </row>
    <row r="209" spans="1:2" x14ac:dyDescent="0.25">
      <c r="B209" t="s">
        <v>1932</v>
      </c>
    </row>
    <row r="210" spans="1:2" x14ac:dyDescent="0.25">
      <c r="B210" t="s">
        <v>2938</v>
      </c>
    </row>
    <row r="211" spans="1:2" x14ac:dyDescent="0.25">
      <c r="B211" t="s">
        <v>2300</v>
      </c>
    </row>
    <row r="212" spans="1:2" x14ac:dyDescent="0.25">
      <c r="B212" t="s">
        <v>2301</v>
      </c>
    </row>
    <row r="213" spans="1:2" x14ac:dyDescent="0.25">
      <c r="B213" t="s">
        <v>2302</v>
      </c>
    </row>
    <row r="214" spans="1:2" x14ac:dyDescent="0.25">
      <c r="B214" t="s">
        <v>1928</v>
      </c>
    </row>
    <row r="215" spans="1:2" x14ac:dyDescent="0.25">
      <c r="B215" t="s">
        <v>2939</v>
      </c>
    </row>
    <row r="216" spans="1:2" x14ac:dyDescent="0.25">
      <c r="B216" t="s">
        <v>2303</v>
      </c>
    </row>
    <row r="217" spans="1:2" x14ac:dyDescent="0.25">
      <c r="B217" t="s">
        <v>2304</v>
      </c>
    </row>
    <row r="218" spans="1:2" x14ac:dyDescent="0.25">
      <c r="B218" t="s">
        <v>2925</v>
      </c>
    </row>
    <row r="219" spans="1:2" x14ac:dyDescent="0.25">
      <c r="B219" t="s">
        <v>2940</v>
      </c>
    </row>
    <row r="220" spans="1:2" x14ac:dyDescent="0.25">
      <c r="B220" t="s">
        <v>2926</v>
      </c>
    </row>
    <row r="221" spans="1:2" x14ac:dyDescent="0.25">
      <c r="A221" t="s">
        <v>1930</v>
      </c>
      <c r="B221" t="s">
        <v>1952</v>
      </c>
    </row>
    <row r="222" spans="1:2" x14ac:dyDescent="0.25">
      <c r="A222" t="s">
        <v>1159</v>
      </c>
      <c r="B222" t="s">
        <v>1156</v>
      </c>
    </row>
    <row r="223" spans="1:2" x14ac:dyDescent="0.25">
      <c r="B223" t="s">
        <v>1160</v>
      </c>
    </row>
    <row r="224" spans="1:2" x14ac:dyDescent="0.25">
      <c r="B224" t="s">
        <v>1178</v>
      </c>
    </row>
    <row r="225" spans="2:2" x14ac:dyDescent="0.25">
      <c r="B225" t="s">
        <v>2307</v>
      </c>
    </row>
    <row r="226" spans="2:2" x14ac:dyDescent="0.25">
      <c r="B226" t="s">
        <v>2308</v>
      </c>
    </row>
    <row r="227" spans="2:2" x14ac:dyDescent="0.25">
      <c r="B227" t="s">
        <v>2309</v>
      </c>
    </row>
    <row r="228" spans="2:2" x14ac:dyDescent="0.25">
      <c r="B228" t="s">
        <v>2310</v>
      </c>
    </row>
    <row r="229" spans="2:2" x14ac:dyDescent="0.25">
      <c r="B229" t="s">
        <v>1157</v>
      </c>
    </row>
    <row r="230" spans="2:2" x14ac:dyDescent="0.25">
      <c r="B230" t="s">
        <v>1158</v>
      </c>
    </row>
    <row r="231" spans="2:2" x14ac:dyDescent="0.25">
      <c r="B231" t="s">
        <v>2311</v>
      </c>
    </row>
    <row r="232" spans="2:2" x14ac:dyDescent="0.25">
      <c r="B232" t="s">
        <v>2312</v>
      </c>
    </row>
    <row r="233" spans="2:2" x14ac:dyDescent="0.25">
      <c r="B233" t="s">
        <v>2313</v>
      </c>
    </row>
    <row r="234" spans="2:2" x14ac:dyDescent="0.25">
      <c r="B234" t="s">
        <v>2314</v>
      </c>
    </row>
    <row r="235" spans="2:2" x14ac:dyDescent="0.25">
      <c r="B235" t="s">
        <v>3007</v>
      </c>
    </row>
    <row r="236" spans="2:2" x14ac:dyDescent="0.25">
      <c r="B236" t="s">
        <v>2316</v>
      </c>
    </row>
    <row r="237" spans="2:2" x14ac:dyDescent="0.25">
      <c r="B237" t="s">
        <v>3133</v>
      </c>
    </row>
    <row r="238" spans="2:2" x14ac:dyDescent="0.25">
      <c r="B238" t="s">
        <v>1161</v>
      </c>
    </row>
    <row r="239" spans="2:2" x14ac:dyDescent="0.25">
      <c r="B239" t="s">
        <v>3086</v>
      </c>
    </row>
    <row r="240" spans="2:2" x14ac:dyDescent="0.25">
      <c r="B240" t="s">
        <v>3087</v>
      </c>
    </row>
    <row r="241" spans="1:2" x14ac:dyDescent="0.25">
      <c r="B241" t="s">
        <v>1162</v>
      </c>
    </row>
    <row r="242" spans="1:2" x14ac:dyDescent="0.25">
      <c r="B242" t="s">
        <v>4641</v>
      </c>
    </row>
    <row r="243" spans="1:2" x14ac:dyDescent="0.25">
      <c r="B243" t="s">
        <v>4642</v>
      </c>
    </row>
    <row r="244" spans="1:2" x14ac:dyDescent="0.25">
      <c r="B244" t="s">
        <v>3088</v>
      </c>
    </row>
    <row r="245" spans="1:2" x14ac:dyDescent="0.25">
      <c r="B245" t="s">
        <v>3718</v>
      </c>
    </row>
    <row r="246" spans="1:2" x14ac:dyDescent="0.25">
      <c r="B246" t="s">
        <v>4643</v>
      </c>
    </row>
    <row r="247" spans="1:2" x14ac:dyDescent="0.25">
      <c r="A247" t="s">
        <v>3089</v>
      </c>
      <c r="B247" t="s">
        <v>3090</v>
      </c>
    </row>
    <row r="248" spans="1:2" x14ac:dyDescent="0.25">
      <c r="B248" t="s">
        <v>1182</v>
      </c>
    </row>
    <row r="249" spans="1:2" x14ac:dyDescent="0.25">
      <c r="B249" t="s">
        <v>3091</v>
      </c>
    </row>
    <row r="250" spans="1:2" x14ac:dyDescent="0.25">
      <c r="B250" t="s">
        <v>3092</v>
      </c>
    </row>
    <row r="251" spans="1:2" x14ac:dyDescent="0.25">
      <c r="A251" t="s">
        <v>3101</v>
      </c>
      <c r="B251" t="s">
        <v>3102</v>
      </c>
    </row>
    <row r="252" spans="1:2" x14ac:dyDescent="0.25">
      <c r="B252" t="s">
        <v>3103</v>
      </c>
    </row>
    <row r="253" spans="1:2" x14ac:dyDescent="0.25">
      <c r="A253" t="s">
        <v>3099</v>
      </c>
      <c r="B253" t="s">
        <v>1179</v>
      </c>
    </row>
    <row r="254" spans="1:2" x14ac:dyDescent="0.25">
      <c r="B254" t="s">
        <v>3100</v>
      </c>
    </row>
    <row r="255" spans="1:2" x14ac:dyDescent="0.25">
      <c r="B255" t="s">
        <v>3094</v>
      </c>
    </row>
    <row r="256" spans="1:2" x14ac:dyDescent="0.25">
      <c r="B256" t="s">
        <v>3093</v>
      </c>
    </row>
    <row r="257" spans="1:2" x14ac:dyDescent="0.25">
      <c r="B257" t="s">
        <v>3095</v>
      </c>
    </row>
    <row r="258" spans="1:2" x14ac:dyDescent="0.25">
      <c r="A258" t="s">
        <v>3096</v>
      </c>
      <c r="B258" t="s">
        <v>3098</v>
      </c>
    </row>
    <row r="259" spans="1:2" x14ac:dyDescent="0.25">
      <c r="B259" t="s">
        <v>3097</v>
      </c>
    </row>
    <row r="260" spans="1:2" x14ac:dyDescent="0.25">
      <c r="A260" t="s">
        <v>3104</v>
      </c>
      <c r="B260" t="s">
        <v>3105</v>
      </c>
    </row>
    <row r="261" spans="1:2" x14ac:dyDescent="0.25">
      <c r="B261" t="s">
        <v>3106</v>
      </c>
    </row>
    <row r="262" spans="1:2" x14ac:dyDescent="0.25">
      <c r="A262" t="s">
        <v>1186</v>
      </c>
      <c r="B262" t="s">
        <v>1169</v>
      </c>
    </row>
    <row r="263" spans="1:2" x14ac:dyDescent="0.25">
      <c r="B263" t="s">
        <v>1170</v>
      </c>
    </row>
    <row r="264" spans="1:2" x14ac:dyDescent="0.25">
      <c r="A264" t="s">
        <v>3107</v>
      </c>
      <c r="B264" t="s">
        <v>3109</v>
      </c>
    </row>
    <row r="265" spans="1:2" x14ac:dyDescent="0.25">
      <c r="B265" t="s">
        <v>3108</v>
      </c>
    </row>
    <row r="266" spans="1:2" x14ac:dyDescent="0.25">
      <c r="B266" t="s">
        <v>3261</v>
      </c>
    </row>
    <row r="267" spans="1:2" x14ac:dyDescent="0.25">
      <c r="B267" t="s">
        <v>3262</v>
      </c>
    </row>
    <row r="268" spans="1:2" x14ac:dyDescent="0.25">
      <c r="B268" t="s">
        <v>3110</v>
      </c>
    </row>
    <row r="269" spans="1:2" x14ac:dyDescent="0.25">
      <c r="A269" t="s">
        <v>3117</v>
      </c>
      <c r="B269" t="s">
        <v>3118</v>
      </c>
    </row>
    <row r="270" spans="1:2" x14ac:dyDescent="0.25">
      <c r="B270" s="127" t="s">
        <v>3116</v>
      </c>
    </row>
    <row r="271" spans="1:2" x14ac:dyDescent="0.25">
      <c r="A271" t="s">
        <v>3119</v>
      </c>
      <c r="B271" s="127" t="s">
        <v>3134</v>
      </c>
    </row>
    <row r="272" spans="1:2" x14ac:dyDescent="0.25">
      <c r="A272" t="s">
        <v>3121</v>
      </c>
      <c r="B272" s="127" t="s">
        <v>3124</v>
      </c>
    </row>
    <row r="273" spans="1:6" x14ac:dyDescent="0.25">
      <c r="A273" t="s">
        <v>3122</v>
      </c>
      <c r="B273" t="s">
        <v>3123</v>
      </c>
    </row>
    <row r="274" spans="1:6" x14ac:dyDescent="0.25">
      <c r="A274" t="s">
        <v>3120</v>
      </c>
    </row>
    <row r="276" spans="1:6" ht="21" customHeight="1" x14ac:dyDescent="0.35">
      <c r="A276" s="38" t="s">
        <v>425</v>
      </c>
      <c r="F276" s="15"/>
    </row>
    <row r="277" spans="1:6" x14ac:dyDescent="0.25">
      <c r="A277" t="s">
        <v>1926</v>
      </c>
      <c r="B277" t="s">
        <v>1176</v>
      </c>
    </row>
    <row r="278" spans="1:6" x14ac:dyDescent="0.25">
      <c r="B278" t="s">
        <v>1931</v>
      </c>
    </row>
    <row r="279" spans="1:6" x14ac:dyDescent="0.25">
      <c r="B279" t="s">
        <v>1932</v>
      </c>
    </row>
    <row r="280" spans="1:6" x14ac:dyDescent="0.25">
      <c r="B280" t="s">
        <v>426</v>
      </c>
    </row>
    <row r="281" spans="1:6" x14ac:dyDescent="0.25">
      <c r="B281" t="s">
        <v>427</v>
      </c>
    </row>
    <row r="282" spans="1:6" x14ac:dyDescent="0.25">
      <c r="B282" t="s">
        <v>428</v>
      </c>
    </row>
    <row r="283" spans="1:6" x14ac:dyDescent="0.25">
      <c r="B283" t="s">
        <v>1928</v>
      </c>
    </row>
    <row r="284" spans="1:6" x14ac:dyDescent="0.25">
      <c r="B284" t="s">
        <v>430</v>
      </c>
    </row>
    <row r="285" spans="1:6" x14ac:dyDescent="0.25">
      <c r="B285" t="s">
        <v>429</v>
      </c>
    </row>
    <row r="286" spans="1:6" x14ac:dyDescent="0.25">
      <c r="B286" t="s">
        <v>2940</v>
      </c>
    </row>
    <row r="287" spans="1:6" x14ac:dyDescent="0.25">
      <c r="B287" t="s">
        <v>2926</v>
      </c>
    </row>
    <row r="288" spans="1:6" x14ac:dyDescent="0.25">
      <c r="A288" t="s">
        <v>1930</v>
      </c>
      <c r="B288" t="s">
        <v>1952</v>
      </c>
    </row>
    <row r="289" spans="1:2" x14ac:dyDescent="0.25">
      <c r="A289" t="s">
        <v>1159</v>
      </c>
      <c r="B289" t="s">
        <v>431</v>
      </c>
    </row>
    <row r="290" spans="1:2" x14ac:dyDescent="0.25">
      <c r="B290" t="s">
        <v>443</v>
      </c>
    </row>
    <row r="291" spans="1:2" x14ac:dyDescent="0.25">
      <c r="B291" t="s">
        <v>444</v>
      </c>
    </row>
    <row r="292" spans="1:2" x14ac:dyDescent="0.25">
      <c r="B292" t="s">
        <v>432</v>
      </c>
    </row>
    <row r="293" spans="1:2" x14ac:dyDescent="0.25">
      <c r="B293" t="s">
        <v>433</v>
      </c>
    </row>
    <row r="294" spans="1:2" x14ac:dyDescent="0.25">
      <c r="B294" t="s">
        <v>434</v>
      </c>
    </row>
    <row r="295" spans="1:2" x14ac:dyDescent="0.25">
      <c r="B295" t="s">
        <v>435</v>
      </c>
    </row>
    <row r="296" spans="1:2" x14ac:dyDescent="0.25">
      <c r="B296" t="s">
        <v>436</v>
      </c>
    </row>
    <row r="297" spans="1:2" x14ac:dyDescent="0.25">
      <c r="B297" t="s">
        <v>437</v>
      </c>
    </row>
    <row r="298" spans="1:2" x14ac:dyDescent="0.25">
      <c r="B298" t="s">
        <v>438</v>
      </c>
    </row>
    <row r="299" spans="1:2" x14ac:dyDescent="0.25">
      <c r="B299" t="s">
        <v>445</v>
      </c>
    </row>
    <row r="300" spans="1:2" x14ac:dyDescent="0.25">
      <c r="B300" t="s">
        <v>439</v>
      </c>
    </row>
    <row r="301" spans="1:2" x14ac:dyDescent="0.25">
      <c r="B301" t="s">
        <v>440</v>
      </c>
    </row>
    <row r="302" spans="1:2" x14ac:dyDescent="0.25">
      <c r="B302" t="s">
        <v>441</v>
      </c>
    </row>
    <row r="303" spans="1:2" x14ac:dyDescent="0.25">
      <c r="B303" t="s">
        <v>442</v>
      </c>
    </row>
    <row r="304" spans="1:2" x14ac:dyDescent="0.25">
      <c r="B304" t="s">
        <v>456</v>
      </c>
    </row>
    <row r="305" spans="1:2" x14ac:dyDescent="0.25">
      <c r="B305" t="s">
        <v>457</v>
      </c>
    </row>
    <row r="306" spans="1:2" x14ac:dyDescent="0.25">
      <c r="B306" t="s">
        <v>5644</v>
      </c>
    </row>
    <row r="307" spans="1:2" x14ac:dyDescent="0.25">
      <c r="B307" t="s">
        <v>446</v>
      </c>
    </row>
    <row r="308" spans="1:2" x14ac:dyDescent="0.25">
      <c r="B308" t="s">
        <v>447</v>
      </c>
    </row>
    <row r="309" spans="1:2" x14ac:dyDescent="0.25">
      <c r="A309" t="s">
        <v>3089</v>
      </c>
      <c r="B309" t="s">
        <v>3090</v>
      </c>
    </row>
    <row r="310" spans="1:2" x14ac:dyDescent="0.25">
      <c r="B310" t="s">
        <v>1182</v>
      </c>
    </row>
    <row r="311" spans="1:2" x14ac:dyDescent="0.25">
      <c r="B311" t="s">
        <v>3091</v>
      </c>
    </row>
    <row r="312" spans="1:2" x14ac:dyDescent="0.25">
      <c r="B312" t="s">
        <v>3092</v>
      </c>
    </row>
    <row r="313" spans="1:2" x14ac:dyDescent="0.25">
      <c r="A313" t="s">
        <v>3101</v>
      </c>
      <c r="B313" t="s">
        <v>3102</v>
      </c>
    </row>
    <row r="314" spans="1:2" x14ac:dyDescent="0.25">
      <c r="B314" t="s">
        <v>3103</v>
      </c>
    </row>
    <row r="315" spans="1:2" x14ac:dyDescent="0.25">
      <c r="A315" t="s">
        <v>3117</v>
      </c>
      <c r="B315" t="s">
        <v>3118</v>
      </c>
    </row>
    <row r="316" spans="1:2" x14ac:dyDescent="0.25">
      <c r="B316" s="127" t="s">
        <v>3116</v>
      </c>
    </row>
    <row r="317" spans="1:2" x14ac:dyDescent="0.25">
      <c r="A317" t="s">
        <v>3119</v>
      </c>
      <c r="B317" s="127" t="s">
        <v>449</v>
      </c>
    </row>
    <row r="318" spans="1:2" x14ac:dyDescent="0.25">
      <c r="A318" t="s">
        <v>3121</v>
      </c>
      <c r="B318" s="127" t="s">
        <v>7836</v>
      </c>
    </row>
    <row r="319" spans="1:2" x14ac:dyDescent="0.25">
      <c r="A319" t="s">
        <v>3122</v>
      </c>
      <c r="B319" t="s">
        <v>448</v>
      </c>
    </row>
    <row r="320" spans="1:2" x14ac:dyDescent="0.25">
      <c r="A320" t="s">
        <v>3120</v>
      </c>
    </row>
    <row r="322" spans="1:6" ht="21" customHeight="1" x14ac:dyDescent="0.35">
      <c r="A322" s="38" t="s">
        <v>7955</v>
      </c>
      <c r="F322" s="15"/>
    </row>
    <row r="323" spans="1:6" x14ac:dyDescent="0.25">
      <c r="A323" t="s">
        <v>1926</v>
      </c>
      <c r="B323" t="s">
        <v>1176</v>
      </c>
    </row>
    <row r="324" spans="1:6" x14ac:dyDescent="0.25">
      <c r="B324" t="s">
        <v>1931</v>
      </c>
    </row>
    <row r="325" spans="1:6" x14ac:dyDescent="0.25">
      <c r="B325" t="s">
        <v>1932</v>
      </c>
    </row>
    <row r="326" spans="1:6" x14ac:dyDescent="0.25">
      <c r="B326" t="s">
        <v>426</v>
      </c>
    </row>
    <row r="327" spans="1:6" x14ac:dyDescent="0.25">
      <c r="B327" t="s">
        <v>427</v>
      </c>
    </row>
    <row r="328" spans="1:6" x14ac:dyDescent="0.25">
      <c r="B328" t="s">
        <v>428</v>
      </c>
    </row>
    <row r="329" spans="1:6" x14ac:dyDescent="0.25">
      <c r="B329" t="s">
        <v>1928</v>
      </c>
    </row>
    <row r="330" spans="1:6" x14ac:dyDescent="0.25">
      <c r="B330" t="s">
        <v>430</v>
      </c>
    </row>
    <row r="331" spans="1:6" x14ac:dyDescent="0.25">
      <c r="B331" t="s">
        <v>429</v>
      </c>
    </row>
    <row r="332" spans="1:6" x14ac:dyDescent="0.25">
      <c r="B332" t="s">
        <v>2940</v>
      </c>
    </row>
    <row r="333" spans="1:6" x14ac:dyDescent="0.25">
      <c r="B333" t="s">
        <v>2926</v>
      </c>
    </row>
    <row r="334" spans="1:6" x14ac:dyDescent="0.25">
      <c r="A334" t="s">
        <v>1930</v>
      </c>
      <c r="B334" t="s">
        <v>1952</v>
      </c>
    </row>
    <row r="335" spans="1:6" x14ac:dyDescent="0.25">
      <c r="A335" t="s">
        <v>1159</v>
      </c>
      <c r="B335" t="s">
        <v>8195</v>
      </c>
    </row>
    <row r="336" spans="1:6" x14ac:dyDescent="0.25">
      <c r="B336" t="s">
        <v>6094</v>
      </c>
    </row>
    <row r="337" spans="1:2" x14ac:dyDescent="0.25">
      <c r="B337" t="s">
        <v>6331</v>
      </c>
    </row>
    <row r="338" spans="1:2" s="774" customFormat="1" x14ac:dyDescent="0.25">
      <c r="B338" s="774" t="s">
        <v>7484</v>
      </c>
    </row>
    <row r="339" spans="1:2" x14ac:dyDescent="0.25">
      <c r="B339" t="s">
        <v>432</v>
      </c>
    </row>
    <row r="340" spans="1:2" x14ac:dyDescent="0.25">
      <c r="B340" t="s">
        <v>6082</v>
      </c>
    </row>
    <row r="341" spans="1:2" x14ac:dyDescent="0.25">
      <c r="B341" t="s">
        <v>6080</v>
      </c>
    </row>
    <row r="342" spans="1:2" x14ac:dyDescent="0.25">
      <c r="B342" t="s">
        <v>6081</v>
      </c>
    </row>
    <row r="343" spans="1:2" x14ac:dyDescent="0.25">
      <c r="B343" t="s">
        <v>6083</v>
      </c>
    </row>
    <row r="344" spans="1:2" x14ac:dyDescent="0.25">
      <c r="B344" t="s">
        <v>6084</v>
      </c>
    </row>
    <row r="345" spans="1:2" x14ac:dyDescent="0.25">
      <c r="B345" t="s">
        <v>6085</v>
      </c>
    </row>
    <row r="346" spans="1:2" x14ac:dyDescent="0.25">
      <c r="B346" t="s">
        <v>6086</v>
      </c>
    </row>
    <row r="347" spans="1:2" x14ac:dyDescent="0.25">
      <c r="B347" t="s">
        <v>6087</v>
      </c>
    </row>
    <row r="348" spans="1:2" s="774" customFormat="1" x14ac:dyDescent="0.25">
      <c r="B348" s="774" t="s">
        <v>7454</v>
      </c>
    </row>
    <row r="349" spans="1:2" x14ac:dyDescent="0.25">
      <c r="B349" t="s">
        <v>8196</v>
      </c>
    </row>
    <row r="350" spans="1:2" x14ac:dyDescent="0.25">
      <c r="B350" t="s">
        <v>6093</v>
      </c>
    </row>
    <row r="351" spans="1:2" s="774" customFormat="1" x14ac:dyDescent="0.25">
      <c r="B351" s="774" t="s">
        <v>8197</v>
      </c>
    </row>
    <row r="352" spans="1:2" x14ac:dyDescent="0.25">
      <c r="A352" t="s">
        <v>3089</v>
      </c>
      <c r="B352" t="s">
        <v>3090</v>
      </c>
    </row>
    <row r="353" spans="1:6" x14ac:dyDescent="0.25">
      <c r="B353" t="s">
        <v>1182</v>
      </c>
    </row>
    <row r="354" spans="1:6" x14ac:dyDescent="0.25">
      <c r="B354" t="s">
        <v>3091</v>
      </c>
    </row>
    <row r="355" spans="1:6" x14ac:dyDescent="0.25">
      <c r="A355" t="s">
        <v>3101</v>
      </c>
      <c r="B355" t="s">
        <v>3102</v>
      </c>
    </row>
    <row r="356" spans="1:6" x14ac:dyDescent="0.25">
      <c r="B356" t="s">
        <v>3103</v>
      </c>
    </row>
    <row r="357" spans="1:6" x14ac:dyDescent="0.25">
      <c r="A357" t="s">
        <v>3117</v>
      </c>
      <c r="B357" t="s">
        <v>3118</v>
      </c>
    </row>
    <row r="358" spans="1:6" x14ac:dyDescent="0.25">
      <c r="B358" s="127" t="s">
        <v>7683</v>
      </c>
    </row>
    <row r="359" spans="1:6" x14ac:dyDescent="0.25">
      <c r="A359" t="s">
        <v>6095</v>
      </c>
      <c r="B359" s="127" t="s">
        <v>7956</v>
      </c>
    </row>
    <row r="360" spans="1:6" x14ac:dyDescent="0.25">
      <c r="A360" t="s">
        <v>3122</v>
      </c>
      <c r="B360" t="s">
        <v>7455</v>
      </c>
    </row>
    <row r="362" spans="1:6" x14ac:dyDescent="0.25">
      <c r="A362" t="s">
        <v>3120</v>
      </c>
    </row>
    <row r="363" spans="1:6" ht="21" customHeight="1" x14ac:dyDescent="0.35">
      <c r="A363" s="38" t="s">
        <v>5814</v>
      </c>
      <c r="F363" s="15"/>
    </row>
    <row r="364" spans="1:6" x14ac:dyDescent="0.25">
      <c r="A364" t="s">
        <v>1926</v>
      </c>
      <c r="B364" t="s">
        <v>1188</v>
      </c>
    </row>
    <row r="365" spans="1:6" x14ac:dyDescent="0.25">
      <c r="A365" t="s">
        <v>1930</v>
      </c>
      <c r="B365" t="s">
        <v>1943</v>
      </c>
    </row>
    <row r="366" spans="1:6" x14ac:dyDescent="0.25">
      <c r="A366" t="s">
        <v>2916</v>
      </c>
      <c r="B366" t="s">
        <v>3113</v>
      </c>
    </row>
    <row r="367" spans="1:6" x14ac:dyDescent="0.25">
      <c r="A367" t="s">
        <v>2917</v>
      </c>
      <c r="B367" t="s">
        <v>1943</v>
      </c>
    </row>
    <row r="368" spans="1:6" x14ac:dyDescent="0.25">
      <c r="A368" t="s">
        <v>2918</v>
      </c>
      <c r="B368" t="s">
        <v>2919</v>
      </c>
    </row>
    <row r="371" spans="1:6" ht="21" customHeight="1" x14ac:dyDescent="0.35">
      <c r="A371" s="38" t="s">
        <v>6688</v>
      </c>
      <c r="F371" s="15"/>
    </row>
    <row r="372" spans="1:6" x14ac:dyDescent="0.25">
      <c r="A372" t="s">
        <v>1189</v>
      </c>
    </row>
    <row r="373" spans="1:6" x14ac:dyDescent="0.25">
      <c r="A373" s="126" t="s">
        <v>1190</v>
      </c>
    </row>
    <row r="374" spans="1:6" x14ac:dyDescent="0.25">
      <c r="A374" s="126" t="s">
        <v>4452</v>
      </c>
    </row>
    <row r="375" spans="1:6" x14ac:dyDescent="0.25">
      <c r="A375" s="126" t="s">
        <v>1191</v>
      </c>
    </row>
    <row r="376" spans="1:6" x14ac:dyDescent="0.25">
      <c r="A376" s="126" t="s">
        <v>2927</v>
      </c>
    </row>
    <row r="377" spans="1:6" x14ac:dyDescent="0.25">
      <c r="A377" s="126" t="s">
        <v>2928</v>
      </c>
    </row>
    <row r="378" spans="1:6" x14ac:dyDescent="0.25">
      <c r="A378" s="126" t="s">
        <v>2929</v>
      </c>
    </row>
    <row r="379" spans="1:6" x14ac:dyDescent="0.25">
      <c r="A379" s="126" t="s">
        <v>2931</v>
      </c>
    </row>
    <row r="380" spans="1:6" x14ac:dyDescent="0.25">
      <c r="A380" s="126" t="s">
        <v>2930</v>
      </c>
    </row>
    <row r="381" spans="1:6" x14ac:dyDescent="0.25">
      <c r="A381" t="s">
        <v>2942</v>
      </c>
    </row>
    <row r="382" spans="1:6" x14ac:dyDescent="0.25">
      <c r="A382" t="s">
        <v>1154</v>
      </c>
    </row>
    <row r="383" spans="1:6" x14ac:dyDescent="0.25">
      <c r="A383" t="s">
        <v>2943</v>
      </c>
    </row>
    <row r="384" spans="1:6" x14ac:dyDescent="0.25">
      <c r="A384" t="s">
        <v>1153</v>
      </c>
    </row>
    <row r="385" spans="1:2" x14ac:dyDescent="0.25">
      <c r="A385" t="s">
        <v>1152</v>
      </c>
    </row>
    <row r="386" spans="1:2" x14ac:dyDescent="0.25">
      <c r="A386" s="126" t="s">
        <v>1155</v>
      </c>
    </row>
    <row r="387" spans="1:2" x14ac:dyDescent="0.25">
      <c r="A387" t="s">
        <v>2941</v>
      </c>
    </row>
    <row r="388" spans="1:2" x14ac:dyDescent="0.25">
      <c r="A388" t="s">
        <v>2933</v>
      </c>
    </row>
    <row r="389" spans="1:2" x14ac:dyDescent="0.25">
      <c r="B389" s="127" t="s">
        <v>1192</v>
      </c>
    </row>
    <row r="390" spans="1:2" x14ac:dyDescent="0.25">
      <c r="B390" s="128" t="s">
        <v>2934</v>
      </c>
    </row>
    <row r="391" spans="1:2" x14ac:dyDescent="0.25">
      <c r="B391" s="126" t="s">
        <v>1193</v>
      </c>
    </row>
    <row r="392" spans="1:2" x14ac:dyDescent="0.25">
      <c r="B392" s="126" t="s">
        <v>1194</v>
      </c>
    </row>
    <row r="393" spans="1:2" x14ac:dyDescent="0.25">
      <c r="B393" s="127" t="s">
        <v>1195</v>
      </c>
    </row>
    <row r="394" spans="1:2" x14ac:dyDescent="0.25">
      <c r="B394" s="127" t="s">
        <v>2935</v>
      </c>
    </row>
    <row r="395" spans="1:2" x14ac:dyDescent="0.25">
      <c r="B395" s="127" t="s">
        <v>3125</v>
      </c>
    </row>
    <row r="396" spans="1:2" x14ac:dyDescent="0.25">
      <c r="B396" s="127" t="s">
        <v>2936</v>
      </c>
    </row>
    <row r="397" spans="1:2" x14ac:dyDescent="0.25">
      <c r="A397" t="s">
        <v>2932</v>
      </c>
    </row>
  </sheetData>
  <mergeCells count="44">
    <mergeCell ref="A1:F1"/>
    <mergeCell ref="D44:E44"/>
    <mergeCell ref="B17:F17"/>
    <mergeCell ref="D68:E68"/>
    <mergeCell ref="D67:E67"/>
    <mergeCell ref="A35:F35"/>
    <mergeCell ref="A37:F37"/>
    <mergeCell ref="D43:E43"/>
    <mergeCell ref="D49:E49"/>
    <mergeCell ref="F42:I42"/>
    <mergeCell ref="A31:F31"/>
    <mergeCell ref="A33:F33"/>
    <mergeCell ref="A29:F29"/>
    <mergeCell ref="A21:F21"/>
    <mergeCell ref="A23:F23"/>
    <mergeCell ref="A25:F25"/>
    <mergeCell ref="A27:F27"/>
    <mergeCell ref="D58:E58"/>
    <mergeCell ref="D59:E59"/>
    <mergeCell ref="D56:E56"/>
    <mergeCell ref="D48:E48"/>
    <mergeCell ref="D55:E55"/>
    <mergeCell ref="D50:E50"/>
    <mergeCell ref="D57:E57"/>
    <mergeCell ref="D46:E46"/>
    <mergeCell ref="D47:E47"/>
    <mergeCell ref="D45:E45"/>
    <mergeCell ref="D65:E65"/>
    <mergeCell ref="D66:E66"/>
    <mergeCell ref="D51:E51"/>
    <mergeCell ref="D52:E52"/>
    <mergeCell ref="D53:E53"/>
    <mergeCell ref="D54:E54"/>
    <mergeCell ref="D60:E60"/>
    <mergeCell ref="D64:E64"/>
    <mergeCell ref="D61:E61"/>
    <mergeCell ref="D63:E63"/>
    <mergeCell ref="D62:E62"/>
    <mergeCell ref="D69:E69"/>
    <mergeCell ref="D75:E75"/>
    <mergeCell ref="D70:E70"/>
    <mergeCell ref="D72:E72"/>
    <mergeCell ref="D73:E73"/>
    <mergeCell ref="D74:E74"/>
  </mergeCells>
  <phoneticPr fontId="11"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00B050"/>
    <pageSetUpPr fitToPage="1"/>
  </sheetPr>
  <dimension ref="A1:IU6303"/>
  <sheetViews>
    <sheetView zoomScale="90" zoomScaleNormal="90" workbookViewId="0">
      <pane ySplit="2" topLeftCell="A3" activePane="bottomLeft" state="frozen"/>
      <selection pane="bottomLeft" activeCell="A3" sqref="A3"/>
    </sheetView>
  </sheetViews>
  <sheetFormatPr baseColWidth="10" defaultRowHeight="15" x14ac:dyDescent="0.25"/>
  <cols>
    <col min="1" max="1" width="22.42578125" customWidth="1"/>
    <col min="2" max="2" width="17.42578125" customWidth="1"/>
    <col min="3" max="3" width="27.42578125" customWidth="1"/>
    <col min="4" max="4" width="73.42578125" customWidth="1"/>
    <col min="5" max="5" width="28.5703125" customWidth="1"/>
    <col min="6" max="6" width="14.42578125" style="471" customWidth="1"/>
    <col min="7" max="7" width="33" style="15" customWidth="1"/>
    <col min="8" max="8" width="14.42578125" style="15" customWidth="1"/>
    <col min="9" max="9" width="15.5703125" style="691" customWidth="1"/>
    <col min="10" max="10" width="20.42578125" style="668" bestFit="1" customWidth="1"/>
    <col min="11" max="12" width="1.42578125" customWidth="1"/>
    <col min="13" max="13" width="14.42578125" customWidth="1"/>
    <col min="14" max="14" width="11" customWidth="1"/>
    <col min="15" max="15" width="8.42578125" customWidth="1"/>
    <col min="16" max="21" width="7.5703125" customWidth="1"/>
    <col min="22" max="24" width="8.5703125" customWidth="1"/>
    <col min="25" max="25" width="7.5703125" customWidth="1"/>
    <col min="26" max="30" width="6.5703125" customWidth="1"/>
    <col min="33" max="33" width="12.5703125" customWidth="1"/>
    <col min="34" max="38" width="11.42578125" hidden="1" customWidth="1"/>
    <col min="39" max="39" width="20.5703125" hidden="1" customWidth="1"/>
    <col min="40" max="40" width="7.42578125" hidden="1" customWidth="1"/>
    <col min="41" max="41" width="32.42578125" hidden="1" customWidth="1"/>
    <col min="42" max="43" width="11.42578125" hidden="1" customWidth="1"/>
    <col min="44" max="44" width="19.5703125" hidden="1" customWidth="1"/>
    <col min="45" max="46" width="11.42578125" hidden="1" customWidth="1"/>
    <col min="47" max="47" width="55.42578125" hidden="1" customWidth="1"/>
    <col min="48" max="48" width="22.5703125" hidden="1" customWidth="1"/>
    <col min="49" max="49" width="37.5703125" hidden="1" customWidth="1"/>
    <col min="50" max="50" width="16.5703125" hidden="1" customWidth="1"/>
    <col min="51" max="52" width="11.42578125" hidden="1" customWidth="1"/>
    <col min="53" max="53" width="0" hidden="1" customWidth="1"/>
  </cols>
  <sheetData>
    <row r="1" spans="1:50" ht="26.25" x14ac:dyDescent="0.4">
      <c r="A1" s="1168" t="s">
        <v>7906</v>
      </c>
      <c r="B1" s="1168"/>
      <c r="C1" s="1168"/>
      <c r="D1" s="1168"/>
      <c r="F1" s="441"/>
      <c r="G1"/>
      <c r="AH1" s="92" t="s">
        <v>4163</v>
      </c>
      <c r="AI1" t="s">
        <v>4164</v>
      </c>
      <c r="AJ1" t="s">
        <v>4165</v>
      </c>
      <c r="AK1" t="s">
        <v>4166</v>
      </c>
      <c r="AL1" t="s">
        <v>4167</v>
      </c>
      <c r="AM1" t="s">
        <v>4168</v>
      </c>
      <c r="AN1" t="s">
        <v>4169</v>
      </c>
      <c r="AO1" t="s">
        <v>4170</v>
      </c>
      <c r="AP1" t="s">
        <v>4171</v>
      </c>
      <c r="AQ1" t="s">
        <v>4172</v>
      </c>
      <c r="AR1" t="s">
        <v>4173</v>
      </c>
      <c r="AS1" t="s">
        <v>4176</v>
      </c>
      <c r="AU1" t="s">
        <v>4174</v>
      </c>
      <c r="AV1" t="s">
        <v>4175</v>
      </c>
      <c r="AW1" t="s">
        <v>4177</v>
      </c>
      <c r="AX1" t="s">
        <v>4178</v>
      </c>
    </row>
    <row r="2" spans="1:50" s="440" customFormat="1" ht="120" customHeight="1" x14ac:dyDescent="0.25">
      <c r="A2" s="438" t="s">
        <v>2263</v>
      </c>
      <c r="B2" s="439" t="s">
        <v>2264</v>
      </c>
      <c r="C2" s="439" t="s">
        <v>2265</v>
      </c>
      <c r="D2" s="439" t="s">
        <v>2266</v>
      </c>
      <c r="E2" s="439" t="s">
        <v>2267</v>
      </c>
      <c r="F2" s="378" t="s">
        <v>41</v>
      </c>
      <c r="G2" s="555" t="s">
        <v>332</v>
      </c>
      <c r="H2" s="378" t="s">
        <v>42</v>
      </c>
      <c r="I2" s="555" t="s">
        <v>6327</v>
      </c>
      <c r="J2" s="378" t="s">
        <v>5828</v>
      </c>
    </row>
    <row r="3" spans="1:50" ht="168.75" customHeight="1" x14ac:dyDescent="0.25">
      <c r="A3" s="3"/>
      <c r="B3" s="1"/>
      <c r="C3" s="1"/>
      <c r="D3" s="1"/>
      <c r="E3" s="1"/>
      <c r="F3" s="442"/>
      <c r="G3" s="554" t="s">
        <v>333</v>
      </c>
      <c r="H3" s="13"/>
      <c r="I3" s="692"/>
      <c r="J3" s="669"/>
    </row>
    <row r="4" spans="1:50" ht="23.25" x14ac:dyDescent="0.35">
      <c r="A4" s="110" t="s">
        <v>2848</v>
      </c>
      <c r="B4" s="65"/>
      <c r="C4" s="65"/>
      <c r="D4" s="65"/>
      <c r="E4" s="65"/>
      <c r="F4" s="443"/>
      <c r="G4" s="65"/>
      <c r="H4" s="74"/>
      <c r="I4" s="693"/>
      <c r="J4" s="670" t="s">
        <v>5805</v>
      </c>
    </row>
    <row r="5" spans="1:50" x14ac:dyDescent="0.25">
      <c r="A5" s="609" t="s">
        <v>2268</v>
      </c>
      <c r="B5" s="1" t="s">
        <v>2269</v>
      </c>
      <c r="C5" s="1" t="s">
        <v>2270</v>
      </c>
      <c r="D5" s="1" t="s">
        <v>5407</v>
      </c>
      <c r="E5" s="1"/>
      <c r="F5" s="442">
        <v>7.67</v>
      </c>
      <c r="G5" s="520">
        <v>7.67</v>
      </c>
      <c r="H5" s="13">
        <f t="shared" ref="H5:H15" si="0">IF(ISNUMBER(G5),ROUND(0.8*G5,2),"")</f>
        <v>6.14</v>
      </c>
      <c r="I5" s="692"/>
      <c r="J5" s="1105" t="s">
        <v>5805</v>
      </c>
    </row>
    <row r="6" spans="1:50" x14ac:dyDescent="0.25">
      <c r="A6" s="609" t="s">
        <v>2271</v>
      </c>
      <c r="B6" s="1" t="s">
        <v>2269</v>
      </c>
      <c r="C6" s="1" t="s">
        <v>2270</v>
      </c>
      <c r="D6" s="1" t="s">
        <v>5408</v>
      </c>
      <c r="E6" s="1"/>
      <c r="F6" s="442">
        <v>6.65</v>
      </c>
      <c r="G6" s="520">
        <v>6.65</v>
      </c>
      <c r="H6" s="13">
        <f t="shared" si="0"/>
        <v>5.32</v>
      </c>
      <c r="I6" s="692"/>
      <c r="J6" s="1105" t="s">
        <v>5805</v>
      </c>
    </row>
    <row r="7" spans="1:50" x14ac:dyDescent="0.25">
      <c r="A7" s="609"/>
      <c r="B7" s="1"/>
      <c r="C7" s="1"/>
      <c r="D7" s="1"/>
      <c r="E7" s="1"/>
      <c r="F7" s="442"/>
      <c r="G7" s="520"/>
      <c r="H7" s="13" t="str">
        <f t="shared" si="0"/>
        <v/>
      </c>
      <c r="I7" s="692"/>
      <c r="J7" s="669" t="s">
        <v>4180</v>
      </c>
    </row>
    <row r="8" spans="1:50" x14ac:dyDescent="0.25">
      <c r="A8" s="609" t="s">
        <v>2221</v>
      </c>
      <c r="B8" s="1" t="s">
        <v>2269</v>
      </c>
      <c r="C8" s="1" t="s">
        <v>3724</v>
      </c>
      <c r="D8" s="1" t="s">
        <v>5407</v>
      </c>
      <c r="E8" s="1"/>
      <c r="F8" s="442">
        <v>7.67</v>
      </c>
      <c r="G8" s="520">
        <v>7.67</v>
      </c>
      <c r="H8" s="13">
        <f t="shared" si="0"/>
        <v>6.14</v>
      </c>
      <c r="I8" s="692"/>
      <c r="J8" s="669" t="s">
        <v>5805</v>
      </c>
    </row>
    <row r="9" spans="1:50" x14ac:dyDescent="0.25">
      <c r="A9" s="609" t="s">
        <v>3725</v>
      </c>
      <c r="B9" s="1" t="s">
        <v>2269</v>
      </c>
      <c r="C9" s="1" t="s">
        <v>3724</v>
      </c>
      <c r="D9" s="1" t="s">
        <v>5408</v>
      </c>
      <c r="E9" s="1"/>
      <c r="F9" s="442">
        <v>6.65</v>
      </c>
      <c r="G9" s="533">
        <v>6.65</v>
      </c>
      <c r="H9" s="13">
        <f t="shared" si="0"/>
        <v>5.32</v>
      </c>
      <c r="I9" s="692"/>
      <c r="J9" s="669" t="s">
        <v>5805</v>
      </c>
    </row>
    <row r="10" spans="1:50" x14ac:dyDescent="0.25">
      <c r="A10" s="609"/>
      <c r="B10" s="1"/>
      <c r="C10" s="1"/>
      <c r="D10" s="1"/>
      <c r="E10" s="1"/>
      <c r="F10" s="442"/>
      <c r="G10" s="520"/>
      <c r="H10" s="13" t="str">
        <f t="shared" si="0"/>
        <v/>
      </c>
      <c r="I10" s="692"/>
      <c r="J10" s="669" t="s">
        <v>4180</v>
      </c>
    </row>
    <row r="11" spans="1:50" x14ac:dyDescent="0.25">
      <c r="A11" s="609" t="s">
        <v>3726</v>
      </c>
      <c r="B11" s="1" t="s">
        <v>2269</v>
      </c>
      <c r="C11" s="1" t="s">
        <v>3727</v>
      </c>
      <c r="D11" s="1" t="s">
        <v>5407</v>
      </c>
      <c r="E11" s="1"/>
      <c r="F11" s="442">
        <v>7.67</v>
      </c>
      <c r="G11" s="520">
        <v>7.67</v>
      </c>
      <c r="H11" s="13">
        <f t="shared" si="0"/>
        <v>6.14</v>
      </c>
      <c r="I11" s="692"/>
      <c r="J11" s="669" t="s">
        <v>5805</v>
      </c>
    </row>
    <row r="12" spans="1:50" x14ac:dyDescent="0.25">
      <c r="A12" s="609" t="s">
        <v>3728</v>
      </c>
      <c r="B12" s="1" t="s">
        <v>2269</v>
      </c>
      <c r="C12" s="1" t="s">
        <v>3727</v>
      </c>
      <c r="D12" s="1" t="s">
        <v>5408</v>
      </c>
      <c r="E12" s="1"/>
      <c r="F12" s="442">
        <v>6.65</v>
      </c>
      <c r="G12" s="520">
        <v>6.65</v>
      </c>
      <c r="H12" s="13">
        <f t="shared" si="0"/>
        <v>5.32</v>
      </c>
      <c r="I12" s="692"/>
      <c r="J12" s="669" t="s">
        <v>5805</v>
      </c>
    </row>
    <row r="13" spans="1:50" x14ac:dyDescent="0.25">
      <c r="A13" s="609"/>
      <c r="B13" s="1"/>
      <c r="C13" s="1"/>
      <c r="D13" s="1"/>
      <c r="E13" s="1"/>
      <c r="F13" s="442"/>
      <c r="G13" s="520"/>
      <c r="H13" s="13" t="str">
        <f t="shared" si="0"/>
        <v/>
      </c>
      <c r="I13" s="692"/>
      <c r="J13" s="669" t="s">
        <v>4180</v>
      </c>
    </row>
    <row r="14" spans="1:50" x14ac:dyDescent="0.25">
      <c r="A14" s="609" t="s">
        <v>3729</v>
      </c>
      <c r="B14" s="1" t="s">
        <v>2269</v>
      </c>
      <c r="C14" s="1" t="s">
        <v>1272</v>
      </c>
      <c r="D14" s="1" t="s">
        <v>5407</v>
      </c>
      <c r="E14" s="1"/>
      <c r="F14" s="442">
        <v>7.67</v>
      </c>
      <c r="G14" s="520">
        <v>7.67</v>
      </c>
      <c r="H14" s="13">
        <f t="shared" si="0"/>
        <v>6.14</v>
      </c>
      <c r="I14" s="692"/>
      <c r="J14" s="669" t="s">
        <v>5805</v>
      </c>
    </row>
    <row r="15" spans="1:50" x14ac:dyDescent="0.25">
      <c r="A15" s="609" t="s">
        <v>1273</v>
      </c>
      <c r="B15" s="1" t="s">
        <v>2269</v>
      </c>
      <c r="C15" s="1" t="s">
        <v>1272</v>
      </c>
      <c r="D15" s="1" t="s">
        <v>5408</v>
      </c>
      <c r="E15" s="1"/>
      <c r="F15" s="442">
        <v>6.65</v>
      </c>
      <c r="G15" s="520">
        <v>6.65</v>
      </c>
      <c r="H15" s="13">
        <f t="shared" si="0"/>
        <v>5.32</v>
      </c>
      <c r="I15" s="692"/>
      <c r="J15" s="669" t="s">
        <v>5805</v>
      </c>
    </row>
    <row r="16" spans="1:50" s="774" customFormat="1" x14ac:dyDescent="0.25">
      <c r="A16" s="609"/>
      <c r="B16" s="1"/>
      <c r="C16" s="1"/>
      <c r="D16" s="1"/>
      <c r="E16" s="1"/>
      <c r="F16" s="442"/>
      <c r="G16" s="520"/>
      <c r="H16" s="13"/>
      <c r="I16" s="692"/>
      <c r="J16" s="669"/>
    </row>
    <row r="17" spans="1:21" s="774" customFormat="1" x14ac:dyDescent="0.25">
      <c r="A17" s="609" t="s">
        <v>1274</v>
      </c>
      <c r="B17" s="1" t="s">
        <v>2269</v>
      </c>
      <c r="C17" s="1" t="s">
        <v>1275</v>
      </c>
      <c r="D17" s="1" t="s">
        <v>5407</v>
      </c>
      <c r="E17" s="1"/>
      <c r="F17" s="442">
        <v>9.67</v>
      </c>
      <c r="G17" s="520">
        <v>9.67</v>
      </c>
      <c r="H17" s="13">
        <f>IF(ISNUMBER(G17),ROUND(0.8*G17,2),"")</f>
        <v>7.74</v>
      </c>
      <c r="I17" s="692"/>
      <c r="J17" s="669" t="s">
        <v>5805</v>
      </c>
    </row>
    <row r="18" spans="1:21" s="774" customFormat="1" x14ac:dyDescent="0.25">
      <c r="A18" s="609" t="s">
        <v>1276</v>
      </c>
      <c r="B18" s="1" t="s">
        <v>2269</v>
      </c>
      <c r="C18" s="1" t="s">
        <v>1275</v>
      </c>
      <c r="D18" s="1" t="s">
        <v>5408</v>
      </c>
      <c r="E18" s="1"/>
      <c r="F18" s="442">
        <v>6.65</v>
      </c>
      <c r="G18" s="520">
        <v>6.65</v>
      </c>
      <c r="H18" s="13">
        <f>IF(ISNUMBER(G18),ROUND(0.8*G18,2),"")</f>
        <v>5.32</v>
      </c>
      <c r="I18" s="692"/>
      <c r="J18" s="669" t="s">
        <v>5805</v>
      </c>
    </row>
    <row r="19" spans="1:21" s="774" customFormat="1" x14ac:dyDescent="0.25">
      <c r="A19" s="644"/>
      <c r="B19" s="645" t="s">
        <v>2269</v>
      </c>
      <c r="C19" s="643" t="s">
        <v>1275</v>
      </c>
      <c r="D19" s="643" t="s">
        <v>6686</v>
      </c>
      <c r="E19" s="645"/>
      <c r="F19" s="657"/>
      <c r="G19" s="656"/>
      <c r="H19" s="656"/>
      <c r="I19" s="701"/>
      <c r="J19" s="669">
        <v>43796</v>
      </c>
      <c r="N19" s="395"/>
      <c r="O19" s="327"/>
      <c r="P19" s="327"/>
      <c r="Q19" s="327"/>
      <c r="R19" s="327"/>
      <c r="S19" s="327"/>
      <c r="T19" s="327"/>
      <c r="U19" s="327"/>
    </row>
    <row r="20" spans="1:21" x14ac:dyDescent="0.25">
      <c r="A20" s="609"/>
      <c r="B20" s="1"/>
      <c r="C20" s="1"/>
      <c r="D20" s="1"/>
      <c r="E20" s="1"/>
      <c r="F20" s="442"/>
      <c r="G20" s="520"/>
      <c r="H20" s="13" t="str">
        <f>IF(ISNUMBER(G20),ROUND(0.8*G20,2),"")</f>
        <v/>
      </c>
      <c r="I20" s="692"/>
      <c r="J20" s="669" t="s">
        <v>4180</v>
      </c>
    </row>
    <row r="21" spans="1:21" x14ac:dyDescent="0.25">
      <c r="A21" s="609" t="s">
        <v>1287</v>
      </c>
      <c r="B21" s="1" t="s">
        <v>2269</v>
      </c>
      <c r="C21" s="1" t="s">
        <v>1288</v>
      </c>
      <c r="D21" s="1" t="s">
        <v>5407</v>
      </c>
      <c r="E21" s="1"/>
      <c r="F21" s="442">
        <v>9.67</v>
      </c>
      <c r="G21" s="520">
        <v>9.67</v>
      </c>
      <c r="H21" s="13">
        <f>IF(ISNUMBER(G21),ROUND(0.8*G21,2),"")</f>
        <v>7.74</v>
      </c>
      <c r="I21" s="692"/>
      <c r="J21" s="669" t="s">
        <v>5805</v>
      </c>
    </row>
    <row r="22" spans="1:21" x14ac:dyDescent="0.25">
      <c r="A22" s="609" t="s">
        <v>1289</v>
      </c>
      <c r="B22" s="1" t="s">
        <v>2269</v>
      </c>
      <c r="C22" s="1" t="s">
        <v>1288</v>
      </c>
      <c r="D22" s="1" t="s">
        <v>5408</v>
      </c>
      <c r="E22" s="1"/>
      <c r="F22" s="442">
        <v>6.65</v>
      </c>
      <c r="G22" s="520">
        <v>6.65</v>
      </c>
      <c r="H22" s="13">
        <f>IF(ISNUMBER(G22),ROUND(0.8*G22,2),"")</f>
        <v>5.32</v>
      </c>
      <c r="I22" s="692"/>
      <c r="J22" s="669" t="s">
        <v>5805</v>
      </c>
    </row>
    <row r="23" spans="1:21" s="774" customFormat="1" x14ac:dyDescent="0.25">
      <c r="A23" s="644"/>
      <c r="B23" s="645" t="s">
        <v>2269</v>
      </c>
      <c r="C23" s="643" t="s">
        <v>1288</v>
      </c>
      <c r="D23" s="643" t="s">
        <v>6685</v>
      </c>
      <c r="E23" s="645"/>
      <c r="F23" s="657"/>
      <c r="G23" s="656"/>
      <c r="H23" s="656"/>
      <c r="I23" s="701"/>
      <c r="J23" s="669">
        <v>44196</v>
      </c>
      <c r="N23" s="395"/>
      <c r="O23" s="327"/>
      <c r="P23" s="327"/>
      <c r="Q23" s="327"/>
      <c r="R23" s="327"/>
      <c r="S23" s="327"/>
      <c r="T23" s="327"/>
      <c r="U23" s="327"/>
    </row>
    <row r="24" spans="1:21" x14ac:dyDescent="0.25">
      <c r="A24" s="609"/>
      <c r="B24" s="1"/>
      <c r="C24" s="1"/>
      <c r="D24" s="1"/>
      <c r="E24" s="1"/>
      <c r="F24" s="442"/>
      <c r="G24" s="520"/>
      <c r="H24" s="13" t="str">
        <f>IF(ISNUMBER(G24),ROUND(0.8*G24,2),"")</f>
        <v/>
      </c>
      <c r="I24" s="692"/>
      <c r="J24" s="669" t="s">
        <v>4180</v>
      </c>
    </row>
    <row r="25" spans="1:21" x14ac:dyDescent="0.25">
      <c r="A25" s="609" t="s">
        <v>1295</v>
      </c>
      <c r="B25" s="1" t="s">
        <v>2269</v>
      </c>
      <c r="C25" s="1" t="s">
        <v>1296</v>
      </c>
      <c r="D25" s="1" t="s">
        <v>5407</v>
      </c>
      <c r="E25" s="1"/>
      <c r="F25" s="442">
        <v>9.67</v>
      </c>
      <c r="G25" s="520">
        <v>9.67</v>
      </c>
      <c r="H25" s="13">
        <f>IF(ISNUMBER(G25),ROUND(0.8*G25,2),"")</f>
        <v>7.74</v>
      </c>
      <c r="I25" s="692"/>
      <c r="J25" s="669" t="s">
        <v>5805</v>
      </c>
    </row>
    <row r="26" spans="1:21" x14ac:dyDescent="0.25">
      <c r="A26" s="609" t="s">
        <v>1297</v>
      </c>
      <c r="B26" s="1" t="s">
        <v>2269</v>
      </c>
      <c r="C26" s="1" t="s">
        <v>1296</v>
      </c>
      <c r="D26" s="1" t="s">
        <v>5408</v>
      </c>
      <c r="E26" s="1"/>
      <c r="F26" s="442">
        <v>6.65</v>
      </c>
      <c r="G26" s="520">
        <v>6.65</v>
      </c>
      <c r="H26" s="13">
        <f>IF(ISNUMBER(G26),ROUND(0.8*G26,2),"")</f>
        <v>5.32</v>
      </c>
      <c r="I26" s="692"/>
      <c r="J26" s="669" t="s">
        <v>5805</v>
      </c>
    </row>
    <row r="27" spans="1:21" s="774" customFormat="1" x14ac:dyDescent="0.25">
      <c r="A27" s="644"/>
      <c r="B27" s="645" t="s">
        <v>2269</v>
      </c>
      <c r="C27" s="643" t="s">
        <v>1296</v>
      </c>
      <c r="D27" s="643" t="s">
        <v>7673</v>
      </c>
      <c r="E27" s="645"/>
      <c r="F27" s="657"/>
      <c r="G27" s="656"/>
      <c r="H27" s="656"/>
      <c r="I27" s="701"/>
      <c r="J27" s="669">
        <v>44536</v>
      </c>
      <c r="N27" s="395"/>
      <c r="O27" s="327"/>
      <c r="P27" s="327"/>
      <c r="Q27" s="327"/>
      <c r="R27" s="327"/>
      <c r="S27" s="327"/>
      <c r="T27" s="327"/>
      <c r="U27" s="327"/>
    </row>
    <row r="28" spans="1:21" x14ac:dyDescent="0.25">
      <c r="A28" s="609"/>
      <c r="B28" s="1"/>
      <c r="C28" s="1"/>
      <c r="D28" s="1"/>
      <c r="E28" s="1"/>
      <c r="F28" s="442"/>
      <c r="G28" s="520"/>
      <c r="H28" s="13" t="str">
        <f>IF(ISNUMBER(G28),ROUND(0.8*G28,2),"")</f>
        <v/>
      </c>
      <c r="I28" s="692"/>
      <c r="J28" s="669" t="s">
        <v>4180</v>
      </c>
    </row>
    <row r="29" spans="1:21" x14ac:dyDescent="0.25">
      <c r="A29" s="609" t="s">
        <v>1303</v>
      </c>
      <c r="B29" s="1" t="s">
        <v>2269</v>
      </c>
      <c r="C29" s="1" t="s">
        <v>1304</v>
      </c>
      <c r="D29" s="1" t="s">
        <v>5407</v>
      </c>
      <c r="E29" s="1"/>
      <c r="F29" s="442">
        <v>9.67</v>
      </c>
      <c r="G29" s="520">
        <v>9.67</v>
      </c>
      <c r="H29" s="13">
        <f>IF(ISNUMBER(G29),ROUND(0.8*G29,2),"")</f>
        <v>7.74</v>
      </c>
      <c r="I29" s="692"/>
      <c r="J29" s="669" t="s">
        <v>5805</v>
      </c>
    </row>
    <row r="30" spans="1:21" x14ac:dyDescent="0.25">
      <c r="A30" s="609" t="s">
        <v>1305</v>
      </c>
      <c r="B30" s="1" t="s">
        <v>2269</v>
      </c>
      <c r="C30" s="1" t="s">
        <v>1304</v>
      </c>
      <c r="D30" s="1" t="s">
        <v>5408</v>
      </c>
      <c r="E30" s="1"/>
      <c r="F30" s="442">
        <v>6.65</v>
      </c>
      <c r="G30" s="520">
        <v>6.65</v>
      </c>
      <c r="H30" s="13">
        <f>IF(ISNUMBER(G30),ROUND(0.8*G30,2),"")</f>
        <v>5.32</v>
      </c>
      <c r="I30" s="692"/>
      <c r="J30" s="669" t="s">
        <v>5805</v>
      </c>
    </row>
    <row r="31" spans="1:21" x14ac:dyDescent="0.25">
      <c r="A31" s="643"/>
      <c r="B31" s="643" t="s">
        <v>2269</v>
      </c>
      <c r="C31" s="643" t="s">
        <v>1304</v>
      </c>
      <c r="D31" s="643" t="s">
        <v>7907</v>
      </c>
      <c r="E31" s="645"/>
      <c r="F31" s="657"/>
      <c r="G31" s="656"/>
      <c r="H31" s="656"/>
      <c r="I31" s="701"/>
      <c r="J31" s="669">
        <v>44896</v>
      </c>
    </row>
    <row r="32" spans="1:21" x14ac:dyDescent="0.25">
      <c r="A32" s="609"/>
      <c r="B32" s="1"/>
      <c r="C32" s="1"/>
      <c r="D32" s="1"/>
      <c r="E32" s="1"/>
      <c r="F32" s="442"/>
      <c r="G32" s="520"/>
      <c r="H32" s="13" t="str">
        <f t="shared" ref="H32:H95" si="1">IF(ISNUMBER(G32),ROUND(0.8*G32,2),"")</f>
        <v/>
      </c>
      <c r="I32" s="692"/>
      <c r="J32" s="669" t="s">
        <v>4180</v>
      </c>
    </row>
    <row r="33" spans="1:10" x14ac:dyDescent="0.25">
      <c r="A33" s="609" t="s">
        <v>1311</v>
      </c>
      <c r="B33" s="1" t="s">
        <v>2269</v>
      </c>
      <c r="C33" s="1" t="s">
        <v>5540</v>
      </c>
      <c r="D33" s="1" t="s">
        <v>5407</v>
      </c>
      <c r="E33" s="1"/>
      <c r="F33" s="442">
        <v>9.67</v>
      </c>
      <c r="G33" s="520">
        <v>9.67</v>
      </c>
      <c r="H33" s="13">
        <f t="shared" si="1"/>
        <v>7.74</v>
      </c>
      <c r="I33" s="692"/>
      <c r="J33" s="669" t="s">
        <v>5805</v>
      </c>
    </row>
    <row r="34" spans="1:10" x14ac:dyDescent="0.25">
      <c r="A34" s="609" t="s">
        <v>5541</v>
      </c>
      <c r="B34" s="1" t="s">
        <v>2269</v>
      </c>
      <c r="C34" s="1" t="s">
        <v>5540</v>
      </c>
      <c r="D34" s="1" t="s">
        <v>5408</v>
      </c>
      <c r="E34" s="1"/>
      <c r="F34" s="442">
        <v>6.65</v>
      </c>
      <c r="G34" s="520">
        <v>6.65</v>
      </c>
      <c r="H34" s="13">
        <f t="shared" si="1"/>
        <v>5.32</v>
      </c>
      <c r="I34" s="692"/>
      <c r="J34" s="669" t="s">
        <v>5805</v>
      </c>
    </row>
    <row r="35" spans="1:10" x14ac:dyDescent="0.25">
      <c r="A35" s="609" t="s">
        <v>5542</v>
      </c>
      <c r="B35" s="1" t="s">
        <v>2269</v>
      </c>
      <c r="C35" s="1" t="s">
        <v>5540</v>
      </c>
      <c r="D35" s="1" t="s">
        <v>7380</v>
      </c>
      <c r="E35" s="1"/>
      <c r="F35" s="442">
        <v>7.36</v>
      </c>
      <c r="G35" s="520">
        <v>7.36</v>
      </c>
      <c r="H35" s="13">
        <f t="shared" si="1"/>
        <v>5.89</v>
      </c>
      <c r="I35" s="692"/>
      <c r="J35" s="669" t="s">
        <v>5805</v>
      </c>
    </row>
    <row r="36" spans="1:10" x14ac:dyDescent="0.25">
      <c r="A36" s="609" t="s">
        <v>5543</v>
      </c>
      <c r="B36" s="1" t="s">
        <v>2269</v>
      </c>
      <c r="C36" s="1" t="s">
        <v>5540</v>
      </c>
      <c r="D36" s="1" t="s">
        <v>7373</v>
      </c>
      <c r="E36" s="1"/>
      <c r="F36" s="442">
        <v>6.38</v>
      </c>
      <c r="G36" s="520">
        <v>6.38</v>
      </c>
      <c r="H36" s="13">
        <f t="shared" si="1"/>
        <v>5.0999999999999996</v>
      </c>
      <c r="I36" s="692"/>
      <c r="J36" s="669" t="s">
        <v>5805</v>
      </c>
    </row>
    <row r="37" spans="1:10" x14ac:dyDescent="0.25">
      <c r="A37" s="609" t="s">
        <v>5544</v>
      </c>
      <c r="B37" s="1" t="s">
        <v>2269</v>
      </c>
      <c r="C37" s="1" t="s">
        <v>5540</v>
      </c>
      <c r="D37" s="1" t="s">
        <v>7377</v>
      </c>
      <c r="E37" s="1"/>
      <c r="F37" s="442">
        <v>5.86</v>
      </c>
      <c r="G37" s="520">
        <v>5.86</v>
      </c>
      <c r="H37" s="13">
        <f t="shared" si="1"/>
        <v>4.6900000000000004</v>
      </c>
      <c r="I37" s="692"/>
      <c r="J37" s="669" t="s">
        <v>5805</v>
      </c>
    </row>
    <row r="38" spans="1:10" x14ac:dyDescent="0.25">
      <c r="A38" s="609" t="s">
        <v>5545</v>
      </c>
      <c r="B38" s="1" t="s">
        <v>2269</v>
      </c>
      <c r="C38" s="1" t="s">
        <v>5540</v>
      </c>
      <c r="D38" s="1" t="s">
        <v>7378</v>
      </c>
      <c r="E38" s="1"/>
      <c r="F38" s="442">
        <v>4.38</v>
      </c>
      <c r="G38" s="520">
        <v>4.38</v>
      </c>
      <c r="H38" s="13">
        <f t="shared" si="1"/>
        <v>3.5</v>
      </c>
      <c r="I38" s="692"/>
      <c r="J38" s="669" t="s">
        <v>5805</v>
      </c>
    </row>
    <row r="39" spans="1:10" x14ac:dyDescent="0.25">
      <c r="A39" s="609" t="s">
        <v>5546</v>
      </c>
      <c r="B39" s="1" t="s">
        <v>2269</v>
      </c>
      <c r="C39" s="1" t="s">
        <v>5540</v>
      </c>
      <c r="D39" s="1" t="s">
        <v>7379</v>
      </c>
      <c r="E39" s="1"/>
      <c r="F39" s="442">
        <v>3.54</v>
      </c>
      <c r="G39" s="520">
        <v>3.54</v>
      </c>
      <c r="H39" s="13">
        <f t="shared" si="1"/>
        <v>2.83</v>
      </c>
      <c r="I39" s="692"/>
      <c r="J39" s="669" t="s">
        <v>5805</v>
      </c>
    </row>
    <row r="40" spans="1:10" x14ac:dyDescent="0.25">
      <c r="A40" s="609"/>
      <c r="B40" s="1"/>
      <c r="C40" s="1"/>
      <c r="D40" s="1"/>
      <c r="E40" s="1"/>
      <c r="F40" s="442"/>
      <c r="G40" s="520"/>
      <c r="H40" s="13" t="str">
        <f t="shared" si="1"/>
        <v/>
      </c>
      <c r="I40" s="692"/>
      <c r="J40" s="669" t="s">
        <v>4180</v>
      </c>
    </row>
    <row r="41" spans="1:10" x14ac:dyDescent="0.25">
      <c r="A41" s="610" t="s">
        <v>5583</v>
      </c>
      <c r="B41" s="17" t="s">
        <v>2269</v>
      </c>
      <c r="C41" s="17" t="s">
        <v>5405</v>
      </c>
      <c r="D41" s="30" t="s">
        <v>6746</v>
      </c>
      <c r="E41" s="17"/>
      <c r="F41" s="444">
        <v>12.67</v>
      </c>
      <c r="G41" s="519">
        <v>12.67</v>
      </c>
      <c r="H41" s="18">
        <f t="shared" si="1"/>
        <v>10.14</v>
      </c>
      <c r="I41" s="694"/>
      <c r="J41" s="669" t="s">
        <v>5805</v>
      </c>
    </row>
    <row r="42" spans="1:10" x14ac:dyDescent="0.25">
      <c r="A42" s="610" t="s">
        <v>5574</v>
      </c>
      <c r="B42" s="17" t="s">
        <v>2269</v>
      </c>
      <c r="C42" s="17" t="s">
        <v>5405</v>
      </c>
      <c r="D42" s="17" t="s">
        <v>6745</v>
      </c>
      <c r="E42" s="17"/>
      <c r="F42" s="444">
        <v>11.67</v>
      </c>
      <c r="G42" s="519">
        <v>11.67</v>
      </c>
      <c r="H42" s="18">
        <f t="shared" si="1"/>
        <v>9.34</v>
      </c>
      <c r="I42" s="694"/>
      <c r="J42" s="669" t="s">
        <v>5805</v>
      </c>
    </row>
    <row r="43" spans="1:10" x14ac:dyDescent="0.25">
      <c r="A43" s="610" t="s">
        <v>5575</v>
      </c>
      <c r="B43" s="17" t="s">
        <v>2269</v>
      </c>
      <c r="C43" s="17" t="s">
        <v>5405</v>
      </c>
      <c r="D43" s="17" t="s">
        <v>6751</v>
      </c>
      <c r="E43" s="17"/>
      <c r="F43" s="444">
        <v>8.65</v>
      </c>
      <c r="G43" s="519">
        <v>8.65</v>
      </c>
      <c r="H43" s="18">
        <f t="shared" si="1"/>
        <v>6.92</v>
      </c>
      <c r="I43" s="694"/>
      <c r="J43" s="669" t="s">
        <v>5805</v>
      </c>
    </row>
    <row r="44" spans="1:10" x14ac:dyDescent="0.25">
      <c r="A44" s="610" t="s">
        <v>5576</v>
      </c>
      <c r="B44" s="17" t="s">
        <v>2269</v>
      </c>
      <c r="C44" s="17" t="s">
        <v>5405</v>
      </c>
      <c r="D44" s="17" t="s">
        <v>7246</v>
      </c>
      <c r="E44" s="17"/>
      <c r="F44" s="444">
        <v>7.65</v>
      </c>
      <c r="G44" s="519">
        <v>7.65</v>
      </c>
      <c r="H44" s="18">
        <f t="shared" si="1"/>
        <v>6.12</v>
      </c>
      <c r="I44" s="694"/>
      <c r="J44" s="669" t="s">
        <v>5805</v>
      </c>
    </row>
    <row r="45" spans="1:10" x14ac:dyDescent="0.25">
      <c r="A45" s="610" t="s">
        <v>5577</v>
      </c>
      <c r="B45" s="17" t="s">
        <v>2269</v>
      </c>
      <c r="C45" s="17" t="s">
        <v>5405</v>
      </c>
      <c r="D45" s="17" t="s">
        <v>6752</v>
      </c>
      <c r="E45" s="17"/>
      <c r="F45" s="444">
        <v>8.65</v>
      </c>
      <c r="G45" s="519">
        <v>8.65</v>
      </c>
      <c r="H45" s="18">
        <f t="shared" si="1"/>
        <v>6.92</v>
      </c>
      <c r="I45" s="694"/>
      <c r="J45" s="669" t="s">
        <v>5805</v>
      </c>
    </row>
    <row r="46" spans="1:10" x14ac:dyDescent="0.25">
      <c r="A46" s="610" t="s">
        <v>5578</v>
      </c>
      <c r="B46" s="17" t="s">
        <v>2269</v>
      </c>
      <c r="C46" s="17" t="s">
        <v>5405</v>
      </c>
      <c r="D46" s="21" t="s">
        <v>7381</v>
      </c>
      <c r="E46" s="17"/>
      <c r="F46" s="444">
        <v>7.29</v>
      </c>
      <c r="G46" s="519">
        <v>7.29</v>
      </c>
      <c r="H46" s="18">
        <f t="shared" si="1"/>
        <v>5.83</v>
      </c>
      <c r="I46" s="694"/>
      <c r="J46" s="669" t="s">
        <v>5805</v>
      </c>
    </row>
    <row r="47" spans="1:10" x14ac:dyDescent="0.25">
      <c r="A47" s="610" t="s">
        <v>5579</v>
      </c>
      <c r="B47" s="17" t="s">
        <v>2269</v>
      </c>
      <c r="C47" s="17" t="s">
        <v>5405</v>
      </c>
      <c r="D47" s="21" t="s">
        <v>7373</v>
      </c>
      <c r="E47" s="17"/>
      <c r="F47" s="444">
        <v>6.32</v>
      </c>
      <c r="G47" s="519">
        <v>6.32</v>
      </c>
      <c r="H47" s="18">
        <f t="shared" si="1"/>
        <v>5.0599999999999996</v>
      </c>
      <c r="I47" s="694"/>
      <c r="J47" s="669" t="s">
        <v>5805</v>
      </c>
    </row>
    <row r="48" spans="1:10" x14ac:dyDescent="0.25">
      <c r="A48" s="610" t="s">
        <v>5580</v>
      </c>
      <c r="B48" s="17" t="s">
        <v>2269</v>
      </c>
      <c r="C48" s="17" t="s">
        <v>5405</v>
      </c>
      <c r="D48" s="21" t="s">
        <v>7377</v>
      </c>
      <c r="E48" s="17"/>
      <c r="F48" s="444">
        <v>5.8</v>
      </c>
      <c r="G48" s="519">
        <v>5.8</v>
      </c>
      <c r="H48" s="18">
        <f t="shared" si="1"/>
        <v>4.6399999999999997</v>
      </c>
      <c r="I48" s="694"/>
      <c r="J48" s="669" t="s">
        <v>5805</v>
      </c>
    </row>
    <row r="49" spans="1:10" x14ac:dyDescent="0.25">
      <c r="A49" s="610" t="s">
        <v>5581</v>
      </c>
      <c r="B49" s="17" t="s">
        <v>2269</v>
      </c>
      <c r="C49" s="17" t="s">
        <v>5405</v>
      </c>
      <c r="D49" s="21" t="s">
        <v>7378</v>
      </c>
      <c r="E49" s="17"/>
      <c r="F49" s="444">
        <v>4.34</v>
      </c>
      <c r="G49" s="519">
        <v>4.34</v>
      </c>
      <c r="H49" s="18">
        <f t="shared" si="1"/>
        <v>3.47</v>
      </c>
      <c r="I49" s="694"/>
      <c r="J49" s="669" t="s">
        <v>5805</v>
      </c>
    </row>
    <row r="50" spans="1:10" x14ac:dyDescent="0.25">
      <c r="A50" s="610" t="s">
        <v>5582</v>
      </c>
      <c r="B50" s="17" t="s">
        <v>2269</v>
      </c>
      <c r="C50" s="17" t="s">
        <v>5405</v>
      </c>
      <c r="D50" s="21" t="s">
        <v>7403</v>
      </c>
      <c r="E50" s="17"/>
      <c r="F50" s="444">
        <v>3.5</v>
      </c>
      <c r="G50" s="519">
        <v>3.5</v>
      </c>
      <c r="H50" s="18">
        <f t="shared" si="1"/>
        <v>2.8</v>
      </c>
      <c r="I50" s="694"/>
      <c r="J50" s="669" t="s">
        <v>5805</v>
      </c>
    </row>
    <row r="51" spans="1:10" x14ac:dyDescent="0.25">
      <c r="A51" s="609"/>
      <c r="B51" s="1"/>
      <c r="C51" s="1"/>
      <c r="D51" s="1"/>
      <c r="E51" s="1"/>
      <c r="F51" s="442"/>
      <c r="G51" s="520"/>
      <c r="H51" s="13" t="str">
        <f t="shared" si="1"/>
        <v/>
      </c>
      <c r="I51" s="692"/>
      <c r="J51" s="669" t="s">
        <v>4180</v>
      </c>
    </row>
    <row r="52" spans="1:10" x14ac:dyDescent="0.25">
      <c r="A52" s="610" t="s">
        <v>5452</v>
      </c>
      <c r="B52" s="17" t="s">
        <v>2269</v>
      </c>
      <c r="C52" s="30" t="s">
        <v>2385</v>
      </c>
      <c r="D52" s="30" t="s">
        <v>6746</v>
      </c>
      <c r="E52" s="17"/>
      <c r="F52" s="444">
        <v>12.67</v>
      </c>
      <c r="G52" s="519">
        <v>12.67</v>
      </c>
      <c r="H52" s="18">
        <f t="shared" si="1"/>
        <v>10.14</v>
      </c>
      <c r="I52" s="694"/>
      <c r="J52" s="669" t="s">
        <v>5805</v>
      </c>
    </row>
    <row r="53" spans="1:10" x14ac:dyDescent="0.25">
      <c r="A53" s="610" t="s">
        <v>5453</v>
      </c>
      <c r="B53" s="17" t="s">
        <v>2269</v>
      </c>
      <c r="C53" s="30" t="s">
        <v>2385</v>
      </c>
      <c r="D53" s="17" t="s">
        <v>6745</v>
      </c>
      <c r="E53" s="17"/>
      <c r="F53" s="444">
        <v>11.67</v>
      </c>
      <c r="G53" s="519">
        <v>11.67</v>
      </c>
      <c r="H53" s="18">
        <f t="shared" si="1"/>
        <v>9.34</v>
      </c>
      <c r="I53" s="694"/>
      <c r="J53" s="669" t="s">
        <v>5805</v>
      </c>
    </row>
    <row r="54" spans="1:10" x14ac:dyDescent="0.25">
      <c r="A54" s="610" t="s">
        <v>5454</v>
      </c>
      <c r="B54" s="17" t="s">
        <v>2269</v>
      </c>
      <c r="C54" s="30" t="s">
        <v>2385</v>
      </c>
      <c r="D54" s="17" t="s">
        <v>6751</v>
      </c>
      <c r="E54" s="17"/>
      <c r="F54" s="444">
        <v>8.65</v>
      </c>
      <c r="G54" s="519">
        <v>8.65</v>
      </c>
      <c r="H54" s="18">
        <f t="shared" si="1"/>
        <v>6.92</v>
      </c>
      <c r="I54" s="694"/>
      <c r="J54" s="669" t="s">
        <v>5805</v>
      </c>
    </row>
    <row r="55" spans="1:10" x14ac:dyDescent="0.25">
      <c r="A55" s="610" t="s">
        <v>5455</v>
      </c>
      <c r="B55" s="17" t="s">
        <v>2269</v>
      </c>
      <c r="C55" s="30" t="s">
        <v>2385</v>
      </c>
      <c r="D55" s="17" t="s">
        <v>7246</v>
      </c>
      <c r="E55" s="17"/>
      <c r="F55" s="444">
        <v>7.65</v>
      </c>
      <c r="G55" s="519">
        <v>7.65</v>
      </c>
      <c r="H55" s="18">
        <f t="shared" si="1"/>
        <v>6.12</v>
      </c>
      <c r="I55" s="694"/>
      <c r="J55" s="669" t="s">
        <v>5805</v>
      </c>
    </row>
    <row r="56" spans="1:10" x14ac:dyDescent="0.25">
      <c r="A56" s="610" t="s">
        <v>5456</v>
      </c>
      <c r="B56" s="17" t="s">
        <v>2269</v>
      </c>
      <c r="C56" s="30" t="s">
        <v>2385</v>
      </c>
      <c r="D56" s="17" t="s">
        <v>6752</v>
      </c>
      <c r="E56" s="17"/>
      <c r="F56" s="444">
        <v>8.65</v>
      </c>
      <c r="G56" s="519">
        <v>8.65</v>
      </c>
      <c r="H56" s="18">
        <f t="shared" si="1"/>
        <v>6.92</v>
      </c>
      <c r="I56" s="694"/>
      <c r="J56" s="669" t="s">
        <v>5805</v>
      </c>
    </row>
    <row r="57" spans="1:10" x14ac:dyDescent="0.25">
      <c r="A57" s="610" t="s">
        <v>5457</v>
      </c>
      <c r="B57" s="17" t="s">
        <v>2269</v>
      </c>
      <c r="C57" s="30" t="s">
        <v>2385</v>
      </c>
      <c r="D57" s="21" t="s">
        <v>7381</v>
      </c>
      <c r="E57" s="17"/>
      <c r="F57" s="444">
        <f>ROUND(F46*0.99,2)</f>
        <v>7.22</v>
      </c>
      <c r="G57" s="519">
        <v>7.22</v>
      </c>
      <c r="H57" s="18">
        <f t="shared" si="1"/>
        <v>5.78</v>
      </c>
      <c r="I57" s="694"/>
      <c r="J57" s="669" t="s">
        <v>5805</v>
      </c>
    </row>
    <row r="58" spans="1:10" x14ac:dyDescent="0.25">
      <c r="A58" s="610" t="s">
        <v>5458</v>
      </c>
      <c r="B58" s="17" t="s">
        <v>2269</v>
      </c>
      <c r="C58" s="30" t="s">
        <v>2385</v>
      </c>
      <c r="D58" s="21" t="s">
        <v>7373</v>
      </c>
      <c r="E58" s="17"/>
      <c r="F58" s="444">
        <f>ROUND(F47*0.99,2)</f>
        <v>6.26</v>
      </c>
      <c r="G58" s="519">
        <v>6.26</v>
      </c>
      <c r="H58" s="18">
        <f t="shared" si="1"/>
        <v>5.01</v>
      </c>
      <c r="I58" s="694"/>
      <c r="J58" s="669" t="s">
        <v>5805</v>
      </c>
    </row>
    <row r="59" spans="1:10" x14ac:dyDescent="0.25">
      <c r="A59" s="610" t="s">
        <v>5459</v>
      </c>
      <c r="B59" s="17" t="s">
        <v>2269</v>
      </c>
      <c r="C59" s="30" t="s">
        <v>2385</v>
      </c>
      <c r="D59" s="21" t="s">
        <v>7377</v>
      </c>
      <c r="E59" s="17"/>
      <c r="F59" s="444">
        <f>ROUND(F48*0.99,2)</f>
        <v>5.74</v>
      </c>
      <c r="G59" s="519">
        <v>5.74</v>
      </c>
      <c r="H59" s="18">
        <f t="shared" si="1"/>
        <v>4.59</v>
      </c>
      <c r="I59" s="694"/>
      <c r="J59" s="669" t="s">
        <v>5805</v>
      </c>
    </row>
    <row r="60" spans="1:10" x14ac:dyDescent="0.25">
      <c r="A60" s="610" t="s">
        <v>5460</v>
      </c>
      <c r="B60" s="17" t="s">
        <v>2269</v>
      </c>
      <c r="C60" s="30" t="s">
        <v>2385</v>
      </c>
      <c r="D60" s="21" t="s">
        <v>7378</v>
      </c>
      <c r="E60" s="17"/>
      <c r="F60" s="444">
        <f>ROUND(F49*0.99,2)</f>
        <v>4.3</v>
      </c>
      <c r="G60" s="519">
        <v>4.3</v>
      </c>
      <c r="H60" s="18">
        <f t="shared" si="1"/>
        <v>3.44</v>
      </c>
      <c r="I60" s="694"/>
      <c r="J60" s="669" t="s">
        <v>5805</v>
      </c>
    </row>
    <row r="61" spans="1:10" x14ac:dyDescent="0.25">
      <c r="A61" s="610" t="s">
        <v>5461</v>
      </c>
      <c r="B61" s="17" t="s">
        <v>2269</v>
      </c>
      <c r="C61" s="30" t="s">
        <v>2385</v>
      </c>
      <c r="D61" s="21" t="s">
        <v>7403</v>
      </c>
      <c r="E61" s="17"/>
      <c r="F61" s="444">
        <f>ROUND(F50*0.99,2)</f>
        <v>3.47</v>
      </c>
      <c r="G61" s="519">
        <v>3.47</v>
      </c>
      <c r="H61" s="18">
        <f t="shared" si="1"/>
        <v>2.78</v>
      </c>
      <c r="I61" s="694"/>
      <c r="J61" s="669" t="s">
        <v>5805</v>
      </c>
    </row>
    <row r="62" spans="1:10" x14ac:dyDescent="0.25">
      <c r="A62" s="608"/>
      <c r="B62" s="2"/>
      <c r="C62" s="34"/>
      <c r="D62" s="22"/>
      <c r="E62" s="2"/>
      <c r="F62" s="445"/>
      <c r="G62" s="521"/>
      <c r="H62" s="14" t="str">
        <f t="shared" si="1"/>
        <v/>
      </c>
      <c r="I62" s="695"/>
      <c r="J62" s="669" t="s">
        <v>4180</v>
      </c>
    </row>
    <row r="63" spans="1:10" x14ac:dyDescent="0.25">
      <c r="A63" s="610" t="s">
        <v>1466</v>
      </c>
      <c r="B63" s="17" t="s">
        <v>2269</v>
      </c>
      <c r="C63" s="30" t="s">
        <v>1467</v>
      </c>
      <c r="D63" s="30" t="s">
        <v>6746</v>
      </c>
      <c r="E63" s="17"/>
      <c r="F63" s="444">
        <v>12.67</v>
      </c>
      <c r="G63" s="519">
        <v>12.67</v>
      </c>
      <c r="H63" s="18">
        <f t="shared" si="1"/>
        <v>10.14</v>
      </c>
      <c r="I63" s="694"/>
      <c r="J63" s="669" t="s">
        <v>5805</v>
      </c>
    </row>
    <row r="64" spans="1:10" x14ac:dyDescent="0.25">
      <c r="A64" s="610" t="s">
        <v>1468</v>
      </c>
      <c r="B64" s="17" t="s">
        <v>2269</v>
      </c>
      <c r="C64" s="30" t="s">
        <v>1467</v>
      </c>
      <c r="D64" s="17" t="s">
        <v>6745</v>
      </c>
      <c r="E64" s="17"/>
      <c r="F64" s="444">
        <v>11.67</v>
      </c>
      <c r="G64" s="519">
        <v>11.67</v>
      </c>
      <c r="H64" s="18">
        <f t="shared" si="1"/>
        <v>9.34</v>
      </c>
      <c r="I64" s="694"/>
      <c r="J64" s="669" t="s">
        <v>5805</v>
      </c>
    </row>
    <row r="65" spans="1:15" x14ac:dyDescent="0.25">
      <c r="A65" s="610" t="s">
        <v>1469</v>
      </c>
      <c r="B65" s="17" t="s">
        <v>2269</v>
      </c>
      <c r="C65" s="30" t="s">
        <v>1467</v>
      </c>
      <c r="D65" s="17" t="s">
        <v>6751</v>
      </c>
      <c r="E65" s="17"/>
      <c r="F65" s="444">
        <v>8.65</v>
      </c>
      <c r="G65" s="519">
        <v>8.65</v>
      </c>
      <c r="H65" s="18">
        <f t="shared" si="1"/>
        <v>6.92</v>
      </c>
      <c r="I65" s="694"/>
      <c r="J65" s="669" t="s">
        <v>5805</v>
      </c>
    </row>
    <row r="66" spans="1:15" x14ac:dyDescent="0.25">
      <c r="A66" s="610" t="s">
        <v>1470</v>
      </c>
      <c r="B66" s="17" t="s">
        <v>2269</v>
      </c>
      <c r="C66" s="30" t="s">
        <v>1467</v>
      </c>
      <c r="D66" s="17" t="s">
        <v>7246</v>
      </c>
      <c r="E66" s="17"/>
      <c r="F66" s="444">
        <v>7.65</v>
      </c>
      <c r="G66" s="519">
        <v>7.65</v>
      </c>
      <c r="H66" s="18">
        <f t="shared" si="1"/>
        <v>6.12</v>
      </c>
      <c r="I66" s="694"/>
      <c r="J66" s="669" t="s">
        <v>5805</v>
      </c>
    </row>
    <row r="67" spans="1:15" x14ac:dyDescent="0.25">
      <c r="A67" s="610" t="s">
        <v>1471</v>
      </c>
      <c r="B67" s="17" t="s">
        <v>2269</v>
      </c>
      <c r="C67" s="30" t="s">
        <v>1467</v>
      </c>
      <c r="D67" s="17" t="s">
        <v>6752</v>
      </c>
      <c r="E67" s="17"/>
      <c r="F67" s="444">
        <v>8.65</v>
      </c>
      <c r="G67" s="519">
        <v>8.65</v>
      </c>
      <c r="H67" s="18">
        <f t="shared" si="1"/>
        <v>6.92</v>
      </c>
      <c r="I67" s="694"/>
      <c r="J67" s="669" t="s">
        <v>5805</v>
      </c>
    </row>
    <row r="68" spans="1:15" x14ac:dyDescent="0.25">
      <c r="A68" s="610" t="s">
        <v>1472</v>
      </c>
      <c r="B68" s="17" t="s">
        <v>2269</v>
      </c>
      <c r="C68" s="30" t="s">
        <v>1467</v>
      </c>
      <c r="D68" s="21" t="s">
        <v>7381</v>
      </c>
      <c r="E68" s="17"/>
      <c r="F68" s="444">
        <f>ROUND(F46*0.99*0.99,2)</f>
        <v>7.14</v>
      </c>
      <c r="G68" s="519">
        <v>7.14</v>
      </c>
      <c r="H68" s="18">
        <f t="shared" si="1"/>
        <v>5.71</v>
      </c>
      <c r="I68" s="694"/>
      <c r="J68" s="669" t="s">
        <v>5805</v>
      </c>
    </row>
    <row r="69" spans="1:15" x14ac:dyDescent="0.25">
      <c r="A69" s="610" t="s">
        <v>1473</v>
      </c>
      <c r="B69" s="17" t="s">
        <v>2269</v>
      </c>
      <c r="C69" s="30" t="s">
        <v>1467</v>
      </c>
      <c r="D69" s="21" t="s">
        <v>7373</v>
      </c>
      <c r="E69" s="17"/>
      <c r="F69" s="444">
        <f>ROUND(F47*0.99*0.99,2)</f>
        <v>6.19</v>
      </c>
      <c r="G69" s="519">
        <v>6.19</v>
      </c>
      <c r="H69" s="18">
        <f t="shared" si="1"/>
        <v>4.95</v>
      </c>
      <c r="I69" s="694"/>
      <c r="J69" s="669" t="s">
        <v>5805</v>
      </c>
    </row>
    <row r="70" spans="1:15" x14ac:dyDescent="0.25">
      <c r="A70" s="610" t="s">
        <v>1474</v>
      </c>
      <c r="B70" s="17" t="s">
        <v>2269</v>
      </c>
      <c r="C70" s="30" t="s">
        <v>1467</v>
      </c>
      <c r="D70" s="21" t="s">
        <v>7377</v>
      </c>
      <c r="E70" s="17"/>
      <c r="F70" s="444">
        <f>ROUND(F48*0.99*0.99,2)</f>
        <v>5.68</v>
      </c>
      <c r="G70" s="519">
        <v>5.68</v>
      </c>
      <c r="H70" s="18">
        <f t="shared" si="1"/>
        <v>4.54</v>
      </c>
      <c r="I70" s="694"/>
      <c r="J70" s="669" t="s">
        <v>5805</v>
      </c>
    </row>
    <row r="71" spans="1:15" x14ac:dyDescent="0.25">
      <c r="A71" s="610" t="s">
        <v>1475</v>
      </c>
      <c r="B71" s="17" t="s">
        <v>2269</v>
      </c>
      <c r="C71" s="30" t="s">
        <v>1467</v>
      </c>
      <c r="D71" s="21" t="s">
        <v>7378</v>
      </c>
      <c r="E71" s="17"/>
      <c r="F71" s="444">
        <f>ROUND(F49*0.99*0.99,2)</f>
        <v>4.25</v>
      </c>
      <c r="G71" s="519">
        <v>4.25</v>
      </c>
      <c r="H71" s="18">
        <f t="shared" si="1"/>
        <v>3.4</v>
      </c>
      <c r="I71" s="694"/>
      <c r="J71" s="669" t="s">
        <v>5805</v>
      </c>
    </row>
    <row r="72" spans="1:15" x14ac:dyDescent="0.25">
      <c r="A72" s="610" t="s">
        <v>1476</v>
      </c>
      <c r="B72" s="17" t="s">
        <v>2269</v>
      </c>
      <c r="C72" s="30" t="s">
        <v>1467</v>
      </c>
      <c r="D72" s="21" t="s">
        <v>7403</v>
      </c>
      <c r="E72" s="17"/>
      <c r="F72" s="444">
        <f>ROUND(F50*0.99*0.99,2)</f>
        <v>3.43</v>
      </c>
      <c r="G72" s="519">
        <v>3.43</v>
      </c>
      <c r="H72" s="18">
        <f t="shared" si="1"/>
        <v>2.74</v>
      </c>
      <c r="I72" s="694"/>
      <c r="J72" s="669" t="s">
        <v>5805</v>
      </c>
    </row>
    <row r="73" spans="1:15" x14ac:dyDescent="0.25">
      <c r="A73" s="608"/>
      <c r="B73" s="2"/>
      <c r="C73" s="34"/>
      <c r="D73" s="22"/>
      <c r="E73" s="2"/>
      <c r="F73" s="445"/>
      <c r="G73" s="521"/>
      <c r="H73" s="14" t="str">
        <f t="shared" si="1"/>
        <v/>
      </c>
      <c r="I73" s="695"/>
      <c r="J73" s="669" t="s">
        <v>4180</v>
      </c>
    </row>
    <row r="74" spans="1:15" x14ac:dyDescent="0.25">
      <c r="A74" s="625" t="s">
        <v>1978</v>
      </c>
      <c r="B74" s="221" t="s">
        <v>2269</v>
      </c>
      <c r="C74" s="219" t="s">
        <v>1984</v>
      </c>
      <c r="D74" s="220" t="s">
        <v>6748</v>
      </c>
      <c r="E74" s="221"/>
      <c r="F74" s="446">
        <v>12.67</v>
      </c>
      <c r="G74" s="522">
        <v>12.67</v>
      </c>
      <c r="H74" s="222">
        <f t="shared" si="1"/>
        <v>10.14</v>
      </c>
      <c r="I74" s="696"/>
      <c r="J74" s="669" t="s">
        <v>5805</v>
      </c>
    </row>
    <row r="75" spans="1:15" x14ac:dyDescent="0.25">
      <c r="A75" s="625" t="s">
        <v>1985</v>
      </c>
      <c r="B75" s="221" t="s">
        <v>2269</v>
      </c>
      <c r="C75" s="219" t="s">
        <v>3127</v>
      </c>
      <c r="D75" s="220" t="s">
        <v>6749</v>
      </c>
      <c r="E75" s="221"/>
      <c r="F75" s="446">
        <v>11.67</v>
      </c>
      <c r="G75" s="522">
        <v>11.67</v>
      </c>
      <c r="H75" s="222">
        <f t="shared" si="1"/>
        <v>9.34</v>
      </c>
      <c r="I75" s="696"/>
      <c r="J75" s="669" t="s">
        <v>5805</v>
      </c>
    </row>
    <row r="76" spans="1:15" x14ac:dyDescent="0.25">
      <c r="A76" s="625" t="s">
        <v>1979</v>
      </c>
      <c r="B76" s="221" t="s">
        <v>2269</v>
      </c>
      <c r="C76" s="219" t="s">
        <v>1984</v>
      </c>
      <c r="D76" s="220" t="s">
        <v>7397</v>
      </c>
      <c r="E76" s="221"/>
      <c r="F76" s="446">
        <v>8.65</v>
      </c>
      <c r="G76" s="522">
        <v>8.65</v>
      </c>
      <c r="H76" s="222">
        <f t="shared" si="1"/>
        <v>6.92</v>
      </c>
      <c r="I76" s="696"/>
      <c r="J76" s="669" t="s">
        <v>5805</v>
      </c>
    </row>
    <row r="77" spans="1:15" x14ac:dyDescent="0.25">
      <c r="A77" s="625" t="s">
        <v>1977</v>
      </c>
      <c r="B77" s="221" t="s">
        <v>2269</v>
      </c>
      <c r="C77" s="219" t="s">
        <v>1984</v>
      </c>
      <c r="D77" s="220" t="s">
        <v>7398</v>
      </c>
      <c r="E77" s="221"/>
      <c r="F77" s="446">
        <v>7.65</v>
      </c>
      <c r="G77" s="522">
        <v>7.65</v>
      </c>
      <c r="H77" s="222">
        <f t="shared" si="1"/>
        <v>6.12</v>
      </c>
      <c r="I77" s="696"/>
      <c r="J77" s="669" t="s">
        <v>5805</v>
      </c>
    </row>
    <row r="78" spans="1:15" x14ac:dyDescent="0.25">
      <c r="A78" s="625" t="s">
        <v>1986</v>
      </c>
      <c r="B78" s="221" t="s">
        <v>2269</v>
      </c>
      <c r="C78" s="219" t="s">
        <v>3127</v>
      </c>
      <c r="D78" s="220" t="s">
        <v>6753</v>
      </c>
      <c r="E78" s="221"/>
      <c r="F78" s="446">
        <v>8.65</v>
      </c>
      <c r="G78" s="522">
        <v>8.65</v>
      </c>
      <c r="H78" s="222">
        <f t="shared" si="1"/>
        <v>6.92</v>
      </c>
      <c r="I78" s="696"/>
      <c r="J78" s="669" t="s">
        <v>5805</v>
      </c>
    </row>
    <row r="79" spans="1:15" x14ac:dyDescent="0.25">
      <c r="A79" s="613" t="s">
        <v>1987</v>
      </c>
      <c r="B79" s="283" t="s">
        <v>2269</v>
      </c>
      <c r="C79" s="284" t="s">
        <v>1984</v>
      </c>
      <c r="D79" s="285" t="s">
        <v>5407</v>
      </c>
      <c r="E79" s="283"/>
      <c r="F79" s="447">
        <v>12.7</v>
      </c>
      <c r="G79" s="523">
        <v>12.7</v>
      </c>
      <c r="H79" s="286">
        <f t="shared" si="1"/>
        <v>10.16</v>
      </c>
      <c r="I79" s="697"/>
      <c r="J79" s="669" t="s">
        <v>5805</v>
      </c>
      <c r="N79" s="275"/>
      <c r="O79" s="277"/>
    </row>
    <row r="80" spans="1:15" x14ac:dyDescent="0.25">
      <c r="A80" s="613" t="s">
        <v>1982</v>
      </c>
      <c r="B80" s="283" t="s">
        <v>2269</v>
      </c>
      <c r="C80" s="284" t="s">
        <v>1984</v>
      </c>
      <c r="D80" s="285" t="s">
        <v>2000</v>
      </c>
      <c r="E80" s="283"/>
      <c r="F80" s="447">
        <v>8.3000000000000007</v>
      </c>
      <c r="G80" s="523">
        <v>8.3000000000000007</v>
      </c>
      <c r="H80" s="286">
        <f t="shared" si="1"/>
        <v>6.64</v>
      </c>
      <c r="I80" s="697"/>
      <c r="J80" s="669" t="s">
        <v>5805</v>
      </c>
    </row>
    <row r="81" spans="1:14" x14ac:dyDescent="0.25">
      <c r="A81" s="613" t="s">
        <v>1988</v>
      </c>
      <c r="B81" s="283" t="s">
        <v>2269</v>
      </c>
      <c r="C81" s="284" t="s">
        <v>1984</v>
      </c>
      <c r="D81" s="285" t="s">
        <v>2001</v>
      </c>
      <c r="E81" s="283"/>
      <c r="F81" s="447">
        <v>6.3</v>
      </c>
      <c r="G81" s="523">
        <v>6.3</v>
      </c>
      <c r="H81" s="286">
        <f t="shared" si="1"/>
        <v>5.04</v>
      </c>
      <c r="I81" s="697"/>
      <c r="J81" s="669" t="s">
        <v>5805</v>
      </c>
    </row>
    <row r="82" spans="1:14" x14ac:dyDescent="0.25">
      <c r="A82" s="613" t="s">
        <v>1989</v>
      </c>
      <c r="B82" s="283" t="s">
        <v>2269</v>
      </c>
      <c r="C82" s="284" t="s">
        <v>1984</v>
      </c>
      <c r="D82" s="285" t="s">
        <v>2002</v>
      </c>
      <c r="E82" s="283"/>
      <c r="F82" s="447">
        <v>5.5</v>
      </c>
      <c r="G82" s="523">
        <v>5.5</v>
      </c>
      <c r="H82" s="286">
        <f t="shared" si="1"/>
        <v>4.4000000000000004</v>
      </c>
      <c r="I82" s="697"/>
      <c r="J82" s="669" t="s">
        <v>5805</v>
      </c>
    </row>
    <row r="83" spans="1:14" x14ac:dyDescent="0.25">
      <c r="A83" s="613" t="s">
        <v>1983</v>
      </c>
      <c r="B83" s="283" t="s">
        <v>2269</v>
      </c>
      <c r="C83" s="284" t="s">
        <v>1984</v>
      </c>
      <c r="D83" s="285" t="s">
        <v>2003</v>
      </c>
      <c r="E83" s="283"/>
      <c r="F83" s="447">
        <v>5.3</v>
      </c>
      <c r="G83" s="523">
        <v>5.3</v>
      </c>
      <c r="H83" s="286">
        <f t="shared" si="1"/>
        <v>4.24</v>
      </c>
      <c r="I83" s="697"/>
      <c r="J83" s="669" t="s">
        <v>5805</v>
      </c>
    </row>
    <row r="84" spans="1:14" x14ac:dyDescent="0.25">
      <c r="A84" s="613" t="s">
        <v>1990</v>
      </c>
      <c r="B84" s="283" t="s">
        <v>2269</v>
      </c>
      <c r="C84" s="284" t="s">
        <v>1984</v>
      </c>
      <c r="D84" s="285" t="s">
        <v>2004</v>
      </c>
      <c r="E84" s="283"/>
      <c r="F84" s="447">
        <v>4.2</v>
      </c>
      <c r="G84" s="523">
        <v>4.2</v>
      </c>
      <c r="H84" s="286">
        <f t="shared" si="1"/>
        <v>3.36</v>
      </c>
      <c r="I84" s="697"/>
      <c r="J84" s="669" t="s">
        <v>5805</v>
      </c>
    </row>
    <row r="85" spans="1:14" x14ac:dyDescent="0.25">
      <c r="A85" s="613" t="s">
        <v>1991</v>
      </c>
      <c r="B85" s="283" t="s">
        <v>2269</v>
      </c>
      <c r="C85" s="284" t="s">
        <v>1984</v>
      </c>
      <c r="D85" s="284" t="s">
        <v>1992</v>
      </c>
      <c r="E85" s="283"/>
      <c r="F85" s="447">
        <v>3.4</v>
      </c>
      <c r="G85" s="523">
        <v>3.4</v>
      </c>
      <c r="H85" s="286">
        <f t="shared" si="1"/>
        <v>2.72</v>
      </c>
      <c r="I85" s="697"/>
      <c r="J85" s="669" t="s">
        <v>5805</v>
      </c>
    </row>
    <row r="86" spans="1:14" x14ac:dyDescent="0.25">
      <c r="A86" s="623" t="s">
        <v>1994</v>
      </c>
      <c r="B86" s="295" t="s">
        <v>2269</v>
      </c>
      <c r="C86" s="296" t="s">
        <v>3127</v>
      </c>
      <c r="D86" s="297" t="s">
        <v>2005</v>
      </c>
      <c r="E86" s="295" t="s">
        <v>5766</v>
      </c>
      <c r="F86" s="448">
        <v>12.7</v>
      </c>
      <c r="G86" s="524">
        <v>12.7</v>
      </c>
      <c r="H86" s="298">
        <f t="shared" si="1"/>
        <v>10.16</v>
      </c>
      <c r="I86" s="698"/>
      <c r="J86" s="669" t="s">
        <v>5805</v>
      </c>
    </row>
    <row r="87" spans="1:14" x14ac:dyDescent="0.25">
      <c r="A87" s="623" t="s">
        <v>1993</v>
      </c>
      <c r="B87" s="295" t="s">
        <v>2269</v>
      </c>
      <c r="C87" s="296" t="s">
        <v>3127</v>
      </c>
      <c r="D87" s="297" t="s">
        <v>2006</v>
      </c>
      <c r="E87" s="295" t="s">
        <v>5766</v>
      </c>
      <c r="F87" s="448">
        <v>8.3000000000000007</v>
      </c>
      <c r="G87" s="524">
        <v>8.3000000000000007</v>
      </c>
      <c r="H87" s="298">
        <f t="shared" si="1"/>
        <v>6.64</v>
      </c>
      <c r="I87" s="698"/>
      <c r="J87" s="669" t="s">
        <v>5805</v>
      </c>
    </row>
    <row r="88" spans="1:14" x14ac:dyDescent="0.25">
      <c r="A88" s="623" t="s">
        <v>1995</v>
      </c>
      <c r="B88" s="295" t="s">
        <v>2269</v>
      </c>
      <c r="C88" s="296" t="s">
        <v>3127</v>
      </c>
      <c r="D88" s="297" t="s">
        <v>2007</v>
      </c>
      <c r="E88" s="295" t="s">
        <v>5766</v>
      </c>
      <c r="F88" s="448">
        <v>6.3</v>
      </c>
      <c r="G88" s="524">
        <v>6.3</v>
      </c>
      <c r="H88" s="298">
        <f t="shared" si="1"/>
        <v>5.04</v>
      </c>
      <c r="I88" s="698"/>
      <c r="J88" s="669" t="s">
        <v>5805</v>
      </c>
    </row>
    <row r="89" spans="1:14" x14ac:dyDescent="0.25">
      <c r="A89" s="623" t="s">
        <v>1996</v>
      </c>
      <c r="B89" s="295" t="s">
        <v>2269</v>
      </c>
      <c r="C89" s="296" t="s">
        <v>3127</v>
      </c>
      <c r="D89" s="297" t="s">
        <v>2008</v>
      </c>
      <c r="E89" s="295" t="s">
        <v>5766</v>
      </c>
      <c r="F89" s="448">
        <v>5.5</v>
      </c>
      <c r="G89" s="524">
        <v>5.5</v>
      </c>
      <c r="H89" s="298">
        <f t="shared" si="1"/>
        <v>4.4000000000000004</v>
      </c>
      <c r="I89" s="698"/>
      <c r="J89" s="669" t="s">
        <v>5805</v>
      </c>
    </row>
    <row r="90" spans="1:14" x14ac:dyDescent="0.25">
      <c r="A90" s="623" t="s">
        <v>1997</v>
      </c>
      <c r="B90" s="295" t="s">
        <v>2269</v>
      </c>
      <c r="C90" s="296" t="s">
        <v>3127</v>
      </c>
      <c r="D90" s="297" t="s">
        <v>2009</v>
      </c>
      <c r="E90" s="295" t="s">
        <v>5766</v>
      </c>
      <c r="F90" s="448">
        <v>5.3</v>
      </c>
      <c r="G90" s="524">
        <v>5.3</v>
      </c>
      <c r="H90" s="298">
        <f t="shared" si="1"/>
        <v>4.24</v>
      </c>
      <c r="I90" s="698"/>
      <c r="J90" s="669" t="s">
        <v>5805</v>
      </c>
    </row>
    <row r="91" spans="1:14" x14ac:dyDescent="0.25">
      <c r="A91" s="623" t="s">
        <v>1998</v>
      </c>
      <c r="B91" s="295" t="s">
        <v>2269</v>
      </c>
      <c r="C91" s="296" t="s">
        <v>3127</v>
      </c>
      <c r="D91" s="297" t="s">
        <v>2010</v>
      </c>
      <c r="E91" s="295" t="s">
        <v>5766</v>
      </c>
      <c r="F91" s="448">
        <v>4.2</v>
      </c>
      <c r="G91" s="524">
        <v>4.2</v>
      </c>
      <c r="H91" s="298">
        <f t="shared" si="1"/>
        <v>3.36</v>
      </c>
      <c r="I91" s="698"/>
      <c r="J91" s="669" t="s">
        <v>5805</v>
      </c>
    </row>
    <row r="92" spans="1:14" x14ac:dyDescent="0.25">
      <c r="A92" s="623" t="s">
        <v>1999</v>
      </c>
      <c r="B92" s="295" t="s">
        <v>2269</v>
      </c>
      <c r="C92" s="296" t="s">
        <v>3127</v>
      </c>
      <c r="D92" s="297" t="s">
        <v>2011</v>
      </c>
      <c r="E92" s="295" t="s">
        <v>5766</v>
      </c>
      <c r="F92" s="448">
        <v>3.4</v>
      </c>
      <c r="G92" s="524">
        <v>3.4</v>
      </c>
      <c r="H92" s="298">
        <f t="shared" si="1"/>
        <v>2.72</v>
      </c>
      <c r="I92" s="698"/>
      <c r="J92" s="669" t="s">
        <v>5805</v>
      </c>
    </row>
    <row r="93" spans="1:14" x14ac:dyDescent="0.25">
      <c r="A93" s="608"/>
      <c r="B93" s="2"/>
      <c r="C93" s="34"/>
      <c r="D93" s="22"/>
      <c r="E93" s="2"/>
      <c r="F93" s="445"/>
      <c r="G93" s="521"/>
      <c r="H93" s="14" t="str">
        <f t="shared" si="1"/>
        <v/>
      </c>
      <c r="I93" s="695"/>
      <c r="J93" s="669" t="s">
        <v>4180</v>
      </c>
      <c r="N93" s="277"/>
    </row>
    <row r="94" spans="1:14" x14ac:dyDescent="0.25">
      <c r="A94" s="625" t="s">
        <v>2125</v>
      </c>
      <c r="B94" s="221" t="s">
        <v>2269</v>
      </c>
      <c r="C94" s="219" t="s">
        <v>4676</v>
      </c>
      <c r="D94" s="219" t="s">
        <v>6748</v>
      </c>
      <c r="E94" s="221"/>
      <c r="F94" s="446">
        <v>12.67</v>
      </c>
      <c r="G94" s="522">
        <v>12.67</v>
      </c>
      <c r="H94" s="222">
        <f t="shared" si="1"/>
        <v>10.14</v>
      </c>
      <c r="I94" s="696"/>
      <c r="J94" s="669" t="s">
        <v>5805</v>
      </c>
    </row>
    <row r="95" spans="1:14" x14ac:dyDescent="0.25">
      <c r="A95" s="625" t="s">
        <v>2126</v>
      </c>
      <c r="B95" s="221" t="s">
        <v>2269</v>
      </c>
      <c r="C95" s="219" t="s">
        <v>4684</v>
      </c>
      <c r="D95" s="219" t="s">
        <v>6749</v>
      </c>
      <c r="E95" s="221"/>
      <c r="F95" s="446">
        <v>11.67</v>
      </c>
      <c r="G95" s="522">
        <v>11.67</v>
      </c>
      <c r="H95" s="222">
        <f t="shared" si="1"/>
        <v>9.34</v>
      </c>
      <c r="I95" s="696"/>
      <c r="J95" s="669" t="s">
        <v>5805</v>
      </c>
    </row>
    <row r="96" spans="1:14" x14ac:dyDescent="0.25">
      <c r="A96" s="625" t="s">
        <v>2127</v>
      </c>
      <c r="B96" s="221" t="s">
        <v>2269</v>
      </c>
      <c r="C96" s="219" t="s">
        <v>4676</v>
      </c>
      <c r="D96" s="219" t="s">
        <v>7397</v>
      </c>
      <c r="E96" s="221"/>
      <c r="F96" s="446">
        <v>8.65</v>
      </c>
      <c r="G96" s="522">
        <v>8.65</v>
      </c>
      <c r="H96" s="222">
        <f t="shared" ref="H96:H159" si="2">IF(ISNUMBER(G96),ROUND(0.8*G96,2),"")</f>
        <v>6.92</v>
      </c>
      <c r="I96" s="696"/>
      <c r="J96" s="669" t="s">
        <v>5805</v>
      </c>
    </row>
    <row r="97" spans="1:21" x14ac:dyDescent="0.25">
      <c r="A97" s="625" t="s">
        <v>2128</v>
      </c>
      <c r="B97" s="221" t="s">
        <v>2269</v>
      </c>
      <c r="C97" s="219" t="s">
        <v>4676</v>
      </c>
      <c r="D97" s="219" t="s">
        <v>7398</v>
      </c>
      <c r="E97" s="221"/>
      <c r="F97" s="446">
        <v>7.65</v>
      </c>
      <c r="G97" s="522">
        <v>7.65</v>
      </c>
      <c r="H97" s="222">
        <f t="shared" si="2"/>
        <v>6.12</v>
      </c>
      <c r="I97" s="696"/>
      <c r="J97" s="669" t="s">
        <v>5805</v>
      </c>
    </row>
    <row r="98" spans="1:21" x14ac:dyDescent="0.25">
      <c r="A98" s="625" t="s">
        <v>2129</v>
      </c>
      <c r="B98" s="221" t="s">
        <v>2269</v>
      </c>
      <c r="C98" s="219" t="s">
        <v>4684</v>
      </c>
      <c r="D98" s="219" t="s">
        <v>6753</v>
      </c>
      <c r="E98" s="221"/>
      <c r="F98" s="446">
        <v>8.65</v>
      </c>
      <c r="G98" s="522">
        <v>8.65</v>
      </c>
      <c r="H98" s="222">
        <f t="shared" si="2"/>
        <v>6.92</v>
      </c>
      <c r="I98" s="696"/>
      <c r="J98" s="669" t="s">
        <v>5805</v>
      </c>
      <c r="N98" s="270" t="s">
        <v>5490</v>
      </c>
      <c r="O98" t="s">
        <v>5407</v>
      </c>
      <c r="P98" t="s">
        <v>2000</v>
      </c>
      <c r="Q98" t="s">
        <v>2001</v>
      </c>
      <c r="R98" t="s">
        <v>2002</v>
      </c>
      <c r="S98" t="s">
        <v>2003</v>
      </c>
      <c r="T98" t="s">
        <v>2004</v>
      </c>
      <c r="U98" t="s">
        <v>1992</v>
      </c>
    </row>
    <row r="99" spans="1:21" x14ac:dyDescent="0.25">
      <c r="A99" s="615" t="s">
        <v>4675</v>
      </c>
      <c r="B99" s="372" t="s">
        <v>2269</v>
      </c>
      <c r="C99" s="375" t="s">
        <v>4676</v>
      </c>
      <c r="D99" s="373" t="s">
        <v>5407</v>
      </c>
      <c r="E99" s="372"/>
      <c r="F99" s="449">
        <f t="shared" ref="F99:F105" si="3">ROUND(HLOOKUP(D99,$O$98:$U$99,2,FALSE),2)</f>
        <v>12.57</v>
      </c>
      <c r="G99" s="525">
        <v>12.57</v>
      </c>
      <c r="H99" s="374">
        <f t="shared" si="2"/>
        <v>10.06</v>
      </c>
      <c r="I99" s="699"/>
      <c r="J99" s="669" t="s">
        <v>5805</v>
      </c>
      <c r="N99" s="275">
        <v>0.01</v>
      </c>
      <c r="O99" s="327">
        <f>IF($N99&lt;&gt;"",F79*(100%-$N99),"")</f>
        <v>12.572999999999999</v>
      </c>
      <c r="P99" s="327">
        <f>IF($N99&lt;&gt;"",F80*(100%-$N99),"")</f>
        <v>8.2170000000000005</v>
      </c>
      <c r="Q99" s="327">
        <f>IF($N99&lt;&gt;"",F81*(100%-$N99),"")</f>
        <v>6.2370000000000001</v>
      </c>
      <c r="R99" s="327">
        <f>IF($N99&lt;&gt;"",F82*(100%-$N99),"")</f>
        <v>5.4450000000000003</v>
      </c>
      <c r="S99" s="327">
        <f>IF($N99&lt;&gt;"",F83*(100%-$N99),"")</f>
        <v>5.2469999999999999</v>
      </c>
      <c r="T99" s="327">
        <f>IF($N99&lt;&gt;"",F84*(100%-$N99),"")</f>
        <v>4.1580000000000004</v>
      </c>
      <c r="U99" s="327">
        <f>IF($N99&lt;&gt;"",F85*(100%-$N99),"")</f>
        <v>3.3660000000000001</v>
      </c>
    </row>
    <row r="100" spans="1:21" x14ac:dyDescent="0.25">
      <c r="A100" s="615" t="s">
        <v>4677</v>
      </c>
      <c r="B100" s="372" t="s">
        <v>2269</v>
      </c>
      <c r="C100" s="375" t="s">
        <v>4676</v>
      </c>
      <c r="D100" s="373" t="s">
        <v>2000</v>
      </c>
      <c r="E100" s="372"/>
      <c r="F100" s="449">
        <f t="shared" si="3"/>
        <v>8.2200000000000006</v>
      </c>
      <c r="G100" s="525">
        <v>8.2200000000000006</v>
      </c>
      <c r="H100" s="374">
        <f t="shared" si="2"/>
        <v>6.58</v>
      </c>
      <c r="I100" s="699"/>
      <c r="J100" s="669" t="s">
        <v>5805</v>
      </c>
    </row>
    <row r="101" spans="1:21" x14ac:dyDescent="0.25">
      <c r="A101" s="615" t="s">
        <v>4678</v>
      </c>
      <c r="B101" s="372" t="s">
        <v>2269</v>
      </c>
      <c r="C101" s="375" t="s">
        <v>4676</v>
      </c>
      <c r="D101" s="373" t="s">
        <v>2001</v>
      </c>
      <c r="E101" s="372"/>
      <c r="F101" s="449">
        <f t="shared" si="3"/>
        <v>6.24</v>
      </c>
      <c r="G101" s="525">
        <v>6.24</v>
      </c>
      <c r="H101" s="374">
        <f t="shared" si="2"/>
        <v>4.99</v>
      </c>
      <c r="I101" s="699"/>
      <c r="J101" s="669" t="s">
        <v>5805</v>
      </c>
    </row>
    <row r="102" spans="1:21" x14ac:dyDescent="0.25">
      <c r="A102" s="615" t="s">
        <v>4679</v>
      </c>
      <c r="B102" s="372" t="s">
        <v>2269</v>
      </c>
      <c r="C102" s="375" t="s">
        <v>4676</v>
      </c>
      <c r="D102" s="373" t="s">
        <v>2002</v>
      </c>
      <c r="E102" s="372"/>
      <c r="F102" s="449">
        <f t="shared" si="3"/>
        <v>5.45</v>
      </c>
      <c r="G102" s="525">
        <v>5.45</v>
      </c>
      <c r="H102" s="374">
        <f t="shared" si="2"/>
        <v>4.3600000000000003</v>
      </c>
      <c r="I102" s="699"/>
      <c r="J102" s="669" t="s">
        <v>5805</v>
      </c>
    </row>
    <row r="103" spans="1:21" x14ac:dyDescent="0.25">
      <c r="A103" s="615" t="s">
        <v>4680</v>
      </c>
      <c r="B103" s="372" t="s">
        <v>2269</v>
      </c>
      <c r="C103" s="375" t="s">
        <v>4676</v>
      </c>
      <c r="D103" s="373" t="s">
        <v>2003</v>
      </c>
      <c r="E103" s="372"/>
      <c r="F103" s="449">
        <f t="shared" si="3"/>
        <v>5.25</v>
      </c>
      <c r="G103" s="525">
        <v>5.25</v>
      </c>
      <c r="H103" s="374">
        <f t="shared" si="2"/>
        <v>4.2</v>
      </c>
      <c r="I103" s="699"/>
      <c r="J103" s="669" t="s">
        <v>5805</v>
      </c>
    </row>
    <row r="104" spans="1:21" x14ac:dyDescent="0.25">
      <c r="A104" s="615" t="s">
        <v>4681</v>
      </c>
      <c r="B104" s="372" t="s">
        <v>2269</v>
      </c>
      <c r="C104" s="375" t="s">
        <v>4676</v>
      </c>
      <c r="D104" s="373" t="s">
        <v>2004</v>
      </c>
      <c r="E104" s="372"/>
      <c r="F104" s="449">
        <f t="shared" si="3"/>
        <v>4.16</v>
      </c>
      <c r="G104" s="525">
        <v>4.16</v>
      </c>
      <c r="H104" s="374">
        <f t="shared" si="2"/>
        <v>3.33</v>
      </c>
      <c r="I104" s="699"/>
      <c r="J104" s="669" t="s">
        <v>5805</v>
      </c>
    </row>
    <row r="105" spans="1:21" x14ac:dyDescent="0.25">
      <c r="A105" s="615" t="s">
        <v>4682</v>
      </c>
      <c r="B105" s="372" t="s">
        <v>2269</v>
      </c>
      <c r="C105" s="375" t="s">
        <v>4676</v>
      </c>
      <c r="D105" s="373" t="s">
        <v>1992</v>
      </c>
      <c r="E105" s="372"/>
      <c r="F105" s="449">
        <f t="shared" si="3"/>
        <v>3.37</v>
      </c>
      <c r="G105" s="525">
        <v>3.37</v>
      </c>
      <c r="H105" s="374">
        <f t="shared" si="2"/>
        <v>2.7</v>
      </c>
      <c r="I105" s="699"/>
      <c r="J105" s="669" t="s">
        <v>5805</v>
      </c>
      <c r="N105" s="277" t="s">
        <v>5490</v>
      </c>
      <c r="O105" t="s">
        <v>4685</v>
      </c>
      <c r="P105" t="s">
        <v>4687</v>
      </c>
      <c r="Q105" t="s">
        <v>4689</v>
      </c>
      <c r="R105" t="s">
        <v>4691</v>
      </c>
      <c r="S105" t="s">
        <v>4693</v>
      </c>
      <c r="T105" t="s">
        <v>4695</v>
      </c>
      <c r="U105" t="s">
        <v>4697</v>
      </c>
    </row>
    <row r="106" spans="1:21" x14ac:dyDescent="0.25">
      <c r="A106" s="615" t="s">
        <v>4683</v>
      </c>
      <c r="B106" s="372" t="s">
        <v>2269</v>
      </c>
      <c r="C106" s="375" t="s">
        <v>4684</v>
      </c>
      <c r="D106" s="375" t="s">
        <v>4685</v>
      </c>
      <c r="E106" s="372" t="s">
        <v>5766</v>
      </c>
      <c r="F106" s="449">
        <f t="shared" ref="F106:F112" si="4">ROUND(HLOOKUP(D106,$O$105:$U$106,2,FALSE),2)</f>
        <v>12.57</v>
      </c>
      <c r="G106" s="525">
        <v>12.57</v>
      </c>
      <c r="H106" s="374">
        <f t="shared" si="2"/>
        <v>10.06</v>
      </c>
      <c r="I106" s="699"/>
      <c r="J106" s="669" t="s">
        <v>5805</v>
      </c>
      <c r="N106" s="275">
        <v>0.01</v>
      </c>
      <c r="O106" s="327">
        <f>IF($N106&lt;&gt;"",F86*(100%-$N106),"")</f>
        <v>12.572999999999999</v>
      </c>
      <c r="P106" s="327">
        <f>IF($N106&lt;&gt;"",F87*(100%-$N106),"")</f>
        <v>8.2170000000000005</v>
      </c>
      <c r="Q106" s="327">
        <f>IF($N106&lt;&gt;"",F88*(100%-$N106),"")</f>
        <v>6.2370000000000001</v>
      </c>
      <c r="R106" s="327">
        <f>IF($N106&lt;&gt;"",F89*(100%-$N106),"")</f>
        <v>5.4450000000000003</v>
      </c>
      <c r="S106" s="327">
        <f>IF($N106&lt;&gt;"",F90*(100%-$N106),"")</f>
        <v>5.2469999999999999</v>
      </c>
      <c r="T106" s="327">
        <f>IF($N106&lt;&gt;"",F91*(100%-$N106),"")</f>
        <v>4.1580000000000004</v>
      </c>
      <c r="U106" s="327">
        <f>IF($N106&lt;&gt;"",F92*(100%-$N106),"")</f>
        <v>3.3660000000000001</v>
      </c>
    </row>
    <row r="107" spans="1:21" x14ac:dyDescent="0.25">
      <c r="A107" s="615" t="s">
        <v>4686</v>
      </c>
      <c r="B107" s="372" t="s">
        <v>2269</v>
      </c>
      <c r="C107" s="375" t="s">
        <v>4684</v>
      </c>
      <c r="D107" s="373" t="s">
        <v>4687</v>
      </c>
      <c r="E107" s="372" t="s">
        <v>5766</v>
      </c>
      <c r="F107" s="449">
        <f t="shared" si="4"/>
        <v>8.2200000000000006</v>
      </c>
      <c r="G107" s="525">
        <v>8.2200000000000006</v>
      </c>
      <c r="H107" s="374">
        <f t="shared" si="2"/>
        <v>6.58</v>
      </c>
      <c r="I107" s="699"/>
      <c r="J107" s="669" t="s">
        <v>5805</v>
      </c>
    </row>
    <row r="108" spans="1:21" x14ac:dyDescent="0.25">
      <c r="A108" s="615" t="s">
        <v>4688</v>
      </c>
      <c r="B108" s="372" t="s">
        <v>2269</v>
      </c>
      <c r="C108" s="375" t="s">
        <v>4684</v>
      </c>
      <c r="D108" s="373" t="s">
        <v>4689</v>
      </c>
      <c r="E108" s="372" t="s">
        <v>5766</v>
      </c>
      <c r="F108" s="449">
        <f t="shared" si="4"/>
        <v>6.24</v>
      </c>
      <c r="G108" s="525">
        <v>6.24</v>
      </c>
      <c r="H108" s="374">
        <f t="shared" si="2"/>
        <v>4.99</v>
      </c>
      <c r="I108" s="699"/>
      <c r="J108" s="669" t="s">
        <v>5805</v>
      </c>
    </row>
    <row r="109" spans="1:21" x14ac:dyDescent="0.25">
      <c r="A109" s="615" t="s">
        <v>4690</v>
      </c>
      <c r="B109" s="372" t="s">
        <v>2269</v>
      </c>
      <c r="C109" s="375" t="s">
        <v>4684</v>
      </c>
      <c r="D109" s="373" t="s">
        <v>4691</v>
      </c>
      <c r="E109" s="372" t="s">
        <v>5766</v>
      </c>
      <c r="F109" s="449">
        <f t="shared" si="4"/>
        <v>5.45</v>
      </c>
      <c r="G109" s="525">
        <v>5.45</v>
      </c>
      <c r="H109" s="374">
        <f t="shared" si="2"/>
        <v>4.3600000000000003</v>
      </c>
      <c r="I109" s="699"/>
      <c r="J109" s="669" t="s">
        <v>5805</v>
      </c>
    </row>
    <row r="110" spans="1:21" x14ac:dyDescent="0.25">
      <c r="A110" s="615" t="s">
        <v>4692</v>
      </c>
      <c r="B110" s="372" t="s">
        <v>2269</v>
      </c>
      <c r="C110" s="375" t="s">
        <v>4684</v>
      </c>
      <c r="D110" s="373" t="s">
        <v>4693</v>
      </c>
      <c r="E110" s="372" t="s">
        <v>5766</v>
      </c>
      <c r="F110" s="449">
        <f t="shared" si="4"/>
        <v>5.25</v>
      </c>
      <c r="G110" s="525">
        <v>5.25</v>
      </c>
      <c r="H110" s="374">
        <f t="shared" si="2"/>
        <v>4.2</v>
      </c>
      <c r="I110" s="699"/>
      <c r="J110" s="669" t="s">
        <v>5805</v>
      </c>
    </row>
    <row r="111" spans="1:21" x14ac:dyDescent="0.25">
      <c r="A111" s="615" t="s">
        <v>4694</v>
      </c>
      <c r="B111" s="372" t="s">
        <v>2269</v>
      </c>
      <c r="C111" s="375" t="s">
        <v>4684</v>
      </c>
      <c r="D111" s="373" t="s">
        <v>4695</v>
      </c>
      <c r="E111" s="372" t="s">
        <v>5766</v>
      </c>
      <c r="F111" s="449">
        <f t="shared" si="4"/>
        <v>4.16</v>
      </c>
      <c r="G111" s="525">
        <v>4.16</v>
      </c>
      <c r="H111" s="374">
        <f t="shared" si="2"/>
        <v>3.33</v>
      </c>
      <c r="I111" s="699"/>
      <c r="J111" s="669" t="s">
        <v>5805</v>
      </c>
    </row>
    <row r="112" spans="1:21" x14ac:dyDescent="0.25">
      <c r="A112" s="615" t="s">
        <v>4696</v>
      </c>
      <c r="B112" s="372" t="s">
        <v>2269</v>
      </c>
      <c r="C112" s="375" t="s">
        <v>4684</v>
      </c>
      <c r="D112" s="373" t="s">
        <v>4697</v>
      </c>
      <c r="E112" s="372" t="s">
        <v>5766</v>
      </c>
      <c r="F112" s="449">
        <f t="shared" si="4"/>
        <v>3.37</v>
      </c>
      <c r="G112" s="525">
        <v>3.37</v>
      </c>
      <c r="H112" s="374">
        <f t="shared" si="2"/>
        <v>2.7</v>
      </c>
      <c r="I112" s="699"/>
      <c r="J112" s="669" t="s">
        <v>5805</v>
      </c>
    </row>
    <row r="113" spans="1:21" x14ac:dyDescent="0.25">
      <c r="A113" s="608"/>
      <c r="B113" s="2"/>
      <c r="C113" s="34"/>
      <c r="D113" s="34"/>
      <c r="E113" s="2"/>
      <c r="F113" s="445"/>
      <c r="G113" s="521"/>
      <c r="H113" s="14" t="str">
        <f t="shared" si="2"/>
        <v/>
      </c>
      <c r="I113" s="695"/>
      <c r="J113" s="669" t="s">
        <v>4180</v>
      </c>
      <c r="N113" s="270" t="s">
        <v>5490</v>
      </c>
      <c r="O113" t="s">
        <v>5407</v>
      </c>
      <c r="P113" t="s">
        <v>2000</v>
      </c>
      <c r="Q113" t="s">
        <v>2001</v>
      </c>
      <c r="R113" t="s">
        <v>2002</v>
      </c>
      <c r="S113" t="s">
        <v>2003</v>
      </c>
      <c r="T113" t="s">
        <v>2004</v>
      </c>
      <c r="U113" t="s">
        <v>1992</v>
      </c>
    </row>
    <row r="114" spans="1:21" x14ac:dyDescent="0.25">
      <c r="A114" s="615" t="s">
        <v>1646</v>
      </c>
      <c r="B114" s="372" t="s">
        <v>2269</v>
      </c>
      <c r="C114" s="375" t="s">
        <v>1647</v>
      </c>
      <c r="D114" s="375" t="s">
        <v>5407</v>
      </c>
      <c r="E114" s="372"/>
      <c r="F114" s="449">
        <f t="shared" ref="F114:F120" si="5">ROUND(HLOOKUP(D114,$O$113:$U$114,2,FALSE),2)</f>
        <v>12.45</v>
      </c>
      <c r="G114" s="525">
        <v>12.45</v>
      </c>
      <c r="H114" s="374">
        <f t="shared" si="2"/>
        <v>9.9600000000000009</v>
      </c>
      <c r="I114" s="699"/>
      <c r="J114" s="669" t="s">
        <v>5805</v>
      </c>
      <c r="N114" s="395">
        <v>0.01</v>
      </c>
      <c r="O114" s="327">
        <f t="shared" ref="O114:U114" si="6">IF($N114&lt;&gt;"",O99*(100%-$N114),"")</f>
        <v>12.447269999999998</v>
      </c>
      <c r="P114" s="327">
        <f t="shared" si="6"/>
        <v>8.1348300000000009</v>
      </c>
      <c r="Q114" s="327">
        <f t="shared" si="6"/>
        <v>6.1746299999999996</v>
      </c>
      <c r="R114" s="327">
        <f t="shared" si="6"/>
        <v>5.3905500000000002</v>
      </c>
      <c r="S114" s="327">
        <f t="shared" si="6"/>
        <v>5.1945299999999994</v>
      </c>
      <c r="T114" s="327">
        <f t="shared" si="6"/>
        <v>4.1164200000000006</v>
      </c>
      <c r="U114" s="327">
        <f t="shared" si="6"/>
        <v>3.3323399999999999</v>
      </c>
    </row>
    <row r="115" spans="1:21" x14ac:dyDescent="0.25">
      <c r="A115" s="615" t="s">
        <v>1648</v>
      </c>
      <c r="B115" s="372" t="s">
        <v>2269</v>
      </c>
      <c r="C115" s="375" t="s">
        <v>1647</v>
      </c>
      <c r="D115" s="375" t="s">
        <v>2000</v>
      </c>
      <c r="E115" s="372"/>
      <c r="F115" s="449">
        <f t="shared" si="5"/>
        <v>8.1300000000000008</v>
      </c>
      <c r="G115" s="525">
        <v>8.1300000000000008</v>
      </c>
      <c r="H115" s="374">
        <f t="shared" si="2"/>
        <v>6.5</v>
      </c>
      <c r="I115" s="699"/>
      <c r="J115" s="669" t="s">
        <v>5805</v>
      </c>
      <c r="O115" s="327"/>
      <c r="P115" s="327"/>
      <c r="Q115" s="327"/>
      <c r="R115" s="327"/>
      <c r="S115" s="327"/>
      <c r="T115" s="327"/>
      <c r="U115" s="327"/>
    </row>
    <row r="116" spans="1:21" x14ac:dyDescent="0.25">
      <c r="A116" s="615" t="s">
        <v>1649</v>
      </c>
      <c r="B116" s="372" t="s">
        <v>2269</v>
      </c>
      <c r="C116" s="375" t="s">
        <v>1647</v>
      </c>
      <c r="D116" s="375" t="s">
        <v>2001</v>
      </c>
      <c r="E116" s="372"/>
      <c r="F116" s="449">
        <f t="shared" si="5"/>
        <v>6.17</v>
      </c>
      <c r="G116" s="525">
        <v>6.17</v>
      </c>
      <c r="H116" s="374">
        <f t="shared" si="2"/>
        <v>4.9400000000000004</v>
      </c>
      <c r="I116" s="699"/>
      <c r="J116" s="669" t="s">
        <v>5805</v>
      </c>
      <c r="O116" s="327"/>
    </row>
    <row r="117" spans="1:21" x14ac:dyDescent="0.25">
      <c r="A117" s="615" t="s">
        <v>1650</v>
      </c>
      <c r="B117" s="372" t="s">
        <v>2269</v>
      </c>
      <c r="C117" s="375" t="s">
        <v>1647</v>
      </c>
      <c r="D117" s="375" t="s">
        <v>2002</v>
      </c>
      <c r="E117" s="372"/>
      <c r="F117" s="449">
        <f t="shared" si="5"/>
        <v>5.39</v>
      </c>
      <c r="G117" s="525">
        <v>5.39</v>
      </c>
      <c r="H117" s="374">
        <f t="shared" si="2"/>
        <v>4.3099999999999996</v>
      </c>
      <c r="I117" s="699"/>
      <c r="J117" s="669" t="s">
        <v>5805</v>
      </c>
      <c r="O117" s="327"/>
    </row>
    <row r="118" spans="1:21" x14ac:dyDescent="0.25">
      <c r="A118" s="615" t="s">
        <v>1651</v>
      </c>
      <c r="B118" s="372" t="s">
        <v>2269</v>
      </c>
      <c r="C118" s="375" t="s">
        <v>1647</v>
      </c>
      <c r="D118" s="375" t="s">
        <v>2003</v>
      </c>
      <c r="E118" s="372"/>
      <c r="F118" s="449">
        <f t="shared" si="5"/>
        <v>5.19</v>
      </c>
      <c r="G118" s="525">
        <v>5.19</v>
      </c>
      <c r="H118" s="374">
        <f t="shared" si="2"/>
        <v>4.1500000000000004</v>
      </c>
      <c r="I118" s="699"/>
      <c r="J118" s="669" t="s">
        <v>5805</v>
      </c>
      <c r="O118" s="327"/>
    </row>
    <row r="119" spans="1:21" x14ac:dyDescent="0.25">
      <c r="A119" s="615" t="s">
        <v>1652</v>
      </c>
      <c r="B119" s="372" t="s">
        <v>2269</v>
      </c>
      <c r="C119" s="375" t="s">
        <v>1647</v>
      </c>
      <c r="D119" s="375" t="s">
        <v>2004</v>
      </c>
      <c r="E119" s="372"/>
      <c r="F119" s="449">
        <f t="shared" si="5"/>
        <v>4.12</v>
      </c>
      <c r="G119" s="525">
        <v>4.12</v>
      </c>
      <c r="H119" s="374">
        <f t="shared" si="2"/>
        <v>3.3</v>
      </c>
      <c r="I119" s="699"/>
      <c r="J119" s="669" t="s">
        <v>5805</v>
      </c>
      <c r="O119" s="327"/>
    </row>
    <row r="120" spans="1:21" x14ac:dyDescent="0.25">
      <c r="A120" s="615" t="s">
        <v>1653</v>
      </c>
      <c r="B120" s="372" t="s">
        <v>2269</v>
      </c>
      <c r="C120" s="375" t="s">
        <v>1647</v>
      </c>
      <c r="D120" s="375" t="s">
        <v>1992</v>
      </c>
      <c r="E120" s="372"/>
      <c r="F120" s="449">
        <f t="shared" si="5"/>
        <v>3.33</v>
      </c>
      <c r="G120" s="525">
        <v>3.33</v>
      </c>
      <c r="H120" s="374">
        <f t="shared" si="2"/>
        <v>2.66</v>
      </c>
      <c r="I120" s="699"/>
      <c r="J120" s="669" t="s">
        <v>5805</v>
      </c>
      <c r="N120" s="270" t="s">
        <v>5490</v>
      </c>
      <c r="O120" t="s">
        <v>1654</v>
      </c>
      <c r="P120" t="s">
        <v>1655</v>
      </c>
      <c r="Q120" t="s">
        <v>1656</v>
      </c>
      <c r="R120" t="s">
        <v>1657</v>
      </c>
      <c r="S120" t="s">
        <v>1658</v>
      </c>
      <c r="T120" t="s">
        <v>1659</v>
      </c>
      <c r="U120" t="s">
        <v>1660</v>
      </c>
    </row>
    <row r="121" spans="1:21" x14ac:dyDescent="0.25">
      <c r="A121" s="615" t="s">
        <v>1661</v>
      </c>
      <c r="B121" s="372" t="s">
        <v>2269</v>
      </c>
      <c r="C121" s="375" t="s">
        <v>7466</v>
      </c>
      <c r="D121" s="375" t="s">
        <v>1654</v>
      </c>
      <c r="E121" s="372" t="s">
        <v>5766</v>
      </c>
      <c r="F121" s="449">
        <f t="shared" ref="F121:F127" si="7">ROUND(HLOOKUP(D121,$O$120:$U$121,2,FALSE),2)</f>
        <v>12.45</v>
      </c>
      <c r="G121" s="525">
        <v>12.45</v>
      </c>
      <c r="H121" s="374">
        <f t="shared" si="2"/>
        <v>9.9600000000000009</v>
      </c>
      <c r="I121" s="699"/>
      <c r="J121" s="669" t="s">
        <v>5805</v>
      </c>
      <c r="N121" s="395">
        <v>0.01</v>
      </c>
      <c r="O121" s="327">
        <f t="shared" ref="O121:U121" si="8">IF($N121&lt;&gt;"",O106*(100%-$N121),"")</f>
        <v>12.447269999999998</v>
      </c>
      <c r="P121" s="327">
        <f t="shared" si="8"/>
        <v>8.1348300000000009</v>
      </c>
      <c r="Q121" s="327">
        <f t="shared" si="8"/>
        <v>6.1746299999999996</v>
      </c>
      <c r="R121" s="327">
        <f t="shared" si="8"/>
        <v>5.3905500000000002</v>
      </c>
      <c r="S121" s="327">
        <f t="shared" si="8"/>
        <v>5.1945299999999994</v>
      </c>
      <c r="T121" s="327">
        <f t="shared" si="8"/>
        <v>4.1164200000000006</v>
      </c>
      <c r="U121" s="327">
        <f t="shared" si="8"/>
        <v>3.3323399999999999</v>
      </c>
    </row>
    <row r="122" spans="1:21" x14ac:dyDescent="0.25">
      <c r="A122" s="615" t="s">
        <v>1662</v>
      </c>
      <c r="B122" s="372" t="s">
        <v>2269</v>
      </c>
      <c r="C122" s="375" t="s">
        <v>7466</v>
      </c>
      <c r="D122" s="375" t="s">
        <v>1655</v>
      </c>
      <c r="E122" s="372" t="s">
        <v>5766</v>
      </c>
      <c r="F122" s="449">
        <f t="shared" si="7"/>
        <v>8.1300000000000008</v>
      </c>
      <c r="G122" s="525">
        <v>8.1300000000000008</v>
      </c>
      <c r="H122" s="374">
        <f t="shared" si="2"/>
        <v>6.5</v>
      </c>
      <c r="I122" s="699"/>
      <c r="J122" s="669" t="s">
        <v>5805</v>
      </c>
    </row>
    <row r="123" spans="1:21" x14ac:dyDescent="0.25">
      <c r="A123" s="615" t="s">
        <v>1663</v>
      </c>
      <c r="B123" s="372" t="s">
        <v>2269</v>
      </c>
      <c r="C123" s="375" t="s">
        <v>7466</v>
      </c>
      <c r="D123" s="375" t="s">
        <v>1656</v>
      </c>
      <c r="E123" s="372" t="s">
        <v>5766</v>
      </c>
      <c r="F123" s="449">
        <f t="shared" si="7"/>
        <v>6.17</v>
      </c>
      <c r="G123" s="525">
        <v>6.17</v>
      </c>
      <c r="H123" s="374">
        <f t="shared" si="2"/>
        <v>4.9400000000000004</v>
      </c>
      <c r="I123" s="699"/>
      <c r="J123" s="669" t="s">
        <v>5805</v>
      </c>
    </row>
    <row r="124" spans="1:21" x14ac:dyDescent="0.25">
      <c r="A124" s="615" t="s">
        <v>1664</v>
      </c>
      <c r="B124" s="372" t="s">
        <v>2269</v>
      </c>
      <c r="C124" s="375" t="s">
        <v>7466</v>
      </c>
      <c r="D124" s="375" t="s">
        <v>1657</v>
      </c>
      <c r="E124" s="372" t="s">
        <v>5766</v>
      </c>
      <c r="F124" s="449">
        <f t="shared" si="7"/>
        <v>5.39</v>
      </c>
      <c r="G124" s="525">
        <v>5.39</v>
      </c>
      <c r="H124" s="374">
        <f t="shared" si="2"/>
        <v>4.3099999999999996</v>
      </c>
      <c r="I124" s="699"/>
      <c r="J124" s="669" t="s">
        <v>5805</v>
      </c>
    </row>
    <row r="125" spans="1:21" x14ac:dyDescent="0.25">
      <c r="A125" s="615" t="s">
        <v>1665</v>
      </c>
      <c r="B125" s="372" t="s">
        <v>2269</v>
      </c>
      <c r="C125" s="375" t="s">
        <v>7466</v>
      </c>
      <c r="D125" s="375" t="s">
        <v>1658</v>
      </c>
      <c r="E125" s="372" t="s">
        <v>5766</v>
      </c>
      <c r="F125" s="449">
        <f t="shared" si="7"/>
        <v>5.19</v>
      </c>
      <c r="G125" s="525">
        <v>5.19</v>
      </c>
      <c r="H125" s="374">
        <f t="shared" si="2"/>
        <v>4.1500000000000004</v>
      </c>
      <c r="I125" s="699"/>
      <c r="J125" s="669" t="s">
        <v>5805</v>
      </c>
    </row>
    <row r="126" spans="1:21" x14ac:dyDescent="0.25">
      <c r="A126" s="615" t="s">
        <v>1666</v>
      </c>
      <c r="B126" s="372" t="s">
        <v>2269</v>
      </c>
      <c r="C126" s="375" t="s">
        <v>7466</v>
      </c>
      <c r="D126" s="375" t="s">
        <v>1659</v>
      </c>
      <c r="E126" s="372" t="s">
        <v>5766</v>
      </c>
      <c r="F126" s="449">
        <f t="shared" si="7"/>
        <v>4.12</v>
      </c>
      <c r="G126" s="525">
        <v>4.12</v>
      </c>
      <c r="H126" s="374">
        <f t="shared" si="2"/>
        <v>3.3</v>
      </c>
      <c r="I126" s="699"/>
      <c r="J126" s="669" t="s">
        <v>5805</v>
      </c>
    </row>
    <row r="127" spans="1:21" x14ac:dyDescent="0.25">
      <c r="A127" s="615" t="s">
        <v>1667</v>
      </c>
      <c r="B127" s="372" t="s">
        <v>2269</v>
      </c>
      <c r="C127" s="375" t="s">
        <v>7466</v>
      </c>
      <c r="D127" s="375" t="s">
        <v>1660</v>
      </c>
      <c r="E127" s="372" t="s">
        <v>5766</v>
      </c>
      <c r="F127" s="449">
        <f t="shared" si="7"/>
        <v>3.33</v>
      </c>
      <c r="G127" s="525">
        <v>3.33</v>
      </c>
      <c r="H127" s="374">
        <f t="shared" si="2"/>
        <v>2.66</v>
      </c>
      <c r="I127" s="699"/>
      <c r="J127" s="669" t="s">
        <v>5805</v>
      </c>
    </row>
    <row r="128" spans="1:21" ht="15.75" x14ac:dyDescent="0.25">
      <c r="A128" s="608"/>
      <c r="B128" s="2"/>
      <c r="C128" s="34"/>
      <c r="D128" s="34"/>
      <c r="E128" s="2"/>
      <c r="F128" s="445"/>
      <c r="G128" s="14"/>
      <c r="H128" s="14" t="str">
        <f t="shared" si="2"/>
        <v/>
      </c>
      <c r="I128" s="695"/>
      <c r="J128" s="669" t="s">
        <v>4180</v>
      </c>
      <c r="M128" s="260" t="s">
        <v>87</v>
      </c>
    </row>
    <row r="129" spans="1:23" x14ac:dyDescent="0.25">
      <c r="A129" s="608"/>
      <c r="B129" s="2"/>
      <c r="C129" s="34"/>
      <c r="D129" s="34"/>
      <c r="E129" s="2"/>
      <c r="F129" s="445"/>
      <c r="G129" s="14"/>
      <c r="H129" s="14" t="str">
        <f t="shared" si="2"/>
        <v/>
      </c>
      <c r="I129" s="695"/>
      <c r="J129" s="669" t="s">
        <v>4180</v>
      </c>
      <c r="N129" s="270" t="s">
        <v>5490</v>
      </c>
      <c r="O129" t="s">
        <v>5407</v>
      </c>
      <c r="P129" t="s">
        <v>2000</v>
      </c>
      <c r="Q129" t="s">
        <v>2001</v>
      </c>
      <c r="R129" t="s">
        <v>2002</v>
      </c>
      <c r="S129" t="s">
        <v>2003</v>
      </c>
      <c r="T129" t="s">
        <v>2004</v>
      </c>
      <c r="U129" t="s">
        <v>1992</v>
      </c>
    </row>
    <row r="130" spans="1:23" x14ac:dyDescent="0.25">
      <c r="A130" s="607" t="s">
        <v>38</v>
      </c>
      <c r="B130" s="435" t="s">
        <v>2269</v>
      </c>
      <c r="C130" s="436" t="s">
        <v>39</v>
      </c>
      <c r="D130" s="436" t="s">
        <v>5407</v>
      </c>
      <c r="E130" s="435"/>
      <c r="F130" s="450">
        <f t="shared" ref="F130:F136" si="9">ROUND(HLOOKUP(D130,$O$129:$U$131,3,FALSE),2)</f>
        <v>12.32</v>
      </c>
      <c r="G130" s="437">
        <f t="shared" ref="G130:G136" si="10">ROUND(HLOOKUP(D130,$O$129:$U$131,2,FALSE),2)</f>
        <v>12.52</v>
      </c>
      <c r="H130" s="437">
        <f t="shared" si="2"/>
        <v>10.02</v>
      </c>
      <c r="I130" s="700"/>
      <c r="J130" s="669" t="s">
        <v>5805</v>
      </c>
      <c r="M130" s="127">
        <v>2014</v>
      </c>
      <c r="N130" s="395" t="s">
        <v>84</v>
      </c>
      <c r="O130" s="327">
        <v>12.52</v>
      </c>
      <c r="P130" s="327">
        <v>8.25</v>
      </c>
      <c r="Q130" s="327">
        <v>6.31</v>
      </c>
      <c r="R130" s="327">
        <v>5.54</v>
      </c>
      <c r="S130" s="327">
        <v>5.34</v>
      </c>
      <c r="T130" s="327">
        <v>4.28</v>
      </c>
      <c r="U130" s="327">
        <v>3.5</v>
      </c>
      <c r="W130" t="s">
        <v>49</v>
      </c>
    </row>
    <row r="131" spans="1:23" x14ac:dyDescent="0.25">
      <c r="A131" s="607" t="s">
        <v>43</v>
      </c>
      <c r="B131" s="435" t="s">
        <v>2269</v>
      </c>
      <c r="C131" s="436" t="s">
        <v>39</v>
      </c>
      <c r="D131" s="436" t="s">
        <v>2000</v>
      </c>
      <c r="E131" s="435"/>
      <c r="F131" s="450">
        <f t="shared" si="9"/>
        <v>8.0500000000000007</v>
      </c>
      <c r="G131" s="437">
        <f t="shared" si="10"/>
        <v>8.25</v>
      </c>
      <c r="H131" s="437">
        <f t="shared" si="2"/>
        <v>6.6</v>
      </c>
      <c r="I131" s="700"/>
      <c r="J131" s="669" t="s">
        <v>5805</v>
      </c>
      <c r="N131" s="395" t="s">
        <v>85</v>
      </c>
      <c r="O131" s="327">
        <f t="shared" ref="O131:U131" si="11">O130-0.2</f>
        <v>12.32</v>
      </c>
      <c r="P131" s="327">
        <f t="shared" si="11"/>
        <v>8.0500000000000007</v>
      </c>
      <c r="Q131" s="327">
        <f t="shared" si="11"/>
        <v>6.1099999999999994</v>
      </c>
      <c r="R131" s="327">
        <f t="shared" si="11"/>
        <v>5.34</v>
      </c>
      <c r="S131" s="327">
        <f t="shared" si="11"/>
        <v>5.14</v>
      </c>
      <c r="T131" s="327">
        <f t="shared" si="11"/>
        <v>4.08</v>
      </c>
      <c r="U131" s="327">
        <f t="shared" si="11"/>
        <v>3.3</v>
      </c>
      <c r="W131" t="s">
        <v>50</v>
      </c>
    </row>
    <row r="132" spans="1:23" x14ac:dyDescent="0.25">
      <c r="A132" s="607" t="s">
        <v>44</v>
      </c>
      <c r="B132" s="435" t="s">
        <v>2269</v>
      </c>
      <c r="C132" s="436" t="s">
        <v>39</v>
      </c>
      <c r="D132" s="436" t="s">
        <v>2001</v>
      </c>
      <c r="E132" s="435"/>
      <c r="F132" s="450">
        <f t="shared" si="9"/>
        <v>6.11</v>
      </c>
      <c r="G132" s="437">
        <f t="shared" si="10"/>
        <v>6.31</v>
      </c>
      <c r="H132" s="437">
        <f t="shared" si="2"/>
        <v>5.05</v>
      </c>
      <c r="I132" s="700"/>
      <c r="J132" s="669" t="s">
        <v>5805</v>
      </c>
      <c r="O132" s="327"/>
    </row>
    <row r="133" spans="1:23" x14ac:dyDescent="0.25">
      <c r="A133" s="607" t="s">
        <v>45</v>
      </c>
      <c r="B133" s="435" t="s">
        <v>2269</v>
      </c>
      <c r="C133" s="436" t="s">
        <v>39</v>
      </c>
      <c r="D133" s="436" t="s">
        <v>2002</v>
      </c>
      <c r="E133" s="435"/>
      <c r="F133" s="450">
        <f t="shared" si="9"/>
        <v>5.34</v>
      </c>
      <c r="G133" s="437">
        <f t="shared" si="10"/>
        <v>5.54</v>
      </c>
      <c r="H133" s="437">
        <f t="shared" si="2"/>
        <v>4.43</v>
      </c>
      <c r="I133" s="700"/>
      <c r="J133" s="669" t="s">
        <v>5805</v>
      </c>
      <c r="O133" s="327"/>
    </row>
    <row r="134" spans="1:23" x14ac:dyDescent="0.25">
      <c r="A134" s="607" t="s">
        <v>46</v>
      </c>
      <c r="B134" s="435" t="s">
        <v>2269</v>
      </c>
      <c r="C134" s="436" t="s">
        <v>39</v>
      </c>
      <c r="D134" s="436" t="s">
        <v>2003</v>
      </c>
      <c r="E134" s="435"/>
      <c r="F134" s="450">
        <f t="shared" si="9"/>
        <v>5.14</v>
      </c>
      <c r="G134" s="437">
        <f t="shared" si="10"/>
        <v>5.34</v>
      </c>
      <c r="H134" s="437">
        <f t="shared" si="2"/>
        <v>4.2699999999999996</v>
      </c>
      <c r="I134" s="700"/>
      <c r="J134" s="669" t="s">
        <v>5805</v>
      </c>
      <c r="O134" s="327"/>
    </row>
    <row r="135" spans="1:23" x14ac:dyDescent="0.25">
      <c r="A135" s="607" t="s">
        <v>47</v>
      </c>
      <c r="B135" s="435" t="s">
        <v>2269</v>
      </c>
      <c r="C135" s="436" t="s">
        <v>39</v>
      </c>
      <c r="D135" s="436" t="s">
        <v>2004</v>
      </c>
      <c r="E135" s="435"/>
      <c r="F135" s="450">
        <f t="shared" si="9"/>
        <v>4.08</v>
      </c>
      <c r="G135" s="437">
        <f t="shared" si="10"/>
        <v>4.28</v>
      </c>
      <c r="H135" s="437">
        <f t="shared" si="2"/>
        <v>3.42</v>
      </c>
      <c r="I135" s="700"/>
      <c r="J135" s="669" t="s">
        <v>5805</v>
      </c>
      <c r="O135" s="327"/>
    </row>
    <row r="136" spans="1:23" x14ac:dyDescent="0.25">
      <c r="A136" s="607" t="s">
        <v>48</v>
      </c>
      <c r="B136" s="435" t="s">
        <v>2269</v>
      </c>
      <c r="C136" s="436" t="s">
        <v>39</v>
      </c>
      <c r="D136" s="436" t="s">
        <v>1992</v>
      </c>
      <c r="E136" s="435"/>
      <c r="F136" s="450">
        <f t="shared" si="9"/>
        <v>3.3</v>
      </c>
      <c r="G136" s="437">
        <f t="shared" si="10"/>
        <v>3.5</v>
      </c>
      <c r="H136" s="437">
        <f t="shared" si="2"/>
        <v>2.8</v>
      </c>
      <c r="I136" s="700"/>
      <c r="J136" s="669" t="s">
        <v>5805</v>
      </c>
      <c r="N136" s="270" t="s">
        <v>5490</v>
      </c>
      <c r="O136" t="s">
        <v>1654</v>
      </c>
      <c r="P136" t="s">
        <v>1655</v>
      </c>
      <c r="Q136" t="s">
        <v>1656</v>
      </c>
      <c r="R136" t="s">
        <v>1657</v>
      </c>
      <c r="S136" t="s">
        <v>1658</v>
      </c>
      <c r="T136" t="s">
        <v>1659</v>
      </c>
      <c r="U136" t="s">
        <v>1660</v>
      </c>
    </row>
    <row r="137" spans="1:23" x14ac:dyDescent="0.25">
      <c r="A137" s="607" t="s">
        <v>51</v>
      </c>
      <c r="B137" s="435" t="s">
        <v>2269</v>
      </c>
      <c r="C137" s="436" t="s">
        <v>40</v>
      </c>
      <c r="D137" s="436" t="s">
        <v>1654</v>
      </c>
      <c r="E137" s="436" t="s">
        <v>5766</v>
      </c>
      <c r="F137" s="450">
        <f t="shared" ref="F137:F143" si="12">ROUND(HLOOKUP($D137,$O$136:$U$138,3,FALSE),2)</f>
        <v>12.52</v>
      </c>
      <c r="G137" s="629">
        <v>12.52</v>
      </c>
      <c r="H137" s="437">
        <f t="shared" si="2"/>
        <v>10.02</v>
      </c>
      <c r="I137" s="700"/>
      <c r="J137" s="669" t="s">
        <v>5805</v>
      </c>
      <c r="M137" s="127">
        <v>2014</v>
      </c>
      <c r="N137" s="395" t="s">
        <v>86</v>
      </c>
      <c r="O137" s="327">
        <v>12.52</v>
      </c>
      <c r="P137" s="327">
        <v>8.25</v>
      </c>
      <c r="Q137" s="327">
        <v>6.31</v>
      </c>
      <c r="R137" s="327">
        <v>5.54</v>
      </c>
      <c r="S137" s="327">
        <v>5.34</v>
      </c>
      <c r="T137" s="327">
        <v>4.28</v>
      </c>
      <c r="U137" s="327">
        <v>3.5</v>
      </c>
      <c r="W137" t="s">
        <v>49</v>
      </c>
    </row>
    <row r="138" spans="1:23" x14ac:dyDescent="0.25">
      <c r="A138" s="607" t="s">
        <v>52</v>
      </c>
      <c r="B138" s="435" t="s">
        <v>2269</v>
      </c>
      <c r="C138" s="436" t="s">
        <v>40</v>
      </c>
      <c r="D138" s="436" t="s">
        <v>1655</v>
      </c>
      <c r="E138" s="436" t="s">
        <v>5766</v>
      </c>
      <c r="F138" s="450">
        <f t="shared" si="12"/>
        <v>8.25</v>
      </c>
      <c r="G138" s="629">
        <v>8.25</v>
      </c>
      <c r="H138" s="437">
        <f t="shared" si="2"/>
        <v>6.6</v>
      </c>
      <c r="I138" s="700"/>
      <c r="J138" s="669" t="s">
        <v>5805</v>
      </c>
      <c r="N138" s="395" t="s">
        <v>85</v>
      </c>
      <c r="O138" s="327">
        <f t="shared" ref="O138:U138" si="13">O137</f>
        <v>12.52</v>
      </c>
      <c r="P138" s="327">
        <f t="shared" si="13"/>
        <v>8.25</v>
      </c>
      <c r="Q138" s="327">
        <f t="shared" si="13"/>
        <v>6.31</v>
      </c>
      <c r="R138" s="327">
        <f t="shared" si="13"/>
        <v>5.54</v>
      </c>
      <c r="S138" s="327">
        <f t="shared" si="13"/>
        <v>5.34</v>
      </c>
      <c r="T138" s="327">
        <f t="shared" si="13"/>
        <v>4.28</v>
      </c>
      <c r="U138" s="327">
        <f t="shared" si="13"/>
        <v>3.5</v>
      </c>
      <c r="W138" t="s">
        <v>50</v>
      </c>
    </row>
    <row r="139" spans="1:23" x14ac:dyDescent="0.25">
      <c r="A139" s="607" t="s">
        <v>53</v>
      </c>
      <c r="B139" s="435" t="s">
        <v>2269</v>
      </c>
      <c r="C139" s="436" t="s">
        <v>40</v>
      </c>
      <c r="D139" s="436" t="s">
        <v>1656</v>
      </c>
      <c r="E139" s="436" t="s">
        <v>5766</v>
      </c>
      <c r="F139" s="450">
        <f t="shared" si="12"/>
        <v>6.31</v>
      </c>
      <c r="G139" s="629">
        <v>6.31</v>
      </c>
      <c r="H139" s="437">
        <f t="shared" si="2"/>
        <v>5.05</v>
      </c>
      <c r="I139" s="700"/>
      <c r="J139" s="669" t="s">
        <v>5805</v>
      </c>
    </row>
    <row r="140" spans="1:23" x14ac:dyDescent="0.25">
      <c r="A140" s="607" t="s">
        <v>54</v>
      </c>
      <c r="B140" s="435" t="s">
        <v>2269</v>
      </c>
      <c r="C140" s="436" t="s">
        <v>40</v>
      </c>
      <c r="D140" s="436" t="s">
        <v>1657</v>
      </c>
      <c r="E140" s="436" t="s">
        <v>5766</v>
      </c>
      <c r="F140" s="450">
        <f t="shared" si="12"/>
        <v>5.54</v>
      </c>
      <c r="G140" s="629">
        <v>5.54</v>
      </c>
      <c r="H140" s="437">
        <f t="shared" si="2"/>
        <v>4.43</v>
      </c>
      <c r="I140" s="700"/>
      <c r="J140" s="669" t="s">
        <v>5805</v>
      </c>
    </row>
    <row r="141" spans="1:23" x14ac:dyDescent="0.25">
      <c r="A141" s="607" t="s">
        <v>55</v>
      </c>
      <c r="B141" s="435" t="s">
        <v>2269</v>
      </c>
      <c r="C141" s="436" t="s">
        <v>40</v>
      </c>
      <c r="D141" s="436" t="s">
        <v>1658</v>
      </c>
      <c r="E141" s="436" t="s">
        <v>5766</v>
      </c>
      <c r="F141" s="450">
        <f t="shared" si="12"/>
        <v>5.34</v>
      </c>
      <c r="G141" s="629">
        <v>5.34</v>
      </c>
      <c r="H141" s="437">
        <f t="shared" si="2"/>
        <v>4.2699999999999996</v>
      </c>
      <c r="I141" s="700"/>
      <c r="J141" s="669" t="s">
        <v>5805</v>
      </c>
    </row>
    <row r="142" spans="1:23" x14ac:dyDescent="0.25">
      <c r="A142" s="607" t="s">
        <v>56</v>
      </c>
      <c r="B142" s="435" t="s">
        <v>2269</v>
      </c>
      <c r="C142" s="436" t="s">
        <v>40</v>
      </c>
      <c r="D142" s="436" t="s">
        <v>1659</v>
      </c>
      <c r="E142" s="436" t="s">
        <v>5766</v>
      </c>
      <c r="F142" s="450">
        <f t="shared" si="12"/>
        <v>4.28</v>
      </c>
      <c r="G142" s="629">
        <v>4.28</v>
      </c>
      <c r="H142" s="437">
        <f t="shared" si="2"/>
        <v>3.42</v>
      </c>
      <c r="I142" s="700"/>
      <c r="J142" s="669" t="s">
        <v>5805</v>
      </c>
    </row>
    <row r="143" spans="1:23" x14ac:dyDescent="0.25">
      <c r="A143" s="607" t="s">
        <v>57</v>
      </c>
      <c r="B143" s="435" t="s">
        <v>2269</v>
      </c>
      <c r="C143" s="436" t="s">
        <v>40</v>
      </c>
      <c r="D143" s="436" t="s">
        <v>1660</v>
      </c>
      <c r="E143" s="436" t="s">
        <v>5766</v>
      </c>
      <c r="F143" s="450">
        <f t="shared" si="12"/>
        <v>3.5</v>
      </c>
      <c r="G143" s="629">
        <v>3.5</v>
      </c>
      <c r="H143" s="437">
        <f t="shared" si="2"/>
        <v>2.8</v>
      </c>
      <c r="I143" s="700"/>
      <c r="J143" s="669" t="s">
        <v>5805</v>
      </c>
    </row>
    <row r="144" spans="1:23" x14ac:dyDescent="0.25">
      <c r="A144" s="608"/>
      <c r="B144" s="2"/>
      <c r="C144" s="34"/>
      <c r="D144" s="34"/>
      <c r="E144" s="2"/>
      <c r="F144" s="445"/>
      <c r="G144" s="14"/>
      <c r="H144" s="14" t="str">
        <f t="shared" si="2"/>
        <v/>
      </c>
      <c r="I144" s="695"/>
      <c r="J144" s="669" t="s">
        <v>4180</v>
      </c>
      <c r="N144" s="270" t="s">
        <v>5490</v>
      </c>
      <c r="O144" t="s">
        <v>5407</v>
      </c>
      <c r="P144" t="s">
        <v>2000</v>
      </c>
      <c r="Q144" t="s">
        <v>2001</v>
      </c>
      <c r="R144" t="s">
        <v>2002</v>
      </c>
      <c r="S144" t="s">
        <v>2003</v>
      </c>
      <c r="T144" t="s">
        <v>2004</v>
      </c>
      <c r="U144" t="s">
        <v>1992</v>
      </c>
    </row>
    <row r="145" spans="1:23" x14ac:dyDescent="0.25">
      <c r="A145" s="607" t="s">
        <v>402</v>
      </c>
      <c r="B145" s="435" t="s">
        <v>2269</v>
      </c>
      <c r="C145" s="436" t="s">
        <v>380</v>
      </c>
      <c r="D145" s="436" t="s">
        <v>5407</v>
      </c>
      <c r="E145" s="435"/>
      <c r="F145" s="450">
        <f t="shared" ref="F145:F151" si="14">ROUND(HLOOKUP(D145,$O$144:$U$146,3,FALSE),2)</f>
        <v>12.32</v>
      </c>
      <c r="G145" s="437">
        <f t="shared" ref="G145:G151" si="15">ROUND(HLOOKUP(D145,$O$144:$U$146,2,FALSE),2)</f>
        <v>12.52</v>
      </c>
      <c r="H145" s="437">
        <f t="shared" si="2"/>
        <v>10.02</v>
      </c>
      <c r="I145" s="700"/>
      <c r="J145" s="669" t="s">
        <v>5805</v>
      </c>
      <c r="M145" s="127">
        <v>2015</v>
      </c>
      <c r="N145" s="395" t="s">
        <v>84</v>
      </c>
      <c r="O145" s="327">
        <v>12.52</v>
      </c>
      <c r="P145" s="327">
        <v>8.25</v>
      </c>
      <c r="Q145" s="327">
        <v>6.31</v>
      </c>
      <c r="R145" s="327">
        <v>5.54</v>
      </c>
      <c r="S145" s="327">
        <v>5.34</v>
      </c>
      <c r="T145" s="327">
        <v>4.28</v>
      </c>
      <c r="U145" s="327">
        <v>3.5</v>
      </c>
      <c r="W145" t="s">
        <v>49</v>
      </c>
    </row>
    <row r="146" spans="1:23" x14ac:dyDescent="0.25">
      <c r="A146" s="607" t="s">
        <v>403</v>
      </c>
      <c r="B146" s="435" t="s">
        <v>2269</v>
      </c>
      <c r="C146" s="436" t="s">
        <v>380</v>
      </c>
      <c r="D146" s="436" t="s">
        <v>2000</v>
      </c>
      <c r="E146" s="435"/>
      <c r="F146" s="450">
        <f t="shared" si="14"/>
        <v>8.0500000000000007</v>
      </c>
      <c r="G146" s="437">
        <f t="shared" si="15"/>
        <v>8.25</v>
      </c>
      <c r="H146" s="437">
        <f t="shared" si="2"/>
        <v>6.6</v>
      </c>
      <c r="I146" s="700"/>
      <c r="J146" s="669" t="s">
        <v>5805</v>
      </c>
      <c r="N146" s="395" t="s">
        <v>85</v>
      </c>
      <c r="O146" s="327">
        <f t="shared" ref="O146:U146" si="16">O145-0.2</f>
        <v>12.32</v>
      </c>
      <c r="P146" s="327">
        <f t="shared" si="16"/>
        <v>8.0500000000000007</v>
      </c>
      <c r="Q146" s="327">
        <f t="shared" si="16"/>
        <v>6.1099999999999994</v>
      </c>
      <c r="R146" s="327">
        <f t="shared" si="16"/>
        <v>5.34</v>
      </c>
      <c r="S146" s="327">
        <f t="shared" si="16"/>
        <v>5.14</v>
      </c>
      <c r="T146" s="327">
        <f t="shared" si="16"/>
        <v>4.08</v>
      </c>
      <c r="U146" s="327">
        <f t="shared" si="16"/>
        <v>3.3</v>
      </c>
      <c r="W146" t="s">
        <v>50</v>
      </c>
    </row>
    <row r="147" spans="1:23" x14ac:dyDescent="0.25">
      <c r="A147" s="607" t="s">
        <v>404</v>
      </c>
      <c r="B147" s="435" t="s">
        <v>2269</v>
      </c>
      <c r="C147" s="436" t="s">
        <v>380</v>
      </c>
      <c r="D147" s="436" t="s">
        <v>2001</v>
      </c>
      <c r="E147" s="435"/>
      <c r="F147" s="450">
        <f t="shared" si="14"/>
        <v>6.11</v>
      </c>
      <c r="G147" s="437">
        <f t="shared" si="15"/>
        <v>6.31</v>
      </c>
      <c r="H147" s="437">
        <f t="shared" si="2"/>
        <v>5.05</v>
      </c>
      <c r="I147" s="700"/>
      <c r="J147" s="669" t="s">
        <v>5805</v>
      </c>
      <c r="O147" s="327"/>
    </row>
    <row r="148" spans="1:23" x14ac:dyDescent="0.25">
      <c r="A148" s="607" t="s">
        <v>405</v>
      </c>
      <c r="B148" s="435" t="s">
        <v>2269</v>
      </c>
      <c r="C148" s="436" t="s">
        <v>380</v>
      </c>
      <c r="D148" s="436" t="s">
        <v>2002</v>
      </c>
      <c r="E148" s="435"/>
      <c r="F148" s="450">
        <f t="shared" si="14"/>
        <v>5.34</v>
      </c>
      <c r="G148" s="437">
        <f t="shared" si="15"/>
        <v>5.54</v>
      </c>
      <c r="H148" s="437">
        <f t="shared" si="2"/>
        <v>4.43</v>
      </c>
      <c r="I148" s="700"/>
      <c r="J148" s="669" t="s">
        <v>5805</v>
      </c>
      <c r="O148" s="327"/>
    </row>
    <row r="149" spans="1:23" x14ac:dyDescent="0.25">
      <c r="A149" s="607" t="s">
        <v>406</v>
      </c>
      <c r="B149" s="435" t="s">
        <v>2269</v>
      </c>
      <c r="C149" s="436" t="s">
        <v>380</v>
      </c>
      <c r="D149" s="436" t="s">
        <v>2003</v>
      </c>
      <c r="E149" s="435"/>
      <c r="F149" s="450">
        <f t="shared" si="14"/>
        <v>5.14</v>
      </c>
      <c r="G149" s="437">
        <f t="shared" si="15"/>
        <v>5.34</v>
      </c>
      <c r="H149" s="437">
        <f t="shared" si="2"/>
        <v>4.2699999999999996</v>
      </c>
      <c r="I149" s="700"/>
      <c r="J149" s="669" t="s">
        <v>5805</v>
      </c>
      <c r="O149" s="327"/>
    </row>
    <row r="150" spans="1:23" x14ac:dyDescent="0.25">
      <c r="A150" s="607" t="s">
        <v>407</v>
      </c>
      <c r="B150" s="435" t="s">
        <v>2269</v>
      </c>
      <c r="C150" s="436" t="s">
        <v>380</v>
      </c>
      <c r="D150" s="436" t="s">
        <v>2004</v>
      </c>
      <c r="E150" s="435"/>
      <c r="F150" s="450">
        <f t="shared" si="14"/>
        <v>4.08</v>
      </c>
      <c r="G150" s="437">
        <f t="shared" si="15"/>
        <v>4.28</v>
      </c>
      <c r="H150" s="437">
        <f t="shared" si="2"/>
        <v>3.42</v>
      </c>
      <c r="I150" s="700"/>
      <c r="J150" s="669" t="s">
        <v>5805</v>
      </c>
      <c r="O150" s="327"/>
    </row>
    <row r="151" spans="1:23" x14ac:dyDescent="0.25">
      <c r="A151" s="607" t="s">
        <v>408</v>
      </c>
      <c r="B151" s="435" t="s">
        <v>2269</v>
      </c>
      <c r="C151" s="436" t="s">
        <v>380</v>
      </c>
      <c r="D151" s="436" t="s">
        <v>1992</v>
      </c>
      <c r="E151" s="435"/>
      <c r="F151" s="450">
        <f t="shared" si="14"/>
        <v>3.3</v>
      </c>
      <c r="G151" s="437">
        <f t="shared" si="15"/>
        <v>3.5</v>
      </c>
      <c r="H151" s="437">
        <f t="shared" si="2"/>
        <v>2.8</v>
      </c>
      <c r="I151" s="700"/>
      <c r="J151" s="669" t="s">
        <v>5805</v>
      </c>
      <c r="N151" s="270" t="s">
        <v>5490</v>
      </c>
      <c r="O151" t="s">
        <v>416</v>
      </c>
      <c r="P151" t="s">
        <v>417</v>
      </c>
      <c r="Q151" t="s">
        <v>418</v>
      </c>
      <c r="R151" t="s">
        <v>419</v>
      </c>
      <c r="S151" t="s">
        <v>420</v>
      </c>
      <c r="T151" t="s">
        <v>421</v>
      </c>
      <c r="U151" t="s">
        <v>422</v>
      </c>
    </row>
    <row r="152" spans="1:23" x14ac:dyDescent="0.25">
      <c r="A152" s="607" t="s">
        <v>409</v>
      </c>
      <c r="B152" s="435" t="s">
        <v>2269</v>
      </c>
      <c r="C152" s="436" t="s">
        <v>5767</v>
      </c>
      <c r="D152" s="436" t="s">
        <v>416</v>
      </c>
      <c r="E152" s="436" t="s">
        <v>5766</v>
      </c>
      <c r="F152" s="450">
        <f t="shared" ref="F152:F158" si="17">ROUND(HLOOKUP($D152,$O$151:$U$153,3,FALSE),2)</f>
        <v>12.52</v>
      </c>
      <c r="G152" s="629">
        <v>12.52</v>
      </c>
      <c r="H152" s="437">
        <f t="shared" si="2"/>
        <v>10.02</v>
      </c>
      <c r="I152" s="700"/>
      <c r="J152" s="669" t="s">
        <v>5805</v>
      </c>
      <c r="M152" s="127">
        <v>2015</v>
      </c>
      <c r="N152" s="395" t="s">
        <v>86</v>
      </c>
      <c r="O152" s="327">
        <v>12.52</v>
      </c>
      <c r="P152" s="327">
        <v>8.25</v>
      </c>
      <c r="Q152" s="327">
        <v>6.31</v>
      </c>
      <c r="R152" s="327">
        <v>5.54</v>
      </c>
      <c r="S152" s="327">
        <v>5.34</v>
      </c>
      <c r="T152" s="327">
        <v>4.28</v>
      </c>
      <c r="U152" s="327">
        <v>3.5</v>
      </c>
      <c r="W152" t="s">
        <v>49</v>
      </c>
    </row>
    <row r="153" spans="1:23" x14ac:dyDescent="0.25">
      <c r="A153" s="607" t="s">
        <v>410</v>
      </c>
      <c r="B153" s="435" t="s">
        <v>2269</v>
      </c>
      <c r="C153" s="436" t="s">
        <v>5767</v>
      </c>
      <c r="D153" s="436" t="s">
        <v>417</v>
      </c>
      <c r="E153" s="436" t="s">
        <v>5766</v>
      </c>
      <c r="F153" s="450">
        <f t="shared" si="17"/>
        <v>8.25</v>
      </c>
      <c r="G153" s="629">
        <v>8.25</v>
      </c>
      <c r="H153" s="437">
        <f t="shared" si="2"/>
        <v>6.6</v>
      </c>
      <c r="I153" s="700"/>
      <c r="J153" s="669" t="s">
        <v>5805</v>
      </c>
      <c r="N153" s="395" t="s">
        <v>85</v>
      </c>
      <c r="O153" s="327">
        <f t="shared" ref="O153:U153" si="18">O152</f>
        <v>12.52</v>
      </c>
      <c r="P153" s="327">
        <f t="shared" si="18"/>
        <v>8.25</v>
      </c>
      <c r="Q153" s="327">
        <f t="shared" si="18"/>
        <v>6.31</v>
      </c>
      <c r="R153" s="327">
        <f t="shared" si="18"/>
        <v>5.54</v>
      </c>
      <c r="S153" s="327">
        <f t="shared" si="18"/>
        <v>5.34</v>
      </c>
      <c r="T153" s="327">
        <f t="shared" si="18"/>
        <v>4.28</v>
      </c>
      <c r="U153" s="327">
        <f t="shared" si="18"/>
        <v>3.5</v>
      </c>
      <c r="W153" t="s">
        <v>50</v>
      </c>
    </row>
    <row r="154" spans="1:23" x14ac:dyDescent="0.25">
      <c r="A154" s="607" t="s">
        <v>411</v>
      </c>
      <c r="B154" s="435" t="s">
        <v>2269</v>
      </c>
      <c r="C154" s="436" t="s">
        <v>5767</v>
      </c>
      <c r="D154" s="436" t="s">
        <v>418</v>
      </c>
      <c r="E154" s="436" t="s">
        <v>5766</v>
      </c>
      <c r="F154" s="450">
        <f t="shared" si="17"/>
        <v>6.31</v>
      </c>
      <c r="G154" s="629">
        <v>6.31</v>
      </c>
      <c r="H154" s="437">
        <f t="shared" si="2"/>
        <v>5.05</v>
      </c>
      <c r="I154" s="700"/>
      <c r="J154" s="669" t="s">
        <v>5805</v>
      </c>
    </row>
    <row r="155" spans="1:23" x14ac:dyDescent="0.25">
      <c r="A155" s="607" t="s">
        <v>412</v>
      </c>
      <c r="B155" s="435" t="s">
        <v>2269</v>
      </c>
      <c r="C155" s="436" t="s">
        <v>5767</v>
      </c>
      <c r="D155" s="436" t="s">
        <v>419</v>
      </c>
      <c r="E155" s="436" t="s">
        <v>5766</v>
      </c>
      <c r="F155" s="450">
        <f t="shared" si="17"/>
        <v>5.54</v>
      </c>
      <c r="G155" s="629">
        <v>5.54</v>
      </c>
      <c r="H155" s="437">
        <f t="shared" si="2"/>
        <v>4.43</v>
      </c>
      <c r="I155" s="700"/>
      <c r="J155" s="669" t="s">
        <v>5805</v>
      </c>
    </row>
    <row r="156" spans="1:23" x14ac:dyDescent="0.25">
      <c r="A156" s="607" t="s">
        <v>413</v>
      </c>
      <c r="B156" s="435" t="s">
        <v>2269</v>
      </c>
      <c r="C156" s="436" t="s">
        <v>5767</v>
      </c>
      <c r="D156" s="436" t="s">
        <v>420</v>
      </c>
      <c r="E156" s="436" t="s">
        <v>5766</v>
      </c>
      <c r="F156" s="450">
        <f t="shared" si="17"/>
        <v>5.34</v>
      </c>
      <c r="G156" s="629">
        <v>5.34</v>
      </c>
      <c r="H156" s="437">
        <f t="shared" si="2"/>
        <v>4.2699999999999996</v>
      </c>
      <c r="I156" s="700"/>
      <c r="J156" s="669" t="s">
        <v>5805</v>
      </c>
    </row>
    <row r="157" spans="1:23" x14ac:dyDescent="0.25">
      <c r="A157" s="607" t="s">
        <v>414</v>
      </c>
      <c r="B157" s="435" t="s">
        <v>2269</v>
      </c>
      <c r="C157" s="436" t="s">
        <v>5767</v>
      </c>
      <c r="D157" s="436" t="s">
        <v>421</v>
      </c>
      <c r="E157" s="436" t="s">
        <v>5766</v>
      </c>
      <c r="F157" s="450">
        <f t="shared" si="17"/>
        <v>4.28</v>
      </c>
      <c r="G157" s="629">
        <v>4.28</v>
      </c>
      <c r="H157" s="437">
        <f t="shared" si="2"/>
        <v>3.42</v>
      </c>
      <c r="I157" s="700"/>
      <c r="J157" s="669" t="s">
        <v>5805</v>
      </c>
    </row>
    <row r="158" spans="1:23" x14ac:dyDescent="0.25">
      <c r="A158" s="607" t="s">
        <v>415</v>
      </c>
      <c r="B158" s="435" t="s">
        <v>2269</v>
      </c>
      <c r="C158" s="436" t="s">
        <v>5767</v>
      </c>
      <c r="D158" s="436" t="s">
        <v>422</v>
      </c>
      <c r="E158" s="436" t="s">
        <v>5766</v>
      </c>
      <c r="F158" s="450">
        <f t="shared" si="17"/>
        <v>3.5</v>
      </c>
      <c r="G158" s="629">
        <v>3.5</v>
      </c>
      <c r="H158" s="437">
        <f t="shared" si="2"/>
        <v>2.8</v>
      </c>
      <c r="I158" s="700"/>
      <c r="J158" s="669" t="s">
        <v>5805</v>
      </c>
    </row>
    <row r="159" spans="1:23" x14ac:dyDescent="0.25">
      <c r="A159" s="608"/>
      <c r="B159" s="2"/>
      <c r="C159" s="34"/>
      <c r="D159" s="34"/>
      <c r="E159" s="2"/>
      <c r="F159" s="445"/>
      <c r="G159" s="14"/>
      <c r="H159" s="14" t="str">
        <f t="shared" si="2"/>
        <v/>
      </c>
      <c r="I159" s="695"/>
      <c r="J159" s="669" t="s">
        <v>4180</v>
      </c>
      <c r="N159" s="270" t="s">
        <v>5490</v>
      </c>
      <c r="O159" t="s">
        <v>5407</v>
      </c>
      <c r="P159" t="s">
        <v>2000</v>
      </c>
      <c r="Q159" t="s">
        <v>2001</v>
      </c>
      <c r="R159" t="s">
        <v>2002</v>
      </c>
      <c r="S159" t="s">
        <v>2003</v>
      </c>
      <c r="T159" t="s">
        <v>2004</v>
      </c>
      <c r="U159" t="s">
        <v>1992</v>
      </c>
    </row>
    <row r="160" spans="1:23" x14ac:dyDescent="0.25">
      <c r="A160" s="607" t="s">
        <v>5647</v>
      </c>
      <c r="B160" s="435" t="s">
        <v>2269</v>
      </c>
      <c r="C160" s="436" t="s">
        <v>5648</v>
      </c>
      <c r="D160" s="436" t="s">
        <v>5407</v>
      </c>
      <c r="E160" s="435"/>
      <c r="F160" s="450">
        <f t="shared" ref="F160:F166" si="19">ROUND(HLOOKUP($D160,$O$159:$U$161,3,FALSE),2)</f>
        <v>12.26</v>
      </c>
      <c r="G160" s="437">
        <f t="shared" ref="G160:G166" si="20">ROUND(HLOOKUP($D160,$O$159:$U$161,2,FALSE),2)</f>
        <v>12.46</v>
      </c>
      <c r="H160" s="437">
        <f t="shared" ref="H160:H223" si="21">IF(ISNUMBER(G160),ROUND(0.8*G160,2),"")</f>
        <v>9.9700000000000006</v>
      </c>
      <c r="I160" s="700"/>
      <c r="J160" s="669" t="s">
        <v>5805</v>
      </c>
      <c r="M160" s="127">
        <v>2016</v>
      </c>
      <c r="N160" s="395">
        <v>5.0000000000000001E-3</v>
      </c>
      <c r="O160" s="327">
        <f t="shared" ref="O160:U160" si="22">IF($N160&lt;&gt;"",O145*(100%-$N160),"")</f>
        <v>12.4574</v>
      </c>
      <c r="P160" s="327">
        <f t="shared" si="22"/>
        <v>8.2087500000000002</v>
      </c>
      <c r="Q160" s="327">
        <f t="shared" si="22"/>
        <v>6.2784499999999994</v>
      </c>
      <c r="R160" s="327">
        <f t="shared" si="22"/>
        <v>5.5122999999999998</v>
      </c>
      <c r="S160" s="327">
        <f t="shared" si="22"/>
        <v>5.3132999999999999</v>
      </c>
      <c r="T160" s="327">
        <f t="shared" si="22"/>
        <v>4.2586000000000004</v>
      </c>
      <c r="U160" s="327">
        <f t="shared" si="22"/>
        <v>3.4824999999999999</v>
      </c>
      <c r="W160" t="s">
        <v>49</v>
      </c>
    </row>
    <row r="161" spans="1:23" x14ac:dyDescent="0.25">
      <c r="A161" s="607" t="s">
        <v>5649</v>
      </c>
      <c r="B161" s="435" t="s">
        <v>2269</v>
      </c>
      <c r="C161" s="436" t="s">
        <v>5648</v>
      </c>
      <c r="D161" s="436" t="s">
        <v>2000</v>
      </c>
      <c r="E161" s="435"/>
      <c r="F161" s="450">
        <f t="shared" si="19"/>
        <v>8.01</v>
      </c>
      <c r="G161" s="437">
        <f t="shared" si="20"/>
        <v>8.2100000000000009</v>
      </c>
      <c r="H161" s="437">
        <f t="shared" si="21"/>
        <v>6.57</v>
      </c>
      <c r="I161" s="700"/>
      <c r="J161" s="669" t="s">
        <v>5805</v>
      </c>
      <c r="N161" s="395"/>
      <c r="O161" s="327">
        <f t="shared" ref="O161:U161" si="23">IF($N160&lt;&gt;"",O146*(100%-$N160),"")</f>
        <v>12.2584</v>
      </c>
      <c r="P161" s="327">
        <f t="shared" si="23"/>
        <v>8.0097500000000004</v>
      </c>
      <c r="Q161" s="327">
        <f t="shared" si="23"/>
        <v>6.0794499999999996</v>
      </c>
      <c r="R161" s="327">
        <f t="shared" si="23"/>
        <v>5.3132999999999999</v>
      </c>
      <c r="S161" s="327">
        <f t="shared" si="23"/>
        <v>5.1143000000000001</v>
      </c>
      <c r="T161" s="327">
        <f t="shared" si="23"/>
        <v>4.0595999999999997</v>
      </c>
      <c r="U161" s="327">
        <f t="shared" si="23"/>
        <v>3.2834999999999996</v>
      </c>
      <c r="W161" t="s">
        <v>50</v>
      </c>
    </row>
    <row r="162" spans="1:23" x14ac:dyDescent="0.25">
      <c r="A162" s="607" t="s">
        <v>5650</v>
      </c>
      <c r="B162" s="435" t="s">
        <v>2269</v>
      </c>
      <c r="C162" s="436" t="s">
        <v>5648</v>
      </c>
      <c r="D162" s="436" t="s">
        <v>2001</v>
      </c>
      <c r="E162" s="435"/>
      <c r="F162" s="450">
        <f t="shared" si="19"/>
        <v>6.08</v>
      </c>
      <c r="G162" s="437">
        <f t="shared" si="20"/>
        <v>6.28</v>
      </c>
      <c r="H162" s="437">
        <f t="shared" si="21"/>
        <v>5.0199999999999996</v>
      </c>
      <c r="I162" s="700"/>
      <c r="J162" s="669" t="s">
        <v>5805</v>
      </c>
      <c r="O162" s="327"/>
    </row>
    <row r="163" spans="1:23" x14ac:dyDescent="0.25">
      <c r="A163" s="607" t="s">
        <v>5651</v>
      </c>
      <c r="B163" s="435" t="s">
        <v>2269</v>
      </c>
      <c r="C163" s="436" t="s">
        <v>5648</v>
      </c>
      <c r="D163" s="436" t="s">
        <v>2002</v>
      </c>
      <c r="E163" s="435"/>
      <c r="F163" s="450">
        <f t="shared" si="19"/>
        <v>5.31</v>
      </c>
      <c r="G163" s="437">
        <f t="shared" si="20"/>
        <v>5.51</v>
      </c>
      <c r="H163" s="437">
        <f t="shared" si="21"/>
        <v>4.41</v>
      </c>
      <c r="I163" s="700"/>
      <c r="J163" s="669" t="s">
        <v>5805</v>
      </c>
      <c r="O163" s="327"/>
    </row>
    <row r="164" spans="1:23" x14ac:dyDescent="0.25">
      <c r="A164" s="607" t="s">
        <v>5652</v>
      </c>
      <c r="B164" s="435" t="s">
        <v>2269</v>
      </c>
      <c r="C164" s="436" t="s">
        <v>5648</v>
      </c>
      <c r="D164" s="436" t="s">
        <v>2003</v>
      </c>
      <c r="E164" s="435"/>
      <c r="F164" s="450">
        <f t="shared" si="19"/>
        <v>5.1100000000000003</v>
      </c>
      <c r="G164" s="437">
        <f t="shared" si="20"/>
        <v>5.31</v>
      </c>
      <c r="H164" s="437">
        <f t="shared" si="21"/>
        <v>4.25</v>
      </c>
      <c r="I164" s="700"/>
      <c r="J164" s="669" t="s">
        <v>5805</v>
      </c>
      <c r="O164" s="327"/>
    </row>
    <row r="165" spans="1:23" x14ac:dyDescent="0.25">
      <c r="A165" s="607" t="s">
        <v>5653</v>
      </c>
      <c r="B165" s="435" t="s">
        <v>2269</v>
      </c>
      <c r="C165" s="436" t="s">
        <v>5648</v>
      </c>
      <c r="D165" s="436" t="s">
        <v>2004</v>
      </c>
      <c r="E165" s="435"/>
      <c r="F165" s="450">
        <f t="shared" si="19"/>
        <v>4.0599999999999996</v>
      </c>
      <c r="G165" s="437">
        <f t="shared" si="20"/>
        <v>4.26</v>
      </c>
      <c r="H165" s="437">
        <f t="shared" si="21"/>
        <v>3.41</v>
      </c>
      <c r="I165" s="700"/>
      <c r="J165" s="669" t="s">
        <v>5805</v>
      </c>
      <c r="O165" s="327"/>
    </row>
    <row r="166" spans="1:23" x14ac:dyDescent="0.25">
      <c r="A166" s="607" t="s">
        <v>5654</v>
      </c>
      <c r="B166" s="435" t="s">
        <v>2269</v>
      </c>
      <c r="C166" s="436" t="s">
        <v>5648</v>
      </c>
      <c r="D166" s="436" t="s">
        <v>1992</v>
      </c>
      <c r="E166" s="435"/>
      <c r="F166" s="450">
        <f t="shared" si="19"/>
        <v>3.28</v>
      </c>
      <c r="G166" s="437">
        <f t="shared" si="20"/>
        <v>3.48</v>
      </c>
      <c r="H166" s="437">
        <f t="shared" si="21"/>
        <v>2.78</v>
      </c>
      <c r="I166" s="700"/>
      <c r="J166" s="669" t="s">
        <v>5805</v>
      </c>
      <c r="N166" s="270" t="s">
        <v>5490</v>
      </c>
      <c r="O166" t="s">
        <v>5662</v>
      </c>
      <c r="P166" t="s">
        <v>5663</v>
      </c>
      <c r="Q166" t="s">
        <v>5664</v>
      </c>
      <c r="R166" t="s">
        <v>5665</v>
      </c>
      <c r="S166" t="s">
        <v>5666</v>
      </c>
      <c r="T166" t="s">
        <v>5667</v>
      </c>
      <c r="U166" t="s">
        <v>5668</v>
      </c>
    </row>
    <row r="167" spans="1:23" x14ac:dyDescent="0.25">
      <c r="A167" s="607" t="s">
        <v>5655</v>
      </c>
      <c r="B167" s="435" t="s">
        <v>2269</v>
      </c>
      <c r="C167" s="436" t="s">
        <v>5768</v>
      </c>
      <c r="D167" s="436" t="s">
        <v>5662</v>
      </c>
      <c r="E167" s="436" t="s">
        <v>5766</v>
      </c>
      <c r="F167" s="450">
        <f t="shared" ref="F167:F173" si="24">ROUND(HLOOKUP($D167,$O$166:$U$168,3,FALSE),2)</f>
        <v>12.46</v>
      </c>
      <c r="G167" s="629">
        <v>12.46</v>
      </c>
      <c r="H167" s="437">
        <f t="shared" si="21"/>
        <v>9.9700000000000006</v>
      </c>
      <c r="I167" s="700"/>
      <c r="J167" s="669" t="s">
        <v>5805</v>
      </c>
      <c r="M167" s="127">
        <v>2016</v>
      </c>
      <c r="N167" s="395">
        <f>N160</f>
        <v>5.0000000000000001E-3</v>
      </c>
      <c r="O167" s="327">
        <f t="shared" ref="O167:U167" si="25">IF($N167&lt;&gt;"",O152*(100%-$N167),"")</f>
        <v>12.4574</v>
      </c>
      <c r="P167" s="327">
        <f t="shared" si="25"/>
        <v>8.2087500000000002</v>
      </c>
      <c r="Q167" s="327">
        <f t="shared" si="25"/>
        <v>6.2784499999999994</v>
      </c>
      <c r="R167" s="327">
        <f t="shared" si="25"/>
        <v>5.5122999999999998</v>
      </c>
      <c r="S167" s="327">
        <f t="shared" si="25"/>
        <v>5.3132999999999999</v>
      </c>
      <c r="T167" s="327">
        <f t="shared" si="25"/>
        <v>4.2586000000000004</v>
      </c>
      <c r="U167" s="327">
        <f t="shared" si="25"/>
        <v>3.4824999999999999</v>
      </c>
      <c r="W167" t="s">
        <v>49</v>
      </c>
    </row>
    <row r="168" spans="1:23" x14ac:dyDescent="0.25">
      <c r="A168" s="607" t="s">
        <v>5656</v>
      </c>
      <c r="B168" s="435" t="s">
        <v>2269</v>
      </c>
      <c r="C168" s="436" t="s">
        <v>5768</v>
      </c>
      <c r="D168" s="436" t="s">
        <v>5663</v>
      </c>
      <c r="E168" s="436" t="s">
        <v>5766</v>
      </c>
      <c r="F168" s="450">
        <f t="shared" si="24"/>
        <v>8.2100000000000009</v>
      </c>
      <c r="G168" s="629">
        <v>8.2100000000000009</v>
      </c>
      <c r="H168" s="437">
        <f t="shared" si="21"/>
        <v>6.57</v>
      </c>
      <c r="I168" s="700"/>
      <c r="J168" s="669" t="s">
        <v>5805</v>
      </c>
      <c r="N168" s="395" t="s">
        <v>85</v>
      </c>
      <c r="O168" s="327">
        <f t="shared" ref="O168:U168" si="26">IF($N167&lt;&gt;"",O153*(100%-$N167),"")</f>
        <v>12.4574</v>
      </c>
      <c r="P168" s="327">
        <f t="shared" si="26"/>
        <v>8.2087500000000002</v>
      </c>
      <c r="Q168" s="327">
        <f t="shared" si="26"/>
        <v>6.2784499999999994</v>
      </c>
      <c r="R168" s="327">
        <f t="shared" si="26"/>
        <v>5.5122999999999998</v>
      </c>
      <c r="S168" s="327">
        <f t="shared" si="26"/>
        <v>5.3132999999999999</v>
      </c>
      <c r="T168" s="327">
        <f t="shared" si="26"/>
        <v>4.2586000000000004</v>
      </c>
      <c r="U168" s="327">
        <f t="shared" si="26"/>
        <v>3.4824999999999999</v>
      </c>
      <c r="W168" t="s">
        <v>50</v>
      </c>
    </row>
    <row r="169" spans="1:23" x14ac:dyDescent="0.25">
      <c r="A169" s="607" t="s">
        <v>5657</v>
      </c>
      <c r="B169" s="435" t="s">
        <v>2269</v>
      </c>
      <c r="C169" s="436" t="s">
        <v>5768</v>
      </c>
      <c r="D169" s="436" t="s">
        <v>5664</v>
      </c>
      <c r="E169" s="436" t="s">
        <v>5766</v>
      </c>
      <c r="F169" s="450">
        <f t="shared" si="24"/>
        <v>6.28</v>
      </c>
      <c r="G169" s="629">
        <v>6.28</v>
      </c>
      <c r="H169" s="437">
        <f t="shared" si="21"/>
        <v>5.0199999999999996</v>
      </c>
      <c r="I169" s="700"/>
      <c r="J169" s="669" t="s">
        <v>5805</v>
      </c>
    </row>
    <row r="170" spans="1:23" x14ac:dyDescent="0.25">
      <c r="A170" s="607" t="s">
        <v>5658</v>
      </c>
      <c r="B170" s="435" t="s">
        <v>2269</v>
      </c>
      <c r="C170" s="436" t="s">
        <v>5768</v>
      </c>
      <c r="D170" s="436" t="s">
        <v>5665</v>
      </c>
      <c r="E170" s="436" t="s">
        <v>5766</v>
      </c>
      <c r="F170" s="450">
        <f t="shared" si="24"/>
        <v>5.51</v>
      </c>
      <c r="G170" s="629">
        <v>5.51</v>
      </c>
      <c r="H170" s="437">
        <f t="shared" si="21"/>
        <v>4.41</v>
      </c>
      <c r="I170" s="700"/>
      <c r="J170" s="669" t="s">
        <v>5805</v>
      </c>
    </row>
    <row r="171" spans="1:23" x14ac:dyDescent="0.25">
      <c r="A171" s="607" t="s">
        <v>5659</v>
      </c>
      <c r="B171" s="435" t="s">
        <v>2269</v>
      </c>
      <c r="C171" s="436" t="s">
        <v>5768</v>
      </c>
      <c r="D171" s="436" t="s">
        <v>5666</v>
      </c>
      <c r="E171" s="436" t="s">
        <v>5766</v>
      </c>
      <c r="F171" s="450">
        <f t="shared" si="24"/>
        <v>5.31</v>
      </c>
      <c r="G171" s="629">
        <v>5.31</v>
      </c>
      <c r="H171" s="437">
        <f t="shared" si="21"/>
        <v>4.25</v>
      </c>
      <c r="I171" s="700"/>
      <c r="J171" s="669" t="s">
        <v>5805</v>
      </c>
    </row>
    <row r="172" spans="1:23" x14ac:dyDescent="0.25">
      <c r="A172" s="607" t="s">
        <v>5660</v>
      </c>
      <c r="B172" s="435" t="s">
        <v>2269</v>
      </c>
      <c r="C172" s="436" t="s">
        <v>5768</v>
      </c>
      <c r="D172" s="436" t="s">
        <v>5667</v>
      </c>
      <c r="E172" s="436" t="s">
        <v>5766</v>
      </c>
      <c r="F172" s="450">
        <f t="shared" si="24"/>
        <v>4.26</v>
      </c>
      <c r="G172" s="629">
        <v>4.26</v>
      </c>
      <c r="H172" s="437">
        <f t="shared" si="21"/>
        <v>3.41</v>
      </c>
      <c r="I172" s="700"/>
      <c r="J172" s="669" t="s">
        <v>5805</v>
      </c>
    </row>
    <row r="173" spans="1:23" x14ac:dyDescent="0.25">
      <c r="A173" s="607" t="s">
        <v>5661</v>
      </c>
      <c r="B173" s="435" t="s">
        <v>2269</v>
      </c>
      <c r="C173" s="436" t="s">
        <v>5768</v>
      </c>
      <c r="D173" s="436" t="s">
        <v>5668</v>
      </c>
      <c r="E173" s="436" t="s">
        <v>5766</v>
      </c>
      <c r="F173" s="450">
        <f t="shared" si="24"/>
        <v>3.48</v>
      </c>
      <c r="G173" s="629">
        <v>3.48</v>
      </c>
      <c r="H173" s="437">
        <f t="shared" si="21"/>
        <v>2.78</v>
      </c>
      <c r="I173" s="700"/>
      <c r="J173" s="669" t="s">
        <v>5805</v>
      </c>
    </row>
    <row r="174" spans="1:23" x14ac:dyDescent="0.25">
      <c r="A174" s="608"/>
      <c r="B174" s="2"/>
      <c r="C174" s="34"/>
      <c r="D174" s="34"/>
      <c r="E174" s="2"/>
      <c r="F174" s="445"/>
      <c r="G174" s="14"/>
      <c r="H174" s="14" t="str">
        <f t="shared" si="21"/>
        <v/>
      </c>
      <c r="I174" s="695"/>
      <c r="J174" s="669" t="s">
        <v>4180</v>
      </c>
      <c r="N174" s="270" t="s">
        <v>5490</v>
      </c>
      <c r="O174" t="s">
        <v>5407</v>
      </c>
      <c r="P174" t="s">
        <v>2000</v>
      </c>
      <c r="Q174" t="s">
        <v>2001</v>
      </c>
      <c r="R174" t="s">
        <v>2002</v>
      </c>
      <c r="S174" t="s">
        <v>2003</v>
      </c>
      <c r="T174" t="s">
        <v>2004</v>
      </c>
      <c r="U174" t="s">
        <v>1992</v>
      </c>
    </row>
    <row r="175" spans="1:23" x14ac:dyDescent="0.25">
      <c r="A175" s="644" t="s">
        <v>5868</v>
      </c>
      <c r="B175" s="645" t="s">
        <v>2269</v>
      </c>
      <c r="C175" s="643" t="s">
        <v>5867</v>
      </c>
      <c r="D175" s="643" t="s">
        <v>5407</v>
      </c>
      <c r="E175" s="645"/>
      <c r="F175" s="657">
        <f t="shared" ref="F175:F181" si="27">ROUND(HLOOKUP($D175,$O$174:$U$176,3,FALSE),2)</f>
        <v>12.2</v>
      </c>
      <c r="G175" s="656">
        <f t="shared" ref="G175:G181" si="28">ROUND(HLOOKUP($D175,$O$174:$U$176,2,FALSE),2)</f>
        <v>12.4</v>
      </c>
      <c r="H175" s="656">
        <f t="shared" si="21"/>
        <v>9.92</v>
      </c>
      <c r="I175" s="701"/>
      <c r="J175" s="669">
        <v>42705</v>
      </c>
      <c r="M175" s="127">
        <v>2017</v>
      </c>
      <c r="N175" s="395" t="s">
        <v>5856</v>
      </c>
      <c r="O175" s="327">
        <v>12.4</v>
      </c>
      <c r="P175" s="327">
        <v>8.17</v>
      </c>
      <c r="Q175" s="327">
        <v>6.25</v>
      </c>
      <c r="R175" s="327">
        <v>5.48</v>
      </c>
      <c r="S175" s="327">
        <v>5.29</v>
      </c>
      <c r="T175" s="327">
        <v>4.24</v>
      </c>
      <c r="U175" s="327">
        <v>3.47</v>
      </c>
      <c r="W175" t="s">
        <v>49</v>
      </c>
    </row>
    <row r="176" spans="1:23" x14ac:dyDescent="0.25">
      <c r="A176" s="644" t="s">
        <v>5869</v>
      </c>
      <c r="B176" s="645" t="s">
        <v>2269</v>
      </c>
      <c r="C176" s="643" t="s">
        <v>5867</v>
      </c>
      <c r="D176" s="643" t="s">
        <v>2000</v>
      </c>
      <c r="E176" s="645"/>
      <c r="F176" s="657">
        <f t="shared" si="27"/>
        <v>7.97</v>
      </c>
      <c r="G176" s="656">
        <f t="shared" si="28"/>
        <v>8.17</v>
      </c>
      <c r="H176" s="656">
        <f t="shared" si="21"/>
        <v>6.54</v>
      </c>
      <c r="I176" s="701"/>
      <c r="J176" s="669">
        <v>42705</v>
      </c>
      <c r="N176" s="395" t="s">
        <v>5858</v>
      </c>
      <c r="O176" s="327">
        <f t="shared" ref="O176:U176" si="29">O175-0.2</f>
        <v>12.200000000000001</v>
      </c>
      <c r="P176" s="327">
        <f t="shared" si="29"/>
        <v>7.97</v>
      </c>
      <c r="Q176" s="327">
        <f t="shared" si="29"/>
        <v>6.05</v>
      </c>
      <c r="R176" s="327">
        <f t="shared" si="29"/>
        <v>5.28</v>
      </c>
      <c r="S176" s="327">
        <f t="shared" si="29"/>
        <v>5.09</v>
      </c>
      <c r="T176" s="327">
        <f t="shared" si="29"/>
        <v>4.04</v>
      </c>
      <c r="U176" s="327">
        <f t="shared" si="29"/>
        <v>3.27</v>
      </c>
      <c r="W176" t="s">
        <v>50</v>
      </c>
    </row>
    <row r="177" spans="1:23" x14ac:dyDescent="0.25">
      <c r="A177" s="644" t="s">
        <v>5870</v>
      </c>
      <c r="B177" s="645" t="s">
        <v>2269</v>
      </c>
      <c r="C177" s="643" t="s">
        <v>5867</v>
      </c>
      <c r="D177" s="643" t="s">
        <v>2001</v>
      </c>
      <c r="E177" s="645"/>
      <c r="F177" s="657">
        <f t="shared" si="27"/>
        <v>6.05</v>
      </c>
      <c r="G177" s="656">
        <f t="shared" si="28"/>
        <v>6.25</v>
      </c>
      <c r="H177" s="656">
        <f t="shared" si="21"/>
        <v>5</v>
      </c>
      <c r="I177" s="701"/>
      <c r="J177" s="669">
        <v>42705</v>
      </c>
      <c r="O177" s="327"/>
    </row>
    <row r="178" spans="1:23" x14ac:dyDescent="0.25">
      <c r="A178" s="644" t="s">
        <v>5871</v>
      </c>
      <c r="B178" s="645" t="s">
        <v>2269</v>
      </c>
      <c r="C178" s="643" t="s">
        <v>5867</v>
      </c>
      <c r="D178" s="643" t="s">
        <v>2002</v>
      </c>
      <c r="E178" s="645"/>
      <c r="F178" s="657">
        <f t="shared" si="27"/>
        <v>5.28</v>
      </c>
      <c r="G178" s="656">
        <f t="shared" si="28"/>
        <v>5.48</v>
      </c>
      <c r="H178" s="656">
        <f t="shared" si="21"/>
        <v>4.38</v>
      </c>
      <c r="I178" s="701"/>
      <c r="J178" s="669">
        <v>42705</v>
      </c>
      <c r="O178" s="327"/>
    </row>
    <row r="179" spans="1:23" x14ac:dyDescent="0.25">
      <c r="A179" s="644" t="s">
        <v>5872</v>
      </c>
      <c r="B179" s="645" t="s">
        <v>2269</v>
      </c>
      <c r="C179" s="643" t="s">
        <v>5867</v>
      </c>
      <c r="D179" s="643" t="s">
        <v>2003</v>
      </c>
      <c r="E179" s="645"/>
      <c r="F179" s="657">
        <f t="shared" si="27"/>
        <v>5.09</v>
      </c>
      <c r="G179" s="656">
        <f t="shared" si="28"/>
        <v>5.29</v>
      </c>
      <c r="H179" s="656">
        <f t="shared" si="21"/>
        <v>4.2300000000000004</v>
      </c>
      <c r="I179" s="701"/>
      <c r="J179" s="669">
        <v>42705</v>
      </c>
      <c r="O179" s="327"/>
    </row>
    <row r="180" spans="1:23" x14ac:dyDescent="0.25">
      <c r="A180" s="644" t="s">
        <v>5873</v>
      </c>
      <c r="B180" s="645" t="s">
        <v>2269</v>
      </c>
      <c r="C180" s="643" t="s">
        <v>5867</v>
      </c>
      <c r="D180" s="643" t="s">
        <v>2004</v>
      </c>
      <c r="E180" s="645"/>
      <c r="F180" s="657">
        <f t="shared" si="27"/>
        <v>4.04</v>
      </c>
      <c r="G180" s="656">
        <f t="shared" si="28"/>
        <v>4.24</v>
      </c>
      <c r="H180" s="656">
        <f t="shared" si="21"/>
        <v>3.39</v>
      </c>
      <c r="I180" s="701"/>
      <c r="J180" s="669">
        <v>42705</v>
      </c>
      <c r="O180" s="327"/>
    </row>
    <row r="181" spans="1:23" x14ac:dyDescent="0.25">
      <c r="A181" s="644" t="s">
        <v>5874</v>
      </c>
      <c r="B181" s="645" t="s">
        <v>2269</v>
      </c>
      <c r="C181" s="643" t="s">
        <v>5867</v>
      </c>
      <c r="D181" s="643" t="s">
        <v>1992</v>
      </c>
      <c r="E181" s="645"/>
      <c r="F181" s="657">
        <f t="shared" si="27"/>
        <v>3.27</v>
      </c>
      <c r="G181" s="656">
        <f t="shared" si="28"/>
        <v>3.47</v>
      </c>
      <c r="H181" s="656">
        <f t="shared" si="21"/>
        <v>2.78</v>
      </c>
      <c r="I181" s="701"/>
      <c r="J181" s="669">
        <v>42705</v>
      </c>
      <c r="N181" s="270" t="s">
        <v>5490</v>
      </c>
      <c r="O181" t="s">
        <v>5859</v>
      </c>
      <c r="P181" t="s">
        <v>5860</v>
      </c>
      <c r="Q181" t="s">
        <v>5861</v>
      </c>
      <c r="R181" t="s">
        <v>5862</v>
      </c>
      <c r="S181" t="s">
        <v>5863</v>
      </c>
      <c r="T181" t="s">
        <v>5864</v>
      </c>
      <c r="U181" t="s">
        <v>5865</v>
      </c>
    </row>
    <row r="182" spans="1:23" x14ac:dyDescent="0.25">
      <c r="A182" s="644" t="s">
        <v>5875</v>
      </c>
      <c r="B182" s="645" t="s">
        <v>2269</v>
      </c>
      <c r="C182" s="643" t="s">
        <v>5866</v>
      </c>
      <c r="D182" s="643" t="s">
        <v>5859</v>
      </c>
      <c r="E182" s="643" t="s">
        <v>5766</v>
      </c>
      <c r="F182" s="657">
        <f t="shared" ref="F182:F188" si="30">ROUND(HLOOKUP($D182,$O$181:$U$183,3,FALSE),2)</f>
        <v>12.2</v>
      </c>
      <c r="G182" s="656">
        <f t="shared" ref="G182:G188" si="31">ROUND(HLOOKUP($D182,$O$181:$U$183,2,FALSE),2)</f>
        <v>12.4</v>
      </c>
      <c r="H182" s="656">
        <f t="shared" si="21"/>
        <v>9.92</v>
      </c>
      <c r="I182" s="701"/>
      <c r="J182" s="669">
        <v>42705</v>
      </c>
      <c r="M182" s="127">
        <v>2017</v>
      </c>
      <c r="N182" s="395" t="s">
        <v>5857</v>
      </c>
      <c r="O182" s="752">
        <v>12.4</v>
      </c>
      <c r="P182" s="752">
        <v>8.17</v>
      </c>
      <c r="Q182" s="752">
        <v>6.25</v>
      </c>
      <c r="R182" s="752">
        <v>5.48</v>
      </c>
      <c r="S182" s="752">
        <v>5.29</v>
      </c>
      <c r="T182" s="752">
        <v>4.24</v>
      </c>
      <c r="U182" s="752">
        <v>3.47</v>
      </c>
      <c r="V182" s="688"/>
      <c r="W182" t="s">
        <v>49</v>
      </c>
    </row>
    <row r="183" spans="1:23" x14ac:dyDescent="0.25">
      <c r="A183" s="644" t="s">
        <v>5876</v>
      </c>
      <c r="B183" s="645" t="s">
        <v>2269</v>
      </c>
      <c r="C183" s="643" t="s">
        <v>5866</v>
      </c>
      <c r="D183" s="643" t="s">
        <v>5860</v>
      </c>
      <c r="E183" s="643" t="s">
        <v>5766</v>
      </c>
      <c r="F183" s="657">
        <f t="shared" si="30"/>
        <v>7.97</v>
      </c>
      <c r="G183" s="656">
        <f t="shared" si="31"/>
        <v>8.17</v>
      </c>
      <c r="H183" s="656">
        <f t="shared" si="21"/>
        <v>6.54</v>
      </c>
      <c r="I183" s="701"/>
      <c r="J183" s="669">
        <v>42705</v>
      </c>
      <c r="N183" s="395" t="s">
        <v>5858</v>
      </c>
      <c r="O183" s="327">
        <f t="shared" ref="O183:U183" si="32">O182-0.2</f>
        <v>12.200000000000001</v>
      </c>
      <c r="P183" s="327">
        <f t="shared" si="32"/>
        <v>7.97</v>
      </c>
      <c r="Q183" s="327">
        <f t="shared" si="32"/>
        <v>6.05</v>
      </c>
      <c r="R183" s="327">
        <f t="shared" si="32"/>
        <v>5.28</v>
      </c>
      <c r="S183" s="327">
        <f t="shared" si="32"/>
        <v>5.09</v>
      </c>
      <c r="T183" s="327">
        <f t="shared" si="32"/>
        <v>4.04</v>
      </c>
      <c r="U183" s="327">
        <f t="shared" si="32"/>
        <v>3.27</v>
      </c>
      <c r="W183" t="s">
        <v>50</v>
      </c>
    </row>
    <row r="184" spans="1:23" x14ac:dyDescent="0.25">
      <c r="A184" s="644" t="s">
        <v>5877</v>
      </c>
      <c r="B184" s="645" t="s">
        <v>2269</v>
      </c>
      <c r="C184" s="643" t="s">
        <v>5866</v>
      </c>
      <c r="D184" s="643" t="s">
        <v>5861</v>
      </c>
      <c r="E184" s="643" t="s">
        <v>5766</v>
      </c>
      <c r="F184" s="657">
        <f t="shared" si="30"/>
        <v>6.05</v>
      </c>
      <c r="G184" s="656">
        <f t="shared" si="31"/>
        <v>6.25</v>
      </c>
      <c r="H184" s="656">
        <f t="shared" si="21"/>
        <v>5</v>
      </c>
      <c r="I184" s="701"/>
      <c r="J184" s="669">
        <v>42705</v>
      </c>
    </row>
    <row r="185" spans="1:23" x14ac:dyDescent="0.25">
      <c r="A185" s="644" t="s">
        <v>5878</v>
      </c>
      <c r="B185" s="645" t="s">
        <v>2269</v>
      </c>
      <c r="C185" s="643" t="s">
        <v>5866</v>
      </c>
      <c r="D185" s="643" t="s">
        <v>5862</v>
      </c>
      <c r="E185" s="643" t="s">
        <v>5766</v>
      </c>
      <c r="F185" s="657">
        <f t="shared" si="30"/>
        <v>5.28</v>
      </c>
      <c r="G185" s="656">
        <f t="shared" si="31"/>
        <v>5.48</v>
      </c>
      <c r="H185" s="656">
        <f t="shared" si="21"/>
        <v>4.38</v>
      </c>
      <c r="I185" s="701"/>
      <c r="J185" s="669">
        <v>42705</v>
      </c>
    </row>
    <row r="186" spans="1:23" x14ac:dyDescent="0.25">
      <c r="A186" s="644" t="s">
        <v>5879</v>
      </c>
      <c r="B186" s="645" t="s">
        <v>2269</v>
      </c>
      <c r="C186" s="643" t="s">
        <v>5866</v>
      </c>
      <c r="D186" s="643" t="s">
        <v>5863</v>
      </c>
      <c r="E186" s="643" t="s">
        <v>5766</v>
      </c>
      <c r="F186" s="657">
        <f t="shared" si="30"/>
        <v>5.09</v>
      </c>
      <c r="G186" s="656">
        <f t="shared" si="31"/>
        <v>5.29</v>
      </c>
      <c r="H186" s="656">
        <f t="shared" si="21"/>
        <v>4.2300000000000004</v>
      </c>
      <c r="I186" s="701"/>
      <c r="J186" s="669">
        <v>42705</v>
      </c>
    </row>
    <row r="187" spans="1:23" x14ac:dyDescent="0.25">
      <c r="A187" s="644" t="s">
        <v>5880</v>
      </c>
      <c r="B187" s="645" t="s">
        <v>2269</v>
      </c>
      <c r="C187" s="643" t="s">
        <v>5866</v>
      </c>
      <c r="D187" s="643" t="s">
        <v>5864</v>
      </c>
      <c r="E187" s="643" t="s">
        <v>5766</v>
      </c>
      <c r="F187" s="657">
        <f t="shared" si="30"/>
        <v>4.04</v>
      </c>
      <c r="G187" s="656">
        <f t="shared" si="31"/>
        <v>4.24</v>
      </c>
      <c r="H187" s="656">
        <f t="shared" si="21"/>
        <v>3.39</v>
      </c>
      <c r="I187" s="701"/>
      <c r="J187" s="669">
        <v>42705</v>
      </c>
    </row>
    <row r="188" spans="1:23" x14ac:dyDescent="0.25">
      <c r="A188" s="644" t="s">
        <v>5881</v>
      </c>
      <c r="B188" s="645" t="s">
        <v>2269</v>
      </c>
      <c r="C188" s="643" t="s">
        <v>5866</v>
      </c>
      <c r="D188" s="643" t="s">
        <v>5865</v>
      </c>
      <c r="E188" s="643" t="s">
        <v>5766</v>
      </c>
      <c r="F188" s="657">
        <f t="shared" si="30"/>
        <v>3.27</v>
      </c>
      <c r="G188" s="656">
        <f t="shared" si="31"/>
        <v>3.47</v>
      </c>
      <c r="H188" s="656">
        <f t="shared" si="21"/>
        <v>2.78</v>
      </c>
      <c r="I188" s="701"/>
      <c r="J188" s="669">
        <v>42705</v>
      </c>
    </row>
    <row r="189" spans="1:23" x14ac:dyDescent="0.25">
      <c r="A189" s="608"/>
      <c r="B189" s="2"/>
      <c r="C189" s="34"/>
      <c r="D189" s="34"/>
      <c r="E189" s="2"/>
      <c r="F189" s="445"/>
      <c r="G189" s="14"/>
      <c r="H189" s="14" t="str">
        <f t="shared" si="21"/>
        <v/>
      </c>
      <c r="I189" s="695"/>
      <c r="J189" s="669" t="s">
        <v>4180</v>
      </c>
      <c r="N189" s="270" t="s">
        <v>5490</v>
      </c>
      <c r="O189" t="s">
        <v>5407</v>
      </c>
      <c r="P189" t="s">
        <v>2000</v>
      </c>
      <c r="Q189" t="s">
        <v>2001</v>
      </c>
      <c r="R189" t="s">
        <v>2002</v>
      </c>
      <c r="S189" t="s">
        <v>2003</v>
      </c>
      <c r="T189" t="s">
        <v>2004</v>
      </c>
      <c r="U189" t="s">
        <v>1992</v>
      </c>
    </row>
    <row r="190" spans="1:23" x14ac:dyDescent="0.25">
      <c r="A190" s="644" t="s">
        <v>6307</v>
      </c>
      <c r="B190" s="645" t="s">
        <v>2269</v>
      </c>
      <c r="C190" s="643" t="s">
        <v>6189</v>
      </c>
      <c r="D190" s="643" t="s">
        <v>5407</v>
      </c>
      <c r="E190" s="645"/>
      <c r="F190" s="657">
        <f t="shared" ref="F190:F196" si="33">ROUND(HLOOKUP($D190,$O$189:$U$191,3,FALSE),2)</f>
        <v>12.14</v>
      </c>
      <c r="G190" s="656">
        <f t="shared" ref="G190:G196" si="34">ROUND(HLOOKUP($D190,$O$189:$U$191,2,FALSE),2)</f>
        <v>12.34</v>
      </c>
      <c r="H190" s="656">
        <f t="shared" si="21"/>
        <v>9.8699999999999992</v>
      </c>
      <c r="I190" s="701"/>
      <c r="J190" s="669">
        <v>43077</v>
      </c>
      <c r="M190" s="127">
        <v>2018</v>
      </c>
      <c r="N190" s="395">
        <v>5.0000000000000001E-3</v>
      </c>
      <c r="O190" s="327">
        <f t="shared" ref="O190:U190" si="35">IF($N190&lt;&gt;"",O175*(100%-$N190),"")</f>
        <v>12.338000000000001</v>
      </c>
      <c r="P190" s="327">
        <f t="shared" si="35"/>
        <v>8.1291499999999992</v>
      </c>
      <c r="Q190" s="327">
        <f t="shared" si="35"/>
        <v>6.21875</v>
      </c>
      <c r="R190" s="327">
        <f t="shared" si="35"/>
        <v>5.4526000000000003</v>
      </c>
      <c r="S190" s="327">
        <f t="shared" si="35"/>
        <v>5.2635500000000004</v>
      </c>
      <c r="T190" s="327">
        <f t="shared" si="35"/>
        <v>4.2187999999999999</v>
      </c>
      <c r="U190" s="327">
        <f t="shared" si="35"/>
        <v>3.4526500000000002</v>
      </c>
      <c r="W190" t="s">
        <v>49</v>
      </c>
    </row>
    <row r="191" spans="1:23" x14ac:dyDescent="0.25">
      <c r="A191" s="644" t="s">
        <v>6294</v>
      </c>
      <c r="B191" s="645" t="s">
        <v>2269</v>
      </c>
      <c r="C191" s="643" t="s">
        <v>6189</v>
      </c>
      <c r="D191" s="643" t="s">
        <v>2000</v>
      </c>
      <c r="E191" s="645"/>
      <c r="F191" s="657">
        <f t="shared" si="33"/>
        <v>7.93</v>
      </c>
      <c r="G191" s="656">
        <f t="shared" si="34"/>
        <v>8.1300000000000008</v>
      </c>
      <c r="H191" s="656">
        <f t="shared" si="21"/>
        <v>6.5</v>
      </c>
      <c r="I191" s="701"/>
      <c r="J191" s="669">
        <v>43077</v>
      </c>
      <c r="N191" s="395" t="s">
        <v>5858</v>
      </c>
      <c r="O191" s="327">
        <f t="shared" ref="O191:U191" si="36">O190-0.2</f>
        <v>12.138000000000002</v>
      </c>
      <c r="P191" s="327">
        <f t="shared" si="36"/>
        <v>7.929149999999999</v>
      </c>
      <c r="Q191" s="327">
        <f t="shared" si="36"/>
        <v>6.0187499999999998</v>
      </c>
      <c r="R191" s="327">
        <f t="shared" si="36"/>
        <v>5.2526000000000002</v>
      </c>
      <c r="S191" s="327">
        <f t="shared" si="36"/>
        <v>5.0635500000000002</v>
      </c>
      <c r="T191" s="327">
        <f t="shared" si="36"/>
        <v>4.0187999999999997</v>
      </c>
      <c r="U191" s="327">
        <f t="shared" si="36"/>
        <v>3.25265</v>
      </c>
      <c r="W191" t="s">
        <v>50</v>
      </c>
    </row>
    <row r="192" spans="1:23" x14ac:dyDescent="0.25">
      <c r="A192" s="644" t="s">
        <v>6295</v>
      </c>
      <c r="B192" s="645" t="s">
        <v>2269</v>
      </c>
      <c r="C192" s="643" t="s">
        <v>6189</v>
      </c>
      <c r="D192" s="643" t="s">
        <v>2001</v>
      </c>
      <c r="E192" s="645"/>
      <c r="F192" s="657">
        <f t="shared" si="33"/>
        <v>6.02</v>
      </c>
      <c r="G192" s="656">
        <f t="shared" si="34"/>
        <v>6.22</v>
      </c>
      <c r="H192" s="656">
        <f t="shared" si="21"/>
        <v>4.9800000000000004</v>
      </c>
      <c r="I192" s="701"/>
      <c r="J192" s="669">
        <v>43077</v>
      </c>
      <c r="O192" s="327"/>
    </row>
    <row r="193" spans="1:23" x14ac:dyDescent="0.25">
      <c r="A193" s="644" t="s">
        <v>6296</v>
      </c>
      <c r="B193" s="645" t="s">
        <v>2269</v>
      </c>
      <c r="C193" s="643" t="s">
        <v>6189</v>
      </c>
      <c r="D193" s="643" t="s">
        <v>2002</v>
      </c>
      <c r="E193" s="645"/>
      <c r="F193" s="657">
        <f t="shared" si="33"/>
        <v>5.25</v>
      </c>
      <c r="G193" s="656">
        <f t="shared" si="34"/>
        <v>5.45</v>
      </c>
      <c r="H193" s="656">
        <f t="shared" si="21"/>
        <v>4.3600000000000003</v>
      </c>
      <c r="I193" s="701"/>
      <c r="J193" s="669">
        <v>43077</v>
      </c>
      <c r="O193" s="327"/>
    </row>
    <row r="194" spans="1:23" x14ac:dyDescent="0.25">
      <c r="A194" s="644" t="s">
        <v>6297</v>
      </c>
      <c r="B194" s="645" t="s">
        <v>2269</v>
      </c>
      <c r="C194" s="643" t="s">
        <v>6189</v>
      </c>
      <c r="D194" s="643" t="s">
        <v>2003</v>
      </c>
      <c r="E194" s="645"/>
      <c r="F194" s="657">
        <f t="shared" si="33"/>
        <v>5.0599999999999996</v>
      </c>
      <c r="G194" s="656">
        <f t="shared" si="34"/>
        <v>5.26</v>
      </c>
      <c r="H194" s="656">
        <f t="shared" si="21"/>
        <v>4.21</v>
      </c>
      <c r="I194" s="701"/>
      <c r="J194" s="669">
        <v>43077</v>
      </c>
      <c r="O194" s="327"/>
    </row>
    <row r="195" spans="1:23" x14ac:dyDescent="0.25">
      <c r="A195" s="644" t="s">
        <v>6298</v>
      </c>
      <c r="B195" s="645" t="s">
        <v>2269</v>
      </c>
      <c r="C195" s="643" t="s">
        <v>6189</v>
      </c>
      <c r="D195" s="643" t="s">
        <v>2004</v>
      </c>
      <c r="E195" s="645"/>
      <c r="F195" s="657">
        <f t="shared" si="33"/>
        <v>4.0199999999999996</v>
      </c>
      <c r="G195" s="656">
        <f t="shared" si="34"/>
        <v>4.22</v>
      </c>
      <c r="H195" s="656">
        <f t="shared" si="21"/>
        <v>3.38</v>
      </c>
      <c r="I195" s="701"/>
      <c r="J195" s="669">
        <v>43077</v>
      </c>
      <c r="O195" s="327"/>
    </row>
    <row r="196" spans="1:23" x14ac:dyDescent="0.25">
      <c r="A196" s="644" t="s">
        <v>6299</v>
      </c>
      <c r="B196" s="645" t="s">
        <v>2269</v>
      </c>
      <c r="C196" s="643" t="s">
        <v>6189</v>
      </c>
      <c r="D196" s="643" t="s">
        <v>1992</v>
      </c>
      <c r="E196" s="645"/>
      <c r="F196" s="657">
        <f t="shared" si="33"/>
        <v>3.25</v>
      </c>
      <c r="G196" s="656">
        <f t="shared" si="34"/>
        <v>3.45</v>
      </c>
      <c r="H196" s="656">
        <f t="shared" si="21"/>
        <v>2.76</v>
      </c>
      <c r="I196" s="701"/>
      <c r="J196" s="669">
        <v>43077</v>
      </c>
      <c r="N196" s="270" t="s">
        <v>5490</v>
      </c>
      <c r="O196" t="s">
        <v>6191</v>
      </c>
      <c r="P196" t="s">
        <v>6192</v>
      </c>
      <c r="Q196" t="s">
        <v>6193</v>
      </c>
      <c r="R196" t="s">
        <v>6194</v>
      </c>
      <c r="S196" t="s">
        <v>6195</v>
      </c>
      <c r="T196" t="s">
        <v>6196</v>
      </c>
      <c r="U196" t="s">
        <v>6197</v>
      </c>
    </row>
    <row r="197" spans="1:23" x14ac:dyDescent="0.25">
      <c r="A197" s="644" t="s">
        <v>6300</v>
      </c>
      <c r="B197" s="645" t="s">
        <v>2269</v>
      </c>
      <c r="C197" s="643" t="s">
        <v>6190</v>
      </c>
      <c r="D197" s="643" t="s">
        <v>6191</v>
      </c>
      <c r="E197" s="643" t="s">
        <v>5766</v>
      </c>
      <c r="F197" s="657">
        <f t="shared" ref="F197:F203" si="37">ROUND(HLOOKUP($D197,$O$196:$U$198,3,FALSE),2)</f>
        <v>12.14</v>
      </c>
      <c r="G197" s="656">
        <f t="shared" ref="G197:G203" si="38">ROUND(HLOOKUP($D197,$O$196:$U$198,2,FALSE),2)</f>
        <v>12.34</v>
      </c>
      <c r="H197" s="656">
        <f t="shared" si="21"/>
        <v>9.8699999999999992</v>
      </c>
      <c r="I197" s="701"/>
      <c r="J197" s="669">
        <v>43077</v>
      </c>
      <c r="M197" s="127">
        <v>2018</v>
      </c>
      <c r="N197" s="395">
        <f>N190</f>
        <v>5.0000000000000001E-3</v>
      </c>
      <c r="O197" s="752">
        <f t="shared" ref="O197:U197" si="39">IF($N197&lt;&gt;"",O182*(100%-$N197),"")</f>
        <v>12.338000000000001</v>
      </c>
      <c r="P197" s="752">
        <f t="shared" si="39"/>
        <v>8.1291499999999992</v>
      </c>
      <c r="Q197" s="752">
        <f t="shared" si="39"/>
        <v>6.21875</v>
      </c>
      <c r="R197" s="752">
        <f t="shared" si="39"/>
        <v>5.4526000000000003</v>
      </c>
      <c r="S197" s="752">
        <f t="shared" si="39"/>
        <v>5.2635500000000004</v>
      </c>
      <c r="T197" s="752">
        <f t="shared" si="39"/>
        <v>4.2187999999999999</v>
      </c>
      <c r="U197" s="752">
        <f t="shared" si="39"/>
        <v>3.4526500000000002</v>
      </c>
      <c r="W197" t="s">
        <v>49</v>
      </c>
    </row>
    <row r="198" spans="1:23" x14ac:dyDescent="0.25">
      <c r="A198" s="644" t="s">
        <v>6301</v>
      </c>
      <c r="B198" s="645" t="s">
        <v>2269</v>
      </c>
      <c r="C198" s="643" t="s">
        <v>6190</v>
      </c>
      <c r="D198" s="643" t="s">
        <v>6192</v>
      </c>
      <c r="E198" s="643" t="s">
        <v>5766</v>
      </c>
      <c r="F198" s="657">
        <f t="shared" si="37"/>
        <v>7.93</v>
      </c>
      <c r="G198" s="656">
        <f t="shared" si="38"/>
        <v>8.1300000000000008</v>
      </c>
      <c r="H198" s="656">
        <f t="shared" si="21"/>
        <v>6.5</v>
      </c>
      <c r="I198" s="701"/>
      <c r="J198" s="669">
        <v>43077</v>
      </c>
      <c r="N198" s="395" t="s">
        <v>5858</v>
      </c>
      <c r="O198" s="327">
        <f t="shared" ref="O198:U198" si="40">O197-0.2</f>
        <v>12.138000000000002</v>
      </c>
      <c r="P198" s="327">
        <f t="shared" si="40"/>
        <v>7.929149999999999</v>
      </c>
      <c r="Q198" s="327">
        <f t="shared" si="40"/>
        <v>6.0187499999999998</v>
      </c>
      <c r="R198" s="327">
        <f t="shared" si="40"/>
        <v>5.2526000000000002</v>
      </c>
      <c r="S198" s="327">
        <f t="shared" si="40"/>
        <v>5.0635500000000002</v>
      </c>
      <c r="T198" s="327">
        <f t="shared" si="40"/>
        <v>4.0187999999999997</v>
      </c>
      <c r="U198" s="327">
        <f t="shared" si="40"/>
        <v>3.25265</v>
      </c>
      <c r="W198" t="s">
        <v>50</v>
      </c>
    </row>
    <row r="199" spans="1:23" x14ac:dyDescent="0.25">
      <c r="A199" s="644" t="s">
        <v>6302</v>
      </c>
      <c r="B199" s="645" t="s">
        <v>2269</v>
      </c>
      <c r="C199" s="643" t="s">
        <v>6190</v>
      </c>
      <c r="D199" s="643" t="s">
        <v>6193</v>
      </c>
      <c r="E199" s="643" t="s">
        <v>5766</v>
      </c>
      <c r="F199" s="657">
        <f t="shared" si="37"/>
        <v>6.02</v>
      </c>
      <c r="G199" s="656">
        <f t="shared" si="38"/>
        <v>6.22</v>
      </c>
      <c r="H199" s="656">
        <f t="shared" si="21"/>
        <v>4.9800000000000004</v>
      </c>
      <c r="I199" s="701"/>
      <c r="J199" s="669">
        <v>43077</v>
      </c>
    </row>
    <row r="200" spans="1:23" x14ac:dyDescent="0.25">
      <c r="A200" s="644" t="s">
        <v>6303</v>
      </c>
      <c r="B200" s="645" t="s">
        <v>2269</v>
      </c>
      <c r="C200" s="643" t="s">
        <v>6190</v>
      </c>
      <c r="D200" s="643" t="s">
        <v>6194</v>
      </c>
      <c r="E200" s="643" t="s">
        <v>5766</v>
      </c>
      <c r="F200" s="657">
        <f t="shared" si="37"/>
        <v>5.25</v>
      </c>
      <c r="G200" s="656">
        <f t="shared" si="38"/>
        <v>5.45</v>
      </c>
      <c r="H200" s="656">
        <f t="shared" si="21"/>
        <v>4.3600000000000003</v>
      </c>
      <c r="I200" s="701"/>
      <c r="J200" s="669">
        <v>43077</v>
      </c>
    </row>
    <row r="201" spans="1:23" x14ac:dyDescent="0.25">
      <c r="A201" s="644" t="s">
        <v>6304</v>
      </c>
      <c r="B201" s="645" t="s">
        <v>2269</v>
      </c>
      <c r="C201" s="643" t="s">
        <v>6190</v>
      </c>
      <c r="D201" s="643" t="s">
        <v>6195</v>
      </c>
      <c r="E201" s="643" t="s">
        <v>5766</v>
      </c>
      <c r="F201" s="657">
        <f t="shared" si="37"/>
        <v>5.0599999999999996</v>
      </c>
      <c r="G201" s="656">
        <f t="shared" si="38"/>
        <v>5.26</v>
      </c>
      <c r="H201" s="656">
        <f t="shared" si="21"/>
        <v>4.21</v>
      </c>
      <c r="I201" s="701"/>
      <c r="J201" s="669">
        <v>43077</v>
      </c>
    </row>
    <row r="202" spans="1:23" x14ac:dyDescent="0.25">
      <c r="A202" s="644" t="s">
        <v>6305</v>
      </c>
      <c r="B202" s="645" t="s">
        <v>2269</v>
      </c>
      <c r="C202" s="643" t="s">
        <v>6190</v>
      </c>
      <c r="D202" s="643" t="s">
        <v>6196</v>
      </c>
      <c r="E202" s="643" t="s">
        <v>5766</v>
      </c>
      <c r="F202" s="657">
        <f t="shared" si="37"/>
        <v>4.0199999999999996</v>
      </c>
      <c r="G202" s="656">
        <f t="shared" si="38"/>
        <v>4.22</v>
      </c>
      <c r="H202" s="656">
        <f t="shared" si="21"/>
        <v>3.38</v>
      </c>
      <c r="I202" s="701"/>
      <c r="J202" s="669">
        <v>43077</v>
      </c>
    </row>
    <row r="203" spans="1:23" x14ac:dyDescent="0.25">
      <c r="A203" s="644" t="s">
        <v>6306</v>
      </c>
      <c r="B203" s="645" t="s">
        <v>2269</v>
      </c>
      <c r="C203" s="643" t="s">
        <v>6190</v>
      </c>
      <c r="D203" s="643" t="s">
        <v>6197</v>
      </c>
      <c r="E203" s="643" t="s">
        <v>5766</v>
      </c>
      <c r="F203" s="657">
        <f t="shared" si="37"/>
        <v>3.25</v>
      </c>
      <c r="G203" s="656">
        <f t="shared" si="38"/>
        <v>3.45</v>
      </c>
      <c r="H203" s="656">
        <f t="shared" si="21"/>
        <v>2.76</v>
      </c>
      <c r="I203" s="701"/>
      <c r="J203" s="669">
        <v>43077</v>
      </c>
    </row>
    <row r="204" spans="1:23" s="774" customFormat="1" x14ac:dyDescent="0.25">
      <c r="A204" s="608"/>
      <c r="B204" s="2"/>
      <c r="C204" s="34"/>
      <c r="D204" s="34"/>
      <c r="E204" s="2"/>
      <c r="F204" s="445"/>
      <c r="G204" s="14"/>
      <c r="H204" s="14" t="str">
        <f t="shared" si="21"/>
        <v/>
      </c>
      <c r="I204" s="695"/>
      <c r="J204" s="669" t="s">
        <v>4180</v>
      </c>
      <c r="N204" s="270" t="s">
        <v>5490</v>
      </c>
      <c r="O204" s="774" t="s">
        <v>5407</v>
      </c>
      <c r="P204" s="774" t="s">
        <v>2000</v>
      </c>
      <c r="Q204" s="774" t="s">
        <v>2001</v>
      </c>
      <c r="R204" s="774" t="s">
        <v>2002</v>
      </c>
      <c r="S204" s="774" t="s">
        <v>2003</v>
      </c>
      <c r="T204" s="774" t="s">
        <v>2004</v>
      </c>
      <c r="U204" s="774" t="s">
        <v>1992</v>
      </c>
    </row>
    <row r="205" spans="1:23" s="774" customFormat="1" x14ac:dyDescent="0.25">
      <c r="A205" s="644" t="s">
        <v>6362</v>
      </c>
      <c r="B205" s="645" t="s">
        <v>2269</v>
      </c>
      <c r="C205" s="643" t="s">
        <v>6409</v>
      </c>
      <c r="D205" s="643" t="s">
        <v>5407</v>
      </c>
      <c r="E205" s="645"/>
      <c r="F205" s="657">
        <f t="shared" ref="F205:F211" si="41">ROUND(HLOOKUP($D205,$O$204:$U$206,3,FALSE),2)</f>
        <v>12.08</v>
      </c>
      <c r="G205" s="656">
        <f t="shared" ref="G205:G211" si="42">ROUND(HLOOKUP($D205,$O$204:$U$206,2,FALSE),2)</f>
        <v>12.28</v>
      </c>
      <c r="H205" s="656">
        <f t="shared" si="21"/>
        <v>9.82</v>
      </c>
      <c r="I205" s="701"/>
      <c r="J205" s="669">
        <v>43419</v>
      </c>
      <c r="M205" s="127">
        <v>2019</v>
      </c>
      <c r="N205" s="395">
        <v>5.0000000000000001E-3</v>
      </c>
      <c r="O205" s="327">
        <f t="shared" ref="O205:U205" si="43">IF($N205&lt;&gt;"",O190*(100%-$N205),"")</f>
        <v>12.27631</v>
      </c>
      <c r="P205" s="327">
        <f t="shared" si="43"/>
        <v>8.0885042499999997</v>
      </c>
      <c r="Q205" s="327">
        <f t="shared" si="43"/>
        <v>6.1876562499999999</v>
      </c>
      <c r="R205" s="327">
        <f t="shared" si="43"/>
        <v>5.4253370000000007</v>
      </c>
      <c r="S205" s="327">
        <f t="shared" si="43"/>
        <v>5.2372322500000008</v>
      </c>
      <c r="T205" s="327">
        <f t="shared" si="43"/>
        <v>4.1977060000000002</v>
      </c>
      <c r="U205" s="327">
        <f t="shared" si="43"/>
        <v>3.4353867500000002</v>
      </c>
      <c r="W205" s="774" t="s">
        <v>49</v>
      </c>
    </row>
    <row r="206" spans="1:23" s="774" customFormat="1" x14ac:dyDescent="0.25">
      <c r="A206" s="644" t="s">
        <v>6363</v>
      </c>
      <c r="B206" s="645" t="s">
        <v>2269</v>
      </c>
      <c r="C206" s="643" t="s">
        <v>6409</v>
      </c>
      <c r="D206" s="643" t="s">
        <v>2000</v>
      </c>
      <c r="E206" s="645"/>
      <c r="F206" s="657">
        <f t="shared" si="41"/>
        <v>7.89</v>
      </c>
      <c r="G206" s="656">
        <f t="shared" si="42"/>
        <v>8.09</v>
      </c>
      <c r="H206" s="656">
        <f t="shared" si="21"/>
        <v>6.47</v>
      </c>
      <c r="I206" s="701"/>
      <c r="J206" s="669">
        <v>43419</v>
      </c>
      <c r="N206" s="395" t="s">
        <v>5858</v>
      </c>
      <c r="O206" s="327">
        <f t="shared" ref="O206:U206" si="44">O205-0.2</f>
        <v>12.076310000000001</v>
      </c>
      <c r="P206" s="327">
        <f t="shared" si="44"/>
        <v>7.8885042499999996</v>
      </c>
      <c r="Q206" s="327">
        <f t="shared" si="44"/>
        <v>5.9876562499999997</v>
      </c>
      <c r="R206" s="327">
        <f t="shared" si="44"/>
        <v>5.2253370000000006</v>
      </c>
      <c r="S206" s="327">
        <f t="shared" si="44"/>
        <v>5.0372322500000006</v>
      </c>
      <c r="T206" s="327">
        <f t="shared" si="44"/>
        <v>3.997706</v>
      </c>
      <c r="U206" s="327">
        <f t="shared" si="44"/>
        <v>3.23538675</v>
      </c>
      <c r="W206" s="774" t="s">
        <v>50</v>
      </c>
    </row>
    <row r="207" spans="1:23" s="774" customFormat="1" x14ac:dyDescent="0.25">
      <c r="A207" s="644" t="s">
        <v>6364</v>
      </c>
      <c r="B207" s="645" t="s">
        <v>2269</v>
      </c>
      <c r="C207" s="643" t="s">
        <v>6409</v>
      </c>
      <c r="D207" s="643" t="s">
        <v>2001</v>
      </c>
      <c r="E207" s="645"/>
      <c r="F207" s="657">
        <f t="shared" si="41"/>
        <v>5.99</v>
      </c>
      <c r="G207" s="656">
        <f t="shared" si="42"/>
        <v>6.19</v>
      </c>
      <c r="H207" s="656">
        <f t="shared" si="21"/>
        <v>4.95</v>
      </c>
      <c r="I207" s="701"/>
      <c r="J207" s="669">
        <v>43419</v>
      </c>
      <c r="O207" s="327"/>
    </row>
    <row r="208" spans="1:23" s="774" customFormat="1" x14ac:dyDescent="0.25">
      <c r="A208" s="644" t="s">
        <v>6365</v>
      </c>
      <c r="B208" s="645" t="s">
        <v>2269</v>
      </c>
      <c r="C208" s="643" t="s">
        <v>6409</v>
      </c>
      <c r="D208" s="643" t="s">
        <v>2002</v>
      </c>
      <c r="E208" s="645"/>
      <c r="F208" s="657">
        <f t="shared" si="41"/>
        <v>5.23</v>
      </c>
      <c r="G208" s="656">
        <f t="shared" si="42"/>
        <v>5.43</v>
      </c>
      <c r="H208" s="656">
        <f t="shared" si="21"/>
        <v>4.34</v>
      </c>
      <c r="I208" s="701"/>
      <c r="J208" s="669">
        <v>43419</v>
      </c>
      <c r="O208" s="327"/>
    </row>
    <row r="209" spans="1:23" s="774" customFormat="1" x14ac:dyDescent="0.25">
      <c r="A209" s="644" t="s">
        <v>6366</v>
      </c>
      <c r="B209" s="645" t="s">
        <v>2269</v>
      </c>
      <c r="C209" s="643" t="s">
        <v>6409</v>
      </c>
      <c r="D209" s="643" t="s">
        <v>2003</v>
      </c>
      <c r="E209" s="645"/>
      <c r="F209" s="657">
        <f t="shared" si="41"/>
        <v>5.04</v>
      </c>
      <c r="G209" s="656">
        <f t="shared" si="42"/>
        <v>5.24</v>
      </c>
      <c r="H209" s="656">
        <f t="shared" si="21"/>
        <v>4.1900000000000004</v>
      </c>
      <c r="I209" s="701"/>
      <c r="J209" s="669">
        <v>43419</v>
      </c>
      <c r="O209" s="327"/>
    </row>
    <row r="210" spans="1:23" s="774" customFormat="1" x14ac:dyDescent="0.25">
      <c r="A210" s="644" t="s">
        <v>6367</v>
      </c>
      <c r="B210" s="645" t="s">
        <v>2269</v>
      </c>
      <c r="C210" s="643" t="s">
        <v>6409</v>
      </c>
      <c r="D210" s="643" t="s">
        <v>2004</v>
      </c>
      <c r="E210" s="645"/>
      <c r="F210" s="657">
        <f t="shared" si="41"/>
        <v>4</v>
      </c>
      <c r="G210" s="656">
        <f t="shared" si="42"/>
        <v>4.2</v>
      </c>
      <c r="H210" s="656">
        <f t="shared" si="21"/>
        <v>3.36</v>
      </c>
      <c r="I210" s="701"/>
      <c r="J210" s="669">
        <v>43419</v>
      </c>
      <c r="O210" s="327"/>
    </row>
    <row r="211" spans="1:23" s="774" customFormat="1" x14ac:dyDescent="0.25">
      <c r="A211" s="644" t="s">
        <v>6368</v>
      </c>
      <c r="B211" s="645" t="s">
        <v>2269</v>
      </c>
      <c r="C211" s="643" t="s">
        <v>6409</v>
      </c>
      <c r="D211" s="643" t="s">
        <v>1992</v>
      </c>
      <c r="E211" s="645"/>
      <c r="F211" s="657">
        <f t="shared" si="41"/>
        <v>3.24</v>
      </c>
      <c r="G211" s="656">
        <f t="shared" si="42"/>
        <v>3.44</v>
      </c>
      <c r="H211" s="656">
        <f t="shared" si="21"/>
        <v>2.75</v>
      </c>
      <c r="I211" s="701"/>
      <c r="J211" s="669">
        <v>43419</v>
      </c>
      <c r="N211" s="270" t="s">
        <v>5490</v>
      </c>
      <c r="O211" s="774" t="s">
        <v>6461</v>
      </c>
      <c r="P211" s="774" t="s">
        <v>6462</v>
      </c>
      <c r="Q211" s="774" t="s">
        <v>6463</v>
      </c>
      <c r="R211" s="774" t="s">
        <v>6464</v>
      </c>
      <c r="S211" s="774" t="s">
        <v>6465</v>
      </c>
      <c r="T211" s="774" t="s">
        <v>6460</v>
      </c>
      <c r="U211" s="774" t="s">
        <v>6466</v>
      </c>
    </row>
    <row r="212" spans="1:23" s="774" customFormat="1" x14ac:dyDescent="0.25">
      <c r="A212" s="644" t="s">
        <v>6369</v>
      </c>
      <c r="B212" s="645" t="s">
        <v>2269</v>
      </c>
      <c r="C212" s="643" t="s">
        <v>6467</v>
      </c>
      <c r="D212" s="643" t="s">
        <v>6461</v>
      </c>
      <c r="E212" s="643" t="s">
        <v>5766</v>
      </c>
      <c r="F212" s="657">
        <f t="shared" ref="F212:F218" si="45">ROUND(HLOOKUP($D212,$O$211:$U$213,3,FALSE),2)</f>
        <v>12.08</v>
      </c>
      <c r="G212" s="656">
        <f t="shared" ref="G212:G218" si="46">ROUND(HLOOKUP($D212,$O$211:$U$213,2,FALSE),2)</f>
        <v>12.28</v>
      </c>
      <c r="H212" s="656">
        <f t="shared" si="21"/>
        <v>9.82</v>
      </c>
      <c r="I212" s="701"/>
      <c r="J212" s="669">
        <v>43419</v>
      </c>
      <c r="M212" s="127">
        <v>2019</v>
      </c>
      <c r="N212" s="395">
        <f>N205</f>
        <v>5.0000000000000001E-3</v>
      </c>
      <c r="O212" s="752">
        <f t="shared" ref="O212:U212" si="47">IF($N212&lt;&gt;"",O197*(100%-$N212),"")</f>
        <v>12.27631</v>
      </c>
      <c r="P212" s="752">
        <f t="shared" si="47"/>
        <v>8.0885042499999997</v>
      </c>
      <c r="Q212" s="752">
        <f t="shared" si="47"/>
        <v>6.1876562499999999</v>
      </c>
      <c r="R212" s="752">
        <f t="shared" si="47"/>
        <v>5.4253370000000007</v>
      </c>
      <c r="S212" s="752">
        <f t="shared" si="47"/>
        <v>5.2372322500000008</v>
      </c>
      <c r="T212" s="752">
        <f t="shared" si="47"/>
        <v>4.1977060000000002</v>
      </c>
      <c r="U212" s="752">
        <f t="shared" si="47"/>
        <v>3.4353867500000002</v>
      </c>
      <c r="W212" s="774" t="s">
        <v>49</v>
      </c>
    </row>
    <row r="213" spans="1:23" s="774" customFormat="1" x14ac:dyDescent="0.25">
      <c r="A213" s="644" t="s">
        <v>6370</v>
      </c>
      <c r="B213" s="645" t="s">
        <v>2269</v>
      </c>
      <c r="C213" s="643" t="s">
        <v>6467</v>
      </c>
      <c r="D213" s="643" t="s">
        <v>6462</v>
      </c>
      <c r="E213" s="643" t="s">
        <v>5766</v>
      </c>
      <c r="F213" s="657">
        <f t="shared" si="45"/>
        <v>7.89</v>
      </c>
      <c r="G213" s="656">
        <f t="shared" si="46"/>
        <v>8.09</v>
      </c>
      <c r="H213" s="656">
        <f t="shared" si="21"/>
        <v>6.47</v>
      </c>
      <c r="I213" s="701"/>
      <c r="J213" s="669">
        <v>43419</v>
      </c>
      <c r="N213" s="395" t="s">
        <v>5858</v>
      </c>
      <c r="O213" s="327">
        <f t="shared" ref="O213:U213" si="48">O212-0.2</f>
        <v>12.076310000000001</v>
      </c>
      <c r="P213" s="327">
        <f t="shared" si="48"/>
        <v>7.8885042499999996</v>
      </c>
      <c r="Q213" s="327">
        <f t="shared" si="48"/>
        <v>5.9876562499999997</v>
      </c>
      <c r="R213" s="327">
        <f t="shared" si="48"/>
        <v>5.2253370000000006</v>
      </c>
      <c r="S213" s="327">
        <f t="shared" si="48"/>
        <v>5.0372322500000006</v>
      </c>
      <c r="T213" s="327">
        <f t="shared" si="48"/>
        <v>3.997706</v>
      </c>
      <c r="U213" s="327">
        <f t="shared" si="48"/>
        <v>3.23538675</v>
      </c>
      <c r="W213" s="774" t="s">
        <v>50</v>
      </c>
    </row>
    <row r="214" spans="1:23" s="774" customFormat="1" x14ac:dyDescent="0.25">
      <c r="A214" s="644" t="s">
        <v>6371</v>
      </c>
      <c r="B214" s="645" t="s">
        <v>2269</v>
      </c>
      <c r="C214" s="643" t="s">
        <v>6467</v>
      </c>
      <c r="D214" s="643" t="s">
        <v>6463</v>
      </c>
      <c r="E214" s="643" t="s">
        <v>5766</v>
      </c>
      <c r="F214" s="657">
        <f t="shared" si="45"/>
        <v>5.99</v>
      </c>
      <c r="G214" s="656">
        <f t="shared" si="46"/>
        <v>6.19</v>
      </c>
      <c r="H214" s="656">
        <f t="shared" si="21"/>
        <v>4.95</v>
      </c>
      <c r="I214" s="701"/>
      <c r="J214" s="669">
        <v>43419</v>
      </c>
    </row>
    <row r="215" spans="1:23" s="774" customFormat="1" x14ac:dyDescent="0.25">
      <c r="A215" s="644" t="s">
        <v>6372</v>
      </c>
      <c r="B215" s="645" t="s">
        <v>2269</v>
      </c>
      <c r="C215" s="643" t="s">
        <v>6467</v>
      </c>
      <c r="D215" s="643" t="s">
        <v>6464</v>
      </c>
      <c r="E215" s="643" t="s">
        <v>5766</v>
      </c>
      <c r="F215" s="657">
        <f t="shared" si="45"/>
        <v>5.23</v>
      </c>
      <c r="G215" s="656">
        <f t="shared" si="46"/>
        <v>5.43</v>
      </c>
      <c r="H215" s="656">
        <f t="shared" si="21"/>
        <v>4.34</v>
      </c>
      <c r="I215" s="701"/>
      <c r="J215" s="669">
        <v>43419</v>
      </c>
    </row>
    <row r="216" spans="1:23" s="774" customFormat="1" x14ac:dyDescent="0.25">
      <c r="A216" s="644" t="s">
        <v>6373</v>
      </c>
      <c r="B216" s="645" t="s">
        <v>2269</v>
      </c>
      <c r="C216" s="643" t="s">
        <v>6467</v>
      </c>
      <c r="D216" s="643" t="s">
        <v>6465</v>
      </c>
      <c r="E216" s="643" t="s">
        <v>5766</v>
      </c>
      <c r="F216" s="657">
        <f t="shared" si="45"/>
        <v>5.04</v>
      </c>
      <c r="G216" s="656">
        <f t="shared" si="46"/>
        <v>5.24</v>
      </c>
      <c r="H216" s="656">
        <f t="shared" si="21"/>
        <v>4.1900000000000004</v>
      </c>
      <c r="I216" s="701"/>
      <c r="J216" s="669">
        <v>43419</v>
      </c>
    </row>
    <row r="217" spans="1:23" s="774" customFormat="1" x14ac:dyDescent="0.25">
      <c r="A217" s="644" t="s">
        <v>6374</v>
      </c>
      <c r="B217" s="645" t="s">
        <v>2269</v>
      </c>
      <c r="C217" s="643" t="s">
        <v>6467</v>
      </c>
      <c r="D217" s="643" t="s">
        <v>6460</v>
      </c>
      <c r="E217" s="643" t="s">
        <v>5766</v>
      </c>
      <c r="F217" s="657">
        <f t="shared" si="45"/>
        <v>4</v>
      </c>
      <c r="G217" s="656">
        <f t="shared" si="46"/>
        <v>4.2</v>
      </c>
      <c r="H217" s="656">
        <f t="shared" si="21"/>
        <v>3.36</v>
      </c>
      <c r="I217" s="701"/>
      <c r="J217" s="669">
        <v>43419</v>
      </c>
    </row>
    <row r="218" spans="1:23" s="774" customFormat="1" x14ac:dyDescent="0.25">
      <c r="A218" s="644" t="s">
        <v>6375</v>
      </c>
      <c r="B218" s="645" t="s">
        <v>2269</v>
      </c>
      <c r="C218" s="643" t="s">
        <v>6467</v>
      </c>
      <c r="D218" s="643" t="s">
        <v>6466</v>
      </c>
      <c r="E218" s="643" t="s">
        <v>5766</v>
      </c>
      <c r="F218" s="657">
        <f t="shared" si="45"/>
        <v>3.24</v>
      </c>
      <c r="G218" s="656">
        <f t="shared" si="46"/>
        <v>3.44</v>
      </c>
      <c r="H218" s="656">
        <f t="shared" si="21"/>
        <v>2.75</v>
      </c>
      <c r="I218" s="701"/>
      <c r="J218" s="669">
        <v>43419</v>
      </c>
    </row>
    <row r="219" spans="1:23" s="774" customFormat="1" x14ac:dyDescent="0.25">
      <c r="A219" s="608"/>
      <c r="B219" s="2"/>
      <c r="C219" s="34"/>
      <c r="D219" s="34"/>
      <c r="E219" s="2"/>
      <c r="F219" s="445"/>
      <c r="G219" s="14"/>
      <c r="H219" s="14" t="str">
        <f t="shared" si="21"/>
        <v/>
      </c>
      <c r="I219" s="695"/>
      <c r="J219" s="669" t="s">
        <v>4180</v>
      </c>
      <c r="N219" s="270" t="s">
        <v>5490</v>
      </c>
      <c r="O219" s="774" t="s">
        <v>5407</v>
      </c>
      <c r="P219" s="774" t="s">
        <v>2000</v>
      </c>
      <c r="Q219" s="774" t="s">
        <v>2001</v>
      </c>
      <c r="R219" s="774" t="s">
        <v>2002</v>
      </c>
      <c r="S219" s="774" t="s">
        <v>2003</v>
      </c>
      <c r="T219" s="774" t="s">
        <v>2004</v>
      </c>
      <c r="U219" s="774" t="s">
        <v>1992</v>
      </c>
    </row>
    <row r="220" spans="1:23" s="774" customFormat="1" x14ac:dyDescent="0.25">
      <c r="A220" s="644" t="s">
        <v>6496</v>
      </c>
      <c r="B220" s="645" t="s">
        <v>2269</v>
      </c>
      <c r="C220" s="643" t="s">
        <v>6510</v>
      </c>
      <c r="D220" s="643" t="s">
        <v>5407</v>
      </c>
      <c r="E220" s="645"/>
      <c r="F220" s="657">
        <f t="shared" ref="F220:F226" si="49">ROUND(HLOOKUP($D220,$O$219:$U$221,3,FALSE),2)</f>
        <v>12.01</v>
      </c>
      <c r="G220" s="656">
        <f t="shared" ref="G220:G226" si="50">ROUND(HLOOKUP($D220,$O$219:$U$221,2,FALSE),2)</f>
        <v>12.21</v>
      </c>
      <c r="H220" s="656">
        <f t="shared" si="21"/>
        <v>9.77</v>
      </c>
      <c r="I220" s="701"/>
      <c r="J220" s="669">
        <v>43796</v>
      </c>
      <c r="M220" s="127">
        <v>2020</v>
      </c>
      <c r="N220" s="395">
        <v>5.0000000000000001E-3</v>
      </c>
      <c r="O220" s="327">
        <f t="shared" ref="O220:U220" si="51">IF($N220&lt;&gt;"",O205*(100%-$N220),"")</f>
        <v>12.21492845</v>
      </c>
      <c r="P220" s="327">
        <f t="shared" si="51"/>
        <v>8.0480617287499996</v>
      </c>
      <c r="Q220" s="327">
        <f t="shared" si="51"/>
        <v>6.1567179687499998</v>
      </c>
      <c r="R220" s="327">
        <f t="shared" si="51"/>
        <v>5.3982103150000009</v>
      </c>
      <c r="S220" s="327">
        <f t="shared" si="51"/>
        <v>5.2110460887500007</v>
      </c>
      <c r="T220" s="327">
        <f t="shared" si="51"/>
        <v>4.1767174699999998</v>
      </c>
      <c r="U220" s="327">
        <f t="shared" si="51"/>
        <v>3.4182098162500001</v>
      </c>
      <c r="W220" s="774" t="s">
        <v>49</v>
      </c>
    </row>
    <row r="221" spans="1:23" s="774" customFormat="1" x14ac:dyDescent="0.25">
      <c r="A221" s="644" t="s">
        <v>6497</v>
      </c>
      <c r="B221" s="645" t="s">
        <v>2269</v>
      </c>
      <c r="C221" s="643" t="s">
        <v>6510</v>
      </c>
      <c r="D221" s="643" t="s">
        <v>2000</v>
      </c>
      <c r="E221" s="645"/>
      <c r="F221" s="657">
        <f t="shared" si="49"/>
        <v>7.85</v>
      </c>
      <c r="G221" s="656">
        <f t="shared" si="50"/>
        <v>8.0500000000000007</v>
      </c>
      <c r="H221" s="656">
        <f t="shared" si="21"/>
        <v>6.44</v>
      </c>
      <c r="I221" s="701"/>
      <c r="J221" s="669">
        <v>43796</v>
      </c>
      <c r="N221" s="395" t="s">
        <v>5858</v>
      </c>
      <c r="O221" s="327">
        <f t="shared" ref="O221:U221" si="52">O220-0.2</f>
        <v>12.014928450000001</v>
      </c>
      <c r="P221" s="327">
        <f t="shared" si="52"/>
        <v>7.8480617287499994</v>
      </c>
      <c r="Q221" s="327">
        <f t="shared" si="52"/>
        <v>5.9567179687499996</v>
      </c>
      <c r="R221" s="327">
        <f t="shared" si="52"/>
        <v>5.1982103150000007</v>
      </c>
      <c r="S221" s="327">
        <f t="shared" si="52"/>
        <v>5.0110460887500006</v>
      </c>
      <c r="T221" s="327">
        <f t="shared" si="52"/>
        <v>3.9767174699999996</v>
      </c>
      <c r="U221" s="327">
        <f t="shared" si="52"/>
        <v>3.2182098162499999</v>
      </c>
      <c r="W221" s="774" t="s">
        <v>50</v>
      </c>
    </row>
    <row r="222" spans="1:23" s="774" customFormat="1" x14ac:dyDescent="0.25">
      <c r="A222" s="644" t="s">
        <v>6498</v>
      </c>
      <c r="B222" s="645" t="s">
        <v>2269</v>
      </c>
      <c r="C222" s="643" t="s">
        <v>6510</v>
      </c>
      <c r="D222" s="643" t="s">
        <v>2001</v>
      </c>
      <c r="E222" s="645"/>
      <c r="F222" s="657">
        <f t="shared" si="49"/>
        <v>5.96</v>
      </c>
      <c r="G222" s="656">
        <f t="shared" si="50"/>
        <v>6.16</v>
      </c>
      <c r="H222" s="656">
        <f t="shared" si="21"/>
        <v>4.93</v>
      </c>
      <c r="I222" s="701"/>
      <c r="J222" s="669">
        <v>43796</v>
      </c>
      <c r="O222" s="327"/>
    </row>
    <row r="223" spans="1:23" s="774" customFormat="1" x14ac:dyDescent="0.25">
      <c r="A223" s="644" t="s">
        <v>6499</v>
      </c>
      <c r="B223" s="645" t="s">
        <v>2269</v>
      </c>
      <c r="C223" s="643" t="s">
        <v>6510</v>
      </c>
      <c r="D223" s="643" t="s">
        <v>2002</v>
      </c>
      <c r="E223" s="645"/>
      <c r="F223" s="657">
        <f t="shared" si="49"/>
        <v>5.2</v>
      </c>
      <c r="G223" s="656">
        <f t="shared" si="50"/>
        <v>5.4</v>
      </c>
      <c r="H223" s="656">
        <f t="shared" si="21"/>
        <v>4.32</v>
      </c>
      <c r="I223" s="701"/>
      <c r="J223" s="669">
        <v>43796</v>
      </c>
      <c r="O223" s="327"/>
    </row>
    <row r="224" spans="1:23" s="774" customFormat="1" x14ac:dyDescent="0.25">
      <c r="A224" s="644" t="s">
        <v>6500</v>
      </c>
      <c r="B224" s="645" t="s">
        <v>2269</v>
      </c>
      <c r="C224" s="643" t="s">
        <v>6510</v>
      </c>
      <c r="D224" s="643" t="s">
        <v>2003</v>
      </c>
      <c r="E224" s="645"/>
      <c r="F224" s="657">
        <f t="shared" si="49"/>
        <v>5.01</v>
      </c>
      <c r="G224" s="656">
        <f t="shared" si="50"/>
        <v>5.21</v>
      </c>
      <c r="H224" s="656">
        <f t="shared" ref="H224:H279" si="53">IF(ISNUMBER(G224),ROUND(0.8*G224,2),"")</f>
        <v>4.17</v>
      </c>
      <c r="I224" s="701"/>
      <c r="J224" s="669">
        <v>43796</v>
      </c>
      <c r="O224" s="327"/>
    </row>
    <row r="225" spans="1:23" s="774" customFormat="1" x14ac:dyDescent="0.25">
      <c r="A225" s="644" t="s">
        <v>6501</v>
      </c>
      <c r="B225" s="645" t="s">
        <v>2269</v>
      </c>
      <c r="C225" s="643" t="s">
        <v>6510</v>
      </c>
      <c r="D225" s="643" t="s">
        <v>2004</v>
      </c>
      <c r="E225" s="645"/>
      <c r="F225" s="657">
        <f t="shared" si="49"/>
        <v>3.98</v>
      </c>
      <c r="G225" s="656">
        <f t="shared" si="50"/>
        <v>4.18</v>
      </c>
      <c r="H225" s="656">
        <f t="shared" si="53"/>
        <v>3.34</v>
      </c>
      <c r="I225" s="701"/>
      <c r="J225" s="669">
        <v>43796</v>
      </c>
      <c r="O225" s="327"/>
    </row>
    <row r="226" spans="1:23" s="774" customFormat="1" x14ac:dyDescent="0.25">
      <c r="A226" s="644" t="s">
        <v>6502</v>
      </c>
      <c r="B226" s="645" t="s">
        <v>2269</v>
      </c>
      <c r="C226" s="643" t="s">
        <v>6510</v>
      </c>
      <c r="D226" s="643" t="s">
        <v>1992</v>
      </c>
      <c r="E226" s="645"/>
      <c r="F226" s="657">
        <f t="shared" si="49"/>
        <v>3.22</v>
      </c>
      <c r="G226" s="656">
        <f t="shared" si="50"/>
        <v>3.42</v>
      </c>
      <c r="H226" s="656">
        <f t="shared" si="53"/>
        <v>2.74</v>
      </c>
      <c r="I226" s="701"/>
      <c r="J226" s="669">
        <v>43796</v>
      </c>
      <c r="N226" s="270" t="s">
        <v>5490</v>
      </c>
      <c r="O226" s="774" t="s">
        <v>6512</v>
      </c>
      <c r="P226" s="774" t="s">
        <v>6513</v>
      </c>
      <c r="Q226" s="774" t="s">
        <v>6514</v>
      </c>
      <c r="R226" s="774" t="s">
        <v>6515</v>
      </c>
      <c r="S226" s="774" t="s">
        <v>6516</v>
      </c>
      <c r="T226" s="774" t="s">
        <v>6517</v>
      </c>
      <c r="U226" s="774" t="s">
        <v>6518</v>
      </c>
    </row>
    <row r="227" spans="1:23" s="774" customFormat="1" x14ac:dyDescent="0.25">
      <c r="A227" s="644" t="s">
        <v>6503</v>
      </c>
      <c r="B227" s="645" t="s">
        <v>2269</v>
      </c>
      <c r="C227" s="643" t="s">
        <v>6511</v>
      </c>
      <c r="D227" s="643" t="s">
        <v>6512</v>
      </c>
      <c r="E227" s="643" t="s">
        <v>5766</v>
      </c>
      <c r="F227" s="657">
        <f t="shared" ref="F227:F233" si="54">ROUND(HLOOKUP($D227,$O$226:$U$228,3,FALSE),2)</f>
        <v>12.01</v>
      </c>
      <c r="G227" s="656">
        <f t="shared" ref="G227:G233" si="55">ROUND(HLOOKUP($D227,$O$226:$U$228,2,FALSE),2)</f>
        <v>12.21</v>
      </c>
      <c r="H227" s="656">
        <f t="shared" si="53"/>
        <v>9.77</v>
      </c>
      <c r="I227" s="701"/>
      <c r="J227" s="669">
        <v>43796</v>
      </c>
      <c r="M227" s="127">
        <f>M220</f>
        <v>2020</v>
      </c>
      <c r="N227" s="395">
        <f>N220</f>
        <v>5.0000000000000001E-3</v>
      </c>
      <c r="O227" s="752">
        <f t="shared" ref="O227:U227" si="56">IF($N227&lt;&gt;"",O212*(100%-$N227),"")</f>
        <v>12.21492845</v>
      </c>
      <c r="P227" s="752">
        <f t="shared" si="56"/>
        <v>8.0480617287499996</v>
      </c>
      <c r="Q227" s="752">
        <f t="shared" si="56"/>
        <v>6.1567179687499998</v>
      </c>
      <c r="R227" s="752">
        <f t="shared" si="56"/>
        <v>5.3982103150000009</v>
      </c>
      <c r="S227" s="752">
        <f t="shared" si="56"/>
        <v>5.2110460887500007</v>
      </c>
      <c r="T227" s="752">
        <f t="shared" si="56"/>
        <v>4.1767174699999998</v>
      </c>
      <c r="U227" s="752">
        <f t="shared" si="56"/>
        <v>3.4182098162500001</v>
      </c>
      <c r="W227" s="774" t="s">
        <v>49</v>
      </c>
    </row>
    <row r="228" spans="1:23" s="774" customFormat="1" x14ac:dyDescent="0.25">
      <c r="A228" s="644" t="s">
        <v>6504</v>
      </c>
      <c r="B228" s="645" t="s">
        <v>2269</v>
      </c>
      <c r="C228" s="643" t="s">
        <v>6511</v>
      </c>
      <c r="D228" s="643" t="s">
        <v>6513</v>
      </c>
      <c r="E228" s="643" t="s">
        <v>5766</v>
      </c>
      <c r="F228" s="657">
        <f t="shared" si="54"/>
        <v>7.85</v>
      </c>
      <c r="G228" s="656">
        <f t="shared" si="55"/>
        <v>8.0500000000000007</v>
      </c>
      <c r="H228" s="656">
        <f t="shared" si="53"/>
        <v>6.44</v>
      </c>
      <c r="I228" s="701"/>
      <c r="J228" s="669">
        <v>43796</v>
      </c>
      <c r="N228" s="395" t="s">
        <v>5858</v>
      </c>
      <c r="O228" s="327">
        <f t="shared" ref="O228:U228" si="57">O227-0.2</f>
        <v>12.014928450000001</v>
      </c>
      <c r="P228" s="327">
        <f t="shared" si="57"/>
        <v>7.8480617287499994</v>
      </c>
      <c r="Q228" s="327">
        <f t="shared" si="57"/>
        <v>5.9567179687499996</v>
      </c>
      <c r="R228" s="327">
        <f t="shared" si="57"/>
        <v>5.1982103150000007</v>
      </c>
      <c r="S228" s="327">
        <f t="shared" si="57"/>
        <v>5.0110460887500006</v>
      </c>
      <c r="T228" s="327">
        <f t="shared" si="57"/>
        <v>3.9767174699999996</v>
      </c>
      <c r="U228" s="327">
        <f t="shared" si="57"/>
        <v>3.2182098162499999</v>
      </c>
      <c r="W228" s="774" t="s">
        <v>50</v>
      </c>
    </row>
    <row r="229" spans="1:23" s="774" customFormat="1" x14ac:dyDescent="0.25">
      <c r="A229" s="644" t="s">
        <v>6505</v>
      </c>
      <c r="B229" s="645" t="s">
        <v>2269</v>
      </c>
      <c r="C229" s="643" t="s">
        <v>6511</v>
      </c>
      <c r="D229" s="643" t="s">
        <v>6514</v>
      </c>
      <c r="E229" s="643" t="s">
        <v>5766</v>
      </c>
      <c r="F229" s="657">
        <f t="shared" si="54"/>
        <v>5.96</v>
      </c>
      <c r="G229" s="656">
        <f t="shared" si="55"/>
        <v>6.16</v>
      </c>
      <c r="H229" s="656">
        <f t="shared" si="53"/>
        <v>4.93</v>
      </c>
      <c r="I229" s="701"/>
      <c r="J229" s="669">
        <v>43796</v>
      </c>
    </row>
    <row r="230" spans="1:23" s="774" customFormat="1" x14ac:dyDescent="0.25">
      <c r="A230" s="644" t="s">
        <v>6506</v>
      </c>
      <c r="B230" s="645" t="s">
        <v>2269</v>
      </c>
      <c r="C230" s="643" t="s">
        <v>6511</v>
      </c>
      <c r="D230" s="643" t="s">
        <v>6515</v>
      </c>
      <c r="E230" s="643" t="s">
        <v>5766</v>
      </c>
      <c r="F230" s="657">
        <f t="shared" si="54"/>
        <v>5.2</v>
      </c>
      <c r="G230" s="656">
        <f t="shared" si="55"/>
        <v>5.4</v>
      </c>
      <c r="H230" s="656">
        <f t="shared" si="53"/>
        <v>4.32</v>
      </c>
      <c r="I230" s="701"/>
      <c r="J230" s="669">
        <v>43796</v>
      </c>
    </row>
    <row r="231" spans="1:23" s="774" customFormat="1" x14ac:dyDescent="0.25">
      <c r="A231" s="644" t="s">
        <v>6507</v>
      </c>
      <c r="B231" s="645" t="s">
        <v>2269</v>
      </c>
      <c r="C231" s="643" t="s">
        <v>6511</v>
      </c>
      <c r="D231" s="643" t="s">
        <v>6516</v>
      </c>
      <c r="E231" s="643" t="s">
        <v>5766</v>
      </c>
      <c r="F231" s="657">
        <f t="shared" si="54"/>
        <v>5.01</v>
      </c>
      <c r="G231" s="656">
        <f t="shared" si="55"/>
        <v>5.21</v>
      </c>
      <c r="H231" s="656">
        <f t="shared" si="53"/>
        <v>4.17</v>
      </c>
      <c r="I231" s="701"/>
      <c r="J231" s="669">
        <v>43796</v>
      </c>
    </row>
    <row r="232" spans="1:23" s="774" customFormat="1" x14ac:dyDescent="0.25">
      <c r="A232" s="644" t="s">
        <v>6508</v>
      </c>
      <c r="B232" s="645" t="s">
        <v>2269</v>
      </c>
      <c r="C232" s="643" t="s">
        <v>6511</v>
      </c>
      <c r="D232" s="643" t="s">
        <v>6517</v>
      </c>
      <c r="E232" s="643" t="s">
        <v>5766</v>
      </c>
      <c r="F232" s="657">
        <f t="shared" si="54"/>
        <v>3.98</v>
      </c>
      <c r="G232" s="656">
        <f t="shared" si="55"/>
        <v>4.18</v>
      </c>
      <c r="H232" s="656">
        <f t="shared" si="53"/>
        <v>3.34</v>
      </c>
      <c r="I232" s="701"/>
      <c r="J232" s="669">
        <v>43796</v>
      </c>
    </row>
    <row r="233" spans="1:23" s="774" customFormat="1" x14ac:dyDescent="0.25">
      <c r="A233" s="644" t="s">
        <v>6509</v>
      </c>
      <c r="B233" s="645" t="s">
        <v>2269</v>
      </c>
      <c r="C233" s="643" t="s">
        <v>6511</v>
      </c>
      <c r="D233" s="643" t="s">
        <v>6518</v>
      </c>
      <c r="E233" s="643" t="s">
        <v>5766</v>
      </c>
      <c r="F233" s="657">
        <f t="shared" si="54"/>
        <v>3.22</v>
      </c>
      <c r="G233" s="656">
        <f t="shared" si="55"/>
        <v>3.42</v>
      </c>
      <c r="H233" s="656">
        <f t="shared" si="53"/>
        <v>2.74</v>
      </c>
      <c r="I233" s="701"/>
      <c r="J233" s="669">
        <v>43796</v>
      </c>
    </row>
    <row r="234" spans="1:23" s="774" customFormat="1" x14ac:dyDescent="0.25">
      <c r="A234" s="608"/>
      <c r="B234" s="2"/>
      <c r="C234" s="445"/>
      <c r="D234" s="34"/>
      <c r="E234" s="2"/>
      <c r="F234" s="445"/>
      <c r="G234" s="14"/>
      <c r="H234" s="14" t="str">
        <f t="shared" si="53"/>
        <v/>
      </c>
      <c r="I234" s="695"/>
      <c r="J234" s="669" t="s">
        <v>4180</v>
      </c>
      <c r="N234" s="270" t="s">
        <v>5490</v>
      </c>
      <c r="O234" s="774" t="s">
        <v>5407</v>
      </c>
      <c r="P234" s="774" t="s">
        <v>2000</v>
      </c>
      <c r="Q234" s="774" t="s">
        <v>2001</v>
      </c>
      <c r="R234" s="774" t="s">
        <v>2002</v>
      </c>
      <c r="S234" s="774" t="s">
        <v>2003</v>
      </c>
      <c r="T234" s="774" t="s">
        <v>2004</v>
      </c>
      <c r="U234" s="774" t="s">
        <v>1992</v>
      </c>
    </row>
    <row r="235" spans="1:23" s="774" customFormat="1" x14ac:dyDescent="0.25">
      <c r="A235" s="644" t="s">
        <v>6638</v>
      </c>
      <c r="B235" s="645" t="s">
        <v>2269</v>
      </c>
      <c r="C235" s="643" t="s">
        <v>6629</v>
      </c>
      <c r="D235" s="643" t="s">
        <v>5407</v>
      </c>
      <c r="E235" s="645"/>
      <c r="F235" s="793">
        <f t="shared" ref="F235:F241" si="58">ROUND(HLOOKUP($D235,$O$234:$U$236,3,FALSE),2)</f>
        <v>11.95</v>
      </c>
      <c r="G235" s="795">
        <f t="shared" ref="G235:G241" si="59">ROUND(HLOOKUP($D235,$O$234:$U$236,2,FALSE),2)</f>
        <v>12.15</v>
      </c>
      <c r="H235" s="795">
        <f t="shared" si="53"/>
        <v>9.7200000000000006</v>
      </c>
      <c r="I235" s="791"/>
      <c r="J235" s="669">
        <v>44196</v>
      </c>
      <c r="M235" s="127">
        <v>2021</v>
      </c>
      <c r="N235" s="395" t="s">
        <v>7909</v>
      </c>
      <c r="O235" s="327">
        <v>12.15</v>
      </c>
      <c r="P235" s="327">
        <v>8.01</v>
      </c>
      <c r="Q235" s="327">
        <v>6.13</v>
      </c>
      <c r="R235" s="327">
        <v>5.37</v>
      </c>
      <c r="S235" s="327">
        <v>5.18</v>
      </c>
      <c r="T235" s="327">
        <v>4.16</v>
      </c>
      <c r="U235" s="327">
        <v>3.4</v>
      </c>
      <c r="W235" s="774" t="s">
        <v>49</v>
      </c>
    </row>
    <row r="236" spans="1:23" s="774" customFormat="1" x14ac:dyDescent="0.25">
      <c r="A236" s="644" t="s">
        <v>6639</v>
      </c>
      <c r="B236" s="645" t="s">
        <v>2269</v>
      </c>
      <c r="C236" s="643" t="s">
        <v>6629</v>
      </c>
      <c r="D236" s="643" t="s">
        <v>2000</v>
      </c>
      <c r="E236" s="645"/>
      <c r="F236" s="793">
        <f t="shared" si="58"/>
        <v>7.81</v>
      </c>
      <c r="G236" s="795">
        <f t="shared" si="59"/>
        <v>8.01</v>
      </c>
      <c r="H236" s="795">
        <f t="shared" si="53"/>
        <v>6.41</v>
      </c>
      <c r="I236" s="791"/>
      <c r="J236" s="669">
        <v>44196</v>
      </c>
      <c r="N236" s="395" t="s">
        <v>5858</v>
      </c>
      <c r="O236" s="327">
        <f t="shared" ref="O236:U236" si="60">O235-0.2</f>
        <v>11.950000000000001</v>
      </c>
      <c r="P236" s="327">
        <f t="shared" si="60"/>
        <v>7.81</v>
      </c>
      <c r="Q236" s="327">
        <f t="shared" si="60"/>
        <v>5.93</v>
      </c>
      <c r="R236" s="327">
        <f t="shared" si="60"/>
        <v>5.17</v>
      </c>
      <c r="S236" s="327">
        <f t="shared" si="60"/>
        <v>4.9799999999999995</v>
      </c>
      <c r="T236" s="327">
        <f t="shared" si="60"/>
        <v>3.96</v>
      </c>
      <c r="U236" s="327">
        <f t="shared" si="60"/>
        <v>3.1999999999999997</v>
      </c>
      <c r="W236" s="774" t="s">
        <v>50</v>
      </c>
    </row>
    <row r="237" spans="1:23" s="774" customFormat="1" x14ac:dyDescent="0.25">
      <c r="A237" s="644" t="s">
        <v>6640</v>
      </c>
      <c r="B237" s="645" t="s">
        <v>2269</v>
      </c>
      <c r="C237" s="643" t="s">
        <v>6629</v>
      </c>
      <c r="D237" s="643" t="s">
        <v>2001</v>
      </c>
      <c r="E237" s="645"/>
      <c r="F237" s="793">
        <f t="shared" si="58"/>
        <v>5.93</v>
      </c>
      <c r="G237" s="795">
        <f t="shared" si="59"/>
        <v>6.13</v>
      </c>
      <c r="H237" s="795">
        <f t="shared" si="53"/>
        <v>4.9000000000000004</v>
      </c>
      <c r="I237" s="791"/>
      <c r="J237" s="669">
        <v>44196</v>
      </c>
      <c r="O237" s="327"/>
    </row>
    <row r="238" spans="1:23" s="774" customFormat="1" x14ac:dyDescent="0.25">
      <c r="A238" s="644" t="s">
        <v>6641</v>
      </c>
      <c r="B238" s="645" t="s">
        <v>2269</v>
      </c>
      <c r="C238" s="643" t="s">
        <v>6629</v>
      </c>
      <c r="D238" s="643" t="s">
        <v>2002</v>
      </c>
      <c r="E238" s="645"/>
      <c r="F238" s="793">
        <f t="shared" si="58"/>
        <v>5.17</v>
      </c>
      <c r="G238" s="795">
        <f t="shared" si="59"/>
        <v>5.37</v>
      </c>
      <c r="H238" s="795">
        <f t="shared" si="53"/>
        <v>4.3</v>
      </c>
      <c r="I238" s="791"/>
      <c r="J238" s="669">
        <v>44196</v>
      </c>
      <c r="O238" s="327"/>
    </row>
    <row r="239" spans="1:23" s="774" customFormat="1" x14ac:dyDescent="0.25">
      <c r="A239" s="644" t="s">
        <v>6642</v>
      </c>
      <c r="B239" s="645" t="s">
        <v>2269</v>
      </c>
      <c r="C239" s="643" t="s">
        <v>6629</v>
      </c>
      <c r="D239" s="643" t="s">
        <v>2003</v>
      </c>
      <c r="E239" s="645"/>
      <c r="F239" s="793">
        <f t="shared" si="58"/>
        <v>4.9800000000000004</v>
      </c>
      <c r="G239" s="795">
        <f t="shared" si="59"/>
        <v>5.18</v>
      </c>
      <c r="H239" s="795">
        <f t="shared" si="53"/>
        <v>4.1399999999999997</v>
      </c>
      <c r="I239" s="791"/>
      <c r="J239" s="669">
        <v>44196</v>
      </c>
      <c r="O239" s="327"/>
    </row>
    <row r="240" spans="1:23" s="774" customFormat="1" x14ac:dyDescent="0.25">
      <c r="A240" s="644" t="s">
        <v>6643</v>
      </c>
      <c r="B240" s="645" t="s">
        <v>2269</v>
      </c>
      <c r="C240" s="643" t="s">
        <v>6629</v>
      </c>
      <c r="D240" s="643" t="s">
        <v>2004</v>
      </c>
      <c r="E240" s="645"/>
      <c r="F240" s="793">
        <f t="shared" si="58"/>
        <v>3.96</v>
      </c>
      <c r="G240" s="795">
        <f t="shared" si="59"/>
        <v>4.16</v>
      </c>
      <c r="H240" s="795">
        <f t="shared" si="53"/>
        <v>3.33</v>
      </c>
      <c r="I240" s="791"/>
      <c r="J240" s="669">
        <v>44196</v>
      </c>
      <c r="O240" s="327"/>
    </row>
    <row r="241" spans="1:23" s="774" customFormat="1" x14ac:dyDescent="0.25">
      <c r="A241" s="644" t="s">
        <v>6644</v>
      </c>
      <c r="B241" s="645" t="s">
        <v>2269</v>
      </c>
      <c r="C241" s="643" t="s">
        <v>6629</v>
      </c>
      <c r="D241" s="643" t="s">
        <v>1992</v>
      </c>
      <c r="E241" s="645"/>
      <c r="F241" s="793">
        <f t="shared" si="58"/>
        <v>3.2</v>
      </c>
      <c r="G241" s="795">
        <f t="shared" si="59"/>
        <v>3.4</v>
      </c>
      <c r="H241" s="795">
        <f t="shared" si="53"/>
        <v>2.72</v>
      </c>
      <c r="I241" s="791"/>
      <c r="J241" s="669">
        <v>44196</v>
      </c>
      <c r="N241" s="270" t="s">
        <v>5490</v>
      </c>
      <c r="O241" s="774" t="s">
        <v>6631</v>
      </c>
      <c r="P241" s="774" t="s">
        <v>6632</v>
      </c>
      <c r="Q241" s="774" t="s">
        <v>6633</v>
      </c>
      <c r="R241" s="774" t="s">
        <v>6634</v>
      </c>
      <c r="S241" s="774" t="s">
        <v>6635</v>
      </c>
      <c r="T241" s="774" t="s">
        <v>6636</v>
      </c>
      <c r="U241" s="774" t="s">
        <v>6637</v>
      </c>
    </row>
    <row r="242" spans="1:23" s="774" customFormat="1" x14ac:dyDescent="0.25">
      <c r="A242" s="644" t="s">
        <v>6645</v>
      </c>
      <c r="B242" s="645" t="s">
        <v>2269</v>
      </c>
      <c r="C242" s="643" t="s">
        <v>6630</v>
      </c>
      <c r="D242" s="643" t="s">
        <v>6631</v>
      </c>
      <c r="E242" s="643" t="s">
        <v>5766</v>
      </c>
      <c r="F242" s="793">
        <f t="shared" ref="F242:F248" si="61">ROUND(HLOOKUP($D242,$O$241:$U$243,3,FALSE),2)</f>
        <v>11.95</v>
      </c>
      <c r="G242" s="795">
        <f t="shared" ref="G242:G248" si="62">ROUND(HLOOKUP($D242,$O$241:$U$243,2,FALSE),2)</f>
        <v>12.15</v>
      </c>
      <c r="H242" s="795">
        <f t="shared" si="53"/>
        <v>9.7200000000000006</v>
      </c>
      <c r="I242" s="791"/>
      <c r="J242" s="669">
        <v>44196</v>
      </c>
      <c r="M242" s="127">
        <f>M235</f>
        <v>2021</v>
      </c>
      <c r="N242" s="395" t="s">
        <v>6628</v>
      </c>
      <c r="O242" s="752">
        <v>12.15</v>
      </c>
      <c r="P242" s="752">
        <v>8.01</v>
      </c>
      <c r="Q242" s="752">
        <v>6.13</v>
      </c>
      <c r="R242" s="752">
        <v>5.37</v>
      </c>
      <c r="S242" s="752">
        <v>5.18</v>
      </c>
      <c r="T242" s="752">
        <v>4.16</v>
      </c>
      <c r="U242" s="752">
        <v>3.4</v>
      </c>
      <c r="W242" s="774" t="s">
        <v>49</v>
      </c>
    </row>
    <row r="243" spans="1:23" s="774" customFormat="1" x14ac:dyDescent="0.25">
      <c r="A243" s="644" t="s">
        <v>6646</v>
      </c>
      <c r="B243" s="645" t="s">
        <v>2269</v>
      </c>
      <c r="C243" s="643" t="s">
        <v>6630</v>
      </c>
      <c r="D243" s="643" t="s">
        <v>6632</v>
      </c>
      <c r="E243" s="643" t="s">
        <v>5766</v>
      </c>
      <c r="F243" s="793">
        <f t="shared" si="61"/>
        <v>7.81</v>
      </c>
      <c r="G243" s="795">
        <f t="shared" si="62"/>
        <v>8.01</v>
      </c>
      <c r="H243" s="795">
        <f t="shared" si="53"/>
        <v>6.41</v>
      </c>
      <c r="I243" s="791"/>
      <c r="J243" s="669">
        <v>44196</v>
      </c>
      <c r="N243" s="395" t="s">
        <v>5858</v>
      </c>
      <c r="O243" s="327">
        <f t="shared" ref="O243:U243" si="63">O242-0.2</f>
        <v>11.950000000000001</v>
      </c>
      <c r="P243" s="327">
        <f t="shared" si="63"/>
        <v>7.81</v>
      </c>
      <c r="Q243" s="327">
        <f t="shared" si="63"/>
        <v>5.93</v>
      </c>
      <c r="R243" s="327">
        <f t="shared" si="63"/>
        <v>5.17</v>
      </c>
      <c r="S243" s="327">
        <f t="shared" si="63"/>
        <v>4.9799999999999995</v>
      </c>
      <c r="T243" s="327">
        <f t="shared" si="63"/>
        <v>3.96</v>
      </c>
      <c r="U243" s="327">
        <f t="shared" si="63"/>
        <v>3.1999999999999997</v>
      </c>
      <c r="W243" s="774" t="s">
        <v>50</v>
      </c>
    </row>
    <row r="244" spans="1:23" s="774" customFormat="1" x14ac:dyDescent="0.25">
      <c r="A244" s="644" t="s">
        <v>6647</v>
      </c>
      <c r="B244" s="645" t="s">
        <v>2269</v>
      </c>
      <c r="C244" s="643" t="s">
        <v>6630</v>
      </c>
      <c r="D244" s="643" t="s">
        <v>6633</v>
      </c>
      <c r="E244" s="643" t="s">
        <v>5766</v>
      </c>
      <c r="F244" s="793">
        <f t="shared" si="61"/>
        <v>5.93</v>
      </c>
      <c r="G244" s="795">
        <f t="shared" si="62"/>
        <v>6.13</v>
      </c>
      <c r="H244" s="795">
        <f t="shared" si="53"/>
        <v>4.9000000000000004</v>
      </c>
      <c r="I244" s="791"/>
      <c r="J244" s="669">
        <v>44196</v>
      </c>
    </row>
    <row r="245" spans="1:23" s="774" customFormat="1" x14ac:dyDescent="0.25">
      <c r="A245" s="644" t="s">
        <v>6648</v>
      </c>
      <c r="B245" s="645" t="s">
        <v>2269</v>
      </c>
      <c r="C245" s="643" t="s">
        <v>6630</v>
      </c>
      <c r="D245" s="643" t="s">
        <v>6634</v>
      </c>
      <c r="E245" s="643" t="s">
        <v>5766</v>
      </c>
      <c r="F245" s="793">
        <f t="shared" si="61"/>
        <v>5.17</v>
      </c>
      <c r="G245" s="795">
        <f t="shared" si="62"/>
        <v>5.37</v>
      </c>
      <c r="H245" s="795">
        <f t="shared" si="53"/>
        <v>4.3</v>
      </c>
      <c r="I245" s="791"/>
      <c r="J245" s="669">
        <v>44196</v>
      </c>
    </row>
    <row r="246" spans="1:23" s="774" customFormat="1" x14ac:dyDescent="0.25">
      <c r="A246" s="644" t="s">
        <v>6649</v>
      </c>
      <c r="B246" s="645" t="s">
        <v>2269</v>
      </c>
      <c r="C246" s="643" t="s">
        <v>6630</v>
      </c>
      <c r="D246" s="643" t="s">
        <v>6635</v>
      </c>
      <c r="E246" s="643" t="s">
        <v>5766</v>
      </c>
      <c r="F246" s="793">
        <f t="shared" si="61"/>
        <v>4.9800000000000004</v>
      </c>
      <c r="G246" s="795">
        <f t="shared" si="62"/>
        <v>5.18</v>
      </c>
      <c r="H246" s="795">
        <f t="shared" si="53"/>
        <v>4.1399999999999997</v>
      </c>
      <c r="I246" s="791"/>
      <c r="J246" s="669">
        <v>44196</v>
      </c>
    </row>
    <row r="247" spans="1:23" s="774" customFormat="1" x14ac:dyDescent="0.25">
      <c r="A247" s="644" t="s">
        <v>6650</v>
      </c>
      <c r="B247" s="645" t="s">
        <v>2269</v>
      </c>
      <c r="C247" s="643" t="s">
        <v>6630</v>
      </c>
      <c r="D247" s="643" t="s">
        <v>6636</v>
      </c>
      <c r="E247" s="643" t="s">
        <v>5766</v>
      </c>
      <c r="F247" s="793">
        <f t="shared" si="61"/>
        <v>3.96</v>
      </c>
      <c r="G247" s="795">
        <f t="shared" si="62"/>
        <v>4.16</v>
      </c>
      <c r="H247" s="795">
        <f t="shared" si="53"/>
        <v>3.33</v>
      </c>
      <c r="I247" s="791"/>
      <c r="J247" s="669">
        <v>44196</v>
      </c>
    </row>
    <row r="248" spans="1:23" s="774" customFormat="1" x14ac:dyDescent="0.25">
      <c r="A248" s="644" t="s">
        <v>6651</v>
      </c>
      <c r="B248" s="645" t="s">
        <v>2269</v>
      </c>
      <c r="C248" s="643" t="s">
        <v>6630</v>
      </c>
      <c r="D248" s="643" t="s">
        <v>6637</v>
      </c>
      <c r="E248" s="643" t="s">
        <v>5766</v>
      </c>
      <c r="F248" s="793">
        <f t="shared" si="61"/>
        <v>3.2</v>
      </c>
      <c r="G248" s="795">
        <f t="shared" si="62"/>
        <v>3.4</v>
      </c>
      <c r="H248" s="795">
        <f t="shared" si="53"/>
        <v>2.72</v>
      </c>
      <c r="I248" s="791"/>
      <c r="J248" s="669">
        <v>44196</v>
      </c>
    </row>
    <row r="249" spans="1:23" s="774" customFormat="1" x14ac:dyDescent="0.25">
      <c r="A249" s="609"/>
      <c r="B249" s="1"/>
      <c r="C249" s="442"/>
      <c r="D249" s="1"/>
      <c r="E249" s="1"/>
      <c r="F249" s="442"/>
      <c r="G249" s="13"/>
      <c r="H249" s="13" t="str">
        <f t="shared" si="53"/>
        <v/>
      </c>
      <c r="I249" s="692"/>
      <c r="J249" s="669" t="s">
        <v>4180</v>
      </c>
      <c r="N249" s="866" t="s">
        <v>5490</v>
      </c>
      <c r="O249" s="774" t="str">
        <f>D250</f>
        <v>0-0,5 MW</v>
      </c>
      <c r="P249" s="774" t="str">
        <f>D251</f>
        <v>0,5-2 MW</v>
      </c>
      <c r="Q249" s="774" t="str">
        <f>D252</f>
        <v>2-5 MW</v>
      </c>
      <c r="R249" s="774" t="str">
        <f>D253</f>
        <v>5-10 MW</v>
      </c>
      <c r="S249" s="774" t="str">
        <f>D254</f>
        <v>10-20 MW</v>
      </c>
      <c r="T249" s="774" t="str">
        <f>D255</f>
        <v>20-50 MW</v>
      </c>
      <c r="U249" s="774" t="str">
        <f>D256</f>
        <v>&gt; 50 MW</v>
      </c>
    </row>
    <row r="250" spans="1:23" s="774" customFormat="1" x14ac:dyDescent="0.25">
      <c r="A250" s="644" t="str">
        <f>LEFT(A220,12)&amp;RIGHT(M250,2)</f>
        <v>WaK400------22</v>
      </c>
      <c r="B250" s="645" t="s">
        <v>2269</v>
      </c>
      <c r="C250" s="645" t="str">
        <f>LEFT(C220,17)&amp;RIGHT(M250,2)</f>
        <v>Inbetriebnahme 2022</v>
      </c>
      <c r="D250" s="645" t="s">
        <v>5407</v>
      </c>
      <c r="E250" s="645"/>
      <c r="F250" s="793">
        <f t="shared" ref="F250:F256" si="64">ROUND(HLOOKUP($D250,$O$249:$U$251,3,FALSE),2)</f>
        <v>11.89</v>
      </c>
      <c r="G250" s="867">
        <f t="shared" ref="G250:G256" si="65">ROUND(HLOOKUP($D250,$O$249:$U$251,2,FALSE),2)</f>
        <v>12.09</v>
      </c>
      <c r="H250" s="867">
        <f t="shared" si="53"/>
        <v>9.67</v>
      </c>
      <c r="I250" s="791"/>
      <c r="J250" s="669">
        <v>44536</v>
      </c>
      <c r="M250" s="127">
        <v>2022</v>
      </c>
      <c r="N250" s="395">
        <v>5.0000000000000001E-3</v>
      </c>
      <c r="O250" s="871">
        <f t="shared" ref="O250:U250" si="66">IF($N250&lt;&gt;"",O235*(100%-$N250),"")</f>
        <v>12.08925</v>
      </c>
      <c r="P250" s="871">
        <f t="shared" si="66"/>
        <v>7.9699499999999999</v>
      </c>
      <c r="Q250" s="871">
        <f t="shared" si="66"/>
        <v>6.0993500000000003</v>
      </c>
      <c r="R250" s="871">
        <f t="shared" si="66"/>
        <v>5.3431500000000005</v>
      </c>
      <c r="S250" s="871">
        <f t="shared" si="66"/>
        <v>5.1540999999999997</v>
      </c>
      <c r="T250" s="871">
        <f t="shared" si="66"/>
        <v>4.1391999999999998</v>
      </c>
      <c r="U250" s="871">
        <f t="shared" si="66"/>
        <v>3.383</v>
      </c>
      <c r="W250" s="774" t="s">
        <v>49</v>
      </c>
    </row>
    <row r="251" spans="1:23" s="774" customFormat="1" x14ac:dyDescent="0.25">
      <c r="A251" s="644" t="str">
        <f>LEFT(A221,12)&amp;RIGHT(M250,2)</f>
        <v>WaK401------22</v>
      </c>
      <c r="B251" s="645" t="s">
        <v>2269</v>
      </c>
      <c r="C251" s="645" t="str">
        <f>LEFT(C221,17)&amp;RIGHT(M250,2)</f>
        <v>Inbetriebnahme 2022</v>
      </c>
      <c r="D251" s="645" t="s">
        <v>2000</v>
      </c>
      <c r="E251" s="645"/>
      <c r="F251" s="793">
        <f t="shared" si="64"/>
        <v>7.77</v>
      </c>
      <c r="G251" s="867">
        <f t="shared" si="65"/>
        <v>7.97</v>
      </c>
      <c r="H251" s="867">
        <f t="shared" si="53"/>
        <v>6.38</v>
      </c>
      <c r="I251" s="791"/>
      <c r="J251" s="669">
        <v>44536</v>
      </c>
      <c r="N251" s="395" t="s">
        <v>5858</v>
      </c>
      <c r="O251" s="871">
        <f t="shared" ref="O251:U251" si="67">O250-0.2</f>
        <v>11.889250000000001</v>
      </c>
      <c r="P251" s="871">
        <f t="shared" si="67"/>
        <v>7.7699499999999997</v>
      </c>
      <c r="Q251" s="871">
        <f t="shared" si="67"/>
        <v>5.8993500000000001</v>
      </c>
      <c r="R251" s="871">
        <f t="shared" si="67"/>
        <v>5.1431500000000003</v>
      </c>
      <c r="S251" s="871">
        <f t="shared" si="67"/>
        <v>4.9540999999999995</v>
      </c>
      <c r="T251" s="871">
        <f t="shared" si="67"/>
        <v>3.9391999999999996</v>
      </c>
      <c r="U251" s="871">
        <f t="shared" si="67"/>
        <v>3.1829999999999998</v>
      </c>
      <c r="W251" s="774" t="s">
        <v>50</v>
      </c>
    </row>
    <row r="252" spans="1:23" s="774" customFormat="1" x14ac:dyDescent="0.25">
      <c r="A252" s="644" t="str">
        <f>LEFT(A222,12)&amp;RIGHT(M250,2)</f>
        <v>WaK402------22</v>
      </c>
      <c r="B252" s="645" t="s">
        <v>2269</v>
      </c>
      <c r="C252" s="645" t="str">
        <f>LEFT(C222,17)&amp;RIGHT(M250,2)</f>
        <v>Inbetriebnahme 2022</v>
      </c>
      <c r="D252" s="645" t="s">
        <v>2001</v>
      </c>
      <c r="E252" s="645"/>
      <c r="F252" s="793">
        <f t="shared" si="64"/>
        <v>5.9</v>
      </c>
      <c r="G252" s="867">
        <f t="shared" si="65"/>
        <v>6.1</v>
      </c>
      <c r="H252" s="867">
        <f t="shared" si="53"/>
        <v>4.88</v>
      </c>
      <c r="I252" s="791"/>
      <c r="J252" s="669">
        <v>44536</v>
      </c>
      <c r="O252" s="871"/>
    </row>
    <row r="253" spans="1:23" s="774" customFormat="1" x14ac:dyDescent="0.25">
      <c r="A253" s="644" t="str">
        <f>LEFT(A223,12)&amp;RIGHT(M250,2)</f>
        <v>WaK403------22</v>
      </c>
      <c r="B253" s="645" t="s">
        <v>2269</v>
      </c>
      <c r="C253" s="645" t="str">
        <f>LEFT(C223,17)&amp;RIGHT(M250,2)</f>
        <v>Inbetriebnahme 2022</v>
      </c>
      <c r="D253" s="645" t="s">
        <v>2002</v>
      </c>
      <c r="E253" s="645"/>
      <c r="F253" s="793">
        <f t="shared" si="64"/>
        <v>5.14</v>
      </c>
      <c r="G253" s="867">
        <f t="shared" si="65"/>
        <v>5.34</v>
      </c>
      <c r="H253" s="867">
        <f t="shared" si="53"/>
        <v>4.2699999999999996</v>
      </c>
      <c r="I253" s="791"/>
      <c r="J253" s="669">
        <v>44536</v>
      </c>
      <c r="O253" s="871"/>
    </row>
    <row r="254" spans="1:23" s="774" customFormat="1" x14ac:dyDescent="0.25">
      <c r="A254" s="644" t="str">
        <f>LEFT(A224,12)&amp;RIGHT(M250,2)</f>
        <v>WaK404------22</v>
      </c>
      <c r="B254" s="645" t="s">
        <v>2269</v>
      </c>
      <c r="C254" s="645" t="str">
        <f>LEFT(C224,17)&amp;RIGHT(M250,2)</f>
        <v>Inbetriebnahme 2022</v>
      </c>
      <c r="D254" s="645" t="s">
        <v>2003</v>
      </c>
      <c r="E254" s="645"/>
      <c r="F254" s="793">
        <f t="shared" si="64"/>
        <v>4.95</v>
      </c>
      <c r="G254" s="867">
        <f t="shared" si="65"/>
        <v>5.15</v>
      </c>
      <c r="H254" s="867">
        <f t="shared" si="53"/>
        <v>4.12</v>
      </c>
      <c r="I254" s="791"/>
      <c r="J254" s="669">
        <v>44536</v>
      </c>
      <c r="O254" s="871"/>
    </row>
    <row r="255" spans="1:23" s="774" customFormat="1" x14ac:dyDescent="0.25">
      <c r="A255" s="644" t="str">
        <f>LEFT(A225,12)&amp;RIGHT(M250,2)</f>
        <v>WaK405------22</v>
      </c>
      <c r="B255" s="645" t="s">
        <v>2269</v>
      </c>
      <c r="C255" s="645" t="str">
        <f>LEFT(C225,17)&amp;RIGHT(M250,2)</f>
        <v>Inbetriebnahme 2022</v>
      </c>
      <c r="D255" s="645" t="s">
        <v>2004</v>
      </c>
      <c r="E255" s="645"/>
      <c r="F255" s="793">
        <f t="shared" si="64"/>
        <v>3.94</v>
      </c>
      <c r="G255" s="867">
        <f t="shared" si="65"/>
        <v>4.1399999999999997</v>
      </c>
      <c r="H255" s="867">
        <f t="shared" si="53"/>
        <v>3.31</v>
      </c>
      <c r="I255" s="791"/>
      <c r="J255" s="669">
        <v>44536</v>
      </c>
      <c r="O255" s="871"/>
    </row>
    <row r="256" spans="1:23" s="774" customFormat="1" x14ac:dyDescent="0.25">
      <c r="A256" s="644" t="str">
        <f>LEFT(A226,12)&amp;RIGHT(M250,2)</f>
        <v>WaK406------22</v>
      </c>
      <c r="B256" s="645" t="s">
        <v>2269</v>
      </c>
      <c r="C256" s="645" t="str">
        <f>LEFT(C226,17)&amp;RIGHT(M250,2)</f>
        <v>Inbetriebnahme 2022</v>
      </c>
      <c r="D256" s="645" t="s">
        <v>1992</v>
      </c>
      <c r="E256" s="645"/>
      <c r="F256" s="793">
        <f t="shared" si="64"/>
        <v>3.18</v>
      </c>
      <c r="G256" s="867">
        <f t="shared" si="65"/>
        <v>3.38</v>
      </c>
      <c r="H256" s="867">
        <f t="shared" si="53"/>
        <v>2.7</v>
      </c>
      <c r="I256" s="791"/>
      <c r="J256" s="669">
        <v>44536</v>
      </c>
      <c r="N256" s="866" t="s">
        <v>5490</v>
      </c>
      <c r="O256" s="774" t="str">
        <f>D257</f>
        <v>0-0,5 MW, IB vor 01.01.2009, Modernisierung 2022</v>
      </c>
      <c r="P256" s="774" t="str">
        <f>D258</f>
        <v>0,5-2 MW, IB vor 01.01.2009, Modernisierung 2022</v>
      </c>
      <c r="Q256" s="774" t="str">
        <f>D259</f>
        <v>2-5 MW, IB vor 01.01.2009, Modernisierung 2022</v>
      </c>
      <c r="R256" s="774" t="str">
        <f>D260</f>
        <v>5-10 MW, IB vor 01.01.2009, Modernisierung 2022</v>
      </c>
      <c r="S256" s="774" t="str">
        <f>D261</f>
        <v>10-20 MW, IB vor 01.01.2009, Modernisierung 2022</v>
      </c>
      <c r="T256" s="774" t="str">
        <f>D262</f>
        <v>20-50 MW, IB vor 01.01.2009, Modernisierung 2022</v>
      </c>
      <c r="U256" s="774" t="str">
        <f>D263</f>
        <v>&gt; 50 MW, IB vor 01.01.2009, Modernisierung 2022</v>
      </c>
    </row>
    <row r="257" spans="1:23" s="774" customFormat="1" x14ac:dyDescent="0.25">
      <c r="A257" s="644" t="str">
        <f>LEFT(A227,12)&amp;RIGHT(M250,2)</f>
        <v>WaK400M-----22</v>
      </c>
      <c r="B257" s="645" t="s">
        <v>2269</v>
      </c>
      <c r="C257" s="645" t="str">
        <f>LEFT(C227,17)&amp;RIGHT(M250,2)</f>
        <v>Modernisierung 2022</v>
      </c>
      <c r="D257" s="645" t="str">
        <f>LEFT(D227,LEN(D227)-2)&amp;RIGHT(M250,2)</f>
        <v>0-0,5 MW, IB vor 01.01.2009, Modernisierung 2022</v>
      </c>
      <c r="E257" s="645" t="s">
        <v>5766</v>
      </c>
      <c r="F257" s="793">
        <f t="shared" ref="F257:F263" si="68">ROUND(HLOOKUP($D257,$O$256:$U$258,3,FALSE),2)</f>
        <v>11.89</v>
      </c>
      <c r="G257" s="867">
        <f t="shared" ref="G257:G263" si="69">ROUND(HLOOKUP($D257,$O$256:$U$258,2,FALSE),2)</f>
        <v>12.09</v>
      </c>
      <c r="H257" s="867">
        <f t="shared" si="53"/>
        <v>9.67</v>
      </c>
      <c r="I257" s="791"/>
      <c r="J257" s="669">
        <v>44536</v>
      </c>
      <c r="M257" s="127">
        <f>M250</f>
        <v>2022</v>
      </c>
      <c r="N257" s="395">
        <v>5.0000000000000001E-3</v>
      </c>
      <c r="O257" s="871">
        <f t="shared" ref="O257:U257" si="70">IF($N257&lt;&gt;"",O242*(100%-$N257),"")</f>
        <v>12.08925</v>
      </c>
      <c r="P257" s="871">
        <f t="shared" si="70"/>
        <v>7.9699499999999999</v>
      </c>
      <c r="Q257" s="871">
        <f t="shared" si="70"/>
        <v>6.0993500000000003</v>
      </c>
      <c r="R257" s="871">
        <f t="shared" si="70"/>
        <v>5.3431500000000005</v>
      </c>
      <c r="S257" s="871">
        <f t="shared" si="70"/>
        <v>5.1540999999999997</v>
      </c>
      <c r="T257" s="871">
        <f t="shared" si="70"/>
        <v>4.1391999999999998</v>
      </c>
      <c r="U257" s="871">
        <f t="shared" si="70"/>
        <v>3.383</v>
      </c>
      <c r="W257" s="774" t="s">
        <v>49</v>
      </c>
    </row>
    <row r="258" spans="1:23" s="774" customFormat="1" x14ac:dyDescent="0.25">
      <c r="A258" s="644" t="str">
        <f>LEFT(A228,12)&amp;RIGHT(M250,2)</f>
        <v>WaK401M-----22</v>
      </c>
      <c r="B258" s="645" t="s">
        <v>2269</v>
      </c>
      <c r="C258" s="645" t="str">
        <f>LEFT(C228,17)&amp;RIGHT(M250,2)</f>
        <v>Modernisierung 2022</v>
      </c>
      <c r="D258" s="645" t="str">
        <f>LEFT(D228,LEN(D228)-2)&amp;RIGHT(M250,2)</f>
        <v>0,5-2 MW, IB vor 01.01.2009, Modernisierung 2022</v>
      </c>
      <c r="E258" s="645" t="s">
        <v>5766</v>
      </c>
      <c r="F258" s="793">
        <f t="shared" si="68"/>
        <v>7.77</v>
      </c>
      <c r="G258" s="867">
        <f t="shared" si="69"/>
        <v>7.97</v>
      </c>
      <c r="H258" s="867">
        <f t="shared" si="53"/>
        <v>6.38</v>
      </c>
      <c r="I258" s="791"/>
      <c r="J258" s="669">
        <v>44536</v>
      </c>
      <c r="N258" s="395" t="s">
        <v>5858</v>
      </c>
      <c r="O258" s="871">
        <f t="shared" ref="O258:U258" si="71">O257-0.2</f>
        <v>11.889250000000001</v>
      </c>
      <c r="P258" s="871">
        <f t="shared" si="71"/>
        <v>7.7699499999999997</v>
      </c>
      <c r="Q258" s="871">
        <f t="shared" si="71"/>
        <v>5.8993500000000001</v>
      </c>
      <c r="R258" s="871">
        <f t="shared" si="71"/>
        <v>5.1431500000000003</v>
      </c>
      <c r="S258" s="871">
        <f t="shared" si="71"/>
        <v>4.9540999999999995</v>
      </c>
      <c r="T258" s="871">
        <f t="shared" si="71"/>
        <v>3.9391999999999996</v>
      </c>
      <c r="U258" s="871">
        <f t="shared" si="71"/>
        <v>3.1829999999999998</v>
      </c>
      <c r="W258" s="774" t="s">
        <v>50</v>
      </c>
    </row>
    <row r="259" spans="1:23" s="774" customFormat="1" x14ac:dyDescent="0.25">
      <c r="A259" s="644" t="str">
        <f>LEFT(A229,12)&amp;RIGHT(M250,2)</f>
        <v>WaK402M-----22</v>
      </c>
      <c r="B259" s="645" t="s">
        <v>2269</v>
      </c>
      <c r="C259" s="645" t="str">
        <f>LEFT(C229,17)&amp;RIGHT(M250,2)</f>
        <v>Modernisierung 2022</v>
      </c>
      <c r="D259" s="645" t="str">
        <f>LEFT(D229,LEN(D229)-2)&amp;RIGHT(M250,2)</f>
        <v>2-5 MW, IB vor 01.01.2009, Modernisierung 2022</v>
      </c>
      <c r="E259" s="645" t="s">
        <v>5766</v>
      </c>
      <c r="F259" s="793">
        <f t="shared" si="68"/>
        <v>5.9</v>
      </c>
      <c r="G259" s="867">
        <f t="shared" si="69"/>
        <v>6.1</v>
      </c>
      <c r="H259" s="867">
        <f t="shared" si="53"/>
        <v>4.88</v>
      </c>
      <c r="I259" s="791"/>
      <c r="J259" s="669">
        <v>44536</v>
      </c>
    </row>
    <row r="260" spans="1:23" s="774" customFormat="1" x14ac:dyDescent="0.25">
      <c r="A260" s="644" t="str">
        <f>LEFT(A230,12)&amp;RIGHT(M250,2)</f>
        <v>WaK403M-----22</v>
      </c>
      <c r="B260" s="645" t="s">
        <v>2269</v>
      </c>
      <c r="C260" s="645" t="str">
        <f>LEFT(C230,17)&amp;RIGHT(M250,2)</f>
        <v>Modernisierung 2022</v>
      </c>
      <c r="D260" s="645" t="str">
        <f>LEFT(D230,LEN(D230)-2)&amp;RIGHT(M250,2)</f>
        <v>5-10 MW, IB vor 01.01.2009, Modernisierung 2022</v>
      </c>
      <c r="E260" s="645" t="s">
        <v>5766</v>
      </c>
      <c r="F260" s="793">
        <f t="shared" si="68"/>
        <v>5.14</v>
      </c>
      <c r="G260" s="867">
        <f t="shared" si="69"/>
        <v>5.34</v>
      </c>
      <c r="H260" s="867">
        <f t="shared" si="53"/>
        <v>4.2699999999999996</v>
      </c>
      <c r="I260" s="791"/>
      <c r="J260" s="669">
        <v>44536</v>
      </c>
    </row>
    <row r="261" spans="1:23" s="774" customFormat="1" x14ac:dyDescent="0.25">
      <c r="A261" s="644" t="str">
        <f>LEFT(A231,12)&amp;RIGHT(M250,2)</f>
        <v>WaK404M-----22</v>
      </c>
      <c r="B261" s="645" t="s">
        <v>2269</v>
      </c>
      <c r="C261" s="645" t="str">
        <f>LEFT(C231,17)&amp;RIGHT(M250,2)</f>
        <v>Modernisierung 2022</v>
      </c>
      <c r="D261" s="645" t="str">
        <f>LEFT(D231,LEN(D231)-2)&amp;RIGHT(M250,2)</f>
        <v>10-20 MW, IB vor 01.01.2009, Modernisierung 2022</v>
      </c>
      <c r="E261" s="645" t="s">
        <v>5766</v>
      </c>
      <c r="F261" s="793">
        <f t="shared" si="68"/>
        <v>4.95</v>
      </c>
      <c r="G261" s="867">
        <f t="shared" si="69"/>
        <v>5.15</v>
      </c>
      <c r="H261" s="867">
        <f t="shared" si="53"/>
        <v>4.12</v>
      </c>
      <c r="I261" s="791"/>
      <c r="J261" s="669">
        <v>44536</v>
      </c>
    </row>
    <row r="262" spans="1:23" s="774" customFormat="1" x14ac:dyDescent="0.25">
      <c r="A262" s="644" t="str">
        <f>LEFT(A232,12)&amp;RIGHT(M250,2)</f>
        <v>WaK405M-----22</v>
      </c>
      <c r="B262" s="645" t="s">
        <v>2269</v>
      </c>
      <c r="C262" s="645" t="str">
        <f>LEFT(C232,17)&amp;RIGHT(M250,2)</f>
        <v>Modernisierung 2022</v>
      </c>
      <c r="D262" s="645" t="str">
        <f>LEFT(D232,LEN(D232)-2)&amp;RIGHT(M250,2)</f>
        <v>20-50 MW, IB vor 01.01.2009, Modernisierung 2022</v>
      </c>
      <c r="E262" s="645" t="s">
        <v>5766</v>
      </c>
      <c r="F262" s="793">
        <f t="shared" si="68"/>
        <v>3.94</v>
      </c>
      <c r="G262" s="867">
        <f t="shared" si="69"/>
        <v>4.1399999999999997</v>
      </c>
      <c r="H262" s="867">
        <f t="shared" si="53"/>
        <v>3.31</v>
      </c>
      <c r="I262" s="791"/>
      <c r="J262" s="669">
        <v>44536</v>
      </c>
    </row>
    <row r="263" spans="1:23" s="774" customFormat="1" x14ac:dyDescent="0.25">
      <c r="A263" s="644" t="str">
        <f>LEFT(A233,12)&amp;RIGHT(M250,2)</f>
        <v>WaK406M-----22</v>
      </c>
      <c r="B263" s="645" t="s">
        <v>2269</v>
      </c>
      <c r="C263" s="645" t="str">
        <f>LEFT(C233,17)&amp;RIGHT(M250,2)</f>
        <v>Modernisierung 2022</v>
      </c>
      <c r="D263" s="645" t="str">
        <f>LEFT(D233,LEN(D233)-2)&amp;RIGHT(M250,2)</f>
        <v>&gt; 50 MW, IB vor 01.01.2009, Modernisierung 2022</v>
      </c>
      <c r="E263" s="645" t="s">
        <v>5766</v>
      </c>
      <c r="F263" s="793">
        <f t="shared" si="68"/>
        <v>3.18</v>
      </c>
      <c r="G263" s="867">
        <f t="shared" si="69"/>
        <v>3.38</v>
      </c>
      <c r="H263" s="867">
        <f t="shared" si="53"/>
        <v>2.7</v>
      </c>
      <c r="I263" s="791"/>
      <c r="J263" s="669">
        <v>44536</v>
      </c>
    </row>
    <row r="264" spans="1:23" s="774" customFormat="1" x14ac:dyDescent="0.25">
      <c r="A264" s="609"/>
      <c r="B264" s="1"/>
      <c r="C264" s="442"/>
      <c r="D264" s="1"/>
      <c r="E264" s="1"/>
      <c r="F264" s="442"/>
      <c r="G264" s="13"/>
      <c r="H264" s="13" t="str">
        <f t="shared" si="53"/>
        <v/>
      </c>
      <c r="I264" s="692"/>
      <c r="J264" s="669" t="s">
        <v>4180</v>
      </c>
      <c r="N264" s="866" t="s">
        <v>5490</v>
      </c>
      <c r="O264" s="774" t="str">
        <f>D265</f>
        <v>0-0,5 MW</v>
      </c>
      <c r="P264" s="774" t="str">
        <f>D266</f>
        <v>0,5-2 MW</v>
      </c>
      <c r="Q264" s="774" t="str">
        <f>D267</f>
        <v>2-5 MW</v>
      </c>
      <c r="R264" s="774" t="str">
        <f>D268</f>
        <v>5-10 MW</v>
      </c>
      <c r="S264" s="774" t="str">
        <f>D269</f>
        <v>10-20 MW</v>
      </c>
      <c r="T264" s="774" t="str">
        <f>D270</f>
        <v>20-50 MW</v>
      </c>
      <c r="U264" s="774" t="str">
        <f>D271</f>
        <v>&gt; 50 MW</v>
      </c>
    </row>
    <row r="265" spans="1:23" s="774" customFormat="1" x14ac:dyDescent="0.25">
      <c r="A265" s="644" t="str">
        <f>LEFT(A235,12)&amp;RIGHT(M265,2)</f>
        <v>WaK400------23</v>
      </c>
      <c r="B265" s="645" t="s">
        <v>2269</v>
      </c>
      <c r="C265" s="645" t="str">
        <f>LEFT(C235,17)&amp;RIGHT(M265,2)</f>
        <v>Inbetriebnahme 2023</v>
      </c>
      <c r="D265" s="645" t="s">
        <v>5407</v>
      </c>
      <c r="E265" s="645"/>
      <c r="F265" s="793">
        <f t="shared" ref="F265:F271" si="72">ROUND(HLOOKUP($D265,$O$264:$U$266,3,FALSE),2)</f>
        <v>11.83</v>
      </c>
      <c r="G265" s="867">
        <f t="shared" ref="G265:G271" si="73">ROUND(HLOOKUP($D265,$O$264:$U$266,2,FALSE),2)</f>
        <v>12.03</v>
      </c>
      <c r="H265" s="867">
        <f t="shared" si="53"/>
        <v>9.6199999999999992</v>
      </c>
      <c r="I265" s="791"/>
      <c r="J265" s="669">
        <v>44896</v>
      </c>
      <c r="M265" s="127">
        <v>2023</v>
      </c>
      <c r="N265" s="395" t="s">
        <v>7908</v>
      </c>
      <c r="O265" s="871">
        <v>12.03</v>
      </c>
      <c r="P265" s="871">
        <v>7.93</v>
      </c>
      <c r="Q265" s="871">
        <v>6.07</v>
      </c>
      <c r="R265" s="871">
        <v>5.32</v>
      </c>
      <c r="S265" s="871">
        <v>5.13</v>
      </c>
      <c r="T265" s="871">
        <v>4.12</v>
      </c>
      <c r="U265" s="871">
        <v>3.37</v>
      </c>
      <c r="W265" s="774" t="s">
        <v>49</v>
      </c>
    </row>
    <row r="266" spans="1:23" s="774" customFormat="1" x14ac:dyDescent="0.25">
      <c r="A266" s="644" t="str">
        <f>LEFT(A236,12)&amp;RIGHT(M265,2)</f>
        <v>WaK401------23</v>
      </c>
      <c r="B266" s="645" t="s">
        <v>2269</v>
      </c>
      <c r="C266" s="645" t="str">
        <f>LEFT(C236,17)&amp;RIGHT(M265,2)</f>
        <v>Inbetriebnahme 2023</v>
      </c>
      <c r="D266" s="645" t="s">
        <v>2000</v>
      </c>
      <c r="E266" s="645"/>
      <c r="F266" s="793">
        <f t="shared" si="72"/>
        <v>7.73</v>
      </c>
      <c r="G266" s="867">
        <f t="shared" si="73"/>
        <v>7.93</v>
      </c>
      <c r="H266" s="867">
        <f t="shared" si="53"/>
        <v>6.34</v>
      </c>
      <c r="I266" s="791"/>
      <c r="J266" s="669">
        <v>44896</v>
      </c>
      <c r="N266" s="395" t="s">
        <v>5858</v>
      </c>
      <c r="O266" s="871">
        <f t="shared" ref="O266:U266" si="74">O265-0.2</f>
        <v>11.83</v>
      </c>
      <c r="P266" s="871">
        <f t="shared" si="74"/>
        <v>7.7299999999999995</v>
      </c>
      <c r="Q266" s="871">
        <f t="shared" si="74"/>
        <v>5.87</v>
      </c>
      <c r="R266" s="871">
        <f t="shared" si="74"/>
        <v>5.12</v>
      </c>
      <c r="S266" s="871">
        <f t="shared" si="74"/>
        <v>4.93</v>
      </c>
      <c r="T266" s="871">
        <f t="shared" si="74"/>
        <v>3.92</v>
      </c>
      <c r="U266" s="871">
        <f t="shared" si="74"/>
        <v>3.17</v>
      </c>
      <c r="W266" s="774" t="s">
        <v>50</v>
      </c>
    </row>
    <row r="267" spans="1:23" s="774" customFormat="1" x14ac:dyDescent="0.25">
      <c r="A267" s="644" t="str">
        <f>LEFT(A237,12)&amp;RIGHT(M265,2)</f>
        <v>WaK402------23</v>
      </c>
      <c r="B267" s="645" t="s">
        <v>2269</v>
      </c>
      <c r="C267" s="645" t="str">
        <f>LEFT(C237,17)&amp;RIGHT(M265,2)</f>
        <v>Inbetriebnahme 2023</v>
      </c>
      <c r="D267" s="645" t="s">
        <v>2001</v>
      </c>
      <c r="E267" s="645"/>
      <c r="F267" s="793">
        <f t="shared" si="72"/>
        <v>5.87</v>
      </c>
      <c r="G267" s="867">
        <f t="shared" si="73"/>
        <v>6.07</v>
      </c>
      <c r="H267" s="867">
        <f t="shared" si="53"/>
        <v>4.8600000000000003</v>
      </c>
      <c r="I267" s="791"/>
      <c r="J267" s="669">
        <v>44896</v>
      </c>
      <c r="O267" s="871"/>
    </row>
    <row r="268" spans="1:23" s="774" customFormat="1" x14ac:dyDescent="0.25">
      <c r="A268" s="644" t="str">
        <f>LEFT(A238,12)&amp;RIGHT(M265,2)</f>
        <v>WaK403------23</v>
      </c>
      <c r="B268" s="645" t="s">
        <v>2269</v>
      </c>
      <c r="C268" s="645" t="str">
        <f>LEFT(C238,17)&amp;RIGHT(M265,2)</f>
        <v>Inbetriebnahme 2023</v>
      </c>
      <c r="D268" s="645" t="s">
        <v>2002</v>
      </c>
      <c r="E268" s="645"/>
      <c r="F268" s="793">
        <f t="shared" si="72"/>
        <v>5.12</v>
      </c>
      <c r="G268" s="867">
        <f t="shared" si="73"/>
        <v>5.32</v>
      </c>
      <c r="H268" s="867">
        <f t="shared" si="53"/>
        <v>4.26</v>
      </c>
      <c r="I268" s="791"/>
      <c r="J268" s="669">
        <v>44896</v>
      </c>
      <c r="O268" s="871"/>
    </row>
    <row r="269" spans="1:23" s="774" customFormat="1" x14ac:dyDescent="0.25">
      <c r="A269" s="644" t="str">
        <f>LEFT(A239,12)&amp;RIGHT(M265,2)</f>
        <v>WaK404------23</v>
      </c>
      <c r="B269" s="645" t="s">
        <v>2269</v>
      </c>
      <c r="C269" s="645" t="str">
        <f>LEFT(C239,17)&amp;RIGHT(M265,2)</f>
        <v>Inbetriebnahme 2023</v>
      </c>
      <c r="D269" s="645" t="s">
        <v>2003</v>
      </c>
      <c r="E269" s="645"/>
      <c r="F269" s="793">
        <f t="shared" si="72"/>
        <v>4.93</v>
      </c>
      <c r="G269" s="867">
        <f t="shared" si="73"/>
        <v>5.13</v>
      </c>
      <c r="H269" s="867">
        <f t="shared" si="53"/>
        <v>4.0999999999999996</v>
      </c>
      <c r="I269" s="791"/>
      <c r="J269" s="669">
        <v>44896</v>
      </c>
      <c r="O269" s="871"/>
    </row>
    <row r="270" spans="1:23" s="774" customFormat="1" x14ac:dyDescent="0.25">
      <c r="A270" s="644" t="str">
        <f>LEFT(A240,12)&amp;RIGHT(M265,2)</f>
        <v>WaK405------23</v>
      </c>
      <c r="B270" s="645" t="s">
        <v>2269</v>
      </c>
      <c r="C270" s="645" t="str">
        <f>LEFT(C240,17)&amp;RIGHT(M265,2)</f>
        <v>Inbetriebnahme 2023</v>
      </c>
      <c r="D270" s="645" t="s">
        <v>2004</v>
      </c>
      <c r="E270" s="645"/>
      <c r="F270" s="793">
        <f t="shared" si="72"/>
        <v>3.92</v>
      </c>
      <c r="G270" s="867">
        <f t="shared" si="73"/>
        <v>4.12</v>
      </c>
      <c r="H270" s="867">
        <f t="shared" si="53"/>
        <v>3.3</v>
      </c>
      <c r="I270" s="791"/>
      <c r="J270" s="669">
        <v>44896</v>
      </c>
      <c r="O270" s="871"/>
    </row>
    <row r="271" spans="1:23" s="774" customFormat="1" x14ac:dyDescent="0.25">
      <c r="A271" s="644" t="str">
        <f>LEFT(A241,12)&amp;RIGHT(M265,2)</f>
        <v>WaK406------23</v>
      </c>
      <c r="B271" s="645" t="s">
        <v>2269</v>
      </c>
      <c r="C271" s="645" t="str">
        <f>LEFT(C241,17)&amp;RIGHT(M265,2)</f>
        <v>Inbetriebnahme 2023</v>
      </c>
      <c r="D271" s="645" t="s">
        <v>1992</v>
      </c>
      <c r="E271" s="645"/>
      <c r="F271" s="793">
        <f t="shared" si="72"/>
        <v>3.17</v>
      </c>
      <c r="G271" s="867">
        <f t="shared" si="73"/>
        <v>3.37</v>
      </c>
      <c r="H271" s="867">
        <f t="shared" si="53"/>
        <v>2.7</v>
      </c>
      <c r="I271" s="791"/>
      <c r="J271" s="669">
        <v>44896</v>
      </c>
      <c r="N271" s="866" t="s">
        <v>5490</v>
      </c>
      <c r="O271" s="774" t="str">
        <f>D272</f>
        <v>0-0,5 MW, IB vor 01.01.2009, Modernisierung 2023</v>
      </c>
      <c r="P271" s="774" t="str">
        <f>D273</f>
        <v>0,5-2 MW, IB vor 01.01.2009, Modernisierung 2023</v>
      </c>
      <c r="Q271" s="774" t="str">
        <f>D274</f>
        <v>2-5 MW, IB vor 01.01.2009, Modernisierung 2023</v>
      </c>
      <c r="R271" s="774" t="str">
        <f>D275</f>
        <v>5-10 MW, IB vor 01.01.2009, Modernisierung 2023</v>
      </c>
      <c r="S271" s="774" t="str">
        <f>D276</f>
        <v>10-20 MW, IB vor 01.01.2009, Modernisierung 2023</v>
      </c>
      <c r="T271" s="774" t="str">
        <f>D277</f>
        <v>20-50 MW, IB vor 01.01.2009, Modernisierung 2023</v>
      </c>
      <c r="U271" s="774" t="str">
        <f>D278</f>
        <v>&gt; 50 MW, IB vor 01.01.2009, Modernisierung 2023</v>
      </c>
    </row>
    <row r="272" spans="1:23" s="774" customFormat="1" x14ac:dyDescent="0.25">
      <c r="A272" s="644" t="str">
        <f>LEFT(A242,12)&amp;RIGHT(M265,2)</f>
        <v>WaK400M-----23</v>
      </c>
      <c r="B272" s="645" t="s">
        <v>2269</v>
      </c>
      <c r="C272" s="645" t="str">
        <f>LEFT(C242,17)&amp;RIGHT(M265,2)</f>
        <v>Modernisierung 2023</v>
      </c>
      <c r="D272" s="645" t="str">
        <f>LEFT(D242,LEN(D242)-2)&amp;RIGHT(M265,2)</f>
        <v>0-0,5 MW, IB vor 01.01.2009, Modernisierung 2023</v>
      </c>
      <c r="E272" s="645" t="s">
        <v>5766</v>
      </c>
      <c r="F272" s="793">
        <f t="shared" ref="F272:F278" si="75">ROUND(HLOOKUP($D272,$O$271:$U$273,3,FALSE),2)</f>
        <v>11.83</v>
      </c>
      <c r="G272" s="867">
        <f t="shared" ref="G272:G278" si="76">ROUND(HLOOKUP($D272,$O$271:$U$273,2,FALSE),2)</f>
        <v>12.03</v>
      </c>
      <c r="H272" s="867">
        <f t="shared" si="53"/>
        <v>9.6199999999999992</v>
      </c>
      <c r="I272" s="791"/>
      <c r="J272" s="669">
        <v>44896</v>
      </c>
      <c r="M272" s="127">
        <f>M265</f>
        <v>2023</v>
      </c>
      <c r="N272" s="395" t="s">
        <v>7920</v>
      </c>
      <c r="O272" s="871">
        <v>12.03</v>
      </c>
      <c r="P272" s="871">
        <v>7.93</v>
      </c>
      <c r="Q272" s="871">
        <v>6.07</v>
      </c>
      <c r="R272" s="871">
        <v>5.32</v>
      </c>
      <c r="S272" s="871">
        <v>5.13</v>
      </c>
      <c r="T272" s="871">
        <v>4.12</v>
      </c>
      <c r="U272" s="871">
        <v>3.37</v>
      </c>
      <c r="W272" s="774" t="s">
        <v>49</v>
      </c>
    </row>
    <row r="273" spans="1:52" s="774" customFormat="1" x14ac:dyDescent="0.25">
      <c r="A273" s="644" t="str">
        <f>LEFT(A243,12)&amp;RIGHT(M265,2)</f>
        <v>WaK401M-----23</v>
      </c>
      <c r="B273" s="645" t="s">
        <v>2269</v>
      </c>
      <c r="C273" s="645" t="str">
        <f>LEFT(C243,17)&amp;RIGHT(M265,2)</f>
        <v>Modernisierung 2023</v>
      </c>
      <c r="D273" s="645" t="str">
        <f>LEFT(D243,LEN(D243)-2)&amp;RIGHT(M265,2)</f>
        <v>0,5-2 MW, IB vor 01.01.2009, Modernisierung 2023</v>
      </c>
      <c r="E273" s="645" t="s">
        <v>5766</v>
      </c>
      <c r="F273" s="793">
        <f t="shared" si="75"/>
        <v>7.73</v>
      </c>
      <c r="G273" s="867">
        <f t="shared" si="76"/>
        <v>7.93</v>
      </c>
      <c r="H273" s="867">
        <f t="shared" si="53"/>
        <v>6.34</v>
      </c>
      <c r="I273" s="791"/>
      <c r="J273" s="669">
        <v>44896</v>
      </c>
      <c r="N273" s="395" t="s">
        <v>5858</v>
      </c>
      <c r="O273" s="871">
        <f t="shared" ref="O273:U273" si="77">O272-0.2</f>
        <v>11.83</v>
      </c>
      <c r="P273" s="871">
        <f t="shared" si="77"/>
        <v>7.7299999999999995</v>
      </c>
      <c r="Q273" s="871">
        <f t="shared" si="77"/>
        <v>5.87</v>
      </c>
      <c r="R273" s="871">
        <f t="shared" si="77"/>
        <v>5.12</v>
      </c>
      <c r="S273" s="871">
        <f t="shared" si="77"/>
        <v>4.93</v>
      </c>
      <c r="T273" s="871">
        <f t="shared" si="77"/>
        <v>3.92</v>
      </c>
      <c r="U273" s="871">
        <f t="shared" si="77"/>
        <v>3.17</v>
      </c>
      <c r="W273" s="774" t="s">
        <v>50</v>
      </c>
    </row>
    <row r="274" spans="1:52" s="774" customFormat="1" x14ac:dyDescent="0.25">
      <c r="A274" s="644" t="str">
        <f>LEFT(A244,12)&amp;RIGHT(M265,2)</f>
        <v>WaK402M-----23</v>
      </c>
      <c r="B274" s="645" t="s">
        <v>2269</v>
      </c>
      <c r="C274" s="645" t="str">
        <f>LEFT(C244,17)&amp;RIGHT(M265,2)</f>
        <v>Modernisierung 2023</v>
      </c>
      <c r="D274" s="645" t="str">
        <f>LEFT(D244,LEN(D244)-2)&amp;RIGHT(M265,2)</f>
        <v>2-5 MW, IB vor 01.01.2009, Modernisierung 2023</v>
      </c>
      <c r="E274" s="645" t="s">
        <v>5766</v>
      </c>
      <c r="F274" s="793">
        <f t="shared" si="75"/>
        <v>5.87</v>
      </c>
      <c r="G274" s="867">
        <f t="shared" si="76"/>
        <v>6.07</v>
      </c>
      <c r="H274" s="867">
        <f t="shared" si="53"/>
        <v>4.8600000000000003</v>
      </c>
      <c r="I274" s="791"/>
      <c r="J274" s="669">
        <v>44896</v>
      </c>
    </row>
    <row r="275" spans="1:52" s="774" customFormat="1" x14ac:dyDescent="0.25">
      <c r="A275" s="644" t="str">
        <f>LEFT(A245,12)&amp;RIGHT(M265,2)</f>
        <v>WaK403M-----23</v>
      </c>
      <c r="B275" s="645" t="s">
        <v>2269</v>
      </c>
      <c r="C275" s="645" t="str">
        <f>LEFT(C245,17)&amp;RIGHT(M265,2)</f>
        <v>Modernisierung 2023</v>
      </c>
      <c r="D275" s="645" t="str">
        <f>LEFT(D245,LEN(D245)-2)&amp;RIGHT(M265,2)</f>
        <v>5-10 MW, IB vor 01.01.2009, Modernisierung 2023</v>
      </c>
      <c r="E275" s="645" t="s">
        <v>5766</v>
      </c>
      <c r="F275" s="793">
        <f t="shared" si="75"/>
        <v>5.12</v>
      </c>
      <c r="G275" s="867">
        <f t="shared" si="76"/>
        <v>5.32</v>
      </c>
      <c r="H275" s="867">
        <f t="shared" si="53"/>
        <v>4.26</v>
      </c>
      <c r="I275" s="791"/>
      <c r="J275" s="669">
        <v>44896</v>
      </c>
    </row>
    <row r="276" spans="1:52" s="774" customFormat="1" x14ac:dyDescent="0.25">
      <c r="A276" s="644" t="str">
        <f>LEFT(A246,12)&amp;RIGHT(M265,2)</f>
        <v>WaK404M-----23</v>
      </c>
      <c r="B276" s="645" t="s">
        <v>2269</v>
      </c>
      <c r="C276" s="645" t="str">
        <f>LEFT(C246,17)&amp;RIGHT(M265,2)</f>
        <v>Modernisierung 2023</v>
      </c>
      <c r="D276" s="645" t="str">
        <f>LEFT(D246,LEN(D246)-2)&amp;RIGHT(M265,2)</f>
        <v>10-20 MW, IB vor 01.01.2009, Modernisierung 2023</v>
      </c>
      <c r="E276" s="645" t="s">
        <v>5766</v>
      </c>
      <c r="F276" s="793">
        <f t="shared" si="75"/>
        <v>4.93</v>
      </c>
      <c r="G276" s="867">
        <f t="shared" si="76"/>
        <v>5.13</v>
      </c>
      <c r="H276" s="867">
        <f t="shared" si="53"/>
        <v>4.0999999999999996</v>
      </c>
      <c r="I276" s="791"/>
      <c r="J276" s="669">
        <v>44896</v>
      </c>
    </row>
    <row r="277" spans="1:52" s="774" customFormat="1" x14ac:dyDescent="0.25">
      <c r="A277" s="644" t="str">
        <f>LEFT(A247,12)&amp;RIGHT(M265,2)</f>
        <v>WaK405M-----23</v>
      </c>
      <c r="B277" s="645" t="s">
        <v>2269</v>
      </c>
      <c r="C277" s="645" t="str">
        <f>LEFT(C247,17)&amp;RIGHT(M265,2)</f>
        <v>Modernisierung 2023</v>
      </c>
      <c r="D277" s="645" t="str">
        <f>LEFT(D247,LEN(D247)-2)&amp;RIGHT(M265,2)</f>
        <v>20-50 MW, IB vor 01.01.2009, Modernisierung 2023</v>
      </c>
      <c r="E277" s="645" t="s">
        <v>5766</v>
      </c>
      <c r="F277" s="793">
        <f t="shared" si="75"/>
        <v>3.92</v>
      </c>
      <c r="G277" s="867">
        <f t="shared" si="76"/>
        <v>4.12</v>
      </c>
      <c r="H277" s="867">
        <f t="shared" si="53"/>
        <v>3.3</v>
      </c>
      <c r="I277" s="791"/>
      <c r="J277" s="669">
        <v>44896</v>
      </c>
    </row>
    <row r="278" spans="1:52" s="774" customFormat="1" x14ac:dyDescent="0.25">
      <c r="A278" s="644" t="str">
        <f>LEFT(A248,12)&amp;RIGHT(M265,2)</f>
        <v>WaK406M-----23</v>
      </c>
      <c r="B278" s="645" t="s">
        <v>2269</v>
      </c>
      <c r="C278" s="645" t="str">
        <f>LEFT(C248,17)&amp;RIGHT(M265,2)</f>
        <v>Modernisierung 2023</v>
      </c>
      <c r="D278" s="645" t="str">
        <f>LEFT(D248,LEN(D248)-2)&amp;RIGHT(M265,2)</f>
        <v>&gt; 50 MW, IB vor 01.01.2009, Modernisierung 2023</v>
      </c>
      <c r="E278" s="645" t="s">
        <v>5766</v>
      </c>
      <c r="F278" s="793">
        <f t="shared" si="75"/>
        <v>3.17</v>
      </c>
      <c r="G278" s="867">
        <f t="shared" si="76"/>
        <v>3.37</v>
      </c>
      <c r="H278" s="867">
        <f t="shared" si="53"/>
        <v>2.7</v>
      </c>
      <c r="I278" s="791"/>
      <c r="J278" s="669">
        <v>44896</v>
      </c>
    </row>
    <row r="279" spans="1:52" x14ac:dyDescent="0.25">
      <c r="A279" s="4"/>
      <c r="B279" s="2"/>
      <c r="C279" s="34"/>
      <c r="D279" s="34"/>
      <c r="E279" s="2"/>
      <c r="F279" s="445"/>
      <c r="G279" s="14"/>
      <c r="H279" s="14" t="str">
        <f t="shared" si="53"/>
        <v/>
      </c>
      <c r="I279" s="695"/>
      <c r="J279" s="669" t="s">
        <v>4180</v>
      </c>
    </row>
    <row r="280" spans="1:52" s="178" customFormat="1" ht="171" customHeight="1" x14ac:dyDescent="0.25">
      <c r="A280" s="1170" t="s">
        <v>7714</v>
      </c>
      <c r="B280" s="1170"/>
      <c r="C280" s="1170"/>
      <c r="D280" s="1170"/>
      <c r="E280" s="1170"/>
      <c r="F280" s="1170"/>
      <c r="G280" s="511"/>
      <c r="H280" s="512"/>
      <c r="I280" s="702"/>
      <c r="J280" s="669">
        <v>44536</v>
      </c>
      <c r="K280" s="15"/>
      <c r="L280"/>
      <c r="M280"/>
      <c r="N280"/>
      <c r="O280"/>
      <c r="P280"/>
      <c r="Q280"/>
      <c r="R280"/>
      <c r="S280"/>
      <c r="T280"/>
      <c r="U280"/>
      <c r="V280"/>
      <c r="W280"/>
      <c r="X280"/>
      <c r="Y280"/>
      <c r="Z280"/>
      <c r="AA280"/>
      <c r="AB280"/>
      <c r="AC280"/>
      <c r="AD280" s="92"/>
      <c r="AE280" s="124"/>
      <c r="AF280"/>
      <c r="AG280" s="92"/>
      <c r="AH280" s="92"/>
    </row>
    <row r="281" spans="1:52" s="178" customFormat="1" ht="15.75" x14ac:dyDescent="0.25">
      <c r="A281" s="609" t="s">
        <v>4180</v>
      </c>
      <c r="B281" s="1"/>
      <c r="C281" s="1"/>
      <c r="D281" s="2" t="s">
        <v>4180</v>
      </c>
      <c r="E281" s="1" t="s">
        <v>4180</v>
      </c>
      <c r="F281" s="457"/>
      <c r="G281" s="532"/>
      <c r="H281" s="490"/>
      <c r="I281" s="709"/>
      <c r="J281" s="669" t="s">
        <v>4180</v>
      </c>
      <c r="K281" s="15"/>
      <c r="L281"/>
      <c r="M281" s="68" t="s">
        <v>2724</v>
      </c>
      <c r="N281" s="39"/>
      <c r="O281" s="61"/>
      <c r="P281" s="29"/>
      <c r="Q281"/>
      <c r="R281"/>
      <c r="S281"/>
      <c r="U281" s="55"/>
      <c r="V281"/>
      <c r="W281"/>
      <c r="X281"/>
      <c r="Y281"/>
      <c r="Z281"/>
      <c r="AA281"/>
      <c r="AB281"/>
      <c r="AC281"/>
      <c r="AD281" s="92"/>
      <c r="AE281" s="124"/>
      <c r="AF281"/>
      <c r="AG281"/>
      <c r="AH281" s="212" t="str">
        <f t="shared" ref="AH281:AH290" si="78">IF(ISERROR(SEARCH("K erstmals 201",D281)),"",RIGHT(D281,4))</f>
        <v/>
      </c>
      <c r="AI281" s="214" t="e">
        <f>IF(AND($AH281&lt;&gt;"",AH281 =#REF!),"Gleich","")</f>
        <v>#REF!</v>
      </c>
      <c r="AJ281" s="214" t="e">
        <f>IF(AND($AH281&lt;&gt;"",A281 =#REF!),"Gleich","")</f>
        <v>#REF!</v>
      </c>
      <c r="AK281" s="214" t="e">
        <f>IF(AND($AH281&lt;&gt;"",D281 =#REF!),"Gleich","")</f>
        <v>#REF!</v>
      </c>
      <c r="AL281" s="214" t="e">
        <f>IF(AND($AH281&lt;&gt;"",E281 =#REF!),"Gleich","")</f>
        <v>#REF!</v>
      </c>
      <c r="AM281" s="214" t="e">
        <f>IF(AND($AH281&lt;&gt;"",F281 =#REF!),"Gleich","")</f>
        <v>#REF!</v>
      </c>
      <c r="AN281" s="213" t="str">
        <f t="shared" ref="AN281:AN312" si="79">IF(ISERROR(SEARCH("K1",A281)),"","20"&amp;MID(A281,SEARCH("K1",A281)+1,2))</f>
        <v/>
      </c>
      <c r="AO281" s="213" t="str">
        <f t="shared" ref="AO281:AO312" si="80">IF(ISERROR(SEARCH("erstmals 201",E281)),"",MID(E281,SEARCH("erstmals ",E281)+9,4))</f>
        <v/>
      </c>
      <c r="AP281" s="213" t="str">
        <f t="shared" ref="AP281:AP312" si="81">IF(R281="x","2010",IF(S281="x","2011",IF(T281="x","2012","")))</f>
        <v/>
      </c>
      <c r="AQ281" s="215" t="str">
        <f t="shared" ref="AQ281:AQ312" si="82">IF(OR(AH281&lt;&gt;AN281,AH281&lt;&gt;AO281,AH281&lt;&gt;AP281),"DIFF","")</f>
        <v/>
      </c>
      <c r="AR281" s="216" t="str">
        <f t="shared" ref="AR281:AR312" si="83">IF(A281="","",IF(ISERROR(SEARCH("K1",A281)),A281,LEFT(A281,SEARCH("K1",A281)+1)&amp;RIGHT(AH281,1)&amp;MID(A281,SEARCH("K1",A281)+3,14)))</f>
        <v/>
      </c>
      <c r="AS281" s="215" t="str">
        <f t="shared" ref="AS281:AS312" si="84">IF(OR(A281&lt;&gt;AR281),"DIFF","")</f>
        <v/>
      </c>
      <c r="AT281">
        <f t="shared" ref="AT281:AT312" si="85">LEN(AR281)</f>
        <v>0</v>
      </c>
      <c r="AU281" s="216" t="str">
        <f t="shared" ref="AU281:AU312" si="86">IF(D281="","",IF(OR(A281="",ISERROR(SEARCH("erstmals 201",D281))),D281,LEFT(D281,SEARCH("erstmals 201",D281)+8) &amp; AH281 &amp; MID(D281,SEARCH("erstmals 201",D281)+13,255)))</f>
        <v/>
      </c>
      <c r="AV281" s="215" t="str">
        <f t="shared" ref="AV281:AV312" si="87">IF(OR(D281&lt;&gt;AU281),"DIFF","")</f>
        <v/>
      </c>
      <c r="AW281" s="216" t="str">
        <f t="shared" ref="AW281:AW312" si="88">IF(E281="","",IF(OR(E281="",ISERROR(SEARCH("erstmals 201",E281))),E281,LEFT(E281,SEARCH("erstmals 201",E281)+8) &amp; AH281 &amp; MID(E281,SEARCH("erstmals 201",E281)+13,255)))</f>
        <v/>
      </c>
      <c r="AX281" s="215" t="str">
        <f t="shared" ref="AX281:AX312" si="89">IF(OR(E281&lt;&gt;AW281),"DIFF","")</f>
        <v/>
      </c>
      <c r="AY281" t="str">
        <f t="shared" ref="AY281:AY312" si="90">IF(AH281="2011","x",IF(AH281="2012","","" &amp; S281))</f>
        <v/>
      </c>
      <c r="AZ281" t="str">
        <f t="shared" ref="AZ281:AZ312" si="91">IF(AH281="2012","x",IF(AH281="2011","","" &amp; T281))</f>
        <v/>
      </c>
    </row>
    <row r="282" spans="1:52" s="178" customFormat="1" x14ac:dyDescent="0.25">
      <c r="A282" s="609" t="s">
        <v>4180</v>
      </c>
      <c r="B282" s="1"/>
      <c r="C282" s="1"/>
      <c r="D282" s="2" t="s">
        <v>4180</v>
      </c>
      <c r="E282" s="1" t="s">
        <v>4180</v>
      </c>
      <c r="F282" s="457"/>
      <c r="G282" s="532"/>
      <c r="H282" s="490"/>
      <c r="I282" s="709"/>
      <c r="J282" s="669" t="s">
        <v>4180</v>
      </c>
      <c r="K282" s="15"/>
      <c r="L282"/>
      <c r="M282"/>
      <c r="N282" s="35"/>
      <c r="O282" s="43" t="s">
        <v>2659</v>
      </c>
      <c r="P282" s="29"/>
      <c r="Q282" s="12">
        <v>2009</v>
      </c>
      <c r="R282" s="12">
        <v>2010</v>
      </c>
      <c r="S282" s="12">
        <v>2011</v>
      </c>
      <c r="T282" s="12">
        <v>2012</v>
      </c>
      <c r="U282" s="55"/>
      <c r="V282" s="35" t="s">
        <v>778</v>
      </c>
      <c r="W282"/>
      <c r="X282"/>
      <c r="Y282"/>
      <c r="Z282"/>
      <c r="AA282"/>
      <c r="AB282"/>
      <c r="AC282"/>
      <c r="AD282" s="92"/>
      <c r="AE282" s="43"/>
      <c r="AF282" s="27"/>
      <c r="AG282" s="27"/>
      <c r="AH282" s="212" t="str">
        <f t="shared" si="78"/>
        <v/>
      </c>
      <c r="AI282" s="214" t="str">
        <f t="shared" ref="AI282:AI313" si="92">IF(AND($AH282&lt;&gt;"",AH282 =AH281),"Gleich","")</f>
        <v/>
      </c>
      <c r="AJ282" s="214" t="str">
        <f t="shared" ref="AJ282:AJ313" si="93">IF(AND($AH282&lt;&gt;"",A282 =A281),"Gleich","")</f>
        <v/>
      </c>
      <c r="AK282" s="214" t="str">
        <f t="shared" ref="AK282:AK313" si="94">IF(AND($AH282&lt;&gt;"",D282 =D281),"Gleich","")</f>
        <v/>
      </c>
      <c r="AL282" s="214" t="str">
        <f t="shared" ref="AL282:AL313" si="95">IF(AND($AH282&lt;&gt;"",E282 =E281),"Gleich","")</f>
        <v/>
      </c>
      <c r="AM282" s="214" t="str">
        <f t="shared" ref="AM282:AM313" si="96">IF(AND($AH282&lt;&gt;"",F282 =F281),"Gleich","")</f>
        <v/>
      </c>
      <c r="AN282" s="213" t="str">
        <f t="shared" si="79"/>
        <v/>
      </c>
      <c r="AO282" s="213" t="str">
        <f t="shared" si="80"/>
        <v/>
      </c>
      <c r="AP282" s="213" t="str">
        <f t="shared" si="81"/>
        <v/>
      </c>
      <c r="AQ282" s="215" t="str">
        <f t="shared" si="82"/>
        <v/>
      </c>
      <c r="AR282" s="216" t="str">
        <f t="shared" si="83"/>
        <v/>
      </c>
      <c r="AS282" s="215" t="str">
        <f t="shared" si="84"/>
        <v/>
      </c>
      <c r="AT282">
        <f t="shared" si="85"/>
        <v>0</v>
      </c>
      <c r="AU282" s="216" t="str">
        <f t="shared" si="86"/>
        <v/>
      </c>
      <c r="AV282" s="215" t="str">
        <f t="shared" si="87"/>
        <v/>
      </c>
      <c r="AW282" s="216" t="str">
        <f t="shared" si="88"/>
        <v/>
      </c>
      <c r="AX282" s="215" t="str">
        <f t="shared" si="89"/>
        <v/>
      </c>
      <c r="AY282" t="str">
        <f t="shared" si="90"/>
        <v>2011</v>
      </c>
      <c r="AZ282" t="str">
        <f t="shared" si="91"/>
        <v>2012</v>
      </c>
    </row>
    <row r="283" spans="1:52" ht="90.75" x14ac:dyDescent="0.25">
      <c r="A283" s="609" t="s">
        <v>4180</v>
      </c>
      <c r="B283" s="1"/>
      <c r="C283" s="1"/>
      <c r="D283" s="2" t="s">
        <v>4180</v>
      </c>
      <c r="E283" s="1" t="s">
        <v>4180</v>
      </c>
      <c r="F283" s="457"/>
      <c r="G283" s="532"/>
      <c r="H283" s="490"/>
      <c r="I283" s="709"/>
      <c r="J283" s="669" t="s">
        <v>4180</v>
      </c>
      <c r="K283" s="15"/>
      <c r="M283" s="48" t="s">
        <v>2914</v>
      </c>
      <c r="N283" s="42" t="s">
        <v>2913</v>
      </c>
      <c r="O283" s="44" t="s">
        <v>825</v>
      </c>
      <c r="P283" s="42" t="s">
        <v>3008</v>
      </c>
      <c r="Q283" s="42" t="s">
        <v>1013</v>
      </c>
      <c r="R283" s="42" t="s">
        <v>1264</v>
      </c>
      <c r="S283" s="42" t="s">
        <v>1482</v>
      </c>
      <c r="T283" s="42" t="s">
        <v>4161</v>
      </c>
      <c r="U283" s="80" t="s">
        <v>771</v>
      </c>
      <c r="V283" s="42" t="s">
        <v>1021</v>
      </c>
      <c r="W283" s="42" t="s">
        <v>1029</v>
      </c>
      <c r="X283" s="42" t="s">
        <v>786</v>
      </c>
      <c r="Y283" s="79" t="s">
        <v>4884</v>
      </c>
      <c r="Z283" s="79" t="s">
        <v>5520</v>
      </c>
      <c r="AA283" s="79" t="s">
        <v>5521</v>
      </c>
      <c r="AB283" s="79" t="s">
        <v>5522</v>
      </c>
      <c r="AC283" s="79" t="s">
        <v>4853</v>
      </c>
      <c r="AD283" s="79" t="s">
        <v>770</v>
      </c>
      <c r="AE283" s="44"/>
      <c r="AF283" s="42"/>
      <c r="AG283" s="42"/>
      <c r="AH283" s="212" t="str">
        <f t="shared" si="78"/>
        <v/>
      </c>
      <c r="AI283" s="214" t="str">
        <f t="shared" si="92"/>
        <v/>
      </c>
      <c r="AJ283" s="214" t="str">
        <f t="shared" si="93"/>
        <v/>
      </c>
      <c r="AK283" s="214" t="str">
        <f t="shared" si="94"/>
        <v/>
      </c>
      <c r="AL283" s="214" t="str">
        <f t="shared" si="95"/>
        <v/>
      </c>
      <c r="AM283" s="214" t="str">
        <f t="shared" si="96"/>
        <v/>
      </c>
      <c r="AN283" s="213" t="str">
        <f t="shared" si="79"/>
        <v/>
      </c>
      <c r="AO283" s="213" t="str">
        <f t="shared" si="80"/>
        <v/>
      </c>
      <c r="AP283" s="213" t="str">
        <f t="shared" si="81"/>
        <v/>
      </c>
      <c r="AQ283" s="215" t="str">
        <f t="shared" si="82"/>
        <v/>
      </c>
      <c r="AR283" s="216" t="str">
        <f t="shared" si="83"/>
        <v/>
      </c>
      <c r="AS283" s="215" t="str">
        <f t="shared" si="84"/>
        <v/>
      </c>
      <c r="AT283">
        <f t="shared" si="85"/>
        <v>0</v>
      </c>
      <c r="AU283" s="216" t="str">
        <f t="shared" si="86"/>
        <v/>
      </c>
      <c r="AV283" s="215" t="str">
        <f t="shared" si="87"/>
        <v/>
      </c>
      <c r="AW283" s="216" t="str">
        <f t="shared" si="88"/>
        <v/>
      </c>
      <c r="AX283" s="215" t="str">
        <f t="shared" si="89"/>
        <v/>
      </c>
      <c r="AY283" t="str">
        <f t="shared" si="90"/>
        <v>erstmals KWK in 2011</v>
      </c>
      <c r="AZ283" t="str">
        <f t="shared" si="91"/>
        <v>erstmals KWK in 2012</v>
      </c>
    </row>
    <row r="284" spans="1:52" ht="34.5" x14ac:dyDescent="0.25">
      <c r="A284" s="609" t="s">
        <v>4180</v>
      </c>
      <c r="B284" s="1"/>
      <c r="C284" s="1"/>
      <c r="D284" s="2" t="s">
        <v>4180</v>
      </c>
      <c r="E284" s="1" t="s">
        <v>4180</v>
      </c>
      <c r="F284" s="457"/>
      <c r="G284" s="532"/>
      <c r="H284" s="490"/>
      <c r="I284" s="709"/>
      <c r="J284" s="669" t="s">
        <v>4180</v>
      </c>
      <c r="K284" s="15"/>
      <c r="M284" s="46"/>
      <c r="N284" s="42"/>
      <c r="O284" s="44" t="s">
        <v>1014</v>
      </c>
      <c r="P284" s="42" t="s">
        <v>1015</v>
      </c>
      <c r="Q284" s="42" t="s">
        <v>1016</v>
      </c>
      <c r="R284" s="42" t="s">
        <v>1265</v>
      </c>
      <c r="S284" s="42" t="s">
        <v>3490</v>
      </c>
      <c r="T284" s="118" t="s">
        <v>4162</v>
      </c>
      <c r="U284" s="56" t="s">
        <v>1018</v>
      </c>
      <c r="V284" s="42" t="s">
        <v>1019</v>
      </c>
      <c r="W284" s="42" t="s">
        <v>1020</v>
      </c>
      <c r="X284" s="42" t="s">
        <v>4069</v>
      </c>
      <c r="Y284" s="42" t="s">
        <v>1023</v>
      </c>
      <c r="Z284" s="42" t="s">
        <v>1024</v>
      </c>
      <c r="AA284" s="42" t="s">
        <v>1025</v>
      </c>
      <c r="AB284" s="42" t="s">
        <v>1026</v>
      </c>
      <c r="AC284" s="42" t="s">
        <v>1028</v>
      </c>
      <c r="AD284" s="42" t="s">
        <v>1027</v>
      </c>
      <c r="AE284" s="44"/>
      <c r="AF284" s="42"/>
      <c r="AG284" s="42"/>
      <c r="AH284" s="212" t="str">
        <f t="shared" si="78"/>
        <v/>
      </c>
      <c r="AI284" s="214" t="str">
        <f t="shared" si="92"/>
        <v/>
      </c>
      <c r="AJ284" s="214" t="str">
        <f t="shared" si="93"/>
        <v/>
      </c>
      <c r="AK284" s="214" t="str">
        <f t="shared" si="94"/>
        <v/>
      </c>
      <c r="AL284" s="214" t="str">
        <f t="shared" si="95"/>
        <v/>
      </c>
      <c r="AM284" s="214" t="str">
        <f t="shared" si="96"/>
        <v/>
      </c>
      <c r="AN284" s="213" t="str">
        <f t="shared" si="79"/>
        <v/>
      </c>
      <c r="AO284" s="213" t="str">
        <f t="shared" si="80"/>
        <v/>
      </c>
      <c r="AP284" s="213" t="str">
        <f t="shared" si="81"/>
        <v/>
      </c>
      <c r="AQ284" s="215" t="str">
        <f t="shared" si="82"/>
        <v/>
      </c>
      <c r="AR284" s="216" t="str">
        <f t="shared" si="83"/>
        <v/>
      </c>
      <c r="AS284" s="215" t="str">
        <f t="shared" si="84"/>
        <v/>
      </c>
      <c r="AT284">
        <f t="shared" si="85"/>
        <v>0</v>
      </c>
      <c r="AU284" s="216" t="str">
        <f t="shared" si="86"/>
        <v/>
      </c>
      <c r="AV284" s="215" t="str">
        <f t="shared" si="87"/>
        <v/>
      </c>
      <c r="AW284" s="216" t="str">
        <f t="shared" si="88"/>
        <v/>
      </c>
      <c r="AX284" s="215" t="str">
        <f t="shared" si="89"/>
        <v/>
      </c>
      <c r="AY284" t="str">
        <f t="shared" si="90"/>
        <v>"K11"</v>
      </c>
      <c r="AZ284" t="str">
        <f t="shared" si="91"/>
        <v>"K12"</v>
      </c>
    </row>
    <row r="285" spans="1:52" x14ac:dyDescent="0.25">
      <c r="A285" s="609" t="s">
        <v>4180</v>
      </c>
      <c r="B285" s="1"/>
      <c r="C285" s="1"/>
      <c r="D285" s="2" t="s">
        <v>4180</v>
      </c>
      <c r="E285" s="1" t="s">
        <v>4180</v>
      </c>
      <c r="F285" s="457"/>
      <c r="G285" s="532"/>
      <c r="H285" s="490"/>
      <c r="I285" s="709"/>
      <c r="J285" s="669" t="s">
        <v>4180</v>
      </c>
      <c r="K285" s="15"/>
      <c r="M285" s="92"/>
      <c r="N285" s="41"/>
      <c r="O285" s="93">
        <v>2</v>
      </c>
      <c r="P285" s="41">
        <v>3</v>
      </c>
      <c r="Q285" s="41">
        <v>3</v>
      </c>
      <c r="R285" s="41">
        <f>ROUND($Q285*0.99^(R282-$Q282),2)</f>
        <v>2.97</v>
      </c>
      <c r="S285" s="41">
        <f>ROUND($Q285*0.99^(S282-$Q282),2)</f>
        <v>2.94</v>
      </c>
      <c r="T285" s="41">
        <f>ROUND($Q285*0.99^(T282-$Q282),2)</f>
        <v>2.91</v>
      </c>
      <c r="U285" s="198">
        <v>1</v>
      </c>
      <c r="V285" s="41">
        <v>6</v>
      </c>
      <c r="W285" s="41">
        <v>4</v>
      </c>
      <c r="X285" s="41">
        <v>2.5</v>
      </c>
      <c r="Y285" s="41">
        <v>7</v>
      </c>
      <c r="Z285" s="41">
        <v>11</v>
      </c>
      <c r="AA285" s="41">
        <v>8</v>
      </c>
      <c r="AB285" s="41">
        <v>9</v>
      </c>
      <c r="AC285" s="41">
        <v>13</v>
      </c>
      <c r="AD285" s="41">
        <v>10</v>
      </c>
      <c r="AE285" s="93"/>
      <c r="AF285" s="41"/>
      <c r="AG285" s="41"/>
      <c r="AH285" s="212" t="str">
        <f t="shared" si="78"/>
        <v/>
      </c>
      <c r="AI285" s="214" t="str">
        <f t="shared" si="92"/>
        <v/>
      </c>
      <c r="AJ285" s="214" t="str">
        <f t="shared" si="93"/>
        <v/>
      </c>
      <c r="AK285" s="214" t="str">
        <f t="shared" si="94"/>
        <v/>
      </c>
      <c r="AL285" s="214" t="str">
        <f t="shared" si="95"/>
        <v/>
      </c>
      <c r="AM285" s="214" t="str">
        <f t="shared" si="96"/>
        <v/>
      </c>
      <c r="AN285" s="213" t="str">
        <f t="shared" si="79"/>
        <v/>
      </c>
      <c r="AO285" s="213" t="str">
        <f t="shared" si="80"/>
        <v/>
      </c>
      <c r="AP285" s="213" t="str">
        <f t="shared" si="81"/>
        <v/>
      </c>
      <c r="AQ285" s="215" t="str">
        <f t="shared" si="82"/>
        <v/>
      </c>
      <c r="AR285" s="216" t="str">
        <f t="shared" si="83"/>
        <v/>
      </c>
      <c r="AS285" s="215" t="str">
        <f t="shared" si="84"/>
        <v/>
      </c>
      <c r="AT285">
        <f t="shared" si="85"/>
        <v>0</v>
      </c>
      <c r="AU285" s="216" t="str">
        <f t="shared" si="86"/>
        <v/>
      </c>
      <c r="AV285" s="215" t="str">
        <f t="shared" si="87"/>
        <v/>
      </c>
      <c r="AW285" s="216" t="str">
        <f t="shared" si="88"/>
        <v/>
      </c>
      <c r="AX285" s="215" t="str">
        <f t="shared" si="89"/>
        <v/>
      </c>
      <c r="AY285" t="str">
        <f t="shared" si="90"/>
        <v>2,94</v>
      </c>
      <c r="AZ285" t="str">
        <f t="shared" si="91"/>
        <v>2,91</v>
      </c>
    </row>
    <row r="286" spans="1:52" x14ac:dyDescent="0.25">
      <c r="A286" s="618" t="s">
        <v>4399</v>
      </c>
      <c r="B286" s="31" t="s">
        <v>5548</v>
      </c>
      <c r="C286" s="33" t="s">
        <v>3727</v>
      </c>
      <c r="D286" s="32" t="s">
        <v>1780</v>
      </c>
      <c r="E286" s="193" t="s">
        <v>4810</v>
      </c>
      <c r="F286" s="451">
        <f t="shared" ref="F286:F317" si="97">M286</f>
        <v>11.67</v>
      </c>
      <c r="G286" s="526">
        <v>11.67</v>
      </c>
      <c r="H286" s="484">
        <f t="shared" ref="H286:H317" si="98">IF(ISNUMBER(G286),ROUND(0.8*G286,2),"")</f>
        <v>9.34</v>
      </c>
      <c r="I286" s="703"/>
      <c r="J286" s="669" t="s">
        <v>5805</v>
      </c>
      <c r="K286" s="15"/>
      <c r="M286" s="49">
        <f t="shared" ref="M286:M317" si="99">N286+SUMIF(O286:AD286,"x",O$285:AD$285)</f>
        <v>11.67</v>
      </c>
      <c r="N286" s="41">
        <v>11.67</v>
      </c>
      <c r="O286" s="86"/>
      <c r="P286" s="15"/>
      <c r="S286" t="s">
        <v>4180</v>
      </c>
      <c r="T286" t="s">
        <v>4180</v>
      </c>
      <c r="U286" s="55"/>
      <c r="W286" s="65"/>
      <c r="X286" s="65"/>
      <c r="AA286" s="65"/>
      <c r="AD286" s="91"/>
      <c r="AE286" s="94"/>
      <c r="AF286" s="27"/>
      <c r="AG286" s="27"/>
      <c r="AH286" s="212" t="str">
        <f t="shared" si="78"/>
        <v/>
      </c>
      <c r="AI286" s="214" t="str">
        <f t="shared" si="92"/>
        <v/>
      </c>
      <c r="AJ286" s="214" t="str">
        <f t="shared" si="93"/>
        <v/>
      </c>
      <c r="AK286" s="214" t="str">
        <f t="shared" si="94"/>
        <v/>
      </c>
      <c r="AL286" s="214" t="str">
        <f t="shared" si="95"/>
        <v/>
      </c>
      <c r="AM286" s="214" t="str">
        <f t="shared" si="96"/>
        <v/>
      </c>
      <c r="AN286" s="213" t="str">
        <f t="shared" si="79"/>
        <v/>
      </c>
      <c r="AO286" s="213" t="str">
        <f t="shared" si="80"/>
        <v/>
      </c>
      <c r="AP286" s="213" t="str">
        <f t="shared" si="81"/>
        <v/>
      </c>
      <c r="AQ286" s="215" t="str">
        <f t="shared" si="82"/>
        <v/>
      </c>
      <c r="AR286" s="216" t="str">
        <f t="shared" si="83"/>
        <v>BiK51n------03</v>
      </c>
      <c r="AS286" s="215" t="str">
        <f t="shared" si="84"/>
        <v/>
      </c>
      <c r="AT286">
        <f t="shared" si="85"/>
        <v>14</v>
      </c>
      <c r="AU286" s="216" t="str">
        <f t="shared" si="86"/>
        <v>0-0,15 MW</v>
      </c>
      <c r="AV286" s="215" t="str">
        <f t="shared" si="87"/>
        <v/>
      </c>
      <c r="AW286" s="216" t="str">
        <f t="shared" si="88"/>
        <v>Anteil Nicht-KWK</v>
      </c>
      <c r="AX286" s="215" t="str">
        <f t="shared" si="89"/>
        <v/>
      </c>
      <c r="AY286" t="str">
        <f t="shared" si="90"/>
        <v/>
      </c>
      <c r="AZ286" t="str">
        <f t="shared" si="91"/>
        <v/>
      </c>
    </row>
    <row r="287" spans="1:52" x14ac:dyDescent="0.25">
      <c r="A287" s="610" t="s">
        <v>4032</v>
      </c>
      <c r="B287" s="30" t="s">
        <v>5548</v>
      </c>
      <c r="C287" s="30" t="s">
        <v>3727</v>
      </c>
      <c r="D287" s="21" t="s">
        <v>6869</v>
      </c>
      <c r="E287" s="30" t="s">
        <v>4331</v>
      </c>
      <c r="F287" s="452">
        <f t="shared" si="97"/>
        <v>14.67</v>
      </c>
      <c r="G287" s="527">
        <v>14.67</v>
      </c>
      <c r="H287" s="485">
        <f t="shared" si="98"/>
        <v>11.74</v>
      </c>
      <c r="I287" s="704"/>
      <c r="J287" s="669" t="s">
        <v>5805</v>
      </c>
      <c r="K287" s="15"/>
      <c r="M287" s="49">
        <f t="shared" si="99"/>
        <v>14.67</v>
      </c>
      <c r="N287" s="41">
        <v>11.67</v>
      </c>
      <c r="O287" s="86"/>
      <c r="P287" t="s">
        <v>1017</v>
      </c>
      <c r="S287" t="s">
        <v>4180</v>
      </c>
      <c r="T287" t="s">
        <v>4180</v>
      </c>
      <c r="U287" s="55"/>
      <c r="W287" s="65"/>
      <c r="X287" s="65"/>
      <c r="AA287" s="65"/>
      <c r="AD287" s="91"/>
      <c r="AE287" s="94"/>
      <c r="AF287" s="27"/>
      <c r="AG287" s="27"/>
      <c r="AH287" s="212" t="str">
        <f t="shared" si="78"/>
        <v/>
      </c>
      <c r="AI287" s="214" t="str">
        <f t="shared" si="92"/>
        <v/>
      </c>
      <c r="AJ287" s="214" t="str">
        <f t="shared" si="93"/>
        <v/>
      </c>
      <c r="AK287" s="214" t="str">
        <f t="shared" si="94"/>
        <v/>
      </c>
      <c r="AL287" s="214" t="str">
        <f t="shared" si="95"/>
        <v/>
      </c>
      <c r="AM287" s="214" t="str">
        <f t="shared" si="96"/>
        <v/>
      </c>
      <c r="AN287" s="213" t="str">
        <f t="shared" si="79"/>
        <v/>
      </c>
      <c r="AO287" s="213" t="str">
        <f t="shared" si="80"/>
        <v/>
      </c>
      <c r="AP287" s="213" t="str">
        <f t="shared" si="81"/>
        <v/>
      </c>
      <c r="AQ287" s="215" t="str">
        <f t="shared" si="82"/>
        <v/>
      </c>
      <c r="AR287" s="216" t="str">
        <f t="shared" si="83"/>
        <v>BiK51nKA3---03</v>
      </c>
      <c r="AS287" s="215" t="str">
        <f t="shared" si="84"/>
        <v/>
      </c>
      <c r="AT287">
        <f t="shared" si="85"/>
        <v>14</v>
      </c>
      <c r="AU287" s="216" t="str">
        <f t="shared" si="86"/>
        <v>0-0,15 MW, Bonusregel K wenn Anlage 3 erfüllt</v>
      </c>
      <c r="AV287" s="215" t="str">
        <f t="shared" si="87"/>
        <v/>
      </c>
      <c r="AW287" s="216" t="str">
        <f t="shared" si="88"/>
        <v>Anteil KWK gemäß Anlage 3</v>
      </c>
      <c r="AX287" s="215" t="str">
        <f t="shared" si="89"/>
        <v/>
      </c>
      <c r="AY287" t="str">
        <f t="shared" si="90"/>
        <v/>
      </c>
      <c r="AZ287" t="str">
        <f t="shared" si="91"/>
        <v/>
      </c>
    </row>
    <row r="288" spans="1:52" x14ac:dyDescent="0.25">
      <c r="A288" s="610" t="s">
        <v>2613</v>
      </c>
      <c r="B288" s="30" t="s">
        <v>5548</v>
      </c>
      <c r="C288" s="30" t="s">
        <v>3727</v>
      </c>
      <c r="D288" s="21" t="s">
        <v>6870</v>
      </c>
      <c r="E288" s="17" t="s">
        <v>674</v>
      </c>
      <c r="F288" s="452">
        <f t="shared" si="97"/>
        <v>14.67</v>
      </c>
      <c r="G288" s="527">
        <v>14.67</v>
      </c>
      <c r="H288" s="485">
        <f t="shared" si="98"/>
        <v>11.74</v>
      </c>
      <c r="I288" s="704"/>
      <c r="J288" s="669" t="s">
        <v>5805</v>
      </c>
      <c r="K288" s="15"/>
      <c r="M288" s="49">
        <f t="shared" si="99"/>
        <v>14.67</v>
      </c>
      <c r="N288" s="41">
        <v>11.67</v>
      </c>
      <c r="O288" s="86"/>
      <c r="P288" s="15"/>
      <c r="Q288" t="s">
        <v>1017</v>
      </c>
      <c r="S288" t="s">
        <v>4180</v>
      </c>
      <c r="T288" t="s">
        <v>4180</v>
      </c>
      <c r="U288" s="55"/>
      <c r="W288" s="65"/>
      <c r="X288" s="65"/>
      <c r="AA288" s="65"/>
      <c r="AD288" s="91"/>
      <c r="AE288" s="94"/>
      <c r="AF288" s="27"/>
      <c r="AG288" s="27"/>
      <c r="AH288" s="212" t="str">
        <f t="shared" si="78"/>
        <v/>
      </c>
      <c r="AI288" s="214" t="str">
        <f t="shared" si="92"/>
        <v/>
      </c>
      <c r="AJ288" s="214" t="str">
        <f t="shared" si="93"/>
        <v/>
      </c>
      <c r="AK288" s="214" t="str">
        <f t="shared" si="94"/>
        <v/>
      </c>
      <c r="AL288" s="214" t="str">
        <f t="shared" si="95"/>
        <v/>
      </c>
      <c r="AM288" s="214" t="str">
        <f t="shared" si="96"/>
        <v/>
      </c>
      <c r="AN288" s="213" t="str">
        <f t="shared" si="79"/>
        <v/>
      </c>
      <c r="AO288" s="213" t="str">
        <f t="shared" si="80"/>
        <v/>
      </c>
      <c r="AP288" s="213" t="str">
        <f t="shared" si="81"/>
        <v/>
      </c>
      <c r="AQ288" s="215" t="str">
        <f t="shared" si="82"/>
        <v/>
      </c>
      <c r="AR288" s="216" t="str">
        <f t="shared" si="83"/>
        <v>BiK51nK09---03</v>
      </c>
      <c r="AS288" s="215" t="str">
        <f t="shared" si="84"/>
        <v/>
      </c>
      <c r="AT288">
        <f t="shared" si="85"/>
        <v>14</v>
      </c>
      <c r="AU288" s="216" t="str">
        <f t="shared" si="86"/>
        <v>0-0,15 MW, Bonusregel K erstmals 2009</v>
      </c>
      <c r="AV288" s="215" t="str">
        <f t="shared" si="87"/>
        <v/>
      </c>
      <c r="AW288" s="216" t="str">
        <f t="shared" si="88"/>
        <v>Anteil KWK, erstmals 2009</v>
      </c>
      <c r="AX288" s="215" t="str">
        <f t="shared" si="89"/>
        <v/>
      </c>
      <c r="AY288" t="str">
        <f t="shared" si="90"/>
        <v/>
      </c>
      <c r="AZ288" t="str">
        <f t="shared" si="91"/>
        <v/>
      </c>
    </row>
    <row r="289" spans="1:52" x14ac:dyDescent="0.25">
      <c r="A289" s="610" t="s">
        <v>3248</v>
      </c>
      <c r="B289" s="30" t="s">
        <v>5548</v>
      </c>
      <c r="C289" s="30" t="s">
        <v>3727</v>
      </c>
      <c r="D289" s="21" t="s">
        <v>6871</v>
      </c>
      <c r="E289" s="30" t="s">
        <v>3567</v>
      </c>
      <c r="F289" s="452">
        <f t="shared" si="97"/>
        <v>14.64</v>
      </c>
      <c r="G289" s="527">
        <v>14.64</v>
      </c>
      <c r="H289" s="485">
        <f t="shared" si="98"/>
        <v>11.71</v>
      </c>
      <c r="I289" s="704"/>
      <c r="J289" s="669" t="s">
        <v>5805</v>
      </c>
      <c r="K289" s="15"/>
      <c r="M289" s="49">
        <f t="shared" si="99"/>
        <v>14.64</v>
      </c>
      <c r="N289" s="41">
        <v>11.67</v>
      </c>
      <c r="O289" s="86"/>
      <c r="P289" s="15"/>
      <c r="R289" t="s">
        <v>1017</v>
      </c>
      <c r="S289" t="s">
        <v>4180</v>
      </c>
      <c r="T289" t="s">
        <v>4180</v>
      </c>
      <c r="U289" s="55"/>
      <c r="W289" s="65"/>
      <c r="X289" s="65"/>
      <c r="AA289" s="65"/>
      <c r="AD289" s="91"/>
      <c r="AE289" s="94"/>
      <c r="AF289" s="27"/>
      <c r="AG289" s="27"/>
      <c r="AH289" s="212" t="str">
        <f t="shared" si="78"/>
        <v>2010</v>
      </c>
      <c r="AI289" s="214" t="str">
        <f t="shared" si="92"/>
        <v/>
      </c>
      <c r="AJ289" s="214" t="str">
        <f t="shared" si="93"/>
        <v/>
      </c>
      <c r="AK289" s="214" t="str">
        <f t="shared" si="94"/>
        <v/>
      </c>
      <c r="AL289" s="214" t="str">
        <f t="shared" si="95"/>
        <v/>
      </c>
      <c r="AM289" s="214" t="str">
        <f t="shared" si="96"/>
        <v/>
      </c>
      <c r="AN289" s="213" t="str">
        <f t="shared" si="79"/>
        <v>2010</v>
      </c>
      <c r="AO289" s="213" t="str">
        <f t="shared" si="80"/>
        <v>2010</v>
      </c>
      <c r="AP289" s="213" t="str">
        <f t="shared" si="81"/>
        <v>2010</v>
      </c>
      <c r="AQ289" s="215" t="str">
        <f t="shared" si="82"/>
        <v/>
      </c>
      <c r="AR289" s="216" t="str">
        <f t="shared" si="83"/>
        <v>BiK51nK10---03</v>
      </c>
      <c r="AS289" s="215" t="str">
        <f t="shared" si="84"/>
        <v/>
      </c>
      <c r="AT289">
        <f t="shared" si="85"/>
        <v>14</v>
      </c>
      <c r="AU289" s="216" t="str">
        <f t="shared" si="86"/>
        <v>0-0,15 MW, Bonusregel K erstmals 2010</v>
      </c>
      <c r="AV289" s="215" t="str">
        <f t="shared" si="87"/>
        <v/>
      </c>
      <c r="AW289" s="216" t="str">
        <f t="shared" si="88"/>
        <v>Anteil KWK, erstmals 2010</v>
      </c>
      <c r="AX289" s="215" t="str">
        <f t="shared" si="89"/>
        <v/>
      </c>
      <c r="AY289" t="str">
        <f t="shared" si="90"/>
        <v/>
      </c>
      <c r="AZ289" t="str">
        <f t="shared" si="91"/>
        <v/>
      </c>
    </row>
    <row r="290" spans="1:52" x14ac:dyDescent="0.25">
      <c r="A290" s="610" t="s">
        <v>5214</v>
      </c>
      <c r="B290" s="30" t="s">
        <v>5548</v>
      </c>
      <c r="C290" s="30" t="s">
        <v>3727</v>
      </c>
      <c r="D290" s="21" t="s">
        <v>6872</v>
      </c>
      <c r="E290" s="30" t="s">
        <v>3055</v>
      </c>
      <c r="F290" s="452">
        <f t="shared" si="97"/>
        <v>14.61</v>
      </c>
      <c r="G290" s="527">
        <v>14.61</v>
      </c>
      <c r="H290" s="485">
        <f t="shared" si="98"/>
        <v>11.69</v>
      </c>
      <c r="I290" s="704"/>
      <c r="J290" s="669" t="s">
        <v>5805</v>
      </c>
      <c r="K290" s="15"/>
      <c r="M290" s="49">
        <f t="shared" si="99"/>
        <v>14.61</v>
      </c>
      <c r="N290" s="41">
        <v>11.67</v>
      </c>
      <c r="O290" s="86"/>
      <c r="P290" s="15"/>
      <c r="S290" t="s">
        <v>1017</v>
      </c>
      <c r="T290" t="s">
        <v>4180</v>
      </c>
      <c r="U290" s="55"/>
      <c r="W290" s="65"/>
      <c r="X290" s="65"/>
      <c r="AA290" s="65"/>
      <c r="AD290" s="91"/>
      <c r="AE290" s="94"/>
      <c r="AF290" s="27"/>
      <c r="AG290" s="27"/>
      <c r="AH290" s="212" t="str">
        <f t="shared" si="78"/>
        <v>2011</v>
      </c>
      <c r="AI290" s="214" t="str">
        <f t="shared" si="92"/>
        <v/>
      </c>
      <c r="AJ290" s="214" t="str">
        <f t="shared" si="93"/>
        <v/>
      </c>
      <c r="AK290" s="214" t="str">
        <f t="shared" si="94"/>
        <v/>
      </c>
      <c r="AL290" s="214" t="str">
        <f t="shared" si="95"/>
        <v/>
      </c>
      <c r="AM290" s="214" t="str">
        <f t="shared" si="96"/>
        <v/>
      </c>
      <c r="AN290" s="213" t="str">
        <f t="shared" si="79"/>
        <v>2011</v>
      </c>
      <c r="AO290" s="213" t="str">
        <f t="shared" si="80"/>
        <v>2011</v>
      </c>
      <c r="AP290" s="213" t="str">
        <f t="shared" si="81"/>
        <v>2011</v>
      </c>
      <c r="AQ290" s="215" t="str">
        <f t="shared" si="82"/>
        <v/>
      </c>
      <c r="AR290" s="216" t="str">
        <f t="shared" si="83"/>
        <v>BiK51nK11---03</v>
      </c>
      <c r="AS290" s="215" t="str">
        <f t="shared" si="84"/>
        <v/>
      </c>
      <c r="AT290">
        <f t="shared" si="85"/>
        <v>14</v>
      </c>
      <c r="AU290" s="216" t="str">
        <f t="shared" si="86"/>
        <v>0-0,15 MW, Bonusregel K erstmals 2011</v>
      </c>
      <c r="AV290" s="215" t="str">
        <f t="shared" si="87"/>
        <v/>
      </c>
      <c r="AW290" s="216" t="str">
        <f t="shared" si="88"/>
        <v>Anteil KWK, erstmals 2011</v>
      </c>
      <c r="AX290" s="215" t="str">
        <f t="shared" si="89"/>
        <v/>
      </c>
      <c r="AY290" t="str">
        <f t="shared" si="90"/>
        <v>x</v>
      </c>
      <c r="AZ290" t="str">
        <f t="shared" si="91"/>
        <v/>
      </c>
    </row>
    <row r="291" spans="1:52" x14ac:dyDescent="0.25">
      <c r="A291" s="625" t="s">
        <v>3521</v>
      </c>
      <c r="B291" s="219" t="s">
        <v>5548</v>
      </c>
      <c r="C291" s="219" t="s">
        <v>3727</v>
      </c>
      <c r="D291" s="220" t="s">
        <v>6873</v>
      </c>
      <c r="E291" s="219" t="s">
        <v>1980</v>
      </c>
      <c r="F291" s="453">
        <f t="shared" si="97"/>
        <v>14.58</v>
      </c>
      <c r="G291" s="528">
        <v>14.58</v>
      </c>
      <c r="H291" s="486">
        <f t="shared" si="98"/>
        <v>11.66</v>
      </c>
      <c r="I291" s="705"/>
      <c r="J291" s="669" t="s">
        <v>5805</v>
      </c>
      <c r="K291" s="15"/>
      <c r="M291" s="49">
        <f t="shared" si="99"/>
        <v>14.58</v>
      </c>
      <c r="N291" s="41">
        <v>11.67</v>
      </c>
      <c r="O291" s="86"/>
      <c r="P291" s="15"/>
      <c r="S291" t="s">
        <v>4180</v>
      </c>
      <c r="T291" t="s">
        <v>1017</v>
      </c>
      <c r="U291" s="55"/>
      <c r="W291" s="65"/>
      <c r="X291" s="65"/>
      <c r="AA291" s="65"/>
      <c r="AD291" s="91"/>
      <c r="AE291" s="94"/>
      <c r="AF291" s="27"/>
      <c r="AG291" s="27"/>
      <c r="AH291" s="217" t="s">
        <v>4179</v>
      </c>
      <c r="AI291" s="214" t="str">
        <f t="shared" si="92"/>
        <v/>
      </c>
      <c r="AJ291" s="214" t="str">
        <f t="shared" si="93"/>
        <v/>
      </c>
      <c r="AK291" s="214" t="str">
        <f t="shared" si="94"/>
        <v/>
      </c>
      <c r="AL291" s="214" t="str">
        <f t="shared" si="95"/>
        <v/>
      </c>
      <c r="AM291" s="214" t="str">
        <f t="shared" si="96"/>
        <v/>
      </c>
      <c r="AN291" s="213" t="str">
        <f t="shared" si="79"/>
        <v>2012</v>
      </c>
      <c r="AO291" s="213" t="str">
        <f t="shared" si="80"/>
        <v>2012</v>
      </c>
      <c r="AP291" s="213" t="str">
        <f t="shared" si="81"/>
        <v>2012</v>
      </c>
      <c r="AQ291" s="215" t="str">
        <f t="shared" si="82"/>
        <v/>
      </c>
      <c r="AR291" s="216" t="str">
        <f t="shared" si="83"/>
        <v>BiK51nK12---03</v>
      </c>
      <c r="AS291" s="215" t="str">
        <f t="shared" si="84"/>
        <v/>
      </c>
      <c r="AT291">
        <f t="shared" si="85"/>
        <v>14</v>
      </c>
      <c r="AU291" s="216" t="str">
        <f t="shared" si="86"/>
        <v>0-0,15 MW, Bonusregel K erstmals 2012</v>
      </c>
      <c r="AV291" s="215" t="str">
        <f t="shared" si="87"/>
        <v/>
      </c>
      <c r="AW291" s="216" t="str">
        <f t="shared" si="88"/>
        <v>Anteil KWK, erstmals 2012</v>
      </c>
      <c r="AX291" s="215" t="str">
        <f t="shared" si="89"/>
        <v/>
      </c>
      <c r="AY291" t="str">
        <f t="shared" si="90"/>
        <v/>
      </c>
      <c r="AZ291" t="str">
        <f t="shared" si="91"/>
        <v>x</v>
      </c>
    </row>
    <row r="292" spans="1:52" x14ac:dyDescent="0.25">
      <c r="A292" s="610" t="s">
        <v>1373</v>
      </c>
      <c r="B292" s="17" t="s">
        <v>5548</v>
      </c>
      <c r="C292" s="30" t="s">
        <v>3727</v>
      </c>
      <c r="D292" s="21" t="s">
        <v>6874</v>
      </c>
      <c r="E292" s="194" t="s">
        <v>4810</v>
      </c>
      <c r="F292" s="452">
        <f t="shared" si="97"/>
        <v>12.67</v>
      </c>
      <c r="G292" s="527">
        <v>12.67</v>
      </c>
      <c r="H292" s="485">
        <f t="shared" si="98"/>
        <v>10.14</v>
      </c>
      <c r="I292" s="704"/>
      <c r="J292" s="669" t="s">
        <v>5805</v>
      </c>
      <c r="K292" s="15"/>
      <c r="M292" s="49">
        <f t="shared" si="99"/>
        <v>12.67</v>
      </c>
      <c r="N292" s="41">
        <v>11.67</v>
      </c>
      <c r="O292" s="86"/>
      <c r="P292" s="15"/>
      <c r="S292" t="s">
        <v>4180</v>
      </c>
      <c r="T292" t="s">
        <v>4180</v>
      </c>
      <c r="U292" s="55" t="s">
        <v>1017</v>
      </c>
      <c r="W292" s="65"/>
      <c r="X292" s="65"/>
      <c r="AA292" s="65"/>
      <c r="AD292" s="91"/>
      <c r="AE292" s="94"/>
      <c r="AF292" s="27"/>
      <c r="AG292" s="27"/>
      <c r="AH292" s="212" t="str">
        <f>IF(ISERROR(SEARCH("K erstmals 201",D292)),"",RIGHT(D292,4))</f>
        <v/>
      </c>
      <c r="AI292" s="214" t="str">
        <f t="shared" si="92"/>
        <v/>
      </c>
      <c r="AJ292" s="214" t="str">
        <f t="shared" si="93"/>
        <v/>
      </c>
      <c r="AK292" s="214" t="str">
        <f t="shared" si="94"/>
        <v/>
      </c>
      <c r="AL292" s="214" t="str">
        <f t="shared" si="95"/>
        <v/>
      </c>
      <c r="AM292" s="214" t="str">
        <f t="shared" si="96"/>
        <v/>
      </c>
      <c r="AN292" s="213" t="str">
        <f t="shared" si="79"/>
        <v/>
      </c>
      <c r="AO292" s="213" t="str">
        <f t="shared" si="80"/>
        <v/>
      </c>
      <c r="AP292" s="213" t="str">
        <f t="shared" si="81"/>
        <v/>
      </c>
      <c r="AQ292" s="215" t="str">
        <f t="shared" si="82"/>
        <v/>
      </c>
      <c r="AR292" s="216" t="str">
        <f t="shared" si="83"/>
        <v>BiK51ny-----03</v>
      </c>
      <c r="AS292" s="215" t="str">
        <f t="shared" si="84"/>
        <v/>
      </c>
      <c r="AT292">
        <f t="shared" si="85"/>
        <v>14</v>
      </c>
      <c r="AU292" s="216" t="str">
        <f t="shared" si="86"/>
        <v>0-0,15 MW, Bonusregel y</v>
      </c>
      <c r="AV292" s="215" t="str">
        <f t="shared" si="87"/>
        <v/>
      </c>
      <c r="AW292" s="216" t="str">
        <f t="shared" si="88"/>
        <v>Anteil Nicht-KWK</v>
      </c>
      <c r="AX292" s="215" t="str">
        <f t="shared" si="89"/>
        <v/>
      </c>
      <c r="AY292" t="str">
        <f t="shared" si="90"/>
        <v/>
      </c>
      <c r="AZ292" t="str">
        <f t="shared" si="91"/>
        <v/>
      </c>
    </row>
    <row r="293" spans="1:52" x14ac:dyDescent="0.25">
      <c r="A293" s="610" t="s">
        <v>3050</v>
      </c>
      <c r="B293" s="30" t="s">
        <v>5548</v>
      </c>
      <c r="C293" s="30" t="s">
        <v>3727</v>
      </c>
      <c r="D293" s="21" t="s">
        <v>7361</v>
      </c>
      <c r="E293" s="30" t="s">
        <v>4331</v>
      </c>
      <c r="F293" s="452">
        <f t="shared" si="97"/>
        <v>15.67</v>
      </c>
      <c r="G293" s="527">
        <v>15.67</v>
      </c>
      <c r="H293" s="485">
        <f t="shared" si="98"/>
        <v>12.54</v>
      </c>
      <c r="I293" s="704"/>
      <c r="J293" s="669" t="s">
        <v>5805</v>
      </c>
      <c r="K293" s="15"/>
      <c r="M293" s="49">
        <f t="shared" si="99"/>
        <v>15.67</v>
      </c>
      <c r="N293" s="41">
        <v>11.67</v>
      </c>
      <c r="O293" s="86"/>
      <c r="P293" t="s">
        <v>1017</v>
      </c>
      <c r="S293" t="s">
        <v>4180</v>
      </c>
      <c r="T293" t="s">
        <v>4180</v>
      </c>
      <c r="U293" s="55" t="s">
        <v>1017</v>
      </c>
      <c r="W293" s="65"/>
      <c r="X293" s="65"/>
      <c r="AA293" s="65"/>
      <c r="AD293" s="91"/>
      <c r="AE293" s="94"/>
      <c r="AF293" s="27"/>
      <c r="AG293" s="27"/>
      <c r="AH293" s="212" t="str">
        <f>IF(ISERROR(SEARCH("K erstmals 201",D293)),"",RIGHT(D293,4))</f>
        <v/>
      </c>
      <c r="AI293" s="214" t="str">
        <f t="shared" si="92"/>
        <v/>
      </c>
      <c r="AJ293" s="214" t="str">
        <f t="shared" si="93"/>
        <v/>
      </c>
      <c r="AK293" s="214" t="str">
        <f t="shared" si="94"/>
        <v/>
      </c>
      <c r="AL293" s="214" t="str">
        <f t="shared" si="95"/>
        <v/>
      </c>
      <c r="AM293" s="214" t="str">
        <f t="shared" si="96"/>
        <v/>
      </c>
      <c r="AN293" s="213" t="str">
        <f t="shared" si="79"/>
        <v/>
      </c>
      <c r="AO293" s="213" t="str">
        <f t="shared" si="80"/>
        <v/>
      </c>
      <c r="AP293" s="213" t="str">
        <f t="shared" si="81"/>
        <v/>
      </c>
      <c r="AQ293" s="215" t="str">
        <f t="shared" si="82"/>
        <v/>
      </c>
      <c r="AR293" s="216" t="str">
        <f t="shared" si="83"/>
        <v>BiK51nKA3y--03</v>
      </c>
      <c r="AS293" s="215" t="str">
        <f t="shared" si="84"/>
        <v/>
      </c>
      <c r="AT293">
        <f t="shared" si="85"/>
        <v>14</v>
      </c>
      <c r="AU293" s="216" t="str">
        <f t="shared" si="86"/>
        <v>0-0,15 MW, Bonusregeln y und wenn Anlage 3 erfüllt</v>
      </c>
      <c r="AV293" s="215" t="str">
        <f t="shared" si="87"/>
        <v/>
      </c>
      <c r="AW293" s="216" t="str">
        <f t="shared" si="88"/>
        <v>Anteil KWK gemäß Anlage 3</v>
      </c>
      <c r="AX293" s="215" t="str">
        <f t="shared" si="89"/>
        <v/>
      </c>
      <c r="AY293" t="str">
        <f t="shared" si="90"/>
        <v/>
      </c>
      <c r="AZ293" t="str">
        <f t="shared" si="91"/>
        <v/>
      </c>
    </row>
    <row r="294" spans="1:52" x14ac:dyDescent="0.25">
      <c r="A294" s="610" t="s">
        <v>3051</v>
      </c>
      <c r="B294" s="30" t="s">
        <v>5548</v>
      </c>
      <c r="C294" s="30" t="s">
        <v>3727</v>
      </c>
      <c r="D294" s="21" t="s">
        <v>6877</v>
      </c>
      <c r="E294" s="17" t="s">
        <v>674</v>
      </c>
      <c r="F294" s="452">
        <f t="shared" si="97"/>
        <v>15.67</v>
      </c>
      <c r="G294" s="527">
        <v>15.67</v>
      </c>
      <c r="H294" s="485">
        <f t="shared" si="98"/>
        <v>12.54</v>
      </c>
      <c r="I294" s="704"/>
      <c r="J294" s="669" t="s">
        <v>5805</v>
      </c>
      <c r="K294" s="15"/>
      <c r="M294" s="49">
        <f t="shared" si="99"/>
        <v>15.67</v>
      </c>
      <c r="N294" s="41">
        <v>11.67</v>
      </c>
      <c r="O294" s="86"/>
      <c r="P294" s="15"/>
      <c r="Q294" t="s">
        <v>1017</v>
      </c>
      <c r="S294" t="s">
        <v>4180</v>
      </c>
      <c r="T294" t="s">
        <v>4180</v>
      </c>
      <c r="U294" s="55" t="s">
        <v>1017</v>
      </c>
      <c r="W294" s="65"/>
      <c r="X294" s="65"/>
      <c r="AA294" s="65"/>
      <c r="AD294" s="91"/>
      <c r="AE294" s="94"/>
      <c r="AF294" s="27"/>
      <c r="AG294" s="27"/>
      <c r="AH294" s="212" t="str">
        <f>IF(ISERROR(SEARCH("K erstmals 201",D294)),"",RIGHT(D294,4))</f>
        <v/>
      </c>
      <c r="AI294" s="214" t="str">
        <f t="shared" si="92"/>
        <v/>
      </c>
      <c r="AJ294" s="214" t="str">
        <f t="shared" si="93"/>
        <v/>
      </c>
      <c r="AK294" s="214" t="str">
        <f t="shared" si="94"/>
        <v/>
      </c>
      <c r="AL294" s="214" t="str">
        <f t="shared" si="95"/>
        <v/>
      </c>
      <c r="AM294" s="214" t="str">
        <f t="shared" si="96"/>
        <v/>
      </c>
      <c r="AN294" s="213" t="str">
        <f t="shared" si="79"/>
        <v/>
      </c>
      <c r="AO294" s="213" t="str">
        <f t="shared" si="80"/>
        <v/>
      </c>
      <c r="AP294" s="213" t="str">
        <f t="shared" si="81"/>
        <v/>
      </c>
      <c r="AQ294" s="215" t="str">
        <f t="shared" si="82"/>
        <v/>
      </c>
      <c r="AR294" s="216" t="str">
        <f t="shared" si="83"/>
        <v>BiK51nK09y--03</v>
      </c>
      <c r="AS294" s="215" t="str">
        <f t="shared" si="84"/>
        <v/>
      </c>
      <c r="AT294">
        <f t="shared" si="85"/>
        <v>14</v>
      </c>
      <c r="AU294" s="216" t="str">
        <f t="shared" si="86"/>
        <v>0-0,15 MW, Bonusregeln y und K erstmals 2009</v>
      </c>
      <c r="AV294" s="215" t="str">
        <f t="shared" si="87"/>
        <v/>
      </c>
      <c r="AW294" s="216" t="str">
        <f t="shared" si="88"/>
        <v>Anteil KWK, erstmals 2009</v>
      </c>
      <c r="AX294" s="215" t="str">
        <f t="shared" si="89"/>
        <v/>
      </c>
      <c r="AY294" t="str">
        <f t="shared" si="90"/>
        <v/>
      </c>
      <c r="AZ294" t="str">
        <f t="shared" si="91"/>
        <v/>
      </c>
    </row>
    <row r="295" spans="1:52" x14ac:dyDescent="0.25">
      <c r="A295" s="610" t="s">
        <v>3249</v>
      </c>
      <c r="B295" s="30" t="s">
        <v>5548</v>
      </c>
      <c r="C295" s="30" t="s">
        <v>3727</v>
      </c>
      <c r="D295" s="21" t="s">
        <v>6878</v>
      </c>
      <c r="E295" s="30" t="s">
        <v>3567</v>
      </c>
      <c r="F295" s="452">
        <f t="shared" si="97"/>
        <v>15.64</v>
      </c>
      <c r="G295" s="527">
        <v>15.64</v>
      </c>
      <c r="H295" s="485">
        <f t="shared" si="98"/>
        <v>12.51</v>
      </c>
      <c r="I295" s="704"/>
      <c r="J295" s="669" t="s">
        <v>5805</v>
      </c>
      <c r="K295" s="15"/>
      <c r="M295" s="49">
        <f t="shared" si="99"/>
        <v>15.64</v>
      </c>
      <c r="N295" s="41">
        <v>11.67</v>
      </c>
      <c r="O295" s="86"/>
      <c r="P295" s="15"/>
      <c r="R295" t="s">
        <v>1017</v>
      </c>
      <c r="S295" t="s">
        <v>4180</v>
      </c>
      <c r="T295" t="s">
        <v>4180</v>
      </c>
      <c r="U295" s="55" t="s">
        <v>1017</v>
      </c>
      <c r="W295" s="65"/>
      <c r="X295" s="65"/>
      <c r="AA295" s="65"/>
      <c r="AD295" s="91"/>
      <c r="AE295" s="94"/>
      <c r="AF295" s="27"/>
      <c r="AG295" s="27"/>
      <c r="AH295" s="212" t="str">
        <f>IF(ISERROR(SEARCH("K erstmals 201",D295)),"",RIGHT(D295,4))</f>
        <v>2010</v>
      </c>
      <c r="AI295" s="214" t="str">
        <f t="shared" si="92"/>
        <v/>
      </c>
      <c r="AJ295" s="214" t="str">
        <f t="shared" si="93"/>
        <v/>
      </c>
      <c r="AK295" s="214" t="str">
        <f t="shared" si="94"/>
        <v/>
      </c>
      <c r="AL295" s="214" t="str">
        <f t="shared" si="95"/>
        <v/>
      </c>
      <c r="AM295" s="214" t="str">
        <f t="shared" si="96"/>
        <v/>
      </c>
      <c r="AN295" s="213" t="str">
        <f t="shared" si="79"/>
        <v>2010</v>
      </c>
      <c r="AO295" s="213" t="str">
        <f t="shared" si="80"/>
        <v>2010</v>
      </c>
      <c r="AP295" s="213" t="str">
        <f t="shared" si="81"/>
        <v>2010</v>
      </c>
      <c r="AQ295" s="215" t="str">
        <f t="shared" si="82"/>
        <v/>
      </c>
      <c r="AR295" s="216" t="str">
        <f t="shared" si="83"/>
        <v>BiK51nK10y--03</v>
      </c>
      <c r="AS295" s="215" t="str">
        <f t="shared" si="84"/>
        <v/>
      </c>
      <c r="AT295">
        <f t="shared" si="85"/>
        <v>14</v>
      </c>
      <c r="AU295" s="216" t="str">
        <f t="shared" si="86"/>
        <v>0-0,15 MW, Bonusregeln y und K erstmals 2010</v>
      </c>
      <c r="AV295" s="215" t="str">
        <f t="shared" si="87"/>
        <v/>
      </c>
      <c r="AW295" s="216" t="str">
        <f t="shared" si="88"/>
        <v>Anteil KWK, erstmals 2010</v>
      </c>
      <c r="AX295" s="215" t="str">
        <f t="shared" si="89"/>
        <v/>
      </c>
      <c r="AY295" t="str">
        <f t="shared" si="90"/>
        <v/>
      </c>
      <c r="AZ295" t="str">
        <f t="shared" si="91"/>
        <v/>
      </c>
    </row>
    <row r="296" spans="1:52" x14ac:dyDescent="0.25">
      <c r="A296" s="610" t="s">
        <v>5215</v>
      </c>
      <c r="B296" s="30" t="s">
        <v>5548</v>
      </c>
      <c r="C296" s="30" t="s">
        <v>3727</v>
      </c>
      <c r="D296" s="21" t="s">
        <v>6879</v>
      </c>
      <c r="E296" s="30" t="s">
        <v>3055</v>
      </c>
      <c r="F296" s="452">
        <f t="shared" si="97"/>
        <v>15.61</v>
      </c>
      <c r="G296" s="527">
        <v>15.61</v>
      </c>
      <c r="H296" s="485">
        <f t="shared" si="98"/>
        <v>12.49</v>
      </c>
      <c r="I296" s="704"/>
      <c r="J296" s="669" t="s">
        <v>5805</v>
      </c>
      <c r="K296" s="15"/>
      <c r="M296" s="49">
        <f t="shared" si="99"/>
        <v>15.61</v>
      </c>
      <c r="N296" s="41">
        <v>11.67</v>
      </c>
      <c r="O296" s="86"/>
      <c r="P296" s="15"/>
      <c r="S296" t="s">
        <v>1017</v>
      </c>
      <c r="T296" t="s">
        <v>4180</v>
      </c>
      <c r="U296" s="55" t="s">
        <v>1017</v>
      </c>
      <c r="W296" s="65"/>
      <c r="X296" s="65"/>
      <c r="AA296" s="65"/>
      <c r="AD296" s="91"/>
      <c r="AE296" s="94"/>
      <c r="AF296" s="27"/>
      <c r="AG296" s="27"/>
      <c r="AH296" s="212" t="str">
        <f>IF(ISERROR(SEARCH("K erstmals 201",D296)),"",RIGHT(D296,4))</f>
        <v>2011</v>
      </c>
      <c r="AI296" s="214" t="str">
        <f t="shared" si="92"/>
        <v/>
      </c>
      <c r="AJ296" s="214" t="str">
        <f t="shared" si="93"/>
        <v/>
      </c>
      <c r="AK296" s="214" t="str">
        <f t="shared" si="94"/>
        <v/>
      </c>
      <c r="AL296" s="214" t="str">
        <f t="shared" si="95"/>
        <v/>
      </c>
      <c r="AM296" s="214" t="str">
        <f t="shared" si="96"/>
        <v/>
      </c>
      <c r="AN296" s="213" t="str">
        <f t="shared" si="79"/>
        <v>2011</v>
      </c>
      <c r="AO296" s="213" t="str">
        <f t="shared" si="80"/>
        <v>2011</v>
      </c>
      <c r="AP296" s="213" t="str">
        <f t="shared" si="81"/>
        <v>2011</v>
      </c>
      <c r="AQ296" s="215" t="str">
        <f t="shared" si="82"/>
        <v/>
      </c>
      <c r="AR296" s="216" t="str">
        <f t="shared" si="83"/>
        <v>BiK51nK11y--03</v>
      </c>
      <c r="AS296" s="215" t="str">
        <f t="shared" si="84"/>
        <v/>
      </c>
      <c r="AT296">
        <f t="shared" si="85"/>
        <v>14</v>
      </c>
      <c r="AU296" s="216" t="str">
        <f t="shared" si="86"/>
        <v>0-0,15 MW, Bonusregeln y und K erstmals 2011</v>
      </c>
      <c r="AV296" s="215" t="str">
        <f t="shared" si="87"/>
        <v/>
      </c>
      <c r="AW296" s="216" t="str">
        <f t="shared" si="88"/>
        <v>Anteil KWK, erstmals 2011</v>
      </c>
      <c r="AX296" s="215" t="str">
        <f t="shared" si="89"/>
        <v/>
      </c>
      <c r="AY296" t="str">
        <f t="shared" si="90"/>
        <v>x</v>
      </c>
      <c r="AZ296" t="str">
        <f t="shared" si="91"/>
        <v/>
      </c>
    </row>
    <row r="297" spans="1:52" x14ac:dyDescent="0.25">
      <c r="A297" s="625" t="s">
        <v>3522</v>
      </c>
      <c r="B297" s="219" t="s">
        <v>5548</v>
      </c>
      <c r="C297" s="219" t="s">
        <v>3727</v>
      </c>
      <c r="D297" s="220" t="s">
        <v>6880</v>
      </c>
      <c r="E297" s="219" t="s">
        <v>1980</v>
      </c>
      <c r="F297" s="453">
        <f t="shared" si="97"/>
        <v>15.58</v>
      </c>
      <c r="G297" s="528">
        <v>15.58</v>
      </c>
      <c r="H297" s="486">
        <f t="shared" si="98"/>
        <v>12.46</v>
      </c>
      <c r="I297" s="705"/>
      <c r="J297" s="669" t="s">
        <v>5805</v>
      </c>
      <c r="K297" s="15"/>
      <c r="M297" s="49">
        <f t="shared" si="99"/>
        <v>15.58</v>
      </c>
      <c r="N297" s="41">
        <v>11.67</v>
      </c>
      <c r="O297" s="86"/>
      <c r="P297" s="15"/>
      <c r="S297" t="s">
        <v>4180</v>
      </c>
      <c r="T297" t="s">
        <v>1017</v>
      </c>
      <c r="U297" s="55" t="s">
        <v>1017</v>
      </c>
      <c r="W297" s="65"/>
      <c r="X297" s="65"/>
      <c r="AA297" s="65"/>
      <c r="AD297" s="91"/>
      <c r="AE297" s="94"/>
      <c r="AF297" s="27"/>
      <c r="AG297" s="27"/>
      <c r="AH297" s="217" t="s">
        <v>4179</v>
      </c>
      <c r="AI297" s="214" t="str">
        <f t="shared" si="92"/>
        <v/>
      </c>
      <c r="AJ297" s="214" t="str">
        <f t="shared" si="93"/>
        <v/>
      </c>
      <c r="AK297" s="214" t="str">
        <f t="shared" si="94"/>
        <v/>
      </c>
      <c r="AL297" s="214" t="str">
        <f t="shared" si="95"/>
        <v/>
      </c>
      <c r="AM297" s="214" t="str">
        <f t="shared" si="96"/>
        <v/>
      </c>
      <c r="AN297" s="213" t="str">
        <f t="shared" si="79"/>
        <v>2012</v>
      </c>
      <c r="AO297" s="213" t="str">
        <f t="shared" si="80"/>
        <v>2012</v>
      </c>
      <c r="AP297" s="213" t="str">
        <f t="shared" si="81"/>
        <v>2012</v>
      </c>
      <c r="AQ297" s="215" t="str">
        <f t="shared" si="82"/>
        <v/>
      </c>
      <c r="AR297" s="216" t="str">
        <f t="shared" si="83"/>
        <v>BiK51nK12y--03</v>
      </c>
      <c r="AS297" s="215" t="str">
        <f t="shared" si="84"/>
        <v/>
      </c>
      <c r="AT297">
        <f t="shared" si="85"/>
        <v>14</v>
      </c>
      <c r="AU297" s="216" t="str">
        <f t="shared" si="86"/>
        <v>0-0,15 MW, Bonusregeln y und K erstmals 2012</v>
      </c>
      <c r="AV297" s="215" t="str">
        <f t="shared" si="87"/>
        <v/>
      </c>
      <c r="AW297" s="216" t="str">
        <f t="shared" si="88"/>
        <v>Anteil KWK, erstmals 2012</v>
      </c>
      <c r="AX297" s="215" t="str">
        <f t="shared" si="89"/>
        <v/>
      </c>
      <c r="AY297" t="str">
        <f t="shared" si="90"/>
        <v/>
      </c>
      <c r="AZ297" t="str">
        <f t="shared" si="91"/>
        <v>x</v>
      </c>
    </row>
    <row r="298" spans="1:52" x14ac:dyDescent="0.25">
      <c r="A298" s="618" t="s">
        <v>4400</v>
      </c>
      <c r="B298" s="33" t="s">
        <v>5548</v>
      </c>
      <c r="C298" s="33" t="s">
        <v>3727</v>
      </c>
      <c r="D298" s="32" t="s">
        <v>7351</v>
      </c>
      <c r="E298" s="193" t="s">
        <v>4810</v>
      </c>
      <c r="F298" s="451">
        <f t="shared" si="97"/>
        <v>17.670000000000002</v>
      </c>
      <c r="G298" s="526">
        <v>17.670000000000002</v>
      </c>
      <c r="H298" s="484">
        <f t="shared" si="98"/>
        <v>14.14</v>
      </c>
      <c r="I298" s="703"/>
      <c r="J298" s="669" t="s">
        <v>5805</v>
      </c>
      <c r="K298" s="15"/>
      <c r="M298" s="49">
        <f t="shared" si="99"/>
        <v>17.670000000000002</v>
      </c>
      <c r="N298" s="41">
        <v>11.67</v>
      </c>
      <c r="O298" s="86"/>
      <c r="P298" s="15"/>
      <c r="S298" t="s">
        <v>4180</v>
      </c>
      <c r="T298" t="s">
        <v>4180</v>
      </c>
      <c r="U298" s="55"/>
      <c r="V298" t="s">
        <v>1017</v>
      </c>
      <c r="W298" s="65"/>
      <c r="X298" s="65"/>
      <c r="AA298" s="65"/>
      <c r="AD298" s="91"/>
      <c r="AE298" s="94"/>
      <c r="AF298" s="27"/>
      <c r="AG298" s="27"/>
      <c r="AH298" s="212" t="str">
        <f>IF(ISERROR(SEARCH("K erstmals 201",D298)),"",RIGHT(D298,4))</f>
        <v/>
      </c>
      <c r="AI298" s="214" t="str">
        <f t="shared" si="92"/>
        <v/>
      </c>
      <c r="AJ298" s="214" t="str">
        <f t="shared" si="93"/>
        <v/>
      </c>
      <c r="AK298" s="214" t="str">
        <f t="shared" si="94"/>
        <v/>
      </c>
      <c r="AL298" s="214" t="str">
        <f t="shared" si="95"/>
        <v/>
      </c>
      <c r="AM298" s="214" t="str">
        <f t="shared" si="96"/>
        <v/>
      </c>
      <c r="AN298" s="213" t="str">
        <f t="shared" si="79"/>
        <v/>
      </c>
      <c r="AO298" s="213" t="str">
        <f t="shared" si="80"/>
        <v/>
      </c>
      <c r="AP298" s="213" t="str">
        <f t="shared" si="81"/>
        <v/>
      </c>
      <c r="AQ298" s="215" t="str">
        <f t="shared" si="82"/>
        <v/>
      </c>
      <c r="AR298" s="216" t="str">
        <f t="shared" si="83"/>
        <v>BiK51na1----03</v>
      </c>
      <c r="AS298" s="215" t="str">
        <f t="shared" si="84"/>
        <v/>
      </c>
      <c r="AT298">
        <f t="shared" si="85"/>
        <v>14</v>
      </c>
      <c r="AU298" s="216" t="str">
        <f t="shared" si="86"/>
        <v>0-0,15 MW; Bonusregel a1</v>
      </c>
      <c r="AV298" s="215" t="str">
        <f t="shared" si="87"/>
        <v/>
      </c>
      <c r="AW298" s="216" t="str">
        <f t="shared" si="88"/>
        <v>Anteil Nicht-KWK</v>
      </c>
      <c r="AX298" s="215" t="str">
        <f t="shared" si="89"/>
        <v/>
      </c>
      <c r="AY298" t="str">
        <f t="shared" si="90"/>
        <v/>
      </c>
      <c r="AZ298" t="str">
        <f t="shared" si="91"/>
        <v/>
      </c>
    </row>
    <row r="299" spans="1:52" x14ac:dyDescent="0.25">
      <c r="A299" s="610" t="s">
        <v>4033</v>
      </c>
      <c r="B299" s="30" t="s">
        <v>5548</v>
      </c>
      <c r="C299" s="30" t="s">
        <v>3727</v>
      </c>
      <c r="D299" s="21" t="s">
        <v>7352</v>
      </c>
      <c r="E299" s="30" t="s">
        <v>4331</v>
      </c>
      <c r="F299" s="452">
        <f t="shared" si="97"/>
        <v>20.67</v>
      </c>
      <c r="G299" s="527">
        <v>20.67</v>
      </c>
      <c r="H299" s="485">
        <f t="shared" si="98"/>
        <v>16.54</v>
      </c>
      <c r="I299" s="704"/>
      <c r="J299" s="669" t="s">
        <v>5805</v>
      </c>
      <c r="K299" s="15"/>
      <c r="M299" s="49">
        <f t="shared" si="99"/>
        <v>20.67</v>
      </c>
      <c r="N299" s="41">
        <v>11.67</v>
      </c>
      <c r="O299" s="86"/>
      <c r="P299" t="s">
        <v>1017</v>
      </c>
      <c r="S299" t="s">
        <v>4180</v>
      </c>
      <c r="T299" t="s">
        <v>4180</v>
      </c>
      <c r="U299" s="55"/>
      <c r="V299" t="s">
        <v>1017</v>
      </c>
      <c r="W299" s="65"/>
      <c r="X299" s="65"/>
      <c r="AA299" s="65"/>
      <c r="AD299" s="91"/>
      <c r="AE299" s="94"/>
      <c r="AF299" s="27"/>
      <c r="AG299" s="27"/>
      <c r="AH299" s="212" t="str">
        <f>IF(ISERROR(SEARCH("K erstmals 201",D299)),"",RIGHT(D299,4))</f>
        <v/>
      </c>
      <c r="AI299" s="214" t="str">
        <f t="shared" si="92"/>
        <v/>
      </c>
      <c r="AJ299" s="214" t="str">
        <f t="shared" si="93"/>
        <v/>
      </c>
      <c r="AK299" s="214" t="str">
        <f t="shared" si="94"/>
        <v/>
      </c>
      <c r="AL299" s="214" t="str">
        <f t="shared" si="95"/>
        <v/>
      </c>
      <c r="AM299" s="214" t="str">
        <f t="shared" si="96"/>
        <v/>
      </c>
      <c r="AN299" s="213" t="str">
        <f t="shared" si="79"/>
        <v/>
      </c>
      <c r="AO299" s="213" t="str">
        <f t="shared" si="80"/>
        <v/>
      </c>
      <c r="AP299" s="213" t="str">
        <f t="shared" si="81"/>
        <v/>
      </c>
      <c r="AQ299" s="215" t="str">
        <f t="shared" si="82"/>
        <v/>
      </c>
      <c r="AR299" s="216" t="str">
        <f t="shared" si="83"/>
        <v>BiK51na1KA3-03</v>
      </c>
      <c r="AS299" s="215" t="str">
        <f t="shared" si="84"/>
        <v/>
      </c>
      <c r="AT299">
        <f t="shared" si="85"/>
        <v>14</v>
      </c>
      <c r="AU299" s="216" t="str">
        <f t="shared" si="86"/>
        <v>0-0,15 MW, Bonusregeln a1, K wenn Anlage 3 erfüllt</v>
      </c>
      <c r="AV299" s="215" t="str">
        <f t="shared" si="87"/>
        <v/>
      </c>
      <c r="AW299" s="216" t="str">
        <f t="shared" si="88"/>
        <v>Anteil KWK gemäß Anlage 3</v>
      </c>
      <c r="AX299" s="215" t="str">
        <f t="shared" si="89"/>
        <v/>
      </c>
      <c r="AY299" t="str">
        <f t="shared" si="90"/>
        <v/>
      </c>
      <c r="AZ299" t="str">
        <f t="shared" si="91"/>
        <v/>
      </c>
    </row>
    <row r="300" spans="1:52" x14ac:dyDescent="0.25">
      <c r="A300" s="610" t="s">
        <v>2614</v>
      </c>
      <c r="B300" s="30" t="s">
        <v>5548</v>
      </c>
      <c r="C300" s="30" t="s">
        <v>3727</v>
      </c>
      <c r="D300" s="21" t="s">
        <v>6884</v>
      </c>
      <c r="E300" s="17" t="s">
        <v>674</v>
      </c>
      <c r="F300" s="452">
        <f t="shared" si="97"/>
        <v>20.67</v>
      </c>
      <c r="G300" s="527">
        <v>20.67</v>
      </c>
      <c r="H300" s="485">
        <f t="shared" si="98"/>
        <v>16.54</v>
      </c>
      <c r="I300" s="704"/>
      <c r="J300" s="669" t="s">
        <v>5805</v>
      </c>
      <c r="K300" s="15"/>
      <c r="M300" s="49">
        <f t="shared" si="99"/>
        <v>20.67</v>
      </c>
      <c r="N300" s="41">
        <v>11.67</v>
      </c>
      <c r="O300" s="86"/>
      <c r="P300" s="15"/>
      <c r="Q300" t="s">
        <v>1017</v>
      </c>
      <c r="S300" t="s">
        <v>4180</v>
      </c>
      <c r="T300" t="s">
        <v>4180</v>
      </c>
      <c r="U300" s="55"/>
      <c r="V300" t="s">
        <v>1017</v>
      </c>
      <c r="W300" s="65"/>
      <c r="X300" s="65"/>
      <c r="AA300" s="65"/>
      <c r="AD300" s="91"/>
      <c r="AE300" s="94"/>
      <c r="AF300" s="27"/>
      <c r="AG300" s="27"/>
      <c r="AH300" s="212" t="str">
        <f>IF(ISERROR(SEARCH("K erstmals 201",D300)),"",RIGHT(D300,4))</f>
        <v/>
      </c>
      <c r="AI300" s="214" t="str">
        <f t="shared" si="92"/>
        <v/>
      </c>
      <c r="AJ300" s="214" t="str">
        <f t="shared" si="93"/>
        <v/>
      </c>
      <c r="AK300" s="214" t="str">
        <f t="shared" si="94"/>
        <v/>
      </c>
      <c r="AL300" s="214" t="str">
        <f t="shared" si="95"/>
        <v/>
      </c>
      <c r="AM300" s="214" t="str">
        <f t="shared" si="96"/>
        <v/>
      </c>
      <c r="AN300" s="213" t="str">
        <f t="shared" si="79"/>
        <v/>
      </c>
      <c r="AO300" s="213" t="str">
        <f t="shared" si="80"/>
        <v/>
      </c>
      <c r="AP300" s="213" t="str">
        <f t="shared" si="81"/>
        <v/>
      </c>
      <c r="AQ300" s="215" t="str">
        <f t="shared" si="82"/>
        <v/>
      </c>
      <c r="AR300" s="216" t="str">
        <f t="shared" si="83"/>
        <v>BiK51na1K09-03</v>
      </c>
      <c r="AS300" s="215" t="str">
        <f t="shared" si="84"/>
        <v/>
      </c>
      <c r="AT300">
        <f t="shared" si="85"/>
        <v>14</v>
      </c>
      <c r="AU300" s="216" t="str">
        <f t="shared" si="86"/>
        <v>0-0,15 MW, Bonusregeln a1, K erstmals 2009</v>
      </c>
      <c r="AV300" s="215" t="str">
        <f t="shared" si="87"/>
        <v/>
      </c>
      <c r="AW300" s="216" t="str">
        <f t="shared" si="88"/>
        <v>Anteil KWK, erstmals 2009</v>
      </c>
      <c r="AX300" s="215" t="str">
        <f t="shared" si="89"/>
        <v/>
      </c>
      <c r="AY300" t="str">
        <f t="shared" si="90"/>
        <v/>
      </c>
      <c r="AZ300" t="str">
        <f t="shared" si="91"/>
        <v/>
      </c>
    </row>
    <row r="301" spans="1:52" s="178" customFormat="1" x14ac:dyDescent="0.25">
      <c r="A301" s="610" t="s">
        <v>3250</v>
      </c>
      <c r="B301" s="30" t="s">
        <v>5548</v>
      </c>
      <c r="C301" s="30" t="s">
        <v>3727</v>
      </c>
      <c r="D301" s="21" t="s">
        <v>6885</v>
      </c>
      <c r="E301" s="30" t="s">
        <v>3567</v>
      </c>
      <c r="F301" s="452">
        <f t="shared" si="97"/>
        <v>20.64</v>
      </c>
      <c r="G301" s="527">
        <v>20.64</v>
      </c>
      <c r="H301" s="485">
        <f t="shared" si="98"/>
        <v>16.510000000000002</v>
      </c>
      <c r="I301" s="704"/>
      <c r="J301" s="669" t="s">
        <v>5805</v>
      </c>
      <c r="K301" s="15"/>
      <c r="L301"/>
      <c r="M301" s="49">
        <f t="shared" si="99"/>
        <v>20.64</v>
      </c>
      <c r="N301" s="41">
        <v>11.67</v>
      </c>
      <c r="O301" s="86"/>
      <c r="P301" s="15"/>
      <c r="Q301"/>
      <c r="R301" t="s">
        <v>1017</v>
      </c>
      <c r="S301" t="s">
        <v>4180</v>
      </c>
      <c r="T301" s="178" t="s">
        <v>4180</v>
      </c>
      <c r="U301" s="55"/>
      <c r="V301" t="s">
        <v>1017</v>
      </c>
      <c r="W301" s="65"/>
      <c r="X301" s="65"/>
      <c r="Y301"/>
      <c r="Z301"/>
      <c r="AA301" s="65"/>
      <c r="AB301"/>
      <c r="AC301"/>
      <c r="AD301" s="91"/>
      <c r="AE301" s="94"/>
      <c r="AF301" s="27"/>
      <c r="AG301" s="27"/>
      <c r="AH301" s="212" t="str">
        <f>IF(ISERROR(SEARCH("K erstmals 201",D301)),"",RIGHT(D301,4))</f>
        <v>2010</v>
      </c>
      <c r="AI301" s="214" t="str">
        <f t="shared" si="92"/>
        <v/>
      </c>
      <c r="AJ301" s="214" t="str">
        <f t="shared" si="93"/>
        <v/>
      </c>
      <c r="AK301" s="214" t="str">
        <f t="shared" si="94"/>
        <v/>
      </c>
      <c r="AL301" s="214" t="str">
        <f t="shared" si="95"/>
        <v/>
      </c>
      <c r="AM301" s="214" t="str">
        <f t="shared" si="96"/>
        <v/>
      </c>
      <c r="AN301" s="213" t="str">
        <f t="shared" si="79"/>
        <v>2010</v>
      </c>
      <c r="AO301" s="213" t="str">
        <f t="shared" si="80"/>
        <v>2010</v>
      </c>
      <c r="AP301" s="213" t="str">
        <f t="shared" si="81"/>
        <v>2010</v>
      </c>
      <c r="AQ301" s="215" t="str">
        <f t="shared" si="82"/>
        <v/>
      </c>
      <c r="AR301" s="216" t="str">
        <f t="shared" si="83"/>
        <v>BiK51na1K10-03</v>
      </c>
      <c r="AS301" s="215" t="str">
        <f t="shared" si="84"/>
        <v/>
      </c>
      <c r="AT301">
        <f t="shared" si="85"/>
        <v>14</v>
      </c>
      <c r="AU301" s="216" t="str">
        <f t="shared" si="86"/>
        <v>0-0,15 MW, Bonusregeln a1, K erstmals 2010</v>
      </c>
      <c r="AV301" s="215" t="str">
        <f t="shared" si="87"/>
        <v/>
      </c>
      <c r="AW301" s="216" t="str">
        <f t="shared" si="88"/>
        <v>Anteil KWK, erstmals 2010</v>
      </c>
      <c r="AX301" s="215" t="str">
        <f t="shared" si="89"/>
        <v/>
      </c>
      <c r="AY301" t="str">
        <f t="shared" si="90"/>
        <v/>
      </c>
      <c r="AZ301" t="str">
        <f t="shared" si="91"/>
        <v/>
      </c>
    </row>
    <row r="302" spans="1:52" s="178" customFormat="1" x14ac:dyDescent="0.25">
      <c r="A302" s="610" t="s">
        <v>5216</v>
      </c>
      <c r="B302" s="30" t="s">
        <v>5548</v>
      </c>
      <c r="C302" s="30" t="s">
        <v>3727</v>
      </c>
      <c r="D302" s="21" t="s">
        <v>6886</v>
      </c>
      <c r="E302" s="30" t="s">
        <v>3055</v>
      </c>
      <c r="F302" s="452">
        <f t="shared" si="97"/>
        <v>20.61</v>
      </c>
      <c r="G302" s="527">
        <v>20.61</v>
      </c>
      <c r="H302" s="485">
        <f t="shared" si="98"/>
        <v>16.489999999999998</v>
      </c>
      <c r="I302" s="704"/>
      <c r="J302" s="669" t="s">
        <v>5805</v>
      </c>
      <c r="K302" s="15"/>
      <c r="L302"/>
      <c r="M302" s="49">
        <f t="shared" si="99"/>
        <v>20.61</v>
      </c>
      <c r="N302" s="41">
        <v>11.67</v>
      </c>
      <c r="O302" s="86"/>
      <c r="P302" s="15"/>
      <c r="Q302"/>
      <c r="R302"/>
      <c r="S302" t="s">
        <v>1017</v>
      </c>
      <c r="T302" s="178" t="s">
        <v>4180</v>
      </c>
      <c r="U302" s="55"/>
      <c r="V302" t="s">
        <v>1017</v>
      </c>
      <c r="W302" s="65"/>
      <c r="X302" s="65"/>
      <c r="Y302"/>
      <c r="Z302"/>
      <c r="AA302" s="65"/>
      <c r="AB302"/>
      <c r="AC302"/>
      <c r="AD302" s="91"/>
      <c r="AE302" s="94"/>
      <c r="AF302" s="27"/>
      <c r="AG302" s="27"/>
      <c r="AH302" s="212" t="str">
        <f>IF(ISERROR(SEARCH("K erstmals 201",D302)),"",RIGHT(D302,4))</f>
        <v>2011</v>
      </c>
      <c r="AI302" s="214" t="str">
        <f t="shared" si="92"/>
        <v/>
      </c>
      <c r="AJ302" s="214" t="str">
        <f t="shared" si="93"/>
        <v/>
      </c>
      <c r="AK302" s="214" t="str">
        <f t="shared" si="94"/>
        <v/>
      </c>
      <c r="AL302" s="214" t="str">
        <f t="shared" si="95"/>
        <v/>
      </c>
      <c r="AM302" s="214" t="str">
        <f t="shared" si="96"/>
        <v/>
      </c>
      <c r="AN302" s="213" t="str">
        <f t="shared" si="79"/>
        <v>2011</v>
      </c>
      <c r="AO302" s="213" t="str">
        <f t="shared" si="80"/>
        <v>2011</v>
      </c>
      <c r="AP302" s="213" t="str">
        <f t="shared" si="81"/>
        <v>2011</v>
      </c>
      <c r="AQ302" s="215" t="str">
        <f t="shared" si="82"/>
        <v/>
      </c>
      <c r="AR302" s="216" t="str">
        <f t="shared" si="83"/>
        <v>BiK51na1K11-03</v>
      </c>
      <c r="AS302" s="215" t="str">
        <f t="shared" si="84"/>
        <v/>
      </c>
      <c r="AT302">
        <f t="shared" si="85"/>
        <v>14</v>
      </c>
      <c r="AU302" s="216" t="str">
        <f t="shared" si="86"/>
        <v>0-0,15 MW, Bonusregeln a1, K erstmals 2011</v>
      </c>
      <c r="AV302" s="215" t="str">
        <f t="shared" si="87"/>
        <v/>
      </c>
      <c r="AW302" s="216" t="str">
        <f t="shared" si="88"/>
        <v>Anteil KWK, erstmals 2011</v>
      </c>
      <c r="AX302" s="215" t="str">
        <f t="shared" si="89"/>
        <v/>
      </c>
      <c r="AY302" t="str">
        <f t="shared" si="90"/>
        <v>x</v>
      </c>
      <c r="AZ302" t="str">
        <f t="shared" si="91"/>
        <v/>
      </c>
    </row>
    <row r="303" spans="1:52" s="178" customFormat="1" x14ac:dyDescent="0.25">
      <c r="A303" s="625" t="s">
        <v>3523</v>
      </c>
      <c r="B303" s="219" t="s">
        <v>5548</v>
      </c>
      <c r="C303" s="219" t="s">
        <v>3727</v>
      </c>
      <c r="D303" s="220" t="s">
        <v>6887</v>
      </c>
      <c r="E303" s="219" t="s">
        <v>1980</v>
      </c>
      <c r="F303" s="453">
        <f t="shared" si="97"/>
        <v>20.58</v>
      </c>
      <c r="G303" s="528">
        <v>20.58</v>
      </c>
      <c r="H303" s="486">
        <f t="shared" si="98"/>
        <v>16.46</v>
      </c>
      <c r="I303" s="705"/>
      <c r="J303" s="669" t="s">
        <v>5805</v>
      </c>
      <c r="K303" s="15"/>
      <c r="L303"/>
      <c r="M303" s="49">
        <f t="shared" si="99"/>
        <v>20.58</v>
      </c>
      <c r="N303" s="41">
        <v>11.67</v>
      </c>
      <c r="O303" s="86"/>
      <c r="P303" s="15"/>
      <c r="Q303"/>
      <c r="R303"/>
      <c r="S303" t="s">
        <v>4180</v>
      </c>
      <c r="T303" s="178" t="s">
        <v>1017</v>
      </c>
      <c r="U303" s="55"/>
      <c r="V303" t="s">
        <v>1017</v>
      </c>
      <c r="W303" s="65"/>
      <c r="X303" s="65"/>
      <c r="Y303"/>
      <c r="Z303"/>
      <c r="AA303" s="65"/>
      <c r="AB303"/>
      <c r="AC303"/>
      <c r="AD303" s="91"/>
      <c r="AE303" s="94"/>
      <c r="AF303" s="27"/>
      <c r="AG303" s="27"/>
      <c r="AH303" s="217" t="s">
        <v>4179</v>
      </c>
      <c r="AI303" s="214" t="str">
        <f t="shared" si="92"/>
        <v/>
      </c>
      <c r="AJ303" s="214" t="str">
        <f t="shared" si="93"/>
        <v/>
      </c>
      <c r="AK303" s="214" t="str">
        <f t="shared" si="94"/>
        <v/>
      </c>
      <c r="AL303" s="214" t="str">
        <f t="shared" si="95"/>
        <v/>
      </c>
      <c r="AM303" s="214" t="str">
        <f t="shared" si="96"/>
        <v/>
      </c>
      <c r="AN303" s="213" t="str">
        <f t="shared" si="79"/>
        <v>2012</v>
      </c>
      <c r="AO303" s="213" t="str">
        <f t="shared" si="80"/>
        <v>2012</v>
      </c>
      <c r="AP303" s="213" t="str">
        <f t="shared" si="81"/>
        <v>2012</v>
      </c>
      <c r="AQ303" s="215" t="str">
        <f t="shared" si="82"/>
        <v/>
      </c>
      <c r="AR303" s="216" t="str">
        <f t="shared" si="83"/>
        <v>BiK51na1K12-03</v>
      </c>
      <c r="AS303" s="215" t="str">
        <f t="shared" si="84"/>
        <v/>
      </c>
      <c r="AT303">
        <f t="shared" si="85"/>
        <v>14</v>
      </c>
      <c r="AU303" s="216" t="str">
        <f t="shared" si="86"/>
        <v>0-0,15 MW, Bonusregeln a1, K erstmals 2012</v>
      </c>
      <c r="AV303" s="215" t="str">
        <f t="shared" si="87"/>
        <v/>
      </c>
      <c r="AW303" s="216" t="str">
        <f t="shared" si="88"/>
        <v>Anteil KWK, erstmals 2012</v>
      </c>
      <c r="AX303" s="215" t="str">
        <f t="shared" si="89"/>
        <v/>
      </c>
      <c r="AY303" t="str">
        <f t="shared" si="90"/>
        <v/>
      </c>
      <c r="AZ303" t="str">
        <f t="shared" si="91"/>
        <v>x</v>
      </c>
    </row>
    <row r="304" spans="1:52" s="178" customFormat="1" x14ac:dyDescent="0.25">
      <c r="A304" s="610" t="s">
        <v>3052</v>
      </c>
      <c r="B304" s="30" t="s">
        <v>5548</v>
      </c>
      <c r="C304" s="30" t="s">
        <v>3727</v>
      </c>
      <c r="D304" s="21" t="s">
        <v>7353</v>
      </c>
      <c r="E304" s="194" t="s">
        <v>4810</v>
      </c>
      <c r="F304" s="452">
        <f t="shared" si="97"/>
        <v>18.670000000000002</v>
      </c>
      <c r="G304" s="527">
        <v>18.670000000000002</v>
      </c>
      <c r="H304" s="485">
        <f t="shared" si="98"/>
        <v>14.94</v>
      </c>
      <c r="I304" s="704"/>
      <c r="J304" s="669" t="s">
        <v>5805</v>
      </c>
      <c r="K304" s="15"/>
      <c r="L304"/>
      <c r="M304" s="49">
        <f t="shared" si="99"/>
        <v>18.670000000000002</v>
      </c>
      <c r="N304" s="41">
        <v>11.67</v>
      </c>
      <c r="O304" s="86"/>
      <c r="P304" s="15"/>
      <c r="Q304"/>
      <c r="R304"/>
      <c r="S304" t="s">
        <v>4180</v>
      </c>
      <c r="T304" s="178" t="s">
        <v>4180</v>
      </c>
      <c r="U304" s="55" t="s">
        <v>1017</v>
      </c>
      <c r="V304" t="s">
        <v>1017</v>
      </c>
      <c r="W304" s="65"/>
      <c r="X304" s="65"/>
      <c r="Y304"/>
      <c r="Z304"/>
      <c r="AA304" s="65"/>
      <c r="AB304"/>
      <c r="AC304"/>
      <c r="AD304" s="91"/>
      <c r="AE304" s="94"/>
      <c r="AF304" s="27"/>
      <c r="AG304" s="27"/>
      <c r="AH304" s="212" t="str">
        <f>IF(ISERROR(SEARCH("K erstmals 201",D304)),"",RIGHT(D304,4))</f>
        <v/>
      </c>
      <c r="AI304" s="214" t="str">
        <f t="shared" si="92"/>
        <v/>
      </c>
      <c r="AJ304" s="214" t="str">
        <f t="shared" si="93"/>
        <v/>
      </c>
      <c r="AK304" s="214" t="str">
        <f t="shared" si="94"/>
        <v/>
      </c>
      <c r="AL304" s="214" t="str">
        <f t="shared" si="95"/>
        <v/>
      </c>
      <c r="AM304" s="214" t="str">
        <f t="shared" si="96"/>
        <v/>
      </c>
      <c r="AN304" s="213" t="str">
        <f t="shared" si="79"/>
        <v/>
      </c>
      <c r="AO304" s="213" t="str">
        <f t="shared" si="80"/>
        <v/>
      </c>
      <c r="AP304" s="213" t="str">
        <f t="shared" si="81"/>
        <v/>
      </c>
      <c r="AQ304" s="215" t="str">
        <f t="shared" si="82"/>
        <v/>
      </c>
      <c r="AR304" s="216" t="str">
        <f t="shared" si="83"/>
        <v>BiK51na1y---03</v>
      </c>
      <c r="AS304" s="215" t="str">
        <f t="shared" si="84"/>
        <v/>
      </c>
      <c r="AT304">
        <f t="shared" si="85"/>
        <v>14</v>
      </c>
      <c r="AU304" s="216" t="str">
        <f t="shared" si="86"/>
        <v>0-0,15 MW; Bonusregeln a1, y</v>
      </c>
      <c r="AV304" s="215" t="str">
        <f t="shared" si="87"/>
        <v/>
      </c>
      <c r="AW304" s="216" t="str">
        <f t="shared" si="88"/>
        <v>Anteil Nicht-KWK</v>
      </c>
      <c r="AX304" s="215" t="str">
        <f t="shared" si="89"/>
        <v/>
      </c>
      <c r="AY304" t="str">
        <f t="shared" si="90"/>
        <v/>
      </c>
      <c r="AZ304" t="str">
        <f t="shared" si="91"/>
        <v/>
      </c>
    </row>
    <row r="305" spans="1:52" s="178" customFormat="1" x14ac:dyDescent="0.25">
      <c r="A305" s="610" t="s">
        <v>3053</v>
      </c>
      <c r="B305" s="30" t="s">
        <v>5548</v>
      </c>
      <c r="C305" s="30" t="s">
        <v>3727</v>
      </c>
      <c r="D305" s="21" t="s">
        <v>6890</v>
      </c>
      <c r="E305" s="30" t="s">
        <v>4331</v>
      </c>
      <c r="F305" s="452">
        <f t="shared" si="97"/>
        <v>21.67</v>
      </c>
      <c r="G305" s="527">
        <v>21.67</v>
      </c>
      <c r="H305" s="485">
        <f t="shared" si="98"/>
        <v>17.34</v>
      </c>
      <c r="I305" s="704"/>
      <c r="J305" s="669" t="s">
        <v>5805</v>
      </c>
      <c r="K305" s="15"/>
      <c r="L305"/>
      <c r="M305" s="49">
        <f t="shared" si="99"/>
        <v>21.67</v>
      </c>
      <c r="N305" s="41">
        <v>11.67</v>
      </c>
      <c r="O305" s="86"/>
      <c r="P305" t="s">
        <v>1017</v>
      </c>
      <c r="Q305"/>
      <c r="R305"/>
      <c r="S305" t="s">
        <v>4180</v>
      </c>
      <c r="T305" s="178" t="s">
        <v>4180</v>
      </c>
      <c r="U305" s="55" t="s">
        <v>1017</v>
      </c>
      <c r="V305" t="s">
        <v>1017</v>
      </c>
      <c r="W305" s="65"/>
      <c r="X305" s="65"/>
      <c r="Y305"/>
      <c r="Z305"/>
      <c r="AA305" s="65"/>
      <c r="AB305"/>
      <c r="AC305"/>
      <c r="AD305" s="91"/>
      <c r="AE305" s="94"/>
      <c r="AF305" s="27"/>
      <c r="AG305" s="27"/>
      <c r="AH305" s="212" t="str">
        <f>IF(ISERROR(SEARCH("K erstmals 201",D305)),"",RIGHT(D305,4))</f>
        <v/>
      </c>
      <c r="AI305" s="214" t="str">
        <f t="shared" si="92"/>
        <v/>
      </c>
      <c r="AJ305" s="214" t="str">
        <f t="shared" si="93"/>
        <v/>
      </c>
      <c r="AK305" s="214" t="str">
        <f t="shared" si="94"/>
        <v/>
      </c>
      <c r="AL305" s="214" t="str">
        <f t="shared" si="95"/>
        <v/>
      </c>
      <c r="AM305" s="214" t="str">
        <f t="shared" si="96"/>
        <v/>
      </c>
      <c r="AN305" s="213" t="str">
        <f t="shared" si="79"/>
        <v/>
      </c>
      <c r="AO305" s="213" t="str">
        <f t="shared" si="80"/>
        <v/>
      </c>
      <c r="AP305" s="213" t="str">
        <f t="shared" si="81"/>
        <v/>
      </c>
      <c r="AQ305" s="215" t="str">
        <f t="shared" si="82"/>
        <v/>
      </c>
      <c r="AR305" s="216" t="str">
        <f t="shared" si="83"/>
        <v>BiK51na1KA3y03</v>
      </c>
      <c r="AS305" s="215" t="str">
        <f t="shared" si="84"/>
        <v/>
      </c>
      <c r="AT305">
        <f t="shared" si="85"/>
        <v>14</v>
      </c>
      <c r="AU305" s="216" t="str">
        <f t="shared" si="86"/>
        <v>0-0,15 MW, Bonusregeln a1, y und K wenn Anlage 3 erfüllt</v>
      </c>
      <c r="AV305" s="215" t="str">
        <f t="shared" si="87"/>
        <v/>
      </c>
      <c r="AW305" s="216" t="str">
        <f t="shared" si="88"/>
        <v>Anteil KWK gemäß Anlage 3</v>
      </c>
      <c r="AX305" s="215" t="str">
        <f t="shared" si="89"/>
        <v/>
      </c>
      <c r="AY305" t="str">
        <f t="shared" si="90"/>
        <v/>
      </c>
      <c r="AZ305" t="str">
        <f t="shared" si="91"/>
        <v/>
      </c>
    </row>
    <row r="306" spans="1:52" s="178" customFormat="1" x14ac:dyDescent="0.25">
      <c r="A306" s="610" t="s">
        <v>3054</v>
      </c>
      <c r="B306" s="30" t="s">
        <v>5548</v>
      </c>
      <c r="C306" s="30" t="s">
        <v>3727</v>
      </c>
      <c r="D306" s="21" t="s">
        <v>6891</v>
      </c>
      <c r="E306" s="17" t="s">
        <v>674</v>
      </c>
      <c r="F306" s="452">
        <f t="shared" si="97"/>
        <v>21.67</v>
      </c>
      <c r="G306" s="527">
        <v>21.67</v>
      </c>
      <c r="H306" s="485">
        <f t="shared" si="98"/>
        <v>17.34</v>
      </c>
      <c r="I306" s="704"/>
      <c r="J306" s="669" t="s">
        <v>5805</v>
      </c>
      <c r="K306" s="15"/>
      <c r="L306"/>
      <c r="M306" s="49">
        <f t="shared" si="99"/>
        <v>21.67</v>
      </c>
      <c r="N306" s="41">
        <v>11.67</v>
      </c>
      <c r="O306" s="86"/>
      <c r="P306" s="15"/>
      <c r="Q306" t="s">
        <v>1017</v>
      </c>
      <c r="R306"/>
      <c r="S306" t="s">
        <v>4180</v>
      </c>
      <c r="T306" s="178" t="s">
        <v>4180</v>
      </c>
      <c r="U306" s="55" t="s">
        <v>1017</v>
      </c>
      <c r="V306" t="s">
        <v>1017</v>
      </c>
      <c r="W306" s="65"/>
      <c r="X306" s="65"/>
      <c r="Y306"/>
      <c r="Z306"/>
      <c r="AA306" s="65"/>
      <c r="AB306"/>
      <c r="AC306"/>
      <c r="AD306" s="91"/>
      <c r="AE306" s="94"/>
      <c r="AF306" s="27"/>
      <c r="AG306" s="27"/>
      <c r="AH306" s="212" t="str">
        <f>IF(ISERROR(SEARCH("K erstmals 201",D306)),"",RIGHT(D306,4))</f>
        <v/>
      </c>
      <c r="AI306" s="214" t="str">
        <f t="shared" si="92"/>
        <v/>
      </c>
      <c r="AJ306" s="214" t="str">
        <f t="shared" si="93"/>
        <v/>
      </c>
      <c r="AK306" s="214" t="str">
        <f t="shared" si="94"/>
        <v/>
      </c>
      <c r="AL306" s="214" t="str">
        <f t="shared" si="95"/>
        <v/>
      </c>
      <c r="AM306" s="214" t="str">
        <f t="shared" si="96"/>
        <v/>
      </c>
      <c r="AN306" s="213" t="str">
        <f t="shared" si="79"/>
        <v/>
      </c>
      <c r="AO306" s="213" t="str">
        <f t="shared" si="80"/>
        <v/>
      </c>
      <c r="AP306" s="213" t="str">
        <f t="shared" si="81"/>
        <v/>
      </c>
      <c r="AQ306" s="215" t="str">
        <f t="shared" si="82"/>
        <v/>
      </c>
      <c r="AR306" s="216" t="str">
        <f t="shared" si="83"/>
        <v>BiK51na1K09y03</v>
      </c>
      <c r="AS306" s="215" t="str">
        <f t="shared" si="84"/>
        <v/>
      </c>
      <c r="AT306">
        <f t="shared" si="85"/>
        <v>14</v>
      </c>
      <c r="AU306" s="216" t="str">
        <f t="shared" si="86"/>
        <v>0-0,15 MW, Bonusregeln a1, y und K erstmals 2009</v>
      </c>
      <c r="AV306" s="215" t="str">
        <f t="shared" si="87"/>
        <v/>
      </c>
      <c r="AW306" s="216" t="str">
        <f t="shared" si="88"/>
        <v>Anteil KWK, erstmals 2009</v>
      </c>
      <c r="AX306" s="215" t="str">
        <f t="shared" si="89"/>
        <v/>
      </c>
      <c r="AY306" t="str">
        <f t="shared" si="90"/>
        <v/>
      </c>
      <c r="AZ306" t="str">
        <f t="shared" si="91"/>
        <v/>
      </c>
    </row>
    <row r="307" spans="1:52" s="178" customFormat="1" x14ac:dyDescent="0.25">
      <c r="A307" s="610" t="s">
        <v>3251</v>
      </c>
      <c r="B307" s="30" t="s">
        <v>5548</v>
      </c>
      <c r="C307" s="30" t="s">
        <v>3727</v>
      </c>
      <c r="D307" s="21" t="s">
        <v>6892</v>
      </c>
      <c r="E307" s="30" t="s">
        <v>3567</v>
      </c>
      <c r="F307" s="452">
        <f t="shared" si="97"/>
        <v>21.64</v>
      </c>
      <c r="G307" s="527">
        <v>21.64</v>
      </c>
      <c r="H307" s="485">
        <f t="shared" si="98"/>
        <v>17.309999999999999</v>
      </c>
      <c r="I307" s="704"/>
      <c r="J307" s="669" t="s">
        <v>5805</v>
      </c>
      <c r="K307" s="15"/>
      <c r="L307"/>
      <c r="M307" s="49">
        <f t="shared" si="99"/>
        <v>21.64</v>
      </c>
      <c r="N307" s="41">
        <v>11.67</v>
      </c>
      <c r="O307" s="86"/>
      <c r="P307" s="15"/>
      <c r="Q307"/>
      <c r="R307" t="s">
        <v>1017</v>
      </c>
      <c r="S307" t="s">
        <v>4180</v>
      </c>
      <c r="T307" s="178" t="s">
        <v>4180</v>
      </c>
      <c r="U307" s="55" t="s">
        <v>1017</v>
      </c>
      <c r="V307" t="s">
        <v>1017</v>
      </c>
      <c r="W307" s="65"/>
      <c r="X307" s="65"/>
      <c r="Y307"/>
      <c r="Z307"/>
      <c r="AA307" s="65"/>
      <c r="AB307"/>
      <c r="AC307"/>
      <c r="AD307" s="91"/>
      <c r="AE307" s="94"/>
      <c r="AF307" s="27"/>
      <c r="AG307" s="27"/>
      <c r="AH307" s="212" t="str">
        <f>IF(ISERROR(SEARCH("K erstmals 201",D307)),"",RIGHT(D307,4))</f>
        <v>2010</v>
      </c>
      <c r="AI307" s="214" t="str">
        <f t="shared" si="92"/>
        <v/>
      </c>
      <c r="AJ307" s="214" t="str">
        <f t="shared" si="93"/>
        <v/>
      </c>
      <c r="AK307" s="214" t="str">
        <f t="shared" si="94"/>
        <v/>
      </c>
      <c r="AL307" s="214" t="str">
        <f t="shared" si="95"/>
        <v/>
      </c>
      <c r="AM307" s="214" t="str">
        <f t="shared" si="96"/>
        <v/>
      </c>
      <c r="AN307" s="213" t="str">
        <f t="shared" si="79"/>
        <v>2010</v>
      </c>
      <c r="AO307" s="213" t="str">
        <f t="shared" si="80"/>
        <v>2010</v>
      </c>
      <c r="AP307" s="213" t="str">
        <f t="shared" si="81"/>
        <v>2010</v>
      </c>
      <c r="AQ307" s="215" t="str">
        <f t="shared" si="82"/>
        <v/>
      </c>
      <c r="AR307" s="216" t="str">
        <f t="shared" si="83"/>
        <v>BiK51na1K10y03</v>
      </c>
      <c r="AS307" s="215" t="str">
        <f t="shared" si="84"/>
        <v/>
      </c>
      <c r="AT307">
        <f t="shared" si="85"/>
        <v>14</v>
      </c>
      <c r="AU307" s="216" t="str">
        <f t="shared" si="86"/>
        <v>0-0,15 MW, Bonusregeln a1, y und K erstmals 2010</v>
      </c>
      <c r="AV307" s="215" t="str">
        <f t="shared" si="87"/>
        <v/>
      </c>
      <c r="AW307" s="216" t="str">
        <f t="shared" si="88"/>
        <v>Anteil KWK, erstmals 2010</v>
      </c>
      <c r="AX307" s="215" t="str">
        <f t="shared" si="89"/>
        <v/>
      </c>
      <c r="AY307" t="str">
        <f t="shared" si="90"/>
        <v/>
      </c>
      <c r="AZ307" t="str">
        <f t="shared" si="91"/>
        <v/>
      </c>
    </row>
    <row r="308" spans="1:52" s="178" customFormat="1" x14ac:dyDescent="0.25">
      <c r="A308" s="610" t="s">
        <v>5217</v>
      </c>
      <c r="B308" s="30" t="s">
        <v>5548</v>
      </c>
      <c r="C308" s="30" t="s">
        <v>3727</v>
      </c>
      <c r="D308" s="21" t="s">
        <v>6893</v>
      </c>
      <c r="E308" s="30" t="s">
        <v>3055</v>
      </c>
      <c r="F308" s="452">
        <f t="shared" si="97"/>
        <v>21.61</v>
      </c>
      <c r="G308" s="527">
        <v>21.61</v>
      </c>
      <c r="H308" s="485">
        <f t="shared" si="98"/>
        <v>17.29</v>
      </c>
      <c r="I308" s="704"/>
      <c r="J308" s="669" t="s">
        <v>5805</v>
      </c>
      <c r="K308" s="15"/>
      <c r="L308"/>
      <c r="M308" s="49">
        <f t="shared" si="99"/>
        <v>21.61</v>
      </c>
      <c r="N308" s="41">
        <v>11.67</v>
      </c>
      <c r="O308" s="86"/>
      <c r="P308" s="15"/>
      <c r="Q308"/>
      <c r="R308"/>
      <c r="S308" t="s">
        <v>1017</v>
      </c>
      <c r="T308" s="178" t="s">
        <v>4180</v>
      </c>
      <c r="U308" s="55" t="s">
        <v>1017</v>
      </c>
      <c r="V308" t="s">
        <v>1017</v>
      </c>
      <c r="W308" s="65"/>
      <c r="X308" s="65"/>
      <c r="Y308"/>
      <c r="Z308"/>
      <c r="AA308" s="65"/>
      <c r="AB308"/>
      <c r="AC308"/>
      <c r="AD308" s="91"/>
      <c r="AE308" s="94"/>
      <c r="AF308" s="27"/>
      <c r="AG308" s="27"/>
      <c r="AH308" s="212" t="str">
        <f>IF(ISERROR(SEARCH("K erstmals 201",D308)),"",RIGHT(D308,4))</f>
        <v>2011</v>
      </c>
      <c r="AI308" s="214" t="str">
        <f t="shared" si="92"/>
        <v/>
      </c>
      <c r="AJ308" s="214" t="str">
        <f t="shared" si="93"/>
        <v/>
      </c>
      <c r="AK308" s="214" t="str">
        <f t="shared" si="94"/>
        <v/>
      </c>
      <c r="AL308" s="214" t="str">
        <f t="shared" si="95"/>
        <v/>
      </c>
      <c r="AM308" s="214" t="str">
        <f t="shared" si="96"/>
        <v/>
      </c>
      <c r="AN308" s="213" t="str">
        <f t="shared" si="79"/>
        <v>2011</v>
      </c>
      <c r="AO308" s="213" t="str">
        <f t="shared" si="80"/>
        <v>2011</v>
      </c>
      <c r="AP308" s="213" t="str">
        <f t="shared" si="81"/>
        <v>2011</v>
      </c>
      <c r="AQ308" s="215" t="str">
        <f t="shared" si="82"/>
        <v/>
      </c>
      <c r="AR308" s="216" t="str">
        <f t="shared" si="83"/>
        <v>BiK51na1K11y03</v>
      </c>
      <c r="AS308" s="215" t="str">
        <f t="shared" si="84"/>
        <v/>
      </c>
      <c r="AT308">
        <f t="shared" si="85"/>
        <v>14</v>
      </c>
      <c r="AU308" s="216" t="str">
        <f t="shared" si="86"/>
        <v>0-0,15 MW, Bonusregeln a1, y und K erstmals 2011</v>
      </c>
      <c r="AV308" s="215" t="str">
        <f t="shared" si="87"/>
        <v/>
      </c>
      <c r="AW308" s="216" t="str">
        <f t="shared" si="88"/>
        <v>Anteil KWK, erstmals 2011</v>
      </c>
      <c r="AX308" s="215" t="str">
        <f t="shared" si="89"/>
        <v/>
      </c>
      <c r="AY308" t="str">
        <f t="shared" si="90"/>
        <v>x</v>
      </c>
      <c r="AZ308" t="str">
        <f t="shared" si="91"/>
        <v/>
      </c>
    </row>
    <row r="309" spans="1:52" s="178" customFormat="1" x14ac:dyDescent="0.25">
      <c r="A309" s="625" t="s">
        <v>3524</v>
      </c>
      <c r="B309" s="219" t="s">
        <v>5548</v>
      </c>
      <c r="C309" s="219" t="s">
        <v>3727</v>
      </c>
      <c r="D309" s="220" t="s">
        <v>6894</v>
      </c>
      <c r="E309" s="219" t="s">
        <v>1980</v>
      </c>
      <c r="F309" s="453">
        <f t="shared" si="97"/>
        <v>21.58</v>
      </c>
      <c r="G309" s="528">
        <v>21.58</v>
      </c>
      <c r="H309" s="486">
        <f t="shared" si="98"/>
        <v>17.260000000000002</v>
      </c>
      <c r="I309" s="705"/>
      <c r="J309" s="669" t="s">
        <v>5805</v>
      </c>
      <c r="K309" s="15"/>
      <c r="L309"/>
      <c r="M309" s="49">
        <f t="shared" si="99"/>
        <v>21.58</v>
      </c>
      <c r="N309" s="41">
        <v>11.67</v>
      </c>
      <c r="O309" s="86"/>
      <c r="P309" s="15"/>
      <c r="Q309"/>
      <c r="R309"/>
      <c r="S309" t="s">
        <v>4180</v>
      </c>
      <c r="T309" s="178" t="s">
        <v>1017</v>
      </c>
      <c r="U309" s="55" t="s">
        <v>1017</v>
      </c>
      <c r="V309" t="s">
        <v>1017</v>
      </c>
      <c r="W309" s="65"/>
      <c r="X309" s="65"/>
      <c r="Y309"/>
      <c r="Z309"/>
      <c r="AA309" s="65"/>
      <c r="AB309"/>
      <c r="AC309"/>
      <c r="AD309" s="91"/>
      <c r="AE309" s="94"/>
      <c r="AF309" s="27"/>
      <c r="AG309" s="27"/>
      <c r="AH309" s="217" t="s">
        <v>4179</v>
      </c>
      <c r="AI309" s="214" t="str">
        <f t="shared" si="92"/>
        <v/>
      </c>
      <c r="AJ309" s="214" t="str">
        <f t="shared" si="93"/>
        <v/>
      </c>
      <c r="AK309" s="214" t="str">
        <f t="shared" si="94"/>
        <v/>
      </c>
      <c r="AL309" s="214" t="str">
        <f t="shared" si="95"/>
        <v/>
      </c>
      <c r="AM309" s="214" t="str">
        <f t="shared" si="96"/>
        <v/>
      </c>
      <c r="AN309" s="213" t="str">
        <f t="shared" si="79"/>
        <v>2012</v>
      </c>
      <c r="AO309" s="213" t="str">
        <f t="shared" si="80"/>
        <v>2012</v>
      </c>
      <c r="AP309" s="213" t="str">
        <f t="shared" si="81"/>
        <v>2012</v>
      </c>
      <c r="AQ309" s="215" t="str">
        <f t="shared" si="82"/>
        <v/>
      </c>
      <c r="AR309" s="216" t="str">
        <f t="shared" si="83"/>
        <v>BiK51na1K12y03</v>
      </c>
      <c r="AS309" s="215" t="str">
        <f t="shared" si="84"/>
        <v/>
      </c>
      <c r="AT309">
        <f t="shared" si="85"/>
        <v>14</v>
      </c>
      <c r="AU309" s="216" t="str">
        <f t="shared" si="86"/>
        <v>0-0,15 MW, Bonusregeln a1, y und K erstmals 2012</v>
      </c>
      <c r="AV309" s="215" t="str">
        <f t="shared" si="87"/>
        <v/>
      </c>
      <c r="AW309" s="216" t="str">
        <f t="shared" si="88"/>
        <v>Anteil KWK, erstmals 2012</v>
      </c>
      <c r="AX309" s="215" t="str">
        <f t="shared" si="89"/>
        <v/>
      </c>
      <c r="AY309" t="str">
        <f t="shared" si="90"/>
        <v/>
      </c>
      <c r="AZ309" t="str">
        <f t="shared" si="91"/>
        <v>x</v>
      </c>
    </row>
    <row r="310" spans="1:52" s="178" customFormat="1" x14ac:dyDescent="0.25">
      <c r="A310" s="610" t="s">
        <v>1084</v>
      </c>
      <c r="B310" s="30" t="s">
        <v>5548</v>
      </c>
      <c r="C310" s="30" t="s">
        <v>3727</v>
      </c>
      <c r="D310" s="30" t="s">
        <v>6810</v>
      </c>
      <c r="E310" s="30" t="s">
        <v>4810</v>
      </c>
      <c r="F310" s="454">
        <f t="shared" si="97"/>
        <v>18.670000000000002</v>
      </c>
      <c r="G310" s="529">
        <v>18.670000000000002</v>
      </c>
      <c r="H310" s="487">
        <f t="shared" si="98"/>
        <v>14.94</v>
      </c>
      <c r="I310" s="706"/>
      <c r="J310" s="669" t="s">
        <v>5805</v>
      </c>
      <c r="K310" s="15"/>
      <c r="L310"/>
      <c r="M310" s="49">
        <f t="shared" si="99"/>
        <v>18.670000000000002</v>
      </c>
      <c r="N310" s="41">
        <v>11.67</v>
      </c>
      <c r="O310" s="176"/>
      <c r="P310" s="177"/>
      <c r="S310" s="178" t="s">
        <v>4180</v>
      </c>
      <c r="T310" s="178" t="s">
        <v>4180</v>
      </c>
      <c r="U310" s="179"/>
      <c r="W310" s="180"/>
      <c r="X310" s="180"/>
      <c r="Y310" s="178" t="s">
        <v>1017</v>
      </c>
      <c r="AA310" s="180"/>
      <c r="AD310" s="201"/>
      <c r="AE310" s="181"/>
      <c r="AF310" s="182"/>
      <c r="AG310" s="182"/>
      <c r="AH310" s="212" t="str">
        <f>IF(ISERROR(SEARCH("K erstmals 201",D310)),"",RIGHT(D310,4))</f>
        <v/>
      </c>
      <c r="AI310" s="214" t="str">
        <f t="shared" si="92"/>
        <v/>
      </c>
      <c r="AJ310" s="214" t="str">
        <f t="shared" si="93"/>
        <v/>
      </c>
      <c r="AK310" s="214" t="str">
        <f t="shared" si="94"/>
        <v/>
      </c>
      <c r="AL310" s="214" t="str">
        <f t="shared" si="95"/>
        <v/>
      </c>
      <c r="AM310" s="214" t="str">
        <f t="shared" si="96"/>
        <v/>
      </c>
      <c r="AN310" s="213" t="str">
        <f t="shared" si="79"/>
        <v/>
      </c>
      <c r="AO310" s="213" t="str">
        <f t="shared" si="80"/>
        <v/>
      </c>
      <c r="AP310" s="213" t="str">
        <f t="shared" si="81"/>
        <v/>
      </c>
      <c r="AQ310" s="215" t="str">
        <f t="shared" si="82"/>
        <v/>
      </c>
      <c r="AR310" s="216" t="str">
        <f t="shared" si="83"/>
        <v>BiK51nG-----03</v>
      </c>
      <c r="AS310" s="215" t="str">
        <f t="shared" si="84"/>
        <v/>
      </c>
      <c r="AT310">
        <f t="shared" si="85"/>
        <v>14</v>
      </c>
      <c r="AU310" s="216" t="str">
        <f t="shared" si="86"/>
        <v>0-0,15 MW, Bonusregel G</v>
      </c>
      <c r="AV310" s="215" t="str">
        <f t="shared" si="87"/>
        <v/>
      </c>
      <c r="AW310" s="216" t="str">
        <f t="shared" si="88"/>
        <v>Anteil Nicht-KWK</v>
      </c>
      <c r="AX310" s="215" t="str">
        <f t="shared" si="89"/>
        <v/>
      </c>
      <c r="AY310" t="str">
        <f t="shared" si="90"/>
        <v/>
      </c>
      <c r="AZ310" t="str">
        <f t="shared" si="91"/>
        <v/>
      </c>
    </row>
    <row r="311" spans="1:52" s="178" customFormat="1" x14ac:dyDescent="0.25">
      <c r="A311" s="610" t="s">
        <v>1085</v>
      </c>
      <c r="B311" s="30" t="s">
        <v>5548</v>
      </c>
      <c r="C311" s="30" t="s">
        <v>3727</v>
      </c>
      <c r="D311" s="30" t="s">
        <v>6811</v>
      </c>
      <c r="E311" s="30" t="s">
        <v>4331</v>
      </c>
      <c r="F311" s="454">
        <f t="shared" si="97"/>
        <v>21.67</v>
      </c>
      <c r="G311" s="529">
        <v>21.67</v>
      </c>
      <c r="H311" s="487">
        <f t="shared" si="98"/>
        <v>17.34</v>
      </c>
      <c r="I311" s="706"/>
      <c r="J311" s="669" t="s">
        <v>5805</v>
      </c>
      <c r="K311" s="15"/>
      <c r="L311"/>
      <c r="M311" s="49">
        <f t="shared" si="99"/>
        <v>21.67</v>
      </c>
      <c r="N311" s="41">
        <v>11.67</v>
      </c>
      <c r="O311" s="176"/>
      <c r="P311" s="178" t="s">
        <v>1017</v>
      </c>
      <c r="S311" s="178" t="s">
        <v>4180</v>
      </c>
      <c r="T311" s="178" t="s">
        <v>4180</v>
      </c>
      <c r="U311" s="179"/>
      <c r="W311" s="180"/>
      <c r="X311" s="180"/>
      <c r="Y311" s="178" t="s">
        <v>1017</v>
      </c>
      <c r="AA311" s="180"/>
      <c r="AD311" s="201"/>
      <c r="AE311" s="181"/>
      <c r="AF311" s="182"/>
      <c r="AG311" s="182"/>
      <c r="AH311" s="212" t="str">
        <f>IF(ISERROR(SEARCH("K erstmals 201",D311)),"",RIGHT(D311,4))</f>
        <v/>
      </c>
      <c r="AI311" s="214" t="str">
        <f t="shared" si="92"/>
        <v/>
      </c>
      <c r="AJ311" s="214" t="str">
        <f t="shared" si="93"/>
        <v/>
      </c>
      <c r="AK311" s="214" t="str">
        <f t="shared" si="94"/>
        <v/>
      </c>
      <c r="AL311" s="214" t="str">
        <f t="shared" si="95"/>
        <v/>
      </c>
      <c r="AM311" s="214" t="str">
        <f t="shared" si="96"/>
        <v/>
      </c>
      <c r="AN311" s="213" t="str">
        <f t="shared" si="79"/>
        <v/>
      </c>
      <c r="AO311" s="213" t="str">
        <f t="shared" si="80"/>
        <v/>
      </c>
      <c r="AP311" s="213" t="str">
        <f t="shared" si="81"/>
        <v/>
      </c>
      <c r="AQ311" s="215" t="str">
        <f t="shared" si="82"/>
        <v/>
      </c>
      <c r="AR311" s="216" t="str">
        <f t="shared" si="83"/>
        <v>BiK51nGKA3--03</v>
      </c>
      <c r="AS311" s="215" t="str">
        <f t="shared" si="84"/>
        <v/>
      </c>
      <c r="AT311">
        <f t="shared" si="85"/>
        <v>14</v>
      </c>
      <c r="AU311" s="216" t="str">
        <f t="shared" si="86"/>
        <v>0-0,15 MW, Bonusregeln G und K wenn Anlage 3 erfüllt</v>
      </c>
      <c r="AV311" s="215" t="str">
        <f t="shared" si="87"/>
        <v/>
      </c>
      <c r="AW311" s="216" t="str">
        <f t="shared" si="88"/>
        <v>Anteil KWK gemäß Anlage 3</v>
      </c>
      <c r="AX311" s="215" t="str">
        <f t="shared" si="89"/>
        <v/>
      </c>
      <c r="AY311" t="str">
        <f t="shared" si="90"/>
        <v/>
      </c>
      <c r="AZ311" t="str">
        <f t="shared" si="91"/>
        <v/>
      </c>
    </row>
    <row r="312" spans="1:52" s="178" customFormat="1" x14ac:dyDescent="0.25">
      <c r="A312" s="610" t="s">
        <v>1086</v>
      </c>
      <c r="B312" s="30" t="s">
        <v>5548</v>
      </c>
      <c r="C312" s="30" t="s">
        <v>3727</v>
      </c>
      <c r="D312" s="30" t="s">
        <v>6812</v>
      </c>
      <c r="E312" s="30" t="s">
        <v>674</v>
      </c>
      <c r="F312" s="454">
        <f t="shared" si="97"/>
        <v>21.67</v>
      </c>
      <c r="G312" s="529">
        <v>21.67</v>
      </c>
      <c r="H312" s="487">
        <f t="shared" si="98"/>
        <v>17.34</v>
      </c>
      <c r="I312" s="706"/>
      <c r="J312" s="669" t="s">
        <v>5805</v>
      </c>
      <c r="K312" s="15"/>
      <c r="L312"/>
      <c r="M312" s="49">
        <f t="shared" si="99"/>
        <v>21.67</v>
      </c>
      <c r="N312" s="41">
        <v>11.67</v>
      </c>
      <c r="O312" s="176"/>
      <c r="P312" s="177"/>
      <c r="Q312" s="178" t="s">
        <v>1017</v>
      </c>
      <c r="S312" s="178" t="s">
        <v>4180</v>
      </c>
      <c r="T312" s="178" t="s">
        <v>4180</v>
      </c>
      <c r="U312" s="179"/>
      <c r="W312" s="180"/>
      <c r="X312" s="180"/>
      <c r="Y312" s="178" t="s">
        <v>1017</v>
      </c>
      <c r="AA312" s="180"/>
      <c r="AD312" s="201"/>
      <c r="AE312" s="181"/>
      <c r="AF312" s="182"/>
      <c r="AG312" s="182"/>
      <c r="AH312" s="212" t="str">
        <f>IF(ISERROR(SEARCH("K erstmals 201",D312)),"",RIGHT(D312,4))</f>
        <v/>
      </c>
      <c r="AI312" s="214" t="str">
        <f t="shared" si="92"/>
        <v/>
      </c>
      <c r="AJ312" s="214" t="str">
        <f t="shared" si="93"/>
        <v/>
      </c>
      <c r="AK312" s="214" t="str">
        <f t="shared" si="94"/>
        <v/>
      </c>
      <c r="AL312" s="214" t="str">
        <f t="shared" si="95"/>
        <v/>
      </c>
      <c r="AM312" s="214" t="str">
        <f t="shared" si="96"/>
        <v/>
      </c>
      <c r="AN312" s="213" t="str">
        <f t="shared" si="79"/>
        <v/>
      </c>
      <c r="AO312" s="213" t="str">
        <f t="shared" si="80"/>
        <v/>
      </c>
      <c r="AP312" s="213" t="str">
        <f t="shared" si="81"/>
        <v/>
      </c>
      <c r="AQ312" s="215" t="str">
        <f t="shared" si="82"/>
        <v/>
      </c>
      <c r="AR312" s="216" t="str">
        <f t="shared" si="83"/>
        <v>BiK51nGK09--03</v>
      </c>
      <c r="AS312" s="215" t="str">
        <f t="shared" si="84"/>
        <v/>
      </c>
      <c r="AT312">
        <f t="shared" si="85"/>
        <v>14</v>
      </c>
      <c r="AU312" s="216" t="str">
        <f t="shared" si="86"/>
        <v>0-0,15 MW, Bonusregeln G und K erstmals 2009</v>
      </c>
      <c r="AV312" s="215" t="str">
        <f t="shared" si="87"/>
        <v/>
      </c>
      <c r="AW312" s="216" t="str">
        <f t="shared" si="88"/>
        <v>Anteil KWK, erstmals 2009</v>
      </c>
      <c r="AX312" s="215" t="str">
        <f t="shared" si="89"/>
        <v/>
      </c>
      <c r="AY312" t="str">
        <f t="shared" si="90"/>
        <v/>
      </c>
      <c r="AZ312" t="str">
        <f t="shared" si="91"/>
        <v/>
      </c>
    </row>
    <row r="313" spans="1:52" s="178" customFormat="1" x14ac:dyDescent="0.25">
      <c r="A313" s="610" t="s">
        <v>3252</v>
      </c>
      <c r="B313" s="30" t="s">
        <v>5548</v>
      </c>
      <c r="C313" s="30" t="s">
        <v>3727</v>
      </c>
      <c r="D313" s="30" t="s">
        <v>6813</v>
      </c>
      <c r="E313" s="30" t="s">
        <v>3567</v>
      </c>
      <c r="F313" s="454">
        <f t="shared" si="97"/>
        <v>21.64</v>
      </c>
      <c r="G313" s="529">
        <v>21.64</v>
      </c>
      <c r="H313" s="487">
        <f t="shared" si="98"/>
        <v>17.309999999999999</v>
      </c>
      <c r="I313" s="706"/>
      <c r="J313" s="669" t="s">
        <v>5805</v>
      </c>
      <c r="K313" s="15"/>
      <c r="L313"/>
      <c r="M313" s="49">
        <f t="shared" si="99"/>
        <v>21.64</v>
      </c>
      <c r="N313" s="41">
        <v>11.67</v>
      </c>
      <c r="O313" s="176"/>
      <c r="P313" s="177"/>
      <c r="R313" s="178" t="s">
        <v>1017</v>
      </c>
      <c r="S313" s="178" t="s">
        <v>4180</v>
      </c>
      <c r="T313" s="178" t="s">
        <v>4180</v>
      </c>
      <c r="U313" s="179"/>
      <c r="W313" s="180"/>
      <c r="X313" s="180"/>
      <c r="Y313" s="178" t="s">
        <v>1017</v>
      </c>
      <c r="AA313" s="180"/>
      <c r="AD313" s="201"/>
      <c r="AE313" s="181"/>
      <c r="AF313" s="182"/>
      <c r="AG313" s="182"/>
      <c r="AH313" s="212" t="str">
        <f>IF(ISERROR(SEARCH("K erstmals 201",D313)),"",RIGHT(D313,4))</f>
        <v>2010</v>
      </c>
      <c r="AI313" s="214" t="str">
        <f t="shared" si="92"/>
        <v/>
      </c>
      <c r="AJ313" s="214" t="str">
        <f t="shared" si="93"/>
        <v/>
      </c>
      <c r="AK313" s="214" t="str">
        <f t="shared" si="94"/>
        <v/>
      </c>
      <c r="AL313" s="214" t="str">
        <f t="shared" si="95"/>
        <v/>
      </c>
      <c r="AM313" s="214" t="str">
        <f t="shared" si="96"/>
        <v/>
      </c>
      <c r="AN313" s="213" t="str">
        <f t="shared" ref="AN313:AN344" si="100">IF(ISERROR(SEARCH("K1",A313)),"","20"&amp;MID(A313,SEARCH("K1",A313)+1,2))</f>
        <v>2010</v>
      </c>
      <c r="AO313" s="213" t="str">
        <f t="shared" ref="AO313:AO344" si="101">IF(ISERROR(SEARCH("erstmals 201",E313)),"",MID(E313,SEARCH("erstmals ",E313)+9,4))</f>
        <v>2010</v>
      </c>
      <c r="AP313" s="213" t="str">
        <f t="shared" ref="AP313:AP344" si="102">IF(R313="x","2010",IF(S313="x","2011",IF(T313="x","2012","")))</f>
        <v>2010</v>
      </c>
      <c r="AQ313" s="215" t="str">
        <f t="shared" ref="AQ313:AQ344" si="103">IF(OR(AH313&lt;&gt;AN313,AH313&lt;&gt;AO313,AH313&lt;&gt;AP313),"DIFF","")</f>
        <v/>
      </c>
      <c r="AR313" s="216" t="str">
        <f t="shared" ref="AR313:AR344" si="104">IF(A313="","",IF(ISERROR(SEARCH("K1",A313)),A313,LEFT(A313,SEARCH("K1",A313)+1)&amp;RIGHT(AH313,1)&amp;MID(A313,SEARCH("K1",A313)+3,14)))</f>
        <v>BiK51nGK10--03</v>
      </c>
      <c r="AS313" s="215" t="str">
        <f t="shared" ref="AS313:AS344" si="105">IF(OR(A313&lt;&gt;AR313),"DIFF","")</f>
        <v/>
      </c>
      <c r="AT313">
        <f t="shared" ref="AT313:AT344" si="106">LEN(AR313)</f>
        <v>14</v>
      </c>
      <c r="AU313" s="216" t="str">
        <f t="shared" ref="AU313:AU344" si="107">IF(D313="","",IF(OR(A313="",ISERROR(SEARCH("erstmals 201",D313))),D313,LEFT(D313,SEARCH("erstmals 201",D313)+8) &amp; AH313 &amp; MID(D313,SEARCH("erstmals 201",D313)+13,255)))</f>
        <v>0-0,15 MW, Bonusregeln G und K erstmals 2010</v>
      </c>
      <c r="AV313" s="215" t="str">
        <f t="shared" ref="AV313:AV344" si="108">IF(OR(D313&lt;&gt;AU313),"DIFF","")</f>
        <v/>
      </c>
      <c r="AW313" s="216" t="str">
        <f t="shared" ref="AW313:AW344" si="109">IF(E313="","",IF(OR(E313="",ISERROR(SEARCH("erstmals 201",E313))),E313,LEFT(E313,SEARCH("erstmals 201",E313)+8) &amp; AH313 &amp; MID(E313,SEARCH("erstmals 201",E313)+13,255)))</f>
        <v>Anteil KWK, erstmals 2010</v>
      </c>
      <c r="AX313" s="215" t="str">
        <f t="shared" ref="AX313:AX344" si="110">IF(OR(E313&lt;&gt;AW313),"DIFF","")</f>
        <v/>
      </c>
      <c r="AY313" t="str">
        <f t="shared" ref="AY313:AY344" si="111">IF(AH313="2011","x",IF(AH313="2012","","" &amp; S313))</f>
        <v/>
      </c>
      <c r="AZ313" t="str">
        <f t="shared" ref="AZ313:AZ344" si="112">IF(AH313="2012","x",IF(AH313="2011","","" &amp; T313))</f>
        <v/>
      </c>
    </row>
    <row r="314" spans="1:52" s="178" customFormat="1" x14ac:dyDescent="0.25">
      <c r="A314" s="610" t="s">
        <v>5218</v>
      </c>
      <c r="B314" s="30" t="s">
        <v>5548</v>
      </c>
      <c r="C314" s="30" t="s">
        <v>3727</v>
      </c>
      <c r="D314" s="30" t="s">
        <v>6814</v>
      </c>
      <c r="E314" s="30" t="s">
        <v>3055</v>
      </c>
      <c r="F314" s="454">
        <f t="shared" si="97"/>
        <v>21.61</v>
      </c>
      <c r="G314" s="529">
        <v>21.61</v>
      </c>
      <c r="H314" s="487">
        <f t="shared" si="98"/>
        <v>17.29</v>
      </c>
      <c r="I314" s="706"/>
      <c r="J314" s="669" t="s">
        <v>5805</v>
      </c>
      <c r="K314" s="15"/>
      <c r="L314"/>
      <c r="M314" s="49">
        <f t="shared" si="99"/>
        <v>21.61</v>
      </c>
      <c r="N314" s="41">
        <v>11.67</v>
      </c>
      <c r="O314" s="176"/>
      <c r="P314" s="177"/>
      <c r="S314" s="178" t="s">
        <v>1017</v>
      </c>
      <c r="T314" s="178" t="s">
        <v>4180</v>
      </c>
      <c r="U314" s="179"/>
      <c r="W314" s="180"/>
      <c r="X314" s="180"/>
      <c r="Y314" s="178" t="s">
        <v>1017</v>
      </c>
      <c r="AA314" s="180"/>
      <c r="AD314" s="201"/>
      <c r="AE314" s="181"/>
      <c r="AF314" s="182"/>
      <c r="AG314" s="182"/>
      <c r="AH314" s="212" t="str">
        <f>IF(ISERROR(SEARCH("K erstmals 201",D314)),"",RIGHT(D314,4))</f>
        <v>2011</v>
      </c>
      <c r="AI314" s="214" t="str">
        <f t="shared" ref="AI314:AI345" si="113">IF(AND($AH314&lt;&gt;"",AH314 =AH313),"Gleich","")</f>
        <v/>
      </c>
      <c r="AJ314" s="214" t="str">
        <f t="shared" ref="AJ314:AJ345" si="114">IF(AND($AH314&lt;&gt;"",A314 =A313),"Gleich","")</f>
        <v/>
      </c>
      <c r="AK314" s="214" t="str">
        <f t="shared" ref="AK314:AK345" si="115">IF(AND($AH314&lt;&gt;"",D314 =D313),"Gleich","")</f>
        <v/>
      </c>
      <c r="AL314" s="214" t="str">
        <f t="shared" ref="AL314:AL345" si="116">IF(AND($AH314&lt;&gt;"",E314 =E313),"Gleich","")</f>
        <v/>
      </c>
      <c r="AM314" s="214" t="str">
        <f t="shared" ref="AM314:AM345" si="117">IF(AND($AH314&lt;&gt;"",F314 =F313),"Gleich","")</f>
        <v/>
      </c>
      <c r="AN314" s="213" t="str">
        <f t="shared" si="100"/>
        <v>2011</v>
      </c>
      <c r="AO314" s="213" t="str">
        <f t="shared" si="101"/>
        <v>2011</v>
      </c>
      <c r="AP314" s="213" t="str">
        <f t="shared" si="102"/>
        <v>2011</v>
      </c>
      <c r="AQ314" s="215" t="str">
        <f t="shared" si="103"/>
        <v/>
      </c>
      <c r="AR314" s="216" t="str">
        <f t="shared" si="104"/>
        <v>BiK51nGK11--03</v>
      </c>
      <c r="AS314" s="215" t="str">
        <f t="shared" si="105"/>
        <v/>
      </c>
      <c r="AT314">
        <f t="shared" si="106"/>
        <v>14</v>
      </c>
      <c r="AU314" s="216" t="str">
        <f t="shared" si="107"/>
        <v>0-0,15 MW, Bonusregeln G und K erstmals 2011</v>
      </c>
      <c r="AV314" s="215" t="str">
        <f t="shared" si="108"/>
        <v/>
      </c>
      <c r="AW314" s="216" t="str">
        <f t="shared" si="109"/>
        <v>Anteil KWK, erstmals 2011</v>
      </c>
      <c r="AX314" s="215" t="str">
        <f t="shared" si="110"/>
        <v/>
      </c>
      <c r="AY314" t="str">
        <f t="shared" si="111"/>
        <v>x</v>
      </c>
      <c r="AZ314" t="str">
        <f t="shared" si="112"/>
        <v/>
      </c>
    </row>
    <row r="315" spans="1:52" s="178" customFormat="1" x14ac:dyDescent="0.25">
      <c r="A315" s="625" t="s">
        <v>3525</v>
      </c>
      <c r="B315" s="219" t="s">
        <v>5548</v>
      </c>
      <c r="C315" s="219" t="s">
        <v>3727</v>
      </c>
      <c r="D315" s="219" t="s">
        <v>6815</v>
      </c>
      <c r="E315" s="219" t="s">
        <v>1980</v>
      </c>
      <c r="F315" s="455">
        <f t="shared" si="97"/>
        <v>21.58</v>
      </c>
      <c r="G315" s="530">
        <v>21.58</v>
      </c>
      <c r="H315" s="488">
        <f t="shared" si="98"/>
        <v>17.260000000000002</v>
      </c>
      <c r="I315" s="707"/>
      <c r="J315" s="669" t="s">
        <v>5805</v>
      </c>
      <c r="K315" s="15"/>
      <c r="L315"/>
      <c r="M315" s="49">
        <f t="shared" si="99"/>
        <v>21.58</v>
      </c>
      <c r="N315" s="41">
        <v>11.67</v>
      </c>
      <c r="O315" s="176"/>
      <c r="P315" s="177"/>
      <c r="S315" s="178" t="s">
        <v>4180</v>
      </c>
      <c r="T315" s="178" t="s">
        <v>1017</v>
      </c>
      <c r="U315" s="179"/>
      <c r="W315" s="180"/>
      <c r="X315" s="180"/>
      <c r="Y315" s="178" t="s">
        <v>1017</v>
      </c>
      <c r="AA315" s="180"/>
      <c r="AD315" s="201"/>
      <c r="AE315" s="181"/>
      <c r="AF315" s="182"/>
      <c r="AG315" s="182"/>
      <c r="AH315" s="217" t="s">
        <v>4179</v>
      </c>
      <c r="AI315" s="214" t="str">
        <f t="shared" si="113"/>
        <v/>
      </c>
      <c r="AJ315" s="214" t="str">
        <f t="shared" si="114"/>
        <v/>
      </c>
      <c r="AK315" s="214" t="str">
        <f t="shared" si="115"/>
        <v/>
      </c>
      <c r="AL315" s="214" t="str">
        <f t="shared" si="116"/>
        <v/>
      </c>
      <c r="AM315" s="214" t="str">
        <f t="shared" si="117"/>
        <v/>
      </c>
      <c r="AN315" s="213" t="str">
        <f t="shared" si="100"/>
        <v>2012</v>
      </c>
      <c r="AO315" s="213" t="str">
        <f t="shared" si="101"/>
        <v>2012</v>
      </c>
      <c r="AP315" s="213" t="str">
        <f t="shared" si="102"/>
        <v>2012</v>
      </c>
      <c r="AQ315" s="215" t="str">
        <f t="shared" si="103"/>
        <v/>
      </c>
      <c r="AR315" s="216" t="str">
        <f t="shared" si="104"/>
        <v>BiK51nGK12--03</v>
      </c>
      <c r="AS315" s="215" t="str">
        <f t="shared" si="105"/>
        <v/>
      </c>
      <c r="AT315">
        <f t="shared" si="106"/>
        <v>14</v>
      </c>
      <c r="AU315" s="216" t="str">
        <f t="shared" si="107"/>
        <v>0-0,15 MW, Bonusregeln G und K erstmals 2012</v>
      </c>
      <c r="AV315" s="215" t="str">
        <f t="shared" si="108"/>
        <v/>
      </c>
      <c r="AW315" s="216" t="str">
        <f t="shared" si="109"/>
        <v>Anteil KWK, erstmals 2012</v>
      </c>
      <c r="AX315" s="215" t="str">
        <f t="shared" si="110"/>
        <v/>
      </c>
      <c r="AY315" t="str">
        <f t="shared" si="111"/>
        <v/>
      </c>
      <c r="AZ315" t="str">
        <f t="shared" si="112"/>
        <v>x</v>
      </c>
    </row>
    <row r="316" spans="1:52" s="178" customFormat="1" x14ac:dyDescent="0.25">
      <c r="A316" s="610" t="s">
        <v>1087</v>
      </c>
      <c r="B316" s="30" t="s">
        <v>5548</v>
      </c>
      <c r="C316" s="30" t="s">
        <v>3727</v>
      </c>
      <c r="D316" s="30" t="s">
        <v>6866</v>
      </c>
      <c r="E316" s="30" t="s">
        <v>4810</v>
      </c>
      <c r="F316" s="454">
        <f t="shared" si="97"/>
        <v>19.670000000000002</v>
      </c>
      <c r="G316" s="529">
        <v>19.670000000000002</v>
      </c>
      <c r="H316" s="487">
        <f t="shared" si="98"/>
        <v>15.74</v>
      </c>
      <c r="I316" s="706"/>
      <c r="J316" s="669" t="s">
        <v>5805</v>
      </c>
      <c r="K316" s="15"/>
      <c r="L316"/>
      <c r="M316" s="49">
        <f t="shared" si="99"/>
        <v>19.670000000000002</v>
      </c>
      <c r="N316" s="41">
        <v>11.67</v>
      </c>
      <c r="O316" s="176"/>
      <c r="P316" s="183"/>
      <c r="Q316" s="184"/>
      <c r="R316" s="184"/>
      <c r="S316" s="184" t="s">
        <v>4180</v>
      </c>
      <c r="T316" s="178" t="s">
        <v>4180</v>
      </c>
      <c r="U316" s="185" t="s">
        <v>1017</v>
      </c>
      <c r="V316" s="184"/>
      <c r="W316" s="180"/>
      <c r="X316" s="180"/>
      <c r="Y316" s="184" t="s">
        <v>1017</v>
      </c>
      <c r="Z316" s="184"/>
      <c r="AA316" s="180"/>
      <c r="AB316" s="184"/>
      <c r="AC316" s="184"/>
      <c r="AD316" s="201"/>
      <c r="AE316" s="181"/>
      <c r="AF316" s="182"/>
      <c r="AG316" s="182"/>
      <c r="AH316" s="212" t="str">
        <f>IF(ISERROR(SEARCH("K erstmals 201",D316)),"",RIGHT(D316,4))</f>
        <v/>
      </c>
      <c r="AI316" s="214" t="str">
        <f t="shared" si="113"/>
        <v/>
      </c>
      <c r="AJ316" s="214" t="str">
        <f t="shared" si="114"/>
        <v/>
      </c>
      <c r="AK316" s="214" t="str">
        <f t="shared" si="115"/>
        <v/>
      </c>
      <c r="AL316" s="214" t="str">
        <f t="shared" si="116"/>
        <v/>
      </c>
      <c r="AM316" s="214" t="str">
        <f t="shared" si="117"/>
        <v/>
      </c>
      <c r="AN316" s="213" t="str">
        <f t="shared" si="100"/>
        <v/>
      </c>
      <c r="AO316" s="213" t="str">
        <f t="shared" si="101"/>
        <v/>
      </c>
      <c r="AP316" s="213" t="str">
        <f t="shared" si="102"/>
        <v/>
      </c>
      <c r="AQ316" s="215" t="str">
        <f t="shared" si="103"/>
        <v/>
      </c>
      <c r="AR316" s="216" t="str">
        <f t="shared" si="104"/>
        <v>BiK51nGy----03</v>
      </c>
      <c r="AS316" s="215" t="str">
        <f t="shared" si="105"/>
        <v/>
      </c>
      <c r="AT316">
        <f t="shared" si="106"/>
        <v>14</v>
      </c>
      <c r="AU316" s="216" t="str">
        <f t="shared" si="107"/>
        <v>0-0,15 MW, Bonusregeln G, y</v>
      </c>
      <c r="AV316" s="215" t="str">
        <f t="shared" si="108"/>
        <v/>
      </c>
      <c r="AW316" s="216" t="str">
        <f t="shared" si="109"/>
        <v>Anteil Nicht-KWK</v>
      </c>
      <c r="AX316" s="215" t="str">
        <f t="shared" si="110"/>
        <v/>
      </c>
      <c r="AY316" t="str">
        <f t="shared" si="111"/>
        <v/>
      </c>
      <c r="AZ316" t="str">
        <f t="shared" si="112"/>
        <v/>
      </c>
    </row>
    <row r="317" spans="1:52" s="178" customFormat="1" x14ac:dyDescent="0.25">
      <c r="A317" s="610" t="s">
        <v>1088</v>
      </c>
      <c r="B317" s="30" t="s">
        <v>5548</v>
      </c>
      <c r="C317" s="30" t="s">
        <v>3727</v>
      </c>
      <c r="D317" s="109" t="s">
        <v>6817</v>
      </c>
      <c r="E317" s="30" t="s">
        <v>4331</v>
      </c>
      <c r="F317" s="454">
        <f t="shared" si="97"/>
        <v>22.67</v>
      </c>
      <c r="G317" s="529">
        <v>22.67</v>
      </c>
      <c r="H317" s="487">
        <f t="shared" si="98"/>
        <v>18.14</v>
      </c>
      <c r="I317" s="706"/>
      <c r="J317" s="669" t="s">
        <v>5805</v>
      </c>
      <c r="K317" s="15"/>
      <c r="L317"/>
      <c r="M317" s="49">
        <f t="shared" si="99"/>
        <v>22.67</v>
      </c>
      <c r="N317" s="41">
        <v>11.67</v>
      </c>
      <c r="O317" s="176"/>
      <c r="P317" s="184" t="s">
        <v>1017</v>
      </c>
      <c r="Q317" s="184"/>
      <c r="R317" s="184"/>
      <c r="S317" s="184" t="s">
        <v>4180</v>
      </c>
      <c r="T317" s="178" t="s">
        <v>4180</v>
      </c>
      <c r="U317" s="185" t="s">
        <v>1017</v>
      </c>
      <c r="V317" s="184"/>
      <c r="W317" s="180"/>
      <c r="X317" s="180"/>
      <c r="Y317" s="184" t="s">
        <v>1017</v>
      </c>
      <c r="Z317" s="184"/>
      <c r="AA317" s="180"/>
      <c r="AB317" s="184"/>
      <c r="AC317" s="184"/>
      <c r="AD317" s="201"/>
      <c r="AE317" s="181"/>
      <c r="AF317" s="182"/>
      <c r="AG317" s="182"/>
      <c r="AH317" s="212" t="str">
        <f>IF(ISERROR(SEARCH("K erstmals 201",D317)),"",RIGHT(D317,4))</f>
        <v/>
      </c>
      <c r="AI317" s="214" t="str">
        <f t="shared" si="113"/>
        <v/>
      </c>
      <c r="AJ317" s="214" t="str">
        <f t="shared" si="114"/>
        <v/>
      </c>
      <c r="AK317" s="214" t="str">
        <f t="shared" si="115"/>
        <v/>
      </c>
      <c r="AL317" s="214" t="str">
        <f t="shared" si="116"/>
        <v/>
      </c>
      <c r="AM317" s="214" t="str">
        <f t="shared" si="117"/>
        <v/>
      </c>
      <c r="AN317" s="213" t="str">
        <f t="shared" si="100"/>
        <v/>
      </c>
      <c r="AO317" s="213" t="str">
        <f t="shared" si="101"/>
        <v/>
      </c>
      <c r="AP317" s="213" t="str">
        <f t="shared" si="102"/>
        <v/>
      </c>
      <c r="AQ317" s="215" t="str">
        <f t="shared" si="103"/>
        <v/>
      </c>
      <c r="AR317" s="216" t="str">
        <f t="shared" si="104"/>
        <v>BiK51nGKA3y-03</v>
      </c>
      <c r="AS317" s="215" t="str">
        <f t="shared" si="105"/>
        <v/>
      </c>
      <c r="AT317">
        <f t="shared" si="106"/>
        <v>14</v>
      </c>
      <c r="AU317" s="216" t="str">
        <f t="shared" si="107"/>
        <v>0-0,15 MW, Bonusregeln G, y und K wenn Anlage 3 erfüllt</v>
      </c>
      <c r="AV317" s="215" t="str">
        <f t="shared" si="108"/>
        <v/>
      </c>
      <c r="AW317" s="216" t="str">
        <f t="shared" si="109"/>
        <v>Anteil KWK gemäß Anlage 3</v>
      </c>
      <c r="AX317" s="215" t="str">
        <f t="shared" si="110"/>
        <v/>
      </c>
      <c r="AY317" t="str">
        <f t="shared" si="111"/>
        <v/>
      </c>
      <c r="AZ317" t="str">
        <f t="shared" si="112"/>
        <v/>
      </c>
    </row>
    <row r="318" spans="1:52" s="178" customFormat="1" x14ac:dyDescent="0.25">
      <c r="A318" s="610" t="s">
        <v>1089</v>
      </c>
      <c r="B318" s="30" t="s">
        <v>5548</v>
      </c>
      <c r="C318" s="30" t="s">
        <v>3727</v>
      </c>
      <c r="D318" s="30" t="s">
        <v>6818</v>
      </c>
      <c r="E318" s="30" t="s">
        <v>674</v>
      </c>
      <c r="F318" s="454">
        <f t="shared" ref="F318:F349" si="118">M318</f>
        <v>22.67</v>
      </c>
      <c r="G318" s="529">
        <v>22.67</v>
      </c>
      <c r="H318" s="487">
        <f t="shared" ref="H318:H349" si="119">IF(ISNUMBER(G318),ROUND(0.8*G318,2),"")</f>
        <v>18.14</v>
      </c>
      <c r="I318" s="706"/>
      <c r="J318" s="669" t="s">
        <v>5805</v>
      </c>
      <c r="K318" s="15"/>
      <c r="L318"/>
      <c r="M318" s="49">
        <f t="shared" ref="M318:M349" si="120">N318+SUMIF(O318:AD318,"x",O$285:AD$285)</f>
        <v>22.67</v>
      </c>
      <c r="N318" s="41">
        <v>11.67</v>
      </c>
      <c r="O318" s="176"/>
      <c r="P318" s="183"/>
      <c r="Q318" s="184" t="s">
        <v>1017</v>
      </c>
      <c r="R318" s="184"/>
      <c r="S318" s="184" t="s">
        <v>4180</v>
      </c>
      <c r="T318" s="178" t="s">
        <v>4180</v>
      </c>
      <c r="U318" s="185" t="s">
        <v>1017</v>
      </c>
      <c r="V318" s="184"/>
      <c r="W318" s="180"/>
      <c r="X318" s="180"/>
      <c r="Y318" s="184" t="s">
        <v>1017</v>
      </c>
      <c r="Z318" s="184"/>
      <c r="AA318" s="180"/>
      <c r="AB318" s="184"/>
      <c r="AC318" s="184"/>
      <c r="AD318" s="201"/>
      <c r="AE318" s="181"/>
      <c r="AF318" s="182"/>
      <c r="AG318" s="182"/>
      <c r="AH318" s="212" t="str">
        <f>IF(ISERROR(SEARCH("K erstmals 201",D318)),"",RIGHT(D318,4))</f>
        <v/>
      </c>
      <c r="AI318" s="214" t="str">
        <f t="shared" si="113"/>
        <v/>
      </c>
      <c r="AJ318" s="214" t="str">
        <f t="shared" si="114"/>
        <v/>
      </c>
      <c r="AK318" s="214" t="str">
        <f t="shared" si="115"/>
        <v/>
      </c>
      <c r="AL318" s="214" t="str">
        <f t="shared" si="116"/>
        <v/>
      </c>
      <c r="AM318" s="214" t="str">
        <f t="shared" si="117"/>
        <v/>
      </c>
      <c r="AN318" s="213" t="str">
        <f t="shared" si="100"/>
        <v/>
      </c>
      <c r="AO318" s="213" t="str">
        <f t="shared" si="101"/>
        <v/>
      </c>
      <c r="AP318" s="213" t="str">
        <f t="shared" si="102"/>
        <v/>
      </c>
      <c r="AQ318" s="215" t="str">
        <f t="shared" si="103"/>
        <v/>
      </c>
      <c r="AR318" s="216" t="str">
        <f t="shared" si="104"/>
        <v>BiK51nGK09y-03</v>
      </c>
      <c r="AS318" s="215" t="str">
        <f t="shared" si="105"/>
        <v/>
      </c>
      <c r="AT318">
        <f t="shared" si="106"/>
        <v>14</v>
      </c>
      <c r="AU318" s="216" t="str">
        <f t="shared" si="107"/>
        <v>0-0,15 MW, Bonusregeln G, y und K erstmals 2009</v>
      </c>
      <c r="AV318" s="215" t="str">
        <f t="shared" si="108"/>
        <v/>
      </c>
      <c r="AW318" s="216" t="str">
        <f t="shared" si="109"/>
        <v>Anteil KWK, erstmals 2009</v>
      </c>
      <c r="AX318" s="215" t="str">
        <f t="shared" si="110"/>
        <v/>
      </c>
      <c r="AY318" t="str">
        <f t="shared" si="111"/>
        <v/>
      </c>
      <c r="AZ318" t="str">
        <f t="shared" si="112"/>
        <v/>
      </c>
    </row>
    <row r="319" spans="1:52" s="178" customFormat="1" x14ac:dyDescent="0.25">
      <c r="A319" s="610" t="s">
        <v>3253</v>
      </c>
      <c r="B319" s="30" t="s">
        <v>5548</v>
      </c>
      <c r="C319" s="30" t="s">
        <v>3727</v>
      </c>
      <c r="D319" s="30" t="s">
        <v>6819</v>
      </c>
      <c r="E319" s="30" t="s">
        <v>3567</v>
      </c>
      <c r="F319" s="454">
        <f t="shared" si="118"/>
        <v>22.64</v>
      </c>
      <c r="G319" s="529">
        <v>22.64</v>
      </c>
      <c r="H319" s="487">
        <f t="shared" si="119"/>
        <v>18.11</v>
      </c>
      <c r="I319" s="706"/>
      <c r="J319" s="669" t="s">
        <v>5805</v>
      </c>
      <c r="K319" s="15"/>
      <c r="L319"/>
      <c r="M319" s="49">
        <f t="shared" si="120"/>
        <v>22.64</v>
      </c>
      <c r="N319" s="41">
        <v>11.67</v>
      </c>
      <c r="O319" s="176"/>
      <c r="P319" s="183"/>
      <c r="Q319" s="184"/>
      <c r="R319" s="184" t="s">
        <v>1017</v>
      </c>
      <c r="S319" s="184" t="s">
        <v>4180</v>
      </c>
      <c r="T319" s="178" t="s">
        <v>4180</v>
      </c>
      <c r="U319" s="185" t="s">
        <v>1017</v>
      </c>
      <c r="V319" s="184"/>
      <c r="W319" s="180"/>
      <c r="X319" s="180"/>
      <c r="Y319" s="184" t="s">
        <v>1017</v>
      </c>
      <c r="Z319" s="184"/>
      <c r="AA319" s="180"/>
      <c r="AB319" s="184"/>
      <c r="AC319" s="184"/>
      <c r="AD319" s="201"/>
      <c r="AE319" s="181"/>
      <c r="AF319" s="182"/>
      <c r="AG319" s="182"/>
      <c r="AH319" s="212" t="str">
        <f>IF(ISERROR(SEARCH("K erstmals 201",D319)),"",RIGHT(D319,4))</f>
        <v>2010</v>
      </c>
      <c r="AI319" s="214" t="str">
        <f t="shared" si="113"/>
        <v/>
      </c>
      <c r="AJ319" s="214" t="str">
        <f t="shared" si="114"/>
        <v/>
      </c>
      <c r="AK319" s="214" t="str">
        <f t="shared" si="115"/>
        <v/>
      </c>
      <c r="AL319" s="214" t="str">
        <f t="shared" si="116"/>
        <v/>
      </c>
      <c r="AM319" s="214" t="str">
        <f t="shared" si="117"/>
        <v/>
      </c>
      <c r="AN319" s="213" t="str">
        <f t="shared" si="100"/>
        <v>2010</v>
      </c>
      <c r="AO319" s="213" t="str">
        <f t="shared" si="101"/>
        <v>2010</v>
      </c>
      <c r="AP319" s="213" t="str">
        <f t="shared" si="102"/>
        <v>2010</v>
      </c>
      <c r="AQ319" s="215" t="str">
        <f t="shared" si="103"/>
        <v/>
      </c>
      <c r="AR319" s="216" t="str">
        <f t="shared" si="104"/>
        <v>BiK51nGK10y-03</v>
      </c>
      <c r="AS319" s="215" t="str">
        <f t="shared" si="105"/>
        <v/>
      </c>
      <c r="AT319">
        <f t="shared" si="106"/>
        <v>14</v>
      </c>
      <c r="AU319" s="216" t="str">
        <f t="shared" si="107"/>
        <v>0-0,15 MW, Bonusregeln G, y und K erstmals 2010</v>
      </c>
      <c r="AV319" s="215" t="str">
        <f t="shared" si="108"/>
        <v/>
      </c>
      <c r="AW319" s="216" t="str">
        <f t="shared" si="109"/>
        <v>Anteil KWK, erstmals 2010</v>
      </c>
      <c r="AX319" s="215" t="str">
        <f t="shared" si="110"/>
        <v/>
      </c>
      <c r="AY319" t="str">
        <f t="shared" si="111"/>
        <v/>
      </c>
      <c r="AZ319" t="str">
        <f t="shared" si="112"/>
        <v/>
      </c>
    </row>
    <row r="320" spans="1:52" s="178" customFormat="1" x14ac:dyDescent="0.25">
      <c r="A320" s="610" t="s">
        <v>5219</v>
      </c>
      <c r="B320" s="30" t="s">
        <v>5548</v>
      </c>
      <c r="C320" s="30" t="s">
        <v>3727</v>
      </c>
      <c r="D320" s="30" t="s">
        <v>6820</v>
      </c>
      <c r="E320" s="30" t="s">
        <v>3055</v>
      </c>
      <c r="F320" s="454">
        <f t="shared" si="118"/>
        <v>22.61</v>
      </c>
      <c r="G320" s="529">
        <v>22.61</v>
      </c>
      <c r="H320" s="487">
        <f t="shared" si="119"/>
        <v>18.09</v>
      </c>
      <c r="I320" s="706"/>
      <c r="J320" s="669" t="s">
        <v>5805</v>
      </c>
      <c r="K320" s="15"/>
      <c r="L320"/>
      <c r="M320" s="49">
        <f t="shared" si="120"/>
        <v>22.61</v>
      </c>
      <c r="N320" s="41">
        <v>11.67</v>
      </c>
      <c r="O320" s="176"/>
      <c r="P320" s="183"/>
      <c r="Q320" s="184"/>
      <c r="S320" s="184" t="s">
        <v>1017</v>
      </c>
      <c r="T320" s="178" t="s">
        <v>4180</v>
      </c>
      <c r="U320" s="185" t="s">
        <v>1017</v>
      </c>
      <c r="V320" s="184"/>
      <c r="W320" s="180"/>
      <c r="X320" s="180"/>
      <c r="Y320" s="184" t="s">
        <v>1017</v>
      </c>
      <c r="Z320" s="184"/>
      <c r="AA320" s="180"/>
      <c r="AB320" s="184"/>
      <c r="AC320" s="184"/>
      <c r="AD320" s="201"/>
      <c r="AE320" s="181"/>
      <c r="AF320" s="182"/>
      <c r="AG320" s="182"/>
      <c r="AH320" s="212" t="str">
        <f>IF(ISERROR(SEARCH("K erstmals 201",D320)),"",RIGHT(D320,4))</f>
        <v>2011</v>
      </c>
      <c r="AI320" s="214" t="str">
        <f t="shared" si="113"/>
        <v/>
      </c>
      <c r="AJ320" s="214" t="str">
        <f t="shared" si="114"/>
        <v/>
      </c>
      <c r="AK320" s="214" t="str">
        <f t="shared" si="115"/>
        <v/>
      </c>
      <c r="AL320" s="214" t="str">
        <f t="shared" si="116"/>
        <v/>
      </c>
      <c r="AM320" s="214" t="str">
        <f t="shared" si="117"/>
        <v/>
      </c>
      <c r="AN320" s="213" t="str">
        <f t="shared" si="100"/>
        <v>2011</v>
      </c>
      <c r="AO320" s="213" t="str">
        <f t="shared" si="101"/>
        <v>2011</v>
      </c>
      <c r="AP320" s="213" t="str">
        <f t="shared" si="102"/>
        <v>2011</v>
      </c>
      <c r="AQ320" s="215" t="str">
        <f t="shared" si="103"/>
        <v/>
      </c>
      <c r="AR320" s="216" t="str">
        <f t="shared" si="104"/>
        <v>BiK51nGK11y-03</v>
      </c>
      <c r="AS320" s="215" t="str">
        <f t="shared" si="105"/>
        <v/>
      </c>
      <c r="AT320">
        <f t="shared" si="106"/>
        <v>14</v>
      </c>
      <c r="AU320" s="216" t="str">
        <f t="shared" si="107"/>
        <v>0-0,15 MW, Bonusregeln G, y und K erstmals 2011</v>
      </c>
      <c r="AV320" s="215" t="str">
        <f t="shared" si="108"/>
        <v/>
      </c>
      <c r="AW320" s="216" t="str">
        <f t="shared" si="109"/>
        <v>Anteil KWK, erstmals 2011</v>
      </c>
      <c r="AX320" s="215" t="str">
        <f t="shared" si="110"/>
        <v/>
      </c>
      <c r="AY320" t="str">
        <f t="shared" si="111"/>
        <v>x</v>
      </c>
      <c r="AZ320" t="str">
        <f t="shared" si="112"/>
        <v/>
      </c>
    </row>
    <row r="321" spans="1:52" s="178" customFormat="1" x14ac:dyDescent="0.25">
      <c r="A321" s="625" t="s">
        <v>3526</v>
      </c>
      <c r="B321" s="219" t="s">
        <v>5548</v>
      </c>
      <c r="C321" s="219" t="s">
        <v>3727</v>
      </c>
      <c r="D321" s="219" t="s">
        <v>6821</v>
      </c>
      <c r="E321" s="219" t="s">
        <v>1980</v>
      </c>
      <c r="F321" s="455">
        <f t="shared" si="118"/>
        <v>22.58</v>
      </c>
      <c r="G321" s="530">
        <v>22.58</v>
      </c>
      <c r="H321" s="488">
        <f t="shared" si="119"/>
        <v>18.059999999999999</v>
      </c>
      <c r="I321" s="707"/>
      <c r="J321" s="669" t="s">
        <v>5805</v>
      </c>
      <c r="K321" s="15"/>
      <c r="L321"/>
      <c r="M321" s="49">
        <f t="shared" si="120"/>
        <v>22.58</v>
      </c>
      <c r="N321" s="41">
        <v>11.67</v>
      </c>
      <c r="O321" s="176"/>
      <c r="P321" s="183"/>
      <c r="Q321" s="184"/>
      <c r="S321" s="184" t="s">
        <v>4180</v>
      </c>
      <c r="T321" s="178" t="s">
        <v>1017</v>
      </c>
      <c r="U321" s="185" t="s">
        <v>1017</v>
      </c>
      <c r="V321" s="184"/>
      <c r="W321" s="180"/>
      <c r="X321" s="180"/>
      <c r="Y321" s="184" t="s">
        <v>1017</v>
      </c>
      <c r="Z321" s="184"/>
      <c r="AA321" s="180"/>
      <c r="AB321" s="184"/>
      <c r="AC321" s="184"/>
      <c r="AD321" s="201"/>
      <c r="AE321" s="181"/>
      <c r="AF321" s="182"/>
      <c r="AG321" s="182"/>
      <c r="AH321" s="217" t="s">
        <v>4179</v>
      </c>
      <c r="AI321" s="214" t="str">
        <f t="shared" si="113"/>
        <v/>
      </c>
      <c r="AJ321" s="214" t="str">
        <f t="shared" si="114"/>
        <v/>
      </c>
      <c r="AK321" s="214" t="str">
        <f t="shared" si="115"/>
        <v/>
      </c>
      <c r="AL321" s="214" t="str">
        <f t="shared" si="116"/>
        <v/>
      </c>
      <c r="AM321" s="214" t="str">
        <f t="shared" si="117"/>
        <v/>
      </c>
      <c r="AN321" s="213" t="str">
        <f t="shared" si="100"/>
        <v>2012</v>
      </c>
      <c r="AO321" s="213" t="str">
        <f t="shared" si="101"/>
        <v>2012</v>
      </c>
      <c r="AP321" s="213" t="str">
        <f t="shared" si="102"/>
        <v>2012</v>
      </c>
      <c r="AQ321" s="215" t="str">
        <f t="shared" si="103"/>
        <v/>
      </c>
      <c r="AR321" s="216" t="str">
        <f t="shared" si="104"/>
        <v>BiK51nGK12y-03</v>
      </c>
      <c r="AS321" s="215" t="str">
        <f t="shared" si="105"/>
        <v/>
      </c>
      <c r="AT321">
        <f t="shared" si="106"/>
        <v>14</v>
      </c>
      <c r="AU321" s="216" t="str">
        <f t="shared" si="107"/>
        <v>0-0,15 MW, Bonusregeln G, y und K erstmals 2012</v>
      </c>
      <c r="AV321" s="215" t="str">
        <f t="shared" si="108"/>
        <v/>
      </c>
      <c r="AW321" s="216" t="str">
        <f t="shared" si="109"/>
        <v>Anteil KWK, erstmals 2012</v>
      </c>
      <c r="AX321" s="215" t="str">
        <f t="shared" si="110"/>
        <v/>
      </c>
      <c r="AY321" t="str">
        <f t="shared" si="111"/>
        <v/>
      </c>
      <c r="AZ321" t="str">
        <f t="shared" si="112"/>
        <v>x</v>
      </c>
    </row>
    <row r="322" spans="1:52" s="178" customFormat="1" x14ac:dyDescent="0.25">
      <c r="A322" s="610" t="s">
        <v>1090</v>
      </c>
      <c r="B322" s="30" t="s">
        <v>5548</v>
      </c>
      <c r="C322" s="30" t="s">
        <v>3727</v>
      </c>
      <c r="D322" s="30" t="s">
        <v>6822</v>
      </c>
      <c r="E322" s="30" t="s">
        <v>4810</v>
      </c>
      <c r="F322" s="454">
        <f t="shared" si="118"/>
        <v>22.67</v>
      </c>
      <c r="G322" s="529">
        <v>22.67</v>
      </c>
      <c r="H322" s="487">
        <f t="shared" si="119"/>
        <v>18.14</v>
      </c>
      <c r="I322" s="706"/>
      <c r="J322" s="669" t="s">
        <v>5805</v>
      </c>
      <c r="K322" s="15"/>
      <c r="L322"/>
      <c r="M322" s="49">
        <f t="shared" si="120"/>
        <v>22.67</v>
      </c>
      <c r="N322" s="41">
        <v>11.67</v>
      </c>
      <c r="O322" s="176"/>
      <c r="P322" s="177"/>
      <c r="S322" s="178" t="s">
        <v>4180</v>
      </c>
      <c r="T322" s="178" t="s">
        <v>4180</v>
      </c>
      <c r="U322" s="179"/>
      <c r="W322" s="180"/>
      <c r="X322" s="180"/>
      <c r="Z322" s="178" t="s">
        <v>1017</v>
      </c>
      <c r="AA322" s="180"/>
      <c r="AD322" s="201"/>
      <c r="AE322" s="181"/>
      <c r="AF322" s="182"/>
      <c r="AG322" s="182"/>
      <c r="AH322" s="212" t="str">
        <f>IF(ISERROR(SEARCH("K erstmals 201",D322)),"",RIGHT(D322,4))</f>
        <v/>
      </c>
      <c r="AI322" s="214" t="str">
        <f t="shared" si="113"/>
        <v/>
      </c>
      <c r="AJ322" s="214" t="str">
        <f t="shared" si="114"/>
        <v/>
      </c>
      <c r="AK322" s="214" t="str">
        <f t="shared" si="115"/>
        <v/>
      </c>
      <c r="AL322" s="214" t="str">
        <f t="shared" si="116"/>
        <v/>
      </c>
      <c r="AM322" s="214" t="str">
        <f t="shared" si="117"/>
        <v/>
      </c>
      <c r="AN322" s="213" t="str">
        <f t="shared" si="100"/>
        <v/>
      </c>
      <c r="AO322" s="213" t="str">
        <f t="shared" si="101"/>
        <v/>
      </c>
      <c r="AP322" s="213" t="str">
        <f t="shared" si="102"/>
        <v/>
      </c>
      <c r="AQ322" s="215" t="str">
        <f t="shared" si="103"/>
        <v/>
      </c>
      <c r="AR322" s="216" t="str">
        <f t="shared" si="104"/>
        <v>BiK51nM1----03</v>
      </c>
      <c r="AS322" s="215" t="str">
        <f t="shared" si="105"/>
        <v/>
      </c>
      <c r="AT322">
        <f t="shared" si="106"/>
        <v>14</v>
      </c>
      <c r="AU322" s="216" t="str">
        <f t="shared" si="107"/>
        <v>0-0,15 MW, Bonusregel M1</v>
      </c>
      <c r="AV322" s="215" t="str">
        <f t="shared" si="108"/>
        <v/>
      </c>
      <c r="AW322" s="216" t="str">
        <f t="shared" si="109"/>
        <v>Anteil Nicht-KWK</v>
      </c>
      <c r="AX322" s="215" t="str">
        <f t="shared" si="110"/>
        <v/>
      </c>
      <c r="AY322" t="str">
        <f t="shared" si="111"/>
        <v/>
      </c>
      <c r="AZ322" t="str">
        <f t="shared" si="112"/>
        <v/>
      </c>
    </row>
    <row r="323" spans="1:52" s="178" customFormat="1" x14ac:dyDescent="0.25">
      <c r="A323" s="610" t="s">
        <v>1091</v>
      </c>
      <c r="B323" s="30" t="s">
        <v>5548</v>
      </c>
      <c r="C323" s="30" t="s">
        <v>3727</v>
      </c>
      <c r="D323" s="30" t="s">
        <v>6823</v>
      </c>
      <c r="E323" s="30" t="s">
        <v>4331</v>
      </c>
      <c r="F323" s="454">
        <f t="shared" si="118"/>
        <v>25.67</v>
      </c>
      <c r="G323" s="529">
        <v>25.67</v>
      </c>
      <c r="H323" s="487">
        <f t="shared" si="119"/>
        <v>20.54</v>
      </c>
      <c r="I323" s="706"/>
      <c r="J323" s="669" t="s">
        <v>5805</v>
      </c>
      <c r="K323" s="15"/>
      <c r="L323"/>
      <c r="M323" s="49">
        <f t="shared" si="120"/>
        <v>25.67</v>
      </c>
      <c r="N323" s="41">
        <v>11.67</v>
      </c>
      <c r="O323" s="176"/>
      <c r="P323" s="178" t="s">
        <v>1017</v>
      </c>
      <c r="S323" s="178" t="s">
        <v>4180</v>
      </c>
      <c r="T323" s="178" t="s">
        <v>4180</v>
      </c>
      <c r="U323" s="179"/>
      <c r="W323" s="180"/>
      <c r="X323" s="180"/>
      <c r="Z323" s="178" t="s">
        <v>1017</v>
      </c>
      <c r="AA323" s="180"/>
      <c r="AD323" s="201"/>
      <c r="AE323" s="181"/>
      <c r="AF323" s="182"/>
      <c r="AG323" s="182"/>
      <c r="AH323" s="212" t="str">
        <f>IF(ISERROR(SEARCH("K erstmals 201",D323)),"",RIGHT(D323,4))</f>
        <v/>
      </c>
      <c r="AI323" s="214" t="str">
        <f t="shared" si="113"/>
        <v/>
      </c>
      <c r="AJ323" s="214" t="str">
        <f t="shared" si="114"/>
        <v/>
      </c>
      <c r="AK323" s="214" t="str">
        <f t="shared" si="115"/>
        <v/>
      </c>
      <c r="AL323" s="214" t="str">
        <f t="shared" si="116"/>
        <v/>
      </c>
      <c r="AM323" s="214" t="str">
        <f t="shared" si="117"/>
        <v/>
      </c>
      <c r="AN323" s="213" t="str">
        <f t="shared" si="100"/>
        <v/>
      </c>
      <c r="AO323" s="213" t="str">
        <f t="shared" si="101"/>
        <v/>
      </c>
      <c r="AP323" s="213" t="str">
        <f t="shared" si="102"/>
        <v/>
      </c>
      <c r="AQ323" s="215" t="str">
        <f t="shared" si="103"/>
        <v/>
      </c>
      <c r="AR323" s="216" t="str">
        <f t="shared" si="104"/>
        <v>BiK51nM1KA3-03</v>
      </c>
      <c r="AS323" s="215" t="str">
        <f t="shared" si="105"/>
        <v/>
      </c>
      <c r="AT323">
        <f t="shared" si="106"/>
        <v>14</v>
      </c>
      <c r="AU323" s="216" t="str">
        <f t="shared" si="107"/>
        <v>0-0,15 MW, Bonusregeln M1 und K wenn Anlage 3 erfüllt</v>
      </c>
      <c r="AV323" s="215" t="str">
        <f t="shared" si="108"/>
        <v/>
      </c>
      <c r="AW323" s="216" t="str">
        <f t="shared" si="109"/>
        <v>Anteil KWK gemäß Anlage 3</v>
      </c>
      <c r="AX323" s="215" t="str">
        <f t="shared" si="110"/>
        <v/>
      </c>
      <c r="AY323" t="str">
        <f t="shared" si="111"/>
        <v/>
      </c>
      <c r="AZ323" t="str">
        <f t="shared" si="112"/>
        <v/>
      </c>
    </row>
    <row r="324" spans="1:52" s="178" customFormat="1" x14ac:dyDescent="0.25">
      <c r="A324" s="610" t="s">
        <v>1092</v>
      </c>
      <c r="B324" s="30" t="s">
        <v>5548</v>
      </c>
      <c r="C324" s="30" t="s">
        <v>3727</v>
      </c>
      <c r="D324" s="30" t="s">
        <v>6824</v>
      </c>
      <c r="E324" s="30" t="s">
        <v>674</v>
      </c>
      <c r="F324" s="454">
        <f t="shared" si="118"/>
        <v>25.67</v>
      </c>
      <c r="G324" s="529">
        <v>25.67</v>
      </c>
      <c r="H324" s="487">
        <f t="shared" si="119"/>
        <v>20.54</v>
      </c>
      <c r="I324" s="706"/>
      <c r="J324" s="669" t="s">
        <v>5805</v>
      </c>
      <c r="K324" s="15"/>
      <c r="L324"/>
      <c r="M324" s="49">
        <f t="shared" si="120"/>
        <v>25.67</v>
      </c>
      <c r="N324" s="41">
        <v>11.67</v>
      </c>
      <c r="O324" s="176"/>
      <c r="P324" s="177"/>
      <c r="Q324" s="178" t="s">
        <v>1017</v>
      </c>
      <c r="S324" s="178" t="s">
        <v>4180</v>
      </c>
      <c r="T324" s="178" t="s">
        <v>4180</v>
      </c>
      <c r="U324" s="179"/>
      <c r="W324" s="180"/>
      <c r="X324" s="180"/>
      <c r="Z324" s="178" t="s">
        <v>1017</v>
      </c>
      <c r="AA324" s="180"/>
      <c r="AD324" s="201"/>
      <c r="AE324" s="181"/>
      <c r="AF324" s="182"/>
      <c r="AG324" s="182"/>
      <c r="AH324" s="212" t="str">
        <f>IF(ISERROR(SEARCH("K erstmals 201",D324)),"",RIGHT(D324,4))</f>
        <v/>
      </c>
      <c r="AI324" s="214" t="str">
        <f t="shared" si="113"/>
        <v/>
      </c>
      <c r="AJ324" s="214" t="str">
        <f t="shared" si="114"/>
        <v/>
      </c>
      <c r="AK324" s="214" t="str">
        <f t="shared" si="115"/>
        <v/>
      </c>
      <c r="AL324" s="214" t="str">
        <f t="shared" si="116"/>
        <v/>
      </c>
      <c r="AM324" s="214" t="str">
        <f t="shared" si="117"/>
        <v/>
      </c>
      <c r="AN324" s="213" t="str">
        <f t="shared" si="100"/>
        <v/>
      </c>
      <c r="AO324" s="213" t="str">
        <f t="shared" si="101"/>
        <v/>
      </c>
      <c r="AP324" s="213" t="str">
        <f t="shared" si="102"/>
        <v/>
      </c>
      <c r="AQ324" s="215" t="str">
        <f t="shared" si="103"/>
        <v/>
      </c>
      <c r="AR324" s="216" t="str">
        <f t="shared" si="104"/>
        <v>BiK51nM1K09-03</v>
      </c>
      <c r="AS324" s="215" t="str">
        <f t="shared" si="105"/>
        <v/>
      </c>
      <c r="AT324">
        <f t="shared" si="106"/>
        <v>14</v>
      </c>
      <c r="AU324" s="216" t="str">
        <f t="shared" si="107"/>
        <v>0-0,15 MW, Bonusregeln M1 und K erstmals 2009</v>
      </c>
      <c r="AV324" s="215" t="str">
        <f t="shared" si="108"/>
        <v/>
      </c>
      <c r="AW324" s="216" t="str">
        <f t="shared" si="109"/>
        <v>Anteil KWK, erstmals 2009</v>
      </c>
      <c r="AX324" s="215" t="str">
        <f t="shared" si="110"/>
        <v/>
      </c>
      <c r="AY324" t="str">
        <f t="shared" si="111"/>
        <v/>
      </c>
      <c r="AZ324" t="str">
        <f t="shared" si="112"/>
        <v/>
      </c>
    </row>
    <row r="325" spans="1:52" s="178" customFormat="1" x14ac:dyDescent="0.25">
      <c r="A325" s="610" t="s">
        <v>3254</v>
      </c>
      <c r="B325" s="30" t="s">
        <v>5548</v>
      </c>
      <c r="C325" s="30" t="s">
        <v>3727</v>
      </c>
      <c r="D325" s="30" t="s">
        <v>6825</v>
      </c>
      <c r="E325" s="30" t="s">
        <v>3567</v>
      </c>
      <c r="F325" s="454">
        <f t="shared" si="118"/>
        <v>25.64</v>
      </c>
      <c r="G325" s="529">
        <v>25.64</v>
      </c>
      <c r="H325" s="487">
        <f t="shared" si="119"/>
        <v>20.51</v>
      </c>
      <c r="I325" s="706"/>
      <c r="J325" s="669" t="s">
        <v>5805</v>
      </c>
      <c r="K325" s="15"/>
      <c r="L325"/>
      <c r="M325" s="49">
        <f t="shared" si="120"/>
        <v>25.64</v>
      </c>
      <c r="N325" s="41">
        <v>11.67</v>
      </c>
      <c r="O325" s="176"/>
      <c r="P325" s="177"/>
      <c r="R325" s="178" t="s">
        <v>1017</v>
      </c>
      <c r="S325" s="178" t="s">
        <v>4180</v>
      </c>
      <c r="T325" s="178" t="s">
        <v>4180</v>
      </c>
      <c r="U325" s="179"/>
      <c r="W325" s="180"/>
      <c r="X325" s="180"/>
      <c r="Z325" s="178" t="s">
        <v>1017</v>
      </c>
      <c r="AA325" s="180"/>
      <c r="AD325" s="201"/>
      <c r="AE325" s="181"/>
      <c r="AF325" s="182"/>
      <c r="AG325" s="182"/>
      <c r="AH325" s="212" t="str">
        <f>IF(ISERROR(SEARCH("K erstmals 201",D325)),"",RIGHT(D325,4))</f>
        <v>2010</v>
      </c>
      <c r="AI325" s="214" t="str">
        <f t="shared" si="113"/>
        <v/>
      </c>
      <c r="AJ325" s="214" t="str">
        <f t="shared" si="114"/>
        <v/>
      </c>
      <c r="AK325" s="214" t="str">
        <f t="shared" si="115"/>
        <v/>
      </c>
      <c r="AL325" s="214" t="str">
        <f t="shared" si="116"/>
        <v/>
      </c>
      <c r="AM325" s="214" t="str">
        <f t="shared" si="117"/>
        <v/>
      </c>
      <c r="AN325" s="213" t="str">
        <f t="shared" si="100"/>
        <v>2010</v>
      </c>
      <c r="AO325" s="213" t="str">
        <f t="shared" si="101"/>
        <v>2010</v>
      </c>
      <c r="AP325" s="213" t="str">
        <f t="shared" si="102"/>
        <v>2010</v>
      </c>
      <c r="AQ325" s="215" t="str">
        <f t="shared" si="103"/>
        <v/>
      </c>
      <c r="AR325" s="216" t="str">
        <f t="shared" si="104"/>
        <v>BiK51nM1K10-03</v>
      </c>
      <c r="AS325" s="215" t="str">
        <f t="shared" si="105"/>
        <v/>
      </c>
      <c r="AT325">
        <f t="shared" si="106"/>
        <v>14</v>
      </c>
      <c r="AU325" s="216" t="str">
        <f t="shared" si="107"/>
        <v>0-0,15 MW, Bonusregeln M1 und K erstmals 2010</v>
      </c>
      <c r="AV325" s="215" t="str">
        <f t="shared" si="108"/>
        <v/>
      </c>
      <c r="AW325" s="216" t="str">
        <f t="shared" si="109"/>
        <v>Anteil KWK, erstmals 2010</v>
      </c>
      <c r="AX325" s="215" t="str">
        <f t="shared" si="110"/>
        <v/>
      </c>
      <c r="AY325" t="str">
        <f t="shared" si="111"/>
        <v/>
      </c>
      <c r="AZ325" t="str">
        <f t="shared" si="112"/>
        <v/>
      </c>
    </row>
    <row r="326" spans="1:52" s="178" customFormat="1" x14ac:dyDescent="0.25">
      <c r="A326" s="610" t="s">
        <v>5220</v>
      </c>
      <c r="B326" s="30" t="s">
        <v>5548</v>
      </c>
      <c r="C326" s="30" t="s">
        <v>3727</v>
      </c>
      <c r="D326" s="30" t="s">
        <v>6826</v>
      </c>
      <c r="E326" s="30" t="s">
        <v>3055</v>
      </c>
      <c r="F326" s="454">
        <f t="shared" si="118"/>
        <v>25.61</v>
      </c>
      <c r="G326" s="529">
        <v>25.61</v>
      </c>
      <c r="H326" s="487">
        <f t="shared" si="119"/>
        <v>20.49</v>
      </c>
      <c r="I326" s="706"/>
      <c r="J326" s="669" t="s">
        <v>5805</v>
      </c>
      <c r="K326" s="15"/>
      <c r="L326"/>
      <c r="M326" s="49">
        <f t="shared" si="120"/>
        <v>25.61</v>
      </c>
      <c r="N326" s="41">
        <v>11.67</v>
      </c>
      <c r="O326" s="176"/>
      <c r="P326" s="177"/>
      <c r="S326" s="178" t="s">
        <v>1017</v>
      </c>
      <c r="T326" s="178" t="s">
        <v>4180</v>
      </c>
      <c r="U326" s="179"/>
      <c r="W326" s="180"/>
      <c r="X326" s="180"/>
      <c r="Z326" s="178" t="s">
        <v>1017</v>
      </c>
      <c r="AA326" s="180"/>
      <c r="AD326" s="201"/>
      <c r="AE326" s="181"/>
      <c r="AF326" s="182"/>
      <c r="AG326" s="182"/>
      <c r="AH326" s="212" t="str">
        <f>IF(ISERROR(SEARCH("K erstmals 201",D326)),"",RIGHT(D326,4))</f>
        <v>2011</v>
      </c>
      <c r="AI326" s="214" t="str">
        <f t="shared" si="113"/>
        <v/>
      </c>
      <c r="AJ326" s="214" t="str">
        <f t="shared" si="114"/>
        <v/>
      </c>
      <c r="AK326" s="214" t="str">
        <f t="shared" si="115"/>
        <v/>
      </c>
      <c r="AL326" s="214" t="str">
        <f t="shared" si="116"/>
        <v/>
      </c>
      <c r="AM326" s="214" t="str">
        <f t="shared" si="117"/>
        <v/>
      </c>
      <c r="AN326" s="213" t="str">
        <f t="shared" si="100"/>
        <v>2011</v>
      </c>
      <c r="AO326" s="213" t="str">
        <f t="shared" si="101"/>
        <v>2011</v>
      </c>
      <c r="AP326" s="213" t="str">
        <f t="shared" si="102"/>
        <v>2011</v>
      </c>
      <c r="AQ326" s="215" t="str">
        <f t="shared" si="103"/>
        <v/>
      </c>
      <c r="AR326" s="216" t="str">
        <f t="shared" si="104"/>
        <v>BiK51nM1K11-03</v>
      </c>
      <c r="AS326" s="215" t="str">
        <f t="shared" si="105"/>
        <v/>
      </c>
      <c r="AT326">
        <f t="shared" si="106"/>
        <v>14</v>
      </c>
      <c r="AU326" s="216" t="str">
        <f t="shared" si="107"/>
        <v>0-0,15 MW, Bonusregeln M1 und K erstmals 2011</v>
      </c>
      <c r="AV326" s="215" t="str">
        <f t="shared" si="108"/>
        <v/>
      </c>
      <c r="AW326" s="216" t="str">
        <f t="shared" si="109"/>
        <v>Anteil KWK, erstmals 2011</v>
      </c>
      <c r="AX326" s="215" t="str">
        <f t="shared" si="110"/>
        <v/>
      </c>
      <c r="AY326" t="str">
        <f t="shared" si="111"/>
        <v>x</v>
      </c>
      <c r="AZ326" t="str">
        <f t="shared" si="112"/>
        <v/>
      </c>
    </row>
    <row r="327" spans="1:52" s="178" customFormat="1" x14ac:dyDescent="0.25">
      <c r="A327" s="625" t="s">
        <v>3527</v>
      </c>
      <c r="B327" s="219" t="s">
        <v>5548</v>
      </c>
      <c r="C327" s="219" t="s">
        <v>3727</v>
      </c>
      <c r="D327" s="219" t="s">
        <v>6827</v>
      </c>
      <c r="E327" s="219" t="s">
        <v>1980</v>
      </c>
      <c r="F327" s="455">
        <f t="shared" si="118"/>
        <v>25.58</v>
      </c>
      <c r="G327" s="530">
        <v>25.58</v>
      </c>
      <c r="H327" s="488">
        <f t="shared" si="119"/>
        <v>20.46</v>
      </c>
      <c r="I327" s="707"/>
      <c r="J327" s="669" t="s">
        <v>5805</v>
      </c>
      <c r="K327" s="15"/>
      <c r="L327"/>
      <c r="M327" s="49">
        <f t="shared" si="120"/>
        <v>25.58</v>
      </c>
      <c r="N327" s="41">
        <v>11.67</v>
      </c>
      <c r="O327" s="176"/>
      <c r="P327" s="177"/>
      <c r="S327" s="178" t="s">
        <v>4180</v>
      </c>
      <c r="T327" s="178" t="s">
        <v>1017</v>
      </c>
      <c r="U327" s="179"/>
      <c r="W327" s="180"/>
      <c r="X327" s="180"/>
      <c r="Z327" s="178" t="s">
        <v>1017</v>
      </c>
      <c r="AA327" s="180"/>
      <c r="AD327" s="201"/>
      <c r="AE327" s="181"/>
      <c r="AF327" s="182"/>
      <c r="AG327" s="182"/>
      <c r="AH327" s="217" t="s">
        <v>4179</v>
      </c>
      <c r="AI327" s="214" t="str">
        <f t="shared" si="113"/>
        <v/>
      </c>
      <c r="AJ327" s="214" t="str">
        <f t="shared" si="114"/>
        <v/>
      </c>
      <c r="AK327" s="214" t="str">
        <f t="shared" si="115"/>
        <v/>
      </c>
      <c r="AL327" s="214" t="str">
        <f t="shared" si="116"/>
        <v/>
      </c>
      <c r="AM327" s="214" t="str">
        <f t="shared" si="117"/>
        <v/>
      </c>
      <c r="AN327" s="213" t="str">
        <f t="shared" si="100"/>
        <v>2012</v>
      </c>
      <c r="AO327" s="213" t="str">
        <f t="shared" si="101"/>
        <v>2012</v>
      </c>
      <c r="AP327" s="213" t="str">
        <f t="shared" si="102"/>
        <v>2012</v>
      </c>
      <c r="AQ327" s="215" t="str">
        <f t="shared" si="103"/>
        <v/>
      </c>
      <c r="AR327" s="216" t="str">
        <f t="shared" si="104"/>
        <v>BiK51nM1K12-03</v>
      </c>
      <c r="AS327" s="215" t="str">
        <f t="shared" si="105"/>
        <v/>
      </c>
      <c r="AT327">
        <f t="shared" si="106"/>
        <v>14</v>
      </c>
      <c r="AU327" s="216" t="str">
        <f t="shared" si="107"/>
        <v>0-0,15 MW, Bonusregeln M1 und K erstmals 2012</v>
      </c>
      <c r="AV327" s="215" t="str">
        <f t="shared" si="108"/>
        <v/>
      </c>
      <c r="AW327" s="216" t="str">
        <f t="shared" si="109"/>
        <v>Anteil KWK, erstmals 2012</v>
      </c>
      <c r="AX327" s="215" t="str">
        <f t="shared" si="110"/>
        <v/>
      </c>
      <c r="AY327" t="str">
        <f t="shared" si="111"/>
        <v/>
      </c>
      <c r="AZ327" t="str">
        <f t="shared" si="112"/>
        <v>x</v>
      </c>
    </row>
    <row r="328" spans="1:52" s="178" customFormat="1" x14ac:dyDescent="0.25">
      <c r="A328" s="610" t="s">
        <v>1093</v>
      </c>
      <c r="B328" s="30" t="s">
        <v>5548</v>
      </c>
      <c r="C328" s="30" t="s">
        <v>3727</v>
      </c>
      <c r="D328" s="30" t="s">
        <v>6828</v>
      </c>
      <c r="E328" s="30" t="s">
        <v>4810</v>
      </c>
      <c r="F328" s="454">
        <f t="shared" si="118"/>
        <v>23.67</v>
      </c>
      <c r="G328" s="529">
        <v>23.67</v>
      </c>
      <c r="H328" s="487">
        <f t="shared" si="119"/>
        <v>18.940000000000001</v>
      </c>
      <c r="I328" s="706"/>
      <c r="J328" s="669" t="s">
        <v>5805</v>
      </c>
      <c r="K328" s="15"/>
      <c r="L328"/>
      <c r="M328" s="49">
        <f t="shared" si="120"/>
        <v>23.67</v>
      </c>
      <c r="N328" s="41">
        <v>11.67</v>
      </c>
      <c r="O328" s="176"/>
      <c r="P328" s="183"/>
      <c r="Q328" s="184"/>
      <c r="R328" s="184"/>
      <c r="S328" s="184" t="s">
        <v>4180</v>
      </c>
      <c r="T328" s="178" t="s">
        <v>4180</v>
      </c>
      <c r="U328" s="185" t="s">
        <v>1017</v>
      </c>
      <c r="V328" s="184"/>
      <c r="W328" s="180"/>
      <c r="X328" s="180"/>
      <c r="Z328" s="184" t="s">
        <v>1017</v>
      </c>
      <c r="AA328" s="180"/>
      <c r="AB328" s="184"/>
      <c r="AC328" s="184"/>
      <c r="AD328" s="201"/>
      <c r="AE328" s="181"/>
      <c r="AF328" s="182"/>
      <c r="AG328" s="182"/>
      <c r="AH328" s="212" t="str">
        <f>IF(ISERROR(SEARCH("K erstmals 201",D328)),"",RIGHT(D328,4))</f>
        <v/>
      </c>
      <c r="AI328" s="214" t="str">
        <f t="shared" si="113"/>
        <v/>
      </c>
      <c r="AJ328" s="214" t="str">
        <f t="shared" si="114"/>
        <v/>
      </c>
      <c r="AK328" s="214" t="str">
        <f t="shared" si="115"/>
        <v/>
      </c>
      <c r="AL328" s="214" t="str">
        <f t="shared" si="116"/>
        <v/>
      </c>
      <c r="AM328" s="214" t="str">
        <f t="shared" si="117"/>
        <v/>
      </c>
      <c r="AN328" s="213" t="str">
        <f t="shared" si="100"/>
        <v/>
      </c>
      <c r="AO328" s="213" t="str">
        <f t="shared" si="101"/>
        <v/>
      </c>
      <c r="AP328" s="213" t="str">
        <f t="shared" si="102"/>
        <v/>
      </c>
      <c r="AQ328" s="215" t="str">
        <f t="shared" si="103"/>
        <v/>
      </c>
      <c r="AR328" s="216" t="str">
        <f t="shared" si="104"/>
        <v>BiK51nM1y---03</v>
      </c>
      <c r="AS328" s="215" t="str">
        <f t="shared" si="105"/>
        <v/>
      </c>
      <c r="AT328">
        <f t="shared" si="106"/>
        <v>14</v>
      </c>
      <c r="AU328" s="216" t="str">
        <f t="shared" si="107"/>
        <v>0-0,15 MW, Bonusregeln M1, y</v>
      </c>
      <c r="AV328" s="215" t="str">
        <f t="shared" si="108"/>
        <v/>
      </c>
      <c r="AW328" s="216" t="str">
        <f t="shared" si="109"/>
        <v>Anteil Nicht-KWK</v>
      </c>
      <c r="AX328" s="215" t="str">
        <f t="shared" si="110"/>
        <v/>
      </c>
      <c r="AY328" t="str">
        <f t="shared" si="111"/>
        <v/>
      </c>
      <c r="AZ328" t="str">
        <f t="shared" si="112"/>
        <v/>
      </c>
    </row>
    <row r="329" spans="1:52" s="178" customFormat="1" x14ac:dyDescent="0.25">
      <c r="A329" s="610" t="s">
        <v>1094</v>
      </c>
      <c r="B329" s="30" t="s">
        <v>5548</v>
      </c>
      <c r="C329" s="30" t="s">
        <v>3727</v>
      </c>
      <c r="D329" s="109" t="s">
        <v>6829</v>
      </c>
      <c r="E329" s="30" t="s">
        <v>4331</v>
      </c>
      <c r="F329" s="454">
        <f t="shared" si="118"/>
        <v>26.67</v>
      </c>
      <c r="G329" s="529">
        <v>26.67</v>
      </c>
      <c r="H329" s="487">
        <f t="shared" si="119"/>
        <v>21.34</v>
      </c>
      <c r="I329" s="706"/>
      <c r="J329" s="669" t="s">
        <v>5805</v>
      </c>
      <c r="K329" s="15"/>
      <c r="L329"/>
      <c r="M329" s="49">
        <f t="shared" si="120"/>
        <v>26.67</v>
      </c>
      <c r="N329" s="41">
        <v>11.67</v>
      </c>
      <c r="O329" s="176"/>
      <c r="P329" s="184" t="s">
        <v>1017</v>
      </c>
      <c r="Q329" s="184"/>
      <c r="R329" s="184"/>
      <c r="S329" s="184" t="s">
        <v>4180</v>
      </c>
      <c r="T329" s="178" t="s">
        <v>4180</v>
      </c>
      <c r="U329" s="185" t="s">
        <v>1017</v>
      </c>
      <c r="V329" s="184"/>
      <c r="W329" s="180"/>
      <c r="X329" s="180"/>
      <c r="Z329" s="184" t="s">
        <v>1017</v>
      </c>
      <c r="AA329" s="180"/>
      <c r="AB329" s="184"/>
      <c r="AC329" s="184"/>
      <c r="AD329" s="201"/>
      <c r="AE329" s="181"/>
      <c r="AF329" s="182"/>
      <c r="AG329" s="182"/>
      <c r="AH329" s="212" t="str">
        <f>IF(ISERROR(SEARCH("K erstmals 201",D329)),"",RIGHT(D329,4))</f>
        <v/>
      </c>
      <c r="AI329" s="214" t="str">
        <f t="shared" si="113"/>
        <v/>
      </c>
      <c r="AJ329" s="214" t="str">
        <f t="shared" si="114"/>
        <v/>
      </c>
      <c r="AK329" s="214" t="str">
        <f t="shared" si="115"/>
        <v/>
      </c>
      <c r="AL329" s="214" t="str">
        <f t="shared" si="116"/>
        <v/>
      </c>
      <c r="AM329" s="214" t="str">
        <f t="shared" si="117"/>
        <v/>
      </c>
      <c r="AN329" s="213" t="str">
        <f t="shared" si="100"/>
        <v/>
      </c>
      <c r="AO329" s="213" t="str">
        <f t="shared" si="101"/>
        <v/>
      </c>
      <c r="AP329" s="213" t="str">
        <f t="shared" si="102"/>
        <v/>
      </c>
      <c r="AQ329" s="215" t="str">
        <f t="shared" si="103"/>
        <v/>
      </c>
      <c r="AR329" s="216" t="str">
        <f t="shared" si="104"/>
        <v>BiK51nM1KA3y03</v>
      </c>
      <c r="AS329" s="215" t="str">
        <f t="shared" si="105"/>
        <v/>
      </c>
      <c r="AT329">
        <f t="shared" si="106"/>
        <v>14</v>
      </c>
      <c r="AU329" s="216" t="str">
        <f t="shared" si="107"/>
        <v>0-0,15 MW, Bonusregeln M1, y und K wenn Anlage 3 erfüllt</v>
      </c>
      <c r="AV329" s="215" t="str">
        <f t="shared" si="108"/>
        <v/>
      </c>
      <c r="AW329" s="216" t="str">
        <f t="shared" si="109"/>
        <v>Anteil KWK gemäß Anlage 3</v>
      </c>
      <c r="AX329" s="215" t="str">
        <f t="shared" si="110"/>
        <v/>
      </c>
      <c r="AY329" t="str">
        <f t="shared" si="111"/>
        <v/>
      </c>
      <c r="AZ329" t="str">
        <f t="shared" si="112"/>
        <v/>
      </c>
    </row>
    <row r="330" spans="1:52" s="178" customFormat="1" x14ac:dyDescent="0.25">
      <c r="A330" s="610" t="s">
        <v>1095</v>
      </c>
      <c r="B330" s="30" t="s">
        <v>5548</v>
      </c>
      <c r="C330" s="30" t="s">
        <v>3727</v>
      </c>
      <c r="D330" s="30" t="s">
        <v>6830</v>
      </c>
      <c r="E330" s="30" t="s">
        <v>674</v>
      </c>
      <c r="F330" s="454">
        <f t="shared" si="118"/>
        <v>26.67</v>
      </c>
      <c r="G330" s="529">
        <v>26.67</v>
      </c>
      <c r="H330" s="487">
        <f t="shared" si="119"/>
        <v>21.34</v>
      </c>
      <c r="I330" s="706"/>
      <c r="J330" s="669" t="s">
        <v>5805</v>
      </c>
      <c r="K330" s="15"/>
      <c r="L330"/>
      <c r="M330" s="49">
        <f t="shared" si="120"/>
        <v>26.67</v>
      </c>
      <c r="N330" s="41">
        <v>11.67</v>
      </c>
      <c r="O330" s="176"/>
      <c r="P330" s="183"/>
      <c r="Q330" s="184" t="s">
        <v>1017</v>
      </c>
      <c r="R330" s="184"/>
      <c r="S330" s="184" t="s">
        <v>4180</v>
      </c>
      <c r="T330" s="178" t="s">
        <v>4180</v>
      </c>
      <c r="U330" s="185" t="s">
        <v>1017</v>
      </c>
      <c r="V330" s="184"/>
      <c r="W330" s="180"/>
      <c r="X330" s="180"/>
      <c r="Z330" s="184" t="s">
        <v>1017</v>
      </c>
      <c r="AA330" s="180"/>
      <c r="AB330" s="184"/>
      <c r="AC330" s="184"/>
      <c r="AD330" s="201"/>
      <c r="AE330" s="181"/>
      <c r="AF330" s="182"/>
      <c r="AG330" s="182"/>
      <c r="AH330" s="212" t="str">
        <f>IF(ISERROR(SEARCH("K erstmals 201",D330)),"",RIGHT(D330,4))</f>
        <v/>
      </c>
      <c r="AI330" s="214" t="str">
        <f t="shared" si="113"/>
        <v/>
      </c>
      <c r="AJ330" s="214" t="str">
        <f t="shared" si="114"/>
        <v/>
      </c>
      <c r="AK330" s="214" t="str">
        <f t="shared" si="115"/>
        <v/>
      </c>
      <c r="AL330" s="214" t="str">
        <f t="shared" si="116"/>
        <v/>
      </c>
      <c r="AM330" s="214" t="str">
        <f t="shared" si="117"/>
        <v/>
      </c>
      <c r="AN330" s="213" t="str">
        <f t="shared" si="100"/>
        <v/>
      </c>
      <c r="AO330" s="213" t="str">
        <f t="shared" si="101"/>
        <v/>
      </c>
      <c r="AP330" s="213" t="str">
        <f t="shared" si="102"/>
        <v/>
      </c>
      <c r="AQ330" s="215" t="str">
        <f t="shared" si="103"/>
        <v/>
      </c>
      <c r="AR330" s="216" t="str">
        <f t="shared" si="104"/>
        <v>BiK51nM1K09y03</v>
      </c>
      <c r="AS330" s="215" t="str">
        <f t="shared" si="105"/>
        <v/>
      </c>
      <c r="AT330">
        <f t="shared" si="106"/>
        <v>14</v>
      </c>
      <c r="AU330" s="216" t="str">
        <f t="shared" si="107"/>
        <v>0-0,15 MW, Bonusregeln M1, y und K erstmals 2009</v>
      </c>
      <c r="AV330" s="215" t="str">
        <f t="shared" si="108"/>
        <v/>
      </c>
      <c r="AW330" s="216" t="str">
        <f t="shared" si="109"/>
        <v>Anteil KWK, erstmals 2009</v>
      </c>
      <c r="AX330" s="215" t="str">
        <f t="shared" si="110"/>
        <v/>
      </c>
      <c r="AY330" t="str">
        <f t="shared" si="111"/>
        <v/>
      </c>
      <c r="AZ330" t="str">
        <f t="shared" si="112"/>
        <v/>
      </c>
    </row>
    <row r="331" spans="1:52" s="178" customFormat="1" x14ac:dyDescent="0.25">
      <c r="A331" s="610" t="s">
        <v>3255</v>
      </c>
      <c r="B331" s="30" t="s">
        <v>5548</v>
      </c>
      <c r="C331" s="30" t="s">
        <v>3727</v>
      </c>
      <c r="D331" s="30" t="s">
        <v>6831</v>
      </c>
      <c r="E331" s="30" t="s">
        <v>3567</v>
      </c>
      <c r="F331" s="454">
        <f t="shared" si="118"/>
        <v>26.64</v>
      </c>
      <c r="G331" s="529">
        <v>26.64</v>
      </c>
      <c r="H331" s="487">
        <f t="shared" si="119"/>
        <v>21.31</v>
      </c>
      <c r="I331" s="706"/>
      <c r="J331" s="669" t="s">
        <v>5805</v>
      </c>
      <c r="K331" s="15"/>
      <c r="L331"/>
      <c r="M331" s="49">
        <f t="shared" si="120"/>
        <v>26.64</v>
      </c>
      <c r="N331" s="41">
        <v>11.67</v>
      </c>
      <c r="O331" s="176"/>
      <c r="P331" s="183"/>
      <c r="Q331" s="184"/>
      <c r="R331" s="184" t="s">
        <v>1017</v>
      </c>
      <c r="S331" s="184" t="s">
        <v>4180</v>
      </c>
      <c r="T331" s="178" t="s">
        <v>4180</v>
      </c>
      <c r="U331" s="185" t="s">
        <v>1017</v>
      </c>
      <c r="V331" s="184"/>
      <c r="W331" s="180"/>
      <c r="X331" s="180"/>
      <c r="Z331" s="184" t="s">
        <v>1017</v>
      </c>
      <c r="AA331" s="180"/>
      <c r="AB331" s="184"/>
      <c r="AC331" s="184"/>
      <c r="AD331" s="201"/>
      <c r="AE331" s="181"/>
      <c r="AF331" s="182"/>
      <c r="AG331" s="182"/>
      <c r="AH331" s="212" t="str">
        <f>IF(ISERROR(SEARCH("K erstmals 201",D331)),"",RIGHT(D331,4))</f>
        <v>2010</v>
      </c>
      <c r="AI331" s="214" t="str">
        <f t="shared" si="113"/>
        <v/>
      </c>
      <c r="AJ331" s="214" t="str">
        <f t="shared" si="114"/>
        <v/>
      </c>
      <c r="AK331" s="214" t="str">
        <f t="shared" si="115"/>
        <v/>
      </c>
      <c r="AL331" s="214" t="str">
        <f t="shared" si="116"/>
        <v/>
      </c>
      <c r="AM331" s="214" t="str">
        <f t="shared" si="117"/>
        <v/>
      </c>
      <c r="AN331" s="213" t="str">
        <f t="shared" si="100"/>
        <v>2010</v>
      </c>
      <c r="AO331" s="213" t="str">
        <f t="shared" si="101"/>
        <v>2010</v>
      </c>
      <c r="AP331" s="213" t="str">
        <f t="shared" si="102"/>
        <v>2010</v>
      </c>
      <c r="AQ331" s="215" t="str">
        <f t="shared" si="103"/>
        <v/>
      </c>
      <c r="AR331" s="216" t="str">
        <f t="shared" si="104"/>
        <v>BiK51nM1K10y03</v>
      </c>
      <c r="AS331" s="215" t="str">
        <f t="shared" si="105"/>
        <v/>
      </c>
      <c r="AT331">
        <f t="shared" si="106"/>
        <v>14</v>
      </c>
      <c r="AU331" s="216" t="str">
        <f t="shared" si="107"/>
        <v>0-0,15 MW, Bonusregeln M1, y und K erstmals 2010</v>
      </c>
      <c r="AV331" s="215" t="str">
        <f t="shared" si="108"/>
        <v/>
      </c>
      <c r="AW331" s="216" t="str">
        <f t="shared" si="109"/>
        <v>Anteil KWK, erstmals 2010</v>
      </c>
      <c r="AX331" s="215" t="str">
        <f t="shared" si="110"/>
        <v/>
      </c>
      <c r="AY331" t="str">
        <f t="shared" si="111"/>
        <v/>
      </c>
      <c r="AZ331" t="str">
        <f t="shared" si="112"/>
        <v/>
      </c>
    </row>
    <row r="332" spans="1:52" s="178" customFormat="1" x14ac:dyDescent="0.25">
      <c r="A332" s="610" t="s">
        <v>5221</v>
      </c>
      <c r="B332" s="30" t="s">
        <v>5548</v>
      </c>
      <c r="C332" s="30" t="s">
        <v>3727</v>
      </c>
      <c r="D332" s="30" t="s">
        <v>6832</v>
      </c>
      <c r="E332" s="30" t="s">
        <v>3055</v>
      </c>
      <c r="F332" s="454">
        <f t="shared" si="118"/>
        <v>26.61</v>
      </c>
      <c r="G332" s="529">
        <v>26.61</v>
      </c>
      <c r="H332" s="487">
        <f t="shared" si="119"/>
        <v>21.29</v>
      </c>
      <c r="I332" s="706"/>
      <c r="J332" s="669" t="s">
        <v>5805</v>
      </c>
      <c r="K332" s="15"/>
      <c r="L332"/>
      <c r="M332" s="49">
        <f t="shared" si="120"/>
        <v>26.61</v>
      </c>
      <c r="N332" s="41">
        <v>11.67</v>
      </c>
      <c r="O332" s="176"/>
      <c r="P332" s="183"/>
      <c r="Q332" s="184"/>
      <c r="S332" s="184" t="s">
        <v>1017</v>
      </c>
      <c r="T332" s="178" t="s">
        <v>4180</v>
      </c>
      <c r="U332" s="185" t="s">
        <v>1017</v>
      </c>
      <c r="V332" s="184"/>
      <c r="W332" s="180"/>
      <c r="X332" s="180"/>
      <c r="Z332" s="184" t="s">
        <v>1017</v>
      </c>
      <c r="AA332" s="180"/>
      <c r="AB332" s="184"/>
      <c r="AC332" s="184"/>
      <c r="AD332" s="201"/>
      <c r="AE332" s="181"/>
      <c r="AF332" s="182"/>
      <c r="AG332" s="182"/>
      <c r="AH332" s="212" t="str">
        <f>IF(ISERROR(SEARCH("K erstmals 201",D332)),"",RIGHT(D332,4))</f>
        <v>2011</v>
      </c>
      <c r="AI332" s="214" t="str">
        <f t="shared" si="113"/>
        <v/>
      </c>
      <c r="AJ332" s="214" t="str">
        <f t="shared" si="114"/>
        <v/>
      </c>
      <c r="AK332" s="214" t="str">
        <f t="shared" si="115"/>
        <v/>
      </c>
      <c r="AL332" s="214" t="str">
        <f t="shared" si="116"/>
        <v/>
      </c>
      <c r="AM332" s="214" t="str">
        <f t="shared" si="117"/>
        <v/>
      </c>
      <c r="AN332" s="213" t="str">
        <f t="shared" si="100"/>
        <v>2011</v>
      </c>
      <c r="AO332" s="213" t="str">
        <f t="shared" si="101"/>
        <v>2011</v>
      </c>
      <c r="AP332" s="213" t="str">
        <f t="shared" si="102"/>
        <v>2011</v>
      </c>
      <c r="AQ332" s="215" t="str">
        <f t="shared" si="103"/>
        <v/>
      </c>
      <c r="AR332" s="216" t="str">
        <f t="shared" si="104"/>
        <v>BiK51nM1K11y03</v>
      </c>
      <c r="AS332" s="215" t="str">
        <f t="shared" si="105"/>
        <v/>
      </c>
      <c r="AT332">
        <f t="shared" si="106"/>
        <v>14</v>
      </c>
      <c r="AU332" s="216" t="str">
        <f t="shared" si="107"/>
        <v>0-0,15 MW, Bonusregeln M1, y und K erstmals 2011</v>
      </c>
      <c r="AV332" s="215" t="str">
        <f t="shared" si="108"/>
        <v/>
      </c>
      <c r="AW332" s="216" t="str">
        <f t="shared" si="109"/>
        <v>Anteil KWK, erstmals 2011</v>
      </c>
      <c r="AX332" s="215" t="str">
        <f t="shared" si="110"/>
        <v/>
      </c>
      <c r="AY332" t="str">
        <f t="shared" si="111"/>
        <v>x</v>
      </c>
      <c r="AZ332" t="str">
        <f t="shared" si="112"/>
        <v/>
      </c>
    </row>
    <row r="333" spans="1:52" s="178" customFormat="1" x14ac:dyDescent="0.25">
      <c r="A333" s="625" t="s">
        <v>3528</v>
      </c>
      <c r="B333" s="219" t="s">
        <v>5548</v>
      </c>
      <c r="C333" s="219" t="s">
        <v>3727</v>
      </c>
      <c r="D333" s="219" t="s">
        <v>6833</v>
      </c>
      <c r="E333" s="219" t="s">
        <v>1980</v>
      </c>
      <c r="F333" s="455">
        <f t="shared" si="118"/>
        <v>26.58</v>
      </c>
      <c r="G333" s="530">
        <v>26.58</v>
      </c>
      <c r="H333" s="488">
        <f t="shared" si="119"/>
        <v>21.26</v>
      </c>
      <c r="I333" s="707"/>
      <c r="J333" s="669" t="s">
        <v>5805</v>
      </c>
      <c r="K333" s="15"/>
      <c r="L333"/>
      <c r="M333" s="49">
        <f t="shared" si="120"/>
        <v>26.58</v>
      </c>
      <c r="N333" s="41">
        <v>11.67</v>
      </c>
      <c r="O333" s="176"/>
      <c r="P333" s="183"/>
      <c r="Q333" s="184"/>
      <c r="S333" s="184" t="s">
        <v>4180</v>
      </c>
      <c r="T333" s="178" t="s">
        <v>1017</v>
      </c>
      <c r="U333" s="185" t="s">
        <v>1017</v>
      </c>
      <c r="V333" s="184"/>
      <c r="W333" s="180"/>
      <c r="X333" s="180"/>
      <c r="Z333" s="184" t="s">
        <v>1017</v>
      </c>
      <c r="AA333" s="180"/>
      <c r="AB333" s="184"/>
      <c r="AC333" s="184"/>
      <c r="AD333" s="201"/>
      <c r="AE333" s="181"/>
      <c r="AF333" s="182"/>
      <c r="AG333" s="182"/>
      <c r="AH333" s="217" t="s">
        <v>4179</v>
      </c>
      <c r="AI333" s="214" t="str">
        <f t="shared" si="113"/>
        <v/>
      </c>
      <c r="AJ333" s="214" t="str">
        <f t="shared" si="114"/>
        <v/>
      </c>
      <c r="AK333" s="214" t="str">
        <f t="shared" si="115"/>
        <v/>
      </c>
      <c r="AL333" s="214" t="str">
        <f t="shared" si="116"/>
        <v/>
      </c>
      <c r="AM333" s="214" t="str">
        <f t="shared" si="117"/>
        <v/>
      </c>
      <c r="AN333" s="213" t="str">
        <f t="shared" si="100"/>
        <v>2012</v>
      </c>
      <c r="AO333" s="213" t="str">
        <f t="shared" si="101"/>
        <v>2012</v>
      </c>
      <c r="AP333" s="213" t="str">
        <f t="shared" si="102"/>
        <v>2012</v>
      </c>
      <c r="AQ333" s="215" t="str">
        <f t="shared" si="103"/>
        <v/>
      </c>
      <c r="AR333" s="216" t="str">
        <f t="shared" si="104"/>
        <v>BiK51nM1K12y03</v>
      </c>
      <c r="AS333" s="215" t="str">
        <f t="shared" si="105"/>
        <v/>
      </c>
      <c r="AT333">
        <f t="shared" si="106"/>
        <v>14</v>
      </c>
      <c r="AU333" s="216" t="str">
        <f t="shared" si="107"/>
        <v>0-0,15 MW, Bonusregeln M1, y und K erstmals 2012</v>
      </c>
      <c r="AV333" s="215" t="str">
        <f t="shared" si="108"/>
        <v/>
      </c>
      <c r="AW333" s="216" t="str">
        <f t="shared" si="109"/>
        <v>Anteil KWK, erstmals 2012</v>
      </c>
      <c r="AX333" s="215" t="str">
        <f t="shared" si="110"/>
        <v/>
      </c>
      <c r="AY333" t="str">
        <f t="shared" si="111"/>
        <v/>
      </c>
      <c r="AZ333" t="str">
        <f t="shared" si="112"/>
        <v>x</v>
      </c>
    </row>
    <row r="334" spans="1:52" s="178" customFormat="1" x14ac:dyDescent="0.25">
      <c r="A334" s="610" t="s">
        <v>1096</v>
      </c>
      <c r="B334" s="30" t="s">
        <v>5548</v>
      </c>
      <c r="C334" s="30" t="s">
        <v>3727</v>
      </c>
      <c r="D334" s="30" t="s">
        <v>6834</v>
      </c>
      <c r="E334" s="30" t="s">
        <v>4810</v>
      </c>
      <c r="F334" s="454">
        <f t="shared" si="118"/>
        <v>20.67</v>
      </c>
      <c r="G334" s="529">
        <v>20.67</v>
      </c>
      <c r="H334" s="487">
        <f t="shared" si="119"/>
        <v>16.54</v>
      </c>
      <c r="I334" s="706"/>
      <c r="J334" s="669" t="s">
        <v>5805</v>
      </c>
      <c r="K334" s="15"/>
      <c r="L334"/>
      <c r="M334" s="49">
        <f t="shared" si="120"/>
        <v>20.67</v>
      </c>
      <c r="N334" s="41">
        <v>11.67</v>
      </c>
      <c r="O334" s="176"/>
      <c r="P334" s="177"/>
      <c r="S334" s="178" t="s">
        <v>4180</v>
      </c>
      <c r="T334" s="178" t="s">
        <v>4180</v>
      </c>
      <c r="U334" s="179"/>
      <c r="W334" s="180"/>
      <c r="X334" s="180"/>
      <c r="AA334" s="180"/>
      <c r="AB334" s="178" t="s">
        <v>1017</v>
      </c>
      <c r="AD334" s="201"/>
      <c r="AE334" s="181"/>
      <c r="AF334" s="182"/>
      <c r="AG334" s="182"/>
      <c r="AH334" s="212" t="str">
        <f>IF(ISERROR(SEARCH("K erstmals 201",D334)),"",RIGHT(D334,4))</f>
        <v/>
      </c>
      <c r="AI334" s="214" t="str">
        <f t="shared" si="113"/>
        <v/>
      </c>
      <c r="AJ334" s="214" t="str">
        <f t="shared" si="114"/>
        <v/>
      </c>
      <c r="AK334" s="214" t="str">
        <f t="shared" si="115"/>
        <v/>
      </c>
      <c r="AL334" s="214" t="str">
        <f t="shared" si="116"/>
        <v/>
      </c>
      <c r="AM334" s="214" t="str">
        <f t="shared" si="117"/>
        <v/>
      </c>
      <c r="AN334" s="213" t="str">
        <f t="shared" si="100"/>
        <v/>
      </c>
      <c r="AO334" s="213" t="str">
        <f t="shared" si="101"/>
        <v/>
      </c>
      <c r="AP334" s="213" t="str">
        <f t="shared" si="102"/>
        <v/>
      </c>
      <c r="AQ334" s="215" t="str">
        <f t="shared" si="103"/>
        <v/>
      </c>
      <c r="AR334" s="216" t="str">
        <f t="shared" si="104"/>
        <v>BiK51nL-----03</v>
      </c>
      <c r="AS334" s="215" t="str">
        <f t="shared" si="105"/>
        <v/>
      </c>
      <c r="AT334">
        <f t="shared" si="106"/>
        <v>14</v>
      </c>
      <c r="AU334" s="216" t="str">
        <f t="shared" si="107"/>
        <v>0-0,15 MW, Bonusregel L</v>
      </c>
      <c r="AV334" s="215" t="str">
        <f t="shared" si="108"/>
        <v/>
      </c>
      <c r="AW334" s="216" t="str">
        <f t="shared" si="109"/>
        <v>Anteil Nicht-KWK</v>
      </c>
      <c r="AX334" s="215" t="str">
        <f t="shared" si="110"/>
        <v/>
      </c>
      <c r="AY334" t="str">
        <f t="shared" si="111"/>
        <v/>
      </c>
      <c r="AZ334" t="str">
        <f t="shared" si="112"/>
        <v/>
      </c>
    </row>
    <row r="335" spans="1:52" s="178" customFormat="1" x14ac:dyDescent="0.25">
      <c r="A335" s="610" t="s">
        <v>1097</v>
      </c>
      <c r="B335" s="30" t="s">
        <v>5548</v>
      </c>
      <c r="C335" s="30" t="s">
        <v>3727</v>
      </c>
      <c r="D335" s="30" t="s">
        <v>6835</v>
      </c>
      <c r="E335" s="30" t="s">
        <v>4331</v>
      </c>
      <c r="F335" s="454">
        <f t="shared" si="118"/>
        <v>23.67</v>
      </c>
      <c r="G335" s="529">
        <v>23.67</v>
      </c>
      <c r="H335" s="487">
        <f t="shared" si="119"/>
        <v>18.940000000000001</v>
      </c>
      <c r="I335" s="706"/>
      <c r="J335" s="669" t="s">
        <v>5805</v>
      </c>
      <c r="K335" s="15"/>
      <c r="L335"/>
      <c r="M335" s="49">
        <f t="shared" si="120"/>
        <v>23.67</v>
      </c>
      <c r="N335" s="41">
        <v>11.67</v>
      </c>
      <c r="O335" s="176"/>
      <c r="P335" s="178" t="s">
        <v>1017</v>
      </c>
      <c r="S335" s="178" t="s">
        <v>4180</v>
      </c>
      <c r="T335" s="178" t="s">
        <v>4180</v>
      </c>
      <c r="U335" s="179"/>
      <c r="W335" s="180"/>
      <c r="X335" s="180"/>
      <c r="AA335" s="180"/>
      <c r="AB335" s="178" t="s">
        <v>1017</v>
      </c>
      <c r="AD335" s="201"/>
      <c r="AE335" s="181"/>
      <c r="AF335" s="182"/>
      <c r="AG335" s="182"/>
      <c r="AH335" s="212" t="str">
        <f>IF(ISERROR(SEARCH("K erstmals 201",D335)),"",RIGHT(D335,4))</f>
        <v/>
      </c>
      <c r="AI335" s="214" t="str">
        <f t="shared" si="113"/>
        <v/>
      </c>
      <c r="AJ335" s="214" t="str">
        <f t="shared" si="114"/>
        <v/>
      </c>
      <c r="AK335" s="214" t="str">
        <f t="shared" si="115"/>
        <v/>
      </c>
      <c r="AL335" s="214" t="str">
        <f t="shared" si="116"/>
        <v/>
      </c>
      <c r="AM335" s="214" t="str">
        <f t="shared" si="117"/>
        <v/>
      </c>
      <c r="AN335" s="213" t="str">
        <f t="shared" si="100"/>
        <v/>
      </c>
      <c r="AO335" s="213" t="str">
        <f t="shared" si="101"/>
        <v/>
      </c>
      <c r="AP335" s="213" t="str">
        <f t="shared" si="102"/>
        <v/>
      </c>
      <c r="AQ335" s="215" t="str">
        <f t="shared" si="103"/>
        <v/>
      </c>
      <c r="AR335" s="216" t="str">
        <f t="shared" si="104"/>
        <v>BiK51nLKA3--03</v>
      </c>
      <c r="AS335" s="215" t="str">
        <f t="shared" si="105"/>
        <v/>
      </c>
      <c r="AT335">
        <f t="shared" si="106"/>
        <v>14</v>
      </c>
      <c r="AU335" s="216" t="str">
        <f t="shared" si="107"/>
        <v>0-0,15 MW, Bonusregeln L und K wenn Anlage 3 erfüllt</v>
      </c>
      <c r="AV335" s="215" t="str">
        <f t="shared" si="108"/>
        <v/>
      </c>
      <c r="AW335" s="216" t="str">
        <f t="shared" si="109"/>
        <v>Anteil KWK gemäß Anlage 3</v>
      </c>
      <c r="AX335" s="215" t="str">
        <f t="shared" si="110"/>
        <v/>
      </c>
      <c r="AY335" t="str">
        <f t="shared" si="111"/>
        <v/>
      </c>
      <c r="AZ335" t="str">
        <f t="shared" si="112"/>
        <v/>
      </c>
    </row>
    <row r="336" spans="1:52" s="178" customFormat="1" x14ac:dyDescent="0.25">
      <c r="A336" s="610" t="s">
        <v>1098</v>
      </c>
      <c r="B336" s="30" t="s">
        <v>5548</v>
      </c>
      <c r="C336" s="30" t="s">
        <v>3727</v>
      </c>
      <c r="D336" s="30" t="s">
        <v>6836</v>
      </c>
      <c r="E336" s="30" t="s">
        <v>674</v>
      </c>
      <c r="F336" s="454">
        <f t="shared" si="118"/>
        <v>23.67</v>
      </c>
      <c r="G336" s="529">
        <v>23.67</v>
      </c>
      <c r="H336" s="487">
        <f t="shared" si="119"/>
        <v>18.940000000000001</v>
      </c>
      <c r="I336" s="706"/>
      <c r="J336" s="669" t="s">
        <v>5805</v>
      </c>
      <c r="K336" s="15"/>
      <c r="L336"/>
      <c r="M336" s="49">
        <f t="shared" si="120"/>
        <v>23.67</v>
      </c>
      <c r="N336" s="41">
        <v>11.67</v>
      </c>
      <c r="O336" s="176"/>
      <c r="P336" s="177"/>
      <c r="Q336" s="178" t="s">
        <v>1017</v>
      </c>
      <c r="S336" s="178" t="s">
        <v>4180</v>
      </c>
      <c r="T336" s="178" t="s">
        <v>4180</v>
      </c>
      <c r="U336" s="179"/>
      <c r="W336" s="180"/>
      <c r="X336" s="180"/>
      <c r="AA336" s="180"/>
      <c r="AB336" s="178" t="s">
        <v>1017</v>
      </c>
      <c r="AD336" s="201"/>
      <c r="AE336" s="181"/>
      <c r="AF336" s="182"/>
      <c r="AG336" s="182"/>
      <c r="AH336" s="212" t="str">
        <f>IF(ISERROR(SEARCH("K erstmals 201",D336)),"",RIGHT(D336,4))</f>
        <v/>
      </c>
      <c r="AI336" s="214" t="str">
        <f t="shared" si="113"/>
        <v/>
      </c>
      <c r="AJ336" s="214" t="str">
        <f t="shared" si="114"/>
        <v/>
      </c>
      <c r="AK336" s="214" t="str">
        <f t="shared" si="115"/>
        <v/>
      </c>
      <c r="AL336" s="214" t="str">
        <f t="shared" si="116"/>
        <v/>
      </c>
      <c r="AM336" s="214" t="str">
        <f t="shared" si="117"/>
        <v/>
      </c>
      <c r="AN336" s="213" t="str">
        <f t="shared" si="100"/>
        <v/>
      </c>
      <c r="AO336" s="213" t="str">
        <f t="shared" si="101"/>
        <v/>
      </c>
      <c r="AP336" s="213" t="str">
        <f t="shared" si="102"/>
        <v/>
      </c>
      <c r="AQ336" s="215" t="str">
        <f t="shared" si="103"/>
        <v/>
      </c>
      <c r="AR336" s="216" t="str">
        <f t="shared" si="104"/>
        <v>BiK51nLK09--03</v>
      </c>
      <c r="AS336" s="215" t="str">
        <f t="shared" si="105"/>
        <v/>
      </c>
      <c r="AT336">
        <f t="shared" si="106"/>
        <v>14</v>
      </c>
      <c r="AU336" s="216" t="str">
        <f t="shared" si="107"/>
        <v>0-0,15 MW, Bonusregeln L und K erstmals 2009</v>
      </c>
      <c r="AV336" s="215" t="str">
        <f t="shared" si="108"/>
        <v/>
      </c>
      <c r="AW336" s="216" t="str">
        <f t="shared" si="109"/>
        <v>Anteil KWK, erstmals 2009</v>
      </c>
      <c r="AX336" s="215" t="str">
        <f t="shared" si="110"/>
        <v/>
      </c>
      <c r="AY336" t="str">
        <f t="shared" si="111"/>
        <v/>
      </c>
      <c r="AZ336" t="str">
        <f t="shared" si="112"/>
        <v/>
      </c>
    </row>
    <row r="337" spans="1:52" s="178" customFormat="1" x14ac:dyDescent="0.25">
      <c r="A337" s="610" t="s">
        <v>3256</v>
      </c>
      <c r="B337" s="30" t="s">
        <v>5548</v>
      </c>
      <c r="C337" s="30" t="s">
        <v>3727</v>
      </c>
      <c r="D337" s="30" t="s">
        <v>6837</v>
      </c>
      <c r="E337" s="30" t="s">
        <v>3567</v>
      </c>
      <c r="F337" s="454">
        <f t="shared" si="118"/>
        <v>23.64</v>
      </c>
      <c r="G337" s="529">
        <v>23.64</v>
      </c>
      <c r="H337" s="487">
        <f t="shared" si="119"/>
        <v>18.91</v>
      </c>
      <c r="I337" s="706"/>
      <c r="J337" s="669" t="s">
        <v>5805</v>
      </c>
      <c r="K337" s="15"/>
      <c r="L337"/>
      <c r="M337" s="49">
        <f t="shared" si="120"/>
        <v>23.64</v>
      </c>
      <c r="N337" s="41">
        <v>11.67</v>
      </c>
      <c r="O337" s="176"/>
      <c r="P337" s="177"/>
      <c r="R337" s="178" t="s">
        <v>1017</v>
      </c>
      <c r="S337" s="178" t="s">
        <v>4180</v>
      </c>
      <c r="T337" s="178" t="s">
        <v>4180</v>
      </c>
      <c r="U337" s="179"/>
      <c r="W337" s="180"/>
      <c r="X337" s="180"/>
      <c r="AA337" s="180"/>
      <c r="AB337" s="178" t="s">
        <v>1017</v>
      </c>
      <c r="AD337" s="201"/>
      <c r="AE337" s="181"/>
      <c r="AF337" s="182"/>
      <c r="AG337" s="182"/>
      <c r="AH337" s="212" t="str">
        <f>IF(ISERROR(SEARCH("K erstmals 201",D337)),"",RIGHT(D337,4))</f>
        <v>2010</v>
      </c>
      <c r="AI337" s="214" t="str">
        <f t="shared" si="113"/>
        <v/>
      </c>
      <c r="AJ337" s="214" t="str">
        <f t="shared" si="114"/>
        <v/>
      </c>
      <c r="AK337" s="214" t="str">
        <f t="shared" si="115"/>
        <v/>
      </c>
      <c r="AL337" s="214" t="str">
        <f t="shared" si="116"/>
        <v/>
      </c>
      <c r="AM337" s="214" t="str">
        <f t="shared" si="117"/>
        <v/>
      </c>
      <c r="AN337" s="213" t="str">
        <f t="shared" si="100"/>
        <v>2010</v>
      </c>
      <c r="AO337" s="213" t="str">
        <f t="shared" si="101"/>
        <v>2010</v>
      </c>
      <c r="AP337" s="213" t="str">
        <f t="shared" si="102"/>
        <v>2010</v>
      </c>
      <c r="AQ337" s="215" t="str">
        <f t="shared" si="103"/>
        <v/>
      </c>
      <c r="AR337" s="216" t="str">
        <f t="shared" si="104"/>
        <v>BiK51nLK10--03</v>
      </c>
      <c r="AS337" s="215" t="str">
        <f t="shared" si="105"/>
        <v/>
      </c>
      <c r="AT337">
        <f t="shared" si="106"/>
        <v>14</v>
      </c>
      <c r="AU337" s="216" t="str">
        <f t="shared" si="107"/>
        <v>0-0,15 MW, Bonusregeln L und K erstmals 2010</v>
      </c>
      <c r="AV337" s="215" t="str">
        <f t="shared" si="108"/>
        <v/>
      </c>
      <c r="AW337" s="216" t="str">
        <f t="shared" si="109"/>
        <v>Anteil KWK, erstmals 2010</v>
      </c>
      <c r="AX337" s="215" t="str">
        <f t="shared" si="110"/>
        <v/>
      </c>
      <c r="AY337" t="str">
        <f t="shared" si="111"/>
        <v/>
      </c>
      <c r="AZ337" t="str">
        <f t="shared" si="112"/>
        <v/>
      </c>
    </row>
    <row r="338" spans="1:52" s="178" customFormat="1" x14ac:dyDescent="0.25">
      <c r="A338" s="610" t="s">
        <v>5222</v>
      </c>
      <c r="B338" s="30" t="s">
        <v>5548</v>
      </c>
      <c r="C338" s="30" t="s">
        <v>3727</v>
      </c>
      <c r="D338" s="30" t="s">
        <v>6838</v>
      </c>
      <c r="E338" s="30" t="s">
        <v>3055</v>
      </c>
      <c r="F338" s="454">
        <f t="shared" si="118"/>
        <v>23.61</v>
      </c>
      <c r="G338" s="529">
        <v>23.61</v>
      </c>
      <c r="H338" s="487">
        <f t="shared" si="119"/>
        <v>18.89</v>
      </c>
      <c r="I338" s="706"/>
      <c r="J338" s="669" t="s">
        <v>5805</v>
      </c>
      <c r="K338" s="15"/>
      <c r="L338"/>
      <c r="M338" s="49">
        <f t="shared" si="120"/>
        <v>23.61</v>
      </c>
      <c r="N338" s="41">
        <v>11.67</v>
      </c>
      <c r="O338" s="176"/>
      <c r="P338" s="177"/>
      <c r="S338" s="178" t="s">
        <v>1017</v>
      </c>
      <c r="T338" s="178" t="s">
        <v>4180</v>
      </c>
      <c r="U338" s="179"/>
      <c r="W338" s="180"/>
      <c r="X338" s="180"/>
      <c r="AA338" s="180"/>
      <c r="AB338" s="178" t="s">
        <v>1017</v>
      </c>
      <c r="AD338" s="201"/>
      <c r="AE338" s="181"/>
      <c r="AF338" s="182"/>
      <c r="AG338" s="182"/>
      <c r="AH338" s="212" t="str">
        <f>IF(ISERROR(SEARCH("K erstmals 201",D338)),"",RIGHT(D338,4))</f>
        <v>2011</v>
      </c>
      <c r="AI338" s="214" t="str">
        <f t="shared" si="113"/>
        <v/>
      </c>
      <c r="AJ338" s="214" t="str">
        <f t="shared" si="114"/>
        <v/>
      </c>
      <c r="AK338" s="214" t="str">
        <f t="shared" si="115"/>
        <v/>
      </c>
      <c r="AL338" s="214" t="str">
        <f t="shared" si="116"/>
        <v/>
      </c>
      <c r="AM338" s="214" t="str">
        <f t="shared" si="117"/>
        <v/>
      </c>
      <c r="AN338" s="213" t="str">
        <f t="shared" si="100"/>
        <v>2011</v>
      </c>
      <c r="AO338" s="213" t="str">
        <f t="shared" si="101"/>
        <v>2011</v>
      </c>
      <c r="AP338" s="213" t="str">
        <f t="shared" si="102"/>
        <v>2011</v>
      </c>
      <c r="AQ338" s="215" t="str">
        <f t="shared" si="103"/>
        <v/>
      </c>
      <c r="AR338" s="216" t="str">
        <f t="shared" si="104"/>
        <v>BiK51nLK11--03</v>
      </c>
      <c r="AS338" s="215" t="str">
        <f t="shared" si="105"/>
        <v/>
      </c>
      <c r="AT338">
        <f t="shared" si="106"/>
        <v>14</v>
      </c>
      <c r="AU338" s="216" t="str">
        <f t="shared" si="107"/>
        <v>0-0,15 MW, Bonusregeln L und K erstmals 2011</v>
      </c>
      <c r="AV338" s="215" t="str">
        <f t="shared" si="108"/>
        <v/>
      </c>
      <c r="AW338" s="216" t="str">
        <f t="shared" si="109"/>
        <v>Anteil KWK, erstmals 2011</v>
      </c>
      <c r="AX338" s="215" t="str">
        <f t="shared" si="110"/>
        <v/>
      </c>
      <c r="AY338" t="str">
        <f t="shared" si="111"/>
        <v>x</v>
      </c>
      <c r="AZ338" t="str">
        <f t="shared" si="112"/>
        <v/>
      </c>
    </row>
    <row r="339" spans="1:52" s="178" customFormat="1" x14ac:dyDescent="0.25">
      <c r="A339" s="625" t="s">
        <v>3529</v>
      </c>
      <c r="B339" s="219" t="s">
        <v>5548</v>
      </c>
      <c r="C339" s="219" t="s">
        <v>3727</v>
      </c>
      <c r="D339" s="219" t="s">
        <v>6839</v>
      </c>
      <c r="E339" s="219" t="s">
        <v>1980</v>
      </c>
      <c r="F339" s="455">
        <f t="shared" si="118"/>
        <v>23.58</v>
      </c>
      <c r="G339" s="530">
        <v>23.58</v>
      </c>
      <c r="H339" s="488">
        <f t="shared" si="119"/>
        <v>18.86</v>
      </c>
      <c r="I339" s="707"/>
      <c r="J339" s="669" t="s">
        <v>5805</v>
      </c>
      <c r="K339" s="15"/>
      <c r="L339"/>
      <c r="M339" s="49">
        <f t="shared" si="120"/>
        <v>23.58</v>
      </c>
      <c r="N339" s="41">
        <v>11.67</v>
      </c>
      <c r="O339" s="176"/>
      <c r="P339" s="177"/>
      <c r="S339" s="178" t="s">
        <v>4180</v>
      </c>
      <c r="T339" s="178" t="s">
        <v>1017</v>
      </c>
      <c r="U339" s="179"/>
      <c r="W339" s="180"/>
      <c r="X339" s="180"/>
      <c r="AA339" s="180"/>
      <c r="AB339" s="178" t="s">
        <v>1017</v>
      </c>
      <c r="AD339" s="201"/>
      <c r="AE339" s="181"/>
      <c r="AF339" s="182"/>
      <c r="AG339" s="182"/>
      <c r="AH339" s="217" t="s">
        <v>4179</v>
      </c>
      <c r="AI339" s="214" t="str">
        <f t="shared" si="113"/>
        <v/>
      </c>
      <c r="AJ339" s="214" t="str">
        <f t="shared" si="114"/>
        <v/>
      </c>
      <c r="AK339" s="214" t="str">
        <f t="shared" si="115"/>
        <v/>
      </c>
      <c r="AL339" s="214" t="str">
        <f t="shared" si="116"/>
        <v/>
      </c>
      <c r="AM339" s="214" t="str">
        <f t="shared" si="117"/>
        <v/>
      </c>
      <c r="AN339" s="213" t="str">
        <f t="shared" si="100"/>
        <v>2012</v>
      </c>
      <c r="AO339" s="213" t="str">
        <f t="shared" si="101"/>
        <v>2012</v>
      </c>
      <c r="AP339" s="213" t="str">
        <f t="shared" si="102"/>
        <v>2012</v>
      </c>
      <c r="AQ339" s="215" t="str">
        <f t="shared" si="103"/>
        <v/>
      </c>
      <c r="AR339" s="216" t="str">
        <f t="shared" si="104"/>
        <v>BiK51nLK12--03</v>
      </c>
      <c r="AS339" s="215" t="str">
        <f t="shared" si="105"/>
        <v/>
      </c>
      <c r="AT339">
        <f t="shared" si="106"/>
        <v>14</v>
      </c>
      <c r="AU339" s="216" t="str">
        <f t="shared" si="107"/>
        <v>0-0,15 MW, Bonusregeln L und K erstmals 2012</v>
      </c>
      <c r="AV339" s="215" t="str">
        <f t="shared" si="108"/>
        <v/>
      </c>
      <c r="AW339" s="216" t="str">
        <f t="shared" si="109"/>
        <v>Anteil KWK, erstmals 2012</v>
      </c>
      <c r="AX339" s="215" t="str">
        <f t="shared" si="110"/>
        <v/>
      </c>
      <c r="AY339" t="str">
        <f t="shared" si="111"/>
        <v/>
      </c>
      <c r="AZ339" t="str">
        <f t="shared" si="112"/>
        <v>x</v>
      </c>
    </row>
    <row r="340" spans="1:52" x14ac:dyDescent="0.25">
      <c r="A340" s="610" t="s">
        <v>1099</v>
      </c>
      <c r="B340" s="30" t="s">
        <v>5548</v>
      </c>
      <c r="C340" s="30" t="s">
        <v>3727</v>
      </c>
      <c r="D340" s="30" t="s">
        <v>6840</v>
      </c>
      <c r="E340" s="30" t="s">
        <v>4810</v>
      </c>
      <c r="F340" s="454">
        <f t="shared" si="118"/>
        <v>21.67</v>
      </c>
      <c r="G340" s="529">
        <v>21.67</v>
      </c>
      <c r="H340" s="487">
        <f t="shared" si="119"/>
        <v>17.34</v>
      </c>
      <c r="I340" s="706"/>
      <c r="J340" s="669" t="s">
        <v>5805</v>
      </c>
      <c r="K340" s="15"/>
      <c r="M340" s="49">
        <f t="shared" si="120"/>
        <v>21.67</v>
      </c>
      <c r="N340" s="41">
        <v>11.67</v>
      </c>
      <c r="O340" s="176"/>
      <c r="P340" s="183"/>
      <c r="Q340" s="184"/>
      <c r="R340" s="184"/>
      <c r="S340" s="184" t="s">
        <v>4180</v>
      </c>
      <c r="T340" t="s">
        <v>4180</v>
      </c>
      <c r="U340" s="185" t="s">
        <v>1017</v>
      </c>
      <c r="V340" s="184"/>
      <c r="W340" s="180"/>
      <c r="X340" s="180"/>
      <c r="Y340" s="178"/>
      <c r="Z340" s="178"/>
      <c r="AA340" s="180"/>
      <c r="AB340" s="184" t="s">
        <v>1017</v>
      </c>
      <c r="AC340" s="184"/>
      <c r="AD340" s="201"/>
      <c r="AE340" s="181"/>
      <c r="AF340" s="182"/>
      <c r="AG340" s="182"/>
      <c r="AH340" s="212" t="str">
        <f>IF(ISERROR(SEARCH("K erstmals 201",D340)),"",RIGHT(D340,4))</f>
        <v/>
      </c>
      <c r="AI340" s="214" t="str">
        <f t="shared" si="113"/>
        <v/>
      </c>
      <c r="AJ340" s="214" t="str">
        <f t="shared" si="114"/>
        <v/>
      </c>
      <c r="AK340" s="214" t="str">
        <f t="shared" si="115"/>
        <v/>
      </c>
      <c r="AL340" s="214" t="str">
        <f t="shared" si="116"/>
        <v/>
      </c>
      <c r="AM340" s="214" t="str">
        <f t="shared" si="117"/>
        <v/>
      </c>
      <c r="AN340" s="213" t="str">
        <f t="shared" si="100"/>
        <v/>
      </c>
      <c r="AO340" s="213" t="str">
        <f t="shared" si="101"/>
        <v/>
      </c>
      <c r="AP340" s="213" t="str">
        <f t="shared" si="102"/>
        <v/>
      </c>
      <c r="AQ340" s="215" t="str">
        <f t="shared" si="103"/>
        <v/>
      </c>
      <c r="AR340" s="216" t="str">
        <f t="shared" si="104"/>
        <v>BiK51nLy----03</v>
      </c>
      <c r="AS340" s="215" t="str">
        <f t="shared" si="105"/>
        <v/>
      </c>
      <c r="AT340">
        <f t="shared" si="106"/>
        <v>14</v>
      </c>
      <c r="AU340" s="216" t="str">
        <f t="shared" si="107"/>
        <v>0-0,15 MW, Bonusregeln L, y</v>
      </c>
      <c r="AV340" s="215" t="str">
        <f t="shared" si="108"/>
        <v/>
      </c>
      <c r="AW340" s="216" t="str">
        <f t="shared" si="109"/>
        <v>Anteil Nicht-KWK</v>
      </c>
      <c r="AX340" s="215" t="str">
        <f t="shared" si="110"/>
        <v/>
      </c>
      <c r="AY340" t="str">
        <f t="shared" si="111"/>
        <v/>
      </c>
      <c r="AZ340" t="str">
        <f t="shared" si="112"/>
        <v/>
      </c>
    </row>
    <row r="341" spans="1:52" x14ac:dyDescent="0.25">
      <c r="A341" s="610" t="s">
        <v>1100</v>
      </c>
      <c r="B341" s="30" t="s">
        <v>5548</v>
      </c>
      <c r="C341" s="30" t="s">
        <v>3727</v>
      </c>
      <c r="D341" s="109" t="s">
        <v>6841</v>
      </c>
      <c r="E341" s="30" t="s">
        <v>4331</v>
      </c>
      <c r="F341" s="454">
        <f t="shared" si="118"/>
        <v>24.67</v>
      </c>
      <c r="G341" s="529">
        <v>24.67</v>
      </c>
      <c r="H341" s="487">
        <f t="shared" si="119"/>
        <v>19.739999999999998</v>
      </c>
      <c r="I341" s="706"/>
      <c r="J341" s="669" t="s">
        <v>5805</v>
      </c>
      <c r="K341" s="15"/>
      <c r="M341" s="49">
        <f t="shared" si="120"/>
        <v>24.67</v>
      </c>
      <c r="N341" s="41">
        <v>11.67</v>
      </c>
      <c r="O341" s="176"/>
      <c r="P341" s="184" t="s">
        <v>1017</v>
      </c>
      <c r="Q341" s="184"/>
      <c r="R341" s="184"/>
      <c r="S341" s="184" t="s">
        <v>4180</v>
      </c>
      <c r="T341" t="s">
        <v>4180</v>
      </c>
      <c r="U341" s="185" t="s">
        <v>1017</v>
      </c>
      <c r="V341" s="184"/>
      <c r="W341" s="180"/>
      <c r="X341" s="180"/>
      <c r="Y341" s="178"/>
      <c r="Z341" s="178"/>
      <c r="AA341" s="180"/>
      <c r="AB341" s="184" t="s">
        <v>1017</v>
      </c>
      <c r="AC341" s="184"/>
      <c r="AD341" s="201"/>
      <c r="AE341" s="181"/>
      <c r="AF341" s="182"/>
      <c r="AG341" s="182"/>
      <c r="AH341" s="212" t="str">
        <f>IF(ISERROR(SEARCH("K erstmals 201",D341)),"",RIGHT(D341,4))</f>
        <v/>
      </c>
      <c r="AI341" s="214" t="str">
        <f t="shared" si="113"/>
        <v/>
      </c>
      <c r="AJ341" s="214" t="str">
        <f t="shared" si="114"/>
        <v/>
      </c>
      <c r="AK341" s="214" t="str">
        <f t="shared" si="115"/>
        <v/>
      </c>
      <c r="AL341" s="214" t="str">
        <f t="shared" si="116"/>
        <v/>
      </c>
      <c r="AM341" s="214" t="str">
        <f t="shared" si="117"/>
        <v/>
      </c>
      <c r="AN341" s="213" t="str">
        <f t="shared" si="100"/>
        <v/>
      </c>
      <c r="AO341" s="213" t="str">
        <f t="shared" si="101"/>
        <v/>
      </c>
      <c r="AP341" s="213" t="str">
        <f t="shared" si="102"/>
        <v/>
      </c>
      <c r="AQ341" s="215" t="str">
        <f t="shared" si="103"/>
        <v/>
      </c>
      <c r="AR341" s="216" t="str">
        <f t="shared" si="104"/>
        <v>BiK51nLKA3y-03</v>
      </c>
      <c r="AS341" s="215" t="str">
        <f t="shared" si="105"/>
        <v/>
      </c>
      <c r="AT341">
        <f t="shared" si="106"/>
        <v>14</v>
      </c>
      <c r="AU341" s="216" t="str">
        <f t="shared" si="107"/>
        <v>0-0,15 MW, Bonusregeln L, y und K wenn Anlage 3 erfüllt</v>
      </c>
      <c r="AV341" s="215" t="str">
        <f t="shared" si="108"/>
        <v/>
      </c>
      <c r="AW341" s="216" t="str">
        <f t="shared" si="109"/>
        <v>Anteil KWK gemäß Anlage 3</v>
      </c>
      <c r="AX341" s="215" t="str">
        <f t="shared" si="110"/>
        <v/>
      </c>
      <c r="AY341" t="str">
        <f t="shared" si="111"/>
        <v/>
      </c>
      <c r="AZ341" t="str">
        <f t="shared" si="112"/>
        <v/>
      </c>
    </row>
    <row r="342" spans="1:52" x14ac:dyDescent="0.25">
      <c r="A342" s="610" t="s">
        <v>1101</v>
      </c>
      <c r="B342" s="30" t="s">
        <v>5548</v>
      </c>
      <c r="C342" s="30" t="s">
        <v>3727</v>
      </c>
      <c r="D342" s="30" t="s">
        <v>6842</v>
      </c>
      <c r="E342" s="30" t="s">
        <v>674</v>
      </c>
      <c r="F342" s="454">
        <f t="shared" si="118"/>
        <v>24.67</v>
      </c>
      <c r="G342" s="529">
        <v>24.67</v>
      </c>
      <c r="H342" s="487">
        <f t="shared" si="119"/>
        <v>19.739999999999998</v>
      </c>
      <c r="I342" s="706"/>
      <c r="J342" s="669" t="s">
        <v>5805</v>
      </c>
      <c r="K342" s="15"/>
      <c r="M342" s="49">
        <f t="shared" si="120"/>
        <v>24.67</v>
      </c>
      <c r="N342" s="41">
        <v>11.67</v>
      </c>
      <c r="O342" s="176"/>
      <c r="P342" s="183"/>
      <c r="Q342" s="184" t="s">
        <v>1017</v>
      </c>
      <c r="R342" s="184"/>
      <c r="S342" s="184" t="s">
        <v>4180</v>
      </c>
      <c r="T342" t="s">
        <v>4180</v>
      </c>
      <c r="U342" s="185" t="s">
        <v>1017</v>
      </c>
      <c r="V342" s="184"/>
      <c r="W342" s="180"/>
      <c r="X342" s="180"/>
      <c r="Y342" s="178"/>
      <c r="Z342" s="178"/>
      <c r="AA342" s="180"/>
      <c r="AB342" s="184" t="s">
        <v>1017</v>
      </c>
      <c r="AC342" s="184"/>
      <c r="AD342" s="201"/>
      <c r="AE342" s="181"/>
      <c r="AF342" s="182"/>
      <c r="AG342" s="182"/>
      <c r="AH342" s="212" t="str">
        <f>IF(ISERROR(SEARCH("K erstmals 201",D342)),"",RIGHT(D342,4))</f>
        <v/>
      </c>
      <c r="AI342" s="214" t="str">
        <f t="shared" si="113"/>
        <v/>
      </c>
      <c r="AJ342" s="214" t="str">
        <f t="shared" si="114"/>
        <v/>
      </c>
      <c r="AK342" s="214" t="str">
        <f t="shared" si="115"/>
        <v/>
      </c>
      <c r="AL342" s="214" t="str">
        <f t="shared" si="116"/>
        <v/>
      </c>
      <c r="AM342" s="214" t="str">
        <f t="shared" si="117"/>
        <v/>
      </c>
      <c r="AN342" s="213" t="str">
        <f t="shared" si="100"/>
        <v/>
      </c>
      <c r="AO342" s="213" t="str">
        <f t="shared" si="101"/>
        <v/>
      </c>
      <c r="AP342" s="213" t="str">
        <f t="shared" si="102"/>
        <v/>
      </c>
      <c r="AQ342" s="215" t="str">
        <f t="shared" si="103"/>
        <v/>
      </c>
      <c r="AR342" s="216" t="str">
        <f t="shared" si="104"/>
        <v>BiK51nLK09y-03</v>
      </c>
      <c r="AS342" s="215" t="str">
        <f t="shared" si="105"/>
        <v/>
      </c>
      <c r="AT342">
        <f t="shared" si="106"/>
        <v>14</v>
      </c>
      <c r="AU342" s="216" t="str">
        <f t="shared" si="107"/>
        <v>0-0,15 MW, Bonusregeln L, y und K erstmals 2009</v>
      </c>
      <c r="AV342" s="215" t="str">
        <f t="shared" si="108"/>
        <v/>
      </c>
      <c r="AW342" s="216" t="str">
        <f t="shared" si="109"/>
        <v>Anteil KWK, erstmals 2009</v>
      </c>
      <c r="AX342" s="215" t="str">
        <f t="shared" si="110"/>
        <v/>
      </c>
      <c r="AY342" t="str">
        <f t="shared" si="111"/>
        <v/>
      </c>
      <c r="AZ342" t="str">
        <f t="shared" si="112"/>
        <v/>
      </c>
    </row>
    <row r="343" spans="1:52" x14ac:dyDescent="0.25">
      <c r="A343" s="610" t="s">
        <v>3257</v>
      </c>
      <c r="B343" s="30" t="s">
        <v>5548</v>
      </c>
      <c r="C343" s="30" t="s">
        <v>3727</v>
      </c>
      <c r="D343" s="30" t="s">
        <v>6843</v>
      </c>
      <c r="E343" s="30" t="s">
        <v>3567</v>
      </c>
      <c r="F343" s="454">
        <f t="shared" si="118"/>
        <v>24.64</v>
      </c>
      <c r="G343" s="529">
        <v>24.64</v>
      </c>
      <c r="H343" s="487">
        <f t="shared" si="119"/>
        <v>19.71</v>
      </c>
      <c r="I343" s="706"/>
      <c r="J343" s="669" t="s">
        <v>5805</v>
      </c>
      <c r="K343" s="15"/>
      <c r="M343" s="49">
        <f t="shared" si="120"/>
        <v>24.64</v>
      </c>
      <c r="N343" s="41">
        <v>11.67</v>
      </c>
      <c r="O343" s="176"/>
      <c r="P343" s="183"/>
      <c r="Q343" s="184"/>
      <c r="R343" s="184" t="s">
        <v>1017</v>
      </c>
      <c r="S343" s="184" t="s">
        <v>4180</v>
      </c>
      <c r="T343" t="s">
        <v>4180</v>
      </c>
      <c r="U343" s="185" t="s">
        <v>1017</v>
      </c>
      <c r="V343" s="184"/>
      <c r="W343" s="180"/>
      <c r="X343" s="180"/>
      <c r="Y343" s="178"/>
      <c r="Z343" s="178"/>
      <c r="AA343" s="180"/>
      <c r="AB343" s="184" t="s">
        <v>1017</v>
      </c>
      <c r="AC343" s="184"/>
      <c r="AD343" s="201"/>
      <c r="AE343" s="181"/>
      <c r="AF343" s="182"/>
      <c r="AG343" s="182"/>
      <c r="AH343" s="212" t="str">
        <f>IF(ISERROR(SEARCH("K erstmals 201",D343)),"",RIGHT(D343,4))</f>
        <v>2010</v>
      </c>
      <c r="AI343" s="214" t="str">
        <f t="shared" si="113"/>
        <v/>
      </c>
      <c r="AJ343" s="214" t="str">
        <f t="shared" si="114"/>
        <v/>
      </c>
      <c r="AK343" s="214" t="str">
        <f t="shared" si="115"/>
        <v/>
      </c>
      <c r="AL343" s="214" t="str">
        <f t="shared" si="116"/>
        <v/>
      </c>
      <c r="AM343" s="214" t="str">
        <f t="shared" si="117"/>
        <v/>
      </c>
      <c r="AN343" s="213" t="str">
        <f t="shared" si="100"/>
        <v>2010</v>
      </c>
      <c r="AO343" s="213" t="str">
        <f t="shared" si="101"/>
        <v>2010</v>
      </c>
      <c r="AP343" s="213" t="str">
        <f t="shared" si="102"/>
        <v>2010</v>
      </c>
      <c r="AQ343" s="215" t="str">
        <f t="shared" si="103"/>
        <v/>
      </c>
      <c r="AR343" s="216" t="str">
        <f t="shared" si="104"/>
        <v>BiK51nLK10y-03</v>
      </c>
      <c r="AS343" s="215" t="str">
        <f t="shared" si="105"/>
        <v/>
      </c>
      <c r="AT343">
        <f t="shared" si="106"/>
        <v>14</v>
      </c>
      <c r="AU343" s="216" t="str">
        <f t="shared" si="107"/>
        <v>0-0,15 MW, Bonusregeln L, y und K erstmals 2010</v>
      </c>
      <c r="AV343" s="215" t="str">
        <f t="shared" si="108"/>
        <v/>
      </c>
      <c r="AW343" s="216" t="str">
        <f t="shared" si="109"/>
        <v>Anteil KWK, erstmals 2010</v>
      </c>
      <c r="AX343" s="215" t="str">
        <f t="shared" si="110"/>
        <v/>
      </c>
      <c r="AY343" t="str">
        <f t="shared" si="111"/>
        <v/>
      </c>
      <c r="AZ343" t="str">
        <f t="shared" si="112"/>
        <v/>
      </c>
    </row>
    <row r="344" spans="1:52" x14ac:dyDescent="0.25">
      <c r="A344" s="610" t="s">
        <v>5223</v>
      </c>
      <c r="B344" s="30" t="s">
        <v>5548</v>
      </c>
      <c r="C344" s="30" t="s">
        <v>3727</v>
      </c>
      <c r="D344" s="30" t="s">
        <v>6844</v>
      </c>
      <c r="E344" s="30" t="s">
        <v>3055</v>
      </c>
      <c r="F344" s="454">
        <f t="shared" si="118"/>
        <v>24.61</v>
      </c>
      <c r="G344" s="529">
        <v>24.61</v>
      </c>
      <c r="H344" s="487">
        <f t="shared" si="119"/>
        <v>19.690000000000001</v>
      </c>
      <c r="I344" s="706"/>
      <c r="J344" s="669" t="s">
        <v>5805</v>
      </c>
      <c r="K344" s="15"/>
      <c r="M344" s="49">
        <f t="shared" si="120"/>
        <v>24.61</v>
      </c>
      <c r="N344" s="41">
        <v>11.67</v>
      </c>
      <c r="O344" s="176"/>
      <c r="P344" s="183"/>
      <c r="Q344" s="184"/>
      <c r="R344" s="178"/>
      <c r="S344" s="184" t="s">
        <v>1017</v>
      </c>
      <c r="T344" t="s">
        <v>4180</v>
      </c>
      <c r="U344" s="185" t="s">
        <v>1017</v>
      </c>
      <c r="V344" s="184"/>
      <c r="W344" s="180"/>
      <c r="X344" s="180"/>
      <c r="Y344" s="178"/>
      <c r="Z344" s="178"/>
      <c r="AA344" s="180"/>
      <c r="AB344" s="184" t="s">
        <v>1017</v>
      </c>
      <c r="AC344" s="184"/>
      <c r="AD344" s="201"/>
      <c r="AE344" s="181"/>
      <c r="AF344" s="182"/>
      <c r="AG344" s="182"/>
      <c r="AH344" s="212" t="str">
        <f>IF(ISERROR(SEARCH("K erstmals 201",D344)),"",RIGHT(D344,4))</f>
        <v>2011</v>
      </c>
      <c r="AI344" s="214" t="str">
        <f t="shared" si="113"/>
        <v/>
      </c>
      <c r="AJ344" s="214" t="str">
        <f t="shared" si="114"/>
        <v/>
      </c>
      <c r="AK344" s="214" t="str">
        <f t="shared" si="115"/>
        <v/>
      </c>
      <c r="AL344" s="214" t="str">
        <f t="shared" si="116"/>
        <v/>
      </c>
      <c r="AM344" s="214" t="str">
        <f t="shared" si="117"/>
        <v/>
      </c>
      <c r="AN344" s="213" t="str">
        <f t="shared" si="100"/>
        <v>2011</v>
      </c>
      <c r="AO344" s="213" t="str">
        <f t="shared" si="101"/>
        <v>2011</v>
      </c>
      <c r="AP344" s="213" t="str">
        <f t="shared" si="102"/>
        <v>2011</v>
      </c>
      <c r="AQ344" s="215" t="str">
        <f t="shared" si="103"/>
        <v/>
      </c>
      <c r="AR344" s="216" t="str">
        <f t="shared" si="104"/>
        <v>BiK51nLK11y-03</v>
      </c>
      <c r="AS344" s="215" t="str">
        <f t="shared" si="105"/>
        <v/>
      </c>
      <c r="AT344">
        <f t="shared" si="106"/>
        <v>14</v>
      </c>
      <c r="AU344" s="216" t="str">
        <f t="shared" si="107"/>
        <v>0-0,15 MW, Bonusregeln L, y und K erstmals 2011</v>
      </c>
      <c r="AV344" s="215" t="str">
        <f t="shared" si="108"/>
        <v/>
      </c>
      <c r="AW344" s="216" t="str">
        <f t="shared" si="109"/>
        <v>Anteil KWK, erstmals 2011</v>
      </c>
      <c r="AX344" s="215" t="str">
        <f t="shared" si="110"/>
        <v/>
      </c>
      <c r="AY344" t="str">
        <f t="shared" si="111"/>
        <v>x</v>
      </c>
      <c r="AZ344" t="str">
        <f t="shared" si="112"/>
        <v/>
      </c>
    </row>
    <row r="345" spans="1:52" x14ac:dyDescent="0.25">
      <c r="A345" s="625" t="s">
        <v>3530</v>
      </c>
      <c r="B345" s="219" t="s">
        <v>5548</v>
      </c>
      <c r="C345" s="219" t="s">
        <v>3727</v>
      </c>
      <c r="D345" s="219" t="s">
        <v>6845</v>
      </c>
      <c r="E345" s="219" t="s">
        <v>1980</v>
      </c>
      <c r="F345" s="455">
        <f t="shared" si="118"/>
        <v>24.58</v>
      </c>
      <c r="G345" s="530">
        <v>24.58</v>
      </c>
      <c r="H345" s="488">
        <f t="shared" si="119"/>
        <v>19.66</v>
      </c>
      <c r="I345" s="707"/>
      <c r="J345" s="669" t="s">
        <v>5805</v>
      </c>
      <c r="K345" s="15"/>
      <c r="M345" s="49">
        <f t="shared" si="120"/>
        <v>24.58</v>
      </c>
      <c r="N345" s="41">
        <v>11.67</v>
      </c>
      <c r="O345" s="176"/>
      <c r="P345" s="183"/>
      <c r="Q345" s="184"/>
      <c r="R345" s="178"/>
      <c r="S345" s="184" t="s">
        <v>4180</v>
      </c>
      <c r="T345" t="s">
        <v>1017</v>
      </c>
      <c r="U345" s="185" t="s">
        <v>1017</v>
      </c>
      <c r="V345" s="184"/>
      <c r="W345" s="180"/>
      <c r="X345" s="180"/>
      <c r="Y345" s="178"/>
      <c r="Z345" s="178"/>
      <c r="AA345" s="180"/>
      <c r="AB345" s="184" t="s">
        <v>1017</v>
      </c>
      <c r="AC345" s="184"/>
      <c r="AD345" s="201"/>
      <c r="AE345" s="181"/>
      <c r="AF345" s="182"/>
      <c r="AG345" s="182"/>
      <c r="AH345" s="217" t="s">
        <v>4179</v>
      </c>
      <c r="AI345" s="214" t="str">
        <f t="shared" si="113"/>
        <v/>
      </c>
      <c r="AJ345" s="214" t="str">
        <f t="shared" si="114"/>
        <v/>
      </c>
      <c r="AK345" s="214" t="str">
        <f t="shared" si="115"/>
        <v/>
      </c>
      <c r="AL345" s="214" t="str">
        <f t="shared" si="116"/>
        <v/>
      </c>
      <c r="AM345" s="214" t="str">
        <f t="shared" si="117"/>
        <v/>
      </c>
      <c r="AN345" s="213" t="str">
        <f t="shared" ref="AN345:AN376" si="121">IF(ISERROR(SEARCH("K1",A345)),"","20"&amp;MID(A345,SEARCH("K1",A345)+1,2))</f>
        <v>2012</v>
      </c>
      <c r="AO345" s="213" t="str">
        <f t="shared" ref="AO345:AO376" si="122">IF(ISERROR(SEARCH("erstmals 201",E345)),"",MID(E345,SEARCH("erstmals ",E345)+9,4))</f>
        <v>2012</v>
      </c>
      <c r="AP345" s="213" t="str">
        <f t="shared" ref="AP345:AP376" si="123">IF(R345="x","2010",IF(S345="x","2011",IF(T345="x","2012","")))</f>
        <v>2012</v>
      </c>
      <c r="AQ345" s="215" t="str">
        <f t="shared" ref="AQ345:AQ376" si="124">IF(OR(AH345&lt;&gt;AN345,AH345&lt;&gt;AO345,AH345&lt;&gt;AP345),"DIFF","")</f>
        <v/>
      </c>
      <c r="AR345" s="216" t="str">
        <f t="shared" ref="AR345:AR376" si="125">IF(A345="","",IF(ISERROR(SEARCH("K1",A345)),A345,LEFT(A345,SEARCH("K1",A345)+1)&amp;RIGHT(AH345,1)&amp;MID(A345,SEARCH("K1",A345)+3,14)))</f>
        <v>BiK51nLK12y-03</v>
      </c>
      <c r="AS345" s="215" t="str">
        <f t="shared" ref="AS345:AS376" si="126">IF(OR(A345&lt;&gt;AR345),"DIFF","")</f>
        <v/>
      </c>
      <c r="AT345">
        <f t="shared" ref="AT345:AT376" si="127">LEN(AR345)</f>
        <v>14</v>
      </c>
      <c r="AU345" s="216" t="str">
        <f t="shared" ref="AU345:AU376" si="128">IF(D345="","",IF(OR(A345="",ISERROR(SEARCH("erstmals 201",D345))),D345,LEFT(D345,SEARCH("erstmals 201",D345)+8) &amp; AH345 &amp; MID(D345,SEARCH("erstmals 201",D345)+13,255)))</f>
        <v>0-0,15 MW, Bonusregeln L, y und K erstmals 2012</v>
      </c>
      <c r="AV345" s="215" t="str">
        <f t="shared" ref="AV345:AV376" si="129">IF(OR(D345&lt;&gt;AU345),"DIFF","")</f>
        <v/>
      </c>
      <c r="AW345" s="216" t="str">
        <f t="shared" ref="AW345:AW376" si="130">IF(E345="","",IF(OR(E345="",ISERROR(SEARCH("erstmals 201",E345))),E345,LEFT(E345,SEARCH("erstmals 201",E345)+8) &amp; AH345 &amp; MID(E345,SEARCH("erstmals 201",E345)+13,255)))</f>
        <v>Anteil KWK, erstmals 2012</v>
      </c>
      <c r="AX345" s="215" t="str">
        <f t="shared" ref="AX345:AX376" si="131">IF(OR(E345&lt;&gt;AW345),"DIFF","")</f>
        <v/>
      </c>
      <c r="AY345" t="str">
        <f t="shared" ref="AY345:AY376" si="132">IF(AH345="2011","x",IF(AH345="2012","","" &amp; S345))</f>
        <v/>
      </c>
      <c r="AZ345" t="str">
        <f t="shared" ref="AZ345:AZ376" si="133">IF(AH345="2012","x",IF(AH345="2011","","" &amp; T345))</f>
        <v>x</v>
      </c>
    </row>
    <row r="346" spans="1:52" x14ac:dyDescent="0.25">
      <c r="A346" s="610" t="s">
        <v>1102</v>
      </c>
      <c r="B346" s="30" t="s">
        <v>5548</v>
      </c>
      <c r="C346" s="30" t="s">
        <v>3727</v>
      </c>
      <c r="D346" s="30" t="s">
        <v>6846</v>
      </c>
      <c r="E346" s="30" t="s">
        <v>4810</v>
      </c>
      <c r="F346" s="454">
        <f t="shared" si="118"/>
        <v>24.67</v>
      </c>
      <c r="G346" s="529">
        <v>24.67</v>
      </c>
      <c r="H346" s="487">
        <f t="shared" si="119"/>
        <v>19.739999999999998</v>
      </c>
      <c r="I346" s="706"/>
      <c r="J346" s="669" t="s">
        <v>5805</v>
      </c>
      <c r="K346" s="15"/>
      <c r="M346" s="49">
        <f t="shared" si="120"/>
        <v>24.67</v>
      </c>
      <c r="N346" s="41">
        <v>11.67</v>
      </c>
      <c r="O346" s="176"/>
      <c r="P346" s="177"/>
      <c r="Q346" s="178"/>
      <c r="R346" s="178"/>
      <c r="S346" s="178" t="s">
        <v>4180</v>
      </c>
      <c r="T346" t="s">
        <v>4180</v>
      </c>
      <c r="U346" s="179"/>
      <c r="V346" s="178"/>
      <c r="W346" s="180"/>
      <c r="X346" s="180"/>
      <c r="Y346" s="178"/>
      <c r="Z346" s="178"/>
      <c r="AA346" s="180"/>
      <c r="AB346" s="178"/>
      <c r="AC346" s="178" t="s">
        <v>1017</v>
      </c>
      <c r="AD346" s="201"/>
      <c r="AE346" s="181"/>
      <c r="AF346" s="182"/>
      <c r="AG346" s="182"/>
      <c r="AH346" s="212" t="str">
        <f>IF(ISERROR(SEARCH("K erstmals 201",D346)),"",RIGHT(D346,4))</f>
        <v/>
      </c>
      <c r="AI346" s="214" t="str">
        <f t="shared" ref="AI346:AI377" si="134">IF(AND($AH346&lt;&gt;"",AH346 =AH345),"Gleich","")</f>
        <v/>
      </c>
      <c r="AJ346" s="214" t="str">
        <f t="shared" ref="AJ346:AJ377" si="135">IF(AND($AH346&lt;&gt;"",A346 =A345),"Gleich","")</f>
        <v/>
      </c>
      <c r="AK346" s="214" t="str">
        <f t="shared" ref="AK346:AK377" si="136">IF(AND($AH346&lt;&gt;"",D346 =D345),"Gleich","")</f>
        <v/>
      </c>
      <c r="AL346" s="214" t="str">
        <f t="shared" ref="AL346:AL377" si="137">IF(AND($AH346&lt;&gt;"",E346 =E345),"Gleich","")</f>
        <v/>
      </c>
      <c r="AM346" s="214" t="str">
        <f t="shared" ref="AM346:AM377" si="138">IF(AND($AH346&lt;&gt;"",F346 =F345),"Gleich","")</f>
        <v/>
      </c>
      <c r="AN346" s="213" t="str">
        <f t="shared" si="121"/>
        <v/>
      </c>
      <c r="AO346" s="213" t="str">
        <f t="shared" si="122"/>
        <v/>
      </c>
      <c r="AP346" s="213" t="str">
        <f t="shared" si="123"/>
        <v/>
      </c>
      <c r="AQ346" s="215" t="str">
        <f t="shared" si="124"/>
        <v/>
      </c>
      <c r="AR346" s="216" t="str">
        <f t="shared" si="125"/>
        <v>BiK51nX1----03</v>
      </c>
      <c r="AS346" s="215" t="str">
        <f t="shared" si="126"/>
        <v/>
      </c>
      <c r="AT346">
        <f t="shared" si="127"/>
        <v>14</v>
      </c>
      <c r="AU346" s="216" t="str">
        <f t="shared" si="128"/>
        <v>0-0,15 MW, Bonusregel X1</v>
      </c>
      <c r="AV346" s="215" t="str">
        <f t="shared" si="129"/>
        <v/>
      </c>
      <c r="AW346" s="216" t="str">
        <f t="shared" si="130"/>
        <v>Anteil Nicht-KWK</v>
      </c>
      <c r="AX346" s="215" t="str">
        <f t="shared" si="131"/>
        <v/>
      </c>
      <c r="AY346" t="str">
        <f t="shared" si="132"/>
        <v/>
      </c>
      <c r="AZ346" t="str">
        <f t="shared" si="133"/>
        <v/>
      </c>
    </row>
    <row r="347" spans="1:52" x14ac:dyDescent="0.25">
      <c r="A347" s="610" t="s">
        <v>1103</v>
      </c>
      <c r="B347" s="30" t="s">
        <v>5548</v>
      </c>
      <c r="C347" s="30" t="s">
        <v>3727</v>
      </c>
      <c r="D347" s="30" t="s">
        <v>6847</v>
      </c>
      <c r="E347" s="30" t="s">
        <v>4331</v>
      </c>
      <c r="F347" s="454">
        <f t="shared" si="118"/>
        <v>27.67</v>
      </c>
      <c r="G347" s="529">
        <v>27.67</v>
      </c>
      <c r="H347" s="487">
        <f t="shared" si="119"/>
        <v>22.14</v>
      </c>
      <c r="I347" s="706"/>
      <c r="J347" s="669" t="s">
        <v>5805</v>
      </c>
      <c r="K347" s="15"/>
      <c r="M347" s="49">
        <f t="shared" si="120"/>
        <v>27.67</v>
      </c>
      <c r="N347" s="41">
        <v>11.67</v>
      </c>
      <c r="O347" s="176"/>
      <c r="P347" s="178" t="s">
        <v>1017</v>
      </c>
      <c r="Q347" s="178"/>
      <c r="R347" s="178"/>
      <c r="S347" s="178" t="s">
        <v>4180</v>
      </c>
      <c r="T347" t="s">
        <v>4180</v>
      </c>
      <c r="U347" s="179"/>
      <c r="V347" s="178"/>
      <c r="W347" s="180"/>
      <c r="X347" s="180"/>
      <c r="Y347" s="178"/>
      <c r="Z347" s="178"/>
      <c r="AA347" s="180"/>
      <c r="AB347" s="178"/>
      <c r="AC347" s="178" t="s">
        <v>1017</v>
      </c>
      <c r="AD347" s="201"/>
      <c r="AE347" s="181"/>
      <c r="AF347" s="182"/>
      <c r="AG347" s="182"/>
      <c r="AH347" s="212" t="str">
        <f>IF(ISERROR(SEARCH("K erstmals 201",D347)),"",RIGHT(D347,4))</f>
        <v/>
      </c>
      <c r="AI347" s="214" t="str">
        <f t="shared" si="134"/>
        <v/>
      </c>
      <c r="AJ347" s="214" t="str">
        <f t="shared" si="135"/>
        <v/>
      </c>
      <c r="AK347" s="214" t="str">
        <f t="shared" si="136"/>
        <v/>
      </c>
      <c r="AL347" s="214" t="str">
        <f t="shared" si="137"/>
        <v/>
      </c>
      <c r="AM347" s="214" t="str">
        <f t="shared" si="138"/>
        <v/>
      </c>
      <c r="AN347" s="213" t="str">
        <f t="shared" si="121"/>
        <v/>
      </c>
      <c r="AO347" s="213" t="str">
        <f t="shared" si="122"/>
        <v/>
      </c>
      <c r="AP347" s="213" t="str">
        <f t="shared" si="123"/>
        <v/>
      </c>
      <c r="AQ347" s="215" t="str">
        <f t="shared" si="124"/>
        <v/>
      </c>
      <c r="AR347" s="216" t="str">
        <f t="shared" si="125"/>
        <v>BiK51nX1KA3-03</v>
      </c>
      <c r="AS347" s="215" t="str">
        <f t="shared" si="126"/>
        <v/>
      </c>
      <c r="AT347">
        <f t="shared" si="127"/>
        <v>14</v>
      </c>
      <c r="AU347" s="216" t="str">
        <f t="shared" si="128"/>
        <v>0-0,15 MW, Bonusregeln X1 und K wenn Anlage 3 erfüllt</v>
      </c>
      <c r="AV347" s="215" t="str">
        <f t="shared" si="129"/>
        <v/>
      </c>
      <c r="AW347" s="216" t="str">
        <f t="shared" si="130"/>
        <v>Anteil KWK gemäß Anlage 3</v>
      </c>
      <c r="AX347" s="215" t="str">
        <f t="shared" si="131"/>
        <v/>
      </c>
      <c r="AY347" t="str">
        <f t="shared" si="132"/>
        <v/>
      </c>
      <c r="AZ347" t="str">
        <f t="shared" si="133"/>
        <v/>
      </c>
    </row>
    <row r="348" spans="1:52" x14ac:dyDescent="0.25">
      <c r="A348" s="610" t="s">
        <v>1104</v>
      </c>
      <c r="B348" s="30" t="s">
        <v>5548</v>
      </c>
      <c r="C348" s="30" t="s">
        <v>3727</v>
      </c>
      <c r="D348" s="30" t="s">
        <v>6848</v>
      </c>
      <c r="E348" s="30" t="s">
        <v>674</v>
      </c>
      <c r="F348" s="454">
        <f t="shared" si="118"/>
        <v>27.67</v>
      </c>
      <c r="G348" s="529">
        <v>27.67</v>
      </c>
      <c r="H348" s="487">
        <f t="shared" si="119"/>
        <v>22.14</v>
      </c>
      <c r="I348" s="706"/>
      <c r="J348" s="669" t="s">
        <v>5805</v>
      </c>
      <c r="K348" s="15"/>
      <c r="M348" s="49">
        <f t="shared" si="120"/>
        <v>27.67</v>
      </c>
      <c r="N348" s="41">
        <v>11.67</v>
      </c>
      <c r="O348" s="176"/>
      <c r="P348" s="177"/>
      <c r="Q348" s="178" t="s">
        <v>1017</v>
      </c>
      <c r="R348" s="178"/>
      <c r="S348" s="178" t="s">
        <v>4180</v>
      </c>
      <c r="T348" t="s">
        <v>4180</v>
      </c>
      <c r="U348" s="179"/>
      <c r="V348" s="178"/>
      <c r="W348" s="180"/>
      <c r="X348" s="180"/>
      <c r="Y348" s="178"/>
      <c r="Z348" s="178"/>
      <c r="AA348" s="180"/>
      <c r="AB348" s="178"/>
      <c r="AC348" s="178" t="s">
        <v>1017</v>
      </c>
      <c r="AD348" s="201"/>
      <c r="AE348" s="181"/>
      <c r="AF348" s="182"/>
      <c r="AG348" s="182"/>
      <c r="AH348" s="212" t="str">
        <f>IF(ISERROR(SEARCH("K erstmals 201",D348)),"",RIGHT(D348,4))</f>
        <v/>
      </c>
      <c r="AI348" s="214" t="str">
        <f t="shared" si="134"/>
        <v/>
      </c>
      <c r="AJ348" s="214" t="str">
        <f t="shared" si="135"/>
        <v/>
      </c>
      <c r="AK348" s="214" t="str">
        <f t="shared" si="136"/>
        <v/>
      </c>
      <c r="AL348" s="214" t="str">
        <f t="shared" si="137"/>
        <v/>
      </c>
      <c r="AM348" s="214" t="str">
        <f t="shared" si="138"/>
        <v/>
      </c>
      <c r="AN348" s="213" t="str">
        <f t="shared" si="121"/>
        <v/>
      </c>
      <c r="AO348" s="213" t="str">
        <f t="shared" si="122"/>
        <v/>
      </c>
      <c r="AP348" s="213" t="str">
        <f t="shared" si="123"/>
        <v/>
      </c>
      <c r="AQ348" s="215" t="str">
        <f t="shared" si="124"/>
        <v/>
      </c>
      <c r="AR348" s="216" t="str">
        <f t="shared" si="125"/>
        <v>BiK51nX1K09-03</v>
      </c>
      <c r="AS348" s="215" t="str">
        <f t="shared" si="126"/>
        <v/>
      </c>
      <c r="AT348">
        <f t="shared" si="127"/>
        <v>14</v>
      </c>
      <c r="AU348" s="216" t="str">
        <f t="shared" si="128"/>
        <v>0-0,15 MW, Bonusregeln X1 und K erstmals 2009</v>
      </c>
      <c r="AV348" s="215" t="str">
        <f t="shared" si="129"/>
        <v/>
      </c>
      <c r="AW348" s="216" t="str">
        <f t="shared" si="130"/>
        <v>Anteil KWK, erstmals 2009</v>
      </c>
      <c r="AX348" s="215" t="str">
        <f t="shared" si="131"/>
        <v/>
      </c>
      <c r="AY348" t="str">
        <f t="shared" si="132"/>
        <v/>
      </c>
      <c r="AZ348" t="str">
        <f t="shared" si="133"/>
        <v/>
      </c>
    </row>
    <row r="349" spans="1:52" x14ac:dyDescent="0.25">
      <c r="A349" s="610" t="s">
        <v>3258</v>
      </c>
      <c r="B349" s="30" t="s">
        <v>5548</v>
      </c>
      <c r="C349" s="30" t="s">
        <v>3727</v>
      </c>
      <c r="D349" s="30" t="s">
        <v>6849</v>
      </c>
      <c r="E349" s="30" t="s">
        <v>3567</v>
      </c>
      <c r="F349" s="454">
        <f t="shared" si="118"/>
        <v>27.64</v>
      </c>
      <c r="G349" s="529">
        <v>27.64</v>
      </c>
      <c r="H349" s="487">
        <f t="shared" si="119"/>
        <v>22.11</v>
      </c>
      <c r="I349" s="706"/>
      <c r="J349" s="669" t="s">
        <v>5805</v>
      </c>
      <c r="K349" s="15"/>
      <c r="M349" s="49">
        <f t="shared" si="120"/>
        <v>27.64</v>
      </c>
      <c r="N349" s="41">
        <v>11.67</v>
      </c>
      <c r="O349" s="176"/>
      <c r="P349" s="177"/>
      <c r="Q349" s="178"/>
      <c r="R349" s="178" t="s">
        <v>1017</v>
      </c>
      <c r="S349" s="178" t="s">
        <v>4180</v>
      </c>
      <c r="T349" t="s">
        <v>4180</v>
      </c>
      <c r="U349" s="179"/>
      <c r="V349" s="178"/>
      <c r="W349" s="180"/>
      <c r="X349" s="180"/>
      <c r="Y349" s="178"/>
      <c r="Z349" s="178"/>
      <c r="AA349" s="180"/>
      <c r="AB349" s="178"/>
      <c r="AC349" s="178" t="s">
        <v>1017</v>
      </c>
      <c r="AD349" s="201"/>
      <c r="AE349" s="181"/>
      <c r="AF349" s="182"/>
      <c r="AG349" s="182"/>
      <c r="AH349" s="212" t="str">
        <f>IF(ISERROR(SEARCH("K erstmals 201",D349)),"",RIGHT(D349,4))</f>
        <v>2010</v>
      </c>
      <c r="AI349" s="214" t="str">
        <f t="shared" si="134"/>
        <v/>
      </c>
      <c r="AJ349" s="214" t="str">
        <f t="shared" si="135"/>
        <v/>
      </c>
      <c r="AK349" s="214" t="str">
        <f t="shared" si="136"/>
        <v/>
      </c>
      <c r="AL349" s="214" t="str">
        <f t="shared" si="137"/>
        <v/>
      </c>
      <c r="AM349" s="214" t="str">
        <f t="shared" si="138"/>
        <v/>
      </c>
      <c r="AN349" s="213" t="str">
        <f t="shared" si="121"/>
        <v>2010</v>
      </c>
      <c r="AO349" s="213" t="str">
        <f t="shared" si="122"/>
        <v>2010</v>
      </c>
      <c r="AP349" s="213" t="str">
        <f t="shared" si="123"/>
        <v>2010</v>
      </c>
      <c r="AQ349" s="215" t="str">
        <f t="shared" si="124"/>
        <v/>
      </c>
      <c r="AR349" s="216" t="str">
        <f t="shared" si="125"/>
        <v>BiK51nX1K10-03</v>
      </c>
      <c r="AS349" s="215" t="str">
        <f t="shared" si="126"/>
        <v/>
      </c>
      <c r="AT349">
        <f t="shared" si="127"/>
        <v>14</v>
      </c>
      <c r="AU349" s="216" t="str">
        <f t="shared" si="128"/>
        <v>0-0,15 MW, Bonusregeln X1 und K erstmals 2010</v>
      </c>
      <c r="AV349" s="215" t="str">
        <f t="shared" si="129"/>
        <v/>
      </c>
      <c r="AW349" s="216" t="str">
        <f t="shared" si="130"/>
        <v>Anteil KWK, erstmals 2010</v>
      </c>
      <c r="AX349" s="215" t="str">
        <f t="shared" si="131"/>
        <v/>
      </c>
      <c r="AY349" t="str">
        <f t="shared" si="132"/>
        <v/>
      </c>
      <c r="AZ349" t="str">
        <f t="shared" si="133"/>
        <v/>
      </c>
    </row>
    <row r="350" spans="1:52" x14ac:dyDescent="0.25">
      <c r="A350" s="610" t="s">
        <v>5224</v>
      </c>
      <c r="B350" s="30" t="s">
        <v>5548</v>
      </c>
      <c r="C350" s="30" t="s">
        <v>3727</v>
      </c>
      <c r="D350" s="30" t="s">
        <v>6850</v>
      </c>
      <c r="E350" s="30" t="s">
        <v>3055</v>
      </c>
      <c r="F350" s="454">
        <f t="shared" ref="F350:F381" si="139">M350</f>
        <v>27.61</v>
      </c>
      <c r="G350" s="529">
        <v>27.61</v>
      </c>
      <c r="H350" s="487">
        <f t="shared" ref="H350:H381" si="140">IF(ISNUMBER(G350),ROUND(0.8*G350,2),"")</f>
        <v>22.09</v>
      </c>
      <c r="I350" s="706"/>
      <c r="J350" s="669" t="s">
        <v>5805</v>
      </c>
      <c r="K350" s="15"/>
      <c r="M350" s="49">
        <f t="shared" ref="M350:M381" si="141">N350+SUMIF(O350:AD350,"x",O$285:AD$285)</f>
        <v>27.61</v>
      </c>
      <c r="N350" s="41">
        <v>11.67</v>
      </c>
      <c r="O350" s="176"/>
      <c r="P350" s="177"/>
      <c r="Q350" s="178"/>
      <c r="R350" s="178"/>
      <c r="S350" s="178" t="s">
        <v>1017</v>
      </c>
      <c r="T350" t="s">
        <v>4180</v>
      </c>
      <c r="U350" s="179"/>
      <c r="V350" s="178"/>
      <c r="W350" s="180"/>
      <c r="X350" s="180"/>
      <c r="Y350" s="178"/>
      <c r="Z350" s="178"/>
      <c r="AA350" s="180"/>
      <c r="AB350" s="178"/>
      <c r="AC350" s="178" t="s">
        <v>1017</v>
      </c>
      <c r="AD350" s="201"/>
      <c r="AE350" s="181"/>
      <c r="AF350" s="182"/>
      <c r="AG350" s="182"/>
      <c r="AH350" s="212" t="str">
        <f>IF(ISERROR(SEARCH("K erstmals 201",D350)),"",RIGHT(D350,4))</f>
        <v>2011</v>
      </c>
      <c r="AI350" s="214" t="str">
        <f t="shared" si="134"/>
        <v/>
      </c>
      <c r="AJ350" s="214" t="str">
        <f t="shared" si="135"/>
        <v/>
      </c>
      <c r="AK350" s="214" t="str">
        <f t="shared" si="136"/>
        <v/>
      </c>
      <c r="AL350" s="214" t="str">
        <f t="shared" si="137"/>
        <v/>
      </c>
      <c r="AM350" s="214" t="str">
        <f t="shared" si="138"/>
        <v/>
      </c>
      <c r="AN350" s="213" t="str">
        <f t="shared" si="121"/>
        <v>2011</v>
      </c>
      <c r="AO350" s="213" t="str">
        <f t="shared" si="122"/>
        <v>2011</v>
      </c>
      <c r="AP350" s="213" t="str">
        <f t="shared" si="123"/>
        <v>2011</v>
      </c>
      <c r="AQ350" s="215" t="str">
        <f t="shared" si="124"/>
        <v/>
      </c>
      <c r="AR350" s="216" t="str">
        <f t="shared" si="125"/>
        <v>BiK51nX1K11-03</v>
      </c>
      <c r="AS350" s="215" t="str">
        <f t="shared" si="126"/>
        <v/>
      </c>
      <c r="AT350">
        <f t="shared" si="127"/>
        <v>14</v>
      </c>
      <c r="AU350" s="216" t="str">
        <f t="shared" si="128"/>
        <v>0-0,15 MW, Bonusregeln X1 und K erstmals 2011</v>
      </c>
      <c r="AV350" s="215" t="str">
        <f t="shared" si="129"/>
        <v/>
      </c>
      <c r="AW350" s="216" t="str">
        <f t="shared" si="130"/>
        <v>Anteil KWK, erstmals 2011</v>
      </c>
      <c r="AX350" s="215" t="str">
        <f t="shared" si="131"/>
        <v/>
      </c>
      <c r="AY350" t="str">
        <f t="shared" si="132"/>
        <v>x</v>
      </c>
      <c r="AZ350" t="str">
        <f t="shared" si="133"/>
        <v/>
      </c>
    </row>
    <row r="351" spans="1:52" x14ac:dyDescent="0.25">
      <c r="A351" s="625" t="s">
        <v>3531</v>
      </c>
      <c r="B351" s="219" t="s">
        <v>5548</v>
      </c>
      <c r="C351" s="219" t="s">
        <v>3727</v>
      </c>
      <c r="D351" s="219" t="s">
        <v>6851</v>
      </c>
      <c r="E351" s="219" t="s">
        <v>1980</v>
      </c>
      <c r="F351" s="455">
        <f t="shared" si="139"/>
        <v>27.58</v>
      </c>
      <c r="G351" s="530">
        <v>27.58</v>
      </c>
      <c r="H351" s="488">
        <f t="shared" si="140"/>
        <v>22.06</v>
      </c>
      <c r="I351" s="707"/>
      <c r="J351" s="669" t="s">
        <v>5805</v>
      </c>
      <c r="K351" s="15"/>
      <c r="M351" s="49">
        <f t="shared" si="141"/>
        <v>27.58</v>
      </c>
      <c r="N351" s="41">
        <v>11.67</v>
      </c>
      <c r="O351" s="176"/>
      <c r="P351" s="177"/>
      <c r="Q351" s="178"/>
      <c r="R351" s="178"/>
      <c r="S351" s="178" t="s">
        <v>4180</v>
      </c>
      <c r="T351" t="s">
        <v>1017</v>
      </c>
      <c r="U351" s="179"/>
      <c r="V351" s="178"/>
      <c r="W351" s="180"/>
      <c r="X351" s="180"/>
      <c r="Y351" s="178"/>
      <c r="Z351" s="178"/>
      <c r="AA351" s="180"/>
      <c r="AB351" s="178"/>
      <c r="AC351" s="178" t="s">
        <v>1017</v>
      </c>
      <c r="AD351" s="201"/>
      <c r="AE351" s="181"/>
      <c r="AF351" s="182"/>
      <c r="AG351" s="182"/>
      <c r="AH351" s="217" t="s">
        <v>4179</v>
      </c>
      <c r="AI351" s="214" t="str">
        <f t="shared" si="134"/>
        <v/>
      </c>
      <c r="AJ351" s="214" t="str">
        <f t="shared" si="135"/>
        <v/>
      </c>
      <c r="AK351" s="214" t="str">
        <f t="shared" si="136"/>
        <v/>
      </c>
      <c r="AL351" s="214" t="str">
        <f t="shared" si="137"/>
        <v/>
      </c>
      <c r="AM351" s="214" t="str">
        <f t="shared" si="138"/>
        <v/>
      </c>
      <c r="AN351" s="213" t="str">
        <f t="shared" si="121"/>
        <v>2012</v>
      </c>
      <c r="AO351" s="213" t="str">
        <f t="shared" si="122"/>
        <v>2012</v>
      </c>
      <c r="AP351" s="213" t="str">
        <f t="shared" si="123"/>
        <v>2012</v>
      </c>
      <c r="AQ351" s="215" t="str">
        <f t="shared" si="124"/>
        <v/>
      </c>
      <c r="AR351" s="216" t="str">
        <f t="shared" si="125"/>
        <v>BiK51nX1K12-03</v>
      </c>
      <c r="AS351" s="215" t="str">
        <f t="shared" si="126"/>
        <v/>
      </c>
      <c r="AT351">
        <f t="shared" si="127"/>
        <v>14</v>
      </c>
      <c r="AU351" s="216" t="str">
        <f t="shared" si="128"/>
        <v>0-0,15 MW, Bonusregeln X1 und K erstmals 2012</v>
      </c>
      <c r="AV351" s="215" t="str">
        <f t="shared" si="129"/>
        <v/>
      </c>
      <c r="AW351" s="216" t="str">
        <f t="shared" si="130"/>
        <v>Anteil KWK, erstmals 2012</v>
      </c>
      <c r="AX351" s="215" t="str">
        <f t="shared" si="131"/>
        <v/>
      </c>
      <c r="AY351" t="str">
        <f t="shared" si="132"/>
        <v/>
      </c>
      <c r="AZ351" t="str">
        <f t="shared" si="133"/>
        <v>x</v>
      </c>
    </row>
    <row r="352" spans="1:52" x14ac:dyDescent="0.25">
      <c r="A352" s="610" t="s">
        <v>1105</v>
      </c>
      <c r="B352" s="30" t="s">
        <v>5548</v>
      </c>
      <c r="C352" s="30" t="s">
        <v>3727</v>
      </c>
      <c r="D352" s="30" t="s">
        <v>6852</v>
      </c>
      <c r="E352" s="30" t="s">
        <v>4810</v>
      </c>
      <c r="F352" s="454">
        <f t="shared" si="139"/>
        <v>25.67</v>
      </c>
      <c r="G352" s="529">
        <v>25.67</v>
      </c>
      <c r="H352" s="487">
        <f t="shared" si="140"/>
        <v>20.54</v>
      </c>
      <c r="I352" s="706"/>
      <c r="J352" s="669" t="s">
        <v>5805</v>
      </c>
      <c r="K352" s="15"/>
      <c r="M352" s="49">
        <f t="shared" si="141"/>
        <v>25.67</v>
      </c>
      <c r="N352" s="41">
        <v>11.67</v>
      </c>
      <c r="O352" s="176"/>
      <c r="P352" s="183"/>
      <c r="Q352" s="184"/>
      <c r="R352" s="184"/>
      <c r="S352" s="184" t="s">
        <v>4180</v>
      </c>
      <c r="T352" t="s">
        <v>4180</v>
      </c>
      <c r="U352" s="185" t="s">
        <v>1017</v>
      </c>
      <c r="V352" s="184"/>
      <c r="W352" s="180"/>
      <c r="X352" s="180"/>
      <c r="Y352" s="178"/>
      <c r="Z352" s="178"/>
      <c r="AA352" s="180"/>
      <c r="AB352" s="178"/>
      <c r="AC352" s="184" t="s">
        <v>1017</v>
      </c>
      <c r="AD352" s="201"/>
      <c r="AE352" s="181"/>
      <c r="AF352" s="182"/>
      <c r="AG352" s="182"/>
      <c r="AH352" s="212" t="str">
        <f>IF(ISERROR(SEARCH("K erstmals 201",D352)),"",RIGHT(D352,4))</f>
        <v/>
      </c>
      <c r="AI352" s="214" t="str">
        <f t="shared" si="134"/>
        <v/>
      </c>
      <c r="AJ352" s="214" t="str">
        <f t="shared" si="135"/>
        <v/>
      </c>
      <c r="AK352" s="214" t="str">
        <f t="shared" si="136"/>
        <v/>
      </c>
      <c r="AL352" s="214" t="str">
        <f t="shared" si="137"/>
        <v/>
      </c>
      <c r="AM352" s="214" t="str">
        <f t="shared" si="138"/>
        <v/>
      </c>
      <c r="AN352" s="213" t="str">
        <f t="shared" si="121"/>
        <v/>
      </c>
      <c r="AO352" s="213" t="str">
        <f t="shared" si="122"/>
        <v/>
      </c>
      <c r="AP352" s="213" t="str">
        <f t="shared" si="123"/>
        <v/>
      </c>
      <c r="AQ352" s="215" t="str">
        <f t="shared" si="124"/>
        <v/>
      </c>
      <c r="AR352" s="216" t="str">
        <f t="shared" si="125"/>
        <v>BiK51nX1y---03</v>
      </c>
      <c r="AS352" s="215" t="str">
        <f t="shared" si="126"/>
        <v/>
      </c>
      <c r="AT352">
        <f t="shared" si="127"/>
        <v>14</v>
      </c>
      <c r="AU352" s="216" t="str">
        <f t="shared" si="128"/>
        <v>0-0,15 MW, Bonusregeln X1, y</v>
      </c>
      <c r="AV352" s="215" t="str">
        <f t="shared" si="129"/>
        <v/>
      </c>
      <c r="AW352" s="216" t="str">
        <f t="shared" si="130"/>
        <v>Anteil Nicht-KWK</v>
      </c>
      <c r="AX352" s="215" t="str">
        <f t="shared" si="131"/>
        <v/>
      </c>
      <c r="AY352" t="str">
        <f t="shared" si="132"/>
        <v/>
      </c>
      <c r="AZ352" t="str">
        <f t="shared" si="133"/>
        <v/>
      </c>
    </row>
    <row r="353" spans="1:52" x14ac:dyDescent="0.25">
      <c r="A353" s="610" t="s">
        <v>1106</v>
      </c>
      <c r="B353" s="30" t="s">
        <v>5548</v>
      </c>
      <c r="C353" s="30" t="s">
        <v>3727</v>
      </c>
      <c r="D353" s="109" t="s">
        <v>6853</v>
      </c>
      <c r="E353" s="30" t="s">
        <v>4331</v>
      </c>
      <c r="F353" s="454">
        <f t="shared" si="139"/>
        <v>28.67</v>
      </c>
      <c r="G353" s="529">
        <v>28.67</v>
      </c>
      <c r="H353" s="487">
        <f t="shared" si="140"/>
        <v>22.94</v>
      </c>
      <c r="I353" s="706"/>
      <c r="J353" s="669" t="s">
        <v>5805</v>
      </c>
      <c r="K353" s="15"/>
      <c r="M353" s="49">
        <f t="shared" si="141"/>
        <v>28.67</v>
      </c>
      <c r="N353" s="41">
        <v>11.67</v>
      </c>
      <c r="O353" s="176"/>
      <c r="P353" s="182" t="s">
        <v>1017</v>
      </c>
      <c r="Q353" s="182"/>
      <c r="R353" s="182"/>
      <c r="S353" s="182" t="s">
        <v>4180</v>
      </c>
      <c r="T353" t="s">
        <v>4180</v>
      </c>
      <c r="U353" s="185" t="s">
        <v>1017</v>
      </c>
      <c r="V353" s="182"/>
      <c r="W353" s="201"/>
      <c r="X353" s="201"/>
      <c r="Y353" s="199"/>
      <c r="Z353" s="199"/>
      <c r="AA353" s="201"/>
      <c r="AB353" s="199"/>
      <c r="AC353" s="182" t="s">
        <v>1017</v>
      </c>
      <c r="AD353" s="201"/>
      <c r="AE353" s="181"/>
      <c r="AF353" s="182"/>
      <c r="AG353" s="182"/>
      <c r="AH353" s="212" t="str">
        <f>IF(ISERROR(SEARCH("K erstmals 201",D353)),"",RIGHT(D353,4))</f>
        <v/>
      </c>
      <c r="AI353" s="214" t="str">
        <f t="shared" si="134"/>
        <v/>
      </c>
      <c r="AJ353" s="214" t="str">
        <f t="shared" si="135"/>
        <v/>
      </c>
      <c r="AK353" s="214" t="str">
        <f t="shared" si="136"/>
        <v/>
      </c>
      <c r="AL353" s="214" t="str">
        <f t="shared" si="137"/>
        <v/>
      </c>
      <c r="AM353" s="214" t="str">
        <f t="shared" si="138"/>
        <v/>
      </c>
      <c r="AN353" s="213" t="str">
        <f t="shared" si="121"/>
        <v/>
      </c>
      <c r="AO353" s="213" t="str">
        <f t="shared" si="122"/>
        <v/>
      </c>
      <c r="AP353" s="213" t="str">
        <f t="shared" si="123"/>
        <v/>
      </c>
      <c r="AQ353" s="215" t="str">
        <f t="shared" si="124"/>
        <v/>
      </c>
      <c r="AR353" s="216" t="str">
        <f t="shared" si="125"/>
        <v>BiK51nX1KA3y03</v>
      </c>
      <c r="AS353" s="215" t="str">
        <f t="shared" si="126"/>
        <v/>
      </c>
      <c r="AT353">
        <f t="shared" si="127"/>
        <v>14</v>
      </c>
      <c r="AU353" s="216" t="str">
        <f t="shared" si="128"/>
        <v>0-0,15 MW, Bonusregeln X1, y und K wenn Anlage 3 erfüllt</v>
      </c>
      <c r="AV353" s="215" t="str">
        <f t="shared" si="129"/>
        <v/>
      </c>
      <c r="AW353" s="216" t="str">
        <f t="shared" si="130"/>
        <v>Anteil KWK gemäß Anlage 3</v>
      </c>
      <c r="AX353" s="215" t="str">
        <f t="shared" si="131"/>
        <v/>
      </c>
      <c r="AY353" t="str">
        <f t="shared" si="132"/>
        <v/>
      </c>
      <c r="AZ353" t="str">
        <f t="shared" si="133"/>
        <v/>
      </c>
    </row>
    <row r="354" spans="1:52" x14ac:dyDescent="0.25">
      <c r="A354" s="610" t="s">
        <v>1107</v>
      </c>
      <c r="B354" s="30" t="s">
        <v>5548</v>
      </c>
      <c r="C354" s="30" t="s">
        <v>3727</v>
      </c>
      <c r="D354" s="30" t="s">
        <v>6854</v>
      </c>
      <c r="E354" s="30" t="s">
        <v>674</v>
      </c>
      <c r="F354" s="454">
        <f t="shared" si="139"/>
        <v>28.67</v>
      </c>
      <c r="G354" s="529">
        <v>28.67</v>
      </c>
      <c r="H354" s="487">
        <f t="shared" si="140"/>
        <v>22.94</v>
      </c>
      <c r="I354" s="706"/>
      <c r="J354" s="669" t="s">
        <v>5805</v>
      </c>
      <c r="K354" s="15"/>
      <c r="M354" s="49">
        <f t="shared" si="141"/>
        <v>28.67</v>
      </c>
      <c r="N354" s="41">
        <v>11.67</v>
      </c>
      <c r="O354" s="176"/>
      <c r="P354" s="197"/>
      <c r="Q354" s="182" t="s">
        <v>1017</v>
      </c>
      <c r="R354" s="182"/>
      <c r="S354" s="182" t="s">
        <v>4180</v>
      </c>
      <c r="T354" t="s">
        <v>4180</v>
      </c>
      <c r="U354" s="185" t="s">
        <v>1017</v>
      </c>
      <c r="V354" s="182"/>
      <c r="W354" s="201"/>
      <c r="X354" s="201"/>
      <c r="Y354" s="199"/>
      <c r="Z354" s="199"/>
      <c r="AA354" s="201"/>
      <c r="AB354" s="199"/>
      <c r="AC354" s="182" t="s">
        <v>1017</v>
      </c>
      <c r="AD354" s="201"/>
      <c r="AE354" s="181"/>
      <c r="AF354" s="182"/>
      <c r="AG354" s="182"/>
      <c r="AH354" s="212" t="str">
        <f>IF(ISERROR(SEARCH("K erstmals 201",D354)),"",RIGHT(D354,4))</f>
        <v/>
      </c>
      <c r="AI354" s="214" t="str">
        <f t="shared" si="134"/>
        <v/>
      </c>
      <c r="AJ354" s="214" t="str">
        <f t="shared" si="135"/>
        <v/>
      </c>
      <c r="AK354" s="214" t="str">
        <f t="shared" si="136"/>
        <v/>
      </c>
      <c r="AL354" s="214" t="str">
        <f t="shared" si="137"/>
        <v/>
      </c>
      <c r="AM354" s="214" t="str">
        <f t="shared" si="138"/>
        <v/>
      </c>
      <c r="AN354" s="213" t="str">
        <f t="shared" si="121"/>
        <v/>
      </c>
      <c r="AO354" s="213" t="str">
        <f t="shared" si="122"/>
        <v/>
      </c>
      <c r="AP354" s="213" t="str">
        <f t="shared" si="123"/>
        <v/>
      </c>
      <c r="AQ354" s="215" t="str">
        <f t="shared" si="124"/>
        <v/>
      </c>
      <c r="AR354" s="216" t="str">
        <f t="shared" si="125"/>
        <v>BiK51nX1K09y03</v>
      </c>
      <c r="AS354" s="215" t="str">
        <f t="shared" si="126"/>
        <v/>
      </c>
      <c r="AT354">
        <f t="shared" si="127"/>
        <v>14</v>
      </c>
      <c r="AU354" s="216" t="str">
        <f t="shared" si="128"/>
        <v>0-0,15 MW, Bonusregeln X1, y und K erstmals 2009</v>
      </c>
      <c r="AV354" s="215" t="str">
        <f t="shared" si="129"/>
        <v/>
      </c>
      <c r="AW354" s="216" t="str">
        <f t="shared" si="130"/>
        <v>Anteil KWK, erstmals 2009</v>
      </c>
      <c r="AX354" s="215" t="str">
        <f t="shared" si="131"/>
        <v/>
      </c>
      <c r="AY354" t="str">
        <f t="shared" si="132"/>
        <v/>
      </c>
      <c r="AZ354" t="str">
        <f t="shared" si="133"/>
        <v/>
      </c>
    </row>
    <row r="355" spans="1:52" x14ac:dyDescent="0.25">
      <c r="A355" s="610" t="s">
        <v>3259</v>
      </c>
      <c r="B355" s="30" t="s">
        <v>5548</v>
      </c>
      <c r="C355" s="30" t="s">
        <v>3727</v>
      </c>
      <c r="D355" s="30" t="s">
        <v>6855</v>
      </c>
      <c r="E355" s="30" t="s">
        <v>3567</v>
      </c>
      <c r="F355" s="454">
        <f t="shared" si="139"/>
        <v>28.64</v>
      </c>
      <c r="G355" s="529">
        <v>28.64</v>
      </c>
      <c r="H355" s="487">
        <f t="shared" si="140"/>
        <v>22.91</v>
      </c>
      <c r="I355" s="706"/>
      <c r="J355" s="669" t="s">
        <v>5805</v>
      </c>
      <c r="K355" s="15"/>
      <c r="M355" s="49">
        <f t="shared" si="141"/>
        <v>28.64</v>
      </c>
      <c r="N355" s="41">
        <v>11.67</v>
      </c>
      <c r="O355" s="176"/>
      <c r="P355" s="183"/>
      <c r="Q355" s="184"/>
      <c r="R355" s="184" t="s">
        <v>1017</v>
      </c>
      <c r="S355" s="184" t="s">
        <v>4180</v>
      </c>
      <c r="T355" t="s">
        <v>4180</v>
      </c>
      <c r="U355" s="185" t="s">
        <v>1017</v>
      </c>
      <c r="V355" s="184"/>
      <c r="W355" s="180"/>
      <c r="X355" s="180"/>
      <c r="Y355" s="178"/>
      <c r="Z355" s="178"/>
      <c r="AA355" s="180"/>
      <c r="AB355" s="178"/>
      <c r="AC355" s="184" t="s">
        <v>1017</v>
      </c>
      <c r="AD355" s="201"/>
      <c r="AE355" s="181"/>
      <c r="AF355" s="182"/>
      <c r="AG355" s="182"/>
      <c r="AH355" s="212" t="str">
        <f>IF(ISERROR(SEARCH("K erstmals 201",D355)),"",RIGHT(D355,4))</f>
        <v>2010</v>
      </c>
      <c r="AI355" s="214" t="str">
        <f t="shared" si="134"/>
        <v/>
      </c>
      <c r="AJ355" s="214" t="str">
        <f t="shared" si="135"/>
        <v/>
      </c>
      <c r="AK355" s="214" t="str">
        <f t="shared" si="136"/>
        <v/>
      </c>
      <c r="AL355" s="214" t="str">
        <f t="shared" si="137"/>
        <v/>
      </c>
      <c r="AM355" s="214" t="str">
        <f t="shared" si="138"/>
        <v/>
      </c>
      <c r="AN355" s="213" t="str">
        <f t="shared" si="121"/>
        <v>2010</v>
      </c>
      <c r="AO355" s="213" t="str">
        <f t="shared" si="122"/>
        <v>2010</v>
      </c>
      <c r="AP355" s="213" t="str">
        <f t="shared" si="123"/>
        <v>2010</v>
      </c>
      <c r="AQ355" s="215" t="str">
        <f t="shared" si="124"/>
        <v/>
      </c>
      <c r="AR355" s="216" t="str">
        <f t="shared" si="125"/>
        <v>BiK51nX1K10y03</v>
      </c>
      <c r="AS355" s="215" t="str">
        <f t="shared" si="126"/>
        <v/>
      </c>
      <c r="AT355">
        <f t="shared" si="127"/>
        <v>14</v>
      </c>
      <c r="AU355" s="216" t="str">
        <f t="shared" si="128"/>
        <v>0-0,15 MW, Bonusregeln X1, y und K erstmals 2010</v>
      </c>
      <c r="AV355" s="215" t="str">
        <f t="shared" si="129"/>
        <v/>
      </c>
      <c r="AW355" s="216" t="str">
        <f t="shared" si="130"/>
        <v>Anteil KWK, erstmals 2010</v>
      </c>
      <c r="AX355" s="215" t="str">
        <f t="shared" si="131"/>
        <v/>
      </c>
      <c r="AY355" t="str">
        <f t="shared" si="132"/>
        <v/>
      </c>
      <c r="AZ355" t="str">
        <f t="shared" si="133"/>
        <v/>
      </c>
    </row>
    <row r="356" spans="1:52" x14ac:dyDescent="0.25">
      <c r="A356" s="610" t="s">
        <v>5225</v>
      </c>
      <c r="B356" s="30" t="s">
        <v>5548</v>
      </c>
      <c r="C356" s="30" t="s">
        <v>3727</v>
      </c>
      <c r="D356" s="30" t="s">
        <v>6856</v>
      </c>
      <c r="E356" s="30" t="s">
        <v>3055</v>
      </c>
      <c r="F356" s="454">
        <f t="shared" si="139"/>
        <v>28.61</v>
      </c>
      <c r="G356" s="529">
        <v>28.61</v>
      </c>
      <c r="H356" s="487">
        <f t="shared" si="140"/>
        <v>22.89</v>
      </c>
      <c r="I356" s="706"/>
      <c r="J356" s="669" t="s">
        <v>5805</v>
      </c>
      <c r="K356" s="15"/>
      <c r="M356" s="49">
        <f t="shared" si="141"/>
        <v>28.61</v>
      </c>
      <c r="N356" s="41">
        <v>11.67</v>
      </c>
      <c r="O356" s="176"/>
      <c r="P356" s="183"/>
      <c r="Q356" s="184"/>
      <c r="R356" s="178"/>
      <c r="S356" s="184" t="s">
        <v>1017</v>
      </c>
      <c r="T356" t="s">
        <v>4180</v>
      </c>
      <c r="U356" s="185" t="s">
        <v>1017</v>
      </c>
      <c r="V356" s="184"/>
      <c r="W356" s="180"/>
      <c r="X356" s="180"/>
      <c r="Y356" s="178"/>
      <c r="Z356" s="178"/>
      <c r="AA356" s="180"/>
      <c r="AB356" s="178"/>
      <c r="AC356" s="184" t="s">
        <v>1017</v>
      </c>
      <c r="AD356" s="201"/>
      <c r="AE356" s="181"/>
      <c r="AF356" s="182"/>
      <c r="AG356" s="182"/>
      <c r="AH356" s="212" t="str">
        <f>IF(ISERROR(SEARCH("K erstmals 201",D356)),"",RIGHT(D356,4))</f>
        <v>2011</v>
      </c>
      <c r="AI356" s="214" t="str">
        <f t="shared" si="134"/>
        <v/>
      </c>
      <c r="AJ356" s="214" t="str">
        <f t="shared" si="135"/>
        <v/>
      </c>
      <c r="AK356" s="214" t="str">
        <f t="shared" si="136"/>
        <v/>
      </c>
      <c r="AL356" s="214" t="str">
        <f t="shared" si="137"/>
        <v/>
      </c>
      <c r="AM356" s="214" t="str">
        <f t="shared" si="138"/>
        <v/>
      </c>
      <c r="AN356" s="213" t="str">
        <f t="shared" si="121"/>
        <v>2011</v>
      </c>
      <c r="AO356" s="213" t="str">
        <f t="shared" si="122"/>
        <v>2011</v>
      </c>
      <c r="AP356" s="213" t="str">
        <f t="shared" si="123"/>
        <v>2011</v>
      </c>
      <c r="AQ356" s="215" t="str">
        <f t="shared" si="124"/>
        <v/>
      </c>
      <c r="AR356" s="216" t="str">
        <f t="shared" si="125"/>
        <v>BiK51nX1K11y03</v>
      </c>
      <c r="AS356" s="215" t="str">
        <f t="shared" si="126"/>
        <v/>
      </c>
      <c r="AT356">
        <f t="shared" si="127"/>
        <v>14</v>
      </c>
      <c r="AU356" s="216" t="str">
        <f t="shared" si="128"/>
        <v>0-0,15 MW, Bonusregeln X1, y und K erstmals 2011</v>
      </c>
      <c r="AV356" s="215" t="str">
        <f t="shared" si="129"/>
        <v/>
      </c>
      <c r="AW356" s="216" t="str">
        <f t="shared" si="130"/>
        <v>Anteil KWK, erstmals 2011</v>
      </c>
      <c r="AX356" s="215" t="str">
        <f t="shared" si="131"/>
        <v/>
      </c>
      <c r="AY356" t="str">
        <f t="shared" si="132"/>
        <v>x</v>
      </c>
      <c r="AZ356" t="str">
        <f t="shared" si="133"/>
        <v/>
      </c>
    </row>
    <row r="357" spans="1:52" x14ac:dyDescent="0.25">
      <c r="A357" s="625" t="s">
        <v>3532</v>
      </c>
      <c r="B357" s="219" t="s">
        <v>5548</v>
      </c>
      <c r="C357" s="219" t="s">
        <v>3727</v>
      </c>
      <c r="D357" s="219" t="s">
        <v>6857</v>
      </c>
      <c r="E357" s="219" t="s">
        <v>1980</v>
      </c>
      <c r="F357" s="455">
        <f t="shared" si="139"/>
        <v>28.58</v>
      </c>
      <c r="G357" s="530">
        <v>28.58</v>
      </c>
      <c r="H357" s="488">
        <f t="shared" si="140"/>
        <v>22.86</v>
      </c>
      <c r="I357" s="707"/>
      <c r="J357" s="669" t="s">
        <v>5805</v>
      </c>
      <c r="K357" s="15"/>
      <c r="M357" s="49">
        <f t="shared" si="141"/>
        <v>28.58</v>
      </c>
      <c r="N357" s="41">
        <v>11.67</v>
      </c>
      <c r="O357" s="176"/>
      <c r="P357" s="183"/>
      <c r="Q357" s="184"/>
      <c r="R357" s="178"/>
      <c r="S357" s="184" t="s">
        <v>4180</v>
      </c>
      <c r="T357" t="s">
        <v>1017</v>
      </c>
      <c r="U357" s="185" t="s">
        <v>1017</v>
      </c>
      <c r="V357" s="184"/>
      <c r="W357" s="180"/>
      <c r="X357" s="180"/>
      <c r="Y357" s="178"/>
      <c r="Z357" s="178"/>
      <c r="AA357" s="180"/>
      <c r="AB357" s="178"/>
      <c r="AC357" s="184" t="s">
        <v>1017</v>
      </c>
      <c r="AD357" s="201"/>
      <c r="AE357" s="181"/>
      <c r="AF357" s="182"/>
      <c r="AG357" s="182"/>
      <c r="AH357" s="217" t="s">
        <v>4179</v>
      </c>
      <c r="AI357" s="214" t="str">
        <f t="shared" si="134"/>
        <v/>
      </c>
      <c r="AJ357" s="214" t="str">
        <f t="shared" si="135"/>
        <v/>
      </c>
      <c r="AK357" s="214" t="str">
        <f t="shared" si="136"/>
        <v/>
      </c>
      <c r="AL357" s="214" t="str">
        <f t="shared" si="137"/>
        <v/>
      </c>
      <c r="AM357" s="214" t="str">
        <f t="shared" si="138"/>
        <v/>
      </c>
      <c r="AN357" s="213" t="str">
        <f t="shared" si="121"/>
        <v>2012</v>
      </c>
      <c r="AO357" s="213" t="str">
        <f t="shared" si="122"/>
        <v>2012</v>
      </c>
      <c r="AP357" s="213" t="str">
        <f t="shared" si="123"/>
        <v>2012</v>
      </c>
      <c r="AQ357" s="215" t="str">
        <f t="shared" si="124"/>
        <v/>
      </c>
      <c r="AR357" s="216" t="str">
        <f t="shared" si="125"/>
        <v>BiK51nX1K12y03</v>
      </c>
      <c r="AS357" s="215" t="str">
        <f t="shared" si="126"/>
        <v/>
      </c>
      <c r="AT357">
        <f t="shared" si="127"/>
        <v>14</v>
      </c>
      <c r="AU357" s="216" t="str">
        <f t="shared" si="128"/>
        <v>0-0,15 MW, Bonusregeln X1, y und K erstmals 2012</v>
      </c>
      <c r="AV357" s="215" t="str">
        <f t="shared" si="129"/>
        <v/>
      </c>
      <c r="AW357" s="216" t="str">
        <f t="shared" si="130"/>
        <v>Anteil KWK, erstmals 2012</v>
      </c>
      <c r="AX357" s="215" t="str">
        <f t="shared" si="131"/>
        <v/>
      </c>
      <c r="AY357" t="str">
        <f t="shared" si="132"/>
        <v/>
      </c>
      <c r="AZ357" t="str">
        <f t="shared" si="133"/>
        <v>x</v>
      </c>
    </row>
    <row r="358" spans="1:52" x14ac:dyDescent="0.25">
      <c r="A358" s="608" t="s">
        <v>4802</v>
      </c>
      <c r="B358" s="2" t="s">
        <v>5548</v>
      </c>
      <c r="C358" s="2" t="s">
        <v>3727</v>
      </c>
      <c r="D358" s="34" t="s">
        <v>1779</v>
      </c>
      <c r="E358" s="192" t="s">
        <v>4810</v>
      </c>
      <c r="F358" s="456">
        <f t="shared" si="139"/>
        <v>10</v>
      </c>
      <c r="G358" s="531">
        <v>10</v>
      </c>
      <c r="H358" s="489">
        <f t="shared" si="140"/>
        <v>8</v>
      </c>
      <c r="I358" s="708"/>
      <c r="J358" s="669" t="s">
        <v>5805</v>
      </c>
      <c r="K358" s="15"/>
      <c r="M358" s="49">
        <f t="shared" si="141"/>
        <v>10</v>
      </c>
      <c r="N358" s="41">
        <v>10</v>
      </c>
      <c r="O358" s="86"/>
      <c r="S358" t="s">
        <v>4180</v>
      </c>
      <c r="T358" t="s">
        <v>4180</v>
      </c>
      <c r="U358" s="55"/>
      <c r="W358" s="65"/>
      <c r="X358" s="65"/>
      <c r="Z358" s="65"/>
      <c r="AC358" s="65"/>
      <c r="AD358" s="92"/>
      <c r="AE358" s="94"/>
      <c r="AF358" s="27"/>
      <c r="AG358" s="27"/>
      <c r="AH358" s="212" t="str">
        <f>IF(ISERROR(SEARCH("K erstmals 201",D358)),"",RIGHT(D358,4))</f>
        <v/>
      </c>
      <c r="AI358" s="214" t="str">
        <f t="shared" si="134"/>
        <v/>
      </c>
      <c r="AJ358" s="214" t="str">
        <f t="shared" si="135"/>
        <v/>
      </c>
      <c r="AK358" s="214" t="str">
        <f t="shared" si="136"/>
        <v/>
      </c>
      <c r="AL358" s="214" t="str">
        <f t="shared" si="137"/>
        <v/>
      </c>
      <c r="AM358" s="214" t="str">
        <f t="shared" si="138"/>
        <v/>
      </c>
      <c r="AN358" s="213" t="str">
        <f t="shared" si="121"/>
        <v/>
      </c>
      <c r="AO358" s="213" t="str">
        <f t="shared" si="122"/>
        <v/>
      </c>
      <c r="AP358" s="213" t="str">
        <f t="shared" si="123"/>
        <v/>
      </c>
      <c r="AQ358" s="215" t="str">
        <f t="shared" si="124"/>
        <v/>
      </c>
      <c r="AR358" s="216" t="str">
        <f t="shared" si="125"/>
        <v>BiK51a------03</v>
      </c>
      <c r="AS358" s="215" t="str">
        <f t="shared" si="126"/>
        <v/>
      </c>
      <c r="AT358">
        <f t="shared" si="127"/>
        <v>14</v>
      </c>
      <c r="AU358" s="216" t="str">
        <f t="shared" si="128"/>
        <v>0,15-0,5 MW</v>
      </c>
      <c r="AV358" s="215" t="str">
        <f t="shared" si="129"/>
        <v/>
      </c>
      <c r="AW358" s="216" t="str">
        <f t="shared" si="130"/>
        <v>Anteil Nicht-KWK</v>
      </c>
      <c r="AX358" s="215" t="str">
        <f t="shared" si="131"/>
        <v/>
      </c>
      <c r="AY358" t="str">
        <f t="shared" si="132"/>
        <v/>
      </c>
      <c r="AZ358" t="str">
        <f t="shared" si="133"/>
        <v/>
      </c>
    </row>
    <row r="359" spans="1:52" ht="17.25" customHeight="1" x14ac:dyDescent="0.25">
      <c r="A359" s="610" t="s">
        <v>4034</v>
      </c>
      <c r="B359" s="30" t="s">
        <v>5548</v>
      </c>
      <c r="C359" s="30" t="s">
        <v>3727</v>
      </c>
      <c r="D359" s="21" t="s">
        <v>7092</v>
      </c>
      <c r="E359" s="30" t="s">
        <v>4331</v>
      </c>
      <c r="F359" s="452">
        <f t="shared" si="139"/>
        <v>13</v>
      </c>
      <c r="G359" s="527">
        <v>13</v>
      </c>
      <c r="H359" s="485">
        <f t="shared" si="140"/>
        <v>10.4</v>
      </c>
      <c r="I359" s="704"/>
      <c r="J359" s="669" t="s">
        <v>5805</v>
      </c>
      <c r="K359" s="15"/>
      <c r="M359" s="49">
        <f t="shared" si="141"/>
        <v>13</v>
      </c>
      <c r="N359" s="41">
        <v>10</v>
      </c>
      <c r="O359" s="86"/>
      <c r="P359" t="s">
        <v>1017</v>
      </c>
      <c r="S359" t="s">
        <v>4180</v>
      </c>
      <c r="T359" t="s">
        <v>4180</v>
      </c>
      <c r="U359" s="55"/>
      <c r="W359" s="65"/>
      <c r="X359" s="65"/>
      <c r="Z359" s="65"/>
      <c r="AC359" s="65"/>
      <c r="AD359" s="92"/>
      <c r="AE359" s="94"/>
      <c r="AF359" s="27"/>
      <c r="AG359" s="27"/>
      <c r="AH359" s="212" t="str">
        <f>IF(ISERROR(SEARCH("K erstmals 201",D359)),"",RIGHT(D359,4))</f>
        <v/>
      </c>
      <c r="AI359" s="214" t="str">
        <f t="shared" si="134"/>
        <v/>
      </c>
      <c r="AJ359" s="214" t="str">
        <f t="shared" si="135"/>
        <v/>
      </c>
      <c r="AK359" s="214" t="str">
        <f t="shared" si="136"/>
        <v/>
      </c>
      <c r="AL359" s="214" t="str">
        <f t="shared" si="137"/>
        <v/>
      </c>
      <c r="AM359" s="214" t="str">
        <f t="shared" si="138"/>
        <v/>
      </c>
      <c r="AN359" s="213" t="str">
        <f t="shared" si="121"/>
        <v/>
      </c>
      <c r="AO359" s="213" t="str">
        <f t="shared" si="122"/>
        <v/>
      </c>
      <c r="AP359" s="213" t="str">
        <f t="shared" si="123"/>
        <v/>
      </c>
      <c r="AQ359" s="215" t="str">
        <f t="shared" si="124"/>
        <v/>
      </c>
      <c r="AR359" s="216" t="str">
        <f t="shared" si="125"/>
        <v>BiK51aKA3---03</v>
      </c>
      <c r="AS359" s="215" t="str">
        <f t="shared" si="126"/>
        <v/>
      </c>
      <c r="AT359">
        <f t="shared" si="127"/>
        <v>14</v>
      </c>
      <c r="AU359" s="216" t="str">
        <f t="shared" si="128"/>
        <v>0,15-0,5 MW, Bonusregel K wenn Anlage 3 erfüllt</v>
      </c>
      <c r="AV359" s="215" t="str">
        <f t="shared" si="129"/>
        <v/>
      </c>
      <c r="AW359" s="216" t="str">
        <f t="shared" si="130"/>
        <v>Anteil KWK gemäß Anlage 3</v>
      </c>
      <c r="AX359" s="215" t="str">
        <f t="shared" si="131"/>
        <v/>
      </c>
      <c r="AY359" t="str">
        <f t="shared" si="132"/>
        <v/>
      </c>
      <c r="AZ359" t="str">
        <f t="shared" si="133"/>
        <v/>
      </c>
    </row>
    <row r="360" spans="1:52" x14ac:dyDescent="0.25">
      <c r="A360" s="610" t="s">
        <v>2615</v>
      </c>
      <c r="B360" s="30" t="s">
        <v>5548</v>
      </c>
      <c r="C360" s="30" t="s">
        <v>3727</v>
      </c>
      <c r="D360" s="21" t="s">
        <v>7093</v>
      </c>
      <c r="E360" s="17" t="s">
        <v>674</v>
      </c>
      <c r="F360" s="452">
        <f t="shared" si="139"/>
        <v>13</v>
      </c>
      <c r="G360" s="527">
        <v>13</v>
      </c>
      <c r="H360" s="485">
        <f t="shared" si="140"/>
        <v>10.4</v>
      </c>
      <c r="I360" s="704"/>
      <c r="J360" s="669" t="s">
        <v>5805</v>
      </c>
      <c r="K360" s="15"/>
      <c r="M360" s="49">
        <f t="shared" si="141"/>
        <v>13</v>
      </c>
      <c r="N360" s="41">
        <v>10</v>
      </c>
      <c r="O360" s="86"/>
      <c r="P360" s="15"/>
      <c r="Q360" t="s">
        <v>1017</v>
      </c>
      <c r="S360" t="s">
        <v>4180</v>
      </c>
      <c r="T360" t="s">
        <v>4180</v>
      </c>
      <c r="U360" s="55"/>
      <c r="V360" s="92"/>
      <c r="W360" s="65"/>
      <c r="X360" s="65"/>
      <c r="Z360" s="65"/>
      <c r="AC360" s="65"/>
      <c r="AD360" s="92"/>
      <c r="AE360" s="94"/>
      <c r="AF360" s="27"/>
      <c r="AG360" s="27"/>
      <c r="AH360" s="212" t="str">
        <f>IF(ISERROR(SEARCH("K erstmals 201",D360)),"",RIGHT(D360,4))</f>
        <v/>
      </c>
      <c r="AI360" s="214" t="str">
        <f t="shared" si="134"/>
        <v/>
      </c>
      <c r="AJ360" s="214" t="str">
        <f t="shared" si="135"/>
        <v/>
      </c>
      <c r="AK360" s="214" t="str">
        <f t="shared" si="136"/>
        <v/>
      </c>
      <c r="AL360" s="214" t="str">
        <f t="shared" si="137"/>
        <v/>
      </c>
      <c r="AM360" s="214" t="str">
        <f t="shared" si="138"/>
        <v/>
      </c>
      <c r="AN360" s="213" t="str">
        <f t="shared" si="121"/>
        <v/>
      </c>
      <c r="AO360" s="213" t="str">
        <f t="shared" si="122"/>
        <v/>
      </c>
      <c r="AP360" s="213" t="str">
        <f t="shared" si="123"/>
        <v/>
      </c>
      <c r="AQ360" s="215" t="str">
        <f t="shared" si="124"/>
        <v/>
      </c>
      <c r="AR360" s="216" t="str">
        <f t="shared" si="125"/>
        <v>BiK51aK09---03</v>
      </c>
      <c r="AS360" s="215" t="str">
        <f t="shared" si="126"/>
        <v/>
      </c>
      <c r="AT360">
        <f t="shared" si="127"/>
        <v>14</v>
      </c>
      <c r="AU360" s="216" t="str">
        <f t="shared" si="128"/>
        <v>0,15-0,5 MW, Bonusregel K erstmals 2009</v>
      </c>
      <c r="AV360" s="215" t="str">
        <f t="shared" si="129"/>
        <v/>
      </c>
      <c r="AW360" s="216" t="str">
        <f t="shared" si="130"/>
        <v>Anteil KWK, erstmals 2009</v>
      </c>
      <c r="AX360" s="215" t="str">
        <f t="shared" si="131"/>
        <v/>
      </c>
      <c r="AY360" t="str">
        <f t="shared" si="132"/>
        <v/>
      </c>
      <c r="AZ360" t="str">
        <f t="shared" si="133"/>
        <v/>
      </c>
    </row>
    <row r="361" spans="1:52" x14ac:dyDescent="0.25">
      <c r="A361" s="610" t="s">
        <v>3260</v>
      </c>
      <c r="B361" s="30" t="s">
        <v>5548</v>
      </c>
      <c r="C361" s="30" t="s">
        <v>3727</v>
      </c>
      <c r="D361" s="21" t="s">
        <v>7094</v>
      </c>
      <c r="E361" s="30" t="s">
        <v>3567</v>
      </c>
      <c r="F361" s="452">
        <f t="shared" si="139"/>
        <v>12.97</v>
      </c>
      <c r="G361" s="527">
        <v>12.97</v>
      </c>
      <c r="H361" s="485">
        <f t="shared" si="140"/>
        <v>10.38</v>
      </c>
      <c r="I361" s="704"/>
      <c r="J361" s="669" t="s">
        <v>5805</v>
      </c>
      <c r="K361" s="15"/>
      <c r="M361" s="49">
        <f t="shared" si="141"/>
        <v>12.97</v>
      </c>
      <c r="N361" s="41">
        <v>10</v>
      </c>
      <c r="O361" s="86"/>
      <c r="P361" s="15"/>
      <c r="R361" t="s">
        <v>1017</v>
      </c>
      <c r="S361" t="s">
        <v>4180</v>
      </c>
      <c r="T361" t="s">
        <v>4180</v>
      </c>
      <c r="U361" s="55"/>
      <c r="W361" s="65"/>
      <c r="X361" s="65"/>
      <c r="Z361" s="65"/>
      <c r="AC361" s="65"/>
      <c r="AD361" s="92"/>
      <c r="AE361" s="94"/>
      <c r="AF361" s="27"/>
      <c r="AG361" s="27"/>
      <c r="AH361" s="212" t="str">
        <f>IF(ISERROR(SEARCH("K erstmals 201",D361)),"",RIGHT(D361,4))</f>
        <v>2010</v>
      </c>
      <c r="AI361" s="214" t="str">
        <f t="shared" si="134"/>
        <v/>
      </c>
      <c r="AJ361" s="214" t="str">
        <f t="shared" si="135"/>
        <v/>
      </c>
      <c r="AK361" s="214" t="str">
        <f t="shared" si="136"/>
        <v/>
      </c>
      <c r="AL361" s="214" t="str">
        <f t="shared" si="137"/>
        <v/>
      </c>
      <c r="AM361" s="214" t="str">
        <f t="shared" si="138"/>
        <v/>
      </c>
      <c r="AN361" s="213" t="str">
        <f t="shared" si="121"/>
        <v>2010</v>
      </c>
      <c r="AO361" s="213" t="str">
        <f t="shared" si="122"/>
        <v>2010</v>
      </c>
      <c r="AP361" s="213" t="str">
        <f t="shared" si="123"/>
        <v>2010</v>
      </c>
      <c r="AQ361" s="215" t="str">
        <f t="shared" si="124"/>
        <v/>
      </c>
      <c r="AR361" s="216" t="str">
        <f t="shared" si="125"/>
        <v>BiK51aK10---03</v>
      </c>
      <c r="AS361" s="215" t="str">
        <f t="shared" si="126"/>
        <v/>
      </c>
      <c r="AT361">
        <f t="shared" si="127"/>
        <v>14</v>
      </c>
      <c r="AU361" s="216" t="str">
        <f t="shared" si="128"/>
        <v>0,15-0,5 MW, Bonusregel K erstmals 2010</v>
      </c>
      <c r="AV361" s="215" t="str">
        <f t="shared" si="129"/>
        <v/>
      </c>
      <c r="AW361" s="216" t="str">
        <f t="shared" si="130"/>
        <v>Anteil KWK, erstmals 2010</v>
      </c>
      <c r="AX361" s="215" t="str">
        <f t="shared" si="131"/>
        <v/>
      </c>
      <c r="AY361" t="str">
        <f t="shared" si="132"/>
        <v/>
      </c>
      <c r="AZ361" t="str">
        <f t="shared" si="133"/>
        <v/>
      </c>
    </row>
    <row r="362" spans="1:52" x14ac:dyDescent="0.25">
      <c r="A362" s="610" t="s">
        <v>5226</v>
      </c>
      <c r="B362" s="30" t="s">
        <v>5548</v>
      </c>
      <c r="C362" s="30" t="s">
        <v>3727</v>
      </c>
      <c r="D362" s="21" t="s">
        <v>7095</v>
      </c>
      <c r="E362" s="30" t="s">
        <v>3055</v>
      </c>
      <c r="F362" s="452">
        <f t="shared" si="139"/>
        <v>12.94</v>
      </c>
      <c r="G362" s="527">
        <v>12.94</v>
      </c>
      <c r="H362" s="485">
        <f t="shared" si="140"/>
        <v>10.35</v>
      </c>
      <c r="I362" s="704"/>
      <c r="J362" s="669" t="s">
        <v>5805</v>
      </c>
      <c r="K362" s="15"/>
      <c r="M362" s="49">
        <f t="shared" si="141"/>
        <v>12.94</v>
      </c>
      <c r="N362" s="41">
        <v>10</v>
      </c>
      <c r="O362" s="86"/>
      <c r="P362" s="15"/>
      <c r="S362" t="s">
        <v>1017</v>
      </c>
      <c r="T362" t="s">
        <v>4180</v>
      </c>
      <c r="U362" s="55"/>
      <c r="V362" s="92"/>
      <c r="W362" s="65"/>
      <c r="X362" s="65"/>
      <c r="Z362" s="65"/>
      <c r="AC362" s="65"/>
      <c r="AD362" s="92"/>
      <c r="AE362" s="94"/>
      <c r="AF362" s="27"/>
      <c r="AG362" s="27"/>
      <c r="AH362" s="212" t="str">
        <f>IF(ISERROR(SEARCH("K erstmals 201",D362)),"",RIGHT(D362,4))</f>
        <v>2011</v>
      </c>
      <c r="AI362" s="214" t="str">
        <f t="shared" si="134"/>
        <v/>
      </c>
      <c r="AJ362" s="214" t="str">
        <f t="shared" si="135"/>
        <v/>
      </c>
      <c r="AK362" s="214" t="str">
        <f t="shared" si="136"/>
        <v/>
      </c>
      <c r="AL362" s="214" t="str">
        <f t="shared" si="137"/>
        <v/>
      </c>
      <c r="AM362" s="214" t="str">
        <f t="shared" si="138"/>
        <v/>
      </c>
      <c r="AN362" s="213" t="str">
        <f t="shared" si="121"/>
        <v>2011</v>
      </c>
      <c r="AO362" s="213" t="str">
        <f t="shared" si="122"/>
        <v>2011</v>
      </c>
      <c r="AP362" s="213" t="str">
        <f t="shared" si="123"/>
        <v>2011</v>
      </c>
      <c r="AQ362" s="215" t="str">
        <f t="shared" si="124"/>
        <v/>
      </c>
      <c r="AR362" s="216" t="str">
        <f t="shared" si="125"/>
        <v>BiK51aK11---03</v>
      </c>
      <c r="AS362" s="215" t="str">
        <f t="shared" si="126"/>
        <v/>
      </c>
      <c r="AT362">
        <f t="shared" si="127"/>
        <v>14</v>
      </c>
      <c r="AU362" s="216" t="str">
        <f t="shared" si="128"/>
        <v>0,15-0,5 MW, Bonusregel K erstmals 2011</v>
      </c>
      <c r="AV362" s="215" t="str">
        <f t="shared" si="129"/>
        <v/>
      </c>
      <c r="AW362" s="216" t="str">
        <f t="shared" si="130"/>
        <v>Anteil KWK, erstmals 2011</v>
      </c>
      <c r="AX362" s="215" t="str">
        <f t="shared" si="131"/>
        <v/>
      </c>
      <c r="AY362" t="str">
        <f t="shared" si="132"/>
        <v>x</v>
      </c>
      <c r="AZ362" t="str">
        <f t="shared" si="133"/>
        <v/>
      </c>
    </row>
    <row r="363" spans="1:52" x14ac:dyDescent="0.25">
      <c r="A363" s="625" t="s">
        <v>3533</v>
      </c>
      <c r="B363" s="219" t="s">
        <v>5548</v>
      </c>
      <c r="C363" s="219" t="s">
        <v>3727</v>
      </c>
      <c r="D363" s="220" t="s">
        <v>7096</v>
      </c>
      <c r="E363" s="219" t="s">
        <v>1980</v>
      </c>
      <c r="F363" s="453">
        <f t="shared" si="139"/>
        <v>12.91</v>
      </c>
      <c r="G363" s="528">
        <v>12.91</v>
      </c>
      <c r="H363" s="486">
        <f t="shared" si="140"/>
        <v>10.33</v>
      </c>
      <c r="I363" s="705"/>
      <c r="J363" s="669" t="s">
        <v>5805</v>
      </c>
      <c r="K363" s="15"/>
      <c r="M363" s="49">
        <f t="shared" si="141"/>
        <v>12.91</v>
      </c>
      <c r="N363" s="41">
        <v>10</v>
      </c>
      <c r="O363" s="86"/>
      <c r="P363" s="15"/>
      <c r="S363" t="s">
        <v>4180</v>
      </c>
      <c r="T363" t="s">
        <v>1017</v>
      </c>
      <c r="U363" s="55"/>
      <c r="V363" s="92"/>
      <c r="W363" s="65"/>
      <c r="X363" s="65"/>
      <c r="Z363" s="65"/>
      <c r="AC363" s="65"/>
      <c r="AD363" s="92"/>
      <c r="AE363" s="94"/>
      <c r="AF363" s="27"/>
      <c r="AG363" s="27"/>
      <c r="AH363" s="217" t="s">
        <v>4179</v>
      </c>
      <c r="AI363" s="214" t="str">
        <f t="shared" si="134"/>
        <v/>
      </c>
      <c r="AJ363" s="214" t="str">
        <f t="shared" si="135"/>
        <v/>
      </c>
      <c r="AK363" s="214" t="str">
        <f t="shared" si="136"/>
        <v/>
      </c>
      <c r="AL363" s="214" t="str">
        <f t="shared" si="137"/>
        <v/>
      </c>
      <c r="AM363" s="214" t="str">
        <f t="shared" si="138"/>
        <v/>
      </c>
      <c r="AN363" s="213" t="str">
        <f t="shared" si="121"/>
        <v>2012</v>
      </c>
      <c r="AO363" s="213" t="str">
        <f t="shared" si="122"/>
        <v>2012</v>
      </c>
      <c r="AP363" s="213" t="str">
        <f t="shared" si="123"/>
        <v>2012</v>
      </c>
      <c r="AQ363" s="215" t="str">
        <f t="shared" si="124"/>
        <v/>
      </c>
      <c r="AR363" s="216" t="str">
        <f t="shared" si="125"/>
        <v>BiK51aK12---03</v>
      </c>
      <c r="AS363" s="215" t="str">
        <f t="shared" si="126"/>
        <v/>
      </c>
      <c r="AT363">
        <f t="shared" si="127"/>
        <v>14</v>
      </c>
      <c r="AU363" s="216" t="str">
        <f t="shared" si="128"/>
        <v>0,15-0,5 MW, Bonusregel K erstmals 2012</v>
      </c>
      <c r="AV363" s="215" t="str">
        <f t="shared" si="129"/>
        <v/>
      </c>
      <c r="AW363" s="216" t="str">
        <f t="shared" si="130"/>
        <v>Anteil KWK, erstmals 2012</v>
      </c>
      <c r="AX363" s="215" t="str">
        <f t="shared" si="131"/>
        <v/>
      </c>
      <c r="AY363" t="str">
        <f t="shared" si="132"/>
        <v/>
      </c>
      <c r="AZ363" t="str">
        <f t="shared" si="133"/>
        <v>x</v>
      </c>
    </row>
    <row r="364" spans="1:52" x14ac:dyDescent="0.25">
      <c r="A364" s="610" t="s">
        <v>4976</v>
      </c>
      <c r="B364" s="17" t="s">
        <v>5548</v>
      </c>
      <c r="C364" s="17" t="s">
        <v>3727</v>
      </c>
      <c r="D364" s="21" t="s">
        <v>7097</v>
      </c>
      <c r="E364" s="194" t="s">
        <v>4810</v>
      </c>
      <c r="F364" s="454">
        <f t="shared" si="139"/>
        <v>11</v>
      </c>
      <c r="G364" s="529">
        <v>11</v>
      </c>
      <c r="H364" s="487">
        <f t="shared" si="140"/>
        <v>8.8000000000000007</v>
      </c>
      <c r="I364" s="706"/>
      <c r="J364" s="669" t="s">
        <v>5805</v>
      </c>
      <c r="K364" s="15"/>
      <c r="M364" s="49">
        <f t="shared" si="141"/>
        <v>11</v>
      </c>
      <c r="N364" s="41">
        <v>10</v>
      </c>
      <c r="O364" s="86"/>
      <c r="P364" s="92"/>
      <c r="Q364" s="92"/>
      <c r="R364" s="92"/>
      <c r="S364" s="92" t="s">
        <v>4180</v>
      </c>
      <c r="T364" s="92" t="s">
        <v>4180</v>
      </c>
      <c r="U364" s="55" t="s">
        <v>1017</v>
      </c>
      <c r="V364" s="92"/>
      <c r="W364" s="91"/>
      <c r="X364" s="91"/>
      <c r="Y364" s="92"/>
      <c r="Z364" s="91"/>
      <c r="AA364" s="92"/>
      <c r="AB364" s="92"/>
      <c r="AC364" s="91"/>
      <c r="AD364" s="92"/>
      <c r="AE364" s="94"/>
      <c r="AF364" s="27"/>
      <c r="AG364" s="27"/>
      <c r="AH364" s="212" t="str">
        <f>IF(ISERROR(SEARCH("K erstmals 201",D364)),"",RIGHT(D364,4))</f>
        <v/>
      </c>
      <c r="AI364" s="214" t="str">
        <f t="shared" si="134"/>
        <v/>
      </c>
      <c r="AJ364" s="214" t="str">
        <f t="shared" si="135"/>
        <v/>
      </c>
      <c r="AK364" s="214" t="str">
        <f t="shared" si="136"/>
        <v/>
      </c>
      <c r="AL364" s="214" t="str">
        <f t="shared" si="137"/>
        <v/>
      </c>
      <c r="AM364" s="214" t="str">
        <f t="shared" si="138"/>
        <v/>
      </c>
      <c r="AN364" s="213" t="str">
        <f t="shared" si="121"/>
        <v/>
      </c>
      <c r="AO364" s="213" t="str">
        <f t="shared" si="122"/>
        <v/>
      </c>
      <c r="AP364" s="213" t="str">
        <f t="shared" si="123"/>
        <v/>
      </c>
      <c r="AQ364" s="215" t="str">
        <f t="shared" si="124"/>
        <v/>
      </c>
      <c r="AR364" s="216" t="str">
        <f t="shared" si="125"/>
        <v>BiK51ay-----03</v>
      </c>
      <c r="AS364" s="215" t="str">
        <f t="shared" si="126"/>
        <v/>
      </c>
      <c r="AT364">
        <f t="shared" si="127"/>
        <v>14</v>
      </c>
      <c r="AU364" s="216" t="str">
        <f t="shared" si="128"/>
        <v>0,15-0,5 MW, Bonusregel y</v>
      </c>
      <c r="AV364" s="215" t="str">
        <f t="shared" si="129"/>
        <v/>
      </c>
      <c r="AW364" s="216" t="str">
        <f t="shared" si="130"/>
        <v>Anteil Nicht-KWK</v>
      </c>
      <c r="AX364" s="215" t="str">
        <f t="shared" si="131"/>
        <v/>
      </c>
      <c r="AY364" t="str">
        <f t="shared" si="132"/>
        <v/>
      </c>
      <c r="AZ364" t="str">
        <f t="shared" si="133"/>
        <v/>
      </c>
    </row>
    <row r="365" spans="1:52" x14ac:dyDescent="0.25">
      <c r="A365" s="610" t="s">
        <v>4977</v>
      </c>
      <c r="B365" s="30" t="s">
        <v>5548</v>
      </c>
      <c r="C365" s="30" t="s">
        <v>3727</v>
      </c>
      <c r="D365" s="21" t="s">
        <v>7099</v>
      </c>
      <c r="E365" s="30" t="s">
        <v>4331</v>
      </c>
      <c r="F365" s="452">
        <f t="shared" si="139"/>
        <v>14</v>
      </c>
      <c r="G365" s="527">
        <v>14</v>
      </c>
      <c r="H365" s="485">
        <f t="shared" si="140"/>
        <v>11.2</v>
      </c>
      <c r="I365" s="704"/>
      <c r="J365" s="669" t="s">
        <v>5805</v>
      </c>
      <c r="K365" s="15"/>
      <c r="M365" s="49">
        <f t="shared" si="141"/>
        <v>14</v>
      </c>
      <c r="N365" s="41">
        <v>10</v>
      </c>
      <c r="O365" s="86"/>
      <c r="P365" t="s">
        <v>1017</v>
      </c>
      <c r="S365" t="s">
        <v>4180</v>
      </c>
      <c r="T365" t="s">
        <v>4180</v>
      </c>
      <c r="U365" s="55" t="s">
        <v>1017</v>
      </c>
      <c r="W365" s="65"/>
      <c r="X365" s="65"/>
      <c r="Z365" s="65"/>
      <c r="AC365" s="65"/>
      <c r="AD365" s="92"/>
      <c r="AE365" s="94"/>
      <c r="AF365" s="27"/>
      <c r="AG365" s="27"/>
      <c r="AH365" s="212" t="str">
        <f>IF(ISERROR(SEARCH("K erstmals 201",D365)),"",RIGHT(D365,4))</f>
        <v/>
      </c>
      <c r="AI365" s="214" t="str">
        <f t="shared" si="134"/>
        <v/>
      </c>
      <c r="AJ365" s="214" t="str">
        <f t="shared" si="135"/>
        <v/>
      </c>
      <c r="AK365" s="214" t="str">
        <f t="shared" si="136"/>
        <v/>
      </c>
      <c r="AL365" s="214" t="str">
        <f t="shared" si="137"/>
        <v/>
      </c>
      <c r="AM365" s="214" t="str">
        <f t="shared" si="138"/>
        <v/>
      </c>
      <c r="AN365" s="213" t="str">
        <f t="shared" si="121"/>
        <v/>
      </c>
      <c r="AO365" s="213" t="str">
        <f t="shared" si="122"/>
        <v/>
      </c>
      <c r="AP365" s="213" t="str">
        <f t="shared" si="123"/>
        <v/>
      </c>
      <c r="AQ365" s="215" t="str">
        <f t="shared" si="124"/>
        <v/>
      </c>
      <c r="AR365" s="216" t="str">
        <f t="shared" si="125"/>
        <v>BiK51aKA3y--03</v>
      </c>
      <c r="AS365" s="215" t="str">
        <f t="shared" si="126"/>
        <v/>
      </c>
      <c r="AT365">
        <f t="shared" si="127"/>
        <v>14</v>
      </c>
      <c r="AU365" s="216" t="str">
        <f t="shared" si="128"/>
        <v>0,15-0,5 MW, Bonusregeln y und K wenn Anlage 3 erfüllt</v>
      </c>
      <c r="AV365" s="215" t="str">
        <f t="shared" si="129"/>
        <v/>
      </c>
      <c r="AW365" s="216" t="str">
        <f t="shared" si="130"/>
        <v>Anteil KWK gemäß Anlage 3</v>
      </c>
      <c r="AX365" s="215" t="str">
        <f t="shared" si="131"/>
        <v/>
      </c>
      <c r="AY365" t="str">
        <f t="shared" si="132"/>
        <v/>
      </c>
      <c r="AZ365" t="str">
        <f t="shared" si="133"/>
        <v/>
      </c>
    </row>
    <row r="366" spans="1:52" x14ac:dyDescent="0.25">
      <c r="A366" s="610" t="s">
        <v>828</v>
      </c>
      <c r="B366" s="30" t="s">
        <v>5548</v>
      </c>
      <c r="C366" s="30" t="s">
        <v>3727</v>
      </c>
      <c r="D366" s="21" t="s">
        <v>7100</v>
      </c>
      <c r="E366" s="17" t="s">
        <v>674</v>
      </c>
      <c r="F366" s="452">
        <f t="shared" si="139"/>
        <v>14</v>
      </c>
      <c r="G366" s="527">
        <v>14</v>
      </c>
      <c r="H366" s="485">
        <f t="shared" si="140"/>
        <v>11.2</v>
      </c>
      <c r="I366" s="704"/>
      <c r="J366" s="669" t="s">
        <v>5805</v>
      </c>
      <c r="K366" s="15"/>
      <c r="M366" s="49">
        <f t="shared" si="141"/>
        <v>14</v>
      </c>
      <c r="N366" s="41">
        <v>10</v>
      </c>
      <c r="O366" s="86"/>
      <c r="P366" s="15"/>
      <c r="Q366" t="s">
        <v>1017</v>
      </c>
      <c r="S366" t="s">
        <v>4180</v>
      </c>
      <c r="T366" t="s">
        <v>4180</v>
      </c>
      <c r="U366" s="55" t="s">
        <v>1017</v>
      </c>
      <c r="W366" s="65"/>
      <c r="X366" s="65"/>
      <c r="Z366" s="65"/>
      <c r="AC366" s="65"/>
      <c r="AD366" s="92"/>
      <c r="AE366" s="94"/>
      <c r="AF366" s="27"/>
      <c r="AG366" s="27"/>
      <c r="AH366" s="212" t="str">
        <f>IF(ISERROR(SEARCH("K erstmals 201",D366)),"",RIGHT(D366,4))</f>
        <v/>
      </c>
      <c r="AI366" s="214" t="str">
        <f t="shared" si="134"/>
        <v/>
      </c>
      <c r="AJ366" s="214" t="str">
        <f t="shared" si="135"/>
        <v/>
      </c>
      <c r="AK366" s="214" t="str">
        <f t="shared" si="136"/>
        <v/>
      </c>
      <c r="AL366" s="214" t="str">
        <f t="shared" si="137"/>
        <v/>
      </c>
      <c r="AM366" s="214" t="str">
        <f t="shared" si="138"/>
        <v/>
      </c>
      <c r="AN366" s="213" t="str">
        <f t="shared" si="121"/>
        <v/>
      </c>
      <c r="AO366" s="213" t="str">
        <f t="shared" si="122"/>
        <v/>
      </c>
      <c r="AP366" s="213" t="str">
        <f t="shared" si="123"/>
        <v/>
      </c>
      <c r="AQ366" s="215" t="str">
        <f t="shared" si="124"/>
        <v/>
      </c>
      <c r="AR366" s="216" t="str">
        <f t="shared" si="125"/>
        <v>BiK51aK09y--03</v>
      </c>
      <c r="AS366" s="215" t="str">
        <f t="shared" si="126"/>
        <v/>
      </c>
      <c r="AT366">
        <f t="shared" si="127"/>
        <v>14</v>
      </c>
      <c r="AU366" s="216" t="str">
        <f t="shared" si="128"/>
        <v>0,15-0,5 MW, Bonusregeln y und K erstmals 2009</v>
      </c>
      <c r="AV366" s="215" t="str">
        <f t="shared" si="129"/>
        <v/>
      </c>
      <c r="AW366" s="216" t="str">
        <f t="shared" si="130"/>
        <v>Anteil KWK, erstmals 2009</v>
      </c>
      <c r="AX366" s="215" t="str">
        <f t="shared" si="131"/>
        <v/>
      </c>
      <c r="AY366" t="str">
        <f t="shared" si="132"/>
        <v/>
      </c>
      <c r="AZ366" t="str">
        <f t="shared" si="133"/>
        <v/>
      </c>
    </row>
    <row r="367" spans="1:52" x14ac:dyDescent="0.25">
      <c r="A367" s="610" t="s">
        <v>1612</v>
      </c>
      <c r="B367" s="30" t="s">
        <v>5548</v>
      </c>
      <c r="C367" s="30" t="s">
        <v>3727</v>
      </c>
      <c r="D367" s="21" t="s">
        <v>7101</v>
      </c>
      <c r="E367" s="30" t="s">
        <v>3567</v>
      </c>
      <c r="F367" s="452">
        <f t="shared" si="139"/>
        <v>13.97</v>
      </c>
      <c r="G367" s="527">
        <v>13.97</v>
      </c>
      <c r="H367" s="485">
        <f t="shared" si="140"/>
        <v>11.18</v>
      </c>
      <c r="I367" s="704"/>
      <c r="J367" s="669" t="s">
        <v>5805</v>
      </c>
      <c r="K367" s="15"/>
      <c r="M367" s="49">
        <f t="shared" si="141"/>
        <v>13.97</v>
      </c>
      <c r="N367" s="41">
        <v>10</v>
      </c>
      <c r="O367" s="86"/>
      <c r="P367" s="15"/>
      <c r="R367" t="s">
        <v>1017</v>
      </c>
      <c r="S367" t="s">
        <v>4180</v>
      </c>
      <c r="T367" t="s">
        <v>4180</v>
      </c>
      <c r="U367" s="55" t="s">
        <v>1017</v>
      </c>
      <c r="W367" s="65"/>
      <c r="X367" s="65"/>
      <c r="Z367" s="65"/>
      <c r="AC367" s="65"/>
      <c r="AD367" s="92"/>
      <c r="AE367" s="94"/>
      <c r="AF367" s="27"/>
      <c r="AG367" s="27"/>
      <c r="AH367" s="212" t="str">
        <f>IF(ISERROR(SEARCH("K erstmals 201",D367)),"",RIGHT(D367,4))</f>
        <v>2010</v>
      </c>
      <c r="AI367" s="214" t="str">
        <f t="shared" si="134"/>
        <v/>
      </c>
      <c r="AJ367" s="214" t="str">
        <f t="shared" si="135"/>
        <v/>
      </c>
      <c r="AK367" s="214" t="str">
        <f t="shared" si="136"/>
        <v/>
      </c>
      <c r="AL367" s="214" t="str">
        <f t="shared" si="137"/>
        <v/>
      </c>
      <c r="AM367" s="214" t="str">
        <f t="shared" si="138"/>
        <v/>
      </c>
      <c r="AN367" s="213" t="str">
        <f t="shared" si="121"/>
        <v>2010</v>
      </c>
      <c r="AO367" s="213" t="str">
        <f t="shared" si="122"/>
        <v>2010</v>
      </c>
      <c r="AP367" s="213" t="str">
        <f t="shared" si="123"/>
        <v>2010</v>
      </c>
      <c r="AQ367" s="215" t="str">
        <f t="shared" si="124"/>
        <v/>
      </c>
      <c r="AR367" s="216" t="str">
        <f t="shared" si="125"/>
        <v>BiK51aK10y--03</v>
      </c>
      <c r="AS367" s="215" t="str">
        <f t="shared" si="126"/>
        <v/>
      </c>
      <c r="AT367">
        <f t="shared" si="127"/>
        <v>14</v>
      </c>
      <c r="AU367" s="216" t="str">
        <f t="shared" si="128"/>
        <v>0,15-0,5 MW, Bonusregeln y und K erstmals 2010</v>
      </c>
      <c r="AV367" s="215" t="str">
        <f t="shared" si="129"/>
        <v/>
      </c>
      <c r="AW367" s="216" t="str">
        <f t="shared" si="130"/>
        <v>Anteil KWK, erstmals 2010</v>
      </c>
      <c r="AX367" s="215" t="str">
        <f t="shared" si="131"/>
        <v/>
      </c>
      <c r="AY367" t="str">
        <f t="shared" si="132"/>
        <v/>
      </c>
      <c r="AZ367" t="str">
        <f t="shared" si="133"/>
        <v/>
      </c>
    </row>
    <row r="368" spans="1:52" x14ac:dyDescent="0.25">
      <c r="A368" s="610" t="s">
        <v>5227</v>
      </c>
      <c r="B368" s="30" t="s">
        <v>5548</v>
      </c>
      <c r="C368" s="30" t="s">
        <v>3727</v>
      </c>
      <c r="D368" s="21" t="s">
        <v>7102</v>
      </c>
      <c r="E368" s="30" t="s">
        <v>3055</v>
      </c>
      <c r="F368" s="452">
        <f t="shared" si="139"/>
        <v>13.94</v>
      </c>
      <c r="G368" s="527">
        <v>13.94</v>
      </c>
      <c r="H368" s="485">
        <f t="shared" si="140"/>
        <v>11.15</v>
      </c>
      <c r="I368" s="704"/>
      <c r="J368" s="669" t="s">
        <v>5805</v>
      </c>
      <c r="K368" s="15"/>
      <c r="M368" s="49">
        <f t="shared" si="141"/>
        <v>13.94</v>
      </c>
      <c r="N368" s="41">
        <v>10</v>
      </c>
      <c r="O368" s="86"/>
      <c r="P368" s="15"/>
      <c r="S368" t="s">
        <v>1017</v>
      </c>
      <c r="T368" t="s">
        <v>4180</v>
      </c>
      <c r="U368" s="55" t="s">
        <v>1017</v>
      </c>
      <c r="W368" s="65"/>
      <c r="X368" s="65"/>
      <c r="Z368" s="65"/>
      <c r="AC368" s="65"/>
      <c r="AD368" s="92"/>
      <c r="AE368" s="94"/>
      <c r="AF368" s="27"/>
      <c r="AG368" s="27"/>
      <c r="AH368" s="212" t="str">
        <f>IF(ISERROR(SEARCH("K erstmals 201",D368)),"",RIGHT(D368,4))</f>
        <v>2011</v>
      </c>
      <c r="AI368" s="214" t="str">
        <f t="shared" si="134"/>
        <v/>
      </c>
      <c r="AJ368" s="214" t="str">
        <f t="shared" si="135"/>
        <v/>
      </c>
      <c r="AK368" s="214" t="str">
        <f t="shared" si="136"/>
        <v/>
      </c>
      <c r="AL368" s="214" t="str">
        <f t="shared" si="137"/>
        <v/>
      </c>
      <c r="AM368" s="214" t="str">
        <f t="shared" si="138"/>
        <v/>
      </c>
      <c r="AN368" s="213" t="str">
        <f t="shared" si="121"/>
        <v>2011</v>
      </c>
      <c r="AO368" s="213" t="str">
        <f t="shared" si="122"/>
        <v>2011</v>
      </c>
      <c r="AP368" s="213" t="str">
        <f t="shared" si="123"/>
        <v>2011</v>
      </c>
      <c r="AQ368" s="215" t="str">
        <f t="shared" si="124"/>
        <v/>
      </c>
      <c r="AR368" s="216" t="str">
        <f t="shared" si="125"/>
        <v>BiK51aK11y--03</v>
      </c>
      <c r="AS368" s="215" t="str">
        <f t="shared" si="126"/>
        <v/>
      </c>
      <c r="AT368">
        <f t="shared" si="127"/>
        <v>14</v>
      </c>
      <c r="AU368" s="216" t="str">
        <f t="shared" si="128"/>
        <v>0,15-0,5 MW, Bonusregeln y und K erstmals 2011</v>
      </c>
      <c r="AV368" s="215" t="str">
        <f t="shared" si="129"/>
        <v/>
      </c>
      <c r="AW368" s="216" t="str">
        <f t="shared" si="130"/>
        <v>Anteil KWK, erstmals 2011</v>
      </c>
      <c r="AX368" s="215" t="str">
        <f t="shared" si="131"/>
        <v/>
      </c>
      <c r="AY368" t="str">
        <f t="shared" si="132"/>
        <v>x</v>
      </c>
      <c r="AZ368" t="str">
        <f t="shared" si="133"/>
        <v/>
      </c>
    </row>
    <row r="369" spans="1:52" x14ac:dyDescent="0.25">
      <c r="A369" s="625" t="s">
        <v>3534</v>
      </c>
      <c r="B369" s="219" t="s">
        <v>5548</v>
      </c>
      <c r="C369" s="219" t="s">
        <v>3727</v>
      </c>
      <c r="D369" s="220" t="s">
        <v>7103</v>
      </c>
      <c r="E369" s="219" t="s">
        <v>1980</v>
      </c>
      <c r="F369" s="453">
        <f t="shared" si="139"/>
        <v>13.91</v>
      </c>
      <c r="G369" s="528">
        <v>13.91</v>
      </c>
      <c r="H369" s="486">
        <f t="shared" si="140"/>
        <v>11.13</v>
      </c>
      <c r="I369" s="705"/>
      <c r="J369" s="669" t="s">
        <v>5805</v>
      </c>
      <c r="K369" s="15"/>
      <c r="M369" s="49">
        <f t="shared" si="141"/>
        <v>13.91</v>
      </c>
      <c r="N369" s="41">
        <v>10</v>
      </c>
      <c r="O369" s="86"/>
      <c r="P369" s="15"/>
      <c r="S369" t="s">
        <v>4180</v>
      </c>
      <c r="T369" t="s">
        <v>1017</v>
      </c>
      <c r="U369" s="55" t="s">
        <v>1017</v>
      </c>
      <c r="W369" s="65"/>
      <c r="X369" s="65"/>
      <c r="Z369" s="65"/>
      <c r="AC369" s="65"/>
      <c r="AD369" s="92"/>
      <c r="AE369" s="94"/>
      <c r="AF369" s="27"/>
      <c r="AG369" s="27"/>
      <c r="AH369" s="217" t="s">
        <v>4179</v>
      </c>
      <c r="AI369" s="214" t="str">
        <f t="shared" si="134"/>
        <v/>
      </c>
      <c r="AJ369" s="214" t="str">
        <f t="shared" si="135"/>
        <v/>
      </c>
      <c r="AK369" s="214" t="str">
        <f t="shared" si="136"/>
        <v/>
      </c>
      <c r="AL369" s="214" t="str">
        <f t="shared" si="137"/>
        <v/>
      </c>
      <c r="AM369" s="214" t="str">
        <f t="shared" si="138"/>
        <v/>
      </c>
      <c r="AN369" s="213" t="str">
        <f t="shared" si="121"/>
        <v>2012</v>
      </c>
      <c r="AO369" s="213" t="str">
        <f t="shared" si="122"/>
        <v>2012</v>
      </c>
      <c r="AP369" s="213" t="str">
        <f t="shared" si="123"/>
        <v>2012</v>
      </c>
      <c r="AQ369" s="215" t="str">
        <f t="shared" si="124"/>
        <v/>
      </c>
      <c r="AR369" s="216" t="str">
        <f t="shared" si="125"/>
        <v>BiK51aK12y--03</v>
      </c>
      <c r="AS369" s="215" t="str">
        <f t="shared" si="126"/>
        <v/>
      </c>
      <c r="AT369">
        <f t="shared" si="127"/>
        <v>14</v>
      </c>
      <c r="AU369" s="216" t="str">
        <f t="shared" si="128"/>
        <v>0,15-0,5 MW, Bonusregeln y und K erstmals 2012</v>
      </c>
      <c r="AV369" s="215" t="str">
        <f t="shared" si="129"/>
        <v/>
      </c>
      <c r="AW369" s="216" t="str">
        <f t="shared" si="130"/>
        <v>Anteil KWK, erstmals 2012</v>
      </c>
      <c r="AX369" s="215" t="str">
        <f t="shared" si="131"/>
        <v/>
      </c>
      <c r="AY369" t="str">
        <f t="shared" si="132"/>
        <v/>
      </c>
      <c r="AZ369" t="str">
        <f t="shared" si="133"/>
        <v>x</v>
      </c>
    </row>
    <row r="370" spans="1:52" x14ac:dyDescent="0.25">
      <c r="A370" s="608" t="s">
        <v>4803</v>
      </c>
      <c r="B370" s="2" t="s">
        <v>5548</v>
      </c>
      <c r="C370" s="2" t="s">
        <v>3727</v>
      </c>
      <c r="D370" s="34" t="s">
        <v>7104</v>
      </c>
      <c r="E370" s="192" t="s">
        <v>4810</v>
      </c>
      <c r="F370" s="456">
        <f t="shared" si="139"/>
        <v>16</v>
      </c>
      <c r="G370" s="531">
        <v>16</v>
      </c>
      <c r="H370" s="489">
        <f t="shared" si="140"/>
        <v>12.8</v>
      </c>
      <c r="I370" s="708"/>
      <c r="J370" s="669" t="s">
        <v>5805</v>
      </c>
      <c r="K370" s="15"/>
      <c r="M370" s="49">
        <f t="shared" si="141"/>
        <v>16</v>
      </c>
      <c r="N370" s="41">
        <v>10</v>
      </c>
      <c r="O370" s="86"/>
      <c r="S370" t="s">
        <v>4180</v>
      </c>
      <c r="T370" t="s">
        <v>4180</v>
      </c>
      <c r="U370" s="55"/>
      <c r="V370" t="s">
        <v>1017</v>
      </c>
      <c r="W370" s="65"/>
      <c r="X370" s="65"/>
      <c r="Z370" s="65"/>
      <c r="AC370" s="65"/>
      <c r="AD370" s="92"/>
      <c r="AE370" s="94"/>
      <c r="AF370" s="27"/>
      <c r="AG370" s="27"/>
      <c r="AH370" s="212" t="str">
        <f>IF(ISERROR(SEARCH("K erstmals 201",D370)),"",RIGHT(D370,4))</f>
        <v/>
      </c>
      <c r="AI370" s="214" t="str">
        <f t="shared" si="134"/>
        <v/>
      </c>
      <c r="AJ370" s="214" t="str">
        <f t="shared" si="135"/>
        <v/>
      </c>
      <c r="AK370" s="214" t="str">
        <f t="shared" si="136"/>
        <v/>
      </c>
      <c r="AL370" s="214" t="str">
        <f t="shared" si="137"/>
        <v/>
      </c>
      <c r="AM370" s="214" t="str">
        <f t="shared" si="138"/>
        <v/>
      </c>
      <c r="AN370" s="213" t="str">
        <f t="shared" si="121"/>
        <v/>
      </c>
      <c r="AO370" s="213" t="str">
        <f t="shared" si="122"/>
        <v/>
      </c>
      <c r="AP370" s="213" t="str">
        <f t="shared" si="123"/>
        <v/>
      </c>
      <c r="AQ370" s="215" t="str">
        <f t="shared" si="124"/>
        <v/>
      </c>
      <c r="AR370" s="216" t="str">
        <f t="shared" si="125"/>
        <v>BiK51aa1----03</v>
      </c>
      <c r="AS370" s="215" t="str">
        <f t="shared" si="126"/>
        <v/>
      </c>
      <c r="AT370">
        <f t="shared" si="127"/>
        <v>14</v>
      </c>
      <c r="AU370" s="216" t="str">
        <f t="shared" si="128"/>
        <v>0,15-0,5 MW, Bonusregel a1</v>
      </c>
      <c r="AV370" s="215" t="str">
        <f t="shared" si="129"/>
        <v/>
      </c>
      <c r="AW370" s="216" t="str">
        <f t="shared" si="130"/>
        <v>Anteil Nicht-KWK</v>
      </c>
      <c r="AX370" s="215" t="str">
        <f t="shared" si="131"/>
        <v/>
      </c>
      <c r="AY370" t="str">
        <f t="shared" si="132"/>
        <v/>
      </c>
      <c r="AZ370" t="str">
        <f t="shared" si="133"/>
        <v/>
      </c>
    </row>
    <row r="371" spans="1:52" x14ac:dyDescent="0.25">
      <c r="A371" s="610" t="s">
        <v>4035</v>
      </c>
      <c r="B371" s="30" t="s">
        <v>5548</v>
      </c>
      <c r="C371" s="30" t="s">
        <v>3727</v>
      </c>
      <c r="D371" s="30" t="s">
        <v>7106</v>
      </c>
      <c r="E371" s="30" t="s">
        <v>4331</v>
      </c>
      <c r="F371" s="454">
        <f t="shared" si="139"/>
        <v>19</v>
      </c>
      <c r="G371" s="529">
        <v>19</v>
      </c>
      <c r="H371" s="487">
        <f t="shared" si="140"/>
        <v>15.2</v>
      </c>
      <c r="I371" s="706"/>
      <c r="J371" s="669" t="s">
        <v>5805</v>
      </c>
      <c r="K371" s="15"/>
      <c r="M371" s="49">
        <f t="shared" si="141"/>
        <v>19</v>
      </c>
      <c r="N371" s="41">
        <v>10</v>
      </c>
      <c r="O371" s="86"/>
      <c r="P371" t="s">
        <v>1017</v>
      </c>
      <c r="S371" t="s">
        <v>4180</v>
      </c>
      <c r="T371" t="s">
        <v>4180</v>
      </c>
      <c r="U371" s="55"/>
      <c r="V371" t="s">
        <v>1017</v>
      </c>
      <c r="W371" s="65"/>
      <c r="X371" s="65"/>
      <c r="Z371" s="65"/>
      <c r="AC371" s="65"/>
      <c r="AD371" s="92"/>
      <c r="AE371" s="94"/>
      <c r="AF371" s="27"/>
      <c r="AG371" s="27"/>
      <c r="AH371" s="212" t="str">
        <f>IF(ISERROR(SEARCH("K erstmals 201",D371)),"",RIGHT(D371,4))</f>
        <v/>
      </c>
      <c r="AI371" s="214" t="str">
        <f t="shared" si="134"/>
        <v/>
      </c>
      <c r="AJ371" s="214" t="str">
        <f t="shared" si="135"/>
        <v/>
      </c>
      <c r="AK371" s="214" t="str">
        <f t="shared" si="136"/>
        <v/>
      </c>
      <c r="AL371" s="214" t="str">
        <f t="shared" si="137"/>
        <v/>
      </c>
      <c r="AM371" s="214" t="str">
        <f t="shared" si="138"/>
        <v/>
      </c>
      <c r="AN371" s="213" t="str">
        <f t="shared" si="121"/>
        <v/>
      </c>
      <c r="AO371" s="213" t="str">
        <f t="shared" si="122"/>
        <v/>
      </c>
      <c r="AP371" s="213" t="str">
        <f t="shared" si="123"/>
        <v/>
      </c>
      <c r="AQ371" s="215" t="str">
        <f t="shared" si="124"/>
        <v/>
      </c>
      <c r="AR371" s="216" t="str">
        <f t="shared" si="125"/>
        <v>BiK51aa1KA3-03</v>
      </c>
      <c r="AS371" s="215" t="str">
        <f t="shared" si="126"/>
        <v/>
      </c>
      <c r="AT371">
        <f t="shared" si="127"/>
        <v>14</v>
      </c>
      <c r="AU371" s="216" t="str">
        <f t="shared" si="128"/>
        <v>0,15-0,5 MW, Bonusregeln a1 und K wenn Anlage 3 erfüllt</v>
      </c>
      <c r="AV371" s="215" t="str">
        <f t="shared" si="129"/>
        <v/>
      </c>
      <c r="AW371" s="216" t="str">
        <f t="shared" si="130"/>
        <v>Anteil KWK gemäß Anlage 3</v>
      </c>
      <c r="AX371" s="215" t="str">
        <f t="shared" si="131"/>
        <v/>
      </c>
      <c r="AY371" t="str">
        <f t="shared" si="132"/>
        <v/>
      </c>
      <c r="AZ371" t="str">
        <f t="shared" si="133"/>
        <v/>
      </c>
    </row>
    <row r="372" spans="1:52" x14ac:dyDescent="0.25">
      <c r="A372" s="610" t="s">
        <v>2616</v>
      </c>
      <c r="B372" s="30" t="s">
        <v>5548</v>
      </c>
      <c r="C372" s="30" t="s">
        <v>3727</v>
      </c>
      <c r="D372" s="30" t="s">
        <v>7107</v>
      </c>
      <c r="E372" s="17" t="s">
        <v>674</v>
      </c>
      <c r="F372" s="454">
        <f t="shared" si="139"/>
        <v>19</v>
      </c>
      <c r="G372" s="529">
        <v>19</v>
      </c>
      <c r="H372" s="487">
        <f t="shared" si="140"/>
        <v>15.2</v>
      </c>
      <c r="I372" s="706"/>
      <c r="J372" s="669" t="s">
        <v>5805</v>
      </c>
      <c r="K372" s="15"/>
      <c r="M372" s="49">
        <f t="shared" si="141"/>
        <v>19</v>
      </c>
      <c r="N372" s="41">
        <v>10</v>
      </c>
      <c r="O372" s="86"/>
      <c r="P372" s="15"/>
      <c r="Q372" t="s">
        <v>1017</v>
      </c>
      <c r="S372" t="s">
        <v>4180</v>
      </c>
      <c r="T372" t="s">
        <v>4180</v>
      </c>
      <c r="U372" s="55"/>
      <c r="V372" t="s">
        <v>1017</v>
      </c>
      <c r="W372" s="65"/>
      <c r="X372" s="65"/>
      <c r="Z372" s="65"/>
      <c r="AC372" s="65"/>
      <c r="AD372" s="92"/>
      <c r="AE372" s="94"/>
      <c r="AF372" s="27"/>
      <c r="AG372" s="27"/>
      <c r="AH372" s="212" t="str">
        <f>IF(ISERROR(SEARCH("K erstmals 201",D372)),"",RIGHT(D372,4))</f>
        <v/>
      </c>
      <c r="AI372" s="214" t="str">
        <f t="shared" si="134"/>
        <v/>
      </c>
      <c r="AJ372" s="214" t="str">
        <f t="shared" si="135"/>
        <v/>
      </c>
      <c r="AK372" s="214" t="str">
        <f t="shared" si="136"/>
        <v/>
      </c>
      <c r="AL372" s="214" t="str">
        <f t="shared" si="137"/>
        <v/>
      </c>
      <c r="AM372" s="214" t="str">
        <f t="shared" si="138"/>
        <v/>
      </c>
      <c r="AN372" s="213" t="str">
        <f t="shared" si="121"/>
        <v/>
      </c>
      <c r="AO372" s="213" t="str">
        <f t="shared" si="122"/>
        <v/>
      </c>
      <c r="AP372" s="213" t="str">
        <f t="shared" si="123"/>
        <v/>
      </c>
      <c r="AQ372" s="215" t="str">
        <f t="shared" si="124"/>
        <v/>
      </c>
      <c r="AR372" s="216" t="str">
        <f t="shared" si="125"/>
        <v>BiK51aa1K09-03</v>
      </c>
      <c r="AS372" s="215" t="str">
        <f t="shared" si="126"/>
        <v/>
      </c>
      <c r="AT372">
        <f t="shared" si="127"/>
        <v>14</v>
      </c>
      <c r="AU372" s="216" t="str">
        <f t="shared" si="128"/>
        <v>0,15-0,5 MW, Bonusregeln a1 und K erstmals 2009</v>
      </c>
      <c r="AV372" s="215" t="str">
        <f t="shared" si="129"/>
        <v/>
      </c>
      <c r="AW372" s="216" t="str">
        <f t="shared" si="130"/>
        <v>Anteil KWK, erstmals 2009</v>
      </c>
      <c r="AX372" s="215" t="str">
        <f t="shared" si="131"/>
        <v/>
      </c>
      <c r="AY372" t="str">
        <f t="shared" si="132"/>
        <v/>
      </c>
      <c r="AZ372" t="str">
        <f t="shared" si="133"/>
        <v/>
      </c>
    </row>
    <row r="373" spans="1:52" x14ac:dyDescent="0.25">
      <c r="A373" s="610" t="s">
        <v>1613</v>
      </c>
      <c r="B373" s="30" t="s">
        <v>5548</v>
      </c>
      <c r="C373" s="30" t="s">
        <v>3727</v>
      </c>
      <c r="D373" s="30" t="s">
        <v>7108</v>
      </c>
      <c r="E373" s="30" t="s">
        <v>3567</v>
      </c>
      <c r="F373" s="454">
        <f t="shared" si="139"/>
        <v>18.97</v>
      </c>
      <c r="G373" s="529">
        <v>18.97</v>
      </c>
      <c r="H373" s="487">
        <f t="shared" si="140"/>
        <v>15.18</v>
      </c>
      <c r="I373" s="706"/>
      <c r="J373" s="669" t="s">
        <v>5805</v>
      </c>
      <c r="K373" s="15"/>
      <c r="M373" s="49">
        <f t="shared" si="141"/>
        <v>18.97</v>
      </c>
      <c r="N373" s="41">
        <v>10</v>
      </c>
      <c r="O373" s="86"/>
      <c r="P373" s="15"/>
      <c r="R373" t="s">
        <v>1017</v>
      </c>
      <c r="S373" t="s">
        <v>4180</v>
      </c>
      <c r="T373" t="s">
        <v>4180</v>
      </c>
      <c r="U373" s="55"/>
      <c r="V373" t="s">
        <v>1017</v>
      </c>
      <c r="W373" s="65"/>
      <c r="X373" s="65"/>
      <c r="Z373" s="65"/>
      <c r="AC373" s="65"/>
      <c r="AD373" s="92"/>
      <c r="AE373" s="94"/>
      <c r="AF373" s="27"/>
      <c r="AG373" s="27"/>
      <c r="AH373" s="212" t="str">
        <f>IF(ISERROR(SEARCH("K erstmals 201",D373)),"",RIGHT(D373,4))</f>
        <v>2010</v>
      </c>
      <c r="AI373" s="214" t="str">
        <f t="shared" si="134"/>
        <v/>
      </c>
      <c r="AJ373" s="214" t="str">
        <f t="shared" si="135"/>
        <v/>
      </c>
      <c r="AK373" s="214" t="str">
        <f t="shared" si="136"/>
        <v/>
      </c>
      <c r="AL373" s="214" t="str">
        <f t="shared" si="137"/>
        <v/>
      </c>
      <c r="AM373" s="214" t="str">
        <f t="shared" si="138"/>
        <v/>
      </c>
      <c r="AN373" s="213" t="str">
        <f t="shared" si="121"/>
        <v>2010</v>
      </c>
      <c r="AO373" s="213" t="str">
        <f t="shared" si="122"/>
        <v>2010</v>
      </c>
      <c r="AP373" s="213" t="str">
        <f t="shared" si="123"/>
        <v>2010</v>
      </c>
      <c r="AQ373" s="215" t="str">
        <f t="shared" si="124"/>
        <v/>
      </c>
      <c r="AR373" s="216" t="str">
        <f t="shared" si="125"/>
        <v>BiK51aa1K10-03</v>
      </c>
      <c r="AS373" s="215" t="str">
        <f t="shared" si="126"/>
        <v/>
      </c>
      <c r="AT373">
        <f t="shared" si="127"/>
        <v>14</v>
      </c>
      <c r="AU373" s="216" t="str">
        <f t="shared" si="128"/>
        <v>0,15-0,5 MW, Bonusregeln a1 und K erstmals 2010</v>
      </c>
      <c r="AV373" s="215" t="str">
        <f t="shared" si="129"/>
        <v/>
      </c>
      <c r="AW373" s="216" t="str">
        <f t="shared" si="130"/>
        <v>Anteil KWK, erstmals 2010</v>
      </c>
      <c r="AX373" s="215" t="str">
        <f t="shared" si="131"/>
        <v/>
      </c>
      <c r="AY373" t="str">
        <f t="shared" si="132"/>
        <v/>
      </c>
      <c r="AZ373" t="str">
        <f t="shared" si="133"/>
        <v/>
      </c>
    </row>
    <row r="374" spans="1:52" x14ac:dyDescent="0.25">
      <c r="A374" s="610" t="s">
        <v>5228</v>
      </c>
      <c r="B374" s="30" t="s">
        <v>5548</v>
      </c>
      <c r="C374" s="30" t="s">
        <v>3727</v>
      </c>
      <c r="D374" s="30" t="s">
        <v>7109</v>
      </c>
      <c r="E374" s="30" t="s">
        <v>3055</v>
      </c>
      <c r="F374" s="454">
        <f t="shared" si="139"/>
        <v>18.939999999999998</v>
      </c>
      <c r="G374" s="529">
        <v>18.939999999999998</v>
      </c>
      <c r="H374" s="487">
        <f t="shared" si="140"/>
        <v>15.15</v>
      </c>
      <c r="I374" s="706"/>
      <c r="J374" s="669" t="s">
        <v>5805</v>
      </c>
      <c r="K374" s="15"/>
      <c r="M374" s="49">
        <f t="shared" si="141"/>
        <v>18.939999999999998</v>
      </c>
      <c r="N374" s="41">
        <v>10</v>
      </c>
      <c r="O374" s="86"/>
      <c r="P374" s="15"/>
      <c r="S374" t="s">
        <v>1017</v>
      </c>
      <c r="T374" t="s">
        <v>4180</v>
      </c>
      <c r="U374" s="55"/>
      <c r="V374" t="s">
        <v>1017</v>
      </c>
      <c r="W374" s="65"/>
      <c r="X374" s="65"/>
      <c r="Z374" s="65"/>
      <c r="AC374" s="65"/>
      <c r="AD374" s="92"/>
      <c r="AE374" s="94"/>
      <c r="AF374" s="27"/>
      <c r="AG374" s="27"/>
      <c r="AH374" s="212" t="str">
        <f>IF(ISERROR(SEARCH("K erstmals 201",D374)),"",RIGHT(D374,4))</f>
        <v>2011</v>
      </c>
      <c r="AI374" s="214" t="str">
        <f t="shared" si="134"/>
        <v/>
      </c>
      <c r="AJ374" s="214" t="str">
        <f t="shared" si="135"/>
        <v/>
      </c>
      <c r="AK374" s="214" t="str">
        <f t="shared" si="136"/>
        <v/>
      </c>
      <c r="AL374" s="214" t="str">
        <f t="shared" si="137"/>
        <v/>
      </c>
      <c r="AM374" s="214" t="str">
        <f t="shared" si="138"/>
        <v/>
      </c>
      <c r="AN374" s="213" t="str">
        <f t="shared" si="121"/>
        <v>2011</v>
      </c>
      <c r="AO374" s="213" t="str">
        <f t="shared" si="122"/>
        <v>2011</v>
      </c>
      <c r="AP374" s="213" t="str">
        <f t="shared" si="123"/>
        <v>2011</v>
      </c>
      <c r="AQ374" s="215" t="str">
        <f t="shared" si="124"/>
        <v/>
      </c>
      <c r="AR374" s="216" t="str">
        <f t="shared" si="125"/>
        <v>BiK51aa1K11-03</v>
      </c>
      <c r="AS374" s="215" t="str">
        <f t="shared" si="126"/>
        <v/>
      </c>
      <c r="AT374">
        <f t="shared" si="127"/>
        <v>14</v>
      </c>
      <c r="AU374" s="216" t="str">
        <f t="shared" si="128"/>
        <v>0,15-0,5 MW, Bonusregeln a1 und K erstmals 2011</v>
      </c>
      <c r="AV374" s="215" t="str">
        <f t="shared" si="129"/>
        <v/>
      </c>
      <c r="AW374" s="216" t="str">
        <f t="shared" si="130"/>
        <v>Anteil KWK, erstmals 2011</v>
      </c>
      <c r="AX374" s="215" t="str">
        <f t="shared" si="131"/>
        <v/>
      </c>
      <c r="AY374" t="str">
        <f t="shared" si="132"/>
        <v>x</v>
      </c>
      <c r="AZ374" t="str">
        <f t="shared" si="133"/>
        <v/>
      </c>
    </row>
    <row r="375" spans="1:52" x14ac:dyDescent="0.25">
      <c r="A375" s="625" t="s">
        <v>3535</v>
      </c>
      <c r="B375" s="219" t="s">
        <v>5548</v>
      </c>
      <c r="C375" s="219" t="s">
        <v>3727</v>
      </c>
      <c r="D375" s="219" t="s">
        <v>7110</v>
      </c>
      <c r="E375" s="219" t="s">
        <v>1980</v>
      </c>
      <c r="F375" s="455">
        <f t="shared" si="139"/>
        <v>18.91</v>
      </c>
      <c r="G375" s="530">
        <v>18.91</v>
      </c>
      <c r="H375" s="488">
        <f t="shared" si="140"/>
        <v>15.13</v>
      </c>
      <c r="I375" s="707"/>
      <c r="J375" s="669" t="s">
        <v>5805</v>
      </c>
      <c r="K375" s="15"/>
      <c r="M375" s="49">
        <f t="shared" si="141"/>
        <v>18.91</v>
      </c>
      <c r="N375" s="41">
        <v>10</v>
      </c>
      <c r="O375" s="86"/>
      <c r="P375" s="15"/>
      <c r="S375" t="s">
        <v>4180</v>
      </c>
      <c r="T375" t="s">
        <v>1017</v>
      </c>
      <c r="U375" s="55"/>
      <c r="V375" t="s">
        <v>1017</v>
      </c>
      <c r="W375" s="65"/>
      <c r="X375" s="65"/>
      <c r="Z375" s="65"/>
      <c r="AC375" s="65"/>
      <c r="AD375" s="92"/>
      <c r="AE375" s="94"/>
      <c r="AF375" s="27"/>
      <c r="AG375" s="27"/>
      <c r="AH375" s="217" t="s">
        <v>4179</v>
      </c>
      <c r="AI375" s="214" t="str">
        <f t="shared" si="134"/>
        <v/>
      </c>
      <c r="AJ375" s="214" t="str">
        <f t="shared" si="135"/>
        <v/>
      </c>
      <c r="AK375" s="214" t="str">
        <f t="shared" si="136"/>
        <v/>
      </c>
      <c r="AL375" s="214" t="str">
        <f t="shared" si="137"/>
        <v/>
      </c>
      <c r="AM375" s="214" t="str">
        <f t="shared" si="138"/>
        <v/>
      </c>
      <c r="AN375" s="213" t="str">
        <f t="shared" si="121"/>
        <v>2012</v>
      </c>
      <c r="AO375" s="213" t="str">
        <f t="shared" si="122"/>
        <v>2012</v>
      </c>
      <c r="AP375" s="213" t="str">
        <f t="shared" si="123"/>
        <v>2012</v>
      </c>
      <c r="AQ375" s="215" t="str">
        <f t="shared" si="124"/>
        <v/>
      </c>
      <c r="AR375" s="216" t="str">
        <f t="shared" si="125"/>
        <v>BiK51aa1K12-03</v>
      </c>
      <c r="AS375" s="215" t="str">
        <f t="shared" si="126"/>
        <v/>
      </c>
      <c r="AT375">
        <f t="shared" si="127"/>
        <v>14</v>
      </c>
      <c r="AU375" s="216" t="str">
        <f t="shared" si="128"/>
        <v>0,15-0,5 MW, Bonusregeln a1 und K erstmals 2012</v>
      </c>
      <c r="AV375" s="215" t="str">
        <f t="shared" si="129"/>
        <v/>
      </c>
      <c r="AW375" s="216" t="str">
        <f t="shared" si="130"/>
        <v>Anteil KWK, erstmals 2012</v>
      </c>
      <c r="AX375" s="215" t="str">
        <f t="shared" si="131"/>
        <v/>
      </c>
      <c r="AY375" t="str">
        <f t="shared" si="132"/>
        <v/>
      </c>
      <c r="AZ375" t="str">
        <f t="shared" si="133"/>
        <v>x</v>
      </c>
    </row>
    <row r="376" spans="1:52" x14ac:dyDescent="0.25">
      <c r="A376" s="610" t="s">
        <v>829</v>
      </c>
      <c r="B376" s="17" t="s">
        <v>5548</v>
      </c>
      <c r="C376" s="17" t="s">
        <v>3727</v>
      </c>
      <c r="D376" s="30" t="s">
        <v>7111</v>
      </c>
      <c r="E376" s="194" t="s">
        <v>4810</v>
      </c>
      <c r="F376" s="454">
        <f t="shared" si="139"/>
        <v>17</v>
      </c>
      <c r="G376" s="529">
        <v>17</v>
      </c>
      <c r="H376" s="487">
        <f t="shared" si="140"/>
        <v>13.6</v>
      </c>
      <c r="I376" s="706"/>
      <c r="J376" s="669" t="s">
        <v>5805</v>
      </c>
      <c r="K376" s="15"/>
      <c r="M376" s="49">
        <f t="shared" si="141"/>
        <v>17</v>
      </c>
      <c r="N376" s="41">
        <v>10</v>
      </c>
      <c r="O376" s="86"/>
      <c r="S376" t="s">
        <v>4180</v>
      </c>
      <c r="T376" t="s">
        <v>4180</v>
      </c>
      <c r="U376" s="55" t="s">
        <v>1017</v>
      </c>
      <c r="V376" t="s">
        <v>1017</v>
      </c>
      <c r="W376" s="65"/>
      <c r="X376" s="65"/>
      <c r="Z376" s="65"/>
      <c r="AC376" s="65"/>
      <c r="AD376" s="92"/>
      <c r="AE376" s="94"/>
      <c r="AF376" s="27"/>
      <c r="AG376" s="27"/>
      <c r="AH376" s="212" t="str">
        <f>IF(ISERROR(SEARCH("K erstmals 201",D376)),"",RIGHT(D376,4))</f>
        <v/>
      </c>
      <c r="AI376" s="214" t="str">
        <f t="shared" si="134"/>
        <v/>
      </c>
      <c r="AJ376" s="214" t="str">
        <f t="shared" si="135"/>
        <v/>
      </c>
      <c r="AK376" s="214" t="str">
        <f t="shared" si="136"/>
        <v/>
      </c>
      <c r="AL376" s="214" t="str">
        <f t="shared" si="137"/>
        <v/>
      </c>
      <c r="AM376" s="214" t="str">
        <f t="shared" si="138"/>
        <v/>
      </c>
      <c r="AN376" s="213" t="str">
        <f t="shared" si="121"/>
        <v/>
      </c>
      <c r="AO376" s="213" t="str">
        <f t="shared" si="122"/>
        <v/>
      </c>
      <c r="AP376" s="213" t="str">
        <f t="shared" si="123"/>
        <v/>
      </c>
      <c r="AQ376" s="215" t="str">
        <f t="shared" si="124"/>
        <v/>
      </c>
      <c r="AR376" s="216" t="str">
        <f t="shared" si="125"/>
        <v>BiK51aa1y---03</v>
      </c>
      <c r="AS376" s="215" t="str">
        <f t="shared" si="126"/>
        <v/>
      </c>
      <c r="AT376">
        <f t="shared" si="127"/>
        <v>14</v>
      </c>
      <c r="AU376" s="216" t="str">
        <f t="shared" si="128"/>
        <v>0,15-0,5 MW, Bonusregeln a1, y</v>
      </c>
      <c r="AV376" s="215" t="str">
        <f t="shared" si="129"/>
        <v/>
      </c>
      <c r="AW376" s="216" t="str">
        <f t="shared" si="130"/>
        <v>Anteil Nicht-KWK</v>
      </c>
      <c r="AX376" s="215" t="str">
        <f t="shared" si="131"/>
        <v/>
      </c>
      <c r="AY376" t="str">
        <f t="shared" si="132"/>
        <v/>
      </c>
      <c r="AZ376" t="str">
        <f t="shared" si="133"/>
        <v/>
      </c>
    </row>
    <row r="377" spans="1:52" x14ac:dyDescent="0.25">
      <c r="A377" s="610" t="s">
        <v>830</v>
      </c>
      <c r="B377" s="30" t="s">
        <v>5548</v>
      </c>
      <c r="C377" s="30" t="s">
        <v>3727</v>
      </c>
      <c r="D377" s="30" t="s">
        <v>7113</v>
      </c>
      <c r="E377" s="30" t="s">
        <v>4331</v>
      </c>
      <c r="F377" s="454">
        <f t="shared" si="139"/>
        <v>20</v>
      </c>
      <c r="G377" s="529">
        <v>20</v>
      </c>
      <c r="H377" s="487">
        <f t="shared" si="140"/>
        <v>16</v>
      </c>
      <c r="I377" s="706"/>
      <c r="J377" s="669" t="s">
        <v>5805</v>
      </c>
      <c r="K377" s="15"/>
      <c r="M377" s="49">
        <f t="shared" si="141"/>
        <v>20</v>
      </c>
      <c r="N377" s="41">
        <v>10</v>
      </c>
      <c r="O377" s="86"/>
      <c r="P377" t="s">
        <v>1017</v>
      </c>
      <c r="S377" t="s">
        <v>4180</v>
      </c>
      <c r="T377" t="s">
        <v>4180</v>
      </c>
      <c r="U377" s="55" t="s">
        <v>1017</v>
      </c>
      <c r="V377" t="s">
        <v>1017</v>
      </c>
      <c r="W377" s="65"/>
      <c r="X377" s="65"/>
      <c r="Z377" s="65"/>
      <c r="AC377" s="65"/>
      <c r="AD377" s="92"/>
      <c r="AE377" s="94"/>
      <c r="AF377" s="27"/>
      <c r="AG377" s="27"/>
      <c r="AH377" s="212" t="str">
        <f>IF(ISERROR(SEARCH("K erstmals 201",D377)),"",RIGHT(D377,4))</f>
        <v/>
      </c>
      <c r="AI377" s="214" t="str">
        <f t="shared" si="134"/>
        <v/>
      </c>
      <c r="AJ377" s="214" t="str">
        <f t="shared" si="135"/>
        <v/>
      </c>
      <c r="AK377" s="214" t="str">
        <f t="shared" si="136"/>
        <v/>
      </c>
      <c r="AL377" s="214" t="str">
        <f t="shared" si="137"/>
        <v/>
      </c>
      <c r="AM377" s="214" t="str">
        <f t="shared" si="138"/>
        <v/>
      </c>
      <c r="AN377" s="213" t="str">
        <f t="shared" ref="AN377:AN408" si="142">IF(ISERROR(SEARCH("K1",A377)),"","20"&amp;MID(A377,SEARCH("K1",A377)+1,2))</f>
        <v/>
      </c>
      <c r="AO377" s="213" t="str">
        <f t="shared" ref="AO377:AO408" si="143">IF(ISERROR(SEARCH("erstmals 201",E377)),"",MID(E377,SEARCH("erstmals ",E377)+9,4))</f>
        <v/>
      </c>
      <c r="AP377" s="213" t="str">
        <f t="shared" ref="AP377:AP408" si="144">IF(R377="x","2010",IF(S377="x","2011",IF(T377="x","2012","")))</f>
        <v/>
      </c>
      <c r="AQ377" s="215" t="str">
        <f t="shared" ref="AQ377:AQ408" si="145">IF(OR(AH377&lt;&gt;AN377,AH377&lt;&gt;AO377,AH377&lt;&gt;AP377),"DIFF","")</f>
        <v/>
      </c>
      <c r="AR377" s="216" t="str">
        <f t="shared" ref="AR377:AR408" si="146">IF(A377="","",IF(ISERROR(SEARCH("K1",A377)),A377,LEFT(A377,SEARCH("K1",A377)+1)&amp;RIGHT(AH377,1)&amp;MID(A377,SEARCH("K1",A377)+3,14)))</f>
        <v>BiK51aa1KA3y03</v>
      </c>
      <c r="AS377" s="215" t="str">
        <f t="shared" ref="AS377:AS408" si="147">IF(OR(A377&lt;&gt;AR377),"DIFF","")</f>
        <v/>
      </c>
      <c r="AT377">
        <f t="shared" ref="AT377:AT408" si="148">LEN(AR377)</f>
        <v>14</v>
      </c>
      <c r="AU377" s="216" t="str">
        <f t="shared" ref="AU377:AU408" si="149">IF(D377="","",IF(OR(A377="",ISERROR(SEARCH("erstmals 201",D377))),D377,LEFT(D377,SEARCH("erstmals 201",D377)+8) &amp; AH377 &amp; MID(D377,SEARCH("erstmals 201",D377)+13,255)))</f>
        <v>0,15-0,5 MW, Bonusregeln a1, y und K wenn Anlage 3 erfüllt</v>
      </c>
      <c r="AV377" s="215" t="str">
        <f t="shared" ref="AV377:AV408" si="150">IF(OR(D377&lt;&gt;AU377),"DIFF","")</f>
        <v/>
      </c>
      <c r="AW377" s="216" t="str">
        <f t="shared" ref="AW377:AW408" si="151">IF(E377="","",IF(OR(E377="",ISERROR(SEARCH("erstmals 201",E377))),E377,LEFT(E377,SEARCH("erstmals 201",E377)+8) &amp; AH377 &amp; MID(E377,SEARCH("erstmals 201",E377)+13,255)))</f>
        <v>Anteil KWK gemäß Anlage 3</v>
      </c>
      <c r="AX377" s="215" t="str">
        <f t="shared" ref="AX377:AX408" si="152">IF(OR(E377&lt;&gt;AW377),"DIFF","")</f>
        <v/>
      </c>
      <c r="AY377" t="str">
        <f t="shared" ref="AY377:AY408" si="153">IF(AH377="2011","x",IF(AH377="2012","","" &amp; S377))</f>
        <v/>
      </c>
      <c r="AZ377" t="str">
        <f t="shared" ref="AZ377:AZ408" si="154">IF(AH377="2012","x",IF(AH377="2011","","" &amp; T377))</f>
        <v/>
      </c>
    </row>
    <row r="378" spans="1:52" x14ac:dyDescent="0.25">
      <c r="A378" s="610" t="s">
        <v>831</v>
      </c>
      <c r="B378" s="30" t="s">
        <v>5548</v>
      </c>
      <c r="C378" s="30" t="s">
        <v>3727</v>
      </c>
      <c r="D378" s="30" t="s">
        <v>7114</v>
      </c>
      <c r="E378" s="17" t="s">
        <v>674</v>
      </c>
      <c r="F378" s="454">
        <f t="shared" si="139"/>
        <v>20</v>
      </c>
      <c r="G378" s="529">
        <v>20</v>
      </c>
      <c r="H378" s="487">
        <f t="shared" si="140"/>
        <v>16</v>
      </c>
      <c r="I378" s="706"/>
      <c r="J378" s="669" t="s">
        <v>5805</v>
      </c>
      <c r="K378" s="15"/>
      <c r="M378" s="49">
        <f t="shared" si="141"/>
        <v>20</v>
      </c>
      <c r="N378" s="41">
        <v>10</v>
      </c>
      <c r="O378" s="86"/>
      <c r="P378" s="15"/>
      <c r="Q378" t="s">
        <v>1017</v>
      </c>
      <c r="S378" t="s">
        <v>4180</v>
      </c>
      <c r="T378" t="s">
        <v>4180</v>
      </c>
      <c r="U378" s="55" t="s">
        <v>1017</v>
      </c>
      <c r="V378" t="s">
        <v>1017</v>
      </c>
      <c r="W378" s="65"/>
      <c r="X378" s="65"/>
      <c r="Z378" s="65"/>
      <c r="AC378" s="65"/>
      <c r="AD378" s="92"/>
      <c r="AE378" s="94"/>
      <c r="AF378" s="27"/>
      <c r="AG378" s="27"/>
      <c r="AH378" s="212" t="str">
        <f>IF(ISERROR(SEARCH("K erstmals 201",D378)),"",RIGHT(D378,4))</f>
        <v/>
      </c>
      <c r="AI378" s="214" t="str">
        <f t="shared" ref="AI378:AI409" si="155">IF(AND($AH378&lt;&gt;"",AH378 =AH377),"Gleich","")</f>
        <v/>
      </c>
      <c r="AJ378" s="214" t="str">
        <f t="shared" ref="AJ378:AJ409" si="156">IF(AND($AH378&lt;&gt;"",A378 =A377),"Gleich","")</f>
        <v/>
      </c>
      <c r="AK378" s="214" t="str">
        <f t="shared" ref="AK378:AK409" si="157">IF(AND($AH378&lt;&gt;"",D378 =D377),"Gleich","")</f>
        <v/>
      </c>
      <c r="AL378" s="214" t="str">
        <f t="shared" ref="AL378:AL409" si="158">IF(AND($AH378&lt;&gt;"",E378 =E377),"Gleich","")</f>
        <v/>
      </c>
      <c r="AM378" s="214" t="str">
        <f t="shared" ref="AM378:AM409" si="159">IF(AND($AH378&lt;&gt;"",F378 =F377),"Gleich","")</f>
        <v/>
      </c>
      <c r="AN378" s="213" t="str">
        <f t="shared" si="142"/>
        <v/>
      </c>
      <c r="AO378" s="213" t="str">
        <f t="shared" si="143"/>
        <v/>
      </c>
      <c r="AP378" s="213" t="str">
        <f t="shared" si="144"/>
        <v/>
      </c>
      <c r="AQ378" s="215" t="str">
        <f t="shared" si="145"/>
        <v/>
      </c>
      <c r="AR378" s="216" t="str">
        <f t="shared" si="146"/>
        <v>BiK51aa1K09y03</v>
      </c>
      <c r="AS378" s="215" t="str">
        <f t="shared" si="147"/>
        <v/>
      </c>
      <c r="AT378">
        <f t="shared" si="148"/>
        <v>14</v>
      </c>
      <c r="AU378" s="216" t="str">
        <f t="shared" si="149"/>
        <v>0,15-0,5 MW, Bonusregeln a1, y und K erstmals 2009</v>
      </c>
      <c r="AV378" s="215" t="str">
        <f t="shared" si="150"/>
        <v/>
      </c>
      <c r="AW378" s="216" t="str">
        <f t="shared" si="151"/>
        <v>Anteil KWK, erstmals 2009</v>
      </c>
      <c r="AX378" s="215" t="str">
        <f t="shared" si="152"/>
        <v/>
      </c>
      <c r="AY378" t="str">
        <f t="shared" si="153"/>
        <v/>
      </c>
      <c r="AZ378" t="str">
        <f t="shared" si="154"/>
        <v/>
      </c>
    </row>
    <row r="379" spans="1:52" x14ac:dyDescent="0.25">
      <c r="A379" s="610" t="s">
        <v>1614</v>
      </c>
      <c r="B379" s="30" t="s">
        <v>5548</v>
      </c>
      <c r="C379" s="30" t="s">
        <v>3727</v>
      </c>
      <c r="D379" s="30" t="s">
        <v>7115</v>
      </c>
      <c r="E379" s="30" t="s">
        <v>3567</v>
      </c>
      <c r="F379" s="454">
        <f t="shared" si="139"/>
        <v>19.97</v>
      </c>
      <c r="G379" s="529">
        <v>19.97</v>
      </c>
      <c r="H379" s="487">
        <f t="shared" si="140"/>
        <v>15.98</v>
      </c>
      <c r="I379" s="706"/>
      <c r="J379" s="669" t="s">
        <v>5805</v>
      </c>
      <c r="K379" s="15"/>
      <c r="M379" s="49">
        <f t="shared" si="141"/>
        <v>19.97</v>
      </c>
      <c r="N379" s="41">
        <v>10</v>
      </c>
      <c r="O379" s="86"/>
      <c r="P379" s="15"/>
      <c r="R379" t="s">
        <v>1017</v>
      </c>
      <c r="S379" t="s">
        <v>4180</v>
      </c>
      <c r="T379" t="s">
        <v>4180</v>
      </c>
      <c r="U379" s="55" t="s">
        <v>1017</v>
      </c>
      <c r="V379" t="s">
        <v>1017</v>
      </c>
      <c r="W379" s="65"/>
      <c r="X379" s="65"/>
      <c r="Z379" s="65"/>
      <c r="AC379" s="65"/>
      <c r="AD379" s="92"/>
      <c r="AE379" s="94"/>
      <c r="AF379" s="27"/>
      <c r="AG379" s="27"/>
      <c r="AH379" s="212" t="str">
        <f>IF(ISERROR(SEARCH("K erstmals 201",D379)),"",RIGHT(D379,4))</f>
        <v>2010</v>
      </c>
      <c r="AI379" s="214" t="str">
        <f t="shared" si="155"/>
        <v/>
      </c>
      <c r="AJ379" s="214" t="str">
        <f t="shared" si="156"/>
        <v/>
      </c>
      <c r="AK379" s="214" t="str">
        <f t="shared" si="157"/>
        <v/>
      </c>
      <c r="AL379" s="214" t="str">
        <f t="shared" si="158"/>
        <v/>
      </c>
      <c r="AM379" s="214" t="str">
        <f t="shared" si="159"/>
        <v/>
      </c>
      <c r="AN379" s="213" t="str">
        <f t="shared" si="142"/>
        <v>2010</v>
      </c>
      <c r="AO379" s="213" t="str">
        <f t="shared" si="143"/>
        <v>2010</v>
      </c>
      <c r="AP379" s="213" t="str">
        <f t="shared" si="144"/>
        <v>2010</v>
      </c>
      <c r="AQ379" s="215" t="str">
        <f t="shared" si="145"/>
        <v/>
      </c>
      <c r="AR379" s="216" t="str">
        <f t="shared" si="146"/>
        <v>BiK51aa1K10y03</v>
      </c>
      <c r="AS379" s="215" t="str">
        <f t="shared" si="147"/>
        <v/>
      </c>
      <c r="AT379">
        <f t="shared" si="148"/>
        <v>14</v>
      </c>
      <c r="AU379" s="216" t="str">
        <f t="shared" si="149"/>
        <v>0,15-0,5 MW, Bonusregeln a1, y und K erstmals 2010</v>
      </c>
      <c r="AV379" s="215" t="str">
        <f t="shared" si="150"/>
        <v/>
      </c>
      <c r="AW379" s="216" t="str">
        <f t="shared" si="151"/>
        <v>Anteil KWK, erstmals 2010</v>
      </c>
      <c r="AX379" s="215" t="str">
        <f t="shared" si="152"/>
        <v/>
      </c>
      <c r="AY379" t="str">
        <f t="shared" si="153"/>
        <v/>
      </c>
      <c r="AZ379" t="str">
        <f t="shared" si="154"/>
        <v/>
      </c>
    </row>
    <row r="380" spans="1:52" x14ac:dyDescent="0.25">
      <c r="A380" s="610" t="s">
        <v>5229</v>
      </c>
      <c r="B380" s="30" t="s">
        <v>5548</v>
      </c>
      <c r="C380" s="30" t="s">
        <v>3727</v>
      </c>
      <c r="D380" s="30" t="s">
        <v>7116</v>
      </c>
      <c r="E380" s="30" t="s">
        <v>3055</v>
      </c>
      <c r="F380" s="454">
        <f t="shared" si="139"/>
        <v>19.939999999999998</v>
      </c>
      <c r="G380" s="529">
        <v>19.939999999999998</v>
      </c>
      <c r="H380" s="487">
        <f t="shared" si="140"/>
        <v>15.95</v>
      </c>
      <c r="I380" s="706"/>
      <c r="J380" s="669" t="s">
        <v>5805</v>
      </c>
      <c r="K380" s="15"/>
      <c r="M380" s="49">
        <f t="shared" si="141"/>
        <v>19.939999999999998</v>
      </c>
      <c r="N380" s="41">
        <v>10</v>
      </c>
      <c r="O380" s="86"/>
      <c r="P380" s="15"/>
      <c r="S380" t="s">
        <v>1017</v>
      </c>
      <c r="T380" t="s">
        <v>4180</v>
      </c>
      <c r="U380" s="55" t="s">
        <v>1017</v>
      </c>
      <c r="V380" t="s">
        <v>1017</v>
      </c>
      <c r="W380" s="65"/>
      <c r="X380" s="65"/>
      <c r="Z380" s="65"/>
      <c r="AC380" s="65"/>
      <c r="AD380" s="92"/>
      <c r="AE380" s="94"/>
      <c r="AF380" s="27"/>
      <c r="AG380" s="27"/>
      <c r="AH380" s="212" t="str">
        <f>IF(ISERROR(SEARCH("K erstmals 201",D380)),"",RIGHT(D380,4))</f>
        <v>2011</v>
      </c>
      <c r="AI380" s="214" t="str">
        <f t="shared" si="155"/>
        <v/>
      </c>
      <c r="AJ380" s="214" t="str">
        <f t="shared" si="156"/>
        <v/>
      </c>
      <c r="AK380" s="214" t="str">
        <f t="shared" si="157"/>
        <v/>
      </c>
      <c r="AL380" s="214" t="str">
        <f t="shared" si="158"/>
        <v/>
      </c>
      <c r="AM380" s="214" t="str">
        <f t="shared" si="159"/>
        <v/>
      </c>
      <c r="AN380" s="213" t="str">
        <f t="shared" si="142"/>
        <v>2011</v>
      </c>
      <c r="AO380" s="213" t="str">
        <f t="shared" si="143"/>
        <v>2011</v>
      </c>
      <c r="AP380" s="213" t="str">
        <f t="shared" si="144"/>
        <v>2011</v>
      </c>
      <c r="AQ380" s="215" t="str">
        <f t="shared" si="145"/>
        <v/>
      </c>
      <c r="AR380" s="216" t="str">
        <f t="shared" si="146"/>
        <v>BiK51aa1K11y03</v>
      </c>
      <c r="AS380" s="215" t="str">
        <f t="shared" si="147"/>
        <v/>
      </c>
      <c r="AT380">
        <f t="shared" si="148"/>
        <v>14</v>
      </c>
      <c r="AU380" s="216" t="str">
        <f t="shared" si="149"/>
        <v>0,15-0,5 MW, Bonusregeln a1, y und K erstmals 2011</v>
      </c>
      <c r="AV380" s="215" t="str">
        <f t="shared" si="150"/>
        <v/>
      </c>
      <c r="AW380" s="216" t="str">
        <f t="shared" si="151"/>
        <v>Anteil KWK, erstmals 2011</v>
      </c>
      <c r="AX380" s="215" t="str">
        <f t="shared" si="152"/>
        <v/>
      </c>
      <c r="AY380" t="str">
        <f t="shared" si="153"/>
        <v>x</v>
      </c>
      <c r="AZ380" t="str">
        <f t="shared" si="154"/>
        <v/>
      </c>
    </row>
    <row r="381" spans="1:52" x14ac:dyDescent="0.25">
      <c r="A381" s="625" t="s">
        <v>3536</v>
      </c>
      <c r="B381" s="219" t="s">
        <v>5548</v>
      </c>
      <c r="C381" s="219" t="s">
        <v>3727</v>
      </c>
      <c r="D381" s="219" t="s">
        <v>7117</v>
      </c>
      <c r="E381" s="219" t="s">
        <v>1980</v>
      </c>
      <c r="F381" s="455">
        <f t="shared" si="139"/>
        <v>19.91</v>
      </c>
      <c r="G381" s="530">
        <v>19.91</v>
      </c>
      <c r="H381" s="488">
        <f t="shared" si="140"/>
        <v>15.93</v>
      </c>
      <c r="I381" s="707"/>
      <c r="J381" s="669" t="s">
        <v>5805</v>
      </c>
      <c r="K381" s="15"/>
      <c r="M381" s="49">
        <f t="shared" si="141"/>
        <v>19.91</v>
      </c>
      <c r="N381" s="41">
        <v>10</v>
      </c>
      <c r="O381" s="86"/>
      <c r="P381" s="15"/>
      <c r="S381" t="s">
        <v>4180</v>
      </c>
      <c r="T381" t="s">
        <v>1017</v>
      </c>
      <c r="U381" s="55" t="s">
        <v>1017</v>
      </c>
      <c r="V381" t="s">
        <v>1017</v>
      </c>
      <c r="W381" s="65"/>
      <c r="X381" s="65"/>
      <c r="Z381" s="65"/>
      <c r="AC381" s="65"/>
      <c r="AD381" s="92"/>
      <c r="AE381" s="94"/>
      <c r="AF381" s="27"/>
      <c r="AG381" s="27"/>
      <c r="AH381" s="217" t="s">
        <v>4179</v>
      </c>
      <c r="AI381" s="214" t="str">
        <f t="shared" si="155"/>
        <v/>
      </c>
      <c r="AJ381" s="214" t="str">
        <f t="shared" si="156"/>
        <v/>
      </c>
      <c r="AK381" s="214" t="str">
        <f t="shared" si="157"/>
        <v/>
      </c>
      <c r="AL381" s="214" t="str">
        <f t="shared" si="158"/>
        <v/>
      </c>
      <c r="AM381" s="214" t="str">
        <f t="shared" si="159"/>
        <v/>
      </c>
      <c r="AN381" s="213" t="str">
        <f t="shared" si="142"/>
        <v>2012</v>
      </c>
      <c r="AO381" s="213" t="str">
        <f t="shared" si="143"/>
        <v>2012</v>
      </c>
      <c r="AP381" s="213" t="str">
        <f t="shared" si="144"/>
        <v>2012</v>
      </c>
      <c r="AQ381" s="215" t="str">
        <f t="shared" si="145"/>
        <v/>
      </c>
      <c r="AR381" s="216" t="str">
        <f t="shared" si="146"/>
        <v>BiK51aa1K12y03</v>
      </c>
      <c r="AS381" s="215" t="str">
        <f t="shared" si="147"/>
        <v/>
      </c>
      <c r="AT381">
        <f t="shared" si="148"/>
        <v>14</v>
      </c>
      <c r="AU381" s="216" t="str">
        <f t="shared" si="149"/>
        <v>0,15-0,5 MW, Bonusregeln a1, y und K erstmals 2012</v>
      </c>
      <c r="AV381" s="215" t="str">
        <f t="shared" si="150"/>
        <v/>
      </c>
      <c r="AW381" s="216" t="str">
        <f t="shared" si="151"/>
        <v>Anteil KWK, erstmals 2012</v>
      </c>
      <c r="AX381" s="215" t="str">
        <f t="shared" si="152"/>
        <v/>
      </c>
      <c r="AY381" t="str">
        <f t="shared" si="153"/>
        <v/>
      </c>
      <c r="AZ381" t="str">
        <f t="shared" si="154"/>
        <v>x</v>
      </c>
    </row>
    <row r="382" spans="1:52" x14ac:dyDescent="0.25">
      <c r="A382" s="610" t="s">
        <v>1108</v>
      </c>
      <c r="B382" s="30" t="s">
        <v>5548</v>
      </c>
      <c r="C382" s="30" t="s">
        <v>3727</v>
      </c>
      <c r="D382" s="30" t="s">
        <v>7034</v>
      </c>
      <c r="E382" s="30" t="s">
        <v>4810</v>
      </c>
      <c r="F382" s="454">
        <f t="shared" ref="F382:F413" si="160">M382</f>
        <v>17</v>
      </c>
      <c r="G382" s="529">
        <v>17</v>
      </c>
      <c r="H382" s="487">
        <f t="shared" ref="H382:H413" si="161">IF(ISNUMBER(G382),ROUND(0.8*G382,2),"")</f>
        <v>13.6</v>
      </c>
      <c r="I382" s="706"/>
      <c r="J382" s="669" t="s">
        <v>5805</v>
      </c>
      <c r="K382" s="15"/>
      <c r="M382" s="49">
        <f t="shared" ref="M382:M413" si="162">N382+SUMIF(O382:AD382,"x",O$285:AD$285)</f>
        <v>17</v>
      </c>
      <c r="N382" s="41">
        <v>10</v>
      </c>
      <c r="O382" s="176"/>
      <c r="P382" s="177"/>
      <c r="Q382" s="178"/>
      <c r="R382" s="178"/>
      <c r="S382" s="178" t="s">
        <v>4180</v>
      </c>
      <c r="T382" t="s">
        <v>4180</v>
      </c>
      <c r="U382" s="179"/>
      <c r="V382" s="178"/>
      <c r="W382" s="180"/>
      <c r="X382" s="180"/>
      <c r="Y382" s="178" t="s">
        <v>1017</v>
      </c>
      <c r="Z382" s="180"/>
      <c r="AA382" s="178"/>
      <c r="AB382" s="178"/>
      <c r="AC382" s="180"/>
      <c r="AD382" s="182"/>
      <c r="AE382" s="181"/>
      <c r="AF382" s="182"/>
      <c r="AG382" s="182"/>
      <c r="AH382" s="212" t="str">
        <f>IF(ISERROR(SEARCH("K erstmals 201",D382)),"",RIGHT(D382,4))</f>
        <v/>
      </c>
      <c r="AI382" s="214" t="str">
        <f t="shared" si="155"/>
        <v/>
      </c>
      <c r="AJ382" s="214" t="str">
        <f t="shared" si="156"/>
        <v/>
      </c>
      <c r="AK382" s="214" t="str">
        <f t="shared" si="157"/>
        <v/>
      </c>
      <c r="AL382" s="214" t="str">
        <f t="shared" si="158"/>
        <v/>
      </c>
      <c r="AM382" s="214" t="str">
        <f t="shared" si="159"/>
        <v/>
      </c>
      <c r="AN382" s="213" t="str">
        <f t="shared" si="142"/>
        <v/>
      </c>
      <c r="AO382" s="213" t="str">
        <f t="shared" si="143"/>
        <v/>
      </c>
      <c r="AP382" s="213" t="str">
        <f t="shared" si="144"/>
        <v/>
      </c>
      <c r="AQ382" s="215" t="str">
        <f t="shared" si="145"/>
        <v/>
      </c>
      <c r="AR382" s="216" t="str">
        <f t="shared" si="146"/>
        <v>BiK51aG-----03</v>
      </c>
      <c r="AS382" s="215" t="str">
        <f t="shared" si="147"/>
        <v/>
      </c>
      <c r="AT382">
        <f t="shared" si="148"/>
        <v>14</v>
      </c>
      <c r="AU382" s="216" t="str">
        <f t="shared" si="149"/>
        <v>0,15-0,5 MW, Bonusregel G</v>
      </c>
      <c r="AV382" s="215" t="str">
        <f t="shared" si="150"/>
        <v/>
      </c>
      <c r="AW382" s="216" t="str">
        <f t="shared" si="151"/>
        <v>Anteil Nicht-KWK</v>
      </c>
      <c r="AX382" s="215" t="str">
        <f t="shared" si="152"/>
        <v/>
      </c>
      <c r="AY382" t="str">
        <f t="shared" si="153"/>
        <v/>
      </c>
      <c r="AZ382" t="str">
        <f t="shared" si="154"/>
        <v/>
      </c>
    </row>
    <row r="383" spans="1:52" x14ac:dyDescent="0.25">
      <c r="A383" s="610" t="s">
        <v>1109</v>
      </c>
      <c r="B383" s="30" t="s">
        <v>5548</v>
      </c>
      <c r="C383" s="30" t="s">
        <v>3727</v>
      </c>
      <c r="D383" s="30" t="s">
        <v>7035</v>
      </c>
      <c r="E383" s="30" t="s">
        <v>4331</v>
      </c>
      <c r="F383" s="454">
        <f t="shared" si="160"/>
        <v>20</v>
      </c>
      <c r="G383" s="529">
        <v>20</v>
      </c>
      <c r="H383" s="487">
        <f t="shared" si="161"/>
        <v>16</v>
      </c>
      <c r="I383" s="706"/>
      <c r="J383" s="669" t="s">
        <v>5805</v>
      </c>
      <c r="K383" s="15"/>
      <c r="M383" s="49">
        <f t="shared" si="162"/>
        <v>20</v>
      </c>
      <c r="N383" s="41">
        <v>10</v>
      </c>
      <c r="O383" s="176"/>
      <c r="P383" s="178" t="s">
        <v>1017</v>
      </c>
      <c r="Q383" s="178"/>
      <c r="R383" s="178"/>
      <c r="S383" s="178" t="s">
        <v>4180</v>
      </c>
      <c r="T383" t="s">
        <v>4180</v>
      </c>
      <c r="U383" s="179"/>
      <c r="V383" s="178"/>
      <c r="W383" s="180"/>
      <c r="X383" s="180"/>
      <c r="Y383" s="178" t="s">
        <v>1017</v>
      </c>
      <c r="Z383" s="180"/>
      <c r="AA383" s="178"/>
      <c r="AB383" s="178"/>
      <c r="AC383" s="180"/>
      <c r="AD383" s="182"/>
      <c r="AE383" s="181"/>
      <c r="AF383" s="182"/>
      <c r="AG383" s="182"/>
      <c r="AH383" s="212" t="str">
        <f>IF(ISERROR(SEARCH("K erstmals 201",D383)),"",RIGHT(D383,4))</f>
        <v/>
      </c>
      <c r="AI383" s="214" t="str">
        <f t="shared" si="155"/>
        <v/>
      </c>
      <c r="AJ383" s="214" t="str">
        <f t="shared" si="156"/>
        <v/>
      </c>
      <c r="AK383" s="214" t="str">
        <f t="shared" si="157"/>
        <v/>
      </c>
      <c r="AL383" s="214" t="str">
        <f t="shared" si="158"/>
        <v/>
      </c>
      <c r="AM383" s="214" t="str">
        <f t="shared" si="159"/>
        <v/>
      </c>
      <c r="AN383" s="213" t="str">
        <f t="shared" si="142"/>
        <v/>
      </c>
      <c r="AO383" s="213" t="str">
        <f t="shared" si="143"/>
        <v/>
      </c>
      <c r="AP383" s="213" t="str">
        <f t="shared" si="144"/>
        <v/>
      </c>
      <c r="AQ383" s="215" t="str">
        <f t="shared" si="145"/>
        <v/>
      </c>
      <c r="AR383" s="216" t="str">
        <f t="shared" si="146"/>
        <v>BiK51aGKA3--03</v>
      </c>
      <c r="AS383" s="215" t="str">
        <f t="shared" si="147"/>
        <v/>
      </c>
      <c r="AT383">
        <f t="shared" si="148"/>
        <v>14</v>
      </c>
      <c r="AU383" s="216" t="str">
        <f t="shared" si="149"/>
        <v>0,15-0,5 MW, Bonusregeln G und K wenn Anlage 3 erfüllt</v>
      </c>
      <c r="AV383" s="215" t="str">
        <f t="shared" si="150"/>
        <v/>
      </c>
      <c r="AW383" s="216" t="str">
        <f t="shared" si="151"/>
        <v>Anteil KWK gemäß Anlage 3</v>
      </c>
      <c r="AX383" s="215" t="str">
        <f t="shared" si="152"/>
        <v/>
      </c>
      <c r="AY383" t="str">
        <f t="shared" si="153"/>
        <v/>
      </c>
      <c r="AZ383" t="str">
        <f t="shared" si="154"/>
        <v/>
      </c>
    </row>
    <row r="384" spans="1:52" x14ac:dyDescent="0.25">
      <c r="A384" s="610" t="s">
        <v>1110</v>
      </c>
      <c r="B384" s="30" t="s">
        <v>5548</v>
      </c>
      <c r="C384" s="30" t="s">
        <v>3727</v>
      </c>
      <c r="D384" s="30" t="s">
        <v>7036</v>
      </c>
      <c r="E384" s="30" t="s">
        <v>674</v>
      </c>
      <c r="F384" s="454">
        <f t="shared" si="160"/>
        <v>20</v>
      </c>
      <c r="G384" s="529">
        <v>20</v>
      </c>
      <c r="H384" s="487">
        <f t="shared" si="161"/>
        <v>16</v>
      </c>
      <c r="I384" s="706"/>
      <c r="J384" s="669" t="s">
        <v>5805</v>
      </c>
      <c r="K384" s="15"/>
      <c r="M384" s="49">
        <f t="shared" si="162"/>
        <v>20</v>
      </c>
      <c r="N384" s="41">
        <v>10</v>
      </c>
      <c r="O384" s="176"/>
      <c r="P384" s="177"/>
      <c r="Q384" s="178" t="s">
        <v>1017</v>
      </c>
      <c r="R384" s="178"/>
      <c r="S384" s="178" t="s">
        <v>4180</v>
      </c>
      <c r="T384" t="s">
        <v>4180</v>
      </c>
      <c r="U384" s="179"/>
      <c r="V384" s="178"/>
      <c r="W384" s="180"/>
      <c r="X384" s="180"/>
      <c r="Y384" s="178" t="s">
        <v>1017</v>
      </c>
      <c r="Z384" s="180"/>
      <c r="AA384" s="178"/>
      <c r="AB384" s="178"/>
      <c r="AC384" s="180"/>
      <c r="AD384" s="182"/>
      <c r="AE384" s="181"/>
      <c r="AF384" s="182"/>
      <c r="AG384" s="182"/>
      <c r="AH384" s="212" t="str">
        <f>IF(ISERROR(SEARCH("K erstmals 201",D384)),"",RIGHT(D384,4))</f>
        <v/>
      </c>
      <c r="AI384" s="214" t="str">
        <f t="shared" si="155"/>
        <v/>
      </c>
      <c r="AJ384" s="214" t="str">
        <f t="shared" si="156"/>
        <v/>
      </c>
      <c r="AK384" s="214" t="str">
        <f t="shared" si="157"/>
        <v/>
      </c>
      <c r="AL384" s="214" t="str">
        <f t="shared" si="158"/>
        <v/>
      </c>
      <c r="AM384" s="214" t="str">
        <f t="shared" si="159"/>
        <v/>
      </c>
      <c r="AN384" s="213" t="str">
        <f t="shared" si="142"/>
        <v/>
      </c>
      <c r="AO384" s="213" t="str">
        <f t="shared" si="143"/>
        <v/>
      </c>
      <c r="AP384" s="213" t="str">
        <f t="shared" si="144"/>
        <v/>
      </c>
      <c r="AQ384" s="215" t="str">
        <f t="shared" si="145"/>
        <v/>
      </c>
      <c r="AR384" s="216" t="str">
        <f t="shared" si="146"/>
        <v>BiK51aGK09--03</v>
      </c>
      <c r="AS384" s="215" t="str">
        <f t="shared" si="147"/>
        <v/>
      </c>
      <c r="AT384">
        <f t="shared" si="148"/>
        <v>14</v>
      </c>
      <c r="AU384" s="216" t="str">
        <f t="shared" si="149"/>
        <v>0,15-0,5 MW, Bonusregeln G und K erstmals 2009</v>
      </c>
      <c r="AV384" s="215" t="str">
        <f t="shared" si="150"/>
        <v/>
      </c>
      <c r="AW384" s="216" t="str">
        <f t="shared" si="151"/>
        <v>Anteil KWK, erstmals 2009</v>
      </c>
      <c r="AX384" s="215" t="str">
        <f t="shared" si="152"/>
        <v/>
      </c>
      <c r="AY384" t="str">
        <f t="shared" si="153"/>
        <v/>
      </c>
      <c r="AZ384" t="str">
        <f t="shared" si="154"/>
        <v/>
      </c>
    </row>
    <row r="385" spans="1:52" x14ac:dyDescent="0.25">
      <c r="A385" s="610" t="s">
        <v>1615</v>
      </c>
      <c r="B385" s="30" t="s">
        <v>5548</v>
      </c>
      <c r="C385" s="30" t="s">
        <v>3727</v>
      </c>
      <c r="D385" s="30" t="s">
        <v>7037</v>
      </c>
      <c r="E385" s="30" t="s">
        <v>3567</v>
      </c>
      <c r="F385" s="454">
        <f t="shared" si="160"/>
        <v>19.97</v>
      </c>
      <c r="G385" s="529">
        <v>19.97</v>
      </c>
      <c r="H385" s="487">
        <f t="shared" si="161"/>
        <v>15.98</v>
      </c>
      <c r="I385" s="706"/>
      <c r="J385" s="669" t="s">
        <v>5805</v>
      </c>
      <c r="K385" s="15"/>
      <c r="M385" s="49">
        <f t="shared" si="162"/>
        <v>19.97</v>
      </c>
      <c r="N385" s="41">
        <v>10</v>
      </c>
      <c r="O385" s="176"/>
      <c r="P385" s="177"/>
      <c r="Q385" s="178"/>
      <c r="R385" s="178" t="s">
        <v>1017</v>
      </c>
      <c r="S385" s="178" t="s">
        <v>4180</v>
      </c>
      <c r="T385" t="s">
        <v>4180</v>
      </c>
      <c r="U385" s="179"/>
      <c r="V385" s="178"/>
      <c r="W385" s="180"/>
      <c r="X385" s="180"/>
      <c r="Y385" s="178" t="s">
        <v>1017</v>
      </c>
      <c r="Z385" s="180"/>
      <c r="AA385" s="178"/>
      <c r="AB385" s="178"/>
      <c r="AC385" s="180"/>
      <c r="AD385" s="182"/>
      <c r="AE385" s="181"/>
      <c r="AF385" s="182"/>
      <c r="AG385" s="182"/>
      <c r="AH385" s="212" t="str">
        <f>IF(ISERROR(SEARCH("K erstmals 201",D385)),"",RIGHT(D385,4))</f>
        <v>2010</v>
      </c>
      <c r="AI385" s="214" t="str">
        <f t="shared" si="155"/>
        <v/>
      </c>
      <c r="AJ385" s="214" t="str">
        <f t="shared" si="156"/>
        <v/>
      </c>
      <c r="AK385" s="214" t="str">
        <f t="shared" si="157"/>
        <v/>
      </c>
      <c r="AL385" s="214" t="str">
        <f t="shared" si="158"/>
        <v/>
      </c>
      <c r="AM385" s="214" t="str">
        <f t="shared" si="159"/>
        <v/>
      </c>
      <c r="AN385" s="213" t="str">
        <f t="shared" si="142"/>
        <v>2010</v>
      </c>
      <c r="AO385" s="213" t="str">
        <f t="shared" si="143"/>
        <v>2010</v>
      </c>
      <c r="AP385" s="213" t="str">
        <f t="shared" si="144"/>
        <v>2010</v>
      </c>
      <c r="AQ385" s="215" t="str">
        <f t="shared" si="145"/>
        <v/>
      </c>
      <c r="AR385" s="216" t="str">
        <f t="shared" si="146"/>
        <v>BiK51aGK10--03</v>
      </c>
      <c r="AS385" s="215" t="str">
        <f t="shared" si="147"/>
        <v/>
      </c>
      <c r="AT385">
        <f t="shared" si="148"/>
        <v>14</v>
      </c>
      <c r="AU385" s="216" t="str">
        <f t="shared" si="149"/>
        <v>0,15-0,5 MW, Bonusregeln G und K erstmals 2010</v>
      </c>
      <c r="AV385" s="215" t="str">
        <f t="shared" si="150"/>
        <v/>
      </c>
      <c r="AW385" s="216" t="str">
        <f t="shared" si="151"/>
        <v>Anteil KWK, erstmals 2010</v>
      </c>
      <c r="AX385" s="215" t="str">
        <f t="shared" si="152"/>
        <v/>
      </c>
      <c r="AY385" t="str">
        <f t="shared" si="153"/>
        <v/>
      </c>
      <c r="AZ385" t="str">
        <f t="shared" si="154"/>
        <v/>
      </c>
    </row>
    <row r="386" spans="1:52" x14ac:dyDescent="0.25">
      <c r="A386" s="610" t="s">
        <v>5230</v>
      </c>
      <c r="B386" s="30" t="s">
        <v>5548</v>
      </c>
      <c r="C386" s="30" t="s">
        <v>3727</v>
      </c>
      <c r="D386" s="30" t="s">
        <v>7038</v>
      </c>
      <c r="E386" s="30" t="s">
        <v>3055</v>
      </c>
      <c r="F386" s="454">
        <f t="shared" si="160"/>
        <v>19.939999999999998</v>
      </c>
      <c r="G386" s="529">
        <v>19.939999999999998</v>
      </c>
      <c r="H386" s="487">
        <f t="shared" si="161"/>
        <v>15.95</v>
      </c>
      <c r="I386" s="706"/>
      <c r="J386" s="669" t="s">
        <v>5805</v>
      </c>
      <c r="K386" s="15"/>
      <c r="M386" s="49">
        <f t="shared" si="162"/>
        <v>19.939999999999998</v>
      </c>
      <c r="N386" s="41">
        <v>10</v>
      </c>
      <c r="O386" s="176"/>
      <c r="P386" s="177"/>
      <c r="Q386" s="178"/>
      <c r="R386" s="178"/>
      <c r="S386" s="178" t="s">
        <v>1017</v>
      </c>
      <c r="T386" t="s">
        <v>4180</v>
      </c>
      <c r="U386" s="179"/>
      <c r="V386" s="178"/>
      <c r="W386" s="180"/>
      <c r="X386" s="180"/>
      <c r="Y386" s="178" t="s">
        <v>1017</v>
      </c>
      <c r="Z386" s="180"/>
      <c r="AA386" s="178"/>
      <c r="AB386" s="178"/>
      <c r="AC386" s="180"/>
      <c r="AD386" s="182"/>
      <c r="AE386" s="181"/>
      <c r="AF386" s="182"/>
      <c r="AG386" s="182"/>
      <c r="AH386" s="212" t="str">
        <f>IF(ISERROR(SEARCH("K erstmals 201",D386)),"",RIGHT(D386,4))</f>
        <v>2011</v>
      </c>
      <c r="AI386" s="214" t="str">
        <f t="shared" si="155"/>
        <v/>
      </c>
      <c r="AJ386" s="214" t="str">
        <f t="shared" si="156"/>
        <v/>
      </c>
      <c r="AK386" s="214" t="str">
        <f t="shared" si="157"/>
        <v/>
      </c>
      <c r="AL386" s="214" t="str">
        <f t="shared" si="158"/>
        <v/>
      </c>
      <c r="AM386" s="214" t="str">
        <f t="shared" si="159"/>
        <v/>
      </c>
      <c r="AN386" s="213" t="str">
        <f t="shared" si="142"/>
        <v>2011</v>
      </c>
      <c r="AO386" s="213" t="str">
        <f t="shared" si="143"/>
        <v>2011</v>
      </c>
      <c r="AP386" s="213" t="str">
        <f t="shared" si="144"/>
        <v>2011</v>
      </c>
      <c r="AQ386" s="215" t="str">
        <f t="shared" si="145"/>
        <v/>
      </c>
      <c r="AR386" s="216" t="str">
        <f t="shared" si="146"/>
        <v>BiK51aGK11--03</v>
      </c>
      <c r="AS386" s="215" t="str">
        <f t="shared" si="147"/>
        <v/>
      </c>
      <c r="AT386">
        <f t="shared" si="148"/>
        <v>14</v>
      </c>
      <c r="AU386" s="216" t="str">
        <f t="shared" si="149"/>
        <v>0,15-0,5 MW, Bonusregeln G und K erstmals 2011</v>
      </c>
      <c r="AV386" s="215" t="str">
        <f t="shared" si="150"/>
        <v/>
      </c>
      <c r="AW386" s="216" t="str">
        <f t="shared" si="151"/>
        <v>Anteil KWK, erstmals 2011</v>
      </c>
      <c r="AX386" s="215" t="str">
        <f t="shared" si="152"/>
        <v/>
      </c>
      <c r="AY386" t="str">
        <f t="shared" si="153"/>
        <v>x</v>
      </c>
      <c r="AZ386" t="str">
        <f t="shared" si="154"/>
        <v/>
      </c>
    </row>
    <row r="387" spans="1:52" x14ac:dyDescent="0.25">
      <c r="A387" s="625" t="s">
        <v>3537</v>
      </c>
      <c r="B387" s="219" t="s">
        <v>5548</v>
      </c>
      <c r="C387" s="219" t="s">
        <v>3727</v>
      </c>
      <c r="D387" s="219" t="s">
        <v>7039</v>
      </c>
      <c r="E387" s="219" t="s">
        <v>1980</v>
      </c>
      <c r="F387" s="455">
        <f t="shared" si="160"/>
        <v>19.91</v>
      </c>
      <c r="G387" s="530">
        <v>19.91</v>
      </c>
      <c r="H387" s="488">
        <f t="shared" si="161"/>
        <v>15.93</v>
      </c>
      <c r="I387" s="707"/>
      <c r="J387" s="669" t="s">
        <v>5805</v>
      </c>
      <c r="K387" s="15"/>
      <c r="M387" s="49">
        <f t="shared" si="162"/>
        <v>19.91</v>
      </c>
      <c r="N387" s="41">
        <v>10</v>
      </c>
      <c r="O387" s="176"/>
      <c r="P387" s="177"/>
      <c r="Q387" s="178"/>
      <c r="R387" s="178"/>
      <c r="S387" s="178" t="s">
        <v>4180</v>
      </c>
      <c r="T387" t="s">
        <v>1017</v>
      </c>
      <c r="U387" s="179"/>
      <c r="V387" s="178"/>
      <c r="W387" s="180"/>
      <c r="X387" s="180"/>
      <c r="Y387" s="178" t="s">
        <v>1017</v>
      </c>
      <c r="Z387" s="180"/>
      <c r="AA387" s="178"/>
      <c r="AB387" s="178"/>
      <c r="AC387" s="180"/>
      <c r="AD387" s="182"/>
      <c r="AE387" s="181"/>
      <c r="AF387" s="182"/>
      <c r="AG387" s="182"/>
      <c r="AH387" s="217" t="s">
        <v>4179</v>
      </c>
      <c r="AI387" s="214" t="str">
        <f t="shared" si="155"/>
        <v/>
      </c>
      <c r="AJ387" s="214" t="str">
        <f t="shared" si="156"/>
        <v/>
      </c>
      <c r="AK387" s="214" t="str">
        <f t="shared" si="157"/>
        <v/>
      </c>
      <c r="AL387" s="214" t="str">
        <f t="shared" si="158"/>
        <v/>
      </c>
      <c r="AM387" s="214" t="str">
        <f t="shared" si="159"/>
        <v/>
      </c>
      <c r="AN387" s="213" t="str">
        <f t="shared" si="142"/>
        <v>2012</v>
      </c>
      <c r="AO387" s="213" t="str">
        <f t="shared" si="143"/>
        <v>2012</v>
      </c>
      <c r="AP387" s="213" t="str">
        <f t="shared" si="144"/>
        <v>2012</v>
      </c>
      <c r="AQ387" s="215" t="str">
        <f t="shared" si="145"/>
        <v/>
      </c>
      <c r="AR387" s="216" t="str">
        <f t="shared" si="146"/>
        <v>BiK51aGK12--03</v>
      </c>
      <c r="AS387" s="215" t="str">
        <f t="shared" si="147"/>
        <v/>
      </c>
      <c r="AT387">
        <f t="shared" si="148"/>
        <v>14</v>
      </c>
      <c r="AU387" s="216" t="str">
        <f t="shared" si="149"/>
        <v>0,15-0,5 MW, Bonusregeln G und K erstmals 2012</v>
      </c>
      <c r="AV387" s="215" t="str">
        <f t="shared" si="150"/>
        <v/>
      </c>
      <c r="AW387" s="216" t="str">
        <f t="shared" si="151"/>
        <v>Anteil KWK, erstmals 2012</v>
      </c>
      <c r="AX387" s="215" t="str">
        <f t="shared" si="152"/>
        <v/>
      </c>
      <c r="AY387" t="str">
        <f t="shared" si="153"/>
        <v/>
      </c>
      <c r="AZ387" t="str">
        <f t="shared" si="154"/>
        <v>x</v>
      </c>
    </row>
    <row r="388" spans="1:52" x14ac:dyDescent="0.25">
      <c r="A388" s="610" t="s">
        <v>1111</v>
      </c>
      <c r="B388" s="30" t="s">
        <v>5548</v>
      </c>
      <c r="C388" s="30" t="s">
        <v>3727</v>
      </c>
      <c r="D388" s="30" t="s">
        <v>7089</v>
      </c>
      <c r="E388" s="30" t="s">
        <v>4810</v>
      </c>
      <c r="F388" s="454">
        <f t="shared" si="160"/>
        <v>18</v>
      </c>
      <c r="G388" s="529">
        <v>18</v>
      </c>
      <c r="H388" s="487">
        <f t="shared" si="161"/>
        <v>14.4</v>
      </c>
      <c r="I388" s="706"/>
      <c r="J388" s="669" t="s">
        <v>5805</v>
      </c>
      <c r="K388" s="15"/>
      <c r="M388" s="49">
        <f t="shared" si="162"/>
        <v>18</v>
      </c>
      <c r="N388" s="41">
        <v>10</v>
      </c>
      <c r="O388" s="176"/>
      <c r="P388" s="183"/>
      <c r="Q388" s="184"/>
      <c r="R388" s="184"/>
      <c r="S388" s="184" t="s">
        <v>4180</v>
      </c>
      <c r="T388" t="s">
        <v>4180</v>
      </c>
      <c r="U388" s="185" t="s">
        <v>1017</v>
      </c>
      <c r="V388" s="184"/>
      <c r="W388" s="180"/>
      <c r="X388" s="180"/>
      <c r="Y388" s="184" t="s">
        <v>1017</v>
      </c>
      <c r="Z388" s="180"/>
      <c r="AA388" s="184"/>
      <c r="AB388" s="184"/>
      <c r="AC388" s="180"/>
      <c r="AD388" s="182"/>
      <c r="AE388" s="181"/>
      <c r="AF388" s="182"/>
      <c r="AG388" s="182"/>
      <c r="AH388" s="212" t="str">
        <f>IF(ISERROR(SEARCH("K erstmals 201",D388)),"",RIGHT(D388,4))</f>
        <v/>
      </c>
      <c r="AI388" s="214" t="str">
        <f t="shared" si="155"/>
        <v/>
      </c>
      <c r="AJ388" s="214" t="str">
        <f t="shared" si="156"/>
        <v/>
      </c>
      <c r="AK388" s="214" t="str">
        <f t="shared" si="157"/>
        <v/>
      </c>
      <c r="AL388" s="214" t="str">
        <f t="shared" si="158"/>
        <v/>
      </c>
      <c r="AM388" s="214" t="str">
        <f t="shared" si="159"/>
        <v/>
      </c>
      <c r="AN388" s="213" t="str">
        <f t="shared" si="142"/>
        <v/>
      </c>
      <c r="AO388" s="213" t="str">
        <f t="shared" si="143"/>
        <v/>
      </c>
      <c r="AP388" s="213" t="str">
        <f t="shared" si="144"/>
        <v/>
      </c>
      <c r="AQ388" s="215" t="str">
        <f t="shared" si="145"/>
        <v/>
      </c>
      <c r="AR388" s="216" t="str">
        <f t="shared" si="146"/>
        <v>BiK51aGy----03</v>
      </c>
      <c r="AS388" s="215" t="str">
        <f t="shared" si="147"/>
        <v/>
      </c>
      <c r="AT388">
        <f t="shared" si="148"/>
        <v>14</v>
      </c>
      <c r="AU388" s="216" t="str">
        <f t="shared" si="149"/>
        <v>0,15-0,5 MW, Bonusregeln G, y</v>
      </c>
      <c r="AV388" s="215" t="str">
        <f t="shared" si="150"/>
        <v/>
      </c>
      <c r="AW388" s="216" t="str">
        <f t="shared" si="151"/>
        <v>Anteil Nicht-KWK</v>
      </c>
      <c r="AX388" s="215" t="str">
        <f t="shared" si="152"/>
        <v/>
      </c>
      <c r="AY388" t="str">
        <f t="shared" si="153"/>
        <v/>
      </c>
      <c r="AZ388" t="str">
        <f t="shared" si="154"/>
        <v/>
      </c>
    </row>
    <row r="389" spans="1:52" s="178" customFormat="1" x14ac:dyDescent="0.25">
      <c r="A389" s="610" t="s">
        <v>1112</v>
      </c>
      <c r="B389" s="30" t="s">
        <v>5548</v>
      </c>
      <c r="C389" s="30" t="s">
        <v>3727</v>
      </c>
      <c r="D389" s="109" t="s">
        <v>7041</v>
      </c>
      <c r="E389" s="30" t="s">
        <v>4331</v>
      </c>
      <c r="F389" s="454">
        <f t="shared" si="160"/>
        <v>21</v>
      </c>
      <c r="G389" s="529">
        <v>21</v>
      </c>
      <c r="H389" s="487">
        <f t="shared" si="161"/>
        <v>16.8</v>
      </c>
      <c r="I389" s="706"/>
      <c r="J389" s="669" t="s">
        <v>5805</v>
      </c>
      <c r="K389" s="15"/>
      <c r="L389"/>
      <c r="M389" s="49">
        <f t="shared" si="162"/>
        <v>21</v>
      </c>
      <c r="N389" s="41">
        <v>10</v>
      </c>
      <c r="O389" s="176"/>
      <c r="P389" s="184" t="s">
        <v>1017</v>
      </c>
      <c r="Q389" s="184"/>
      <c r="R389" s="184"/>
      <c r="S389" s="184" t="s">
        <v>4180</v>
      </c>
      <c r="T389" s="178" t="s">
        <v>4180</v>
      </c>
      <c r="U389" s="185" t="s">
        <v>1017</v>
      </c>
      <c r="V389" s="184"/>
      <c r="W389" s="180"/>
      <c r="X389" s="180"/>
      <c r="Y389" s="184" t="s">
        <v>1017</v>
      </c>
      <c r="Z389" s="180"/>
      <c r="AA389" s="184"/>
      <c r="AB389" s="184"/>
      <c r="AC389" s="180"/>
      <c r="AD389" s="182"/>
      <c r="AE389" s="181"/>
      <c r="AF389" s="182"/>
      <c r="AG389" s="182"/>
      <c r="AH389" s="212" t="str">
        <f>IF(ISERROR(SEARCH("K erstmals 201",D389)),"",RIGHT(D389,4))</f>
        <v/>
      </c>
      <c r="AI389" s="214" t="str">
        <f t="shared" si="155"/>
        <v/>
      </c>
      <c r="AJ389" s="214" t="str">
        <f t="shared" si="156"/>
        <v/>
      </c>
      <c r="AK389" s="214" t="str">
        <f t="shared" si="157"/>
        <v/>
      </c>
      <c r="AL389" s="214" t="str">
        <f t="shared" si="158"/>
        <v/>
      </c>
      <c r="AM389" s="214" t="str">
        <f t="shared" si="159"/>
        <v/>
      </c>
      <c r="AN389" s="213" t="str">
        <f t="shared" si="142"/>
        <v/>
      </c>
      <c r="AO389" s="213" t="str">
        <f t="shared" si="143"/>
        <v/>
      </c>
      <c r="AP389" s="213" t="str">
        <f t="shared" si="144"/>
        <v/>
      </c>
      <c r="AQ389" s="215" t="str">
        <f t="shared" si="145"/>
        <v/>
      </c>
      <c r="AR389" s="216" t="str">
        <f t="shared" si="146"/>
        <v>BiK51aGKA3y-03</v>
      </c>
      <c r="AS389" s="215" t="str">
        <f t="shared" si="147"/>
        <v/>
      </c>
      <c r="AT389">
        <f t="shared" si="148"/>
        <v>14</v>
      </c>
      <c r="AU389" s="216" t="str">
        <f t="shared" si="149"/>
        <v>0,15-0,5 MW, Bonusregeln G, y und K wenn Anlage 3 erfüllt</v>
      </c>
      <c r="AV389" s="215" t="str">
        <f t="shared" si="150"/>
        <v/>
      </c>
      <c r="AW389" s="216" t="str">
        <f t="shared" si="151"/>
        <v>Anteil KWK gemäß Anlage 3</v>
      </c>
      <c r="AX389" s="215" t="str">
        <f t="shared" si="152"/>
        <v/>
      </c>
      <c r="AY389" t="str">
        <f t="shared" si="153"/>
        <v/>
      </c>
      <c r="AZ389" t="str">
        <f t="shared" si="154"/>
        <v/>
      </c>
    </row>
    <row r="390" spans="1:52" s="178" customFormat="1" x14ac:dyDescent="0.25">
      <c r="A390" s="610" t="s">
        <v>1113</v>
      </c>
      <c r="B390" s="30" t="s">
        <v>5548</v>
      </c>
      <c r="C390" s="30" t="s">
        <v>3727</v>
      </c>
      <c r="D390" s="30" t="s">
        <v>7042</v>
      </c>
      <c r="E390" s="30" t="s">
        <v>674</v>
      </c>
      <c r="F390" s="454">
        <f t="shared" si="160"/>
        <v>21</v>
      </c>
      <c r="G390" s="529">
        <v>21</v>
      </c>
      <c r="H390" s="487">
        <f t="shared" si="161"/>
        <v>16.8</v>
      </c>
      <c r="I390" s="706"/>
      <c r="J390" s="669" t="s">
        <v>5805</v>
      </c>
      <c r="K390" s="15"/>
      <c r="L390"/>
      <c r="M390" s="49">
        <f t="shared" si="162"/>
        <v>21</v>
      </c>
      <c r="N390" s="41">
        <v>10</v>
      </c>
      <c r="O390" s="176"/>
      <c r="P390" s="183"/>
      <c r="Q390" s="184" t="s">
        <v>1017</v>
      </c>
      <c r="R390" s="184"/>
      <c r="S390" s="184" t="s">
        <v>4180</v>
      </c>
      <c r="T390" s="178" t="s">
        <v>4180</v>
      </c>
      <c r="U390" s="185" t="s">
        <v>1017</v>
      </c>
      <c r="V390" s="184"/>
      <c r="W390" s="180"/>
      <c r="X390" s="180"/>
      <c r="Y390" s="184" t="s">
        <v>1017</v>
      </c>
      <c r="Z390" s="180"/>
      <c r="AA390" s="184"/>
      <c r="AB390" s="184"/>
      <c r="AC390" s="180"/>
      <c r="AD390" s="182"/>
      <c r="AE390" s="181"/>
      <c r="AF390" s="182"/>
      <c r="AG390" s="182"/>
      <c r="AH390" s="212" t="str">
        <f>IF(ISERROR(SEARCH("K erstmals 201",D390)),"",RIGHT(D390,4))</f>
        <v/>
      </c>
      <c r="AI390" s="214" t="str">
        <f t="shared" si="155"/>
        <v/>
      </c>
      <c r="AJ390" s="214" t="str">
        <f t="shared" si="156"/>
        <v/>
      </c>
      <c r="AK390" s="214" t="str">
        <f t="shared" si="157"/>
        <v/>
      </c>
      <c r="AL390" s="214" t="str">
        <f t="shared" si="158"/>
        <v/>
      </c>
      <c r="AM390" s="214" t="str">
        <f t="shared" si="159"/>
        <v/>
      </c>
      <c r="AN390" s="213" t="str">
        <f t="shared" si="142"/>
        <v/>
      </c>
      <c r="AO390" s="213" t="str">
        <f t="shared" si="143"/>
        <v/>
      </c>
      <c r="AP390" s="213" t="str">
        <f t="shared" si="144"/>
        <v/>
      </c>
      <c r="AQ390" s="215" t="str">
        <f t="shared" si="145"/>
        <v/>
      </c>
      <c r="AR390" s="216" t="str">
        <f t="shared" si="146"/>
        <v>BiK51aGK09y-03</v>
      </c>
      <c r="AS390" s="215" t="str">
        <f t="shared" si="147"/>
        <v/>
      </c>
      <c r="AT390">
        <f t="shared" si="148"/>
        <v>14</v>
      </c>
      <c r="AU390" s="216" t="str">
        <f t="shared" si="149"/>
        <v>0,15-0,5 MW, Bonusregeln G, y und K erstmals 2009</v>
      </c>
      <c r="AV390" s="215" t="str">
        <f t="shared" si="150"/>
        <v/>
      </c>
      <c r="AW390" s="216" t="str">
        <f t="shared" si="151"/>
        <v>Anteil KWK, erstmals 2009</v>
      </c>
      <c r="AX390" s="215" t="str">
        <f t="shared" si="152"/>
        <v/>
      </c>
      <c r="AY390" t="str">
        <f t="shared" si="153"/>
        <v/>
      </c>
      <c r="AZ390" t="str">
        <f t="shared" si="154"/>
        <v/>
      </c>
    </row>
    <row r="391" spans="1:52" s="178" customFormat="1" x14ac:dyDescent="0.25">
      <c r="A391" s="610" t="s">
        <v>1616</v>
      </c>
      <c r="B391" s="30" t="s">
        <v>5548</v>
      </c>
      <c r="C391" s="30" t="s">
        <v>3727</v>
      </c>
      <c r="D391" s="30" t="s">
        <v>7043</v>
      </c>
      <c r="E391" s="30" t="s">
        <v>3567</v>
      </c>
      <c r="F391" s="454">
        <f t="shared" si="160"/>
        <v>20.97</v>
      </c>
      <c r="G391" s="529">
        <v>20.97</v>
      </c>
      <c r="H391" s="487">
        <f t="shared" si="161"/>
        <v>16.78</v>
      </c>
      <c r="I391" s="706"/>
      <c r="J391" s="669" t="s">
        <v>5805</v>
      </c>
      <c r="K391" s="15"/>
      <c r="L391"/>
      <c r="M391" s="49">
        <f t="shared" si="162"/>
        <v>20.97</v>
      </c>
      <c r="N391" s="41">
        <v>10</v>
      </c>
      <c r="O391" s="176"/>
      <c r="P391" s="183"/>
      <c r="Q391" s="184"/>
      <c r="R391" s="184" t="s">
        <v>1017</v>
      </c>
      <c r="S391" s="184" t="s">
        <v>4180</v>
      </c>
      <c r="T391" s="178" t="s">
        <v>4180</v>
      </c>
      <c r="U391" s="185" t="s">
        <v>1017</v>
      </c>
      <c r="V391" s="184"/>
      <c r="W391" s="180"/>
      <c r="X391" s="180"/>
      <c r="Y391" s="184" t="s">
        <v>1017</v>
      </c>
      <c r="Z391" s="180"/>
      <c r="AA391" s="184"/>
      <c r="AB391" s="184"/>
      <c r="AC391" s="180"/>
      <c r="AD391" s="182"/>
      <c r="AE391" s="181"/>
      <c r="AF391" s="182"/>
      <c r="AG391" s="182"/>
      <c r="AH391" s="212" t="str">
        <f>IF(ISERROR(SEARCH("K erstmals 201",D391)),"",RIGHT(D391,4))</f>
        <v>2010</v>
      </c>
      <c r="AI391" s="214" t="str">
        <f t="shared" si="155"/>
        <v/>
      </c>
      <c r="AJ391" s="214" t="str">
        <f t="shared" si="156"/>
        <v/>
      </c>
      <c r="AK391" s="214" t="str">
        <f t="shared" si="157"/>
        <v/>
      </c>
      <c r="AL391" s="214" t="str">
        <f t="shared" si="158"/>
        <v/>
      </c>
      <c r="AM391" s="214" t="str">
        <f t="shared" si="159"/>
        <v/>
      </c>
      <c r="AN391" s="213" t="str">
        <f t="shared" si="142"/>
        <v>2010</v>
      </c>
      <c r="AO391" s="213" t="str">
        <f t="shared" si="143"/>
        <v>2010</v>
      </c>
      <c r="AP391" s="213" t="str">
        <f t="shared" si="144"/>
        <v>2010</v>
      </c>
      <c r="AQ391" s="215" t="str">
        <f t="shared" si="145"/>
        <v/>
      </c>
      <c r="AR391" s="216" t="str">
        <f t="shared" si="146"/>
        <v>BiK51aGK10y-03</v>
      </c>
      <c r="AS391" s="215" t="str">
        <f t="shared" si="147"/>
        <v/>
      </c>
      <c r="AT391">
        <f t="shared" si="148"/>
        <v>14</v>
      </c>
      <c r="AU391" s="216" t="str">
        <f t="shared" si="149"/>
        <v>0,15-0,5 MW, Bonusregeln G, y und K erstmals 2010</v>
      </c>
      <c r="AV391" s="215" t="str">
        <f t="shared" si="150"/>
        <v/>
      </c>
      <c r="AW391" s="216" t="str">
        <f t="shared" si="151"/>
        <v>Anteil KWK, erstmals 2010</v>
      </c>
      <c r="AX391" s="215" t="str">
        <f t="shared" si="152"/>
        <v/>
      </c>
      <c r="AY391" t="str">
        <f t="shared" si="153"/>
        <v/>
      </c>
      <c r="AZ391" t="str">
        <f t="shared" si="154"/>
        <v/>
      </c>
    </row>
    <row r="392" spans="1:52" s="178" customFormat="1" x14ac:dyDescent="0.25">
      <c r="A392" s="610" t="s">
        <v>5231</v>
      </c>
      <c r="B392" s="30" t="s">
        <v>5548</v>
      </c>
      <c r="C392" s="30" t="s">
        <v>3727</v>
      </c>
      <c r="D392" s="30" t="s">
        <v>7044</v>
      </c>
      <c r="E392" s="30" t="s">
        <v>3055</v>
      </c>
      <c r="F392" s="454">
        <f t="shared" si="160"/>
        <v>20.939999999999998</v>
      </c>
      <c r="G392" s="529">
        <v>20.939999999999998</v>
      </c>
      <c r="H392" s="487">
        <f t="shared" si="161"/>
        <v>16.75</v>
      </c>
      <c r="I392" s="706"/>
      <c r="J392" s="669" t="s">
        <v>5805</v>
      </c>
      <c r="K392" s="15"/>
      <c r="L392"/>
      <c r="M392" s="49">
        <f t="shared" si="162"/>
        <v>20.939999999999998</v>
      </c>
      <c r="N392" s="41">
        <v>10</v>
      </c>
      <c r="O392" s="176"/>
      <c r="P392" s="183"/>
      <c r="Q392" s="184"/>
      <c r="S392" s="184" t="s">
        <v>1017</v>
      </c>
      <c r="T392" s="178" t="s">
        <v>4180</v>
      </c>
      <c r="U392" s="185" t="s">
        <v>1017</v>
      </c>
      <c r="V392" s="184"/>
      <c r="W392" s="180"/>
      <c r="X392" s="180"/>
      <c r="Y392" s="184" t="s">
        <v>1017</v>
      </c>
      <c r="Z392" s="180"/>
      <c r="AA392" s="184"/>
      <c r="AB392" s="184"/>
      <c r="AC392" s="180"/>
      <c r="AD392" s="182"/>
      <c r="AE392" s="181"/>
      <c r="AF392" s="182"/>
      <c r="AG392" s="182"/>
      <c r="AH392" s="212" t="str">
        <f>IF(ISERROR(SEARCH("K erstmals 201",D392)),"",RIGHT(D392,4))</f>
        <v>2011</v>
      </c>
      <c r="AI392" s="214" t="str">
        <f t="shared" si="155"/>
        <v/>
      </c>
      <c r="AJ392" s="214" t="str">
        <f t="shared" si="156"/>
        <v/>
      </c>
      <c r="AK392" s="214" t="str">
        <f t="shared" si="157"/>
        <v/>
      </c>
      <c r="AL392" s="214" t="str">
        <f t="shared" si="158"/>
        <v/>
      </c>
      <c r="AM392" s="214" t="str">
        <f t="shared" si="159"/>
        <v/>
      </c>
      <c r="AN392" s="213" t="str">
        <f t="shared" si="142"/>
        <v>2011</v>
      </c>
      <c r="AO392" s="213" t="str">
        <f t="shared" si="143"/>
        <v>2011</v>
      </c>
      <c r="AP392" s="213" t="str">
        <f t="shared" si="144"/>
        <v>2011</v>
      </c>
      <c r="AQ392" s="215" t="str">
        <f t="shared" si="145"/>
        <v/>
      </c>
      <c r="AR392" s="216" t="str">
        <f t="shared" si="146"/>
        <v>BiK51aGK11y-03</v>
      </c>
      <c r="AS392" s="215" t="str">
        <f t="shared" si="147"/>
        <v/>
      </c>
      <c r="AT392">
        <f t="shared" si="148"/>
        <v>14</v>
      </c>
      <c r="AU392" s="216" t="str">
        <f t="shared" si="149"/>
        <v>0,15-0,5 MW, Bonusregeln G, y und K erstmals 2011</v>
      </c>
      <c r="AV392" s="215" t="str">
        <f t="shared" si="150"/>
        <v/>
      </c>
      <c r="AW392" s="216" t="str">
        <f t="shared" si="151"/>
        <v>Anteil KWK, erstmals 2011</v>
      </c>
      <c r="AX392" s="215" t="str">
        <f t="shared" si="152"/>
        <v/>
      </c>
      <c r="AY392" t="str">
        <f t="shared" si="153"/>
        <v>x</v>
      </c>
      <c r="AZ392" t="str">
        <f t="shared" si="154"/>
        <v/>
      </c>
    </row>
    <row r="393" spans="1:52" s="178" customFormat="1" x14ac:dyDescent="0.25">
      <c r="A393" s="625" t="s">
        <v>3538</v>
      </c>
      <c r="B393" s="219" t="s">
        <v>5548</v>
      </c>
      <c r="C393" s="219" t="s">
        <v>3727</v>
      </c>
      <c r="D393" s="219" t="s">
        <v>7045</v>
      </c>
      <c r="E393" s="219" t="s">
        <v>1980</v>
      </c>
      <c r="F393" s="455">
        <f t="shared" si="160"/>
        <v>20.91</v>
      </c>
      <c r="G393" s="530">
        <v>20.91</v>
      </c>
      <c r="H393" s="488">
        <f t="shared" si="161"/>
        <v>16.73</v>
      </c>
      <c r="I393" s="707"/>
      <c r="J393" s="669" t="s">
        <v>5805</v>
      </c>
      <c r="K393" s="15"/>
      <c r="L393"/>
      <c r="M393" s="49">
        <f t="shared" si="162"/>
        <v>20.91</v>
      </c>
      <c r="N393" s="41">
        <v>10</v>
      </c>
      <c r="O393" s="176"/>
      <c r="P393" s="183"/>
      <c r="Q393" s="184"/>
      <c r="S393" s="184" t="s">
        <v>4180</v>
      </c>
      <c r="T393" s="178" t="s">
        <v>1017</v>
      </c>
      <c r="U393" s="185" t="s">
        <v>1017</v>
      </c>
      <c r="V393" s="184"/>
      <c r="W393" s="180"/>
      <c r="X393" s="180"/>
      <c r="Y393" s="184" t="s">
        <v>1017</v>
      </c>
      <c r="Z393" s="180"/>
      <c r="AA393" s="184"/>
      <c r="AB393" s="184"/>
      <c r="AC393" s="180"/>
      <c r="AD393" s="182"/>
      <c r="AE393" s="181"/>
      <c r="AF393" s="182"/>
      <c r="AG393" s="182"/>
      <c r="AH393" s="217" t="s">
        <v>4179</v>
      </c>
      <c r="AI393" s="214" t="str">
        <f t="shared" si="155"/>
        <v/>
      </c>
      <c r="AJ393" s="214" t="str">
        <f t="shared" si="156"/>
        <v/>
      </c>
      <c r="AK393" s="214" t="str">
        <f t="shared" si="157"/>
        <v/>
      </c>
      <c r="AL393" s="214" t="str">
        <f t="shared" si="158"/>
        <v/>
      </c>
      <c r="AM393" s="214" t="str">
        <f t="shared" si="159"/>
        <v/>
      </c>
      <c r="AN393" s="213" t="str">
        <f t="shared" si="142"/>
        <v>2012</v>
      </c>
      <c r="AO393" s="213" t="str">
        <f t="shared" si="143"/>
        <v>2012</v>
      </c>
      <c r="AP393" s="213" t="str">
        <f t="shared" si="144"/>
        <v>2012</v>
      </c>
      <c r="AQ393" s="215" t="str">
        <f t="shared" si="145"/>
        <v/>
      </c>
      <c r="AR393" s="216" t="str">
        <f t="shared" si="146"/>
        <v>BiK51aGK12y-03</v>
      </c>
      <c r="AS393" s="215" t="str">
        <f t="shared" si="147"/>
        <v/>
      </c>
      <c r="AT393">
        <f t="shared" si="148"/>
        <v>14</v>
      </c>
      <c r="AU393" s="216" t="str">
        <f t="shared" si="149"/>
        <v>0,15-0,5 MW, Bonusregeln G, y und K erstmals 2012</v>
      </c>
      <c r="AV393" s="215" t="str">
        <f t="shared" si="150"/>
        <v/>
      </c>
      <c r="AW393" s="216" t="str">
        <f t="shared" si="151"/>
        <v>Anteil KWK, erstmals 2012</v>
      </c>
      <c r="AX393" s="215" t="str">
        <f t="shared" si="152"/>
        <v/>
      </c>
      <c r="AY393" t="str">
        <f t="shared" si="153"/>
        <v/>
      </c>
      <c r="AZ393" t="str">
        <f t="shared" si="154"/>
        <v>x</v>
      </c>
    </row>
    <row r="394" spans="1:52" s="178" customFormat="1" x14ac:dyDescent="0.25">
      <c r="A394" s="610" t="s">
        <v>1114</v>
      </c>
      <c r="B394" s="30" t="s">
        <v>5548</v>
      </c>
      <c r="C394" s="30" t="s">
        <v>3727</v>
      </c>
      <c r="D394" s="30" t="s">
        <v>7046</v>
      </c>
      <c r="E394" s="30" t="s">
        <v>4810</v>
      </c>
      <c r="F394" s="454">
        <f t="shared" si="160"/>
        <v>18</v>
      </c>
      <c r="G394" s="529">
        <v>18</v>
      </c>
      <c r="H394" s="487">
        <f t="shared" si="161"/>
        <v>14.4</v>
      </c>
      <c r="I394" s="706"/>
      <c r="J394" s="669" t="s">
        <v>5805</v>
      </c>
      <c r="K394" s="15"/>
      <c r="L394"/>
      <c r="M394" s="49">
        <f t="shared" si="162"/>
        <v>18</v>
      </c>
      <c r="N394" s="41">
        <v>10</v>
      </c>
      <c r="O394" s="176"/>
      <c r="P394" s="177"/>
      <c r="S394" s="178" t="s">
        <v>4180</v>
      </c>
      <c r="T394" s="178" t="s">
        <v>4180</v>
      </c>
      <c r="U394" s="179"/>
      <c r="W394" s="180"/>
      <c r="X394" s="180"/>
      <c r="Z394" s="180"/>
      <c r="AA394" s="178" t="s">
        <v>1017</v>
      </c>
      <c r="AC394" s="180"/>
      <c r="AD394" s="182"/>
      <c r="AE394" s="181"/>
      <c r="AF394" s="182"/>
      <c r="AG394" s="182"/>
      <c r="AH394" s="212" t="str">
        <f>IF(ISERROR(SEARCH("K erstmals 201",D394)),"",RIGHT(D394,4))</f>
        <v/>
      </c>
      <c r="AI394" s="214" t="str">
        <f t="shared" si="155"/>
        <v/>
      </c>
      <c r="AJ394" s="214" t="str">
        <f t="shared" si="156"/>
        <v/>
      </c>
      <c r="AK394" s="214" t="str">
        <f t="shared" si="157"/>
        <v/>
      </c>
      <c r="AL394" s="214" t="str">
        <f t="shared" si="158"/>
        <v/>
      </c>
      <c r="AM394" s="214" t="str">
        <f t="shared" si="159"/>
        <v/>
      </c>
      <c r="AN394" s="213" t="str">
        <f t="shared" si="142"/>
        <v/>
      </c>
      <c r="AO394" s="213" t="str">
        <f t="shared" si="143"/>
        <v/>
      </c>
      <c r="AP394" s="213" t="str">
        <f t="shared" si="144"/>
        <v/>
      </c>
      <c r="AQ394" s="215" t="str">
        <f t="shared" si="145"/>
        <v/>
      </c>
      <c r="AR394" s="216" t="str">
        <f t="shared" si="146"/>
        <v>BiK51aM2----03</v>
      </c>
      <c r="AS394" s="215" t="str">
        <f t="shared" si="147"/>
        <v/>
      </c>
      <c r="AT394">
        <f t="shared" si="148"/>
        <v>14</v>
      </c>
      <c r="AU394" s="216" t="str">
        <f t="shared" si="149"/>
        <v>0,15-0,5 MW, Bonusregel M2</v>
      </c>
      <c r="AV394" s="215" t="str">
        <f t="shared" si="150"/>
        <v/>
      </c>
      <c r="AW394" s="216" t="str">
        <f t="shared" si="151"/>
        <v>Anteil Nicht-KWK</v>
      </c>
      <c r="AX394" s="215" t="str">
        <f t="shared" si="152"/>
        <v/>
      </c>
      <c r="AY394" t="str">
        <f t="shared" si="153"/>
        <v/>
      </c>
      <c r="AZ394" t="str">
        <f t="shared" si="154"/>
        <v/>
      </c>
    </row>
    <row r="395" spans="1:52" s="178" customFormat="1" x14ac:dyDescent="0.25">
      <c r="A395" s="610" t="s">
        <v>1115</v>
      </c>
      <c r="B395" s="30" t="s">
        <v>5548</v>
      </c>
      <c r="C395" s="30" t="s">
        <v>3727</v>
      </c>
      <c r="D395" s="30" t="s">
        <v>7047</v>
      </c>
      <c r="E395" s="30" t="s">
        <v>4331</v>
      </c>
      <c r="F395" s="454">
        <f t="shared" si="160"/>
        <v>21</v>
      </c>
      <c r="G395" s="529">
        <v>21</v>
      </c>
      <c r="H395" s="487">
        <f t="shared" si="161"/>
        <v>16.8</v>
      </c>
      <c r="I395" s="706"/>
      <c r="J395" s="669" t="s">
        <v>5805</v>
      </c>
      <c r="K395" s="15"/>
      <c r="L395"/>
      <c r="M395" s="49">
        <f t="shared" si="162"/>
        <v>21</v>
      </c>
      <c r="N395" s="41">
        <v>10</v>
      </c>
      <c r="O395" s="176"/>
      <c r="P395" s="178" t="s">
        <v>1017</v>
      </c>
      <c r="S395" s="178" t="s">
        <v>4180</v>
      </c>
      <c r="T395" s="178" t="s">
        <v>4180</v>
      </c>
      <c r="U395" s="179"/>
      <c r="W395" s="180"/>
      <c r="X395" s="180"/>
      <c r="Z395" s="180"/>
      <c r="AA395" s="178" t="s">
        <v>1017</v>
      </c>
      <c r="AC395" s="180"/>
      <c r="AD395" s="182"/>
      <c r="AE395" s="181"/>
      <c r="AF395" s="182"/>
      <c r="AG395" s="182"/>
      <c r="AH395" s="212" t="str">
        <f>IF(ISERROR(SEARCH("K erstmals 201",D395)),"",RIGHT(D395,4))</f>
        <v/>
      </c>
      <c r="AI395" s="214" t="str">
        <f t="shared" si="155"/>
        <v/>
      </c>
      <c r="AJ395" s="214" t="str">
        <f t="shared" si="156"/>
        <v/>
      </c>
      <c r="AK395" s="214" t="str">
        <f t="shared" si="157"/>
        <v/>
      </c>
      <c r="AL395" s="214" t="str">
        <f t="shared" si="158"/>
        <v/>
      </c>
      <c r="AM395" s="214" t="str">
        <f t="shared" si="159"/>
        <v/>
      </c>
      <c r="AN395" s="213" t="str">
        <f t="shared" si="142"/>
        <v/>
      </c>
      <c r="AO395" s="213" t="str">
        <f t="shared" si="143"/>
        <v/>
      </c>
      <c r="AP395" s="213" t="str">
        <f t="shared" si="144"/>
        <v/>
      </c>
      <c r="AQ395" s="215" t="str">
        <f t="shared" si="145"/>
        <v/>
      </c>
      <c r="AR395" s="216" t="str">
        <f t="shared" si="146"/>
        <v>BiK51aM2KA3-03</v>
      </c>
      <c r="AS395" s="215" t="str">
        <f t="shared" si="147"/>
        <v/>
      </c>
      <c r="AT395">
        <f t="shared" si="148"/>
        <v>14</v>
      </c>
      <c r="AU395" s="216" t="str">
        <f t="shared" si="149"/>
        <v>0,15-0,5 MW, Bonusregeln M2 und K wenn Anlage 3 erfüllt</v>
      </c>
      <c r="AV395" s="215" t="str">
        <f t="shared" si="150"/>
        <v/>
      </c>
      <c r="AW395" s="216" t="str">
        <f t="shared" si="151"/>
        <v>Anteil KWK gemäß Anlage 3</v>
      </c>
      <c r="AX395" s="215" t="str">
        <f t="shared" si="152"/>
        <v/>
      </c>
      <c r="AY395" t="str">
        <f t="shared" si="153"/>
        <v/>
      </c>
      <c r="AZ395" t="str">
        <f t="shared" si="154"/>
        <v/>
      </c>
    </row>
    <row r="396" spans="1:52" s="178" customFormat="1" x14ac:dyDescent="0.25">
      <c r="A396" s="610" t="s">
        <v>1116</v>
      </c>
      <c r="B396" s="30" t="s">
        <v>5548</v>
      </c>
      <c r="C396" s="30" t="s">
        <v>3727</v>
      </c>
      <c r="D396" s="30" t="s">
        <v>7048</v>
      </c>
      <c r="E396" s="30" t="s">
        <v>674</v>
      </c>
      <c r="F396" s="454">
        <f t="shared" si="160"/>
        <v>21</v>
      </c>
      <c r="G396" s="529">
        <v>21</v>
      </c>
      <c r="H396" s="487">
        <f t="shared" si="161"/>
        <v>16.8</v>
      </c>
      <c r="I396" s="706"/>
      <c r="J396" s="669" t="s">
        <v>5805</v>
      </c>
      <c r="K396" s="15"/>
      <c r="L396"/>
      <c r="M396" s="49">
        <f t="shared" si="162"/>
        <v>21</v>
      </c>
      <c r="N396" s="41">
        <v>10</v>
      </c>
      <c r="O396" s="176"/>
      <c r="P396" s="177"/>
      <c r="Q396" s="178" t="s">
        <v>1017</v>
      </c>
      <c r="S396" s="178" t="s">
        <v>4180</v>
      </c>
      <c r="T396" s="178" t="s">
        <v>4180</v>
      </c>
      <c r="U396" s="179"/>
      <c r="W396" s="180"/>
      <c r="X396" s="180"/>
      <c r="Z396" s="180"/>
      <c r="AA396" s="178" t="s">
        <v>1017</v>
      </c>
      <c r="AC396" s="180"/>
      <c r="AD396" s="182"/>
      <c r="AE396" s="181"/>
      <c r="AF396" s="182"/>
      <c r="AG396" s="182"/>
      <c r="AH396" s="212" t="str">
        <f>IF(ISERROR(SEARCH("K erstmals 201",D396)),"",RIGHT(D396,4))</f>
        <v/>
      </c>
      <c r="AI396" s="214" t="str">
        <f t="shared" si="155"/>
        <v/>
      </c>
      <c r="AJ396" s="214" t="str">
        <f t="shared" si="156"/>
        <v/>
      </c>
      <c r="AK396" s="214" t="str">
        <f t="shared" si="157"/>
        <v/>
      </c>
      <c r="AL396" s="214" t="str">
        <f t="shared" si="158"/>
        <v/>
      </c>
      <c r="AM396" s="214" t="str">
        <f t="shared" si="159"/>
        <v/>
      </c>
      <c r="AN396" s="213" t="str">
        <f t="shared" si="142"/>
        <v/>
      </c>
      <c r="AO396" s="213" t="str">
        <f t="shared" si="143"/>
        <v/>
      </c>
      <c r="AP396" s="213" t="str">
        <f t="shared" si="144"/>
        <v/>
      </c>
      <c r="AQ396" s="215" t="str">
        <f t="shared" si="145"/>
        <v/>
      </c>
      <c r="AR396" s="216" t="str">
        <f t="shared" si="146"/>
        <v>BiK51aM2K09-03</v>
      </c>
      <c r="AS396" s="215" t="str">
        <f t="shared" si="147"/>
        <v/>
      </c>
      <c r="AT396">
        <f t="shared" si="148"/>
        <v>14</v>
      </c>
      <c r="AU396" s="216" t="str">
        <f t="shared" si="149"/>
        <v>0,15-0,5 MW, Bonusregeln M2 und K erstmals 2009</v>
      </c>
      <c r="AV396" s="215" t="str">
        <f t="shared" si="150"/>
        <v/>
      </c>
      <c r="AW396" s="216" t="str">
        <f t="shared" si="151"/>
        <v>Anteil KWK, erstmals 2009</v>
      </c>
      <c r="AX396" s="215" t="str">
        <f t="shared" si="152"/>
        <v/>
      </c>
      <c r="AY396" t="str">
        <f t="shared" si="153"/>
        <v/>
      </c>
      <c r="AZ396" t="str">
        <f t="shared" si="154"/>
        <v/>
      </c>
    </row>
    <row r="397" spans="1:52" s="178" customFormat="1" x14ac:dyDescent="0.25">
      <c r="A397" s="610" t="s">
        <v>1617</v>
      </c>
      <c r="B397" s="30" t="s">
        <v>5548</v>
      </c>
      <c r="C397" s="30" t="s">
        <v>3727</v>
      </c>
      <c r="D397" s="30" t="s">
        <v>7049</v>
      </c>
      <c r="E397" s="30" t="s">
        <v>3567</v>
      </c>
      <c r="F397" s="454">
        <f t="shared" si="160"/>
        <v>20.97</v>
      </c>
      <c r="G397" s="529">
        <v>20.97</v>
      </c>
      <c r="H397" s="487">
        <f t="shared" si="161"/>
        <v>16.78</v>
      </c>
      <c r="I397" s="706"/>
      <c r="J397" s="669" t="s">
        <v>5805</v>
      </c>
      <c r="K397" s="15"/>
      <c r="L397"/>
      <c r="M397" s="49">
        <f t="shared" si="162"/>
        <v>20.97</v>
      </c>
      <c r="N397" s="41">
        <v>10</v>
      </c>
      <c r="O397" s="176"/>
      <c r="P397" s="177"/>
      <c r="R397" s="178" t="s">
        <v>1017</v>
      </c>
      <c r="S397" s="178" t="s">
        <v>4180</v>
      </c>
      <c r="T397" s="178" t="s">
        <v>4180</v>
      </c>
      <c r="U397" s="179"/>
      <c r="W397" s="180"/>
      <c r="X397" s="180"/>
      <c r="Z397" s="180"/>
      <c r="AA397" s="178" t="s">
        <v>1017</v>
      </c>
      <c r="AC397" s="180"/>
      <c r="AD397" s="182"/>
      <c r="AE397" s="181"/>
      <c r="AF397" s="182"/>
      <c r="AG397" s="182"/>
      <c r="AH397" s="212" t="str">
        <f>IF(ISERROR(SEARCH("K erstmals 201",D397)),"",RIGHT(D397,4))</f>
        <v>2010</v>
      </c>
      <c r="AI397" s="214" t="str">
        <f t="shared" si="155"/>
        <v/>
      </c>
      <c r="AJ397" s="214" t="str">
        <f t="shared" si="156"/>
        <v/>
      </c>
      <c r="AK397" s="214" t="str">
        <f t="shared" si="157"/>
        <v/>
      </c>
      <c r="AL397" s="214" t="str">
        <f t="shared" si="158"/>
        <v/>
      </c>
      <c r="AM397" s="214" t="str">
        <f t="shared" si="159"/>
        <v/>
      </c>
      <c r="AN397" s="213" t="str">
        <f t="shared" si="142"/>
        <v>2010</v>
      </c>
      <c r="AO397" s="213" t="str">
        <f t="shared" si="143"/>
        <v>2010</v>
      </c>
      <c r="AP397" s="213" t="str">
        <f t="shared" si="144"/>
        <v>2010</v>
      </c>
      <c r="AQ397" s="215" t="str">
        <f t="shared" si="145"/>
        <v/>
      </c>
      <c r="AR397" s="216" t="str">
        <f t="shared" si="146"/>
        <v>BiK51aM2K10-03</v>
      </c>
      <c r="AS397" s="215" t="str">
        <f t="shared" si="147"/>
        <v/>
      </c>
      <c r="AT397">
        <f t="shared" si="148"/>
        <v>14</v>
      </c>
      <c r="AU397" s="216" t="str">
        <f t="shared" si="149"/>
        <v>0,15-0,5 MW, Bonusregeln M2 und K erstmals 2010</v>
      </c>
      <c r="AV397" s="215" t="str">
        <f t="shared" si="150"/>
        <v/>
      </c>
      <c r="AW397" s="216" t="str">
        <f t="shared" si="151"/>
        <v>Anteil KWK, erstmals 2010</v>
      </c>
      <c r="AX397" s="215" t="str">
        <f t="shared" si="152"/>
        <v/>
      </c>
      <c r="AY397" t="str">
        <f t="shared" si="153"/>
        <v/>
      </c>
      <c r="AZ397" t="str">
        <f t="shared" si="154"/>
        <v/>
      </c>
    </row>
    <row r="398" spans="1:52" s="178" customFormat="1" x14ac:dyDescent="0.25">
      <c r="A398" s="610" t="s">
        <v>5232</v>
      </c>
      <c r="B398" s="30" t="s">
        <v>5548</v>
      </c>
      <c r="C398" s="30" t="s">
        <v>3727</v>
      </c>
      <c r="D398" s="30" t="s">
        <v>7050</v>
      </c>
      <c r="E398" s="30" t="s">
        <v>3055</v>
      </c>
      <c r="F398" s="454">
        <f t="shared" si="160"/>
        <v>20.939999999999998</v>
      </c>
      <c r="G398" s="529">
        <v>20.939999999999998</v>
      </c>
      <c r="H398" s="487">
        <f t="shared" si="161"/>
        <v>16.75</v>
      </c>
      <c r="I398" s="706"/>
      <c r="J398" s="669" t="s">
        <v>5805</v>
      </c>
      <c r="K398" s="15"/>
      <c r="L398"/>
      <c r="M398" s="49">
        <f t="shared" si="162"/>
        <v>20.939999999999998</v>
      </c>
      <c r="N398" s="41">
        <v>10</v>
      </c>
      <c r="O398" s="176"/>
      <c r="P398" s="177"/>
      <c r="S398" s="178" t="s">
        <v>1017</v>
      </c>
      <c r="T398" s="178" t="s">
        <v>4180</v>
      </c>
      <c r="U398" s="179"/>
      <c r="W398" s="180"/>
      <c r="X398" s="180"/>
      <c r="Z398" s="180"/>
      <c r="AA398" s="178" t="s">
        <v>1017</v>
      </c>
      <c r="AC398" s="180"/>
      <c r="AD398" s="182"/>
      <c r="AE398" s="181"/>
      <c r="AF398" s="182"/>
      <c r="AG398" s="182"/>
      <c r="AH398" s="212" t="str">
        <f>IF(ISERROR(SEARCH("K erstmals 201",D398)),"",RIGHT(D398,4))</f>
        <v>2011</v>
      </c>
      <c r="AI398" s="214" t="str">
        <f t="shared" si="155"/>
        <v/>
      </c>
      <c r="AJ398" s="214" t="str">
        <f t="shared" si="156"/>
        <v/>
      </c>
      <c r="AK398" s="214" t="str">
        <f t="shared" si="157"/>
        <v/>
      </c>
      <c r="AL398" s="214" t="str">
        <f t="shared" si="158"/>
        <v/>
      </c>
      <c r="AM398" s="214" t="str">
        <f t="shared" si="159"/>
        <v/>
      </c>
      <c r="AN398" s="213" t="str">
        <f t="shared" si="142"/>
        <v>2011</v>
      </c>
      <c r="AO398" s="213" t="str">
        <f t="shared" si="143"/>
        <v>2011</v>
      </c>
      <c r="AP398" s="213" t="str">
        <f t="shared" si="144"/>
        <v>2011</v>
      </c>
      <c r="AQ398" s="215" t="str">
        <f t="shared" si="145"/>
        <v/>
      </c>
      <c r="AR398" s="216" t="str">
        <f t="shared" si="146"/>
        <v>BiK51aM2K11-03</v>
      </c>
      <c r="AS398" s="215" t="str">
        <f t="shared" si="147"/>
        <v/>
      </c>
      <c r="AT398">
        <f t="shared" si="148"/>
        <v>14</v>
      </c>
      <c r="AU398" s="216" t="str">
        <f t="shared" si="149"/>
        <v>0,15-0,5 MW, Bonusregeln M2 und K erstmals 2011</v>
      </c>
      <c r="AV398" s="215" t="str">
        <f t="shared" si="150"/>
        <v/>
      </c>
      <c r="AW398" s="216" t="str">
        <f t="shared" si="151"/>
        <v>Anteil KWK, erstmals 2011</v>
      </c>
      <c r="AX398" s="215" t="str">
        <f t="shared" si="152"/>
        <v/>
      </c>
      <c r="AY398" t="str">
        <f t="shared" si="153"/>
        <v>x</v>
      </c>
      <c r="AZ398" t="str">
        <f t="shared" si="154"/>
        <v/>
      </c>
    </row>
    <row r="399" spans="1:52" s="178" customFormat="1" x14ac:dyDescent="0.25">
      <c r="A399" s="625" t="s">
        <v>3539</v>
      </c>
      <c r="B399" s="219" t="s">
        <v>5548</v>
      </c>
      <c r="C399" s="219" t="s">
        <v>3727</v>
      </c>
      <c r="D399" s="219" t="s">
        <v>7051</v>
      </c>
      <c r="E399" s="219" t="s">
        <v>1980</v>
      </c>
      <c r="F399" s="455">
        <f t="shared" si="160"/>
        <v>20.91</v>
      </c>
      <c r="G399" s="530">
        <v>20.91</v>
      </c>
      <c r="H399" s="488">
        <f t="shared" si="161"/>
        <v>16.73</v>
      </c>
      <c r="I399" s="707"/>
      <c r="J399" s="669" t="s">
        <v>5805</v>
      </c>
      <c r="K399" s="15"/>
      <c r="L399"/>
      <c r="M399" s="49">
        <f t="shared" si="162"/>
        <v>20.91</v>
      </c>
      <c r="N399" s="41">
        <v>10</v>
      </c>
      <c r="O399" s="176"/>
      <c r="P399" s="177"/>
      <c r="S399" s="178" t="s">
        <v>4180</v>
      </c>
      <c r="T399" s="178" t="s">
        <v>1017</v>
      </c>
      <c r="U399" s="179"/>
      <c r="W399" s="180"/>
      <c r="X399" s="180"/>
      <c r="Z399" s="180"/>
      <c r="AA399" s="178" t="s">
        <v>1017</v>
      </c>
      <c r="AC399" s="180"/>
      <c r="AD399" s="182"/>
      <c r="AE399" s="181"/>
      <c r="AF399" s="182"/>
      <c r="AG399" s="182"/>
      <c r="AH399" s="217" t="s">
        <v>4179</v>
      </c>
      <c r="AI399" s="214" t="str">
        <f t="shared" si="155"/>
        <v/>
      </c>
      <c r="AJ399" s="214" t="str">
        <f t="shared" si="156"/>
        <v/>
      </c>
      <c r="AK399" s="214" t="str">
        <f t="shared" si="157"/>
        <v/>
      </c>
      <c r="AL399" s="214" t="str">
        <f t="shared" si="158"/>
        <v/>
      </c>
      <c r="AM399" s="214" t="str">
        <f t="shared" si="159"/>
        <v/>
      </c>
      <c r="AN399" s="213" t="str">
        <f t="shared" si="142"/>
        <v>2012</v>
      </c>
      <c r="AO399" s="213" t="str">
        <f t="shared" si="143"/>
        <v>2012</v>
      </c>
      <c r="AP399" s="213" t="str">
        <f t="shared" si="144"/>
        <v>2012</v>
      </c>
      <c r="AQ399" s="215" t="str">
        <f t="shared" si="145"/>
        <v/>
      </c>
      <c r="AR399" s="216" t="str">
        <f t="shared" si="146"/>
        <v>BiK51aM2K12-03</v>
      </c>
      <c r="AS399" s="215" t="str">
        <f t="shared" si="147"/>
        <v/>
      </c>
      <c r="AT399">
        <f t="shared" si="148"/>
        <v>14</v>
      </c>
      <c r="AU399" s="216" t="str">
        <f t="shared" si="149"/>
        <v>0,15-0,5 MW, Bonusregeln M2 und K erstmals 2012</v>
      </c>
      <c r="AV399" s="215" t="str">
        <f t="shared" si="150"/>
        <v/>
      </c>
      <c r="AW399" s="216" t="str">
        <f t="shared" si="151"/>
        <v>Anteil KWK, erstmals 2012</v>
      </c>
      <c r="AX399" s="215" t="str">
        <f t="shared" si="152"/>
        <v/>
      </c>
      <c r="AY399" t="str">
        <f t="shared" si="153"/>
        <v/>
      </c>
      <c r="AZ399" t="str">
        <f t="shared" si="154"/>
        <v>x</v>
      </c>
    </row>
    <row r="400" spans="1:52" s="178" customFormat="1" x14ac:dyDescent="0.25">
      <c r="A400" s="610" t="s">
        <v>1954</v>
      </c>
      <c r="B400" s="30" t="s">
        <v>5548</v>
      </c>
      <c r="C400" s="30" t="s">
        <v>3727</v>
      </c>
      <c r="D400" s="30" t="s">
        <v>7052</v>
      </c>
      <c r="E400" s="30" t="s">
        <v>4810</v>
      </c>
      <c r="F400" s="454">
        <f t="shared" si="160"/>
        <v>19</v>
      </c>
      <c r="G400" s="529">
        <v>19</v>
      </c>
      <c r="H400" s="487">
        <f t="shared" si="161"/>
        <v>15.2</v>
      </c>
      <c r="I400" s="706"/>
      <c r="J400" s="669" t="s">
        <v>5805</v>
      </c>
      <c r="K400" s="15"/>
      <c r="L400"/>
      <c r="M400" s="49">
        <f t="shared" si="162"/>
        <v>19</v>
      </c>
      <c r="N400" s="41">
        <v>10</v>
      </c>
      <c r="O400" s="176"/>
      <c r="P400" s="183"/>
      <c r="Q400" s="184"/>
      <c r="R400" s="184"/>
      <c r="S400" s="184" t="s">
        <v>4180</v>
      </c>
      <c r="T400" s="178" t="s">
        <v>4180</v>
      </c>
      <c r="U400" s="185" t="s">
        <v>1017</v>
      </c>
      <c r="V400" s="184"/>
      <c r="W400" s="180"/>
      <c r="X400" s="180"/>
      <c r="Z400" s="180"/>
      <c r="AA400" s="184" t="s">
        <v>1017</v>
      </c>
      <c r="AB400" s="184"/>
      <c r="AC400" s="180"/>
      <c r="AD400" s="182"/>
      <c r="AE400" s="181"/>
      <c r="AF400" s="182"/>
      <c r="AG400" s="182"/>
      <c r="AH400" s="212" t="str">
        <f>IF(ISERROR(SEARCH("K erstmals 201",D400)),"",RIGHT(D400,4))</f>
        <v/>
      </c>
      <c r="AI400" s="214" t="str">
        <f t="shared" si="155"/>
        <v/>
      </c>
      <c r="AJ400" s="214" t="str">
        <f t="shared" si="156"/>
        <v/>
      </c>
      <c r="AK400" s="214" t="str">
        <f t="shared" si="157"/>
        <v/>
      </c>
      <c r="AL400" s="214" t="str">
        <f t="shared" si="158"/>
        <v/>
      </c>
      <c r="AM400" s="214" t="str">
        <f t="shared" si="159"/>
        <v/>
      </c>
      <c r="AN400" s="213" t="str">
        <f t="shared" si="142"/>
        <v/>
      </c>
      <c r="AO400" s="213" t="str">
        <f t="shared" si="143"/>
        <v/>
      </c>
      <c r="AP400" s="213" t="str">
        <f t="shared" si="144"/>
        <v/>
      </c>
      <c r="AQ400" s="215" t="str">
        <f t="shared" si="145"/>
        <v/>
      </c>
      <c r="AR400" s="216" t="str">
        <f t="shared" si="146"/>
        <v>BiK51aM2y---03</v>
      </c>
      <c r="AS400" s="215" t="str">
        <f t="shared" si="147"/>
        <v/>
      </c>
      <c r="AT400">
        <f t="shared" si="148"/>
        <v>14</v>
      </c>
      <c r="AU400" s="216" t="str">
        <f t="shared" si="149"/>
        <v>0,15-0,5 MW, Bonusregeln M2, y</v>
      </c>
      <c r="AV400" s="215" t="str">
        <f t="shared" si="150"/>
        <v/>
      </c>
      <c r="AW400" s="216" t="str">
        <f t="shared" si="151"/>
        <v>Anteil Nicht-KWK</v>
      </c>
      <c r="AX400" s="215" t="str">
        <f t="shared" si="152"/>
        <v/>
      </c>
      <c r="AY400" t="str">
        <f t="shared" si="153"/>
        <v/>
      </c>
      <c r="AZ400" t="str">
        <f t="shared" si="154"/>
        <v/>
      </c>
    </row>
    <row r="401" spans="1:52" s="178" customFormat="1" x14ac:dyDescent="0.25">
      <c r="A401" s="610" t="s">
        <v>1955</v>
      </c>
      <c r="B401" s="30" t="s">
        <v>5548</v>
      </c>
      <c r="C401" s="30" t="s">
        <v>3727</v>
      </c>
      <c r="D401" s="109" t="s">
        <v>7053</v>
      </c>
      <c r="E401" s="30" t="s">
        <v>4331</v>
      </c>
      <c r="F401" s="454">
        <f t="shared" si="160"/>
        <v>22</v>
      </c>
      <c r="G401" s="529">
        <v>22</v>
      </c>
      <c r="H401" s="487">
        <f t="shared" si="161"/>
        <v>17.600000000000001</v>
      </c>
      <c r="I401" s="706"/>
      <c r="J401" s="669" t="s">
        <v>5805</v>
      </c>
      <c r="K401" s="15"/>
      <c r="L401"/>
      <c r="M401" s="49">
        <f t="shared" si="162"/>
        <v>22</v>
      </c>
      <c r="N401" s="41">
        <v>10</v>
      </c>
      <c r="O401" s="176"/>
      <c r="P401" s="184" t="s">
        <v>1017</v>
      </c>
      <c r="Q401" s="184"/>
      <c r="R401" s="184"/>
      <c r="S401" s="184" t="s">
        <v>4180</v>
      </c>
      <c r="T401" s="178" t="s">
        <v>4180</v>
      </c>
      <c r="U401" s="185" t="s">
        <v>1017</v>
      </c>
      <c r="V401" s="184"/>
      <c r="W401" s="180"/>
      <c r="X401" s="180"/>
      <c r="Z401" s="180"/>
      <c r="AA401" s="184" t="s">
        <v>1017</v>
      </c>
      <c r="AB401" s="184"/>
      <c r="AC401" s="180"/>
      <c r="AD401" s="182"/>
      <c r="AE401" s="181"/>
      <c r="AF401" s="182"/>
      <c r="AG401" s="182"/>
      <c r="AH401" s="212" t="str">
        <f>IF(ISERROR(SEARCH("K erstmals 201",D401)),"",RIGHT(D401,4))</f>
        <v/>
      </c>
      <c r="AI401" s="214" t="str">
        <f t="shared" si="155"/>
        <v/>
      </c>
      <c r="AJ401" s="214" t="str">
        <f t="shared" si="156"/>
        <v/>
      </c>
      <c r="AK401" s="214" t="str">
        <f t="shared" si="157"/>
        <v/>
      </c>
      <c r="AL401" s="214" t="str">
        <f t="shared" si="158"/>
        <v/>
      </c>
      <c r="AM401" s="214" t="str">
        <f t="shared" si="159"/>
        <v/>
      </c>
      <c r="AN401" s="213" t="str">
        <f t="shared" si="142"/>
        <v/>
      </c>
      <c r="AO401" s="213" t="str">
        <f t="shared" si="143"/>
        <v/>
      </c>
      <c r="AP401" s="213" t="str">
        <f t="shared" si="144"/>
        <v/>
      </c>
      <c r="AQ401" s="215" t="str">
        <f t="shared" si="145"/>
        <v/>
      </c>
      <c r="AR401" s="216" t="str">
        <f t="shared" si="146"/>
        <v>BiK51aM2KA3y03</v>
      </c>
      <c r="AS401" s="215" t="str">
        <f t="shared" si="147"/>
        <v/>
      </c>
      <c r="AT401">
        <f t="shared" si="148"/>
        <v>14</v>
      </c>
      <c r="AU401" s="216" t="str">
        <f t="shared" si="149"/>
        <v>0,15-0,5 MW, Bonusregeln M2, y und K wenn Anlage 3 erfüllt</v>
      </c>
      <c r="AV401" s="215" t="str">
        <f t="shared" si="150"/>
        <v/>
      </c>
      <c r="AW401" s="216" t="str">
        <f t="shared" si="151"/>
        <v>Anteil KWK gemäß Anlage 3</v>
      </c>
      <c r="AX401" s="215" t="str">
        <f t="shared" si="152"/>
        <v/>
      </c>
      <c r="AY401" t="str">
        <f t="shared" si="153"/>
        <v/>
      </c>
      <c r="AZ401" t="str">
        <f t="shared" si="154"/>
        <v/>
      </c>
    </row>
    <row r="402" spans="1:52" s="178" customFormat="1" x14ac:dyDescent="0.25">
      <c r="A402" s="610" t="s">
        <v>1956</v>
      </c>
      <c r="B402" s="30" t="s">
        <v>5548</v>
      </c>
      <c r="C402" s="30" t="s">
        <v>3727</v>
      </c>
      <c r="D402" s="30" t="s">
        <v>7054</v>
      </c>
      <c r="E402" s="30" t="s">
        <v>674</v>
      </c>
      <c r="F402" s="454">
        <f t="shared" si="160"/>
        <v>22</v>
      </c>
      <c r="G402" s="529">
        <v>22</v>
      </c>
      <c r="H402" s="487">
        <f t="shared" si="161"/>
        <v>17.600000000000001</v>
      </c>
      <c r="I402" s="706"/>
      <c r="J402" s="669" t="s">
        <v>5805</v>
      </c>
      <c r="K402" s="15"/>
      <c r="L402"/>
      <c r="M402" s="49">
        <f t="shared" si="162"/>
        <v>22</v>
      </c>
      <c r="N402" s="41">
        <v>10</v>
      </c>
      <c r="O402" s="176"/>
      <c r="P402" s="183"/>
      <c r="Q402" s="184" t="s">
        <v>1017</v>
      </c>
      <c r="R402" s="184"/>
      <c r="S402" s="184" t="s">
        <v>4180</v>
      </c>
      <c r="T402" s="178" t="s">
        <v>4180</v>
      </c>
      <c r="U402" s="185" t="s">
        <v>1017</v>
      </c>
      <c r="V402" s="184"/>
      <c r="W402" s="180"/>
      <c r="X402" s="180"/>
      <c r="Z402" s="180"/>
      <c r="AA402" s="184" t="s">
        <v>1017</v>
      </c>
      <c r="AB402" s="184"/>
      <c r="AC402" s="180"/>
      <c r="AD402" s="182"/>
      <c r="AE402" s="181"/>
      <c r="AF402" s="182"/>
      <c r="AG402" s="182"/>
      <c r="AH402" s="212" t="str">
        <f>IF(ISERROR(SEARCH("K erstmals 201",D402)),"",RIGHT(D402,4))</f>
        <v/>
      </c>
      <c r="AI402" s="214" t="str">
        <f t="shared" si="155"/>
        <v/>
      </c>
      <c r="AJ402" s="214" t="str">
        <f t="shared" si="156"/>
        <v/>
      </c>
      <c r="AK402" s="214" t="str">
        <f t="shared" si="157"/>
        <v/>
      </c>
      <c r="AL402" s="214" t="str">
        <f t="shared" si="158"/>
        <v/>
      </c>
      <c r="AM402" s="214" t="str">
        <f t="shared" si="159"/>
        <v/>
      </c>
      <c r="AN402" s="213" t="str">
        <f t="shared" si="142"/>
        <v/>
      </c>
      <c r="AO402" s="213" t="str">
        <f t="shared" si="143"/>
        <v/>
      </c>
      <c r="AP402" s="213" t="str">
        <f t="shared" si="144"/>
        <v/>
      </c>
      <c r="AQ402" s="215" t="str">
        <f t="shared" si="145"/>
        <v/>
      </c>
      <c r="AR402" s="216" t="str">
        <f t="shared" si="146"/>
        <v>BiK51aM2K09y03</v>
      </c>
      <c r="AS402" s="215" t="str">
        <f t="shared" si="147"/>
        <v/>
      </c>
      <c r="AT402">
        <f t="shared" si="148"/>
        <v>14</v>
      </c>
      <c r="AU402" s="216" t="str">
        <f t="shared" si="149"/>
        <v>0,15-0,5 MW, Bonusregeln M2, y und K erstmals 2009</v>
      </c>
      <c r="AV402" s="215" t="str">
        <f t="shared" si="150"/>
        <v/>
      </c>
      <c r="AW402" s="216" t="str">
        <f t="shared" si="151"/>
        <v>Anteil KWK, erstmals 2009</v>
      </c>
      <c r="AX402" s="215" t="str">
        <f t="shared" si="152"/>
        <v/>
      </c>
      <c r="AY402" t="str">
        <f t="shared" si="153"/>
        <v/>
      </c>
      <c r="AZ402" t="str">
        <f t="shared" si="154"/>
        <v/>
      </c>
    </row>
    <row r="403" spans="1:52" s="178" customFormat="1" x14ac:dyDescent="0.25">
      <c r="A403" s="610" t="s">
        <v>1618</v>
      </c>
      <c r="B403" s="30" t="s">
        <v>5548</v>
      </c>
      <c r="C403" s="30" t="s">
        <v>3727</v>
      </c>
      <c r="D403" s="30" t="s">
        <v>7055</v>
      </c>
      <c r="E403" s="30" t="s">
        <v>3567</v>
      </c>
      <c r="F403" s="454">
        <f t="shared" si="160"/>
        <v>21.97</v>
      </c>
      <c r="G403" s="529">
        <v>21.97</v>
      </c>
      <c r="H403" s="487">
        <f t="shared" si="161"/>
        <v>17.579999999999998</v>
      </c>
      <c r="I403" s="706"/>
      <c r="J403" s="669" t="s">
        <v>5805</v>
      </c>
      <c r="K403" s="15"/>
      <c r="L403"/>
      <c r="M403" s="49">
        <f t="shared" si="162"/>
        <v>21.97</v>
      </c>
      <c r="N403" s="41">
        <v>10</v>
      </c>
      <c r="O403" s="176"/>
      <c r="P403" s="183"/>
      <c r="Q403" s="184"/>
      <c r="R403" s="184" t="s">
        <v>1017</v>
      </c>
      <c r="S403" s="184" t="s">
        <v>4180</v>
      </c>
      <c r="T403" s="178" t="s">
        <v>4180</v>
      </c>
      <c r="U403" s="185" t="s">
        <v>1017</v>
      </c>
      <c r="V403" s="184"/>
      <c r="W403" s="180"/>
      <c r="X403" s="180"/>
      <c r="Z403" s="180"/>
      <c r="AA403" s="184" t="s">
        <v>1017</v>
      </c>
      <c r="AB403" s="184"/>
      <c r="AC403" s="180"/>
      <c r="AD403" s="182"/>
      <c r="AE403" s="181"/>
      <c r="AF403" s="182"/>
      <c r="AG403" s="182"/>
      <c r="AH403" s="212" t="str">
        <f>IF(ISERROR(SEARCH("K erstmals 201",D403)),"",RIGHT(D403,4))</f>
        <v>2010</v>
      </c>
      <c r="AI403" s="214" t="str">
        <f t="shared" si="155"/>
        <v/>
      </c>
      <c r="AJ403" s="214" t="str">
        <f t="shared" si="156"/>
        <v/>
      </c>
      <c r="AK403" s="214" t="str">
        <f t="shared" si="157"/>
        <v/>
      </c>
      <c r="AL403" s="214" t="str">
        <f t="shared" si="158"/>
        <v/>
      </c>
      <c r="AM403" s="214" t="str">
        <f t="shared" si="159"/>
        <v/>
      </c>
      <c r="AN403" s="213" t="str">
        <f t="shared" si="142"/>
        <v>2010</v>
      </c>
      <c r="AO403" s="213" t="str">
        <f t="shared" si="143"/>
        <v>2010</v>
      </c>
      <c r="AP403" s="213" t="str">
        <f t="shared" si="144"/>
        <v>2010</v>
      </c>
      <c r="AQ403" s="215" t="str">
        <f t="shared" si="145"/>
        <v/>
      </c>
      <c r="AR403" s="216" t="str">
        <f t="shared" si="146"/>
        <v>BiK51aM2K10y03</v>
      </c>
      <c r="AS403" s="215" t="str">
        <f t="shared" si="147"/>
        <v/>
      </c>
      <c r="AT403">
        <f t="shared" si="148"/>
        <v>14</v>
      </c>
      <c r="AU403" s="216" t="str">
        <f t="shared" si="149"/>
        <v>0,15-0,5 MW, Bonusregeln M2, y und K erstmals 2010</v>
      </c>
      <c r="AV403" s="215" t="str">
        <f t="shared" si="150"/>
        <v/>
      </c>
      <c r="AW403" s="216" t="str">
        <f t="shared" si="151"/>
        <v>Anteil KWK, erstmals 2010</v>
      </c>
      <c r="AX403" s="215" t="str">
        <f t="shared" si="152"/>
        <v/>
      </c>
      <c r="AY403" t="str">
        <f t="shared" si="153"/>
        <v/>
      </c>
      <c r="AZ403" t="str">
        <f t="shared" si="154"/>
        <v/>
      </c>
    </row>
    <row r="404" spans="1:52" s="178" customFormat="1" x14ac:dyDescent="0.25">
      <c r="A404" s="610" t="s">
        <v>5233</v>
      </c>
      <c r="B404" s="30" t="s">
        <v>5548</v>
      </c>
      <c r="C404" s="30" t="s">
        <v>3727</v>
      </c>
      <c r="D404" s="30" t="s">
        <v>7056</v>
      </c>
      <c r="E404" s="30" t="s">
        <v>3055</v>
      </c>
      <c r="F404" s="454">
        <f t="shared" si="160"/>
        <v>21.939999999999998</v>
      </c>
      <c r="G404" s="529">
        <v>21.939999999999998</v>
      </c>
      <c r="H404" s="487">
        <f t="shared" si="161"/>
        <v>17.55</v>
      </c>
      <c r="I404" s="706"/>
      <c r="J404" s="669" t="s">
        <v>5805</v>
      </c>
      <c r="K404" s="15"/>
      <c r="L404"/>
      <c r="M404" s="49">
        <f t="shared" si="162"/>
        <v>21.939999999999998</v>
      </c>
      <c r="N404" s="41">
        <v>10</v>
      </c>
      <c r="O404" s="176"/>
      <c r="P404" s="183"/>
      <c r="Q404" s="184"/>
      <c r="S404" s="184" t="s">
        <v>1017</v>
      </c>
      <c r="T404" s="178" t="s">
        <v>4180</v>
      </c>
      <c r="U404" s="185" t="s">
        <v>1017</v>
      </c>
      <c r="V404" s="184"/>
      <c r="W404" s="180"/>
      <c r="X404" s="180"/>
      <c r="Z404" s="180"/>
      <c r="AA404" s="184" t="s">
        <v>1017</v>
      </c>
      <c r="AB404" s="184"/>
      <c r="AC404" s="180"/>
      <c r="AD404" s="182"/>
      <c r="AE404" s="181"/>
      <c r="AF404" s="182"/>
      <c r="AG404" s="182"/>
      <c r="AH404" s="212" t="str">
        <f>IF(ISERROR(SEARCH("K erstmals 201",D404)),"",RIGHT(D404,4))</f>
        <v>2011</v>
      </c>
      <c r="AI404" s="214" t="str">
        <f t="shared" si="155"/>
        <v/>
      </c>
      <c r="AJ404" s="214" t="str">
        <f t="shared" si="156"/>
        <v/>
      </c>
      <c r="AK404" s="214" t="str">
        <f t="shared" si="157"/>
        <v/>
      </c>
      <c r="AL404" s="214" t="str">
        <f t="shared" si="158"/>
        <v/>
      </c>
      <c r="AM404" s="214" t="str">
        <f t="shared" si="159"/>
        <v/>
      </c>
      <c r="AN404" s="213" t="str">
        <f t="shared" si="142"/>
        <v>2011</v>
      </c>
      <c r="AO404" s="213" t="str">
        <f t="shared" si="143"/>
        <v>2011</v>
      </c>
      <c r="AP404" s="213" t="str">
        <f t="shared" si="144"/>
        <v>2011</v>
      </c>
      <c r="AQ404" s="215" t="str">
        <f t="shared" si="145"/>
        <v/>
      </c>
      <c r="AR404" s="216" t="str">
        <f t="shared" si="146"/>
        <v>BiK51aM2K11y03</v>
      </c>
      <c r="AS404" s="215" t="str">
        <f t="shared" si="147"/>
        <v/>
      </c>
      <c r="AT404">
        <f t="shared" si="148"/>
        <v>14</v>
      </c>
      <c r="AU404" s="216" t="str">
        <f t="shared" si="149"/>
        <v>0,15-0,5 MW, Bonusregeln M2, y und K erstmals 2011</v>
      </c>
      <c r="AV404" s="215" t="str">
        <f t="shared" si="150"/>
        <v/>
      </c>
      <c r="AW404" s="216" t="str">
        <f t="shared" si="151"/>
        <v>Anteil KWK, erstmals 2011</v>
      </c>
      <c r="AX404" s="215" t="str">
        <f t="shared" si="152"/>
        <v/>
      </c>
      <c r="AY404" t="str">
        <f t="shared" si="153"/>
        <v>x</v>
      </c>
      <c r="AZ404" t="str">
        <f t="shared" si="154"/>
        <v/>
      </c>
    </row>
    <row r="405" spans="1:52" s="178" customFormat="1" x14ac:dyDescent="0.25">
      <c r="A405" s="625" t="s">
        <v>3540</v>
      </c>
      <c r="B405" s="219" t="s">
        <v>5548</v>
      </c>
      <c r="C405" s="219" t="s">
        <v>3727</v>
      </c>
      <c r="D405" s="219" t="s">
        <v>7057</v>
      </c>
      <c r="E405" s="219" t="s">
        <v>1980</v>
      </c>
      <c r="F405" s="455">
        <f t="shared" si="160"/>
        <v>21.91</v>
      </c>
      <c r="G405" s="530">
        <v>21.91</v>
      </c>
      <c r="H405" s="488">
        <f t="shared" si="161"/>
        <v>17.53</v>
      </c>
      <c r="I405" s="707"/>
      <c r="J405" s="669" t="s">
        <v>5805</v>
      </c>
      <c r="K405" s="15"/>
      <c r="L405"/>
      <c r="M405" s="49">
        <f t="shared" si="162"/>
        <v>21.91</v>
      </c>
      <c r="N405" s="41">
        <v>10</v>
      </c>
      <c r="O405" s="176"/>
      <c r="P405" s="183"/>
      <c r="Q405" s="184"/>
      <c r="S405" s="184" t="s">
        <v>4180</v>
      </c>
      <c r="T405" s="178" t="s">
        <v>1017</v>
      </c>
      <c r="U405" s="185" t="s">
        <v>1017</v>
      </c>
      <c r="V405" s="184"/>
      <c r="W405" s="180"/>
      <c r="X405" s="180"/>
      <c r="Z405" s="180"/>
      <c r="AA405" s="184" t="s">
        <v>1017</v>
      </c>
      <c r="AB405" s="184"/>
      <c r="AC405" s="180"/>
      <c r="AD405" s="182"/>
      <c r="AE405" s="181"/>
      <c r="AF405" s="182"/>
      <c r="AG405" s="182"/>
      <c r="AH405" s="217" t="s">
        <v>4179</v>
      </c>
      <c r="AI405" s="214" t="str">
        <f t="shared" si="155"/>
        <v/>
      </c>
      <c r="AJ405" s="214" t="str">
        <f t="shared" si="156"/>
        <v/>
      </c>
      <c r="AK405" s="214" t="str">
        <f t="shared" si="157"/>
        <v/>
      </c>
      <c r="AL405" s="214" t="str">
        <f t="shared" si="158"/>
        <v/>
      </c>
      <c r="AM405" s="214" t="str">
        <f t="shared" si="159"/>
        <v/>
      </c>
      <c r="AN405" s="213" t="str">
        <f t="shared" si="142"/>
        <v>2012</v>
      </c>
      <c r="AO405" s="213" t="str">
        <f t="shared" si="143"/>
        <v>2012</v>
      </c>
      <c r="AP405" s="213" t="str">
        <f t="shared" si="144"/>
        <v>2012</v>
      </c>
      <c r="AQ405" s="215" t="str">
        <f t="shared" si="145"/>
        <v/>
      </c>
      <c r="AR405" s="216" t="str">
        <f t="shared" si="146"/>
        <v>BiK51aM2K12y03</v>
      </c>
      <c r="AS405" s="215" t="str">
        <f t="shared" si="147"/>
        <v/>
      </c>
      <c r="AT405">
        <f t="shared" si="148"/>
        <v>14</v>
      </c>
      <c r="AU405" s="216" t="str">
        <f t="shared" si="149"/>
        <v>0,15-0,5 MW, Bonusregeln M2, y und K erstmals 2012</v>
      </c>
      <c r="AV405" s="215" t="str">
        <f t="shared" si="150"/>
        <v/>
      </c>
      <c r="AW405" s="216" t="str">
        <f t="shared" si="151"/>
        <v>Anteil KWK, erstmals 2012</v>
      </c>
      <c r="AX405" s="215" t="str">
        <f t="shared" si="152"/>
        <v/>
      </c>
      <c r="AY405" t="str">
        <f t="shared" si="153"/>
        <v/>
      </c>
      <c r="AZ405" t="str">
        <f t="shared" si="154"/>
        <v>x</v>
      </c>
    </row>
    <row r="406" spans="1:52" s="178" customFormat="1" x14ac:dyDescent="0.25">
      <c r="A406" s="610" t="s">
        <v>1957</v>
      </c>
      <c r="B406" s="30" t="s">
        <v>5548</v>
      </c>
      <c r="C406" s="30" t="s">
        <v>3727</v>
      </c>
      <c r="D406" s="30" t="s">
        <v>7058</v>
      </c>
      <c r="E406" s="30" t="s">
        <v>4810</v>
      </c>
      <c r="F406" s="454">
        <f t="shared" si="160"/>
        <v>19</v>
      </c>
      <c r="G406" s="529">
        <v>19</v>
      </c>
      <c r="H406" s="487">
        <f t="shared" si="161"/>
        <v>15.2</v>
      </c>
      <c r="I406" s="706"/>
      <c r="J406" s="669" t="s">
        <v>5805</v>
      </c>
      <c r="K406" s="15"/>
      <c r="L406"/>
      <c r="M406" s="49">
        <f t="shared" si="162"/>
        <v>19</v>
      </c>
      <c r="N406" s="41">
        <v>10</v>
      </c>
      <c r="O406" s="176"/>
      <c r="P406" s="177"/>
      <c r="S406" s="178" t="s">
        <v>4180</v>
      </c>
      <c r="T406" s="178" t="s">
        <v>4180</v>
      </c>
      <c r="U406" s="179"/>
      <c r="W406" s="180"/>
      <c r="X406" s="180"/>
      <c r="Z406" s="180"/>
      <c r="AA406" s="184"/>
      <c r="AB406" s="178" t="s">
        <v>1017</v>
      </c>
      <c r="AC406" s="180"/>
      <c r="AD406" s="182"/>
      <c r="AE406" s="181"/>
      <c r="AF406" s="182"/>
      <c r="AG406" s="182"/>
      <c r="AH406" s="212" t="str">
        <f>IF(ISERROR(SEARCH("K erstmals 201",D406)),"",RIGHT(D406,4))</f>
        <v/>
      </c>
      <c r="AI406" s="214" t="str">
        <f t="shared" si="155"/>
        <v/>
      </c>
      <c r="AJ406" s="214" t="str">
        <f t="shared" si="156"/>
        <v/>
      </c>
      <c r="AK406" s="214" t="str">
        <f t="shared" si="157"/>
        <v/>
      </c>
      <c r="AL406" s="214" t="str">
        <f t="shared" si="158"/>
        <v/>
      </c>
      <c r="AM406" s="214" t="str">
        <f t="shared" si="159"/>
        <v/>
      </c>
      <c r="AN406" s="213" t="str">
        <f t="shared" si="142"/>
        <v/>
      </c>
      <c r="AO406" s="213" t="str">
        <f t="shared" si="143"/>
        <v/>
      </c>
      <c r="AP406" s="213" t="str">
        <f t="shared" si="144"/>
        <v/>
      </c>
      <c r="AQ406" s="215" t="str">
        <f t="shared" si="145"/>
        <v/>
      </c>
      <c r="AR406" s="216" t="str">
        <f t="shared" si="146"/>
        <v>BiK51aL-----03</v>
      </c>
      <c r="AS406" s="215" t="str">
        <f t="shared" si="147"/>
        <v/>
      </c>
      <c r="AT406">
        <f t="shared" si="148"/>
        <v>14</v>
      </c>
      <c r="AU406" s="216" t="str">
        <f t="shared" si="149"/>
        <v>0,15-0,5 MW, Bonusregel L</v>
      </c>
      <c r="AV406" s="215" t="str">
        <f t="shared" si="150"/>
        <v/>
      </c>
      <c r="AW406" s="216" t="str">
        <f t="shared" si="151"/>
        <v>Anteil Nicht-KWK</v>
      </c>
      <c r="AX406" s="215" t="str">
        <f t="shared" si="152"/>
        <v/>
      </c>
      <c r="AY406" t="str">
        <f t="shared" si="153"/>
        <v/>
      </c>
      <c r="AZ406" t="str">
        <f t="shared" si="154"/>
        <v/>
      </c>
    </row>
    <row r="407" spans="1:52" s="178" customFormat="1" x14ac:dyDescent="0.25">
      <c r="A407" s="610" t="s">
        <v>1958</v>
      </c>
      <c r="B407" s="30" t="s">
        <v>5548</v>
      </c>
      <c r="C407" s="30" t="s">
        <v>3727</v>
      </c>
      <c r="D407" s="30" t="s">
        <v>7059</v>
      </c>
      <c r="E407" s="30" t="s">
        <v>4331</v>
      </c>
      <c r="F407" s="454">
        <f t="shared" si="160"/>
        <v>22</v>
      </c>
      <c r="G407" s="529">
        <v>22</v>
      </c>
      <c r="H407" s="487">
        <f t="shared" si="161"/>
        <v>17.600000000000001</v>
      </c>
      <c r="I407" s="706"/>
      <c r="J407" s="669" t="s">
        <v>5805</v>
      </c>
      <c r="K407" s="15"/>
      <c r="L407"/>
      <c r="M407" s="49">
        <f t="shared" si="162"/>
        <v>22</v>
      </c>
      <c r="N407" s="41">
        <v>10</v>
      </c>
      <c r="O407" s="176"/>
      <c r="P407" s="178" t="s">
        <v>1017</v>
      </c>
      <c r="S407" s="178" t="s">
        <v>4180</v>
      </c>
      <c r="T407" s="178" t="s">
        <v>4180</v>
      </c>
      <c r="U407" s="179"/>
      <c r="W407" s="180"/>
      <c r="X407" s="180"/>
      <c r="Z407" s="180"/>
      <c r="AA407" s="184"/>
      <c r="AB407" s="178" t="s">
        <v>1017</v>
      </c>
      <c r="AC407" s="180"/>
      <c r="AD407" s="182"/>
      <c r="AE407" s="181"/>
      <c r="AF407" s="182"/>
      <c r="AG407" s="182"/>
      <c r="AH407" s="212" t="str">
        <f>IF(ISERROR(SEARCH("K erstmals 201",D407)),"",RIGHT(D407,4))</f>
        <v/>
      </c>
      <c r="AI407" s="214" t="str">
        <f t="shared" si="155"/>
        <v/>
      </c>
      <c r="AJ407" s="214" t="str">
        <f t="shared" si="156"/>
        <v/>
      </c>
      <c r="AK407" s="214" t="str">
        <f t="shared" si="157"/>
        <v/>
      </c>
      <c r="AL407" s="214" t="str">
        <f t="shared" si="158"/>
        <v/>
      </c>
      <c r="AM407" s="214" t="str">
        <f t="shared" si="159"/>
        <v/>
      </c>
      <c r="AN407" s="213" t="str">
        <f t="shared" si="142"/>
        <v/>
      </c>
      <c r="AO407" s="213" t="str">
        <f t="shared" si="143"/>
        <v/>
      </c>
      <c r="AP407" s="213" t="str">
        <f t="shared" si="144"/>
        <v/>
      </c>
      <c r="AQ407" s="215" t="str">
        <f t="shared" si="145"/>
        <v/>
      </c>
      <c r="AR407" s="216" t="str">
        <f t="shared" si="146"/>
        <v>BiK51aLKA3--03</v>
      </c>
      <c r="AS407" s="215" t="str">
        <f t="shared" si="147"/>
        <v/>
      </c>
      <c r="AT407">
        <f t="shared" si="148"/>
        <v>14</v>
      </c>
      <c r="AU407" s="216" t="str">
        <f t="shared" si="149"/>
        <v>0,15-0,5 MW, Bonusregeln L und K wenn Anlage 3 erfüllt</v>
      </c>
      <c r="AV407" s="215" t="str">
        <f t="shared" si="150"/>
        <v/>
      </c>
      <c r="AW407" s="216" t="str">
        <f t="shared" si="151"/>
        <v>Anteil KWK gemäß Anlage 3</v>
      </c>
      <c r="AX407" s="215" t="str">
        <f t="shared" si="152"/>
        <v/>
      </c>
      <c r="AY407" t="str">
        <f t="shared" si="153"/>
        <v/>
      </c>
      <c r="AZ407" t="str">
        <f t="shared" si="154"/>
        <v/>
      </c>
    </row>
    <row r="408" spans="1:52" s="178" customFormat="1" x14ac:dyDescent="0.25">
      <c r="A408" s="610" t="s">
        <v>4855</v>
      </c>
      <c r="B408" s="30" t="s">
        <v>5548</v>
      </c>
      <c r="C408" s="30" t="s">
        <v>3727</v>
      </c>
      <c r="D408" s="30" t="s">
        <v>7060</v>
      </c>
      <c r="E408" s="30" t="s">
        <v>674</v>
      </c>
      <c r="F408" s="454">
        <f t="shared" si="160"/>
        <v>22</v>
      </c>
      <c r="G408" s="529">
        <v>22</v>
      </c>
      <c r="H408" s="487">
        <f t="shared" si="161"/>
        <v>17.600000000000001</v>
      </c>
      <c r="I408" s="706"/>
      <c r="J408" s="669" t="s">
        <v>5805</v>
      </c>
      <c r="K408" s="15"/>
      <c r="L408"/>
      <c r="M408" s="49">
        <f t="shared" si="162"/>
        <v>22</v>
      </c>
      <c r="N408" s="41">
        <v>10</v>
      </c>
      <c r="O408" s="176"/>
      <c r="P408" s="177"/>
      <c r="Q408" s="178" t="s">
        <v>1017</v>
      </c>
      <c r="S408" s="178" t="s">
        <v>4180</v>
      </c>
      <c r="T408" s="178" t="s">
        <v>4180</v>
      </c>
      <c r="U408" s="179"/>
      <c r="W408" s="180"/>
      <c r="X408" s="180"/>
      <c r="Z408" s="180"/>
      <c r="AA408" s="184"/>
      <c r="AB408" s="178" t="s">
        <v>1017</v>
      </c>
      <c r="AC408" s="180"/>
      <c r="AD408" s="182"/>
      <c r="AE408" s="181"/>
      <c r="AF408" s="182"/>
      <c r="AG408" s="182"/>
      <c r="AH408" s="212" t="str">
        <f>IF(ISERROR(SEARCH("K erstmals 201",D408)),"",RIGHT(D408,4))</f>
        <v/>
      </c>
      <c r="AI408" s="214" t="str">
        <f t="shared" si="155"/>
        <v/>
      </c>
      <c r="AJ408" s="214" t="str">
        <f t="shared" si="156"/>
        <v/>
      </c>
      <c r="AK408" s="214" t="str">
        <f t="shared" si="157"/>
        <v/>
      </c>
      <c r="AL408" s="214" t="str">
        <f t="shared" si="158"/>
        <v/>
      </c>
      <c r="AM408" s="214" t="str">
        <f t="shared" si="159"/>
        <v/>
      </c>
      <c r="AN408" s="213" t="str">
        <f t="shared" si="142"/>
        <v/>
      </c>
      <c r="AO408" s="213" t="str">
        <f t="shared" si="143"/>
        <v/>
      </c>
      <c r="AP408" s="213" t="str">
        <f t="shared" si="144"/>
        <v/>
      </c>
      <c r="AQ408" s="215" t="str">
        <f t="shared" si="145"/>
        <v/>
      </c>
      <c r="AR408" s="216" t="str">
        <f t="shared" si="146"/>
        <v>BiK51aLK09--03</v>
      </c>
      <c r="AS408" s="215" t="str">
        <f t="shared" si="147"/>
        <v/>
      </c>
      <c r="AT408">
        <f t="shared" si="148"/>
        <v>14</v>
      </c>
      <c r="AU408" s="216" t="str">
        <f t="shared" si="149"/>
        <v>0,15-0,5 MW, Bonusregeln L und K erstmals 2009</v>
      </c>
      <c r="AV408" s="215" t="str">
        <f t="shared" si="150"/>
        <v/>
      </c>
      <c r="AW408" s="216" t="str">
        <f t="shared" si="151"/>
        <v>Anteil KWK, erstmals 2009</v>
      </c>
      <c r="AX408" s="215" t="str">
        <f t="shared" si="152"/>
        <v/>
      </c>
      <c r="AY408" t="str">
        <f t="shared" si="153"/>
        <v/>
      </c>
      <c r="AZ408" t="str">
        <f t="shared" si="154"/>
        <v/>
      </c>
    </row>
    <row r="409" spans="1:52" s="178" customFormat="1" x14ac:dyDescent="0.25">
      <c r="A409" s="610" t="s">
        <v>1619</v>
      </c>
      <c r="B409" s="30" t="s">
        <v>5548</v>
      </c>
      <c r="C409" s="30" t="s">
        <v>3727</v>
      </c>
      <c r="D409" s="30" t="s">
        <v>7061</v>
      </c>
      <c r="E409" s="30" t="s">
        <v>3567</v>
      </c>
      <c r="F409" s="454">
        <f t="shared" si="160"/>
        <v>21.97</v>
      </c>
      <c r="G409" s="529">
        <v>21.97</v>
      </c>
      <c r="H409" s="487">
        <f t="shared" si="161"/>
        <v>17.579999999999998</v>
      </c>
      <c r="I409" s="706"/>
      <c r="J409" s="669" t="s">
        <v>5805</v>
      </c>
      <c r="K409" s="15"/>
      <c r="L409"/>
      <c r="M409" s="49">
        <f t="shared" si="162"/>
        <v>21.97</v>
      </c>
      <c r="N409" s="41">
        <v>10</v>
      </c>
      <c r="O409" s="176"/>
      <c r="P409" s="177"/>
      <c r="R409" s="178" t="s">
        <v>1017</v>
      </c>
      <c r="S409" s="178" t="s">
        <v>4180</v>
      </c>
      <c r="T409" s="178" t="s">
        <v>4180</v>
      </c>
      <c r="U409" s="179"/>
      <c r="W409" s="180"/>
      <c r="X409" s="180"/>
      <c r="Z409" s="180"/>
      <c r="AA409" s="184"/>
      <c r="AB409" s="178" t="s">
        <v>1017</v>
      </c>
      <c r="AC409" s="180"/>
      <c r="AD409" s="182"/>
      <c r="AE409" s="181"/>
      <c r="AF409" s="182"/>
      <c r="AG409" s="182"/>
      <c r="AH409" s="212" t="str">
        <f>IF(ISERROR(SEARCH("K erstmals 201",D409)),"",RIGHT(D409,4))</f>
        <v>2010</v>
      </c>
      <c r="AI409" s="214" t="str">
        <f t="shared" si="155"/>
        <v/>
      </c>
      <c r="AJ409" s="214" t="str">
        <f t="shared" si="156"/>
        <v/>
      </c>
      <c r="AK409" s="214" t="str">
        <f t="shared" si="157"/>
        <v/>
      </c>
      <c r="AL409" s="214" t="str">
        <f t="shared" si="158"/>
        <v/>
      </c>
      <c r="AM409" s="214" t="str">
        <f t="shared" si="159"/>
        <v/>
      </c>
      <c r="AN409" s="213" t="str">
        <f t="shared" ref="AN409:AN440" si="163">IF(ISERROR(SEARCH("K1",A409)),"","20"&amp;MID(A409,SEARCH("K1",A409)+1,2))</f>
        <v>2010</v>
      </c>
      <c r="AO409" s="213" t="str">
        <f t="shared" ref="AO409:AO440" si="164">IF(ISERROR(SEARCH("erstmals 201",E409)),"",MID(E409,SEARCH("erstmals ",E409)+9,4))</f>
        <v>2010</v>
      </c>
      <c r="AP409" s="213" t="str">
        <f t="shared" ref="AP409:AP440" si="165">IF(R409="x","2010",IF(S409="x","2011",IF(T409="x","2012","")))</f>
        <v>2010</v>
      </c>
      <c r="AQ409" s="215" t="str">
        <f t="shared" ref="AQ409:AQ440" si="166">IF(OR(AH409&lt;&gt;AN409,AH409&lt;&gt;AO409,AH409&lt;&gt;AP409),"DIFF","")</f>
        <v/>
      </c>
      <c r="AR409" s="216" t="str">
        <f t="shared" ref="AR409:AR440" si="167">IF(A409="","",IF(ISERROR(SEARCH("K1",A409)),A409,LEFT(A409,SEARCH("K1",A409)+1)&amp;RIGHT(AH409,1)&amp;MID(A409,SEARCH("K1",A409)+3,14)))</f>
        <v>BiK51aLK10--03</v>
      </c>
      <c r="AS409" s="215" t="str">
        <f t="shared" ref="AS409:AS440" si="168">IF(OR(A409&lt;&gt;AR409),"DIFF","")</f>
        <v/>
      </c>
      <c r="AT409">
        <f t="shared" ref="AT409:AT440" si="169">LEN(AR409)</f>
        <v>14</v>
      </c>
      <c r="AU409" s="216" t="str">
        <f t="shared" ref="AU409:AU440" si="170">IF(D409="","",IF(OR(A409="",ISERROR(SEARCH("erstmals 201",D409))),D409,LEFT(D409,SEARCH("erstmals 201",D409)+8) &amp; AH409 &amp; MID(D409,SEARCH("erstmals 201",D409)+13,255)))</f>
        <v>0,15-0,5 MW, Bonusregeln L und K erstmals 2010</v>
      </c>
      <c r="AV409" s="215" t="str">
        <f t="shared" ref="AV409:AV440" si="171">IF(OR(D409&lt;&gt;AU409),"DIFF","")</f>
        <v/>
      </c>
      <c r="AW409" s="216" t="str">
        <f t="shared" ref="AW409:AW440" si="172">IF(E409="","",IF(OR(E409="",ISERROR(SEARCH("erstmals 201",E409))),E409,LEFT(E409,SEARCH("erstmals 201",E409)+8) &amp; AH409 &amp; MID(E409,SEARCH("erstmals 201",E409)+13,255)))</f>
        <v>Anteil KWK, erstmals 2010</v>
      </c>
      <c r="AX409" s="215" t="str">
        <f t="shared" ref="AX409:AX440" si="173">IF(OR(E409&lt;&gt;AW409),"DIFF","")</f>
        <v/>
      </c>
      <c r="AY409" t="str">
        <f t="shared" ref="AY409:AY440" si="174">IF(AH409="2011","x",IF(AH409="2012","","" &amp; S409))</f>
        <v/>
      </c>
      <c r="AZ409" t="str">
        <f t="shared" ref="AZ409:AZ440" si="175">IF(AH409="2012","x",IF(AH409="2011","","" &amp; T409))</f>
        <v/>
      </c>
    </row>
    <row r="410" spans="1:52" s="178" customFormat="1" x14ac:dyDescent="0.25">
      <c r="A410" s="610" t="s">
        <v>5234</v>
      </c>
      <c r="B410" s="30" t="s">
        <v>5548</v>
      </c>
      <c r="C410" s="30" t="s">
        <v>3727</v>
      </c>
      <c r="D410" s="30" t="s">
        <v>7062</v>
      </c>
      <c r="E410" s="30" t="s">
        <v>3055</v>
      </c>
      <c r="F410" s="454">
        <f t="shared" si="160"/>
        <v>21.939999999999998</v>
      </c>
      <c r="G410" s="529">
        <v>21.939999999999998</v>
      </c>
      <c r="H410" s="487">
        <f t="shared" si="161"/>
        <v>17.55</v>
      </c>
      <c r="I410" s="706"/>
      <c r="J410" s="669" t="s">
        <v>5805</v>
      </c>
      <c r="K410" s="15"/>
      <c r="L410"/>
      <c r="M410" s="49">
        <f t="shared" si="162"/>
        <v>21.939999999999998</v>
      </c>
      <c r="N410" s="41">
        <v>10</v>
      </c>
      <c r="O410" s="176"/>
      <c r="P410" s="177"/>
      <c r="S410" s="178" t="s">
        <v>1017</v>
      </c>
      <c r="T410" s="178" t="s">
        <v>4180</v>
      </c>
      <c r="U410" s="179"/>
      <c r="W410" s="180"/>
      <c r="X410" s="180"/>
      <c r="Z410" s="180"/>
      <c r="AA410" s="184"/>
      <c r="AB410" s="178" t="s">
        <v>1017</v>
      </c>
      <c r="AC410" s="180"/>
      <c r="AD410" s="182"/>
      <c r="AE410" s="181"/>
      <c r="AF410" s="182"/>
      <c r="AG410" s="182"/>
      <c r="AH410" s="212" t="str">
        <f>IF(ISERROR(SEARCH("K erstmals 201",D410)),"",RIGHT(D410,4))</f>
        <v>2011</v>
      </c>
      <c r="AI410" s="214" t="str">
        <f t="shared" ref="AI410:AI441" si="176">IF(AND($AH410&lt;&gt;"",AH410 =AH409),"Gleich","")</f>
        <v/>
      </c>
      <c r="AJ410" s="214" t="str">
        <f t="shared" ref="AJ410:AJ441" si="177">IF(AND($AH410&lt;&gt;"",A410 =A409),"Gleich","")</f>
        <v/>
      </c>
      <c r="AK410" s="214" t="str">
        <f t="shared" ref="AK410:AK441" si="178">IF(AND($AH410&lt;&gt;"",D410 =D409),"Gleich","")</f>
        <v/>
      </c>
      <c r="AL410" s="214" t="str">
        <f t="shared" ref="AL410:AL441" si="179">IF(AND($AH410&lt;&gt;"",E410 =E409),"Gleich","")</f>
        <v/>
      </c>
      <c r="AM410" s="214" t="str">
        <f t="shared" ref="AM410:AM441" si="180">IF(AND($AH410&lt;&gt;"",F410 =F409),"Gleich","")</f>
        <v/>
      </c>
      <c r="AN410" s="213" t="str">
        <f t="shared" si="163"/>
        <v>2011</v>
      </c>
      <c r="AO410" s="213" t="str">
        <f t="shared" si="164"/>
        <v>2011</v>
      </c>
      <c r="AP410" s="213" t="str">
        <f t="shared" si="165"/>
        <v>2011</v>
      </c>
      <c r="AQ410" s="215" t="str">
        <f t="shared" si="166"/>
        <v/>
      </c>
      <c r="AR410" s="216" t="str">
        <f t="shared" si="167"/>
        <v>BiK51aLK11--03</v>
      </c>
      <c r="AS410" s="215" t="str">
        <f t="shared" si="168"/>
        <v/>
      </c>
      <c r="AT410">
        <f t="shared" si="169"/>
        <v>14</v>
      </c>
      <c r="AU410" s="216" t="str">
        <f t="shared" si="170"/>
        <v>0,15-0,5 MW, Bonusregeln L und K erstmals 2011</v>
      </c>
      <c r="AV410" s="215" t="str">
        <f t="shared" si="171"/>
        <v/>
      </c>
      <c r="AW410" s="216" t="str">
        <f t="shared" si="172"/>
        <v>Anteil KWK, erstmals 2011</v>
      </c>
      <c r="AX410" s="215" t="str">
        <f t="shared" si="173"/>
        <v/>
      </c>
      <c r="AY410" t="str">
        <f t="shared" si="174"/>
        <v>x</v>
      </c>
      <c r="AZ410" t="str">
        <f t="shared" si="175"/>
        <v/>
      </c>
    </row>
    <row r="411" spans="1:52" s="178" customFormat="1" x14ac:dyDescent="0.25">
      <c r="A411" s="625" t="s">
        <v>3541</v>
      </c>
      <c r="B411" s="219" t="s">
        <v>5548</v>
      </c>
      <c r="C411" s="219" t="s">
        <v>3727</v>
      </c>
      <c r="D411" s="219" t="s">
        <v>7063</v>
      </c>
      <c r="E411" s="219" t="s">
        <v>1980</v>
      </c>
      <c r="F411" s="455">
        <f t="shared" si="160"/>
        <v>21.91</v>
      </c>
      <c r="G411" s="530">
        <v>21.91</v>
      </c>
      <c r="H411" s="488">
        <f t="shared" si="161"/>
        <v>17.53</v>
      </c>
      <c r="I411" s="707"/>
      <c r="J411" s="669" t="s">
        <v>5805</v>
      </c>
      <c r="K411" s="15"/>
      <c r="L411"/>
      <c r="M411" s="49">
        <f t="shared" si="162"/>
        <v>21.91</v>
      </c>
      <c r="N411" s="41">
        <v>10</v>
      </c>
      <c r="O411" s="176"/>
      <c r="P411" s="177"/>
      <c r="S411" s="178" t="s">
        <v>4180</v>
      </c>
      <c r="T411" s="178" t="s">
        <v>1017</v>
      </c>
      <c r="U411" s="179"/>
      <c r="W411" s="180"/>
      <c r="X411" s="180"/>
      <c r="Z411" s="180"/>
      <c r="AA411" s="184"/>
      <c r="AB411" s="178" t="s">
        <v>1017</v>
      </c>
      <c r="AC411" s="180"/>
      <c r="AD411" s="182"/>
      <c r="AE411" s="181"/>
      <c r="AF411" s="182"/>
      <c r="AG411" s="182"/>
      <c r="AH411" s="217" t="s">
        <v>4179</v>
      </c>
      <c r="AI411" s="214" t="str">
        <f t="shared" si="176"/>
        <v/>
      </c>
      <c r="AJ411" s="214" t="str">
        <f t="shared" si="177"/>
        <v/>
      </c>
      <c r="AK411" s="214" t="str">
        <f t="shared" si="178"/>
        <v/>
      </c>
      <c r="AL411" s="214" t="str">
        <f t="shared" si="179"/>
        <v/>
      </c>
      <c r="AM411" s="214" t="str">
        <f t="shared" si="180"/>
        <v/>
      </c>
      <c r="AN411" s="213" t="str">
        <f t="shared" si="163"/>
        <v>2012</v>
      </c>
      <c r="AO411" s="213" t="str">
        <f t="shared" si="164"/>
        <v>2012</v>
      </c>
      <c r="AP411" s="213" t="str">
        <f t="shared" si="165"/>
        <v>2012</v>
      </c>
      <c r="AQ411" s="215" t="str">
        <f t="shared" si="166"/>
        <v/>
      </c>
      <c r="AR411" s="216" t="str">
        <f t="shared" si="167"/>
        <v>BiK51aLK12--03</v>
      </c>
      <c r="AS411" s="215" t="str">
        <f t="shared" si="168"/>
        <v/>
      </c>
      <c r="AT411">
        <f t="shared" si="169"/>
        <v>14</v>
      </c>
      <c r="AU411" s="216" t="str">
        <f t="shared" si="170"/>
        <v>0,15-0,5 MW, Bonusregeln L und K erstmals 2012</v>
      </c>
      <c r="AV411" s="215" t="str">
        <f t="shared" si="171"/>
        <v/>
      </c>
      <c r="AW411" s="216" t="str">
        <f t="shared" si="172"/>
        <v>Anteil KWK, erstmals 2012</v>
      </c>
      <c r="AX411" s="215" t="str">
        <f t="shared" si="173"/>
        <v/>
      </c>
      <c r="AY411" t="str">
        <f t="shared" si="174"/>
        <v/>
      </c>
      <c r="AZ411" t="str">
        <f t="shared" si="175"/>
        <v>x</v>
      </c>
    </row>
    <row r="412" spans="1:52" s="178" customFormat="1" x14ac:dyDescent="0.25">
      <c r="A412" s="610" t="s">
        <v>4856</v>
      </c>
      <c r="B412" s="30" t="s">
        <v>5548</v>
      </c>
      <c r="C412" s="30" t="s">
        <v>3727</v>
      </c>
      <c r="D412" s="30" t="s">
        <v>7064</v>
      </c>
      <c r="E412" s="30" t="s">
        <v>4810</v>
      </c>
      <c r="F412" s="454">
        <f t="shared" si="160"/>
        <v>20</v>
      </c>
      <c r="G412" s="529">
        <v>20</v>
      </c>
      <c r="H412" s="487">
        <f t="shared" si="161"/>
        <v>16</v>
      </c>
      <c r="I412" s="706"/>
      <c r="J412" s="669" t="s">
        <v>5805</v>
      </c>
      <c r="K412" s="15"/>
      <c r="L412"/>
      <c r="M412" s="49">
        <f t="shared" si="162"/>
        <v>20</v>
      </c>
      <c r="N412" s="41">
        <v>10</v>
      </c>
      <c r="O412" s="176"/>
      <c r="P412" s="183"/>
      <c r="Q412" s="184"/>
      <c r="R412" s="184"/>
      <c r="S412" s="184" t="s">
        <v>4180</v>
      </c>
      <c r="T412" s="178" t="s">
        <v>4180</v>
      </c>
      <c r="U412" s="185" t="s">
        <v>1017</v>
      </c>
      <c r="V412" s="184"/>
      <c r="W412" s="180"/>
      <c r="X412" s="180"/>
      <c r="Z412" s="180"/>
      <c r="AA412" s="184"/>
      <c r="AB412" s="184" t="s">
        <v>1017</v>
      </c>
      <c r="AC412" s="180"/>
      <c r="AD412" s="182"/>
      <c r="AE412" s="181"/>
      <c r="AF412" s="182"/>
      <c r="AG412" s="182"/>
      <c r="AH412" s="212" t="str">
        <f>IF(ISERROR(SEARCH("K erstmals 201",D412)),"",RIGHT(D412,4))</f>
        <v/>
      </c>
      <c r="AI412" s="214" t="str">
        <f t="shared" si="176"/>
        <v/>
      </c>
      <c r="AJ412" s="214" t="str">
        <f t="shared" si="177"/>
        <v/>
      </c>
      <c r="AK412" s="214" t="str">
        <f t="shared" si="178"/>
        <v/>
      </c>
      <c r="AL412" s="214" t="str">
        <f t="shared" si="179"/>
        <v/>
      </c>
      <c r="AM412" s="214" t="str">
        <f t="shared" si="180"/>
        <v/>
      </c>
      <c r="AN412" s="213" t="str">
        <f t="shared" si="163"/>
        <v/>
      </c>
      <c r="AO412" s="213" t="str">
        <f t="shared" si="164"/>
        <v/>
      </c>
      <c r="AP412" s="213" t="str">
        <f t="shared" si="165"/>
        <v/>
      </c>
      <c r="AQ412" s="215" t="str">
        <f t="shared" si="166"/>
        <v/>
      </c>
      <c r="AR412" s="216" t="str">
        <f t="shared" si="167"/>
        <v>BiK51aLy----03</v>
      </c>
      <c r="AS412" s="215" t="str">
        <f t="shared" si="168"/>
        <v/>
      </c>
      <c r="AT412">
        <f t="shared" si="169"/>
        <v>14</v>
      </c>
      <c r="AU412" s="216" t="str">
        <f t="shared" si="170"/>
        <v>0,15-0,5 MW, Bonusregeln L, y</v>
      </c>
      <c r="AV412" s="215" t="str">
        <f t="shared" si="171"/>
        <v/>
      </c>
      <c r="AW412" s="216" t="str">
        <f t="shared" si="172"/>
        <v>Anteil Nicht-KWK</v>
      </c>
      <c r="AX412" s="215" t="str">
        <f t="shared" si="173"/>
        <v/>
      </c>
      <c r="AY412" t="str">
        <f t="shared" si="174"/>
        <v/>
      </c>
      <c r="AZ412" t="str">
        <f t="shared" si="175"/>
        <v/>
      </c>
    </row>
    <row r="413" spans="1:52" s="178" customFormat="1" x14ac:dyDescent="0.25">
      <c r="A413" s="610" t="s">
        <v>4857</v>
      </c>
      <c r="B413" s="30" t="s">
        <v>5548</v>
      </c>
      <c r="C413" s="30" t="s">
        <v>3727</v>
      </c>
      <c r="D413" s="109" t="s">
        <v>7065</v>
      </c>
      <c r="E413" s="30" t="s">
        <v>4331</v>
      </c>
      <c r="F413" s="454">
        <f t="shared" si="160"/>
        <v>23</v>
      </c>
      <c r="G413" s="529">
        <v>23</v>
      </c>
      <c r="H413" s="487">
        <f t="shared" si="161"/>
        <v>18.399999999999999</v>
      </c>
      <c r="I413" s="706"/>
      <c r="J413" s="669" t="s">
        <v>5805</v>
      </c>
      <c r="K413" s="15"/>
      <c r="L413"/>
      <c r="M413" s="49">
        <f t="shared" si="162"/>
        <v>23</v>
      </c>
      <c r="N413" s="41">
        <v>10</v>
      </c>
      <c r="O413" s="176"/>
      <c r="P413" s="184" t="s">
        <v>1017</v>
      </c>
      <c r="Q413" s="184"/>
      <c r="R413" s="184"/>
      <c r="S413" s="184" t="s">
        <v>4180</v>
      </c>
      <c r="T413" s="178" t="s">
        <v>4180</v>
      </c>
      <c r="U413" s="185" t="s">
        <v>1017</v>
      </c>
      <c r="V413" s="184"/>
      <c r="W413" s="180"/>
      <c r="X413" s="180"/>
      <c r="Z413" s="180"/>
      <c r="AA413" s="184"/>
      <c r="AB413" s="184" t="s">
        <v>1017</v>
      </c>
      <c r="AC413" s="180"/>
      <c r="AD413" s="182"/>
      <c r="AE413" s="181"/>
      <c r="AF413" s="182"/>
      <c r="AG413" s="182"/>
      <c r="AH413" s="212" t="str">
        <f>IF(ISERROR(SEARCH("K erstmals 201",D413)),"",RIGHT(D413,4))</f>
        <v/>
      </c>
      <c r="AI413" s="214" t="str">
        <f t="shared" si="176"/>
        <v/>
      </c>
      <c r="AJ413" s="214" t="str">
        <f t="shared" si="177"/>
        <v/>
      </c>
      <c r="AK413" s="214" t="str">
        <f t="shared" si="178"/>
        <v/>
      </c>
      <c r="AL413" s="214" t="str">
        <f t="shared" si="179"/>
        <v/>
      </c>
      <c r="AM413" s="214" t="str">
        <f t="shared" si="180"/>
        <v/>
      </c>
      <c r="AN413" s="213" t="str">
        <f t="shared" si="163"/>
        <v/>
      </c>
      <c r="AO413" s="213" t="str">
        <f t="shared" si="164"/>
        <v/>
      </c>
      <c r="AP413" s="213" t="str">
        <f t="shared" si="165"/>
        <v/>
      </c>
      <c r="AQ413" s="215" t="str">
        <f t="shared" si="166"/>
        <v/>
      </c>
      <c r="AR413" s="216" t="str">
        <f t="shared" si="167"/>
        <v>BiK51aLKA3y-03</v>
      </c>
      <c r="AS413" s="215" t="str">
        <f t="shared" si="168"/>
        <v/>
      </c>
      <c r="AT413">
        <f t="shared" si="169"/>
        <v>14</v>
      </c>
      <c r="AU413" s="216" t="str">
        <f t="shared" si="170"/>
        <v>0,15-0,5 MW, Bonusregeln L, y und K wenn Anlage 3 erfüllt</v>
      </c>
      <c r="AV413" s="215" t="str">
        <f t="shared" si="171"/>
        <v/>
      </c>
      <c r="AW413" s="216" t="str">
        <f t="shared" si="172"/>
        <v>Anteil KWK gemäß Anlage 3</v>
      </c>
      <c r="AX413" s="215" t="str">
        <f t="shared" si="173"/>
        <v/>
      </c>
      <c r="AY413" t="str">
        <f t="shared" si="174"/>
        <v/>
      </c>
      <c r="AZ413" t="str">
        <f t="shared" si="175"/>
        <v/>
      </c>
    </row>
    <row r="414" spans="1:52" s="178" customFormat="1" x14ac:dyDescent="0.25">
      <c r="A414" s="610" t="s">
        <v>4858</v>
      </c>
      <c r="B414" s="30" t="s">
        <v>5548</v>
      </c>
      <c r="C414" s="30" t="s">
        <v>3727</v>
      </c>
      <c r="D414" s="30" t="s">
        <v>7066</v>
      </c>
      <c r="E414" s="30" t="s">
        <v>674</v>
      </c>
      <c r="F414" s="454">
        <f t="shared" ref="F414:F445" si="181">M414</f>
        <v>23</v>
      </c>
      <c r="G414" s="529">
        <v>23</v>
      </c>
      <c r="H414" s="487">
        <f t="shared" ref="H414:H445" si="182">IF(ISNUMBER(G414),ROUND(0.8*G414,2),"")</f>
        <v>18.399999999999999</v>
      </c>
      <c r="I414" s="706"/>
      <c r="J414" s="669" t="s">
        <v>5805</v>
      </c>
      <c r="K414" s="15"/>
      <c r="L414"/>
      <c r="M414" s="49">
        <f t="shared" ref="M414:M445" si="183">N414+SUMIF(O414:AD414,"x",O$285:AD$285)</f>
        <v>23</v>
      </c>
      <c r="N414" s="41">
        <v>10</v>
      </c>
      <c r="O414" s="176"/>
      <c r="P414" s="183"/>
      <c r="Q414" s="184" t="s">
        <v>1017</v>
      </c>
      <c r="R414" s="184"/>
      <c r="S414" s="184" t="s">
        <v>4180</v>
      </c>
      <c r="T414" s="178" t="s">
        <v>4180</v>
      </c>
      <c r="U414" s="185" t="s">
        <v>1017</v>
      </c>
      <c r="V414" s="184"/>
      <c r="W414" s="180"/>
      <c r="X414" s="180"/>
      <c r="Z414" s="180"/>
      <c r="AA414" s="184"/>
      <c r="AB414" s="184" t="s">
        <v>1017</v>
      </c>
      <c r="AC414" s="180"/>
      <c r="AD414" s="182"/>
      <c r="AE414" s="181"/>
      <c r="AF414" s="182"/>
      <c r="AG414" s="182"/>
      <c r="AH414" s="212" t="str">
        <f>IF(ISERROR(SEARCH("K erstmals 201",D414)),"",RIGHT(D414,4))</f>
        <v/>
      </c>
      <c r="AI414" s="214" t="str">
        <f t="shared" si="176"/>
        <v/>
      </c>
      <c r="AJ414" s="214" t="str">
        <f t="shared" si="177"/>
        <v/>
      </c>
      <c r="AK414" s="214" t="str">
        <f t="shared" si="178"/>
        <v/>
      </c>
      <c r="AL414" s="214" t="str">
        <f t="shared" si="179"/>
        <v/>
      </c>
      <c r="AM414" s="214" t="str">
        <f t="shared" si="180"/>
        <v/>
      </c>
      <c r="AN414" s="213" t="str">
        <f t="shared" si="163"/>
        <v/>
      </c>
      <c r="AO414" s="213" t="str">
        <f t="shared" si="164"/>
        <v/>
      </c>
      <c r="AP414" s="213" t="str">
        <f t="shared" si="165"/>
        <v/>
      </c>
      <c r="AQ414" s="215" t="str">
        <f t="shared" si="166"/>
        <v/>
      </c>
      <c r="AR414" s="216" t="str">
        <f t="shared" si="167"/>
        <v>BiK51aLK09y-03</v>
      </c>
      <c r="AS414" s="215" t="str">
        <f t="shared" si="168"/>
        <v/>
      </c>
      <c r="AT414">
        <f t="shared" si="169"/>
        <v>14</v>
      </c>
      <c r="AU414" s="216" t="str">
        <f t="shared" si="170"/>
        <v>0,15-0,5 MW, Bonusregeln L, y und K erstmals 2009</v>
      </c>
      <c r="AV414" s="215" t="str">
        <f t="shared" si="171"/>
        <v/>
      </c>
      <c r="AW414" s="216" t="str">
        <f t="shared" si="172"/>
        <v>Anteil KWK, erstmals 2009</v>
      </c>
      <c r="AX414" s="215" t="str">
        <f t="shared" si="173"/>
        <v/>
      </c>
      <c r="AY414" t="str">
        <f t="shared" si="174"/>
        <v/>
      </c>
      <c r="AZ414" t="str">
        <f t="shared" si="175"/>
        <v/>
      </c>
    </row>
    <row r="415" spans="1:52" s="178" customFormat="1" x14ac:dyDescent="0.25">
      <c r="A415" s="610" t="s">
        <v>1620</v>
      </c>
      <c r="B415" s="30" t="s">
        <v>5548</v>
      </c>
      <c r="C415" s="30" t="s">
        <v>3727</v>
      </c>
      <c r="D415" s="30" t="s">
        <v>7067</v>
      </c>
      <c r="E415" s="30" t="s">
        <v>3567</v>
      </c>
      <c r="F415" s="454">
        <f t="shared" si="181"/>
        <v>22.97</v>
      </c>
      <c r="G415" s="529">
        <v>22.97</v>
      </c>
      <c r="H415" s="487">
        <f t="shared" si="182"/>
        <v>18.38</v>
      </c>
      <c r="I415" s="706"/>
      <c r="J415" s="669" t="s">
        <v>5805</v>
      </c>
      <c r="K415" s="15"/>
      <c r="L415"/>
      <c r="M415" s="49">
        <f t="shared" si="183"/>
        <v>22.97</v>
      </c>
      <c r="N415" s="41">
        <v>10</v>
      </c>
      <c r="O415" s="176"/>
      <c r="P415" s="183"/>
      <c r="Q415" s="184"/>
      <c r="R415" s="184" t="s">
        <v>1017</v>
      </c>
      <c r="S415" s="184" t="s">
        <v>4180</v>
      </c>
      <c r="T415" s="178" t="s">
        <v>4180</v>
      </c>
      <c r="U415" s="185" t="s">
        <v>1017</v>
      </c>
      <c r="V415" s="184"/>
      <c r="W415" s="180"/>
      <c r="X415" s="180"/>
      <c r="Z415" s="180"/>
      <c r="AA415" s="184"/>
      <c r="AB415" s="184" t="s">
        <v>1017</v>
      </c>
      <c r="AC415" s="180"/>
      <c r="AD415" s="182"/>
      <c r="AE415" s="181"/>
      <c r="AF415" s="182"/>
      <c r="AG415" s="182"/>
      <c r="AH415" s="212" t="str">
        <f>IF(ISERROR(SEARCH("K erstmals 201",D415)),"",RIGHT(D415,4))</f>
        <v>2010</v>
      </c>
      <c r="AI415" s="214" t="str">
        <f t="shared" si="176"/>
        <v/>
      </c>
      <c r="AJ415" s="214" t="str">
        <f t="shared" si="177"/>
        <v/>
      </c>
      <c r="AK415" s="214" t="str">
        <f t="shared" si="178"/>
        <v/>
      </c>
      <c r="AL415" s="214" t="str">
        <f t="shared" si="179"/>
        <v/>
      </c>
      <c r="AM415" s="214" t="str">
        <f t="shared" si="180"/>
        <v/>
      </c>
      <c r="AN415" s="213" t="str">
        <f t="shared" si="163"/>
        <v>2010</v>
      </c>
      <c r="AO415" s="213" t="str">
        <f t="shared" si="164"/>
        <v>2010</v>
      </c>
      <c r="AP415" s="213" t="str">
        <f t="shared" si="165"/>
        <v>2010</v>
      </c>
      <c r="AQ415" s="215" t="str">
        <f t="shared" si="166"/>
        <v/>
      </c>
      <c r="AR415" s="216" t="str">
        <f t="shared" si="167"/>
        <v>BiK51aLK10y-03</v>
      </c>
      <c r="AS415" s="215" t="str">
        <f t="shared" si="168"/>
        <v/>
      </c>
      <c r="AT415">
        <f t="shared" si="169"/>
        <v>14</v>
      </c>
      <c r="AU415" s="216" t="str">
        <f t="shared" si="170"/>
        <v>0,15-0,5 MW, Bonusregeln L, y und K erstmals 2010</v>
      </c>
      <c r="AV415" s="215" t="str">
        <f t="shared" si="171"/>
        <v/>
      </c>
      <c r="AW415" s="216" t="str">
        <f t="shared" si="172"/>
        <v>Anteil KWK, erstmals 2010</v>
      </c>
      <c r="AX415" s="215" t="str">
        <f t="shared" si="173"/>
        <v/>
      </c>
      <c r="AY415" t="str">
        <f t="shared" si="174"/>
        <v/>
      </c>
      <c r="AZ415" t="str">
        <f t="shared" si="175"/>
        <v/>
      </c>
    </row>
    <row r="416" spans="1:52" s="178" customFormat="1" x14ac:dyDescent="0.25">
      <c r="A416" s="610" t="s">
        <v>5235</v>
      </c>
      <c r="B416" s="30" t="s">
        <v>5548</v>
      </c>
      <c r="C416" s="30" t="s">
        <v>3727</v>
      </c>
      <c r="D416" s="30" t="s">
        <v>7068</v>
      </c>
      <c r="E416" s="30" t="s">
        <v>3055</v>
      </c>
      <c r="F416" s="454">
        <f t="shared" si="181"/>
        <v>22.939999999999998</v>
      </c>
      <c r="G416" s="529">
        <v>22.939999999999998</v>
      </c>
      <c r="H416" s="487">
        <f t="shared" si="182"/>
        <v>18.350000000000001</v>
      </c>
      <c r="I416" s="706"/>
      <c r="J416" s="669" t="s">
        <v>5805</v>
      </c>
      <c r="K416" s="15"/>
      <c r="L416"/>
      <c r="M416" s="49">
        <f t="shared" si="183"/>
        <v>22.939999999999998</v>
      </c>
      <c r="N416" s="41">
        <v>10</v>
      </c>
      <c r="O416" s="176"/>
      <c r="P416" s="183"/>
      <c r="Q416" s="184"/>
      <c r="S416" s="184" t="s">
        <v>1017</v>
      </c>
      <c r="T416" s="178" t="s">
        <v>4180</v>
      </c>
      <c r="U416" s="185" t="s">
        <v>1017</v>
      </c>
      <c r="V416" s="184"/>
      <c r="W416" s="180"/>
      <c r="X416" s="180"/>
      <c r="Z416" s="180"/>
      <c r="AA416" s="184"/>
      <c r="AB416" s="184" t="s">
        <v>1017</v>
      </c>
      <c r="AC416" s="180"/>
      <c r="AD416" s="182"/>
      <c r="AE416" s="181"/>
      <c r="AF416" s="182"/>
      <c r="AG416" s="182"/>
      <c r="AH416" s="212" t="str">
        <f>IF(ISERROR(SEARCH("K erstmals 201",D416)),"",RIGHT(D416,4))</f>
        <v>2011</v>
      </c>
      <c r="AI416" s="214" t="str">
        <f t="shared" si="176"/>
        <v/>
      </c>
      <c r="AJ416" s="214" t="str">
        <f t="shared" si="177"/>
        <v/>
      </c>
      <c r="AK416" s="214" t="str">
        <f t="shared" si="178"/>
        <v/>
      </c>
      <c r="AL416" s="214" t="str">
        <f t="shared" si="179"/>
        <v/>
      </c>
      <c r="AM416" s="214" t="str">
        <f t="shared" si="180"/>
        <v/>
      </c>
      <c r="AN416" s="213" t="str">
        <f t="shared" si="163"/>
        <v>2011</v>
      </c>
      <c r="AO416" s="213" t="str">
        <f t="shared" si="164"/>
        <v>2011</v>
      </c>
      <c r="AP416" s="213" t="str">
        <f t="shared" si="165"/>
        <v>2011</v>
      </c>
      <c r="AQ416" s="215" t="str">
        <f t="shared" si="166"/>
        <v/>
      </c>
      <c r="AR416" s="216" t="str">
        <f t="shared" si="167"/>
        <v>BiK51aLK11y-03</v>
      </c>
      <c r="AS416" s="215" t="str">
        <f t="shared" si="168"/>
        <v/>
      </c>
      <c r="AT416">
        <f t="shared" si="169"/>
        <v>14</v>
      </c>
      <c r="AU416" s="216" t="str">
        <f t="shared" si="170"/>
        <v>0,15-0,5 MW, Bonusregeln L, y und K erstmals 2011</v>
      </c>
      <c r="AV416" s="215" t="str">
        <f t="shared" si="171"/>
        <v/>
      </c>
      <c r="AW416" s="216" t="str">
        <f t="shared" si="172"/>
        <v>Anteil KWK, erstmals 2011</v>
      </c>
      <c r="AX416" s="215" t="str">
        <f t="shared" si="173"/>
        <v/>
      </c>
      <c r="AY416" t="str">
        <f t="shared" si="174"/>
        <v>x</v>
      </c>
      <c r="AZ416" t="str">
        <f t="shared" si="175"/>
        <v/>
      </c>
    </row>
    <row r="417" spans="1:52" s="178" customFormat="1" x14ac:dyDescent="0.25">
      <c r="A417" s="625" t="s">
        <v>3542</v>
      </c>
      <c r="B417" s="219" t="s">
        <v>5548</v>
      </c>
      <c r="C417" s="219" t="s">
        <v>3727</v>
      </c>
      <c r="D417" s="219" t="s">
        <v>7069</v>
      </c>
      <c r="E417" s="219" t="s">
        <v>1980</v>
      </c>
      <c r="F417" s="455">
        <f t="shared" si="181"/>
        <v>22.91</v>
      </c>
      <c r="G417" s="530">
        <v>22.91</v>
      </c>
      <c r="H417" s="488">
        <f t="shared" si="182"/>
        <v>18.329999999999998</v>
      </c>
      <c r="I417" s="707"/>
      <c r="J417" s="669" t="s">
        <v>5805</v>
      </c>
      <c r="K417" s="15"/>
      <c r="L417"/>
      <c r="M417" s="49">
        <f t="shared" si="183"/>
        <v>22.91</v>
      </c>
      <c r="N417" s="41">
        <v>10</v>
      </c>
      <c r="O417" s="176"/>
      <c r="P417" s="183"/>
      <c r="Q417" s="184"/>
      <c r="S417" s="184" t="s">
        <v>4180</v>
      </c>
      <c r="T417" s="178" t="s">
        <v>1017</v>
      </c>
      <c r="U417" s="185" t="s">
        <v>1017</v>
      </c>
      <c r="V417" s="184"/>
      <c r="W417" s="180"/>
      <c r="X417" s="180"/>
      <c r="Z417" s="180"/>
      <c r="AA417" s="184"/>
      <c r="AB417" s="184" t="s">
        <v>1017</v>
      </c>
      <c r="AC417" s="180"/>
      <c r="AD417" s="182"/>
      <c r="AE417" s="181"/>
      <c r="AF417" s="182"/>
      <c r="AG417" s="182"/>
      <c r="AH417" s="217" t="s">
        <v>4179</v>
      </c>
      <c r="AI417" s="214" t="str">
        <f t="shared" si="176"/>
        <v/>
      </c>
      <c r="AJ417" s="214" t="str">
        <f t="shared" si="177"/>
        <v/>
      </c>
      <c r="AK417" s="214" t="str">
        <f t="shared" si="178"/>
        <v/>
      </c>
      <c r="AL417" s="214" t="str">
        <f t="shared" si="179"/>
        <v/>
      </c>
      <c r="AM417" s="214" t="str">
        <f t="shared" si="180"/>
        <v/>
      </c>
      <c r="AN417" s="213" t="str">
        <f t="shared" si="163"/>
        <v>2012</v>
      </c>
      <c r="AO417" s="213" t="str">
        <f t="shared" si="164"/>
        <v>2012</v>
      </c>
      <c r="AP417" s="213" t="str">
        <f t="shared" si="165"/>
        <v>2012</v>
      </c>
      <c r="AQ417" s="215" t="str">
        <f t="shared" si="166"/>
        <v/>
      </c>
      <c r="AR417" s="216" t="str">
        <f t="shared" si="167"/>
        <v>BiK51aLK12y-03</v>
      </c>
      <c r="AS417" s="215" t="str">
        <f t="shared" si="168"/>
        <v/>
      </c>
      <c r="AT417">
        <f t="shared" si="169"/>
        <v>14</v>
      </c>
      <c r="AU417" s="216" t="str">
        <f t="shared" si="170"/>
        <v>0,15-0,5 MW, Bonusregeln L, y und K erstmals 2012</v>
      </c>
      <c r="AV417" s="215" t="str">
        <f t="shared" si="171"/>
        <v/>
      </c>
      <c r="AW417" s="216" t="str">
        <f t="shared" si="172"/>
        <v>Anteil KWK, erstmals 2012</v>
      </c>
      <c r="AX417" s="215" t="str">
        <f t="shared" si="173"/>
        <v/>
      </c>
      <c r="AY417" t="str">
        <f t="shared" si="174"/>
        <v/>
      </c>
      <c r="AZ417" t="str">
        <f t="shared" si="175"/>
        <v>x</v>
      </c>
    </row>
    <row r="418" spans="1:52" s="178" customFormat="1" x14ac:dyDescent="0.25">
      <c r="A418" s="610" t="s">
        <v>4859</v>
      </c>
      <c r="B418" s="30" t="s">
        <v>5548</v>
      </c>
      <c r="C418" s="30" t="s">
        <v>3727</v>
      </c>
      <c r="D418" s="30" t="s">
        <v>7070</v>
      </c>
      <c r="E418" s="30" t="s">
        <v>4810</v>
      </c>
      <c r="F418" s="454">
        <f t="shared" si="181"/>
        <v>20</v>
      </c>
      <c r="G418" s="529">
        <v>20</v>
      </c>
      <c r="H418" s="487">
        <f t="shared" si="182"/>
        <v>16</v>
      </c>
      <c r="I418" s="706"/>
      <c r="J418" s="669" t="s">
        <v>5805</v>
      </c>
      <c r="K418" s="15"/>
      <c r="L418"/>
      <c r="M418" s="49">
        <f t="shared" si="183"/>
        <v>20</v>
      </c>
      <c r="N418" s="41">
        <v>10</v>
      </c>
      <c r="O418" s="176"/>
      <c r="P418" s="177"/>
      <c r="S418" s="178" t="s">
        <v>4180</v>
      </c>
      <c r="T418" s="178" t="s">
        <v>4180</v>
      </c>
      <c r="U418" s="179"/>
      <c r="W418" s="180"/>
      <c r="X418" s="180"/>
      <c r="Z418" s="180"/>
      <c r="AA418" s="184"/>
      <c r="AC418" s="180"/>
      <c r="AD418" s="199" t="s">
        <v>1017</v>
      </c>
      <c r="AE418" s="181"/>
      <c r="AF418" s="182"/>
      <c r="AG418" s="182"/>
      <c r="AH418" s="212" t="str">
        <f>IF(ISERROR(SEARCH("K erstmals 201",D418)),"",RIGHT(D418,4))</f>
        <v/>
      </c>
      <c r="AI418" s="214" t="str">
        <f t="shared" si="176"/>
        <v/>
      </c>
      <c r="AJ418" s="214" t="str">
        <f t="shared" si="177"/>
        <v/>
      </c>
      <c r="AK418" s="214" t="str">
        <f t="shared" si="178"/>
        <v/>
      </c>
      <c r="AL418" s="214" t="str">
        <f t="shared" si="179"/>
        <v/>
      </c>
      <c r="AM418" s="214" t="str">
        <f t="shared" si="180"/>
        <v/>
      </c>
      <c r="AN418" s="213" t="str">
        <f t="shared" si="163"/>
        <v/>
      </c>
      <c r="AO418" s="213" t="str">
        <f t="shared" si="164"/>
        <v/>
      </c>
      <c r="AP418" s="213" t="str">
        <f t="shared" si="165"/>
        <v/>
      </c>
      <c r="AQ418" s="215" t="str">
        <f t="shared" si="166"/>
        <v/>
      </c>
      <c r="AR418" s="216" t="str">
        <f t="shared" si="167"/>
        <v>BiK51aX2----03</v>
      </c>
      <c r="AS418" s="215" t="str">
        <f t="shared" si="168"/>
        <v/>
      </c>
      <c r="AT418">
        <f t="shared" si="169"/>
        <v>14</v>
      </c>
      <c r="AU418" s="216" t="str">
        <f t="shared" si="170"/>
        <v>0,15-0,5 MW, Bonusregel X2</v>
      </c>
      <c r="AV418" s="215" t="str">
        <f t="shared" si="171"/>
        <v/>
      </c>
      <c r="AW418" s="216" t="str">
        <f t="shared" si="172"/>
        <v>Anteil Nicht-KWK</v>
      </c>
      <c r="AX418" s="215" t="str">
        <f t="shared" si="173"/>
        <v/>
      </c>
      <c r="AY418" t="str">
        <f t="shared" si="174"/>
        <v/>
      </c>
      <c r="AZ418" t="str">
        <f t="shared" si="175"/>
        <v/>
      </c>
    </row>
    <row r="419" spans="1:52" s="178" customFormat="1" x14ac:dyDescent="0.25">
      <c r="A419" s="610" t="s">
        <v>4860</v>
      </c>
      <c r="B419" s="30" t="s">
        <v>5548</v>
      </c>
      <c r="C419" s="30" t="s">
        <v>3727</v>
      </c>
      <c r="D419" s="30" t="s">
        <v>7071</v>
      </c>
      <c r="E419" s="30" t="s">
        <v>4331</v>
      </c>
      <c r="F419" s="454">
        <f t="shared" si="181"/>
        <v>23</v>
      </c>
      <c r="G419" s="529">
        <v>23</v>
      </c>
      <c r="H419" s="487">
        <f t="shared" si="182"/>
        <v>18.399999999999999</v>
      </c>
      <c r="I419" s="706"/>
      <c r="J419" s="669" t="s">
        <v>5805</v>
      </c>
      <c r="K419" s="15"/>
      <c r="L419"/>
      <c r="M419" s="49">
        <f t="shared" si="183"/>
        <v>23</v>
      </c>
      <c r="N419" s="41">
        <v>10</v>
      </c>
      <c r="O419" s="176"/>
      <c r="P419" s="178" t="s">
        <v>1017</v>
      </c>
      <c r="S419" s="178" t="s">
        <v>4180</v>
      </c>
      <c r="T419" s="178" t="s">
        <v>4180</v>
      </c>
      <c r="U419" s="179"/>
      <c r="W419" s="180"/>
      <c r="X419" s="180"/>
      <c r="Z419" s="180"/>
      <c r="AA419" s="184"/>
      <c r="AC419" s="180"/>
      <c r="AD419" s="199" t="s">
        <v>1017</v>
      </c>
      <c r="AE419" s="181"/>
      <c r="AF419" s="182"/>
      <c r="AG419" s="182"/>
      <c r="AH419" s="212" t="str">
        <f>IF(ISERROR(SEARCH("K erstmals 201",D419)),"",RIGHT(D419,4))</f>
        <v/>
      </c>
      <c r="AI419" s="214" t="str">
        <f t="shared" si="176"/>
        <v/>
      </c>
      <c r="AJ419" s="214" t="str">
        <f t="shared" si="177"/>
        <v/>
      </c>
      <c r="AK419" s="214" t="str">
        <f t="shared" si="178"/>
        <v/>
      </c>
      <c r="AL419" s="214" t="str">
        <f t="shared" si="179"/>
        <v/>
      </c>
      <c r="AM419" s="214" t="str">
        <f t="shared" si="180"/>
        <v/>
      </c>
      <c r="AN419" s="213" t="str">
        <f t="shared" si="163"/>
        <v/>
      </c>
      <c r="AO419" s="213" t="str">
        <f t="shared" si="164"/>
        <v/>
      </c>
      <c r="AP419" s="213" t="str">
        <f t="shared" si="165"/>
        <v/>
      </c>
      <c r="AQ419" s="215" t="str">
        <f t="shared" si="166"/>
        <v/>
      </c>
      <c r="AR419" s="216" t="str">
        <f t="shared" si="167"/>
        <v>BiK51aX2KA3-03</v>
      </c>
      <c r="AS419" s="215" t="str">
        <f t="shared" si="168"/>
        <v/>
      </c>
      <c r="AT419">
        <f t="shared" si="169"/>
        <v>14</v>
      </c>
      <c r="AU419" s="216" t="str">
        <f t="shared" si="170"/>
        <v>0,15-0,5 MW, Bonusregeln X2 und K wenn Anlage 3 erfüllt</v>
      </c>
      <c r="AV419" s="215" t="str">
        <f t="shared" si="171"/>
        <v/>
      </c>
      <c r="AW419" s="216" t="str">
        <f t="shared" si="172"/>
        <v>Anteil KWK gemäß Anlage 3</v>
      </c>
      <c r="AX419" s="215" t="str">
        <f t="shared" si="173"/>
        <v/>
      </c>
      <c r="AY419" t="str">
        <f t="shared" si="174"/>
        <v/>
      </c>
      <c r="AZ419" t="str">
        <f t="shared" si="175"/>
        <v/>
      </c>
    </row>
    <row r="420" spans="1:52" s="178" customFormat="1" x14ac:dyDescent="0.25">
      <c r="A420" s="610" t="s">
        <v>4861</v>
      </c>
      <c r="B420" s="30" t="s">
        <v>5548</v>
      </c>
      <c r="C420" s="30" t="s">
        <v>3727</v>
      </c>
      <c r="D420" s="30" t="s">
        <v>7072</v>
      </c>
      <c r="E420" s="30" t="s">
        <v>674</v>
      </c>
      <c r="F420" s="454">
        <f t="shared" si="181"/>
        <v>23</v>
      </c>
      <c r="G420" s="529">
        <v>23</v>
      </c>
      <c r="H420" s="487">
        <f t="shared" si="182"/>
        <v>18.399999999999999</v>
      </c>
      <c r="I420" s="706"/>
      <c r="J420" s="669" t="s">
        <v>5805</v>
      </c>
      <c r="K420" s="15"/>
      <c r="L420"/>
      <c r="M420" s="49">
        <f t="shared" si="183"/>
        <v>23</v>
      </c>
      <c r="N420" s="41">
        <v>10</v>
      </c>
      <c r="O420" s="176"/>
      <c r="P420" s="177"/>
      <c r="Q420" s="178" t="s">
        <v>1017</v>
      </c>
      <c r="S420" s="178" t="s">
        <v>4180</v>
      </c>
      <c r="T420" s="178" t="s">
        <v>4180</v>
      </c>
      <c r="U420" s="179"/>
      <c r="W420" s="180"/>
      <c r="X420" s="180"/>
      <c r="Z420" s="180"/>
      <c r="AA420" s="184"/>
      <c r="AC420" s="180"/>
      <c r="AD420" s="199" t="s">
        <v>1017</v>
      </c>
      <c r="AE420" s="181"/>
      <c r="AF420" s="182"/>
      <c r="AG420" s="182"/>
      <c r="AH420" s="212" t="str">
        <f>IF(ISERROR(SEARCH("K erstmals 201",D420)),"",RIGHT(D420,4))</f>
        <v/>
      </c>
      <c r="AI420" s="214" t="str">
        <f t="shared" si="176"/>
        <v/>
      </c>
      <c r="AJ420" s="214" t="str">
        <f t="shared" si="177"/>
        <v/>
      </c>
      <c r="AK420" s="214" t="str">
        <f t="shared" si="178"/>
        <v/>
      </c>
      <c r="AL420" s="214" t="str">
        <f t="shared" si="179"/>
        <v/>
      </c>
      <c r="AM420" s="214" t="str">
        <f t="shared" si="180"/>
        <v/>
      </c>
      <c r="AN420" s="213" t="str">
        <f t="shared" si="163"/>
        <v/>
      </c>
      <c r="AO420" s="213" t="str">
        <f t="shared" si="164"/>
        <v/>
      </c>
      <c r="AP420" s="213" t="str">
        <f t="shared" si="165"/>
        <v/>
      </c>
      <c r="AQ420" s="215" t="str">
        <f t="shared" si="166"/>
        <v/>
      </c>
      <c r="AR420" s="216" t="str">
        <f t="shared" si="167"/>
        <v>BiK51aX2K09-03</v>
      </c>
      <c r="AS420" s="215" t="str">
        <f t="shared" si="168"/>
        <v/>
      </c>
      <c r="AT420">
        <f t="shared" si="169"/>
        <v>14</v>
      </c>
      <c r="AU420" s="216" t="str">
        <f t="shared" si="170"/>
        <v>0,15-0,5 MW, Bonusregeln X2 und K erstmals 2009</v>
      </c>
      <c r="AV420" s="215" t="str">
        <f t="shared" si="171"/>
        <v/>
      </c>
      <c r="AW420" s="216" t="str">
        <f t="shared" si="172"/>
        <v>Anteil KWK, erstmals 2009</v>
      </c>
      <c r="AX420" s="215" t="str">
        <f t="shared" si="173"/>
        <v/>
      </c>
      <c r="AY420" t="str">
        <f t="shared" si="174"/>
        <v/>
      </c>
      <c r="AZ420" t="str">
        <f t="shared" si="175"/>
        <v/>
      </c>
    </row>
    <row r="421" spans="1:52" s="178" customFormat="1" x14ac:dyDescent="0.25">
      <c r="A421" s="610" t="s">
        <v>1621</v>
      </c>
      <c r="B421" s="30" t="s">
        <v>5548</v>
      </c>
      <c r="C421" s="30" t="s">
        <v>3727</v>
      </c>
      <c r="D421" s="30" t="s">
        <v>7073</v>
      </c>
      <c r="E421" s="30" t="s">
        <v>3567</v>
      </c>
      <c r="F421" s="454">
        <f t="shared" si="181"/>
        <v>22.97</v>
      </c>
      <c r="G421" s="529">
        <v>22.97</v>
      </c>
      <c r="H421" s="487">
        <f t="shared" si="182"/>
        <v>18.38</v>
      </c>
      <c r="I421" s="706"/>
      <c r="J421" s="669" t="s">
        <v>5805</v>
      </c>
      <c r="K421" s="15"/>
      <c r="L421"/>
      <c r="M421" s="49">
        <f t="shared" si="183"/>
        <v>22.97</v>
      </c>
      <c r="N421" s="41">
        <v>10</v>
      </c>
      <c r="O421" s="176"/>
      <c r="P421" s="177"/>
      <c r="R421" s="178" t="s">
        <v>1017</v>
      </c>
      <c r="S421" s="178" t="s">
        <v>4180</v>
      </c>
      <c r="T421" s="178" t="s">
        <v>4180</v>
      </c>
      <c r="U421" s="179"/>
      <c r="W421" s="180"/>
      <c r="X421" s="180"/>
      <c r="Z421" s="180"/>
      <c r="AA421" s="184"/>
      <c r="AC421" s="180"/>
      <c r="AD421" s="199" t="s">
        <v>1017</v>
      </c>
      <c r="AE421" s="181"/>
      <c r="AF421" s="182"/>
      <c r="AG421" s="182"/>
      <c r="AH421" s="212" t="str">
        <f>IF(ISERROR(SEARCH("K erstmals 201",D421)),"",RIGHT(D421,4))</f>
        <v>2010</v>
      </c>
      <c r="AI421" s="214" t="str">
        <f t="shared" si="176"/>
        <v/>
      </c>
      <c r="AJ421" s="214" t="str">
        <f t="shared" si="177"/>
        <v/>
      </c>
      <c r="AK421" s="214" t="str">
        <f t="shared" si="178"/>
        <v/>
      </c>
      <c r="AL421" s="214" t="str">
        <f t="shared" si="179"/>
        <v/>
      </c>
      <c r="AM421" s="214" t="str">
        <f t="shared" si="180"/>
        <v/>
      </c>
      <c r="AN421" s="213" t="str">
        <f t="shared" si="163"/>
        <v>2010</v>
      </c>
      <c r="AO421" s="213" t="str">
        <f t="shared" si="164"/>
        <v>2010</v>
      </c>
      <c r="AP421" s="213" t="str">
        <f t="shared" si="165"/>
        <v>2010</v>
      </c>
      <c r="AQ421" s="215" t="str">
        <f t="shared" si="166"/>
        <v/>
      </c>
      <c r="AR421" s="216" t="str">
        <f t="shared" si="167"/>
        <v>BiK51aX2K10-03</v>
      </c>
      <c r="AS421" s="215" t="str">
        <f t="shared" si="168"/>
        <v/>
      </c>
      <c r="AT421">
        <f t="shared" si="169"/>
        <v>14</v>
      </c>
      <c r="AU421" s="216" t="str">
        <f t="shared" si="170"/>
        <v>0,15-0,5 MW, Bonusregeln X2 und K erstmals 2010</v>
      </c>
      <c r="AV421" s="215" t="str">
        <f t="shared" si="171"/>
        <v/>
      </c>
      <c r="AW421" s="216" t="str">
        <f t="shared" si="172"/>
        <v>Anteil KWK, erstmals 2010</v>
      </c>
      <c r="AX421" s="215" t="str">
        <f t="shared" si="173"/>
        <v/>
      </c>
      <c r="AY421" t="str">
        <f t="shared" si="174"/>
        <v/>
      </c>
      <c r="AZ421" t="str">
        <f t="shared" si="175"/>
        <v/>
      </c>
    </row>
    <row r="422" spans="1:52" s="178" customFormat="1" x14ac:dyDescent="0.25">
      <c r="A422" s="610" t="s">
        <v>5236</v>
      </c>
      <c r="B422" s="30" t="s">
        <v>5548</v>
      </c>
      <c r="C422" s="30" t="s">
        <v>3727</v>
      </c>
      <c r="D422" s="30" t="s">
        <v>7074</v>
      </c>
      <c r="E422" s="30" t="s">
        <v>3055</v>
      </c>
      <c r="F422" s="454">
        <f t="shared" si="181"/>
        <v>22.939999999999998</v>
      </c>
      <c r="G422" s="529">
        <v>22.939999999999998</v>
      </c>
      <c r="H422" s="487">
        <f t="shared" si="182"/>
        <v>18.350000000000001</v>
      </c>
      <c r="I422" s="706"/>
      <c r="J422" s="669" t="s">
        <v>5805</v>
      </c>
      <c r="K422" s="15"/>
      <c r="L422"/>
      <c r="M422" s="49">
        <f t="shared" si="183"/>
        <v>22.939999999999998</v>
      </c>
      <c r="N422" s="41">
        <v>10</v>
      </c>
      <c r="O422" s="176"/>
      <c r="P422" s="177"/>
      <c r="S422" s="178" t="s">
        <v>1017</v>
      </c>
      <c r="T422" s="178" t="s">
        <v>4180</v>
      </c>
      <c r="U422" s="179"/>
      <c r="W422" s="180"/>
      <c r="X422" s="180"/>
      <c r="Z422" s="180"/>
      <c r="AA422" s="184"/>
      <c r="AC422" s="180"/>
      <c r="AD422" s="199" t="s">
        <v>1017</v>
      </c>
      <c r="AE422" s="181"/>
      <c r="AF422" s="182"/>
      <c r="AG422" s="182"/>
      <c r="AH422" s="212" t="str">
        <f>IF(ISERROR(SEARCH("K erstmals 201",D422)),"",RIGHT(D422,4))</f>
        <v>2011</v>
      </c>
      <c r="AI422" s="214" t="str">
        <f t="shared" si="176"/>
        <v/>
      </c>
      <c r="AJ422" s="214" t="str">
        <f t="shared" si="177"/>
        <v/>
      </c>
      <c r="AK422" s="214" t="str">
        <f t="shared" si="178"/>
        <v/>
      </c>
      <c r="AL422" s="214" t="str">
        <f t="shared" si="179"/>
        <v/>
      </c>
      <c r="AM422" s="214" t="str">
        <f t="shared" si="180"/>
        <v/>
      </c>
      <c r="AN422" s="213" t="str">
        <f t="shared" si="163"/>
        <v>2011</v>
      </c>
      <c r="AO422" s="213" t="str">
        <f t="shared" si="164"/>
        <v>2011</v>
      </c>
      <c r="AP422" s="213" t="str">
        <f t="shared" si="165"/>
        <v>2011</v>
      </c>
      <c r="AQ422" s="215" t="str">
        <f t="shared" si="166"/>
        <v/>
      </c>
      <c r="AR422" s="216" t="str">
        <f t="shared" si="167"/>
        <v>BiK51aX2K11-03</v>
      </c>
      <c r="AS422" s="215" t="str">
        <f t="shared" si="168"/>
        <v/>
      </c>
      <c r="AT422">
        <f t="shared" si="169"/>
        <v>14</v>
      </c>
      <c r="AU422" s="216" t="str">
        <f t="shared" si="170"/>
        <v>0,15-0,5 MW, Bonusregeln X2 und K erstmals 2011</v>
      </c>
      <c r="AV422" s="215" t="str">
        <f t="shared" si="171"/>
        <v/>
      </c>
      <c r="AW422" s="216" t="str">
        <f t="shared" si="172"/>
        <v>Anteil KWK, erstmals 2011</v>
      </c>
      <c r="AX422" s="215" t="str">
        <f t="shared" si="173"/>
        <v/>
      </c>
      <c r="AY422" t="str">
        <f t="shared" si="174"/>
        <v>x</v>
      </c>
      <c r="AZ422" t="str">
        <f t="shared" si="175"/>
        <v/>
      </c>
    </row>
    <row r="423" spans="1:52" s="178" customFormat="1" x14ac:dyDescent="0.25">
      <c r="A423" s="625" t="s">
        <v>3543</v>
      </c>
      <c r="B423" s="219" t="s">
        <v>5548</v>
      </c>
      <c r="C423" s="219" t="s">
        <v>3727</v>
      </c>
      <c r="D423" s="219" t="s">
        <v>7075</v>
      </c>
      <c r="E423" s="219" t="s">
        <v>1980</v>
      </c>
      <c r="F423" s="455">
        <f t="shared" si="181"/>
        <v>22.91</v>
      </c>
      <c r="G423" s="530">
        <v>22.91</v>
      </c>
      <c r="H423" s="488">
        <f t="shared" si="182"/>
        <v>18.329999999999998</v>
      </c>
      <c r="I423" s="707"/>
      <c r="J423" s="669" t="s">
        <v>5805</v>
      </c>
      <c r="K423" s="15"/>
      <c r="L423"/>
      <c r="M423" s="49">
        <f t="shared" si="183"/>
        <v>22.91</v>
      </c>
      <c r="N423" s="41">
        <v>10</v>
      </c>
      <c r="O423" s="176"/>
      <c r="P423" s="177"/>
      <c r="S423" s="178" t="s">
        <v>4180</v>
      </c>
      <c r="T423" s="178" t="s">
        <v>1017</v>
      </c>
      <c r="U423" s="179"/>
      <c r="W423" s="180"/>
      <c r="X423" s="180"/>
      <c r="Z423" s="180"/>
      <c r="AA423" s="184"/>
      <c r="AC423" s="180"/>
      <c r="AD423" s="199" t="s">
        <v>1017</v>
      </c>
      <c r="AE423" s="181"/>
      <c r="AF423" s="182"/>
      <c r="AG423" s="182"/>
      <c r="AH423" s="217" t="s">
        <v>4179</v>
      </c>
      <c r="AI423" s="214" t="str">
        <f t="shared" si="176"/>
        <v/>
      </c>
      <c r="AJ423" s="214" t="str">
        <f t="shared" si="177"/>
        <v/>
      </c>
      <c r="AK423" s="214" t="str">
        <f t="shared" si="178"/>
        <v/>
      </c>
      <c r="AL423" s="214" t="str">
        <f t="shared" si="179"/>
        <v/>
      </c>
      <c r="AM423" s="214" t="str">
        <f t="shared" si="180"/>
        <v/>
      </c>
      <c r="AN423" s="213" t="str">
        <f t="shared" si="163"/>
        <v>2012</v>
      </c>
      <c r="AO423" s="213" t="str">
        <f t="shared" si="164"/>
        <v>2012</v>
      </c>
      <c r="AP423" s="213" t="str">
        <f t="shared" si="165"/>
        <v>2012</v>
      </c>
      <c r="AQ423" s="215" t="str">
        <f t="shared" si="166"/>
        <v/>
      </c>
      <c r="AR423" s="216" t="str">
        <f t="shared" si="167"/>
        <v>BiK51aX2K12-03</v>
      </c>
      <c r="AS423" s="215" t="str">
        <f t="shared" si="168"/>
        <v/>
      </c>
      <c r="AT423">
        <f t="shared" si="169"/>
        <v>14</v>
      </c>
      <c r="AU423" s="216" t="str">
        <f t="shared" si="170"/>
        <v>0,15-0,5 MW, Bonusregeln X2 und K erstmals 2012</v>
      </c>
      <c r="AV423" s="215" t="str">
        <f t="shared" si="171"/>
        <v/>
      </c>
      <c r="AW423" s="216" t="str">
        <f t="shared" si="172"/>
        <v>Anteil KWK, erstmals 2012</v>
      </c>
      <c r="AX423" s="215" t="str">
        <f t="shared" si="173"/>
        <v/>
      </c>
      <c r="AY423" t="str">
        <f t="shared" si="174"/>
        <v/>
      </c>
      <c r="AZ423" t="str">
        <f t="shared" si="175"/>
        <v>x</v>
      </c>
    </row>
    <row r="424" spans="1:52" s="178" customFormat="1" x14ac:dyDescent="0.25">
      <c r="A424" s="610" t="s">
        <v>4862</v>
      </c>
      <c r="B424" s="30" t="s">
        <v>5548</v>
      </c>
      <c r="C424" s="30" t="s">
        <v>3727</v>
      </c>
      <c r="D424" s="30" t="s">
        <v>7076</v>
      </c>
      <c r="E424" s="30" t="s">
        <v>4810</v>
      </c>
      <c r="F424" s="454">
        <f t="shared" si="181"/>
        <v>21</v>
      </c>
      <c r="G424" s="529">
        <v>21</v>
      </c>
      <c r="H424" s="487">
        <f t="shared" si="182"/>
        <v>16.8</v>
      </c>
      <c r="I424" s="706"/>
      <c r="J424" s="669" t="s">
        <v>5805</v>
      </c>
      <c r="K424" s="15"/>
      <c r="L424"/>
      <c r="M424" s="49">
        <f t="shared" si="183"/>
        <v>21</v>
      </c>
      <c r="N424" s="41">
        <v>10</v>
      </c>
      <c r="O424" s="176"/>
      <c r="P424" s="183"/>
      <c r="Q424" s="184"/>
      <c r="R424" s="184"/>
      <c r="S424" s="184" t="s">
        <v>4180</v>
      </c>
      <c r="T424" s="178" t="s">
        <v>4180</v>
      </c>
      <c r="U424" s="185" t="s">
        <v>1017</v>
      </c>
      <c r="V424" s="184"/>
      <c r="W424" s="180"/>
      <c r="X424" s="180"/>
      <c r="Z424" s="180"/>
      <c r="AA424" s="184"/>
      <c r="AC424" s="180"/>
      <c r="AD424" s="182" t="s">
        <v>1017</v>
      </c>
      <c r="AE424" s="181"/>
      <c r="AF424" s="182"/>
      <c r="AG424" s="182"/>
      <c r="AH424" s="212" t="str">
        <f>IF(ISERROR(SEARCH("K erstmals 201",D424)),"",RIGHT(D424,4))</f>
        <v/>
      </c>
      <c r="AI424" s="214" t="str">
        <f t="shared" si="176"/>
        <v/>
      </c>
      <c r="AJ424" s="214" t="str">
        <f t="shared" si="177"/>
        <v/>
      </c>
      <c r="AK424" s="214" t="str">
        <f t="shared" si="178"/>
        <v/>
      </c>
      <c r="AL424" s="214" t="str">
        <f t="shared" si="179"/>
        <v/>
      </c>
      <c r="AM424" s="214" t="str">
        <f t="shared" si="180"/>
        <v/>
      </c>
      <c r="AN424" s="213" t="str">
        <f t="shared" si="163"/>
        <v/>
      </c>
      <c r="AO424" s="213" t="str">
        <f t="shared" si="164"/>
        <v/>
      </c>
      <c r="AP424" s="213" t="str">
        <f t="shared" si="165"/>
        <v/>
      </c>
      <c r="AQ424" s="215" t="str">
        <f t="shared" si="166"/>
        <v/>
      </c>
      <c r="AR424" s="216" t="str">
        <f t="shared" si="167"/>
        <v>BiK51aX2y---03</v>
      </c>
      <c r="AS424" s="215" t="str">
        <f t="shared" si="168"/>
        <v/>
      </c>
      <c r="AT424">
        <f t="shared" si="169"/>
        <v>14</v>
      </c>
      <c r="AU424" s="216" t="str">
        <f t="shared" si="170"/>
        <v>0,15-0,5 MW, Bonusregeln X2, y</v>
      </c>
      <c r="AV424" s="215" t="str">
        <f t="shared" si="171"/>
        <v/>
      </c>
      <c r="AW424" s="216" t="str">
        <f t="shared" si="172"/>
        <v>Anteil Nicht-KWK</v>
      </c>
      <c r="AX424" s="215" t="str">
        <f t="shared" si="173"/>
        <v/>
      </c>
      <c r="AY424" t="str">
        <f t="shared" si="174"/>
        <v/>
      </c>
      <c r="AZ424" t="str">
        <f t="shared" si="175"/>
        <v/>
      </c>
    </row>
    <row r="425" spans="1:52" s="178" customFormat="1" x14ac:dyDescent="0.25">
      <c r="A425" s="610" t="s">
        <v>4863</v>
      </c>
      <c r="B425" s="30" t="s">
        <v>5548</v>
      </c>
      <c r="C425" s="30" t="s">
        <v>3727</v>
      </c>
      <c r="D425" s="109" t="s">
        <v>7077</v>
      </c>
      <c r="E425" s="30" t="s">
        <v>4331</v>
      </c>
      <c r="F425" s="454">
        <f t="shared" si="181"/>
        <v>24</v>
      </c>
      <c r="G425" s="529">
        <v>24</v>
      </c>
      <c r="H425" s="487">
        <f t="shared" si="182"/>
        <v>19.2</v>
      </c>
      <c r="I425" s="706"/>
      <c r="J425" s="669" t="s">
        <v>5805</v>
      </c>
      <c r="K425" s="15"/>
      <c r="L425"/>
      <c r="M425" s="49">
        <f t="shared" si="183"/>
        <v>24</v>
      </c>
      <c r="N425" s="41">
        <v>10</v>
      </c>
      <c r="O425" s="176"/>
      <c r="P425" s="184" t="s">
        <v>1017</v>
      </c>
      <c r="Q425" s="184"/>
      <c r="R425" s="184"/>
      <c r="S425" s="184" t="s">
        <v>4180</v>
      </c>
      <c r="T425" s="178" t="s">
        <v>4180</v>
      </c>
      <c r="U425" s="185" t="s">
        <v>1017</v>
      </c>
      <c r="V425" s="184"/>
      <c r="W425" s="180"/>
      <c r="X425" s="180"/>
      <c r="Z425" s="180"/>
      <c r="AA425" s="184"/>
      <c r="AC425" s="180"/>
      <c r="AD425" s="182" t="s">
        <v>1017</v>
      </c>
      <c r="AE425" s="181"/>
      <c r="AF425" s="182"/>
      <c r="AG425" s="182"/>
      <c r="AH425" s="212" t="str">
        <f>IF(ISERROR(SEARCH("K erstmals 201",D425)),"",RIGHT(D425,4))</f>
        <v/>
      </c>
      <c r="AI425" s="214" t="str">
        <f t="shared" si="176"/>
        <v/>
      </c>
      <c r="AJ425" s="214" t="str">
        <f t="shared" si="177"/>
        <v/>
      </c>
      <c r="AK425" s="214" t="str">
        <f t="shared" si="178"/>
        <v/>
      </c>
      <c r="AL425" s="214" t="str">
        <f t="shared" si="179"/>
        <v/>
      </c>
      <c r="AM425" s="214" t="str">
        <f t="shared" si="180"/>
        <v/>
      </c>
      <c r="AN425" s="213" t="str">
        <f t="shared" si="163"/>
        <v/>
      </c>
      <c r="AO425" s="213" t="str">
        <f t="shared" si="164"/>
        <v/>
      </c>
      <c r="AP425" s="213" t="str">
        <f t="shared" si="165"/>
        <v/>
      </c>
      <c r="AQ425" s="215" t="str">
        <f t="shared" si="166"/>
        <v/>
      </c>
      <c r="AR425" s="216" t="str">
        <f t="shared" si="167"/>
        <v>BiK51aX2KA3y03</v>
      </c>
      <c r="AS425" s="215" t="str">
        <f t="shared" si="168"/>
        <v/>
      </c>
      <c r="AT425">
        <f t="shared" si="169"/>
        <v>14</v>
      </c>
      <c r="AU425" s="216" t="str">
        <f t="shared" si="170"/>
        <v>0,15-0,5 MW, Bonusregeln X2, y und K wenn Anlage 3 erfüllt</v>
      </c>
      <c r="AV425" s="215" t="str">
        <f t="shared" si="171"/>
        <v/>
      </c>
      <c r="AW425" s="216" t="str">
        <f t="shared" si="172"/>
        <v>Anteil KWK gemäß Anlage 3</v>
      </c>
      <c r="AX425" s="215" t="str">
        <f t="shared" si="173"/>
        <v/>
      </c>
      <c r="AY425" t="str">
        <f t="shared" si="174"/>
        <v/>
      </c>
      <c r="AZ425" t="str">
        <f t="shared" si="175"/>
        <v/>
      </c>
    </row>
    <row r="426" spans="1:52" s="178" customFormat="1" x14ac:dyDescent="0.25">
      <c r="A426" s="610" t="s">
        <v>4627</v>
      </c>
      <c r="B426" s="30" t="s">
        <v>5548</v>
      </c>
      <c r="C426" s="30" t="s">
        <v>3727</v>
      </c>
      <c r="D426" s="30" t="s">
        <v>7078</v>
      </c>
      <c r="E426" s="30" t="s">
        <v>674</v>
      </c>
      <c r="F426" s="454">
        <f t="shared" si="181"/>
        <v>24</v>
      </c>
      <c r="G426" s="529">
        <v>24</v>
      </c>
      <c r="H426" s="487">
        <f t="shared" si="182"/>
        <v>19.2</v>
      </c>
      <c r="I426" s="706"/>
      <c r="J426" s="669" t="s">
        <v>5805</v>
      </c>
      <c r="K426" s="15"/>
      <c r="L426"/>
      <c r="M426" s="49">
        <f t="shared" si="183"/>
        <v>24</v>
      </c>
      <c r="N426" s="41">
        <v>10</v>
      </c>
      <c r="O426" s="176"/>
      <c r="P426" s="183"/>
      <c r="Q426" s="184" t="s">
        <v>1017</v>
      </c>
      <c r="R426" s="184"/>
      <c r="S426" s="184" t="s">
        <v>4180</v>
      </c>
      <c r="T426" s="178" t="s">
        <v>4180</v>
      </c>
      <c r="U426" s="185" t="s">
        <v>1017</v>
      </c>
      <c r="V426" s="184"/>
      <c r="W426" s="180"/>
      <c r="X426" s="180"/>
      <c r="Z426" s="180"/>
      <c r="AA426" s="184"/>
      <c r="AC426" s="180"/>
      <c r="AD426" s="182" t="s">
        <v>1017</v>
      </c>
      <c r="AE426" s="181"/>
      <c r="AF426" s="182"/>
      <c r="AG426" s="182"/>
      <c r="AH426" s="212" t="str">
        <f>IF(ISERROR(SEARCH("K erstmals 201",D426)),"",RIGHT(D426,4))</f>
        <v/>
      </c>
      <c r="AI426" s="214" t="str">
        <f t="shared" si="176"/>
        <v/>
      </c>
      <c r="AJ426" s="214" t="str">
        <f t="shared" si="177"/>
        <v/>
      </c>
      <c r="AK426" s="214" t="str">
        <f t="shared" si="178"/>
        <v/>
      </c>
      <c r="AL426" s="214" t="str">
        <f t="shared" si="179"/>
        <v/>
      </c>
      <c r="AM426" s="214" t="str">
        <f t="shared" si="180"/>
        <v/>
      </c>
      <c r="AN426" s="213" t="str">
        <f t="shared" si="163"/>
        <v/>
      </c>
      <c r="AO426" s="213" t="str">
        <f t="shared" si="164"/>
        <v/>
      </c>
      <c r="AP426" s="213" t="str">
        <f t="shared" si="165"/>
        <v/>
      </c>
      <c r="AQ426" s="215" t="str">
        <f t="shared" si="166"/>
        <v/>
      </c>
      <c r="AR426" s="216" t="str">
        <f t="shared" si="167"/>
        <v>BiK51aX2K09y03</v>
      </c>
      <c r="AS426" s="215" t="str">
        <f t="shared" si="168"/>
        <v/>
      </c>
      <c r="AT426">
        <f t="shared" si="169"/>
        <v>14</v>
      </c>
      <c r="AU426" s="216" t="str">
        <f t="shared" si="170"/>
        <v>0,15-0,5 MW, Bonusregeln X2, y und K erstmals 2009</v>
      </c>
      <c r="AV426" s="215" t="str">
        <f t="shared" si="171"/>
        <v/>
      </c>
      <c r="AW426" s="216" t="str">
        <f t="shared" si="172"/>
        <v>Anteil KWK, erstmals 2009</v>
      </c>
      <c r="AX426" s="215" t="str">
        <f t="shared" si="173"/>
        <v/>
      </c>
      <c r="AY426" t="str">
        <f t="shared" si="174"/>
        <v/>
      </c>
      <c r="AZ426" t="str">
        <f t="shared" si="175"/>
        <v/>
      </c>
    </row>
    <row r="427" spans="1:52" s="178" customFormat="1" x14ac:dyDescent="0.25">
      <c r="A427" s="610" t="s">
        <v>1622</v>
      </c>
      <c r="B427" s="30" t="s">
        <v>5548</v>
      </c>
      <c r="C427" s="30" t="s">
        <v>3727</v>
      </c>
      <c r="D427" s="30" t="s">
        <v>7079</v>
      </c>
      <c r="E427" s="30" t="s">
        <v>3567</v>
      </c>
      <c r="F427" s="454">
        <f t="shared" si="181"/>
        <v>23.97</v>
      </c>
      <c r="G427" s="529">
        <v>23.97</v>
      </c>
      <c r="H427" s="487">
        <f t="shared" si="182"/>
        <v>19.18</v>
      </c>
      <c r="I427" s="706"/>
      <c r="J427" s="669" t="s">
        <v>5805</v>
      </c>
      <c r="K427" s="15"/>
      <c r="L427"/>
      <c r="M427" s="49">
        <f t="shared" si="183"/>
        <v>23.97</v>
      </c>
      <c r="N427" s="41">
        <v>10</v>
      </c>
      <c r="O427" s="176"/>
      <c r="P427" s="183"/>
      <c r="Q427" s="184"/>
      <c r="R427" s="184" t="s">
        <v>1017</v>
      </c>
      <c r="S427" s="184" t="s">
        <v>4180</v>
      </c>
      <c r="T427" s="178" t="s">
        <v>4180</v>
      </c>
      <c r="U427" s="185" t="s">
        <v>1017</v>
      </c>
      <c r="V427" s="184"/>
      <c r="W427" s="180"/>
      <c r="X427" s="180"/>
      <c r="Z427" s="180"/>
      <c r="AA427" s="184"/>
      <c r="AC427" s="180"/>
      <c r="AD427" s="182" t="s">
        <v>1017</v>
      </c>
      <c r="AE427" s="181"/>
      <c r="AF427" s="182"/>
      <c r="AG427" s="182"/>
      <c r="AH427" s="212" t="str">
        <f>IF(ISERROR(SEARCH("K erstmals 201",D427)),"",RIGHT(D427,4))</f>
        <v>2010</v>
      </c>
      <c r="AI427" s="214" t="str">
        <f t="shared" si="176"/>
        <v/>
      </c>
      <c r="AJ427" s="214" t="str">
        <f t="shared" si="177"/>
        <v/>
      </c>
      <c r="AK427" s="214" t="str">
        <f t="shared" si="178"/>
        <v/>
      </c>
      <c r="AL427" s="214" t="str">
        <f t="shared" si="179"/>
        <v/>
      </c>
      <c r="AM427" s="214" t="str">
        <f t="shared" si="180"/>
        <v/>
      </c>
      <c r="AN427" s="213" t="str">
        <f t="shared" si="163"/>
        <v>2010</v>
      </c>
      <c r="AO427" s="213" t="str">
        <f t="shared" si="164"/>
        <v>2010</v>
      </c>
      <c r="AP427" s="213" t="str">
        <f t="shared" si="165"/>
        <v>2010</v>
      </c>
      <c r="AQ427" s="215" t="str">
        <f t="shared" si="166"/>
        <v/>
      </c>
      <c r="AR427" s="216" t="str">
        <f t="shared" si="167"/>
        <v>BiK51aX2K10y03</v>
      </c>
      <c r="AS427" s="215" t="str">
        <f t="shared" si="168"/>
        <v/>
      </c>
      <c r="AT427">
        <f t="shared" si="169"/>
        <v>14</v>
      </c>
      <c r="AU427" s="216" t="str">
        <f t="shared" si="170"/>
        <v>0,15-0,5 MW, Bonusregeln X2, y und K erstmals 2010</v>
      </c>
      <c r="AV427" s="215" t="str">
        <f t="shared" si="171"/>
        <v/>
      </c>
      <c r="AW427" s="216" t="str">
        <f t="shared" si="172"/>
        <v>Anteil KWK, erstmals 2010</v>
      </c>
      <c r="AX427" s="215" t="str">
        <f t="shared" si="173"/>
        <v/>
      </c>
      <c r="AY427" t="str">
        <f t="shared" si="174"/>
        <v/>
      </c>
      <c r="AZ427" t="str">
        <f t="shared" si="175"/>
        <v/>
      </c>
    </row>
    <row r="428" spans="1:52" s="178" customFormat="1" x14ac:dyDescent="0.25">
      <c r="A428" s="610" t="s">
        <v>5237</v>
      </c>
      <c r="B428" s="30" t="s">
        <v>5548</v>
      </c>
      <c r="C428" s="30" t="s">
        <v>3727</v>
      </c>
      <c r="D428" s="30" t="s">
        <v>7080</v>
      </c>
      <c r="E428" s="30" t="s">
        <v>3055</v>
      </c>
      <c r="F428" s="454">
        <f t="shared" si="181"/>
        <v>23.939999999999998</v>
      </c>
      <c r="G428" s="529">
        <v>23.939999999999998</v>
      </c>
      <c r="H428" s="487">
        <f t="shared" si="182"/>
        <v>19.149999999999999</v>
      </c>
      <c r="I428" s="706"/>
      <c r="J428" s="669" t="s">
        <v>5805</v>
      </c>
      <c r="K428" s="15"/>
      <c r="L428"/>
      <c r="M428" s="49">
        <f t="shared" si="183"/>
        <v>23.939999999999998</v>
      </c>
      <c r="N428" s="41">
        <v>10</v>
      </c>
      <c r="O428" s="176"/>
      <c r="P428" s="183"/>
      <c r="Q428" s="184"/>
      <c r="S428" s="184" t="s">
        <v>1017</v>
      </c>
      <c r="T428" s="178" t="s">
        <v>4180</v>
      </c>
      <c r="U428" s="185" t="s">
        <v>1017</v>
      </c>
      <c r="V428" s="184"/>
      <c r="W428" s="180"/>
      <c r="X428" s="180"/>
      <c r="Z428" s="180"/>
      <c r="AA428" s="184"/>
      <c r="AC428" s="180"/>
      <c r="AD428" s="182" t="s">
        <v>1017</v>
      </c>
      <c r="AE428" s="181"/>
      <c r="AF428" s="182"/>
      <c r="AG428" s="182"/>
      <c r="AH428" s="212" t="str">
        <f>IF(ISERROR(SEARCH("K erstmals 201",D428)),"",RIGHT(D428,4))</f>
        <v>2011</v>
      </c>
      <c r="AI428" s="214" t="str">
        <f t="shared" si="176"/>
        <v/>
      </c>
      <c r="AJ428" s="214" t="str">
        <f t="shared" si="177"/>
        <v/>
      </c>
      <c r="AK428" s="214" t="str">
        <f t="shared" si="178"/>
        <v/>
      </c>
      <c r="AL428" s="214" t="str">
        <f t="shared" si="179"/>
        <v/>
      </c>
      <c r="AM428" s="214" t="str">
        <f t="shared" si="180"/>
        <v/>
      </c>
      <c r="AN428" s="213" t="str">
        <f t="shared" si="163"/>
        <v>2011</v>
      </c>
      <c r="AO428" s="213" t="str">
        <f t="shared" si="164"/>
        <v>2011</v>
      </c>
      <c r="AP428" s="213" t="str">
        <f t="shared" si="165"/>
        <v>2011</v>
      </c>
      <c r="AQ428" s="215" t="str">
        <f t="shared" si="166"/>
        <v/>
      </c>
      <c r="AR428" s="216" t="str">
        <f t="shared" si="167"/>
        <v>BiK51aX2K11y03</v>
      </c>
      <c r="AS428" s="215" t="str">
        <f t="shared" si="168"/>
        <v/>
      </c>
      <c r="AT428">
        <f t="shared" si="169"/>
        <v>14</v>
      </c>
      <c r="AU428" s="216" t="str">
        <f t="shared" si="170"/>
        <v>0,15-0,5 MW, Bonusregeln X2, y und K erstmals 2011</v>
      </c>
      <c r="AV428" s="215" t="str">
        <f t="shared" si="171"/>
        <v/>
      </c>
      <c r="AW428" s="216" t="str">
        <f t="shared" si="172"/>
        <v>Anteil KWK, erstmals 2011</v>
      </c>
      <c r="AX428" s="215" t="str">
        <f t="shared" si="173"/>
        <v/>
      </c>
      <c r="AY428" t="str">
        <f t="shared" si="174"/>
        <v>x</v>
      </c>
      <c r="AZ428" t="str">
        <f t="shared" si="175"/>
        <v/>
      </c>
    </row>
    <row r="429" spans="1:52" s="178" customFormat="1" x14ac:dyDescent="0.25">
      <c r="A429" s="625" t="s">
        <v>3544</v>
      </c>
      <c r="B429" s="219" t="s">
        <v>5548</v>
      </c>
      <c r="C429" s="219" t="s">
        <v>3727</v>
      </c>
      <c r="D429" s="219" t="s">
        <v>7081</v>
      </c>
      <c r="E429" s="219" t="s">
        <v>1980</v>
      </c>
      <c r="F429" s="455">
        <f t="shared" si="181"/>
        <v>23.91</v>
      </c>
      <c r="G429" s="530">
        <v>23.91</v>
      </c>
      <c r="H429" s="488">
        <f t="shared" si="182"/>
        <v>19.13</v>
      </c>
      <c r="I429" s="707"/>
      <c r="J429" s="669" t="s">
        <v>5805</v>
      </c>
      <c r="K429" s="15"/>
      <c r="L429"/>
      <c r="M429" s="49">
        <f t="shared" si="183"/>
        <v>23.91</v>
      </c>
      <c r="N429" s="41">
        <v>10</v>
      </c>
      <c r="O429" s="176"/>
      <c r="P429" s="183"/>
      <c r="Q429" s="184"/>
      <c r="S429" s="184" t="s">
        <v>4180</v>
      </c>
      <c r="T429" s="178" t="s">
        <v>1017</v>
      </c>
      <c r="U429" s="185" t="s">
        <v>1017</v>
      </c>
      <c r="V429" s="184"/>
      <c r="W429" s="180"/>
      <c r="X429" s="180"/>
      <c r="Z429" s="180"/>
      <c r="AA429" s="184"/>
      <c r="AC429" s="180"/>
      <c r="AD429" s="182" t="s">
        <v>1017</v>
      </c>
      <c r="AE429" s="181"/>
      <c r="AF429" s="182"/>
      <c r="AG429" s="182"/>
      <c r="AH429" s="217" t="s">
        <v>4179</v>
      </c>
      <c r="AI429" s="214" t="str">
        <f t="shared" si="176"/>
        <v/>
      </c>
      <c r="AJ429" s="214" t="str">
        <f t="shared" si="177"/>
        <v/>
      </c>
      <c r="AK429" s="214" t="str">
        <f t="shared" si="178"/>
        <v/>
      </c>
      <c r="AL429" s="214" t="str">
        <f t="shared" si="179"/>
        <v/>
      </c>
      <c r="AM429" s="214" t="str">
        <f t="shared" si="180"/>
        <v/>
      </c>
      <c r="AN429" s="213" t="str">
        <f t="shared" si="163"/>
        <v>2012</v>
      </c>
      <c r="AO429" s="213" t="str">
        <f t="shared" si="164"/>
        <v>2012</v>
      </c>
      <c r="AP429" s="213" t="str">
        <f t="shared" si="165"/>
        <v>2012</v>
      </c>
      <c r="AQ429" s="215" t="str">
        <f t="shared" si="166"/>
        <v/>
      </c>
      <c r="AR429" s="216" t="str">
        <f t="shared" si="167"/>
        <v>BiK51aX2K12y03</v>
      </c>
      <c r="AS429" s="215" t="str">
        <f t="shared" si="168"/>
        <v/>
      </c>
      <c r="AT429">
        <f t="shared" si="169"/>
        <v>14</v>
      </c>
      <c r="AU429" s="216" t="str">
        <f t="shared" si="170"/>
        <v>0,15-0,5 MW, Bonusregeln X2, y und K erstmals 2012</v>
      </c>
      <c r="AV429" s="215" t="str">
        <f t="shared" si="171"/>
        <v/>
      </c>
      <c r="AW429" s="216" t="str">
        <f t="shared" si="172"/>
        <v>Anteil KWK, erstmals 2012</v>
      </c>
      <c r="AX429" s="215" t="str">
        <f t="shared" si="173"/>
        <v/>
      </c>
      <c r="AY429" t="str">
        <f t="shared" si="174"/>
        <v/>
      </c>
      <c r="AZ429" t="str">
        <f t="shared" si="175"/>
        <v>x</v>
      </c>
    </row>
    <row r="430" spans="1:52" s="178" customFormat="1" x14ac:dyDescent="0.25">
      <c r="A430" s="608" t="s">
        <v>4804</v>
      </c>
      <c r="B430" s="1" t="s">
        <v>5548</v>
      </c>
      <c r="C430" s="1" t="s">
        <v>3727</v>
      </c>
      <c r="D430" s="1" t="s">
        <v>5408</v>
      </c>
      <c r="E430" s="192" t="s">
        <v>4810</v>
      </c>
      <c r="F430" s="457">
        <f t="shared" si="181"/>
        <v>9</v>
      </c>
      <c r="G430" s="532">
        <v>9</v>
      </c>
      <c r="H430" s="490">
        <f t="shared" si="182"/>
        <v>7.2</v>
      </c>
      <c r="I430" s="709"/>
      <c r="J430" s="669" t="s">
        <v>5805</v>
      </c>
      <c r="K430" s="15"/>
      <c r="L430"/>
      <c r="M430" s="49">
        <f t="shared" si="183"/>
        <v>9</v>
      </c>
      <c r="N430" s="41">
        <v>9</v>
      </c>
      <c r="O430" s="86"/>
      <c r="P430" s="74"/>
      <c r="Q430"/>
      <c r="R430"/>
      <c r="S430" t="s">
        <v>4180</v>
      </c>
      <c r="T430" s="178" t="s">
        <v>4180</v>
      </c>
      <c r="U430" s="75"/>
      <c r="V430" s="65"/>
      <c r="W430"/>
      <c r="X430"/>
      <c r="Y430" s="65"/>
      <c r="Z430" s="65"/>
      <c r="AA430" s="65"/>
      <c r="AB430" s="65"/>
      <c r="AC430" s="65"/>
      <c r="AD430" s="91"/>
      <c r="AE430" s="94"/>
      <c r="AF430" s="27"/>
      <c r="AG430" s="27"/>
      <c r="AH430" s="212" t="str">
        <f>IF(ISERROR(SEARCH("K erstmals 201",D430)),"",RIGHT(D430,4))</f>
        <v/>
      </c>
      <c r="AI430" s="214" t="str">
        <f t="shared" si="176"/>
        <v/>
      </c>
      <c r="AJ430" s="214" t="str">
        <f t="shared" si="177"/>
        <v/>
      </c>
      <c r="AK430" s="214" t="str">
        <f t="shared" si="178"/>
        <v/>
      </c>
      <c r="AL430" s="214" t="str">
        <f t="shared" si="179"/>
        <v/>
      </c>
      <c r="AM430" s="214" t="str">
        <f t="shared" si="180"/>
        <v/>
      </c>
      <c r="AN430" s="213" t="str">
        <f t="shared" si="163"/>
        <v/>
      </c>
      <c r="AO430" s="213" t="str">
        <f t="shared" si="164"/>
        <v/>
      </c>
      <c r="AP430" s="213" t="str">
        <f t="shared" si="165"/>
        <v/>
      </c>
      <c r="AQ430" s="215" t="str">
        <f t="shared" si="166"/>
        <v/>
      </c>
      <c r="AR430" s="216" t="str">
        <f t="shared" si="167"/>
        <v>BiK52a------03</v>
      </c>
      <c r="AS430" s="215" t="str">
        <f t="shared" si="168"/>
        <v/>
      </c>
      <c r="AT430">
        <f t="shared" si="169"/>
        <v>14</v>
      </c>
      <c r="AU430" s="216" t="str">
        <f t="shared" si="170"/>
        <v>0,5-5 MW</v>
      </c>
      <c r="AV430" s="215" t="str">
        <f t="shared" si="171"/>
        <v/>
      </c>
      <c r="AW430" s="216" t="str">
        <f t="shared" si="172"/>
        <v>Anteil Nicht-KWK</v>
      </c>
      <c r="AX430" s="215" t="str">
        <f t="shared" si="173"/>
        <v/>
      </c>
      <c r="AY430" t="str">
        <f t="shared" si="174"/>
        <v/>
      </c>
      <c r="AZ430" t="str">
        <f t="shared" si="175"/>
        <v/>
      </c>
    </row>
    <row r="431" spans="1:52" s="178" customFormat="1" x14ac:dyDescent="0.25">
      <c r="A431" s="610" t="s">
        <v>4336</v>
      </c>
      <c r="B431" s="30" t="s">
        <v>5548</v>
      </c>
      <c r="C431" s="30" t="s">
        <v>3727</v>
      </c>
      <c r="D431" s="30" t="s">
        <v>6754</v>
      </c>
      <c r="E431" s="17" t="s">
        <v>674</v>
      </c>
      <c r="F431" s="454">
        <f t="shared" si="181"/>
        <v>12</v>
      </c>
      <c r="G431" s="529">
        <v>12</v>
      </c>
      <c r="H431" s="487">
        <f t="shared" si="182"/>
        <v>9.6</v>
      </c>
      <c r="I431" s="706"/>
      <c r="J431" s="669" t="s">
        <v>5805</v>
      </c>
      <c r="K431" s="15"/>
      <c r="L431"/>
      <c r="M431" s="49">
        <f t="shared" si="183"/>
        <v>12</v>
      </c>
      <c r="N431" s="41">
        <v>9</v>
      </c>
      <c r="O431" s="86"/>
      <c r="P431" s="74"/>
      <c r="Q431" t="s">
        <v>1017</v>
      </c>
      <c r="R431"/>
      <c r="S431" t="s">
        <v>4180</v>
      </c>
      <c r="T431" s="178" t="s">
        <v>4180</v>
      </c>
      <c r="U431" s="75"/>
      <c r="V431" s="65"/>
      <c r="W431"/>
      <c r="X431"/>
      <c r="Y431" s="65"/>
      <c r="Z431" s="65"/>
      <c r="AA431" s="65"/>
      <c r="AB431" s="65"/>
      <c r="AC431" s="65"/>
      <c r="AD431" s="91"/>
      <c r="AE431" s="94"/>
      <c r="AF431" s="27"/>
      <c r="AG431" s="27"/>
      <c r="AH431" s="212" t="str">
        <f>IF(ISERROR(SEARCH("K erstmals 201",D431)),"",RIGHT(D431,4))</f>
        <v/>
      </c>
      <c r="AI431" s="214" t="str">
        <f t="shared" si="176"/>
        <v/>
      </c>
      <c r="AJ431" s="214" t="str">
        <f t="shared" si="177"/>
        <v/>
      </c>
      <c r="AK431" s="214" t="str">
        <f t="shared" si="178"/>
        <v/>
      </c>
      <c r="AL431" s="214" t="str">
        <f t="shared" si="179"/>
        <v/>
      </c>
      <c r="AM431" s="214" t="str">
        <f t="shared" si="180"/>
        <v/>
      </c>
      <c r="AN431" s="213" t="str">
        <f t="shared" si="163"/>
        <v/>
      </c>
      <c r="AO431" s="213" t="str">
        <f t="shared" si="164"/>
        <v/>
      </c>
      <c r="AP431" s="213" t="str">
        <f t="shared" si="165"/>
        <v/>
      </c>
      <c r="AQ431" s="215" t="str">
        <f t="shared" si="166"/>
        <v/>
      </c>
      <c r="AR431" s="216" t="str">
        <f t="shared" si="167"/>
        <v>BiK52aK09---03</v>
      </c>
      <c r="AS431" s="215" t="str">
        <f t="shared" si="168"/>
        <v/>
      </c>
      <c r="AT431">
        <f t="shared" si="169"/>
        <v>14</v>
      </c>
      <c r="AU431" s="216" t="str">
        <f t="shared" si="170"/>
        <v>0,5-5 MW, Bonusregel K erstmals 2009</v>
      </c>
      <c r="AV431" s="215" t="str">
        <f t="shared" si="171"/>
        <v/>
      </c>
      <c r="AW431" s="216" t="str">
        <f t="shared" si="172"/>
        <v>Anteil KWK, erstmals 2009</v>
      </c>
      <c r="AX431" s="215" t="str">
        <f t="shared" si="173"/>
        <v/>
      </c>
      <c r="AY431" t="str">
        <f t="shared" si="174"/>
        <v/>
      </c>
      <c r="AZ431" t="str">
        <f t="shared" si="175"/>
        <v/>
      </c>
    </row>
    <row r="432" spans="1:52" s="178" customFormat="1" x14ac:dyDescent="0.25">
      <c r="A432" s="610" t="s">
        <v>1623</v>
      </c>
      <c r="B432" s="30" t="s">
        <v>5548</v>
      </c>
      <c r="C432" s="30" t="s">
        <v>3727</v>
      </c>
      <c r="D432" s="30" t="s">
        <v>6755</v>
      </c>
      <c r="E432" s="30" t="s">
        <v>3567</v>
      </c>
      <c r="F432" s="454">
        <f t="shared" si="181"/>
        <v>11.97</v>
      </c>
      <c r="G432" s="529">
        <v>11.97</v>
      </c>
      <c r="H432" s="487">
        <f t="shared" si="182"/>
        <v>9.58</v>
      </c>
      <c r="I432" s="706"/>
      <c r="J432" s="669" t="s">
        <v>5805</v>
      </c>
      <c r="K432" s="15"/>
      <c r="L432"/>
      <c r="M432" s="49">
        <f t="shared" si="183"/>
        <v>11.97</v>
      </c>
      <c r="N432" s="41">
        <v>9</v>
      </c>
      <c r="O432" s="86"/>
      <c r="P432" s="74"/>
      <c r="Q432"/>
      <c r="R432" t="s">
        <v>1017</v>
      </c>
      <c r="S432" t="s">
        <v>4180</v>
      </c>
      <c r="T432" s="178" t="s">
        <v>4180</v>
      </c>
      <c r="U432" s="75"/>
      <c r="V432" s="65"/>
      <c r="W432"/>
      <c r="X432"/>
      <c r="Y432" s="65"/>
      <c r="Z432" s="65"/>
      <c r="AA432" s="65"/>
      <c r="AB432" s="65"/>
      <c r="AC432" s="65"/>
      <c r="AD432" s="91"/>
      <c r="AE432" s="94"/>
      <c r="AF432" s="27"/>
      <c r="AG432" s="27"/>
      <c r="AH432" s="212" t="str">
        <f>IF(ISERROR(SEARCH("K erstmals 201",D432)),"",RIGHT(D432,4))</f>
        <v>2010</v>
      </c>
      <c r="AI432" s="214" t="str">
        <f t="shared" si="176"/>
        <v/>
      </c>
      <c r="AJ432" s="214" t="str">
        <f t="shared" si="177"/>
        <v/>
      </c>
      <c r="AK432" s="214" t="str">
        <f t="shared" si="178"/>
        <v/>
      </c>
      <c r="AL432" s="214" t="str">
        <f t="shared" si="179"/>
        <v/>
      </c>
      <c r="AM432" s="214" t="str">
        <f t="shared" si="180"/>
        <v/>
      </c>
      <c r="AN432" s="213" t="str">
        <f t="shared" si="163"/>
        <v>2010</v>
      </c>
      <c r="AO432" s="213" t="str">
        <f t="shared" si="164"/>
        <v>2010</v>
      </c>
      <c r="AP432" s="213" t="str">
        <f t="shared" si="165"/>
        <v>2010</v>
      </c>
      <c r="AQ432" s="215" t="str">
        <f t="shared" si="166"/>
        <v/>
      </c>
      <c r="AR432" s="216" t="str">
        <f t="shared" si="167"/>
        <v>BiK52aK10---03</v>
      </c>
      <c r="AS432" s="215" t="str">
        <f t="shared" si="168"/>
        <v/>
      </c>
      <c r="AT432">
        <f t="shared" si="169"/>
        <v>14</v>
      </c>
      <c r="AU432" s="216" t="str">
        <f t="shared" si="170"/>
        <v>0,5-5 MW, Bonusregel K erstmals 2010</v>
      </c>
      <c r="AV432" s="215" t="str">
        <f t="shared" si="171"/>
        <v/>
      </c>
      <c r="AW432" s="216" t="str">
        <f t="shared" si="172"/>
        <v>Anteil KWK, erstmals 2010</v>
      </c>
      <c r="AX432" s="215" t="str">
        <f t="shared" si="173"/>
        <v/>
      </c>
      <c r="AY432" t="str">
        <f t="shared" si="174"/>
        <v/>
      </c>
      <c r="AZ432" t="str">
        <f t="shared" si="175"/>
        <v/>
      </c>
    </row>
    <row r="433" spans="1:52" s="178" customFormat="1" x14ac:dyDescent="0.25">
      <c r="A433" s="610" t="s">
        <v>5238</v>
      </c>
      <c r="B433" s="30" t="s">
        <v>5548</v>
      </c>
      <c r="C433" s="30" t="s">
        <v>3727</v>
      </c>
      <c r="D433" s="30" t="s">
        <v>6756</v>
      </c>
      <c r="E433" s="30" t="s">
        <v>3055</v>
      </c>
      <c r="F433" s="454">
        <f t="shared" si="181"/>
        <v>11.94</v>
      </c>
      <c r="G433" s="529">
        <v>11.94</v>
      </c>
      <c r="H433" s="487">
        <f t="shared" si="182"/>
        <v>9.5500000000000007</v>
      </c>
      <c r="I433" s="706"/>
      <c r="J433" s="669" t="s">
        <v>5805</v>
      </c>
      <c r="K433" s="15"/>
      <c r="L433"/>
      <c r="M433" s="49">
        <f t="shared" si="183"/>
        <v>11.94</v>
      </c>
      <c r="N433" s="41">
        <v>9</v>
      </c>
      <c r="O433" s="86"/>
      <c r="P433" s="74"/>
      <c r="Q433"/>
      <c r="R433"/>
      <c r="S433" t="s">
        <v>1017</v>
      </c>
      <c r="T433" s="178" t="s">
        <v>4180</v>
      </c>
      <c r="U433" s="75"/>
      <c r="V433" s="65"/>
      <c r="W433"/>
      <c r="X433"/>
      <c r="Y433" s="65"/>
      <c r="Z433" s="65"/>
      <c r="AA433" s="65"/>
      <c r="AB433" s="65"/>
      <c r="AC433" s="65"/>
      <c r="AD433" s="91"/>
      <c r="AE433" s="94"/>
      <c r="AF433" s="27"/>
      <c r="AG433" s="27"/>
      <c r="AH433" s="212" t="str">
        <f>IF(ISERROR(SEARCH("K erstmals 201",D433)),"",RIGHT(D433,4))</f>
        <v>2011</v>
      </c>
      <c r="AI433" s="214" t="str">
        <f t="shared" si="176"/>
        <v/>
      </c>
      <c r="AJ433" s="214" t="str">
        <f t="shared" si="177"/>
        <v/>
      </c>
      <c r="AK433" s="214" t="str">
        <f t="shared" si="178"/>
        <v/>
      </c>
      <c r="AL433" s="214" t="str">
        <f t="shared" si="179"/>
        <v/>
      </c>
      <c r="AM433" s="214" t="str">
        <f t="shared" si="180"/>
        <v/>
      </c>
      <c r="AN433" s="213" t="str">
        <f t="shared" si="163"/>
        <v>2011</v>
      </c>
      <c r="AO433" s="213" t="str">
        <f t="shared" si="164"/>
        <v>2011</v>
      </c>
      <c r="AP433" s="213" t="str">
        <f t="shared" si="165"/>
        <v>2011</v>
      </c>
      <c r="AQ433" s="215" t="str">
        <f t="shared" si="166"/>
        <v/>
      </c>
      <c r="AR433" s="216" t="str">
        <f t="shared" si="167"/>
        <v>BiK52aK11---03</v>
      </c>
      <c r="AS433" s="215" t="str">
        <f t="shared" si="168"/>
        <v/>
      </c>
      <c r="AT433">
        <f t="shared" si="169"/>
        <v>14</v>
      </c>
      <c r="AU433" s="216" t="str">
        <f t="shared" si="170"/>
        <v>0,5-5 MW, Bonusregel K erstmals 2011</v>
      </c>
      <c r="AV433" s="215" t="str">
        <f t="shared" si="171"/>
        <v/>
      </c>
      <c r="AW433" s="216" t="str">
        <f t="shared" si="172"/>
        <v>Anteil KWK, erstmals 2011</v>
      </c>
      <c r="AX433" s="215" t="str">
        <f t="shared" si="173"/>
        <v/>
      </c>
      <c r="AY433" t="str">
        <f t="shared" si="174"/>
        <v>x</v>
      </c>
      <c r="AZ433" t="str">
        <f t="shared" si="175"/>
        <v/>
      </c>
    </row>
    <row r="434" spans="1:52" s="178" customFormat="1" x14ac:dyDescent="0.25">
      <c r="A434" s="625" t="s">
        <v>3545</v>
      </c>
      <c r="B434" s="219" t="s">
        <v>5548</v>
      </c>
      <c r="C434" s="219" t="s">
        <v>3727</v>
      </c>
      <c r="D434" s="219" t="s">
        <v>6757</v>
      </c>
      <c r="E434" s="219" t="s">
        <v>1980</v>
      </c>
      <c r="F434" s="455">
        <f t="shared" si="181"/>
        <v>11.91</v>
      </c>
      <c r="G434" s="530">
        <v>11.91</v>
      </c>
      <c r="H434" s="488">
        <f t="shared" si="182"/>
        <v>9.5299999999999994</v>
      </c>
      <c r="I434" s="707"/>
      <c r="J434" s="669" t="s">
        <v>5805</v>
      </c>
      <c r="K434" s="15"/>
      <c r="L434"/>
      <c r="M434" s="49">
        <f t="shared" si="183"/>
        <v>11.91</v>
      </c>
      <c r="N434" s="41">
        <v>9</v>
      </c>
      <c r="O434" s="86"/>
      <c r="P434" s="74"/>
      <c r="Q434"/>
      <c r="R434"/>
      <c r="S434" t="s">
        <v>4180</v>
      </c>
      <c r="T434" s="178" t="s">
        <v>1017</v>
      </c>
      <c r="U434" s="75"/>
      <c r="V434" s="65"/>
      <c r="W434"/>
      <c r="X434"/>
      <c r="Y434" s="65"/>
      <c r="Z434" s="65"/>
      <c r="AA434" s="65"/>
      <c r="AB434" s="65"/>
      <c r="AC434" s="65"/>
      <c r="AD434" s="91"/>
      <c r="AE434" s="94"/>
      <c r="AF434" s="27"/>
      <c r="AG434" s="27"/>
      <c r="AH434" s="217" t="s">
        <v>4179</v>
      </c>
      <c r="AI434" s="214" t="str">
        <f t="shared" si="176"/>
        <v/>
      </c>
      <c r="AJ434" s="214" t="str">
        <f t="shared" si="177"/>
        <v/>
      </c>
      <c r="AK434" s="214" t="str">
        <f t="shared" si="178"/>
        <v/>
      </c>
      <c r="AL434" s="214" t="str">
        <f t="shared" si="179"/>
        <v/>
      </c>
      <c r="AM434" s="214" t="str">
        <f t="shared" si="180"/>
        <v/>
      </c>
      <c r="AN434" s="213" t="str">
        <f t="shared" si="163"/>
        <v>2012</v>
      </c>
      <c r="AO434" s="213" t="str">
        <f t="shared" si="164"/>
        <v>2012</v>
      </c>
      <c r="AP434" s="213" t="str">
        <f t="shared" si="165"/>
        <v>2012</v>
      </c>
      <c r="AQ434" s="215" t="str">
        <f t="shared" si="166"/>
        <v/>
      </c>
      <c r="AR434" s="216" t="str">
        <f t="shared" si="167"/>
        <v>BiK52aK12---03</v>
      </c>
      <c r="AS434" s="215" t="str">
        <f t="shared" si="168"/>
        <v/>
      </c>
      <c r="AT434">
        <f t="shared" si="169"/>
        <v>14</v>
      </c>
      <c r="AU434" s="216" t="str">
        <f t="shared" si="170"/>
        <v>0,5-5 MW, Bonusregel K erstmals 2012</v>
      </c>
      <c r="AV434" s="215" t="str">
        <f t="shared" si="171"/>
        <v/>
      </c>
      <c r="AW434" s="216" t="str">
        <f t="shared" si="172"/>
        <v>Anteil KWK, erstmals 2012</v>
      </c>
      <c r="AX434" s="215" t="str">
        <f t="shared" si="173"/>
        <v/>
      </c>
      <c r="AY434" t="str">
        <f t="shared" si="174"/>
        <v/>
      </c>
      <c r="AZ434" t="str">
        <f t="shared" si="175"/>
        <v>x</v>
      </c>
    </row>
    <row r="435" spans="1:52" s="178" customFormat="1" x14ac:dyDescent="0.25">
      <c r="A435" s="609" t="s">
        <v>4805</v>
      </c>
      <c r="B435" s="1" t="s">
        <v>5548</v>
      </c>
      <c r="C435" s="1" t="s">
        <v>3727</v>
      </c>
      <c r="D435" s="1" t="s">
        <v>598</v>
      </c>
      <c r="E435" s="192" t="s">
        <v>4810</v>
      </c>
      <c r="F435" s="457">
        <f t="shared" si="181"/>
        <v>13</v>
      </c>
      <c r="G435" s="532">
        <v>13</v>
      </c>
      <c r="H435" s="490">
        <f t="shared" si="182"/>
        <v>10.4</v>
      </c>
      <c r="I435" s="709"/>
      <c r="J435" s="669" t="s">
        <v>5805</v>
      </c>
      <c r="K435" s="15"/>
      <c r="L435"/>
      <c r="M435" s="49">
        <f t="shared" si="183"/>
        <v>13</v>
      </c>
      <c r="N435" s="41">
        <v>9</v>
      </c>
      <c r="O435" s="86"/>
      <c r="P435" s="74"/>
      <c r="Q435"/>
      <c r="R435"/>
      <c r="S435" t="s">
        <v>4180</v>
      </c>
      <c r="T435" s="178" t="s">
        <v>4180</v>
      </c>
      <c r="U435" s="75"/>
      <c r="V435" s="65"/>
      <c r="W435" t="s">
        <v>1017</v>
      </c>
      <c r="X435"/>
      <c r="Y435" s="65"/>
      <c r="Z435" s="65"/>
      <c r="AA435" s="65"/>
      <c r="AB435" s="65"/>
      <c r="AC435" s="65"/>
      <c r="AD435" s="91"/>
      <c r="AE435" s="94"/>
      <c r="AF435" s="27"/>
      <c r="AG435" s="27"/>
      <c r="AH435" s="212" t="str">
        <f>IF(ISERROR(SEARCH("K erstmals 201",D435)),"",RIGHT(D435,4))</f>
        <v/>
      </c>
      <c r="AI435" s="214" t="str">
        <f t="shared" si="176"/>
        <v/>
      </c>
      <c r="AJ435" s="214" t="str">
        <f t="shared" si="177"/>
        <v/>
      </c>
      <c r="AK435" s="214" t="str">
        <f t="shared" si="178"/>
        <v/>
      </c>
      <c r="AL435" s="214" t="str">
        <f t="shared" si="179"/>
        <v/>
      </c>
      <c r="AM435" s="214" t="str">
        <f t="shared" si="180"/>
        <v/>
      </c>
      <c r="AN435" s="213" t="str">
        <f t="shared" si="163"/>
        <v/>
      </c>
      <c r="AO435" s="213" t="str">
        <f t="shared" si="164"/>
        <v/>
      </c>
      <c r="AP435" s="213" t="str">
        <f t="shared" si="165"/>
        <v/>
      </c>
      <c r="AQ435" s="215" t="str">
        <f t="shared" si="166"/>
        <v/>
      </c>
      <c r="AR435" s="216" t="str">
        <f t="shared" si="167"/>
        <v>BiK52aa2----03</v>
      </c>
      <c r="AS435" s="215" t="str">
        <f t="shared" si="168"/>
        <v/>
      </c>
      <c r="AT435">
        <f t="shared" si="169"/>
        <v>14</v>
      </c>
      <c r="AU435" s="216" t="str">
        <f t="shared" si="170"/>
        <v>0,5-5 MW, Bonusregel a2</v>
      </c>
      <c r="AV435" s="215" t="str">
        <f t="shared" si="171"/>
        <v/>
      </c>
      <c r="AW435" s="216" t="str">
        <f t="shared" si="172"/>
        <v>Anteil Nicht-KWK</v>
      </c>
      <c r="AX435" s="215" t="str">
        <f t="shared" si="173"/>
        <v/>
      </c>
      <c r="AY435" t="str">
        <f t="shared" si="174"/>
        <v/>
      </c>
      <c r="AZ435" t="str">
        <f t="shared" si="175"/>
        <v/>
      </c>
    </row>
    <row r="436" spans="1:52" s="178" customFormat="1" x14ac:dyDescent="0.25">
      <c r="A436" s="610" t="s">
        <v>2617</v>
      </c>
      <c r="B436" s="30" t="s">
        <v>5548</v>
      </c>
      <c r="C436" s="30" t="s">
        <v>3727</v>
      </c>
      <c r="D436" s="30" t="s">
        <v>6758</v>
      </c>
      <c r="E436" s="17" t="s">
        <v>674</v>
      </c>
      <c r="F436" s="454">
        <f t="shared" si="181"/>
        <v>16</v>
      </c>
      <c r="G436" s="529">
        <v>16</v>
      </c>
      <c r="H436" s="487">
        <f t="shared" si="182"/>
        <v>12.8</v>
      </c>
      <c r="I436" s="706"/>
      <c r="J436" s="669" t="s">
        <v>5805</v>
      </c>
      <c r="K436" s="15"/>
      <c r="L436"/>
      <c r="M436" s="49">
        <f t="shared" si="183"/>
        <v>16</v>
      </c>
      <c r="N436" s="41">
        <v>9</v>
      </c>
      <c r="O436" s="86"/>
      <c r="P436" s="74"/>
      <c r="Q436" t="s">
        <v>1017</v>
      </c>
      <c r="R436"/>
      <c r="S436" t="s">
        <v>4180</v>
      </c>
      <c r="T436" s="178" t="s">
        <v>4180</v>
      </c>
      <c r="U436" s="75"/>
      <c r="V436" s="65"/>
      <c r="W436" t="s">
        <v>1017</v>
      </c>
      <c r="X436"/>
      <c r="Y436" s="65"/>
      <c r="Z436" s="65"/>
      <c r="AA436" s="65"/>
      <c r="AB436" s="65"/>
      <c r="AC436" s="65"/>
      <c r="AD436" s="91"/>
      <c r="AE436" s="94"/>
      <c r="AF436" s="27"/>
      <c r="AG436" s="27"/>
      <c r="AH436" s="212" t="str">
        <f>IF(ISERROR(SEARCH("K erstmals 201",D436)),"",RIGHT(D436,4))</f>
        <v/>
      </c>
      <c r="AI436" s="214" t="str">
        <f t="shared" si="176"/>
        <v/>
      </c>
      <c r="AJ436" s="214" t="str">
        <f t="shared" si="177"/>
        <v/>
      </c>
      <c r="AK436" s="214" t="str">
        <f t="shared" si="178"/>
        <v/>
      </c>
      <c r="AL436" s="214" t="str">
        <f t="shared" si="179"/>
        <v/>
      </c>
      <c r="AM436" s="214" t="str">
        <f t="shared" si="180"/>
        <v/>
      </c>
      <c r="AN436" s="213" t="str">
        <f t="shared" si="163"/>
        <v/>
      </c>
      <c r="AO436" s="213" t="str">
        <f t="shared" si="164"/>
        <v/>
      </c>
      <c r="AP436" s="213" t="str">
        <f t="shared" si="165"/>
        <v/>
      </c>
      <c r="AQ436" s="215" t="str">
        <f t="shared" si="166"/>
        <v/>
      </c>
      <c r="AR436" s="216" t="str">
        <f t="shared" si="167"/>
        <v>BiK52aa2K09-03</v>
      </c>
      <c r="AS436" s="215" t="str">
        <f t="shared" si="168"/>
        <v/>
      </c>
      <c r="AT436">
        <f t="shared" si="169"/>
        <v>14</v>
      </c>
      <c r="AU436" s="216" t="str">
        <f t="shared" si="170"/>
        <v>0,5-5 MW, Bonusregeln a2, K erstmals 2009</v>
      </c>
      <c r="AV436" s="215" t="str">
        <f t="shared" si="171"/>
        <v/>
      </c>
      <c r="AW436" s="216" t="str">
        <f t="shared" si="172"/>
        <v>Anteil KWK, erstmals 2009</v>
      </c>
      <c r="AX436" s="215" t="str">
        <f t="shared" si="173"/>
        <v/>
      </c>
      <c r="AY436" t="str">
        <f t="shared" si="174"/>
        <v/>
      </c>
      <c r="AZ436" t="str">
        <f t="shared" si="175"/>
        <v/>
      </c>
    </row>
    <row r="437" spans="1:52" x14ac:dyDescent="0.25">
      <c r="A437" s="610" t="s">
        <v>1624</v>
      </c>
      <c r="B437" s="30" t="s">
        <v>5548</v>
      </c>
      <c r="C437" s="30" t="s">
        <v>3727</v>
      </c>
      <c r="D437" s="30" t="s">
        <v>6759</v>
      </c>
      <c r="E437" s="30" t="s">
        <v>3567</v>
      </c>
      <c r="F437" s="454">
        <f t="shared" si="181"/>
        <v>15.97</v>
      </c>
      <c r="G437" s="529">
        <v>15.97</v>
      </c>
      <c r="H437" s="487">
        <f t="shared" si="182"/>
        <v>12.78</v>
      </c>
      <c r="I437" s="706"/>
      <c r="J437" s="669" t="s">
        <v>5805</v>
      </c>
      <c r="K437" s="15"/>
      <c r="M437" s="49">
        <f t="shared" si="183"/>
        <v>15.97</v>
      </c>
      <c r="N437" s="41">
        <v>9</v>
      </c>
      <c r="O437" s="86"/>
      <c r="P437" s="74"/>
      <c r="R437" t="s">
        <v>1017</v>
      </c>
      <c r="S437" t="s">
        <v>4180</v>
      </c>
      <c r="T437" t="s">
        <v>4180</v>
      </c>
      <c r="U437" s="75"/>
      <c r="V437" s="65"/>
      <c r="W437" t="s">
        <v>1017</v>
      </c>
      <c r="Y437" s="65"/>
      <c r="Z437" s="65"/>
      <c r="AA437" s="65"/>
      <c r="AB437" s="65"/>
      <c r="AC437" s="65"/>
      <c r="AD437" s="91"/>
      <c r="AE437" s="94"/>
      <c r="AF437" s="27"/>
      <c r="AG437" s="27"/>
      <c r="AH437" s="212" t="str">
        <f>IF(ISERROR(SEARCH("K erstmals 201",D437)),"",RIGHT(D437,4))</f>
        <v>2010</v>
      </c>
      <c r="AI437" s="214" t="str">
        <f t="shared" si="176"/>
        <v/>
      </c>
      <c r="AJ437" s="214" t="str">
        <f t="shared" si="177"/>
        <v/>
      </c>
      <c r="AK437" s="214" t="str">
        <f t="shared" si="178"/>
        <v/>
      </c>
      <c r="AL437" s="214" t="str">
        <f t="shared" si="179"/>
        <v/>
      </c>
      <c r="AM437" s="214" t="str">
        <f t="shared" si="180"/>
        <v/>
      </c>
      <c r="AN437" s="213" t="str">
        <f t="shared" si="163"/>
        <v>2010</v>
      </c>
      <c r="AO437" s="213" t="str">
        <f t="shared" si="164"/>
        <v>2010</v>
      </c>
      <c r="AP437" s="213" t="str">
        <f t="shared" si="165"/>
        <v>2010</v>
      </c>
      <c r="AQ437" s="215" t="str">
        <f t="shared" si="166"/>
        <v/>
      </c>
      <c r="AR437" s="216" t="str">
        <f t="shared" si="167"/>
        <v>BiK52aa2K10-03</v>
      </c>
      <c r="AS437" s="215" t="str">
        <f t="shared" si="168"/>
        <v/>
      </c>
      <c r="AT437">
        <f t="shared" si="169"/>
        <v>14</v>
      </c>
      <c r="AU437" s="216" t="str">
        <f t="shared" si="170"/>
        <v>0,5-5 MW, Bonusregeln a2, K erstmals 2010</v>
      </c>
      <c r="AV437" s="215" t="str">
        <f t="shared" si="171"/>
        <v/>
      </c>
      <c r="AW437" s="216" t="str">
        <f t="shared" si="172"/>
        <v>Anteil KWK, erstmals 2010</v>
      </c>
      <c r="AX437" s="215" t="str">
        <f t="shared" si="173"/>
        <v/>
      </c>
      <c r="AY437" t="str">
        <f t="shared" si="174"/>
        <v/>
      </c>
      <c r="AZ437" t="str">
        <f t="shared" si="175"/>
        <v/>
      </c>
    </row>
    <row r="438" spans="1:52" x14ac:dyDescent="0.25">
      <c r="A438" s="610" t="s">
        <v>5239</v>
      </c>
      <c r="B438" s="30" t="s">
        <v>5548</v>
      </c>
      <c r="C438" s="30" t="s">
        <v>3727</v>
      </c>
      <c r="D438" s="30" t="s">
        <v>6760</v>
      </c>
      <c r="E438" s="30" t="s">
        <v>3055</v>
      </c>
      <c r="F438" s="454">
        <f t="shared" si="181"/>
        <v>15.94</v>
      </c>
      <c r="G438" s="529">
        <v>15.94</v>
      </c>
      <c r="H438" s="487">
        <f t="shared" si="182"/>
        <v>12.75</v>
      </c>
      <c r="I438" s="706"/>
      <c r="J438" s="669" t="s">
        <v>5805</v>
      </c>
      <c r="K438" s="15"/>
      <c r="M438" s="49">
        <f t="shared" si="183"/>
        <v>15.94</v>
      </c>
      <c r="N438" s="41">
        <v>9</v>
      </c>
      <c r="O438" s="86"/>
      <c r="P438" s="74"/>
      <c r="S438" t="s">
        <v>1017</v>
      </c>
      <c r="T438" t="s">
        <v>4180</v>
      </c>
      <c r="U438" s="75"/>
      <c r="V438" s="65"/>
      <c r="W438" t="s">
        <v>1017</v>
      </c>
      <c r="Y438" s="65"/>
      <c r="Z438" s="65"/>
      <c r="AA438" s="65"/>
      <c r="AB438" s="65"/>
      <c r="AC438" s="65"/>
      <c r="AD438" s="91"/>
      <c r="AE438" s="94"/>
      <c r="AF438" s="27"/>
      <c r="AG438" s="27"/>
      <c r="AH438" s="212" t="str">
        <f>IF(ISERROR(SEARCH("K erstmals 201",D438)),"",RIGHT(D438,4))</f>
        <v>2011</v>
      </c>
      <c r="AI438" s="214" t="str">
        <f t="shared" si="176"/>
        <v/>
      </c>
      <c r="AJ438" s="214" t="str">
        <f t="shared" si="177"/>
        <v/>
      </c>
      <c r="AK438" s="214" t="str">
        <f t="shared" si="178"/>
        <v/>
      </c>
      <c r="AL438" s="214" t="str">
        <f t="shared" si="179"/>
        <v/>
      </c>
      <c r="AM438" s="214" t="str">
        <f t="shared" si="180"/>
        <v/>
      </c>
      <c r="AN438" s="213" t="str">
        <f t="shared" si="163"/>
        <v>2011</v>
      </c>
      <c r="AO438" s="213" t="str">
        <f t="shared" si="164"/>
        <v>2011</v>
      </c>
      <c r="AP438" s="213" t="str">
        <f t="shared" si="165"/>
        <v>2011</v>
      </c>
      <c r="AQ438" s="215" t="str">
        <f t="shared" si="166"/>
        <v/>
      </c>
      <c r="AR438" s="216" t="str">
        <f t="shared" si="167"/>
        <v>BiK52aa2K11-03</v>
      </c>
      <c r="AS438" s="215" t="str">
        <f t="shared" si="168"/>
        <v/>
      </c>
      <c r="AT438">
        <f t="shared" si="169"/>
        <v>14</v>
      </c>
      <c r="AU438" s="216" t="str">
        <f t="shared" si="170"/>
        <v>0,5-5 MW, Bonusregeln a2, K erstmals 2011</v>
      </c>
      <c r="AV438" s="215" t="str">
        <f t="shared" si="171"/>
        <v/>
      </c>
      <c r="AW438" s="216" t="str">
        <f t="shared" si="172"/>
        <v>Anteil KWK, erstmals 2011</v>
      </c>
      <c r="AX438" s="215" t="str">
        <f t="shared" si="173"/>
        <v/>
      </c>
      <c r="AY438" t="str">
        <f t="shared" si="174"/>
        <v>x</v>
      </c>
      <c r="AZ438" t="str">
        <f t="shared" si="175"/>
        <v/>
      </c>
    </row>
    <row r="439" spans="1:52" x14ac:dyDescent="0.25">
      <c r="A439" s="625" t="s">
        <v>3546</v>
      </c>
      <c r="B439" s="219" t="s">
        <v>5548</v>
      </c>
      <c r="C439" s="219" t="s">
        <v>3727</v>
      </c>
      <c r="D439" s="219" t="s">
        <v>6761</v>
      </c>
      <c r="E439" s="219" t="s">
        <v>1980</v>
      </c>
      <c r="F439" s="455">
        <f t="shared" si="181"/>
        <v>15.91</v>
      </c>
      <c r="G439" s="530">
        <v>15.91</v>
      </c>
      <c r="H439" s="488">
        <f t="shared" si="182"/>
        <v>12.73</v>
      </c>
      <c r="I439" s="707"/>
      <c r="J439" s="669" t="s">
        <v>5805</v>
      </c>
      <c r="K439" s="15"/>
      <c r="M439" s="49">
        <f t="shared" si="183"/>
        <v>15.91</v>
      </c>
      <c r="N439" s="41">
        <v>9</v>
      </c>
      <c r="O439" s="86"/>
      <c r="P439" s="74"/>
      <c r="S439" t="s">
        <v>4180</v>
      </c>
      <c r="T439" t="s">
        <v>1017</v>
      </c>
      <c r="U439" s="75"/>
      <c r="V439" s="65"/>
      <c r="W439" t="s">
        <v>1017</v>
      </c>
      <c r="Y439" s="65"/>
      <c r="Z439" s="65"/>
      <c r="AA439" s="65"/>
      <c r="AB439" s="65"/>
      <c r="AC439" s="65"/>
      <c r="AD439" s="91"/>
      <c r="AE439" s="94"/>
      <c r="AF439" s="27"/>
      <c r="AG439" s="27"/>
      <c r="AH439" s="217" t="s">
        <v>4179</v>
      </c>
      <c r="AI439" s="214" t="str">
        <f t="shared" si="176"/>
        <v/>
      </c>
      <c r="AJ439" s="214" t="str">
        <f t="shared" si="177"/>
        <v/>
      </c>
      <c r="AK439" s="214" t="str">
        <f t="shared" si="178"/>
        <v/>
      </c>
      <c r="AL439" s="214" t="str">
        <f t="shared" si="179"/>
        <v/>
      </c>
      <c r="AM439" s="214" t="str">
        <f t="shared" si="180"/>
        <v/>
      </c>
      <c r="AN439" s="213" t="str">
        <f t="shared" si="163"/>
        <v>2012</v>
      </c>
      <c r="AO439" s="213" t="str">
        <f t="shared" si="164"/>
        <v>2012</v>
      </c>
      <c r="AP439" s="213" t="str">
        <f t="shared" si="165"/>
        <v>2012</v>
      </c>
      <c r="AQ439" s="215" t="str">
        <f t="shared" si="166"/>
        <v/>
      </c>
      <c r="AR439" s="216" t="str">
        <f t="shared" si="167"/>
        <v>BiK52aa2K12-03</v>
      </c>
      <c r="AS439" s="215" t="str">
        <f t="shared" si="168"/>
        <v/>
      </c>
      <c r="AT439">
        <f t="shared" si="169"/>
        <v>14</v>
      </c>
      <c r="AU439" s="216" t="str">
        <f t="shared" si="170"/>
        <v>0,5-5 MW, Bonusregeln a2, K erstmals 2012</v>
      </c>
      <c r="AV439" s="215" t="str">
        <f t="shared" si="171"/>
        <v/>
      </c>
      <c r="AW439" s="216" t="str">
        <f t="shared" si="172"/>
        <v>Anteil KWK, erstmals 2012</v>
      </c>
      <c r="AX439" s="215" t="str">
        <f t="shared" si="173"/>
        <v/>
      </c>
      <c r="AY439" t="str">
        <f t="shared" si="174"/>
        <v/>
      </c>
      <c r="AZ439" t="str">
        <f t="shared" si="175"/>
        <v>x</v>
      </c>
    </row>
    <row r="440" spans="1:52" x14ac:dyDescent="0.25">
      <c r="A440" s="609" t="s">
        <v>4806</v>
      </c>
      <c r="B440" s="1" t="s">
        <v>5548</v>
      </c>
      <c r="C440" s="1" t="s">
        <v>3727</v>
      </c>
      <c r="D440" s="1" t="s">
        <v>6762</v>
      </c>
      <c r="E440" s="192" t="s">
        <v>4810</v>
      </c>
      <c r="F440" s="457">
        <f t="shared" si="181"/>
        <v>11.5</v>
      </c>
      <c r="G440" s="532">
        <v>11.5</v>
      </c>
      <c r="H440" s="490">
        <f t="shared" si="182"/>
        <v>9.1999999999999993</v>
      </c>
      <c r="I440" s="709"/>
      <c r="J440" s="669" t="s">
        <v>5805</v>
      </c>
      <c r="K440" s="15"/>
      <c r="M440" s="49">
        <f t="shared" si="183"/>
        <v>11.5</v>
      </c>
      <c r="N440" s="41">
        <v>9</v>
      </c>
      <c r="O440" s="86"/>
      <c r="P440" s="74"/>
      <c r="S440" t="s">
        <v>4180</v>
      </c>
      <c r="T440" t="s">
        <v>4180</v>
      </c>
      <c r="U440" s="75"/>
      <c r="V440" s="65"/>
      <c r="X440" t="s">
        <v>1017</v>
      </c>
      <c r="Y440" s="65"/>
      <c r="Z440" s="65"/>
      <c r="AA440" s="65"/>
      <c r="AB440" s="65"/>
      <c r="AC440" s="65"/>
      <c r="AD440" s="91"/>
      <c r="AE440" s="94"/>
      <c r="AF440" s="27"/>
      <c r="AG440" s="27"/>
      <c r="AH440" s="212" t="str">
        <f>IF(ISERROR(SEARCH("K erstmals 201",D440)),"",RIGHT(D440,4))</f>
        <v/>
      </c>
      <c r="AI440" s="214" t="str">
        <f t="shared" si="176"/>
        <v/>
      </c>
      <c r="AJ440" s="214" t="str">
        <f t="shared" si="177"/>
        <v/>
      </c>
      <c r="AK440" s="214" t="str">
        <f t="shared" si="178"/>
        <v/>
      </c>
      <c r="AL440" s="214" t="str">
        <f t="shared" si="179"/>
        <v/>
      </c>
      <c r="AM440" s="214" t="str">
        <f t="shared" si="180"/>
        <v/>
      </c>
      <c r="AN440" s="213" t="str">
        <f t="shared" si="163"/>
        <v/>
      </c>
      <c r="AO440" s="213" t="str">
        <f t="shared" si="164"/>
        <v/>
      </c>
      <c r="AP440" s="213" t="str">
        <f t="shared" si="165"/>
        <v/>
      </c>
      <c r="AQ440" s="215" t="str">
        <f t="shared" si="166"/>
        <v/>
      </c>
      <c r="AR440" s="216" t="str">
        <f t="shared" si="167"/>
        <v>BiK52aa3----03</v>
      </c>
      <c r="AS440" s="215" t="str">
        <f t="shared" si="168"/>
        <v/>
      </c>
      <c r="AT440">
        <f t="shared" si="169"/>
        <v>14</v>
      </c>
      <c r="AU440" s="216" t="str">
        <f t="shared" si="170"/>
        <v>0,5-5 MW, Bonusregel a3</v>
      </c>
      <c r="AV440" s="215" t="str">
        <f t="shared" si="171"/>
        <v/>
      </c>
      <c r="AW440" s="216" t="str">
        <f t="shared" si="172"/>
        <v>Anteil Nicht-KWK</v>
      </c>
      <c r="AX440" s="215" t="str">
        <f t="shared" si="173"/>
        <v/>
      </c>
      <c r="AY440" t="str">
        <f t="shared" si="174"/>
        <v/>
      </c>
      <c r="AZ440" t="str">
        <f t="shared" si="175"/>
        <v/>
      </c>
    </row>
    <row r="441" spans="1:52" x14ac:dyDescent="0.25">
      <c r="A441" s="610" t="s">
        <v>2618</v>
      </c>
      <c r="B441" s="30" t="s">
        <v>5548</v>
      </c>
      <c r="C441" s="30" t="s">
        <v>3727</v>
      </c>
      <c r="D441" s="30" t="s">
        <v>6763</v>
      </c>
      <c r="E441" s="17" t="s">
        <v>674</v>
      </c>
      <c r="F441" s="454">
        <f t="shared" si="181"/>
        <v>14.5</v>
      </c>
      <c r="G441" s="529">
        <v>14.5</v>
      </c>
      <c r="H441" s="487">
        <f t="shared" si="182"/>
        <v>11.6</v>
      </c>
      <c r="I441" s="706"/>
      <c r="J441" s="669" t="s">
        <v>5805</v>
      </c>
      <c r="K441" s="15"/>
      <c r="M441" s="49">
        <f t="shared" si="183"/>
        <v>14.5</v>
      </c>
      <c r="N441" s="41">
        <v>9</v>
      </c>
      <c r="O441" s="86"/>
      <c r="P441" s="74"/>
      <c r="Q441" t="s">
        <v>1017</v>
      </c>
      <c r="S441" t="s">
        <v>4180</v>
      </c>
      <c r="T441" t="s">
        <v>4180</v>
      </c>
      <c r="U441" s="75"/>
      <c r="V441" s="65"/>
      <c r="X441" t="s">
        <v>1017</v>
      </c>
      <c r="Y441" s="65"/>
      <c r="Z441" s="65"/>
      <c r="AA441" s="65"/>
      <c r="AB441" s="65"/>
      <c r="AC441" s="65"/>
      <c r="AD441" s="91"/>
      <c r="AE441" s="94"/>
      <c r="AF441" s="27"/>
      <c r="AG441" s="27"/>
      <c r="AH441" s="212" t="str">
        <f>IF(ISERROR(SEARCH("K erstmals 201",D441)),"",RIGHT(D441,4))</f>
        <v/>
      </c>
      <c r="AI441" s="214" t="str">
        <f t="shared" si="176"/>
        <v/>
      </c>
      <c r="AJ441" s="214" t="str">
        <f t="shared" si="177"/>
        <v/>
      </c>
      <c r="AK441" s="214" t="str">
        <f t="shared" si="178"/>
        <v/>
      </c>
      <c r="AL441" s="214" t="str">
        <f t="shared" si="179"/>
        <v/>
      </c>
      <c r="AM441" s="214" t="str">
        <f t="shared" si="180"/>
        <v/>
      </c>
      <c r="AN441" s="213" t="str">
        <f t="shared" ref="AN441:AN456" si="184">IF(ISERROR(SEARCH("K1",A441)),"","20"&amp;MID(A441,SEARCH("K1",A441)+1,2))</f>
        <v/>
      </c>
      <c r="AO441" s="213" t="str">
        <f t="shared" ref="AO441:AO456" si="185">IF(ISERROR(SEARCH("erstmals 201",E441)),"",MID(E441,SEARCH("erstmals ",E441)+9,4))</f>
        <v/>
      </c>
      <c r="AP441" s="213" t="str">
        <f t="shared" ref="AP441:AP456" si="186">IF(R441="x","2010",IF(S441="x","2011",IF(T441="x","2012","")))</f>
        <v/>
      </c>
      <c r="AQ441" s="215" t="str">
        <f t="shared" ref="AQ441:AQ466" si="187">IF(OR(AH441&lt;&gt;AN441,AH441&lt;&gt;AO441,AH441&lt;&gt;AP441),"DIFF","")</f>
        <v/>
      </c>
      <c r="AR441" s="216" t="str">
        <f t="shared" ref="AR441:AR456" si="188">IF(A441="","",IF(ISERROR(SEARCH("K1",A441)),A441,LEFT(A441,SEARCH("K1",A441)+1)&amp;RIGHT(AH441,1)&amp;MID(A441,SEARCH("K1",A441)+3,14)))</f>
        <v>BiK52aa3K09-03</v>
      </c>
      <c r="AS441" s="215" t="str">
        <f t="shared" ref="AS441:AS456" si="189">IF(OR(A441&lt;&gt;AR441),"DIFF","")</f>
        <v/>
      </c>
      <c r="AT441">
        <f t="shared" ref="AT441:AT466" si="190">LEN(AR441)</f>
        <v>14</v>
      </c>
      <c r="AU441" s="216" t="str">
        <f t="shared" ref="AU441:AU456" si="191">IF(D441="","",IF(OR(A441="",ISERROR(SEARCH("erstmals 201",D441))),D441,LEFT(D441,SEARCH("erstmals 201",D441)+8) &amp; AH441 &amp; MID(D441,SEARCH("erstmals 201",D441)+13,255)))</f>
        <v>0,5-5 MW, Bonusregeln a3, K erstmals 2009</v>
      </c>
      <c r="AV441" s="215" t="str">
        <f t="shared" ref="AV441:AV456" si="192">IF(OR(D441&lt;&gt;AU441),"DIFF","")</f>
        <v/>
      </c>
      <c r="AW441" s="216" t="str">
        <f t="shared" ref="AW441:AW456" si="193">IF(E441="","",IF(OR(E441="",ISERROR(SEARCH("erstmals 201",E441))),E441,LEFT(E441,SEARCH("erstmals 201",E441)+8) &amp; AH441 &amp; MID(E441,SEARCH("erstmals 201",E441)+13,255)))</f>
        <v>Anteil KWK, erstmals 2009</v>
      </c>
      <c r="AX441" s="215" t="str">
        <f t="shared" ref="AX441:AX456" si="194">IF(OR(E441&lt;&gt;AW441),"DIFF","")</f>
        <v/>
      </c>
      <c r="AY441" t="str">
        <f t="shared" ref="AY441:AY456" si="195">IF(AH441="2011","x",IF(AH441="2012","","" &amp; S441))</f>
        <v/>
      </c>
      <c r="AZ441" t="str">
        <f t="shared" ref="AZ441:AZ456" si="196">IF(AH441="2012","x",IF(AH441="2011","","" &amp; T441))</f>
        <v/>
      </c>
    </row>
    <row r="442" spans="1:52" x14ac:dyDescent="0.25">
      <c r="A442" s="610" t="s">
        <v>1625</v>
      </c>
      <c r="B442" s="30" t="s">
        <v>5548</v>
      </c>
      <c r="C442" s="30" t="s">
        <v>3727</v>
      </c>
      <c r="D442" s="30" t="s">
        <v>6764</v>
      </c>
      <c r="E442" s="30" t="s">
        <v>3567</v>
      </c>
      <c r="F442" s="454">
        <f t="shared" si="181"/>
        <v>14.47</v>
      </c>
      <c r="G442" s="529">
        <v>14.47</v>
      </c>
      <c r="H442" s="487">
        <f t="shared" si="182"/>
        <v>11.58</v>
      </c>
      <c r="I442" s="706"/>
      <c r="J442" s="669" t="s">
        <v>5805</v>
      </c>
      <c r="K442" s="15"/>
      <c r="M442" s="49">
        <f t="shared" si="183"/>
        <v>14.47</v>
      </c>
      <c r="N442" s="41">
        <v>9</v>
      </c>
      <c r="O442" s="86"/>
      <c r="P442" s="74"/>
      <c r="R442" t="s">
        <v>1017</v>
      </c>
      <c r="S442" t="s">
        <v>4180</v>
      </c>
      <c r="T442" t="s">
        <v>4180</v>
      </c>
      <c r="U442" s="75"/>
      <c r="V442" s="65"/>
      <c r="X442" t="s">
        <v>1017</v>
      </c>
      <c r="Y442" s="65"/>
      <c r="Z442" s="65"/>
      <c r="AA442" s="65"/>
      <c r="AB442" s="65"/>
      <c r="AC442" s="65"/>
      <c r="AD442" s="91"/>
      <c r="AE442" s="94"/>
      <c r="AF442" s="27"/>
      <c r="AG442" s="27"/>
      <c r="AH442" s="212" t="str">
        <f>IF(ISERROR(SEARCH("K erstmals 201",D442)),"",RIGHT(D442,4))</f>
        <v>2010</v>
      </c>
      <c r="AI442" s="214" t="str">
        <f t="shared" ref="AI442:AI454" si="197">IF(AND($AH442&lt;&gt;"",AH442 =AH441),"Gleich","")</f>
        <v/>
      </c>
      <c r="AJ442" s="214" t="str">
        <f t="shared" ref="AJ442:AJ454" si="198">IF(AND($AH442&lt;&gt;"",A442 =A441),"Gleich","")</f>
        <v/>
      </c>
      <c r="AK442" s="214" t="str">
        <f t="shared" ref="AK442:AK454" si="199">IF(AND($AH442&lt;&gt;"",D442 =D441),"Gleich","")</f>
        <v/>
      </c>
      <c r="AL442" s="214" t="str">
        <f t="shared" ref="AL442:AL454" si="200">IF(AND($AH442&lt;&gt;"",E442 =E441),"Gleich","")</f>
        <v/>
      </c>
      <c r="AM442" s="214" t="str">
        <f t="shared" ref="AM442:AM454" si="201">IF(AND($AH442&lt;&gt;"",F442 =F441),"Gleich","")</f>
        <v/>
      </c>
      <c r="AN442" s="213" t="str">
        <f t="shared" si="184"/>
        <v>2010</v>
      </c>
      <c r="AO442" s="213" t="str">
        <f t="shared" si="185"/>
        <v>2010</v>
      </c>
      <c r="AP442" s="213" t="str">
        <f t="shared" si="186"/>
        <v>2010</v>
      </c>
      <c r="AQ442" s="215" t="str">
        <f t="shared" si="187"/>
        <v/>
      </c>
      <c r="AR442" s="216" t="str">
        <f t="shared" si="188"/>
        <v>BiK52aa3K10-03</v>
      </c>
      <c r="AS442" s="215" t="str">
        <f t="shared" si="189"/>
        <v/>
      </c>
      <c r="AT442">
        <f t="shared" si="190"/>
        <v>14</v>
      </c>
      <c r="AU442" s="216" t="str">
        <f t="shared" si="191"/>
        <v>0,5-5 MW, Bonusregeln a3, K erstmals 2010</v>
      </c>
      <c r="AV442" s="215" t="str">
        <f t="shared" si="192"/>
        <v/>
      </c>
      <c r="AW442" s="216" t="str">
        <f t="shared" si="193"/>
        <v>Anteil KWK, erstmals 2010</v>
      </c>
      <c r="AX442" s="215" t="str">
        <f t="shared" si="194"/>
        <v/>
      </c>
      <c r="AY442" t="str">
        <f t="shared" si="195"/>
        <v/>
      </c>
      <c r="AZ442" t="str">
        <f t="shared" si="196"/>
        <v/>
      </c>
    </row>
    <row r="443" spans="1:52" x14ac:dyDescent="0.25">
      <c r="A443" s="610" t="s">
        <v>5240</v>
      </c>
      <c r="B443" s="30" t="s">
        <v>5548</v>
      </c>
      <c r="C443" s="30" t="s">
        <v>3727</v>
      </c>
      <c r="D443" s="30" t="s">
        <v>6765</v>
      </c>
      <c r="E443" s="30" t="s">
        <v>3055</v>
      </c>
      <c r="F443" s="454">
        <f t="shared" si="181"/>
        <v>14.44</v>
      </c>
      <c r="G443" s="529">
        <v>14.44</v>
      </c>
      <c r="H443" s="487">
        <f t="shared" si="182"/>
        <v>11.55</v>
      </c>
      <c r="I443" s="706"/>
      <c r="J443" s="669" t="s">
        <v>5805</v>
      </c>
      <c r="K443" s="15"/>
      <c r="M443" s="49">
        <f t="shared" si="183"/>
        <v>14.44</v>
      </c>
      <c r="N443" s="41">
        <v>9</v>
      </c>
      <c r="O443" s="86"/>
      <c r="P443" s="74"/>
      <c r="S443" t="s">
        <v>1017</v>
      </c>
      <c r="T443" t="s">
        <v>4180</v>
      </c>
      <c r="U443" s="75"/>
      <c r="V443" s="65"/>
      <c r="X443" t="s">
        <v>1017</v>
      </c>
      <c r="Y443" s="65"/>
      <c r="Z443" s="65"/>
      <c r="AA443" s="65"/>
      <c r="AB443" s="65"/>
      <c r="AC443" s="65"/>
      <c r="AD443" s="91"/>
      <c r="AE443" s="94"/>
      <c r="AF443" s="27"/>
      <c r="AG443" s="27"/>
      <c r="AH443" s="212" t="str">
        <f>IF(ISERROR(SEARCH("K erstmals 201",D443)),"",RIGHT(D443,4))</f>
        <v>2011</v>
      </c>
      <c r="AI443" s="214" t="str">
        <f t="shared" si="197"/>
        <v/>
      </c>
      <c r="AJ443" s="214" t="str">
        <f t="shared" si="198"/>
        <v/>
      </c>
      <c r="AK443" s="214" t="str">
        <f t="shared" si="199"/>
        <v/>
      </c>
      <c r="AL443" s="214" t="str">
        <f t="shared" si="200"/>
        <v/>
      </c>
      <c r="AM443" s="214" t="str">
        <f t="shared" si="201"/>
        <v/>
      </c>
      <c r="AN443" s="213" t="str">
        <f t="shared" si="184"/>
        <v>2011</v>
      </c>
      <c r="AO443" s="213" t="str">
        <f t="shared" si="185"/>
        <v>2011</v>
      </c>
      <c r="AP443" s="213" t="str">
        <f t="shared" si="186"/>
        <v>2011</v>
      </c>
      <c r="AQ443" s="215" t="str">
        <f t="shared" si="187"/>
        <v/>
      </c>
      <c r="AR443" s="216" t="str">
        <f t="shared" si="188"/>
        <v>BiK52aa3K11-03</v>
      </c>
      <c r="AS443" s="215" t="str">
        <f t="shared" si="189"/>
        <v/>
      </c>
      <c r="AT443">
        <f t="shared" si="190"/>
        <v>14</v>
      </c>
      <c r="AU443" s="216" t="str">
        <f t="shared" si="191"/>
        <v>0,5-5 MW, Bonusregeln a3, K erstmals 2011</v>
      </c>
      <c r="AV443" s="215" t="str">
        <f t="shared" si="192"/>
        <v/>
      </c>
      <c r="AW443" s="216" t="str">
        <f t="shared" si="193"/>
        <v>Anteil KWK, erstmals 2011</v>
      </c>
      <c r="AX443" s="215" t="str">
        <f t="shared" si="194"/>
        <v/>
      </c>
      <c r="AY443" t="str">
        <f t="shared" si="195"/>
        <v>x</v>
      </c>
      <c r="AZ443" t="str">
        <f t="shared" si="196"/>
        <v/>
      </c>
    </row>
    <row r="444" spans="1:52" x14ac:dyDescent="0.25">
      <c r="A444" s="625" t="s">
        <v>3547</v>
      </c>
      <c r="B444" s="219" t="s">
        <v>5548</v>
      </c>
      <c r="C444" s="219" t="s">
        <v>3727</v>
      </c>
      <c r="D444" s="219" t="s">
        <v>6766</v>
      </c>
      <c r="E444" s="219" t="s">
        <v>1980</v>
      </c>
      <c r="F444" s="455">
        <f t="shared" si="181"/>
        <v>14.41</v>
      </c>
      <c r="G444" s="530">
        <v>14.41</v>
      </c>
      <c r="H444" s="488">
        <f t="shared" si="182"/>
        <v>11.53</v>
      </c>
      <c r="I444" s="707"/>
      <c r="J444" s="669" t="s">
        <v>5805</v>
      </c>
      <c r="K444" s="15"/>
      <c r="M444" s="49">
        <f t="shared" si="183"/>
        <v>14.41</v>
      </c>
      <c r="N444" s="41">
        <v>9</v>
      </c>
      <c r="O444" s="86"/>
      <c r="P444" s="74"/>
      <c r="S444" t="s">
        <v>4180</v>
      </c>
      <c r="T444" t="s">
        <v>1017</v>
      </c>
      <c r="U444" s="75"/>
      <c r="V444" s="65"/>
      <c r="X444" t="s">
        <v>1017</v>
      </c>
      <c r="Y444" s="65"/>
      <c r="Z444" s="65"/>
      <c r="AA444" s="65"/>
      <c r="AB444" s="65"/>
      <c r="AC444" s="65"/>
      <c r="AD444" s="91"/>
      <c r="AE444" s="94"/>
      <c r="AF444" s="27"/>
      <c r="AG444" s="27"/>
      <c r="AH444" s="217" t="s">
        <v>4179</v>
      </c>
      <c r="AI444" s="214" t="str">
        <f t="shared" si="197"/>
        <v/>
      </c>
      <c r="AJ444" s="214" t="str">
        <f t="shared" si="198"/>
        <v/>
      </c>
      <c r="AK444" s="214" t="str">
        <f t="shared" si="199"/>
        <v/>
      </c>
      <c r="AL444" s="214" t="str">
        <f t="shared" si="200"/>
        <v/>
      </c>
      <c r="AM444" s="214" t="str">
        <f t="shared" si="201"/>
        <v/>
      </c>
      <c r="AN444" s="213" t="str">
        <f t="shared" si="184"/>
        <v>2012</v>
      </c>
      <c r="AO444" s="213" t="str">
        <f t="shared" si="185"/>
        <v>2012</v>
      </c>
      <c r="AP444" s="213" t="str">
        <f t="shared" si="186"/>
        <v>2012</v>
      </c>
      <c r="AQ444" s="215" t="str">
        <f t="shared" si="187"/>
        <v/>
      </c>
      <c r="AR444" s="216" t="str">
        <f t="shared" si="188"/>
        <v>BiK52aa3K12-03</v>
      </c>
      <c r="AS444" s="215" t="str">
        <f t="shared" si="189"/>
        <v/>
      </c>
      <c r="AT444">
        <f t="shared" si="190"/>
        <v>14</v>
      </c>
      <c r="AU444" s="216" t="str">
        <f t="shared" si="191"/>
        <v>0,5-5 MW, Bonusregeln a3, K erstmals 2012</v>
      </c>
      <c r="AV444" s="215" t="str">
        <f t="shared" si="192"/>
        <v/>
      </c>
      <c r="AW444" s="216" t="str">
        <f t="shared" si="193"/>
        <v>Anteil KWK, erstmals 2012</v>
      </c>
      <c r="AX444" s="215" t="str">
        <f t="shared" si="194"/>
        <v/>
      </c>
      <c r="AY444" t="str">
        <f t="shared" si="195"/>
        <v/>
      </c>
      <c r="AZ444" t="str">
        <f t="shared" si="196"/>
        <v>x</v>
      </c>
    </row>
    <row r="445" spans="1:52" x14ac:dyDescent="0.25">
      <c r="A445" s="609" t="s">
        <v>4807</v>
      </c>
      <c r="B445" s="1" t="s">
        <v>5548</v>
      </c>
      <c r="C445" s="1" t="s">
        <v>3727</v>
      </c>
      <c r="D445" s="1" t="s">
        <v>7362</v>
      </c>
      <c r="E445" s="192" t="s">
        <v>4810</v>
      </c>
      <c r="F445" s="457">
        <f t="shared" si="181"/>
        <v>8.5</v>
      </c>
      <c r="G445" s="532">
        <v>8.5</v>
      </c>
      <c r="H445" s="490">
        <f t="shared" si="182"/>
        <v>6.8</v>
      </c>
      <c r="I445" s="709"/>
      <c r="J445" s="669" t="s">
        <v>5805</v>
      </c>
      <c r="K445" s="15"/>
      <c r="M445" s="49">
        <f t="shared" si="183"/>
        <v>8.5</v>
      </c>
      <c r="N445" s="41">
        <v>8.5</v>
      </c>
      <c r="O445" s="86"/>
      <c r="P445" s="74"/>
      <c r="S445" t="s">
        <v>4180</v>
      </c>
      <c r="T445" t="s">
        <v>4180</v>
      </c>
      <c r="U445" s="75"/>
      <c r="V445" s="65"/>
      <c r="W445" s="65"/>
      <c r="X445" s="65"/>
      <c r="Y445" s="65"/>
      <c r="Z445" s="65"/>
      <c r="AA445" s="65"/>
      <c r="AB445" s="65"/>
      <c r="AC445" s="65"/>
      <c r="AD445" s="91"/>
      <c r="AE445" s="94"/>
      <c r="AF445" s="27"/>
      <c r="AG445" s="27"/>
      <c r="AH445" s="212" t="str">
        <f>IF(ISERROR(SEARCH("K erstmals 201",D445)),"",RIGHT(D445,4))</f>
        <v/>
      </c>
      <c r="AI445" s="214" t="str">
        <f t="shared" si="197"/>
        <v/>
      </c>
      <c r="AJ445" s="214" t="str">
        <f t="shared" si="198"/>
        <v/>
      </c>
      <c r="AK445" s="214" t="str">
        <f t="shared" si="199"/>
        <v/>
      </c>
      <c r="AL445" s="214" t="str">
        <f t="shared" si="200"/>
        <v/>
      </c>
      <c r="AM445" s="214" t="str">
        <f t="shared" si="201"/>
        <v/>
      </c>
      <c r="AN445" s="213" t="str">
        <f t="shared" si="184"/>
        <v/>
      </c>
      <c r="AO445" s="213" t="str">
        <f t="shared" si="185"/>
        <v/>
      </c>
      <c r="AP445" s="213" t="str">
        <f t="shared" si="186"/>
        <v/>
      </c>
      <c r="AQ445" s="215" t="str">
        <f t="shared" si="187"/>
        <v/>
      </c>
      <c r="AR445" s="216" t="str">
        <f t="shared" si="188"/>
        <v>BiK53a------03</v>
      </c>
      <c r="AS445" s="215" t="str">
        <f t="shared" si="189"/>
        <v/>
      </c>
      <c r="AT445">
        <f t="shared" si="190"/>
        <v>14</v>
      </c>
      <c r="AU445" s="216" t="str">
        <f t="shared" si="191"/>
        <v xml:space="preserve">5-20 MW </v>
      </c>
      <c r="AV445" s="215" t="str">
        <f t="shared" si="192"/>
        <v/>
      </c>
      <c r="AW445" s="216" t="str">
        <f t="shared" si="193"/>
        <v>Anteil Nicht-KWK</v>
      </c>
      <c r="AX445" s="215" t="str">
        <f t="shared" si="194"/>
        <v/>
      </c>
      <c r="AY445" t="str">
        <f t="shared" si="195"/>
        <v/>
      </c>
      <c r="AZ445" t="str">
        <f t="shared" si="196"/>
        <v/>
      </c>
    </row>
    <row r="446" spans="1:52" x14ac:dyDescent="0.25">
      <c r="A446" s="610" t="s">
        <v>2619</v>
      </c>
      <c r="B446" s="30" t="s">
        <v>5548</v>
      </c>
      <c r="C446" s="30" t="s">
        <v>3727</v>
      </c>
      <c r="D446" s="30" t="s">
        <v>7363</v>
      </c>
      <c r="E446" s="17" t="s">
        <v>674</v>
      </c>
      <c r="F446" s="454">
        <f t="shared" ref="F446:F454" si="202">M446</f>
        <v>11.5</v>
      </c>
      <c r="G446" s="529">
        <v>11.5</v>
      </c>
      <c r="H446" s="487">
        <f t="shared" ref="H446:H472" si="203">IF(ISNUMBER(G446),ROUND(0.8*G446,2),"")</f>
        <v>9.1999999999999993</v>
      </c>
      <c r="I446" s="706"/>
      <c r="J446" s="669" t="s">
        <v>5805</v>
      </c>
      <c r="K446" s="15"/>
      <c r="M446" s="49">
        <f t="shared" ref="M446:M454" si="204">N446+SUMIF(O446:AD446,"x",O$285:AD$285)</f>
        <v>11.5</v>
      </c>
      <c r="N446" s="41">
        <v>8.5</v>
      </c>
      <c r="O446" s="86"/>
      <c r="P446" s="74"/>
      <c r="Q446" t="s">
        <v>1017</v>
      </c>
      <c r="S446" t="s">
        <v>4180</v>
      </c>
      <c r="T446" t="s">
        <v>4180</v>
      </c>
      <c r="U446" s="75"/>
      <c r="V446" s="65"/>
      <c r="W446" s="65"/>
      <c r="X446" s="65"/>
      <c r="Y446" s="65"/>
      <c r="Z446" s="65"/>
      <c r="AA446" s="65"/>
      <c r="AB446" s="65"/>
      <c r="AC446" s="65"/>
      <c r="AD446" s="91"/>
      <c r="AE446" s="94"/>
      <c r="AF446" s="27"/>
      <c r="AG446" s="27"/>
      <c r="AH446" s="212" t="str">
        <f>IF(ISERROR(SEARCH("K erstmals 201",D446)),"",RIGHT(D446,4))</f>
        <v/>
      </c>
      <c r="AI446" s="214" t="str">
        <f t="shared" si="197"/>
        <v/>
      </c>
      <c r="AJ446" s="214" t="str">
        <f t="shared" si="198"/>
        <v/>
      </c>
      <c r="AK446" s="214" t="str">
        <f t="shared" si="199"/>
        <v/>
      </c>
      <c r="AL446" s="214" t="str">
        <f t="shared" si="200"/>
        <v/>
      </c>
      <c r="AM446" s="214" t="str">
        <f t="shared" si="201"/>
        <v/>
      </c>
      <c r="AN446" s="213" t="str">
        <f t="shared" si="184"/>
        <v/>
      </c>
      <c r="AO446" s="213" t="str">
        <f t="shared" si="185"/>
        <v/>
      </c>
      <c r="AP446" s="213" t="str">
        <f t="shared" si="186"/>
        <v/>
      </c>
      <c r="AQ446" s="215" t="str">
        <f t="shared" si="187"/>
        <v/>
      </c>
      <c r="AR446" s="216" t="str">
        <f t="shared" si="188"/>
        <v>BiK53aK09---03</v>
      </c>
      <c r="AS446" s="215" t="str">
        <f t="shared" si="189"/>
        <v/>
      </c>
      <c r="AT446">
        <f t="shared" si="190"/>
        <v>14</v>
      </c>
      <c r="AU446" s="216" t="str">
        <f t="shared" si="191"/>
        <v>5-20 MW, Bonusregel K erstmals 2009</v>
      </c>
      <c r="AV446" s="215" t="str">
        <f t="shared" si="192"/>
        <v/>
      </c>
      <c r="AW446" s="216" t="str">
        <f t="shared" si="193"/>
        <v>Anteil KWK, erstmals 2009</v>
      </c>
      <c r="AX446" s="215" t="str">
        <f t="shared" si="194"/>
        <v/>
      </c>
      <c r="AY446" t="str">
        <f t="shared" si="195"/>
        <v/>
      </c>
      <c r="AZ446" t="str">
        <f t="shared" si="196"/>
        <v/>
      </c>
    </row>
    <row r="447" spans="1:52" x14ac:dyDescent="0.25">
      <c r="A447" s="610" t="s">
        <v>1626</v>
      </c>
      <c r="B447" s="30" t="s">
        <v>5548</v>
      </c>
      <c r="C447" s="30" t="s">
        <v>3727</v>
      </c>
      <c r="D447" s="30" t="s">
        <v>7364</v>
      </c>
      <c r="E447" s="30" t="s">
        <v>3567</v>
      </c>
      <c r="F447" s="454">
        <f t="shared" si="202"/>
        <v>11.47</v>
      </c>
      <c r="G447" s="529">
        <v>11.47</v>
      </c>
      <c r="H447" s="487">
        <f t="shared" si="203"/>
        <v>9.18</v>
      </c>
      <c r="I447" s="706"/>
      <c r="J447" s="669" t="s">
        <v>5805</v>
      </c>
      <c r="K447" s="15"/>
      <c r="M447" s="49">
        <f t="shared" si="204"/>
        <v>11.47</v>
      </c>
      <c r="N447" s="41">
        <v>8.5</v>
      </c>
      <c r="O447" s="86"/>
      <c r="P447" s="74"/>
      <c r="R447" t="s">
        <v>1017</v>
      </c>
      <c r="S447" t="s">
        <v>4180</v>
      </c>
      <c r="T447" t="s">
        <v>4180</v>
      </c>
      <c r="U447" s="75"/>
      <c r="V447" s="65"/>
      <c r="W447" s="65"/>
      <c r="X447" s="65"/>
      <c r="Y447" s="65"/>
      <c r="Z447" s="65"/>
      <c r="AA447" s="65"/>
      <c r="AB447" s="65"/>
      <c r="AC447" s="65"/>
      <c r="AD447" s="91"/>
      <c r="AE447" s="94"/>
      <c r="AF447" s="27"/>
      <c r="AG447" s="27"/>
      <c r="AH447" s="212" t="str">
        <f>IF(ISERROR(SEARCH("K erstmals 201",D447)),"",RIGHT(D447,4))</f>
        <v>2010</v>
      </c>
      <c r="AI447" s="214" t="str">
        <f t="shared" si="197"/>
        <v/>
      </c>
      <c r="AJ447" s="214" t="str">
        <f t="shared" si="198"/>
        <v/>
      </c>
      <c r="AK447" s="214" t="str">
        <f t="shared" si="199"/>
        <v/>
      </c>
      <c r="AL447" s="214" t="str">
        <f t="shared" si="200"/>
        <v/>
      </c>
      <c r="AM447" s="214" t="str">
        <f t="shared" si="201"/>
        <v/>
      </c>
      <c r="AN447" s="213" t="str">
        <f t="shared" si="184"/>
        <v>2010</v>
      </c>
      <c r="AO447" s="213" t="str">
        <f t="shared" si="185"/>
        <v>2010</v>
      </c>
      <c r="AP447" s="213" t="str">
        <f t="shared" si="186"/>
        <v>2010</v>
      </c>
      <c r="AQ447" s="215" t="str">
        <f t="shared" si="187"/>
        <v/>
      </c>
      <c r="AR447" s="216" t="str">
        <f t="shared" si="188"/>
        <v>BiK53aK10---03</v>
      </c>
      <c r="AS447" s="215" t="str">
        <f t="shared" si="189"/>
        <v/>
      </c>
      <c r="AT447">
        <f t="shared" si="190"/>
        <v>14</v>
      </c>
      <c r="AU447" s="216" t="str">
        <f t="shared" si="191"/>
        <v>5-20 MW, Bonusregel K erstmals 2010</v>
      </c>
      <c r="AV447" s="215" t="str">
        <f t="shared" si="192"/>
        <v/>
      </c>
      <c r="AW447" s="216" t="str">
        <f t="shared" si="193"/>
        <v>Anteil KWK, erstmals 2010</v>
      </c>
      <c r="AX447" s="215" t="str">
        <f t="shared" si="194"/>
        <v/>
      </c>
      <c r="AY447" t="str">
        <f t="shared" si="195"/>
        <v/>
      </c>
      <c r="AZ447" t="str">
        <f t="shared" si="196"/>
        <v/>
      </c>
    </row>
    <row r="448" spans="1:52" x14ac:dyDescent="0.25">
      <c r="A448" s="610" t="s">
        <v>5241</v>
      </c>
      <c r="B448" s="30" t="s">
        <v>5548</v>
      </c>
      <c r="C448" s="30" t="s">
        <v>3727</v>
      </c>
      <c r="D448" s="30" t="s">
        <v>7365</v>
      </c>
      <c r="E448" s="30" t="s">
        <v>3055</v>
      </c>
      <c r="F448" s="454">
        <f t="shared" si="202"/>
        <v>11.44</v>
      </c>
      <c r="G448" s="529">
        <v>11.44</v>
      </c>
      <c r="H448" s="487">
        <f t="shared" si="203"/>
        <v>9.15</v>
      </c>
      <c r="I448" s="706"/>
      <c r="J448" s="669" t="s">
        <v>5805</v>
      </c>
      <c r="K448" s="15"/>
      <c r="M448" s="49">
        <f t="shared" si="204"/>
        <v>11.44</v>
      </c>
      <c r="N448" s="41">
        <v>8.5</v>
      </c>
      <c r="O448" s="86"/>
      <c r="P448" s="74"/>
      <c r="S448" t="s">
        <v>1017</v>
      </c>
      <c r="T448" t="s">
        <v>4180</v>
      </c>
      <c r="U448" s="75"/>
      <c r="V448" s="65"/>
      <c r="W448" s="65"/>
      <c r="X448" s="65"/>
      <c r="Y448" s="65"/>
      <c r="Z448" s="65"/>
      <c r="AA448" s="65"/>
      <c r="AB448" s="65"/>
      <c r="AC448" s="65"/>
      <c r="AD448" s="91"/>
      <c r="AE448" s="94"/>
      <c r="AF448" s="27"/>
      <c r="AG448" s="27"/>
      <c r="AH448" s="212" t="str">
        <f>IF(ISERROR(SEARCH("K erstmals 201",D448)),"",RIGHT(D448,4))</f>
        <v>2011</v>
      </c>
      <c r="AI448" s="214" t="str">
        <f t="shared" si="197"/>
        <v/>
      </c>
      <c r="AJ448" s="214" t="str">
        <f t="shared" si="198"/>
        <v/>
      </c>
      <c r="AK448" s="214" t="str">
        <f t="shared" si="199"/>
        <v/>
      </c>
      <c r="AL448" s="214" t="str">
        <f t="shared" si="200"/>
        <v/>
      </c>
      <c r="AM448" s="214" t="str">
        <f t="shared" si="201"/>
        <v/>
      </c>
      <c r="AN448" s="213" t="str">
        <f t="shared" si="184"/>
        <v>2011</v>
      </c>
      <c r="AO448" s="213" t="str">
        <f t="shared" si="185"/>
        <v>2011</v>
      </c>
      <c r="AP448" s="213" t="str">
        <f t="shared" si="186"/>
        <v>2011</v>
      </c>
      <c r="AQ448" s="215" t="str">
        <f t="shared" si="187"/>
        <v/>
      </c>
      <c r="AR448" s="216" t="str">
        <f t="shared" si="188"/>
        <v>BiK53aK11---03</v>
      </c>
      <c r="AS448" s="215" t="str">
        <f t="shared" si="189"/>
        <v/>
      </c>
      <c r="AT448">
        <f t="shared" si="190"/>
        <v>14</v>
      </c>
      <c r="AU448" s="216" t="str">
        <f t="shared" si="191"/>
        <v>5-20 MW, Bonusregel K erstmals 2011</v>
      </c>
      <c r="AV448" s="215" t="str">
        <f t="shared" si="192"/>
        <v/>
      </c>
      <c r="AW448" s="216" t="str">
        <f t="shared" si="193"/>
        <v>Anteil KWK, erstmals 2011</v>
      </c>
      <c r="AX448" s="215" t="str">
        <f t="shared" si="194"/>
        <v/>
      </c>
      <c r="AY448" t="str">
        <f t="shared" si="195"/>
        <v>x</v>
      </c>
      <c r="AZ448" t="str">
        <f t="shared" si="196"/>
        <v/>
      </c>
    </row>
    <row r="449" spans="1:52" x14ac:dyDescent="0.25">
      <c r="A449" s="625" t="s">
        <v>3548</v>
      </c>
      <c r="B449" s="219" t="s">
        <v>5548</v>
      </c>
      <c r="C449" s="219" t="s">
        <v>3727</v>
      </c>
      <c r="D449" s="219" t="s">
        <v>7366</v>
      </c>
      <c r="E449" s="219" t="s">
        <v>1980</v>
      </c>
      <c r="F449" s="455">
        <f t="shared" si="202"/>
        <v>11.41</v>
      </c>
      <c r="G449" s="530">
        <v>11.41</v>
      </c>
      <c r="H449" s="488">
        <f t="shared" si="203"/>
        <v>9.1300000000000008</v>
      </c>
      <c r="I449" s="707"/>
      <c r="J449" s="669" t="s">
        <v>5805</v>
      </c>
      <c r="K449" s="15"/>
      <c r="M449" s="49">
        <f t="shared" si="204"/>
        <v>11.41</v>
      </c>
      <c r="N449" s="41">
        <v>8.5</v>
      </c>
      <c r="O449" s="86"/>
      <c r="P449" s="74"/>
      <c r="S449" t="s">
        <v>4180</v>
      </c>
      <c r="T449" t="s">
        <v>1017</v>
      </c>
      <c r="U449" s="75"/>
      <c r="V449" s="65"/>
      <c r="W449" s="65"/>
      <c r="X449" s="65"/>
      <c r="Y449" s="65"/>
      <c r="Z449" s="65"/>
      <c r="AA449" s="65"/>
      <c r="AB449" s="65"/>
      <c r="AC449" s="65"/>
      <c r="AD449" s="91"/>
      <c r="AE449" s="94"/>
      <c r="AF449" s="27"/>
      <c r="AG449" s="27"/>
      <c r="AH449" s="217" t="s">
        <v>4179</v>
      </c>
      <c r="AI449" s="214" t="str">
        <f t="shared" si="197"/>
        <v/>
      </c>
      <c r="AJ449" s="214" t="str">
        <f t="shared" si="198"/>
        <v/>
      </c>
      <c r="AK449" s="214" t="str">
        <f t="shared" si="199"/>
        <v/>
      </c>
      <c r="AL449" s="214" t="str">
        <f t="shared" si="200"/>
        <v/>
      </c>
      <c r="AM449" s="214" t="str">
        <f t="shared" si="201"/>
        <v/>
      </c>
      <c r="AN449" s="213" t="str">
        <f t="shared" si="184"/>
        <v>2012</v>
      </c>
      <c r="AO449" s="213" t="str">
        <f t="shared" si="185"/>
        <v>2012</v>
      </c>
      <c r="AP449" s="213" t="str">
        <f t="shared" si="186"/>
        <v>2012</v>
      </c>
      <c r="AQ449" s="215" t="str">
        <f t="shared" si="187"/>
        <v/>
      </c>
      <c r="AR449" s="216" t="str">
        <f t="shared" si="188"/>
        <v>BiK53aK12---03</v>
      </c>
      <c r="AS449" s="215" t="str">
        <f t="shared" si="189"/>
        <v/>
      </c>
      <c r="AT449">
        <f t="shared" si="190"/>
        <v>14</v>
      </c>
      <c r="AU449" s="216" t="str">
        <f t="shared" si="191"/>
        <v>5-20 MW, Bonusregel K erstmals 2012</v>
      </c>
      <c r="AV449" s="215" t="str">
        <f t="shared" si="192"/>
        <v/>
      </c>
      <c r="AW449" s="216" t="str">
        <f t="shared" si="193"/>
        <v>Anteil KWK, erstmals 2012</v>
      </c>
      <c r="AX449" s="215" t="str">
        <f t="shared" si="194"/>
        <v/>
      </c>
      <c r="AY449" t="str">
        <f t="shared" si="195"/>
        <v/>
      </c>
      <c r="AZ449" t="str">
        <f t="shared" si="196"/>
        <v>x</v>
      </c>
    </row>
    <row r="450" spans="1:52" x14ac:dyDescent="0.25">
      <c r="A450" s="610" t="s">
        <v>2800</v>
      </c>
      <c r="B450" s="21" t="s">
        <v>5548</v>
      </c>
      <c r="C450" s="21" t="s">
        <v>3727</v>
      </c>
      <c r="D450" s="30" t="s">
        <v>7382</v>
      </c>
      <c r="E450" s="17" t="s">
        <v>4180</v>
      </c>
      <c r="F450" s="454">
        <f t="shared" si="202"/>
        <v>7</v>
      </c>
      <c r="G450" s="529">
        <v>7</v>
      </c>
      <c r="H450" s="487">
        <f t="shared" si="203"/>
        <v>5.6</v>
      </c>
      <c r="I450" s="706"/>
      <c r="J450" s="669" t="s">
        <v>5805</v>
      </c>
      <c r="K450" s="15"/>
      <c r="M450" s="49">
        <f t="shared" si="204"/>
        <v>7</v>
      </c>
      <c r="N450" s="41">
        <v>7</v>
      </c>
      <c r="O450" s="86"/>
      <c r="P450" s="74"/>
      <c r="S450" t="s">
        <v>4180</v>
      </c>
      <c r="T450" t="s">
        <v>4180</v>
      </c>
      <c r="U450" s="75"/>
      <c r="V450" s="65"/>
      <c r="W450" s="65"/>
      <c r="X450" s="65"/>
      <c r="Y450" s="65"/>
      <c r="Z450" s="65"/>
      <c r="AA450" s="65"/>
      <c r="AB450" s="65"/>
      <c r="AC450" s="65"/>
      <c r="AD450" s="91"/>
      <c r="AE450" s="94"/>
      <c r="AF450" s="27"/>
      <c r="AG450" s="27"/>
      <c r="AH450" s="212" t="str">
        <f>IF(ISERROR(SEARCH("K erstmals 201",D450)),"",RIGHT(D450,4))</f>
        <v/>
      </c>
      <c r="AI450" s="214" t="str">
        <f t="shared" si="197"/>
        <v/>
      </c>
      <c r="AJ450" s="214" t="str">
        <f t="shared" si="198"/>
        <v/>
      </c>
      <c r="AK450" s="214" t="str">
        <f t="shared" si="199"/>
        <v/>
      </c>
      <c r="AL450" s="214" t="str">
        <f t="shared" si="200"/>
        <v/>
      </c>
      <c r="AM450" s="214" t="str">
        <f t="shared" si="201"/>
        <v/>
      </c>
      <c r="AN450" s="213" t="str">
        <f t="shared" si="184"/>
        <v/>
      </c>
      <c r="AO450" s="213" t="str">
        <f t="shared" si="185"/>
        <v/>
      </c>
      <c r="AP450" s="213" t="str">
        <f t="shared" si="186"/>
        <v/>
      </c>
      <c r="AQ450" s="215" t="str">
        <f t="shared" si="187"/>
        <v/>
      </c>
      <c r="AR450" s="216" t="str">
        <f t="shared" si="188"/>
        <v>BiK54a------03</v>
      </c>
      <c r="AS450" s="215" t="str">
        <f t="shared" si="189"/>
        <v/>
      </c>
      <c r="AT450">
        <f t="shared" si="190"/>
        <v>14</v>
      </c>
      <c r="AU450" s="216" t="str">
        <f t="shared" si="191"/>
        <v>&gt; 20 MW, 75% Schwarzlauge etc.</v>
      </c>
      <c r="AV450" s="215" t="str">
        <f t="shared" si="192"/>
        <v/>
      </c>
      <c r="AW450" s="216" t="str">
        <f t="shared" si="193"/>
        <v/>
      </c>
      <c r="AX450" s="215" t="str">
        <f t="shared" si="194"/>
        <v/>
      </c>
      <c r="AY450" t="str">
        <f t="shared" si="195"/>
        <v/>
      </c>
      <c r="AZ450" t="str">
        <f t="shared" si="196"/>
        <v/>
      </c>
    </row>
    <row r="451" spans="1:52" x14ac:dyDescent="0.25">
      <c r="A451" s="610" t="s">
        <v>2661</v>
      </c>
      <c r="B451" s="30" t="s">
        <v>5548</v>
      </c>
      <c r="C451" s="21" t="s">
        <v>3727</v>
      </c>
      <c r="D451" s="30" t="s">
        <v>7383</v>
      </c>
      <c r="E451" s="17" t="s">
        <v>674</v>
      </c>
      <c r="F451" s="454">
        <f t="shared" si="202"/>
        <v>10</v>
      </c>
      <c r="G451" s="529">
        <v>10</v>
      </c>
      <c r="H451" s="487">
        <f t="shared" si="203"/>
        <v>8</v>
      </c>
      <c r="I451" s="706"/>
      <c r="J451" s="669" t="s">
        <v>5805</v>
      </c>
      <c r="K451" s="15"/>
      <c r="M451" s="49">
        <f t="shared" si="204"/>
        <v>10</v>
      </c>
      <c r="N451" s="41">
        <v>7</v>
      </c>
      <c r="O451" s="196"/>
      <c r="P451" s="87"/>
      <c r="Q451" s="92" t="s">
        <v>1017</v>
      </c>
      <c r="R451" s="92"/>
      <c r="S451" s="92" t="s">
        <v>4180</v>
      </c>
      <c r="T451" t="s">
        <v>4180</v>
      </c>
      <c r="U451" s="75"/>
      <c r="V451" s="91"/>
      <c r="W451" s="91"/>
      <c r="X451" s="91"/>
      <c r="Y451" s="91"/>
      <c r="Z451" s="91"/>
      <c r="AA451" s="91"/>
      <c r="AB451" s="91"/>
      <c r="AC451" s="91"/>
      <c r="AD451" s="91"/>
      <c r="AE451" s="94"/>
      <c r="AF451" s="27"/>
      <c r="AG451" s="27"/>
      <c r="AH451" s="212" t="str">
        <f>IF(ISERROR(SEARCH("K erstmals 201",D451)),"",RIGHT(D451,4))</f>
        <v/>
      </c>
      <c r="AI451" s="214" t="str">
        <f t="shared" si="197"/>
        <v/>
      </c>
      <c r="AJ451" s="214" t="str">
        <f t="shared" si="198"/>
        <v/>
      </c>
      <c r="AK451" s="214" t="str">
        <f t="shared" si="199"/>
        <v/>
      </c>
      <c r="AL451" s="214" t="str">
        <f t="shared" si="200"/>
        <v/>
      </c>
      <c r="AM451" s="214" t="str">
        <f t="shared" si="201"/>
        <v/>
      </c>
      <c r="AN451" s="213" t="str">
        <f t="shared" si="184"/>
        <v/>
      </c>
      <c r="AO451" s="213" t="str">
        <f t="shared" si="185"/>
        <v/>
      </c>
      <c r="AP451" s="213" t="str">
        <f t="shared" si="186"/>
        <v/>
      </c>
      <c r="AQ451" s="215" t="str">
        <f t="shared" si="187"/>
        <v/>
      </c>
      <c r="AR451" s="216" t="str">
        <f t="shared" si="188"/>
        <v>BiK54aK09---03</v>
      </c>
      <c r="AS451" s="215" t="str">
        <f t="shared" si="189"/>
        <v/>
      </c>
      <c r="AT451">
        <f t="shared" si="190"/>
        <v>14</v>
      </c>
      <c r="AU451" s="216" t="str">
        <f t="shared" si="191"/>
        <v>&gt; 20 MW, 75% Schwarzlauge etc., Bonusregel K erstmals 2009</v>
      </c>
      <c r="AV451" s="215" t="str">
        <f t="shared" si="192"/>
        <v/>
      </c>
      <c r="AW451" s="216" t="str">
        <f t="shared" si="193"/>
        <v>Anteil KWK, erstmals 2009</v>
      </c>
      <c r="AX451" s="215" t="str">
        <f t="shared" si="194"/>
        <v/>
      </c>
      <c r="AY451" t="str">
        <f t="shared" si="195"/>
        <v/>
      </c>
      <c r="AZ451" t="str">
        <f t="shared" si="196"/>
        <v/>
      </c>
    </row>
    <row r="452" spans="1:52" x14ac:dyDescent="0.25">
      <c r="A452" s="610" t="s">
        <v>1627</v>
      </c>
      <c r="B452" s="30" t="s">
        <v>5548</v>
      </c>
      <c r="C452" s="21" t="s">
        <v>3727</v>
      </c>
      <c r="D452" s="30" t="s">
        <v>7384</v>
      </c>
      <c r="E452" s="30" t="s">
        <v>3567</v>
      </c>
      <c r="F452" s="454">
        <f t="shared" si="202"/>
        <v>9.9700000000000006</v>
      </c>
      <c r="G452" s="529">
        <v>9.9700000000000006</v>
      </c>
      <c r="H452" s="487">
        <f t="shared" si="203"/>
        <v>7.98</v>
      </c>
      <c r="I452" s="706"/>
      <c r="J452" s="669" t="s">
        <v>5805</v>
      </c>
      <c r="K452" s="15"/>
      <c r="M452" s="49">
        <f t="shared" si="204"/>
        <v>9.9700000000000006</v>
      </c>
      <c r="N452" s="41">
        <v>7</v>
      </c>
      <c r="O452" s="196"/>
      <c r="P452" s="87"/>
      <c r="Q452" s="92"/>
      <c r="R452" s="92" t="s">
        <v>1017</v>
      </c>
      <c r="S452" s="92" t="s">
        <v>4180</v>
      </c>
      <c r="T452" t="s">
        <v>4180</v>
      </c>
      <c r="U452" s="75"/>
      <c r="V452" s="91"/>
      <c r="W452" s="91"/>
      <c r="X452" s="91"/>
      <c r="Y452" s="91"/>
      <c r="Z452" s="91"/>
      <c r="AA452" s="91"/>
      <c r="AB452" s="91"/>
      <c r="AC452" s="91"/>
      <c r="AD452" s="91"/>
      <c r="AE452" s="94"/>
      <c r="AF452" s="27"/>
      <c r="AG452" s="27"/>
      <c r="AH452" s="212" t="str">
        <f>IF(ISERROR(SEARCH("K erstmals 201",D452)),"",RIGHT(D452,4))</f>
        <v>2010</v>
      </c>
      <c r="AI452" s="214" t="str">
        <f t="shared" si="197"/>
        <v/>
      </c>
      <c r="AJ452" s="214" t="str">
        <f t="shared" si="198"/>
        <v/>
      </c>
      <c r="AK452" s="214" t="str">
        <f t="shared" si="199"/>
        <v/>
      </c>
      <c r="AL452" s="214" t="str">
        <f t="shared" si="200"/>
        <v/>
      </c>
      <c r="AM452" s="214" t="str">
        <f t="shared" si="201"/>
        <v/>
      </c>
      <c r="AN452" s="213" t="str">
        <f t="shared" si="184"/>
        <v>2010</v>
      </c>
      <c r="AO452" s="213" t="str">
        <f t="shared" si="185"/>
        <v>2010</v>
      </c>
      <c r="AP452" s="213" t="str">
        <f t="shared" si="186"/>
        <v>2010</v>
      </c>
      <c r="AQ452" s="215" t="str">
        <f t="shared" si="187"/>
        <v/>
      </c>
      <c r="AR452" s="216" t="str">
        <f t="shared" si="188"/>
        <v>BiK54aK10---03</v>
      </c>
      <c r="AS452" s="215" t="str">
        <f t="shared" si="189"/>
        <v/>
      </c>
      <c r="AT452">
        <f t="shared" si="190"/>
        <v>14</v>
      </c>
      <c r="AU452" s="216" t="str">
        <f t="shared" si="191"/>
        <v>&gt; 20 MW, 75% Schwarzlauge etc., Bonusregel K erstmals 2010</v>
      </c>
      <c r="AV452" s="215" t="str">
        <f t="shared" si="192"/>
        <v/>
      </c>
      <c r="AW452" s="216" t="str">
        <f t="shared" si="193"/>
        <v>Anteil KWK, erstmals 2010</v>
      </c>
      <c r="AX452" s="215" t="str">
        <f t="shared" si="194"/>
        <v/>
      </c>
      <c r="AY452" t="str">
        <f t="shared" si="195"/>
        <v/>
      </c>
      <c r="AZ452" t="str">
        <f t="shared" si="196"/>
        <v/>
      </c>
    </row>
    <row r="453" spans="1:52" x14ac:dyDescent="0.25">
      <c r="A453" s="610" t="s">
        <v>5242</v>
      </c>
      <c r="B453" s="30" t="s">
        <v>5548</v>
      </c>
      <c r="C453" s="21" t="s">
        <v>3727</v>
      </c>
      <c r="D453" s="30" t="s">
        <v>7385</v>
      </c>
      <c r="E453" s="30" t="s">
        <v>3055</v>
      </c>
      <c r="F453" s="454">
        <f t="shared" si="202"/>
        <v>9.94</v>
      </c>
      <c r="G453" s="529">
        <v>9.94</v>
      </c>
      <c r="H453" s="487">
        <f t="shared" si="203"/>
        <v>7.95</v>
      </c>
      <c r="I453" s="706"/>
      <c r="J453" s="669" t="s">
        <v>5805</v>
      </c>
      <c r="K453" s="15"/>
      <c r="M453" s="49">
        <f t="shared" si="204"/>
        <v>9.94</v>
      </c>
      <c r="N453" s="41">
        <v>7</v>
      </c>
      <c r="O453" s="196"/>
      <c r="P453" s="87"/>
      <c r="Q453" s="92"/>
      <c r="S453" s="92" t="s">
        <v>1017</v>
      </c>
      <c r="T453" t="s">
        <v>4180</v>
      </c>
      <c r="U453" s="75"/>
      <c r="V453" s="91"/>
      <c r="W453" s="91"/>
      <c r="X453" s="91"/>
      <c r="Y453" s="91"/>
      <c r="Z453" s="91"/>
      <c r="AA453" s="91"/>
      <c r="AB453" s="91"/>
      <c r="AC453" s="91"/>
      <c r="AD453" s="91"/>
      <c r="AE453" s="94"/>
      <c r="AF453" s="27"/>
      <c r="AG453" s="27"/>
      <c r="AH453" s="212" t="str">
        <f>IF(ISERROR(SEARCH("K erstmals 201",D453)),"",RIGHT(D453,4))</f>
        <v>2011</v>
      </c>
      <c r="AI453" s="214" t="str">
        <f t="shared" si="197"/>
        <v/>
      </c>
      <c r="AJ453" s="214" t="str">
        <f t="shared" si="198"/>
        <v/>
      </c>
      <c r="AK453" s="214" t="str">
        <f t="shared" si="199"/>
        <v/>
      </c>
      <c r="AL453" s="214" t="str">
        <f t="shared" si="200"/>
        <v/>
      </c>
      <c r="AM453" s="214" t="str">
        <f t="shared" si="201"/>
        <v/>
      </c>
      <c r="AN453" s="213" t="str">
        <f t="shared" si="184"/>
        <v>2011</v>
      </c>
      <c r="AO453" s="213" t="str">
        <f t="shared" si="185"/>
        <v>2011</v>
      </c>
      <c r="AP453" s="213" t="str">
        <f t="shared" si="186"/>
        <v>2011</v>
      </c>
      <c r="AQ453" s="215" t="str">
        <f t="shared" si="187"/>
        <v/>
      </c>
      <c r="AR453" s="216" t="str">
        <f t="shared" si="188"/>
        <v>BiK54aK11---03</v>
      </c>
      <c r="AS453" s="215" t="str">
        <f t="shared" si="189"/>
        <v/>
      </c>
      <c r="AT453">
        <f t="shared" si="190"/>
        <v>14</v>
      </c>
      <c r="AU453" s="216" t="str">
        <f t="shared" si="191"/>
        <v>&gt; 20 MW, 75% Schwarzlauge etc., Bonusregel K erstmals 2011</v>
      </c>
      <c r="AV453" s="215" t="str">
        <f t="shared" si="192"/>
        <v/>
      </c>
      <c r="AW453" s="216" t="str">
        <f t="shared" si="193"/>
        <v>Anteil KWK, erstmals 2011</v>
      </c>
      <c r="AX453" s="215" t="str">
        <f t="shared" si="194"/>
        <v/>
      </c>
      <c r="AY453" t="str">
        <f t="shared" si="195"/>
        <v>x</v>
      </c>
      <c r="AZ453" t="str">
        <f t="shared" si="196"/>
        <v/>
      </c>
    </row>
    <row r="454" spans="1:52" x14ac:dyDescent="0.25">
      <c r="A454" s="625" t="s">
        <v>3549</v>
      </c>
      <c r="B454" s="219" t="s">
        <v>5548</v>
      </c>
      <c r="C454" s="220" t="s">
        <v>3727</v>
      </c>
      <c r="D454" s="219" t="s">
        <v>7386</v>
      </c>
      <c r="E454" s="219" t="s">
        <v>1980</v>
      </c>
      <c r="F454" s="455">
        <f t="shared" si="202"/>
        <v>9.91</v>
      </c>
      <c r="G454" s="530">
        <v>9.91</v>
      </c>
      <c r="H454" s="488">
        <f t="shared" si="203"/>
        <v>7.93</v>
      </c>
      <c r="I454" s="707"/>
      <c r="J454" s="669" t="s">
        <v>5805</v>
      </c>
      <c r="K454" s="15"/>
      <c r="M454" s="49">
        <f t="shared" si="204"/>
        <v>9.91</v>
      </c>
      <c r="N454" s="41">
        <v>7</v>
      </c>
      <c r="O454" s="196"/>
      <c r="P454" s="87"/>
      <c r="Q454" s="92"/>
      <c r="S454" s="92" t="s">
        <v>4180</v>
      </c>
      <c r="T454" t="s">
        <v>1017</v>
      </c>
      <c r="U454" s="75"/>
      <c r="V454" s="91"/>
      <c r="W454" s="91"/>
      <c r="X454" s="91"/>
      <c r="Y454" s="91"/>
      <c r="Z454" s="91"/>
      <c r="AA454" s="91"/>
      <c r="AB454" s="91"/>
      <c r="AC454" s="91"/>
      <c r="AD454" s="91"/>
      <c r="AE454" s="94"/>
      <c r="AF454" s="27"/>
      <c r="AG454" s="27"/>
      <c r="AH454" s="217" t="s">
        <v>4179</v>
      </c>
      <c r="AI454" s="214" t="str">
        <f t="shared" si="197"/>
        <v/>
      </c>
      <c r="AJ454" s="214" t="str">
        <f t="shared" si="198"/>
        <v/>
      </c>
      <c r="AK454" s="214" t="str">
        <f t="shared" si="199"/>
        <v/>
      </c>
      <c r="AL454" s="214" t="str">
        <f t="shared" si="200"/>
        <v/>
      </c>
      <c r="AM454" s="214" t="str">
        <f t="shared" si="201"/>
        <v/>
      </c>
      <c r="AN454" s="213" t="str">
        <f t="shared" si="184"/>
        <v>2012</v>
      </c>
      <c r="AO454" s="213" t="str">
        <f t="shared" si="185"/>
        <v>2012</v>
      </c>
      <c r="AP454" s="213" t="str">
        <f t="shared" si="186"/>
        <v>2012</v>
      </c>
      <c r="AQ454" s="215" t="str">
        <f t="shared" si="187"/>
        <v/>
      </c>
      <c r="AR454" s="216" t="str">
        <f t="shared" si="188"/>
        <v>BiK54aK12---03</v>
      </c>
      <c r="AS454" s="215" t="str">
        <f t="shared" si="189"/>
        <v/>
      </c>
      <c r="AT454">
        <f t="shared" si="190"/>
        <v>14</v>
      </c>
      <c r="AU454" s="216" t="str">
        <f t="shared" si="191"/>
        <v>&gt; 20 MW, 75% Schwarzlauge etc., Bonusregel K erstmals 2012</v>
      </c>
      <c r="AV454" s="215" t="str">
        <f t="shared" si="192"/>
        <v/>
      </c>
      <c r="AW454" s="216" t="str">
        <f t="shared" si="193"/>
        <v>Anteil KWK, erstmals 2012</v>
      </c>
      <c r="AX454" s="215" t="str">
        <f t="shared" si="194"/>
        <v/>
      </c>
      <c r="AY454" t="str">
        <f t="shared" si="195"/>
        <v/>
      </c>
      <c r="AZ454" t="str">
        <f t="shared" si="196"/>
        <v>x</v>
      </c>
    </row>
    <row r="455" spans="1:52" s="178" customFormat="1" x14ac:dyDescent="0.25">
      <c r="A455" s="609" t="s">
        <v>4180</v>
      </c>
      <c r="B455" s="1"/>
      <c r="C455" s="1"/>
      <c r="D455" s="1" t="s">
        <v>4180</v>
      </c>
      <c r="E455" s="1" t="s">
        <v>4180</v>
      </c>
      <c r="F455" s="457"/>
      <c r="G455" s="533"/>
      <c r="H455" s="491" t="str">
        <f t="shared" si="203"/>
        <v/>
      </c>
      <c r="I455" s="710"/>
      <c r="J455" s="669" t="s">
        <v>4180</v>
      </c>
      <c r="K455" s="15"/>
      <c r="L455"/>
      <c r="M455"/>
      <c r="N455"/>
      <c r="O455" s="124"/>
      <c r="P455"/>
      <c r="Q455"/>
      <c r="R455"/>
      <c r="S455" t="s">
        <v>4180</v>
      </c>
      <c r="T455" s="178" t="s">
        <v>4180</v>
      </c>
      <c r="U455" s="55"/>
      <c r="V455"/>
      <c r="W455"/>
      <c r="X455"/>
      <c r="Y455"/>
      <c r="Z455"/>
      <c r="AA455"/>
      <c r="AB455"/>
      <c r="AC455"/>
      <c r="AD455" s="92"/>
      <c r="AE455" s="124"/>
      <c r="AF455"/>
      <c r="AG455"/>
      <c r="AH455" s="212" t="str">
        <f>IF(ISERROR(SEARCH("K erstmals 201",D455)),"",RIGHT(D455,4))</f>
        <v/>
      </c>
      <c r="AI455" s="214" t="str">
        <f>IF(AND($AH455&lt;&gt;"",AH455 =AH450),"Gleich","")</f>
        <v/>
      </c>
      <c r="AJ455" s="214" t="str">
        <f>IF(AND($AH455&lt;&gt;"",A455 =A450),"Gleich","")</f>
        <v/>
      </c>
      <c r="AK455" s="214" t="str">
        <f>IF(AND($AH455&lt;&gt;"",D455 =D450),"Gleich","")</f>
        <v/>
      </c>
      <c r="AL455" s="214" t="str">
        <f>IF(AND($AH455&lt;&gt;"",E455 =E450),"Gleich","")</f>
        <v/>
      </c>
      <c r="AM455" s="214" t="str">
        <f>IF(AND($AH455&lt;&gt;"",F455 =F450),"Gleich","")</f>
        <v/>
      </c>
      <c r="AN455" s="213" t="str">
        <f t="shared" si="184"/>
        <v/>
      </c>
      <c r="AO455" s="213" t="str">
        <f t="shared" si="185"/>
        <v/>
      </c>
      <c r="AP455" s="213" t="str">
        <f t="shared" si="186"/>
        <v/>
      </c>
      <c r="AQ455" s="215" t="str">
        <f t="shared" si="187"/>
        <v/>
      </c>
      <c r="AR455" s="216" t="str">
        <f t="shared" si="188"/>
        <v/>
      </c>
      <c r="AS455" s="215" t="str">
        <f t="shared" si="189"/>
        <v/>
      </c>
      <c r="AT455">
        <f t="shared" si="190"/>
        <v>0</v>
      </c>
      <c r="AU455" s="216" t="str">
        <f t="shared" si="191"/>
        <v/>
      </c>
      <c r="AV455" s="215" t="str">
        <f t="shared" si="192"/>
        <v/>
      </c>
      <c r="AW455" s="216" t="str">
        <f t="shared" si="193"/>
        <v/>
      </c>
      <c r="AX455" s="215" t="str">
        <f t="shared" si="194"/>
        <v/>
      </c>
      <c r="AY455" t="str">
        <f t="shared" si="195"/>
        <v/>
      </c>
      <c r="AZ455" t="str">
        <f t="shared" si="196"/>
        <v/>
      </c>
    </row>
    <row r="456" spans="1:52" s="178" customFormat="1" x14ac:dyDescent="0.25">
      <c r="A456" s="615" t="s">
        <v>5785</v>
      </c>
      <c r="B456" s="375" t="s">
        <v>5548</v>
      </c>
      <c r="C456" s="375" t="s">
        <v>3727</v>
      </c>
      <c r="D456" s="375" t="s">
        <v>6858</v>
      </c>
      <c r="E456" s="375" t="s">
        <v>2827</v>
      </c>
      <c r="F456" s="458">
        <f t="shared" ref="F456:F472" si="205">M456</f>
        <v>25.55</v>
      </c>
      <c r="G456" s="534">
        <f t="shared" ref="G456:G472" si="206">F456</f>
        <v>25.55</v>
      </c>
      <c r="H456" s="492">
        <f t="shared" si="203"/>
        <v>20.440000000000001</v>
      </c>
      <c r="I456" s="711"/>
      <c r="J456" s="669" t="s">
        <v>5805</v>
      </c>
      <c r="K456" s="15"/>
      <c r="L456"/>
      <c r="M456" s="387">
        <f t="shared" ref="M456:M472" si="207">N456+SUMIF(U456:AD456,"x",$U$285:$AD$285)+T456</f>
        <v>25.55</v>
      </c>
      <c r="N456" s="41">
        <v>11.67</v>
      </c>
      <c r="O456" s="176"/>
      <c r="P456" s="393" t="s">
        <v>2828</v>
      </c>
      <c r="Q456" s="393"/>
      <c r="R456" s="394">
        <v>2013</v>
      </c>
      <c r="S456" s="393"/>
      <c r="T456" s="113">
        <v>2.88</v>
      </c>
      <c r="U456" s="179"/>
      <c r="W456" s="180"/>
      <c r="X456" s="180"/>
      <c r="Z456" s="178" t="s">
        <v>1017</v>
      </c>
      <c r="AA456" s="180"/>
      <c r="AD456" s="201"/>
      <c r="AE456" s="181"/>
      <c r="AF456" s="182"/>
      <c r="AG456" s="182"/>
      <c r="AH456" s="217" t="s">
        <v>4179</v>
      </c>
      <c r="AI456" s="214" t="str">
        <f>IF(AND($AH456&lt;&gt;"",AH456 =AH455),"Gleich","")</f>
        <v/>
      </c>
      <c r="AJ456" s="214" t="str">
        <f>IF(AND($AH456&lt;&gt;"",A456 =A455),"Gleich","")</f>
        <v/>
      </c>
      <c r="AK456" s="214" t="str">
        <f>IF(AND($AH456&lt;&gt;"",D456 =D455),"Gleich","")</f>
        <v/>
      </c>
      <c r="AL456" s="214" t="str">
        <f>IF(AND($AH456&lt;&gt;"",E456 =E455),"Gleich","")</f>
        <v/>
      </c>
      <c r="AM456" s="214" t="str">
        <f>IF(AND($AH456&lt;&gt;"",F456 =F455),"Gleich","")</f>
        <v/>
      </c>
      <c r="AN456" s="213" t="str">
        <f t="shared" si="184"/>
        <v>2013</v>
      </c>
      <c r="AO456" s="213" t="str">
        <f t="shared" si="185"/>
        <v>2013</v>
      </c>
      <c r="AP456" s="213" t="str">
        <f t="shared" si="186"/>
        <v/>
      </c>
      <c r="AQ456" s="215" t="str">
        <f t="shared" si="187"/>
        <v>DIFF</v>
      </c>
      <c r="AR456" s="216" t="str">
        <f t="shared" si="188"/>
        <v>BiK51nM1K12-03</v>
      </c>
      <c r="AS456" s="215" t="str">
        <f t="shared" si="189"/>
        <v>DIFF</v>
      </c>
      <c r="AT456">
        <f t="shared" si="190"/>
        <v>14</v>
      </c>
      <c r="AU456" s="216" t="str">
        <f t="shared" si="191"/>
        <v>0-0,15 MW, Bonusregeln M1 und K erstmals 2012</v>
      </c>
      <c r="AV456" s="215" t="str">
        <f t="shared" si="192"/>
        <v>DIFF</v>
      </c>
      <c r="AW456" s="216" t="str">
        <f t="shared" si="193"/>
        <v>Anteil KWK, erstmals 2012</v>
      </c>
      <c r="AX456" s="215" t="str">
        <f t="shared" si="194"/>
        <v>DIFF</v>
      </c>
      <c r="AY456" t="str">
        <f t="shared" si="195"/>
        <v/>
      </c>
      <c r="AZ456" t="str">
        <f t="shared" si="196"/>
        <v>x</v>
      </c>
    </row>
    <row r="457" spans="1:52" x14ac:dyDescent="0.25">
      <c r="A457" s="615" t="s">
        <v>7520</v>
      </c>
      <c r="B457" s="375" t="s">
        <v>5548</v>
      </c>
      <c r="C457" s="375" t="s">
        <v>3727</v>
      </c>
      <c r="D457" s="375" t="s">
        <v>6859</v>
      </c>
      <c r="E457" s="375" t="s">
        <v>2827</v>
      </c>
      <c r="F457" s="458">
        <f t="shared" si="205"/>
        <v>26.55</v>
      </c>
      <c r="G457" s="534">
        <f t="shared" si="206"/>
        <v>26.55</v>
      </c>
      <c r="H457" s="492">
        <f t="shared" si="203"/>
        <v>21.24</v>
      </c>
      <c r="I457" s="711"/>
      <c r="J457" s="669">
        <v>44260</v>
      </c>
      <c r="K457" s="769"/>
      <c r="L457" s="774"/>
      <c r="M457" s="387">
        <f t="shared" si="207"/>
        <v>26.55</v>
      </c>
      <c r="N457" s="41">
        <v>11.67</v>
      </c>
      <c r="O457" s="391"/>
      <c r="P457" s="393" t="s">
        <v>2828</v>
      </c>
      <c r="Q457" s="393"/>
      <c r="R457" s="394">
        <v>2013</v>
      </c>
      <c r="S457" s="393"/>
      <c r="T457" s="113">
        <v>2.88</v>
      </c>
      <c r="U457" s="58" t="s">
        <v>1017</v>
      </c>
      <c r="V457" s="178"/>
      <c r="W457" s="180"/>
      <c r="X457" s="180"/>
      <c r="Y457" s="178"/>
      <c r="Z457" s="178" t="s">
        <v>1017</v>
      </c>
      <c r="AA457" s="180"/>
      <c r="AB457" s="178"/>
      <c r="AC457" s="178"/>
      <c r="AD457" s="201"/>
      <c r="AE457" s="181"/>
      <c r="AF457" s="182"/>
      <c r="AH457" s="217" t="s">
        <v>4179</v>
      </c>
      <c r="AI457" s="214" t="str">
        <f>IF(AND($AH457&lt;&gt;"",AH457 =AH453),"Gleich","")</f>
        <v/>
      </c>
      <c r="AJ457" s="214" t="str">
        <f>IF(AND($AH457&lt;&gt;"",A460 =A453),"Gleich","")</f>
        <v/>
      </c>
      <c r="AK457" s="214" t="str">
        <f>IF(AND($AH457&lt;&gt;"",D460 =D453),"Gleich","")</f>
        <v/>
      </c>
      <c r="AL457" s="214" t="str">
        <f>IF(AND($AH457&lt;&gt;"",E460 =E453),"Gleich","")</f>
        <v/>
      </c>
      <c r="AM457" s="214" t="str">
        <f>IF(AND($AH457&lt;&gt;"",F460 =F453),"Gleich","")</f>
        <v/>
      </c>
      <c r="AN457" s="213" t="str">
        <f>IF(ISERROR(SEARCH("K1",A460)),"","20"&amp;MID(A460,SEARCH("K1",A460)+1,2))</f>
        <v>2015</v>
      </c>
      <c r="AO457" s="213" t="str">
        <f>IF(ISERROR(SEARCH("erstmals 201",E460)),"",MID(E460,SEARCH("erstmals ",E460)+9,4))</f>
        <v>2015</v>
      </c>
      <c r="AP457" s="213" t="str">
        <f>IF(R460="x","2010",IF(S460="x","2011",IF(T460="x","2012","")))</f>
        <v/>
      </c>
      <c r="AQ457" s="215" t="str">
        <f t="shared" si="187"/>
        <v>DIFF</v>
      </c>
      <c r="AR457" s="216" t="str">
        <f>IF(A460="","",IF(ISERROR(SEARCH("K1",A460)),A460,LEFT(A460,SEARCH("K1",A460)+1)&amp;RIGHT(AH457,1)&amp;MID(A460,SEARCH("K1",A460)+3,14)))</f>
        <v>BiK51nK12---03</v>
      </c>
      <c r="AS457" s="215" t="str">
        <f>IF(OR(A460&lt;&gt;AR457),"DIFF","")</f>
        <v>DIFF</v>
      </c>
      <c r="AT457">
        <f t="shared" si="190"/>
        <v>14</v>
      </c>
      <c r="AU457" s="216" t="str">
        <f>IF(D460="","",IF(OR(A460="",ISERROR(SEARCH("erstmals 201",D460))),D460,LEFT(D460,SEARCH("erstmals 201",D460)+8) &amp; AH457 &amp; MID(D460,SEARCH("erstmals 201",D460)+13,255)))</f>
        <v>0-0,15 MW, Bonusregel K erstmals 2012</v>
      </c>
      <c r="AV457" s="215" t="str">
        <f>IF(OR(D460&lt;&gt;AU457),"DIFF","")</f>
        <v>DIFF</v>
      </c>
      <c r="AW457" s="216" t="str">
        <f>IF(E460="","",IF(OR(E460="",ISERROR(SEARCH("erstmals 201",E460))),E460,LEFT(E460,SEARCH("erstmals 201",E460)+8) &amp; AH457 &amp; MID(E460,SEARCH("erstmals 201",E460)+13,255)))</f>
        <v>Anteil KWK, erstmals 2012</v>
      </c>
      <c r="AX457" s="215" t="str">
        <f>IF(OR(E460&lt;&gt;AW457),"DIFF","")</f>
        <v>DIFF</v>
      </c>
      <c r="AY457" t="str">
        <f>IF(AH457="2011","x",IF(AH457="2012","","" &amp; S460))</f>
        <v/>
      </c>
      <c r="AZ457" t="str">
        <f>IF(AH457="2012","x",IF(AH457="2011","","" &amp; T460))</f>
        <v>x</v>
      </c>
    </row>
    <row r="458" spans="1:52" s="178" customFormat="1" x14ac:dyDescent="0.25">
      <c r="A458" s="615" t="s">
        <v>5786</v>
      </c>
      <c r="B458" s="375" t="s">
        <v>5548</v>
      </c>
      <c r="C458" s="375" t="s">
        <v>3727</v>
      </c>
      <c r="D458" s="375" t="s">
        <v>7082</v>
      </c>
      <c r="E458" s="375" t="s">
        <v>2827</v>
      </c>
      <c r="F458" s="458">
        <f t="shared" si="205"/>
        <v>20.88</v>
      </c>
      <c r="G458" s="534">
        <f t="shared" si="206"/>
        <v>20.88</v>
      </c>
      <c r="H458" s="492">
        <f t="shared" si="203"/>
        <v>16.7</v>
      </c>
      <c r="I458" s="711"/>
      <c r="J458" s="669" t="s">
        <v>5805</v>
      </c>
      <c r="K458" s="15"/>
      <c r="L458"/>
      <c r="M458" s="387">
        <f t="shared" si="207"/>
        <v>20.88</v>
      </c>
      <c r="N458" s="41">
        <v>10</v>
      </c>
      <c r="O458" s="176"/>
      <c r="P458" s="393" t="s">
        <v>2828</v>
      </c>
      <c r="Q458" s="393"/>
      <c r="R458" s="394">
        <v>2013</v>
      </c>
      <c r="S458" s="393"/>
      <c r="T458" s="113">
        <v>2.88</v>
      </c>
      <c r="U458" s="179"/>
      <c r="W458" s="180"/>
      <c r="X458" s="180"/>
      <c r="Z458" s="180"/>
      <c r="AA458" s="178" t="s">
        <v>1017</v>
      </c>
      <c r="AC458" s="180"/>
      <c r="AD458" s="182"/>
      <c r="AE458" s="181"/>
      <c r="AF458" s="182"/>
      <c r="AG458" s="182"/>
      <c r="AH458" s="217" t="s">
        <v>4179</v>
      </c>
      <c r="AI458" s="214" t="str">
        <f>IF(AND($AH458&lt;&gt;"",AH458 =AH455),"Gleich","")</f>
        <v/>
      </c>
      <c r="AJ458" s="214" t="str">
        <f>IF(AND($AH458&lt;&gt;"",A458 =A455),"Gleich","")</f>
        <v/>
      </c>
      <c r="AK458" s="214" t="str">
        <f>IF(AND($AH458&lt;&gt;"",D458 =D455),"Gleich","")</f>
        <v/>
      </c>
      <c r="AL458" s="214" t="str">
        <f>IF(AND($AH458&lt;&gt;"",E458 =E455),"Gleich","")</f>
        <v/>
      </c>
      <c r="AM458" s="214" t="str">
        <f>IF(AND($AH458&lt;&gt;"",F458 =F455),"Gleich","")</f>
        <v/>
      </c>
      <c r="AN458" s="213" t="str">
        <f>IF(ISERROR(SEARCH("K1",A458)),"","20"&amp;MID(A458,SEARCH("K1",A458)+1,2))</f>
        <v>2013</v>
      </c>
      <c r="AO458" s="213" t="str">
        <f>IF(ISERROR(SEARCH("erstmals 201",E458)),"",MID(E458,SEARCH("erstmals ",E458)+9,4))</f>
        <v>2013</v>
      </c>
      <c r="AP458" s="213" t="str">
        <f>IF(R458="x","2010",IF(S458="x","2011",IF(T458="x","2012","")))</f>
        <v/>
      </c>
      <c r="AQ458" s="215" t="str">
        <f t="shared" si="187"/>
        <v>DIFF</v>
      </c>
      <c r="AR458" s="216" t="str">
        <f>IF(A458="","",IF(ISERROR(SEARCH("K1",A458)),A458,LEFT(A458,SEARCH("K1",A458)+1)&amp;RIGHT(AH458,1)&amp;MID(A458,SEARCH("K1",A458)+3,14)))</f>
        <v>BiK51aM2K12-03</v>
      </c>
      <c r="AS458" s="215" t="str">
        <f>IF(OR(A458&lt;&gt;AR458),"DIFF","")</f>
        <v>DIFF</v>
      </c>
      <c r="AT458">
        <f t="shared" si="190"/>
        <v>14</v>
      </c>
      <c r="AU458" s="216" t="str">
        <f>IF(D458="","",IF(OR(A458="",ISERROR(SEARCH("erstmals 201",D458))),D458,LEFT(D458,SEARCH("erstmals 201",D458)+8) &amp; AH458 &amp; MID(D458,SEARCH("erstmals 201",D458)+13,255)))</f>
        <v>0,15-0,5 MW, Bonusregeln M2 und K erstmals 2012</v>
      </c>
      <c r="AV458" s="215" t="str">
        <f>IF(OR(D458&lt;&gt;AU458),"DIFF","")</f>
        <v>DIFF</v>
      </c>
      <c r="AW458" s="216" t="str">
        <f>IF(E458="","",IF(OR(E458="",ISERROR(SEARCH("erstmals 201",E458))),E458,LEFT(E458,SEARCH("erstmals 201",E458)+8) &amp; AH458 &amp; MID(E458,SEARCH("erstmals 201",E458)+13,255)))</f>
        <v>Anteil KWK, erstmals 2012</v>
      </c>
      <c r="AX458" s="215" t="str">
        <f>IF(OR(E458&lt;&gt;AW458),"DIFF","")</f>
        <v>DIFF</v>
      </c>
      <c r="AY458" t="str">
        <f>IF(AH458="2011","x",IF(AH458="2012","","" &amp; S458))</f>
        <v/>
      </c>
      <c r="AZ458" t="str">
        <f>IF(AH458="2012","x",IF(AH458="2011","","" &amp; T458))</f>
        <v>x</v>
      </c>
    </row>
    <row r="459" spans="1:52" x14ac:dyDescent="0.25">
      <c r="A459" s="615" t="s">
        <v>7521</v>
      </c>
      <c r="B459" s="375" t="s">
        <v>5548</v>
      </c>
      <c r="C459" s="375" t="s">
        <v>3727</v>
      </c>
      <c r="D459" s="375" t="s">
        <v>7083</v>
      </c>
      <c r="E459" s="375" t="s">
        <v>2827</v>
      </c>
      <c r="F459" s="458">
        <f t="shared" si="205"/>
        <v>21.88</v>
      </c>
      <c r="G459" s="534">
        <f t="shared" si="206"/>
        <v>21.88</v>
      </c>
      <c r="H459" s="492">
        <f t="shared" si="203"/>
        <v>17.5</v>
      </c>
      <c r="I459" s="711"/>
      <c r="J459" s="669">
        <v>44260</v>
      </c>
      <c r="K459" s="769"/>
      <c r="L459" s="774"/>
      <c r="M459" s="387">
        <f t="shared" si="207"/>
        <v>21.88</v>
      </c>
      <c r="N459" s="41">
        <v>10</v>
      </c>
      <c r="O459" s="391"/>
      <c r="P459" s="393" t="s">
        <v>2828</v>
      </c>
      <c r="Q459" s="393"/>
      <c r="R459" s="394">
        <v>2013</v>
      </c>
      <c r="S459" s="393"/>
      <c r="T459" s="113">
        <v>2.88</v>
      </c>
      <c r="U459" s="58" t="s">
        <v>1017</v>
      </c>
      <c r="V459" s="178"/>
      <c r="W459" s="180"/>
      <c r="X459" s="180"/>
      <c r="Y459" s="178"/>
      <c r="Z459" s="180"/>
      <c r="AA459" s="178" t="s">
        <v>1017</v>
      </c>
      <c r="AB459" s="178"/>
      <c r="AC459" s="180"/>
      <c r="AD459" s="182"/>
      <c r="AE459" s="181"/>
      <c r="AF459" s="182"/>
      <c r="AH459" s="217" t="s">
        <v>4179</v>
      </c>
      <c r="AI459" s="214" t="str">
        <f>IF(AND($AH459&lt;&gt;"",AH459 =AH451),"Gleich","")</f>
        <v/>
      </c>
      <c r="AJ459" s="214" t="str">
        <f>IF(AND($AH459&lt;&gt;"",A461 =A451),"Gleich","")</f>
        <v/>
      </c>
      <c r="AK459" s="214" t="str">
        <f>IF(AND($AH459&lt;&gt;"",D461 =D451),"Gleich","")</f>
        <v/>
      </c>
      <c r="AL459" s="214" t="str">
        <f>IF(AND($AH459&lt;&gt;"",E461 =E451),"Gleich","")</f>
        <v/>
      </c>
      <c r="AM459" s="214" t="str">
        <f>IF(AND($AH459&lt;&gt;"",F461 =F451),"Gleich","")</f>
        <v/>
      </c>
      <c r="AN459" s="213" t="str">
        <f>IF(ISERROR(SEARCH("K1",A461)),"","20"&amp;MID(A461,SEARCH("K1",A461)+1,2))</f>
        <v>2015</v>
      </c>
      <c r="AO459" s="213" t="str">
        <f>IF(ISERROR(SEARCH("erstmals 201",E461)),"",MID(E461,SEARCH("erstmals ",E461)+9,4))</f>
        <v>2015</v>
      </c>
      <c r="AP459" s="213" t="str">
        <f>IF(R461="x","2010",IF(S461="x","2011",IF(T461="x","2012","")))</f>
        <v/>
      </c>
      <c r="AQ459" s="215" t="str">
        <f t="shared" si="187"/>
        <v>DIFF</v>
      </c>
      <c r="AR459" s="216" t="str">
        <f>IF(A461="","",IF(ISERROR(SEARCH("K1",A461)),A461,LEFT(A461,SEARCH("K1",A461)+1)&amp;RIGHT(AH459,1)&amp;MID(A461,SEARCH("K1",A461)+3,14)))</f>
        <v>BiK51nM1K12y03</v>
      </c>
      <c r="AS459" s="215" t="str">
        <f>IF(OR(A461&lt;&gt;AR459),"DIFF","")</f>
        <v>DIFF</v>
      </c>
      <c r="AT459">
        <f t="shared" si="190"/>
        <v>14</v>
      </c>
      <c r="AU459" s="216" t="str">
        <f>IF(D461="","",IF(OR(A461="",ISERROR(SEARCH("erstmals 201",D461))),D461,LEFT(D461,SEARCH("erstmals 201",D461)+8) &amp; AH459 &amp; MID(D461,SEARCH("erstmals 201",D461)+13,255)))</f>
        <v>0-0,15 MW, Bonusregeln M1, y und K erstmals 2012</v>
      </c>
      <c r="AV459" s="215" t="str">
        <f>IF(OR(D461&lt;&gt;AU459),"DIFF","")</f>
        <v>DIFF</v>
      </c>
      <c r="AW459" s="216" t="str">
        <f>IF(E461="","",IF(OR(E461="",ISERROR(SEARCH("erstmals 201",E461))),E461,LEFT(E461,SEARCH("erstmals 201",E461)+8) &amp; AH459 &amp; MID(E461,SEARCH("erstmals 201",E461)+13,255)))</f>
        <v>Anteil KWK, erstmals 2012</v>
      </c>
      <c r="AX459" s="215" t="str">
        <f>IF(OR(E461&lt;&gt;AW459),"DIFF","")</f>
        <v>DIFF</v>
      </c>
      <c r="AY459" t="str">
        <f>IF(AH459="2011","x",IF(AH459="2012","","" &amp; S461))</f>
        <v/>
      </c>
      <c r="AZ459" t="str">
        <f>IF(AH459="2012","x",IF(AH459="2011","","" &amp; T461))</f>
        <v>x</v>
      </c>
    </row>
    <row r="460" spans="1:52" x14ac:dyDescent="0.25">
      <c r="A460" s="615" t="s">
        <v>5780</v>
      </c>
      <c r="B460" s="375" t="s">
        <v>5548</v>
      </c>
      <c r="C460" s="375" t="s">
        <v>3727</v>
      </c>
      <c r="D460" s="375" t="s">
        <v>7359</v>
      </c>
      <c r="E460" s="375" t="s">
        <v>5625</v>
      </c>
      <c r="F460" s="458">
        <f t="shared" si="205"/>
        <v>14.49</v>
      </c>
      <c r="G460" s="534">
        <f t="shared" si="206"/>
        <v>14.49</v>
      </c>
      <c r="H460" s="492">
        <f t="shared" si="203"/>
        <v>11.59</v>
      </c>
      <c r="I460" s="711"/>
      <c r="J460" s="669" t="s">
        <v>5805</v>
      </c>
      <c r="K460" s="15"/>
      <c r="M460" s="387">
        <f t="shared" si="207"/>
        <v>14.49</v>
      </c>
      <c r="N460" s="41">
        <v>11.67</v>
      </c>
      <c r="O460" s="391"/>
      <c r="P460" s="393" t="s">
        <v>2828</v>
      </c>
      <c r="Q460" s="393"/>
      <c r="R460" s="394">
        <v>2015</v>
      </c>
      <c r="S460" s="393"/>
      <c r="T460" s="113">
        <v>2.82</v>
      </c>
      <c r="U460" s="55"/>
      <c r="V460" s="92"/>
      <c r="W460" s="65"/>
      <c r="X460" s="65"/>
      <c r="Z460" s="178"/>
      <c r="AA460" s="180"/>
      <c r="AB460" s="178"/>
      <c r="AC460" s="178"/>
      <c r="AD460" s="201"/>
      <c r="AE460" s="181"/>
      <c r="AH460" s="217" t="s">
        <v>4179</v>
      </c>
      <c r="AI460" s="214" t="str">
        <f>IF(AND($AH460&lt;&gt;"",AH460 =AH454),"Gleich","")</f>
        <v>Gleich</v>
      </c>
      <c r="AJ460" s="214" t="str">
        <f>IF(AND($AH460&lt;&gt;"",A462 =A454),"Gleich","")</f>
        <v/>
      </c>
      <c r="AK460" s="214" t="str">
        <f>IF(AND($AH460&lt;&gt;"",D462 =D454),"Gleich","")</f>
        <v/>
      </c>
      <c r="AL460" s="214" t="str">
        <f>IF(AND($AH460&lt;&gt;"",E462 =E454),"Gleich","")</f>
        <v/>
      </c>
      <c r="AM460" s="214" t="str">
        <f>IF(AND($AH460&lt;&gt;"",F462 =F454),"Gleich","")</f>
        <v/>
      </c>
      <c r="AN460" s="213" t="str">
        <f>IF(ISERROR(SEARCH("K1",A462)),"","20"&amp;MID(A462,SEARCH("K1",A462)+1,2))</f>
        <v>2015</v>
      </c>
      <c r="AO460" s="213" t="str">
        <f>IF(ISERROR(SEARCH("erstmals 201",E462)),"",MID(E462,SEARCH("erstmals ",E462)+9,4))</f>
        <v>2015</v>
      </c>
      <c r="AP460" s="213" t="str">
        <f>IF(R462="x","2010",IF(S462="x","2011",IF(T462="x","2012","")))</f>
        <v/>
      </c>
      <c r="AQ460" s="215" t="str">
        <f t="shared" si="187"/>
        <v>DIFF</v>
      </c>
      <c r="AR460" s="216" t="str">
        <f>IF(A462="","",IF(ISERROR(SEARCH("K1",A462)),A462,LEFT(A462,SEARCH("K1",A462)+1)&amp;RIGHT(AH460,1)&amp;MID(A462,SEARCH("K1",A462)+3,14)))</f>
        <v>BiK51aK12---03</v>
      </c>
      <c r="AS460" s="215" t="str">
        <f>IF(OR(A462&lt;&gt;AR460),"DIFF","")</f>
        <v>DIFF</v>
      </c>
      <c r="AT460">
        <f t="shared" si="190"/>
        <v>14</v>
      </c>
      <c r="AU460" s="216" t="str">
        <f>IF(D462="","",IF(OR(A462="",ISERROR(SEARCH("erstmals 201",D462))),D462,LEFT(D462,SEARCH("erstmals 201",D462)+8) &amp; AH460 &amp; MID(D462,SEARCH("erstmals 201",D462)+13,255)))</f>
        <v>0,15-0,5 MW, Bonusregel K erstmals 2012</v>
      </c>
      <c r="AV460" s="215" t="str">
        <f>IF(OR(D462&lt;&gt;AU460),"DIFF","")</f>
        <v>DIFF</v>
      </c>
      <c r="AW460" s="216" t="str">
        <f>IF(E462="","",IF(OR(E462="",ISERROR(SEARCH("erstmals 201",E462))),E462,LEFT(E462,SEARCH("erstmals 201",E462)+8) &amp; AH460 &amp; MID(E462,SEARCH("erstmals 201",E462)+13,255)))</f>
        <v>Anteil KWK, erstmals 2012</v>
      </c>
      <c r="AX460" s="215" t="str">
        <f>IF(OR(E462&lt;&gt;AW460),"DIFF","")</f>
        <v>DIFF</v>
      </c>
      <c r="AY460" t="str">
        <f>IF(AH460="2011","x",IF(AH460="2012","","" &amp; S462))</f>
        <v/>
      </c>
      <c r="AZ460" t="str">
        <f>IF(AH460="2012","x",IF(AH460="2011","","" &amp; T462))</f>
        <v>x</v>
      </c>
    </row>
    <row r="461" spans="1:52" x14ac:dyDescent="0.25">
      <c r="A461" s="615" t="s">
        <v>5763</v>
      </c>
      <c r="B461" s="375" t="s">
        <v>5548</v>
      </c>
      <c r="C461" s="375" t="s">
        <v>3727</v>
      </c>
      <c r="D461" s="375" t="s">
        <v>6863</v>
      </c>
      <c r="E461" s="375" t="s">
        <v>5625</v>
      </c>
      <c r="F461" s="458">
        <f t="shared" si="205"/>
        <v>26.490000000000002</v>
      </c>
      <c r="G461" s="534">
        <f t="shared" si="206"/>
        <v>26.490000000000002</v>
      </c>
      <c r="H461" s="492">
        <f t="shared" si="203"/>
        <v>21.19</v>
      </c>
      <c r="I461" s="711"/>
      <c r="J461" s="669" t="s">
        <v>5805</v>
      </c>
      <c r="K461" s="15"/>
      <c r="M461" s="387">
        <f t="shared" si="207"/>
        <v>26.490000000000002</v>
      </c>
      <c r="N461" s="41">
        <v>11.67</v>
      </c>
      <c r="O461" s="391"/>
      <c r="P461" s="393" t="s">
        <v>2828</v>
      </c>
      <c r="Q461" s="393"/>
      <c r="R461" s="394">
        <v>2015</v>
      </c>
      <c r="S461" s="393"/>
      <c r="T461" s="113">
        <v>2.82</v>
      </c>
      <c r="U461" s="185" t="s">
        <v>1017</v>
      </c>
      <c r="V461" s="184"/>
      <c r="W461" s="180"/>
      <c r="X461" s="180"/>
      <c r="Y461" s="178"/>
      <c r="Z461" s="184" t="s">
        <v>1017</v>
      </c>
      <c r="AA461" s="180"/>
      <c r="AB461" s="184"/>
      <c r="AC461" s="184"/>
      <c r="AD461" s="201"/>
      <c r="AE461" s="181"/>
      <c r="AH461" s="217" t="s">
        <v>4179</v>
      </c>
      <c r="AI461" s="214" t="str">
        <f>IF(AND($AH461&lt;&gt;"",AH461 =AH452),"Gleich","")</f>
        <v/>
      </c>
      <c r="AJ461" s="214" t="str">
        <f>IF(AND($AH461&lt;&gt;"",A463 =A452),"Gleich","")</f>
        <v/>
      </c>
      <c r="AK461" s="214" t="str">
        <f>IF(AND($AH461&lt;&gt;"",D463 =D452),"Gleich","")</f>
        <v/>
      </c>
      <c r="AL461" s="214" t="str">
        <f>IF(AND($AH461&lt;&gt;"",E463 =E452),"Gleich","")</f>
        <v/>
      </c>
      <c r="AM461" s="214" t="str">
        <f>IF(AND($AH461&lt;&gt;"",F463 =F452),"Gleich","")</f>
        <v/>
      </c>
      <c r="AN461" s="213" t="str">
        <f>IF(ISERROR(SEARCH("K1",A463)),"","20"&amp;MID(A463,SEARCH("K1",A463)+1,2))</f>
        <v>2015</v>
      </c>
      <c r="AO461" s="213" t="str">
        <f>IF(ISERROR(SEARCH("erstmals 201",E463)),"",MID(E463,SEARCH("erstmals ",E463)+9,4))</f>
        <v>2015</v>
      </c>
      <c r="AP461" s="213" t="str">
        <f>IF(R463="x","2010",IF(S463="x","2011",IF(T463="x","2012","")))</f>
        <v/>
      </c>
      <c r="AQ461" s="215" t="str">
        <f t="shared" si="187"/>
        <v>DIFF</v>
      </c>
      <c r="AR461" s="216" t="str">
        <f>IF(A463="","",IF(ISERROR(SEARCH("K1",A463)),A463,LEFT(A463,SEARCH("K1",A463)+1)&amp;RIGHT(AH461,1)&amp;MID(A463,SEARCH("K1",A463)+3,14)))</f>
        <v>BiK51aM2K12y03</v>
      </c>
      <c r="AS461" s="215" t="str">
        <f>IF(OR(A463&lt;&gt;AR461),"DIFF","")</f>
        <v>DIFF</v>
      </c>
      <c r="AT461">
        <f t="shared" si="190"/>
        <v>14</v>
      </c>
      <c r="AU461" s="216" t="str">
        <f>IF(D463="","",IF(OR(A463="",ISERROR(SEARCH("erstmals 201",D463))),D463,LEFT(D463,SEARCH("erstmals 201",D463)+8) &amp; AH461 &amp; MID(D463,SEARCH("erstmals 201",D463)+13,255)))</f>
        <v>0,15-0,5 MW, Bonusregeln M2, y und K erstmals 2012</v>
      </c>
      <c r="AV461" s="215" t="str">
        <f>IF(OR(D463&lt;&gt;AU461),"DIFF","")</f>
        <v>DIFF</v>
      </c>
      <c r="AW461" s="216" t="str">
        <f>IF(E463="","",IF(OR(E463="",ISERROR(SEARCH("erstmals 201",E463))),E463,LEFT(E463,SEARCH("erstmals 201",E463)+8) &amp; AH461 &amp; MID(E463,SEARCH("erstmals 201",E463)+13,255)))</f>
        <v>Anteil KWK, erstmals 2012</v>
      </c>
      <c r="AX461" s="215" t="str">
        <f>IF(OR(E463&lt;&gt;AW461),"DIFF","")</f>
        <v>DIFF</v>
      </c>
      <c r="AY461" t="str">
        <f>IF(AH461="2011","x",IF(AH461="2012","","" &amp; S463))</f>
        <v/>
      </c>
      <c r="AZ461" t="str">
        <f>IF(AH461="2012","x",IF(AH461="2011","","" &amp; T463))</f>
        <v>x</v>
      </c>
    </row>
    <row r="462" spans="1:52" s="178" customFormat="1" x14ac:dyDescent="0.25">
      <c r="A462" s="615" t="s">
        <v>5781</v>
      </c>
      <c r="B462" s="375" t="s">
        <v>5548</v>
      </c>
      <c r="C462" s="375" t="s">
        <v>3727</v>
      </c>
      <c r="D462" s="375" t="s">
        <v>7348</v>
      </c>
      <c r="E462" s="375" t="s">
        <v>5625</v>
      </c>
      <c r="F462" s="458">
        <f t="shared" si="205"/>
        <v>12.82</v>
      </c>
      <c r="G462" s="534">
        <f t="shared" si="206"/>
        <v>12.82</v>
      </c>
      <c r="H462" s="492">
        <f t="shared" si="203"/>
        <v>10.26</v>
      </c>
      <c r="I462" s="711"/>
      <c r="J462" s="669" t="s">
        <v>5805</v>
      </c>
      <c r="K462" s="15"/>
      <c r="L462"/>
      <c r="M462" s="387">
        <f t="shared" si="207"/>
        <v>12.82</v>
      </c>
      <c r="N462" s="41">
        <v>10</v>
      </c>
      <c r="O462" s="391"/>
      <c r="P462" s="393" t="s">
        <v>2828</v>
      </c>
      <c r="Q462" s="393"/>
      <c r="R462" s="394">
        <v>2015</v>
      </c>
      <c r="S462" s="393"/>
      <c r="T462" s="113">
        <v>2.82</v>
      </c>
      <c r="U462" s="55"/>
      <c r="V462" s="92"/>
      <c r="W462" s="65"/>
      <c r="X462" s="65"/>
      <c r="Y462"/>
      <c r="Z462" s="65"/>
      <c r="AA462"/>
      <c r="AB462"/>
      <c r="AC462" s="65"/>
      <c r="AD462" s="92"/>
      <c r="AE462" s="181"/>
      <c r="AF462" s="182"/>
      <c r="AG462" s="182"/>
      <c r="AH462" s="217" t="s">
        <v>4179</v>
      </c>
      <c r="AI462" s="214" t="str">
        <f>IF(AND($AH462&lt;&gt;"",AH462 =AH461),"Gleich","")</f>
        <v>Gleich</v>
      </c>
      <c r="AJ462" s="214" t="str">
        <f>IF(AND($AH462&lt;&gt;"",A465 =A463),"Gleich","")</f>
        <v/>
      </c>
      <c r="AK462" s="214" t="str">
        <f>IF(AND($AH462&lt;&gt;"",D465 =D463),"Gleich","")</f>
        <v/>
      </c>
      <c r="AL462" s="214" t="str">
        <f>IF(AND($AH462&lt;&gt;"",E465 =E463),"Gleich","")</f>
        <v/>
      </c>
      <c r="AM462" s="214" t="str">
        <f>IF(AND($AH462&lt;&gt;"",F465 =F463),"Gleich","")</f>
        <v/>
      </c>
      <c r="AN462" s="213" t="str">
        <f>IF(ISERROR(SEARCH("K1",A465)),"","20"&amp;MID(A465,SEARCH("K1",A465)+1,2))</f>
        <v>2017</v>
      </c>
      <c r="AO462" s="213" t="str">
        <f>IF(ISERROR(SEARCH("erstmals 201",E465)),"",MID(E465,SEARCH("erstmals ",E465)+9,4))</f>
        <v>2017</v>
      </c>
      <c r="AP462" s="213" t="str">
        <f>IF(R465="x","2010",IF(S465="x","2011",IF(T465="x","2012","")))</f>
        <v/>
      </c>
      <c r="AQ462" s="215" t="str">
        <f t="shared" si="187"/>
        <v>DIFF</v>
      </c>
      <c r="AR462" s="216" t="str">
        <f>IF(A465="","",IF(ISERROR(SEARCH("K1",A465)),A465,LEFT(A465,SEARCH("K1",A465)+1)&amp;RIGHT(AH462,1)&amp;MID(A465,SEARCH("K1",A465)+3,14)))</f>
        <v>BiK51nM1K12y03</v>
      </c>
      <c r="AS462" s="215" t="str">
        <f>IF(OR(A465&lt;&gt;AR462),"DIFF","")</f>
        <v>DIFF</v>
      </c>
      <c r="AT462">
        <f t="shared" si="190"/>
        <v>14</v>
      </c>
      <c r="AU462" s="216" t="str">
        <f>IF(D465="","",IF(OR(A465="",ISERROR(SEARCH("erstmals 201",D465))),D465,LEFT(D465,SEARCH("erstmals 201",D465)+8) &amp; AH462 &amp; MID(D465,SEARCH("erstmals 201",D465)+13,255)))</f>
        <v>0-0,15 MW, Bonusregeln M1, y und K erstmals 2012</v>
      </c>
      <c r="AV462" s="215" t="str">
        <f>IF(OR(D465&lt;&gt;AU462),"DIFF","")</f>
        <v>DIFF</v>
      </c>
      <c r="AW462" s="216" t="str">
        <f>IF(E465="","",IF(OR(E465="",ISERROR(SEARCH("erstmals 201",E465))),E465,LEFT(E465,SEARCH("erstmals 201",E465)+8) &amp; AH462 &amp; MID(E465,SEARCH("erstmals 201",E465)+13,255)))</f>
        <v>Anteil KWK, erstmals 2012</v>
      </c>
      <c r="AX462" s="215" t="str">
        <f>IF(OR(E465&lt;&gt;AW462),"DIFF","")</f>
        <v>DIFF</v>
      </c>
      <c r="AY462" t="str">
        <f>IF(AH462="2011","x",IF(AH462="2012","","" &amp; S465))</f>
        <v/>
      </c>
      <c r="AZ462" t="str">
        <f>IF(AH462="2012","x",IF(AH462="2011","","" &amp; T465))</f>
        <v>x</v>
      </c>
    </row>
    <row r="463" spans="1:52" s="178" customFormat="1" x14ac:dyDescent="0.25">
      <c r="A463" s="615" t="s">
        <v>5764</v>
      </c>
      <c r="B463" s="375" t="s">
        <v>5548</v>
      </c>
      <c r="C463" s="375" t="s">
        <v>3727</v>
      </c>
      <c r="D463" s="375" t="s">
        <v>7088</v>
      </c>
      <c r="E463" s="375" t="s">
        <v>5625</v>
      </c>
      <c r="F463" s="458">
        <f t="shared" si="205"/>
        <v>21.82</v>
      </c>
      <c r="G463" s="534">
        <f t="shared" si="206"/>
        <v>21.82</v>
      </c>
      <c r="H463" s="492">
        <f t="shared" si="203"/>
        <v>17.46</v>
      </c>
      <c r="I463" s="711"/>
      <c r="J463" s="669" t="s">
        <v>5805</v>
      </c>
      <c r="K463" s="15"/>
      <c r="L463"/>
      <c r="M463" s="387">
        <f t="shared" si="207"/>
        <v>21.82</v>
      </c>
      <c r="N463" s="41">
        <v>10</v>
      </c>
      <c r="O463" s="391"/>
      <c r="P463" s="393" t="s">
        <v>2828</v>
      </c>
      <c r="Q463" s="393"/>
      <c r="R463" s="394">
        <v>2015</v>
      </c>
      <c r="S463" s="393"/>
      <c r="T463" s="113">
        <v>2.82</v>
      </c>
      <c r="U463" s="185" t="s">
        <v>1017</v>
      </c>
      <c r="V463" s="184"/>
      <c r="W463" s="180"/>
      <c r="X463" s="180"/>
      <c r="Z463" s="180"/>
      <c r="AA463" s="184" t="s">
        <v>1017</v>
      </c>
      <c r="AB463" s="184"/>
      <c r="AC463" s="180"/>
      <c r="AD463" s="182"/>
      <c r="AE463" s="181"/>
      <c r="AF463" s="182"/>
      <c r="AG463" s="182"/>
      <c r="AH463" s="217" t="s">
        <v>4179</v>
      </c>
      <c r="AI463" s="214" t="str">
        <f>IF(AND($AH463&lt;&gt;"",AH463 =AH462),"Gleich","")</f>
        <v>Gleich</v>
      </c>
      <c r="AJ463" s="214" t="str">
        <f>IF(AND($AH463&lt;&gt;"",A467 =A465),"Gleich","")</f>
        <v/>
      </c>
      <c r="AK463" s="214" t="str">
        <f>IF(AND($AH463&lt;&gt;"",D467 =D465),"Gleich","")</f>
        <v/>
      </c>
      <c r="AL463" s="214" t="str">
        <f>IF(AND($AH463&lt;&gt;"",E467 =E465),"Gleich","")</f>
        <v>Gleich</v>
      </c>
      <c r="AM463" s="214" t="str">
        <f>IF(AND($AH463&lt;&gt;"",F467 =F465),"Gleich","")</f>
        <v/>
      </c>
      <c r="AN463" s="213" t="str">
        <f>IF(ISERROR(SEARCH("K1",A467)),"","20"&amp;MID(A467,SEARCH("K1",A467)+1,2))</f>
        <v>2017</v>
      </c>
      <c r="AO463" s="213" t="str">
        <f>IF(ISERROR(SEARCH("erstmals 201",E467)),"",MID(E467,SEARCH("erstmals ",E467)+9,4))</f>
        <v>2017</v>
      </c>
      <c r="AP463" s="213" t="str">
        <f>IF(R467="x","2010",IF(S467="x","2011",IF(T467="x","2012","")))</f>
        <v/>
      </c>
      <c r="AQ463" s="215" t="str">
        <f t="shared" si="187"/>
        <v>DIFF</v>
      </c>
      <c r="AR463" s="216" t="str">
        <f>IF(A467="","",IF(ISERROR(SEARCH("K1",A467)),A467,LEFT(A467,SEARCH("K1",A467)+1)&amp;RIGHT(AH463,1)&amp;MID(A467,SEARCH("K1",A467)+3,14)))</f>
        <v>BiK51aM2K12y03</v>
      </c>
      <c r="AS463" s="215" t="str">
        <f>IF(OR(A467&lt;&gt;AR463),"DIFF","")</f>
        <v>DIFF</v>
      </c>
      <c r="AT463">
        <f t="shared" si="190"/>
        <v>14</v>
      </c>
      <c r="AU463" s="216" t="str">
        <f>IF(D467="","",IF(OR(A467="",ISERROR(SEARCH("erstmals 201",D467))),D467,LEFT(D467,SEARCH("erstmals 201",D467)+8) &amp; AH463 &amp; MID(D467,SEARCH("erstmals 201",D467)+13,255)))</f>
        <v>0,15-0,5 MW, Bonusregeln M2, y und K erstmals 2012</v>
      </c>
      <c r="AV463" s="215" t="str">
        <f>IF(OR(D467&lt;&gt;AU463),"DIFF","")</f>
        <v>DIFF</v>
      </c>
      <c r="AW463" s="216" t="str">
        <f>IF(E467="","",IF(OR(E467="",ISERROR(SEARCH("erstmals 201",E467))),E467,LEFT(E467,SEARCH("erstmals 201",E467)+8) &amp; AH463 &amp; MID(E467,SEARCH("erstmals 201",E467)+13,255)))</f>
        <v>Anteil KWK, erstmals 2012</v>
      </c>
      <c r="AX463" s="215" t="str">
        <f>IF(OR(E467&lt;&gt;AW463),"DIFF","")</f>
        <v>DIFF</v>
      </c>
      <c r="AY463" t="str">
        <f>IF(AH463="2011","x",IF(AH463="2012","","" &amp; S467))</f>
        <v/>
      </c>
      <c r="AZ463" t="str">
        <f>IF(AH463="2012","x",IF(AH463="2011","","" &amp; T467))</f>
        <v>x</v>
      </c>
    </row>
    <row r="464" spans="1:52" s="178" customFormat="1" x14ac:dyDescent="0.25">
      <c r="A464" s="818" t="s">
        <v>7556</v>
      </c>
      <c r="B464" s="819" t="s">
        <v>5548</v>
      </c>
      <c r="C464" s="819" t="s">
        <v>3727</v>
      </c>
      <c r="D464" s="819" t="s">
        <v>7557</v>
      </c>
      <c r="E464" s="819" t="s">
        <v>6158</v>
      </c>
      <c r="F464" s="820">
        <f t="shared" si="205"/>
        <v>22.44</v>
      </c>
      <c r="G464" s="821">
        <f t="shared" si="206"/>
        <v>22.44</v>
      </c>
      <c r="H464" s="822">
        <f t="shared" si="203"/>
        <v>17.95</v>
      </c>
      <c r="I464" s="825"/>
      <c r="J464" s="669">
        <v>44477</v>
      </c>
      <c r="K464" s="769"/>
      <c r="L464" s="774"/>
      <c r="M464" s="387">
        <f t="shared" si="207"/>
        <v>22.44</v>
      </c>
      <c r="N464" s="41">
        <v>11.67</v>
      </c>
      <c r="O464" s="391"/>
      <c r="P464" s="393" t="s">
        <v>2828</v>
      </c>
      <c r="Q464" s="393"/>
      <c r="R464" s="394">
        <v>2017</v>
      </c>
      <c r="S464" s="393"/>
      <c r="T464" s="113">
        <v>2.77</v>
      </c>
      <c r="U464" s="185" t="s">
        <v>1017</v>
      </c>
      <c r="V464" s="184"/>
      <c r="W464" s="180"/>
      <c r="X464" s="180"/>
      <c r="Y464" s="184" t="s">
        <v>1017</v>
      </c>
      <c r="Z464" s="184"/>
      <c r="AA464" s="180"/>
      <c r="AB464" s="184"/>
      <c r="AC464" s="184"/>
      <c r="AD464" s="201"/>
      <c r="AE464" s="181"/>
      <c r="AF464" s="182"/>
      <c r="AG464" s="182"/>
      <c r="AH464" s="773" t="s">
        <v>4179</v>
      </c>
      <c r="AI464" s="771" t="str">
        <f>IF(AND($AH464&lt;&gt;"",AH464 =AH463),"Gleich","")</f>
        <v>Gleich</v>
      </c>
      <c r="AJ464" s="771" t="str">
        <f>IF(AND($AH464&lt;&gt;"",A464 =A463),"Gleich","")</f>
        <v/>
      </c>
      <c r="AK464" s="771" t="str">
        <f>IF(AND($AH464&lt;&gt;"",D464 =D463),"Gleich","")</f>
        <v/>
      </c>
      <c r="AL464" s="771" t="str">
        <f>IF(AND($AH464&lt;&gt;"",E464 =E463),"Gleich","")</f>
        <v/>
      </c>
      <c r="AM464" s="771" t="str">
        <f>IF(AND($AH464&lt;&gt;"",F464 =F463),"Gleich","")</f>
        <v/>
      </c>
      <c r="AN464" s="770" t="str">
        <f>IF(ISERROR(SEARCH("K1",A464)),"","20"&amp;MID(A464,SEARCH("K1",A464)+1,2))</f>
        <v>2017</v>
      </c>
      <c r="AO464" s="770" t="str">
        <f>IF(ISERROR(SEARCH("erstmals 201",E464)),"",MID(E464,SEARCH("erstmals ",E464)+9,4))</f>
        <v>2017</v>
      </c>
      <c r="AP464" s="770" t="str">
        <f>IF(R464="x","2010",IF(S464="x","2011",IF(T464="x","2012","")))</f>
        <v/>
      </c>
      <c r="AQ464" s="772" t="str">
        <f t="shared" si="187"/>
        <v>DIFF</v>
      </c>
      <c r="AR464" s="216" t="str">
        <f>IF(A464="","",IF(ISERROR(SEARCH("K1",A464)),A464,LEFT(A464,SEARCH("K1",A464)+1)&amp;RIGHT(AH464,1)&amp;MID(A464,SEARCH("K1",A464)+3,14)))</f>
        <v>BiK51nGK12y-03</v>
      </c>
      <c r="AS464" s="772" t="str">
        <f>IF(OR(A464&lt;&gt;AR464),"DIFF","")</f>
        <v>DIFF</v>
      </c>
      <c r="AT464" s="774">
        <f t="shared" si="190"/>
        <v>14</v>
      </c>
      <c r="AU464" s="216" t="str">
        <f>IF(D464="","",IF(OR(A464="",ISERROR(SEARCH("erstmals 201",D464))),D464,LEFT(D464,SEARCH("erstmals 201",D464)+8) &amp; AH464 &amp; MID(D464,SEARCH("erstmals 201",D464)+13,255)))</f>
        <v xml:space="preserve"> 0-0,15 MW, Bonusregeln G, y und K erstmals 2012</v>
      </c>
      <c r="AV464" s="772" t="str">
        <f>IF(OR(D464&lt;&gt;AU464),"DIFF","")</f>
        <v>DIFF</v>
      </c>
      <c r="AW464" s="216" t="str">
        <f>IF(E464="","",IF(OR(E464="",ISERROR(SEARCH("erstmals 201",E464))),E464,LEFT(E464,SEARCH("erstmals 201",E464)+8) &amp; AH464 &amp; MID(E464,SEARCH("erstmals 201",E464)+13,255)))</f>
        <v>Anteil KWK, erstmals 2012</v>
      </c>
      <c r="AX464" s="772" t="str">
        <f>IF(OR(E464&lt;&gt;AW464),"DIFF","")</f>
        <v>DIFF</v>
      </c>
      <c r="AY464" s="774" t="str">
        <f>IF(AH464="2011","x",IF(AH464="2012","","" &amp; S464))</f>
        <v/>
      </c>
      <c r="AZ464" s="774" t="str">
        <f>IF(AH464="2012","x",IF(AH464="2011","","" &amp; T464))</f>
        <v>x</v>
      </c>
    </row>
    <row r="465" spans="1:52" x14ac:dyDescent="0.25">
      <c r="A465" s="615" t="s">
        <v>6343</v>
      </c>
      <c r="B465" s="375" t="s">
        <v>5548</v>
      </c>
      <c r="C465" s="375" t="s">
        <v>3727</v>
      </c>
      <c r="D465" s="375" t="s">
        <v>6867</v>
      </c>
      <c r="E465" s="375" t="s">
        <v>6158</v>
      </c>
      <c r="F465" s="458">
        <f t="shared" si="205"/>
        <v>26.44</v>
      </c>
      <c r="G465" s="534">
        <f t="shared" si="206"/>
        <v>26.44</v>
      </c>
      <c r="H465" s="492">
        <f t="shared" si="203"/>
        <v>21.15</v>
      </c>
      <c r="I465" s="711"/>
      <c r="J465" s="669">
        <v>43222</v>
      </c>
      <c r="K465" s="15"/>
      <c r="M465" s="387">
        <f t="shared" si="207"/>
        <v>26.44</v>
      </c>
      <c r="N465" s="41">
        <v>11.67</v>
      </c>
      <c r="O465" s="391"/>
      <c r="P465" s="393" t="s">
        <v>2828</v>
      </c>
      <c r="Q465" s="393"/>
      <c r="R465" s="394">
        <v>2017</v>
      </c>
      <c r="S465" s="393"/>
      <c r="T465" s="113">
        <v>2.77</v>
      </c>
      <c r="U465" s="185" t="s">
        <v>1017</v>
      </c>
      <c r="V465" s="184"/>
      <c r="W465" s="180"/>
      <c r="X465" s="180"/>
      <c r="Y465" s="178"/>
      <c r="Z465" s="184" t="s">
        <v>1017</v>
      </c>
      <c r="AA465" s="180"/>
      <c r="AB465" s="184"/>
      <c r="AC465" s="184"/>
      <c r="AD465" s="201"/>
      <c r="AE465" s="94"/>
      <c r="AF465" s="27"/>
      <c r="AG465" s="27"/>
      <c r="AH465" s="217" t="s">
        <v>4179</v>
      </c>
      <c r="AI465" s="214" t="str">
        <f>IF(AND($AH465&lt;&gt;"",AH465 =AH463),"Gleich","")</f>
        <v>Gleich</v>
      </c>
      <c r="AJ465" s="214" t="str">
        <f>IF(AND($AH465&lt;&gt;"",A468 =A467),"Gleich","")</f>
        <v/>
      </c>
      <c r="AK465" s="214" t="str">
        <f>IF(AND($AH465&lt;&gt;"",D468 =D467),"Gleich","")</f>
        <v/>
      </c>
      <c r="AL465" s="214" t="str">
        <f>IF(AND($AH465&lt;&gt;"",E468 =E467),"Gleich","")</f>
        <v>Gleich</v>
      </c>
      <c r="AM465" s="214" t="str">
        <f>IF(AND($AH465&lt;&gt;"",F468 =F467),"Gleich","")</f>
        <v/>
      </c>
      <c r="AN465" s="213" t="str">
        <f>IF(ISERROR(SEARCH("K1",A468)),"","20"&amp;MID(A468,SEARCH("K1",A468)+1,2))</f>
        <v>2017</v>
      </c>
      <c r="AO465" s="213" t="str">
        <f>IF(ISERROR(SEARCH("erstmals 201",E468)),"",MID(E468,SEARCH("erstmals ",E468)+9,4))</f>
        <v>2017</v>
      </c>
      <c r="AP465" s="213" t="str">
        <f>IF(R468="x","2010",IF(S468="x","2011",IF(T468="x","2012","")))</f>
        <v/>
      </c>
      <c r="AQ465" s="215" t="str">
        <f t="shared" si="187"/>
        <v>DIFF</v>
      </c>
      <c r="AR465" s="216" t="str">
        <f>IF(A468="","",IF(ISERROR(SEARCH("K1",A468)),A468,LEFT(A468,SEARCH("K1",A468)+1)&amp;RIGHT(AH465,1)&amp;MID(A468,SEARCH("K1",A468)+3,14)))</f>
        <v>BiK52aa2K12-03</v>
      </c>
      <c r="AS465" s="215" t="str">
        <f>IF(OR(A468&lt;&gt;AR465),"DIFF","")</f>
        <v>DIFF</v>
      </c>
      <c r="AT465">
        <f t="shared" si="190"/>
        <v>14</v>
      </c>
      <c r="AU465" s="216" t="str">
        <f>IF(D468="","",IF(OR(A468="",ISERROR(SEARCH("erstmals 201",D468))),D468,LEFT(D468,SEARCH("erstmals 201",D468)+8) &amp; AH465 &amp; MID(D468,SEARCH("erstmals 201",D468)+13,255)))</f>
        <v>0,5-5 MW, Bonusregeln a2, K erstmals 2012</v>
      </c>
      <c r="AV465" s="215" t="str">
        <f>IF(OR(D468&lt;&gt;AU465),"DIFF","")</f>
        <v>DIFF</v>
      </c>
      <c r="AW465" s="216" t="str">
        <f>IF(E468="","",IF(OR(E468="",ISERROR(SEARCH("erstmals 201",E468))),E468,LEFT(E468,SEARCH("erstmals 201",E468)+8) &amp; AH465 &amp; MID(E468,SEARCH("erstmals 201",E468)+13,255)))</f>
        <v>Anteil KWK, erstmals 2012</v>
      </c>
      <c r="AX465" s="215" t="str">
        <f>IF(OR(E468&lt;&gt;AW465),"DIFF","")</f>
        <v>DIFF</v>
      </c>
      <c r="AY465" t="str">
        <f>IF(AH465="2011","x",IF(AH465="2012","","" &amp; S468))</f>
        <v/>
      </c>
      <c r="AZ465" t="str">
        <f>IF(AH465="2012","x",IF(AH465="2011","","" &amp; T468))</f>
        <v>x</v>
      </c>
    </row>
    <row r="466" spans="1:52" s="178" customFormat="1" x14ac:dyDescent="0.25">
      <c r="A466" s="818" t="s">
        <v>7558</v>
      </c>
      <c r="B466" s="819" t="s">
        <v>5548</v>
      </c>
      <c r="C466" s="819" t="s">
        <v>3727</v>
      </c>
      <c r="D466" s="819" t="s">
        <v>7559</v>
      </c>
      <c r="E466" s="819" t="s">
        <v>6158</v>
      </c>
      <c r="F466" s="820">
        <f t="shared" si="205"/>
        <v>20.77</v>
      </c>
      <c r="G466" s="821">
        <f t="shared" si="206"/>
        <v>20.77</v>
      </c>
      <c r="H466" s="822">
        <f t="shared" si="203"/>
        <v>16.62</v>
      </c>
      <c r="I466" s="825"/>
      <c r="J466" s="669">
        <v>44477</v>
      </c>
      <c r="K466" s="769"/>
      <c r="L466" s="774"/>
      <c r="M466" s="387">
        <f t="shared" si="207"/>
        <v>20.77</v>
      </c>
      <c r="N466" s="41">
        <v>10</v>
      </c>
      <c r="O466" s="391"/>
      <c r="P466" s="393" t="s">
        <v>2828</v>
      </c>
      <c r="Q466" s="393"/>
      <c r="R466" s="394">
        <v>2017</v>
      </c>
      <c r="S466" s="393"/>
      <c r="T466" s="113">
        <v>2.77</v>
      </c>
      <c r="U466" s="185" t="s">
        <v>1017</v>
      </c>
      <c r="V466" s="184"/>
      <c r="W466" s="180"/>
      <c r="X466" s="180"/>
      <c r="Y466" s="184" t="s">
        <v>1017</v>
      </c>
      <c r="Z466" s="180"/>
      <c r="AA466" s="184"/>
      <c r="AB466" s="184"/>
      <c r="AC466" s="180"/>
      <c r="AD466" s="182"/>
      <c r="AE466" s="181"/>
      <c r="AF466" s="182"/>
      <c r="AG466" s="182"/>
      <c r="AH466" s="773" t="s">
        <v>4179</v>
      </c>
      <c r="AI466" s="771" t="str">
        <f>IF(AND($AH466&lt;&gt;"",AH466 =AH465),"Gleich","")</f>
        <v>Gleich</v>
      </c>
      <c r="AJ466" s="771" t="str">
        <f>IF(AND($AH466&lt;&gt;"",A466 =A465),"Gleich","")</f>
        <v/>
      </c>
      <c r="AK466" s="771" t="str">
        <f>IF(AND($AH466&lt;&gt;"",D466 =D465),"Gleich","")</f>
        <v/>
      </c>
      <c r="AL466" s="771" t="str">
        <f>IF(AND($AH466&lt;&gt;"",E466 =E465),"Gleich","")</f>
        <v>Gleich</v>
      </c>
      <c r="AM466" s="771" t="str">
        <f>IF(AND($AH466&lt;&gt;"",F466 =F465),"Gleich","")</f>
        <v/>
      </c>
      <c r="AN466" s="770" t="str">
        <f>IF(ISERROR(SEARCH("K1",A466)),"","20"&amp;MID(A466,SEARCH("K1",A466)+1,2))</f>
        <v>2017</v>
      </c>
      <c r="AO466" s="770" t="str">
        <f>IF(ISERROR(SEARCH("erstmals 201",E466)),"",MID(E466,SEARCH("erstmals ",E466)+9,4))</f>
        <v>2017</v>
      </c>
      <c r="AP466" s="770" t="str">
        <f>IF(R466="x","2010",IF(S466="x","2011",IF(T466="x","2012","")))</f>
        <v/>
      </c>
      <c r="AQ466" s="772" t="str">
        <f t="shared" si="187"/>
        <v>DIFF</v>
      </c>
      <c r="AR466" s="216" t="str">
        <f>IF(A466="","",IF(ISERROR(SEARCH("K1",A466)),A466,LEFT(A466,SEARCH("K1",A466)+1)&amp;RIGHT(AH466,1)&amp;MID(A466,SEARCH("K1",A466)+3,14)))</f>
        <v>BiK51aGK12y-03</v>
      </c>
      <c r="AS466" s="772" t="str">
        <f>IF(OR(A466&lt;&gt;AR466),"DIFF","")</f>
        <v>DIFF</v>
      </c>
      <c r="AT466" s="774">
        <f t="shared" si="190"/>
        <v>14</v>
      </c>
      <c r="AU466" s="216" t="str">
        <f>IF(D466="","",IF(OR(A466="",ISERROR(SEARCH("erstmals 201",D466))),D466,LEFT(D466,SEARCH("erstmals 201",D466)+8) &amp; AH466 &amp; MID(D466,SEARCH("erstmals 201",D466)+13,255)))</f>
        <v xml:space="preserve"> 0,15-0,5 MW, Bonusregeln G, y und K erstmals 2012</v>
      </c>
      <c r="AV466" s="772" t="str">
        <f>IF(OR(D466&lt;&gt;AU466),"DIFF","")</f>
        <v>DIFF</v>
      </c>
      <c r="AW466" s="216" t="str">
        <f>IF(E466="","",IF(OR(E466="",ISERROR(SEARCH("erstmals 201",E466))),E466,LEFT(E466,SEARCH("erstmals 201",E466)+8) &amp; AH466 &amp; MID(E466,SEARCH("erstmals 201",E466)+13,255)))</f>
        <v>Anteil KWK, erstmals 2012</v>
      </c>
      <c r="AX466" s="772" t="str">
        <f>IF(OR(E466&lt;&gt;AW466),"DIFF","")</f>
        <v>DIFF</v>
      </c>
      <c r="AY466" s="774" t="str">
        <f>IF(AH466="2011","x",IF(AH466="2012","","" &amp; S466))</f>
        <v/>
      </c>
      <c r="AZ466" s="774" t="str">
        <f>IF(AH466="2012","x",IF(AH466="2011","","" &amp; T466))</f>
        <v>x</v>
      </c>
    </row>
    <row r="467" spans="1:52" s="774" customFormat="1" x14ac:dyDescent="0.25">
      <c r="A467" s="615" t="s">
        <v>6344</v>
      </c>
      <c r="B467" s="375" t="s">
        <v>5548</v>
      </c>
      <c r="C467" s="375" t="s">
        <v>3727</v>
      </c>
      <c r="D467" s="375" t="s">
        <v>7090</v>
      </c>
      <c r="E467" s="375" t="s">
        <v>6158</v>
      </c>
      <c r="F467" s="458">
        <f t="shared" si="205"/>
        <v>21.77</v>
      </c>
      <c r="G467" s="534">
        <f t="shared" si="206"/>
        <v>21.77</v>
      </c>
      <c r="H467" s="492">
        <f t="shared" si="203"/>
        <v>17.420000000000002</v>
      </c>
      <c r="I467" s="711"/>
      <c r="J467" s="669">
        <v>43222</v>
      </c>
      <c r="K467" s="15"/>
      <c r="L467"/>
      <c r="M467" s="387">
        <f t="shared" si="207"/>
        <v>21.77</v>
      </c>
      <c r="N467" s="41">
        <v>10</v>
      </c>
      <c r="O467" s="391"/>
      <c r="P467" s="393" t="s">
        <v>2828</v>
      </c>
      <c r="Q467" s="393"/>
      <c r="R467" s="394">
        <v>2017</v>
      </c>
      <c r="S467" s="393"/>
      <c r="T467" s="113">
        <v>2.77</v>
      </c>
      <c r="U467" s="185" t="s">
        <v>1017</v>
      </c>
      <c r="V467" s="184"/>
      <c r="W467" s="180"/>
      <c r="X467" s="180"/>
      <c r="Y467" s="178"/>
      <c r="Z467" s="180"/>
      <c r="AA467" s="184" t="s">
        <v>1017</v>
      </c>
      <c r="AB467" s="184"/>
      <c r="AC467" s="180"/>
      <c r="AD467" s="182"/>
      <c r="AE467" s="94"/>
      <c r="AF467" s="27"/>
      <c r="AG467" s="27"/>
      <c r="AH467" s="773"/>
      <c r="AI467" s="771"/>
      <c r="AJ467" s="771"/>
      <c r="AK467" s="771"/>
      <c r="AL467" s="771"/>
      <c r="AM467" s="771"/>
      <c r="AN467" s="770"/>
      <c r="AO467" s="770"/>
      <c r="AP467" s="770" t="str">
        <f>IF(R469="x","2010",IF(S469="x","2011",IF(T469="x","2012","")))</f>
        <v/>
      </c>
      <c r="AQ467" s="772"/>
      <c r="AR467" s="216"/>
      <c r="AS467" s="772"/>
      <c r="AU467" s="216"/>
      <c r="AV467" s="772"/>
      <c r="AW467" s="216"/>
      <c r="AX467" s="772"/>
    </row>
    <row r="468" spans="1:52" s="774" customFormat="1" x14ac:dyDescent="0.25">
      <c r="A468" s="615" t="s">
        <v>6345</v>
      </c>
      <c r="B468" s="375" t="s">
        <v>5548</v>
      </c>
      <c r="C468" s="375" t="s">
        <v>3727</v>
      </c>
      <c r="D468" s="375" t="s">
        <v>6773</v>
      </c>
      <c r="E468" s="375" t="s">
        <v>6158</v>
      </c>
      <c r="F468" s="458">
        <f t="shared" si="205"/>
        <v>15.77</v>
      </c>
      <c r="G468" s="534">
        <f t="shared" si="206"/>
        <v>15.77</v>
      </c>
      <c r="H468" s="492">
        <f t="shared" si="203"/>
        <v>12.62</v>
      </c>
      <c r="I468" s="711"/>
      <c r="J468" s="669">
        <v>43222</v>
      </c>
      <c r="K468" s="15"/>
      <c r="L468"/>
      <c r="M468" s="387">
        <f t="shared" si="207"/>
        <v>15.77</v>
      </c>
      <c r="N468" s="41">
        <v>9</v>
      </c>
      <c r="O468" s="391"/>
      <c r="P468" s="393" t="s">
        <v>2828</v>
      </c>
      <c r="Q468" s="393"/>
      <c r="R468" s="394">
        <v>2017</v>
      </c>
      <c r="S468" s="393"/>
      <c r="T468" s="113">
        <v>2.77</v>
      </c>
      <c r="U468" s="58"/>
      <c r="V468" s="65"/>
      <c r="W468" t="s">
        <v>1017</v>
      </c>
      <c r="X468"/>
      <c r="Y468" s="65"/>
      <c r="Z468" s="65"/>
      <c r="AA468" s="65"/>
      <c r="AB468" s="65"/>
      <c r="AC468" s="65"/>
      <c r="AD468" s="91"/>
      <c r="AE468" s="94"/>
      <c r="AF468" s="27"/>
      <c r="AG468" s="27"/>
      <c r="AH468" s="773"/>
      <c r="AI468" s="771"/>
      <c r="AJ468" s="771"/>
      <c r="AK468" s="771"/>
      <c r="AL468" s="771"/>
      <c r="AM468" s="771"/>
      <c r="AN468" s="770"/>
      <c r="AO468" s="770"/>
      <c r="AP468" s="770" t="str">
        <f>IF(R470="x","2010",IF(S470="x","2011",IF(T470="x","2012","")))</f>
        <v/>
      </c>
      <c r="AQ468" s="772"/>
      <c r="AR468" s="216"/>
      <c r="AS468" s="772"/>
      <c r="AU468" s="216"/>
      <c r="AV468" s="772"/>
      <c r="AW468" s="216"/>
      <c r="AX468" s="772"/>
    </row>
    <row r="469" spans="1:52" s="774" customFormat="1" x14ac:dyDescent="0.25">
      <c r="A469" s="615" t="s">
        <v>7518</v>
      </c>
      <c r="B469" s="375" t="s">
        <v>5548</v>
      </c>
      <c r="C469" s="375" t="s">
        <v>3727</v>
      </c>
      <c r="D469" s="375" t="s">
        <v>7511</v>
      </c>
      <c r="E469" s="375" t="s">
        <v>6158</v>
      </c>
      <c r="F469" s="458">
        <f t="shared" si="205"/>
        <v>15.44</v>
      </c>
      <c r="G469" s="534">
        <f t="shared" si="206"/>
        <v>15.44</v>
      </c>
      <c r="H469" s="492">
        <f t="shared" si="203"/>
        <v>12.35</v>
      </c>
      <c r="I469" s="711"/>
      <c r="J469" s="669">
        <v>44260</v>
      </c>
      <c r="K469" s="769"/>
      <c r="M469" s="387">
        <f t="shared" si="207"/>
        <v>15.44</v>
      </c>
      <c r="N469" s="41">
        <v>11.67</v>
      </c>
      <c r="O469" s="391"/>
      <c r="P469" s="393" t="s">
        <v>2828</v>
      </c>
      <c r="Q469" s="393"/>
      <c r="R469" s="394">
        <v>2017</v>
      </c>
      <c r="S469" s="393"/>
      <c r="T469" s="113">
        <v>2.77</v>
      </c>
      <c r="U469" s="179" t="s">
        <v>1017</v>
      </c>
      <c r="V469" s="178"/>
      <c r="W469" s="180"/>
      <c r="X469" s="180"/>
      <c r="Y469" s="178"/>
      <c r="Z469" s="178"/>
      <c r="AA469" s="180"/>
      <c r="AB469" s="178"/>
      <c r="AC469" s="178"/>
      <c r="AD469" s="201"/>
      <c r="AE469" s="94"/>
      <c r="AF469" s="27"/>
      <c r="AG469" s="27"/>
      <c r="AH469" s="773"/>
      <c r="AI469" s="771"/>
      <c r="AJ469" s="771"/>
      <c r="AK469" s="771"/>
      <c r="AL469" s="771"/>
      <c r="AM469" s="771"/>
      <c r="AN469" s="770"/>
      <c r="AO469" s="770"/>
      <c r="AP469" s="770"/>
      <c r="AQ469" s="772"/>
      <c r="AR469" s="216"/>
      <c r="AS469" s="772"/>
      <c r="AU469" s="216"/>
      <c r="AV469" s="772"/>
      <c r="AW469" s="216"/>
      <c r="AX469" s="772"/>
    </row>
    <row r="470" spans="1:52" s="774" customFormat="1" x14ac:dyDescent="0.25">
      <c r="A470" s="615" t="s">
        <v>7519</v>
      </c>
      <c r="B470" s="375" t="s">
        <v>5548</v>
      </c>
      <c r="C470" s="375" t="s">
        <v>3727</v>
      </c>
      <c r="D470" s="375" t="s">
        <v>7517</v>
      </c>
      <c r="E470" s="375" t="s">
        <v>6158</v>
      </c>
      <c r="F470" s="458">
        <f t="shared" si="205"/>
        <v>13.77</v>
      </c>
      <c r="G470" s="534">
        <f t="shared" si="206"/>
        <v>13.77</v>
      </c>
      <c r="H470" s="492">
        <f t="shared" si="203"/>
        <v>11.02</v>
      </c>
      <c r="I470" s="711"/>
      <c r="J470" s="669">
        <v>44260</v>
      </c>
      <c r="K470" s="769"/>
      <c r="M470" s="387">
        <f t="shared" si="207"/>
        <v>13.77</v>
      </c>
      <c r="N470" s="41">
        <v>10</v>
      </c>
      <c r="O470" s="391"/>
      <c r="P470" s="393" t="s">
        <v>2828</v>
      </c>
      <c r="Q470" s="393"/>
      <c r="R470" s="394">
        <v>2017</v>
      </c>
      <c r="S470" s="393"/>
      <c r="T470" s="113">
        <v>2.77</v>
      </c>
      <c r="U470" s="58" t="s">
        <v>1017</v>
      </c>
      <c r="V470" s="178"/>
      <c r="W470" s="180"/>
      <c r="X470" s="180"/>
      <c r="Y470" s="178"/>
      <c r="Z470" s="180"/>
      <c r="AA470" s="178"/>
      <c r="AB470" s="178"/>
      <c r="AC470" s="180"/>
      <c r="AD470" s="182"/>
      <c r="AE470" s="94"/>
      <c r="AF470" s="27"/>
      <c r="AG470" s="27"/>
      <c r="AH470" s="773"/>
      <c r="AI470" s="771"/>
      <c r="AJ470" s="771"/>
      <c r="AK470" s="771"/>
      <c r="AL470" s="771"/>
      <c r="AM470" s="771"/>
      <c r="AN470" s="770"/>
      <c r="AO470" s="770"/>
      <c r="AP470" s="770"/>
      <c r="AQ470" s="772"/>
      <c r="AR470" s="216"/>
      <c r="AS470" s="772"/>
      <c r="AU470" s="216"/>
      <c r="AV470" s="772"/>
      <c r="AW470" s="216"/>
      <c r="AX470" s="772"/>
    </row>
    <row r="471" spans="1:52" s="774" customFormat="1" x14ac:dyDescent="0.25">
      <c r="A471" s="818" t="s">
        <v>7560</v>
      </c>
      <c r="B471" s="819" t="s">
        <v>5548</v>
      </c>
      <c r="C471" s="819" t="s">
        <v>3727</v>
      </c>
      <c r="D471" s="819" t="s">
        <v>7561</v>
      </c>
      <c r="E471" s="819" t="s">
        <v>6615</v>
      </c>
      <c r="F471" s="823">
        <f t="shared" si="205"/>
        <v>14.36</v>
      </c>
      <c r="G471" s="821">
        <f t="shared" si="206"/>
        <v>14.36</v>
      </c>
      <c r="H471" s="824">
        <f t="shared" si="203"/>
        <v>11.49</v>
      </c>
      <c r="I471" s="826"/>
      <c r="J471" s="669">
        <v>44477</v>
      </c>
      <c r="K471" s="769"/>
      <c r="M471" s="387">
        <f t="shared" si="207"/>
        <v>14.36</v>
      </c>
      <c r="N471" s="41">
        <v>11.67</v>
      </c>
      <c r="O471" s="391"/>
      <c r="P471" s="393" t="s">
        <v>2828</v>
      </c>
      <c r="Q471" s="393"/>
      <c r="R471" s="394">
        <v>2020</v>
      </c>
      <c r="S471" s="393"/>
      <c r="T471" s="674">
        <f>ROUND($Q$478*0.99^($R471-$Q$475),2)</f>
        <v>2.69</v>
      </c>
      <c r="U471" s="765"/>
      <c r="W471" s="775"/>
      <c r="X471" s="775"/>
      <c r="AA471" s="775"/>
      <c r="AD471" s="777"/>
      <c r="AE471" s="94"/>
      <c r="AF471" s="27"/>
      <c r="AG471" s="27"/>
      <c r="AH471" s="773" t="s">
        <v>4179</v>
      </c>
      <c r="AI471" s="771" t="str">
        <f>IF(AND($AH471&lt;&gt;"",AH471 =AH470),"Gleich","")</f>
        <v/>
      </c>
      <c r="AJ471" s="771" t="str">
        <f>IF(AND($AH471&lt;&gt;"",A471 =A470),"Gleich","")</f>
        <v/>
      </c>
      <c r="AK471" s="771" t="str">
        <f t="shared" ref="AK471:AM472" si="208">IF(AND($AH471&lt;&gt;"",D471 =D470),"Gleich","")</f>
        <v/>
      </c>
      <c r="AL471" s="771" t="str">
        <f t="shared" si="208"/>
        <v/>
      </c>
      <c r="AM471" s="771" t="str">
        <f t="shared" si="208"/>
        <v/>
      </c>
      <c r="AN471" s="770" t="str">
        <f t="shared" ref="AN471:AN534" si="209">IF(ISERROR(SEARCH("K1",A471)),"","20"&amp;MID(A471,SEARCH("K1",A471)+1,2))</f>
        <v/>
      </c>
      <c r="AO471" s="770" t="str">
        <f t="shared" ref="AO471:AO534" si="210">IF(ISERROR(SEARCH("erstmals 201",E471)),"",MID(E471,SEARCH("erstmals ",E471)+9,4))</f>
        <v/>
      </c>
      <c r="AP471" s="770" t="str">
        <f t="shared" ref="AP471:AP534" si="211">IF(R471="x","2010",IF(S471="x","2011",IF(T471="x","2012","")))</f>
        <v/>
      </c>
      <c r="AQ471" s="772" t="str">
        <f t="shared" ref="AQ471:AQ534" si="212">IF(OR(AH471&lt;&gt;AN471,AH471&lt;&gt;AO471,AH471&lt;&gt;AP471),"DIFF","")</f>
        <v>DIFF</v>
      </c>
      <c r="AR471" s="216" t="str">
        <f t="shared" ref="AR471:AR534" si="213">IF(A471="","",IF(ISERROR(SEARCH("K1",A471)),A471,LEFT(A471,SEARCH("K1",A471)+1)&amp;RIGHT(AH471,1)&amp;MID(A471,SEARCH("K1",A471)+3,14)))</f>
        <v>BiK51nK20---03</v>
      </c>
      <c r="AS471" s="772" t="str">
        <f t="shared" ref="AS471:AS534" si="214">IF(OR(A471&lt;&gt;AR471),"DIFF","")</f>
        <v/>
      </c>
      <c r="AT471" s="774">
        <f t="shared" ref="AT471:AT534" si="215">LEN(AR471)</f>
        <v>14</v>
      </c>
      <c r="AU471" s="216" t="str">
        <f t="shared" ref="AU471:AU534" si="216">IF(D471="","",IF(OR(A471="",ISERROR(SEARCH("erstmals 201",D471))),D471,LEFT(D471,SEARCH("erstmals 201",D471)+8) &amp; AH471 &amp; MID(D471,SEARCH("erstmals 201",D471)+13,255)))</f>
        <v xml:space="preserve"> 0-0,150 MW, Bonusregel K erstmals 2020</v>
      </c>
      <c r="AV471" s="772" t="str">
        <f t="shared" ref="AV471:AV534" si="217">IF(OR(D471&lt;&gt;AU471),"DIFF","")</f>
        <v/>
      </c>
      <c r="AW471" s="216" t="str">
        <f t="shared" ref="AW471:AW534" si="218">IF(E471="","",IF(OR(E471="",ISERROR(SEARCH("erstmals 201",E471))),E471,LEFT(E471,SEARCH("erstmals 201",E471)+8) &amp; AH471 &amp; MID(E471,SEARCH("erstmals 201",E471)+13,255)))</f>
        <v>Anteil KWK, erstmals 2020</v>
      </c>
      <c r="AX471" s="772" t="str">
        <f t="shared" ref="AX471:AX534" si="219">IF(OR(E471&lt;&gt;AW471),"DIFF","")</f>
        <v/>
      </c>
      <c r="AY471" s="774" t="str">
        <f t="shared" ref="AY471:AY534" si="220">IF(AH471="2011","x",IF(AH471="2012","","" &amp; S471))</f>
        <v/>
      </c>
      <c r="AZ471" s="774" t="str">
        <f t="shared" ref="AZ471:AZ534" si="221">IF(AH471="2012","x",IF(AH471="2011","","" &amp; T471))</f>
        <v>x</v>
      </c>
    </row>
    <row r="472" spans="1:52" s="774" customFormat="1" x14ac:dyDescent="0.25">
      <c r="A472" s="818" t="s">
        <v>7562</v>
      </c>
      <c r="B472" s="819" t="s">
        <v>5548</v>
      </c>
      <c r="C472" s="819" t="s">
        <v>3727</v>
      </c>
      <c r="D472" s="819" t="s">
        <v>7563</v>
      </c>
      <c r="E472" s="819" t="s">
        <v>6615</v>
      </c>
      <c r="F472" s="823">
        <f t="shared" si="205"/>
        <v>12.69</v>
      </c>
      <c r="G472" s="821">
        <f t="shared" si="206"/>
        <v>12.69</v>
      </c>
      <c r="H472" s="824">
        <f t="shared" si="203"/>
        <v>10.15</v>
      </c>
      <c r="I472" s="826"/>
      <c r="J472" s="669">
        <v>44477</v>
      </c>
      <c r="K472" s="769"/>
      <c r="M472" s="387">
        <f t="shared" si="207"/>
        <v>12.69</v>
      </c>
      <c r="N472" s="41">
        <v>10</v>
      </c>
      <c r="O472" s="391"/>
      <c r="P472" s="393" t="s">
        <v>2828</v>
      </c>
      <c r="Q472" s="393"/>
      <c r="R472" s="394">
        <v>2020</v>
      </c>
      <c r="S472" s="393"/>
      <c r="T472" s="674">
        <f>ROUND($Q$478*0.99^($R472-$Q$475),2)</f>
        <v>2.69</v>
      </c>
      <c r="U472" s="765"/>
      <c r="V472" s="766"/>
      <c r="W472" s="775"/>
      <c r="X472" s="775"/>
      <c r="Z472" s="775"/>
      <c r="AC472" s="775"/>
      <c r="AD472" s="766"/>
      <c r="AE472" s="94"/>
      <c r="AF472" s="27"/>
      <c r="AG472" s="27"/>
      <c r="AH472" s="773" t="s">
        <v>4179</v>
      </c>
      <c r="AI472" s="771" t="str">
        <f>IF(AND($AH472&lt;&gt;"",AH472 =AH471),"Gleich","")</f>
        <v>Gleich</v>
      </c>
      <c r="AJ472" s="771" t="str">
        <f>IF(AND($AH472&lt;&gt;"",A472 =A471),"Gleich","")</f>
        <v/>
      </c>
      <c r="AK472" s="771" t="str">
        <f t="shared" si="208"/>
        <v/>
      </c>
      <c r="AL472" s="771" t="str">
        <f t="shared" si="208"/>
        <v>Gleich</v>
      </c>
      <c r="AM472" s="771" t="str">
        <f t="shared" si="208"/>
        <v/>
      </c>
      <c r="AN472" s="770" t="str">
        <f t="shared" si="209"/>
        <v/>
      </c>
      <c r="AO472" s="770" t="str">
        <f t="shared" si="210"/>
        <v/>
      </c>
      <c r="AP472" s="770" t="str">
        <f t="shared" si="211"/>
        <v/>
      </c>
      <c r="AQ472" s="772" t="str">
        <f t="shared" si="212"/>
        <v>DIFF</v>
      </c>
      <c r="AR472" s="216" t="str">
        <f t="shared" si="213"/>
        <v>BiK51aK20---03</v>
      </c>
      <c r="AS472" s="772" t="str">
        <f t="shared" si="214"/>
        <v/>
      </c>
      <c r="AT472" s="774">
        <f t="shared" si="215"/>
        <v>14</v>
      </c>
      <c r="AU472" s="216" t="str">
        <f t="shared" si="216"/>
        <v xml:space="preserve"> 0,150-0,5 MW, Bonusregel K erstmals 2020</v>
      </c>
      <c r="AV472" s="772" t="str">
        <f t="shared" si="217"/>
        <v/>
      </c>
      <c r="AW472" s="216" t="str">
        <f t="shared" si="218"/>
        <v>Anteil KWK, erstmals 2020</v>
      </c>
      <c r="AX472" s="772" t="str">
        <f t="shared" si="219"/>
        <v/>
      </c>
      <c r="AY472" s="774" t="str">
        <f t="shared" si="220"/>
        <v/>
      </c>
      <c r="AZ472" s="774" t="str">
        <f t="shared" si="221"/>
        <v>x</v>
      </c>
    </row>
    <row r="473" spans="1:52" x14ac:dyDescent="0.25">
      <c r="A473" s="609" t="s">
        <v>4180</v>
      </c>
      <c r="B473" s="1"/>
      <c r="C473" s="1"/>
      <c r="D473" s="1" t="s">
        <v>4180</v>
      </c>
      <c r="E473" s="1" t="s">
        <v>4180</v>
      </c>
      <c r="F473" s="457"/>
      <c r="G473" s="532"/>
      <c r="H473" s="490"/>
      <c r="I473" s="709"/>
      <c r="J473" s="669" t="s">
        <v>4180</v>
      </c>
      <c r="K473" s="15"/>
      <c r="O473" s="124"/>
      <c r="S473" t="s">
        <v>4180</v>
      </c>
      <c r="T473" t="s">
        <v>4180</v>
      </c>
      <c r="U473" s="55"/>
      <c r="AD473" s="92"/>
      <c r="AE473" s="124"/>
      <c r="AG473" s="92"/>
      <c r="AH473" s="212" t="str">
        <f t="shared" ref="AH473:AH484" si="222">IF(ISERROR(SEARCH("K erstmals 201",D473)),"",RIGHT(D473,4))</f>
        <v/>
      </c>
      <c r="AI473" s="214" t="str">
        <f>IF(AND($AH473&lt;&gt;"",AH473 =AH454),"Gleich","")</f>
        <v/>
      </c>
      <c r="AJ473" s="214" t="str">
        <f>IF(AND($AH473&lt;&gt;"",A473 =A454),"Gleich","")</f>
        <v/>
      </c>
      <c r="AK473" s="214" t="str">
        <f>IF(AND($AH473&lt;&gt;"",D473 =D454),"Gleich","")</f>
        <v/>
      </c>
      <c r="AL473" s="214" t="str">
        <f>IF(AND($AH473&lt;&gt;"",E473 =E454),"Gleich","")</f>
        <v/>
      </c>
      <c r="AM473" s="214" t="str">
        <f>IF(AND($AH473&lt;&gt;"",F473 =F454),"Gleich","")</f>
        <v/>
      </c>
      <c r="AN473" s="213" t="str">
        <f t="shared" si="209"/>
        <v/>
      </c>
      <c r="AO473" s="213" t="str">
        <f t="shared" si="210"/>
        <v/>
      </c>
      <c r="AP473" s="213" t="str">
        <f t="shared" si="211"/>
        <v/>
      </c>
      <c r="AQ473" s="215" t="str">
        <f t="shared" si="212"/>
        <v/>
      </c>
      <c r="AR473" s="216" t="str">
        <f t="shared" si="213"/>
        <v/>
      </c>
      <c r="AS473" s="215" t="str">
        <f t="shared" si="214"/>
        <v/>
      </c>
      <c r="AT473">
        <f t="shared" si="215"/>
        <v>0</v>
      </c>
      <c r="AU473" s="216" t="str">
        <f t="shared" si="216"/>
        <v/>
      </c>
      <c r="AV473" s="215" t="str">
        <f t="shared" si="217"/>
        <v/>
      </c>
      <c r="AW473" s="216" t="str">
        <f t="shared" si="218"/>
        <v/>
      </c>
      <c r="AX473" s="215" t="str">
        <f t="shared" si="219"/>
        <v/>
      </c>
      <c r="AY473" t="str">
        <f t="shared" si="220"/>
        <v/>
      </c>
      <c r="AZ473" t="str">
        <f t="shared" si="221"/>
        <v/>
      </c>
    </row>
    <row r="474" spans="1:52" ht="15.75" x14ac:dyDescent="0.25">
      <c r="A474" s="609" t="s">
        <v>4180</v>
      </c>
      <c r="B474" s="1"/>
      <c r="C474" s="1"/>
      <c r="D474" s="2" t="s">
        <v>4180</v>
      </c>
      <c r="E474" s="1" t="s">
        <v>4180</v>
      </c>
      <c r="F474" s="457"/>
      <c r="G474" s="532"/>
      <c r="H474" s="490"/>
      <c r="I474" s="709"/>
      <c r="J474" s="669" t="s">
        <v>4180</v>
      </c>
      <c r="K474" s="15"/>
      <c r="M474" s="68" t="s">
        <v>2243</v>
      </c>
      <c r="N474" s="39"/>
      <c r="O474" s="61"/>
      <c r="P474" s="29"/>
      <c r="U474" s="55"/>
      <c r="AD474" s="92"/>
      <c r="AE474" s="124"/>
      <c r="AG474" s="92"/>
      <c r="AH474" s="212" t="str">
        <f t="shared" si="222"/>
        <v/>
      </c>
      <c r="AI474" s="214" t="str">
        <f t="shared" ref="AI474:AI537" si="223">IF(AND($AH474&lt;&gt;"",AH474 =AH473),"Gleich","")</f>
        <v/>
      </c>
      <c r="AJ474" s="214" t="str">
        <f t="shared" ref="AJ474:AJ537" si="224">IF(AND($AH474&lt;&gt;"",A474 =A473),"Gleich","")</f>
        <v/>
      </c>
      <c r="AK474" s="214" t="str">
        <f t="shared" ref="AK474:AK537" si="225">IF(AND($AH474&lt;&gt;"",D474 =D473),"Gleich","")</f>
        <v/>
      </c>
      <c r="AL474" s="214" t="str">
        <f t="shared" ref="AL474:AL537" si="226">IF(AND($AH474&lt;&gt;"",E474 =E473),"Gleich","")</f>
        <v/>
      </c>
      <c r="AM474" s="214" t="str">
        <f t="shared" ref="AM474:AM537" si="227">IF(AND($AH474&lt;&gt;"",F474 =F473),"Gleich","")</f>
        <v/>
      </c>
      <c r="AN474" s="213" t="str">
        <f t="shared" si="209"/>
        <v/>
      </c>
      <c r="AO474" s="213" t="str">
        <f t="shared" si="210"/>
        <v/>
      </c>
      <c r="AP474" s="213" t="str">
        <f t="shared" si="211"/>
        <v/>
      </c>
      <c r="AQ474" s="215" t="str">
        <f t="shared" si="212"/>
        <v/>
      </c>
      <c r="AR474" s="216" t="str">
        <f t="shared" si="213"/>
        <v/>
      </c>
      <c r="AS474" s="215" t="str">
        <f t="shared" si="214"/>
        <v/>
      </c>
      <c r="AT474">
        <f t="shared" si="215"/>
        <v>0</v>
      </c>
      <c r="AU474" s="216" t="str">
        <f t="shared" si="216"/>
        <v/>
      </c>
      <c r="AV474" s="215" t="str">
        <f t="shared" si="217"/>
        <v/>
      </c>
      <c r="AW474" s="216" t="str">
        <f t="shared" si="218"/>
        <v/>
      </c>
      <c r="AX474" s="215" t="str">
        <f t="shared" si="219"/>
        <v/>
      </c>
      <c r="AY474" t="str">
        <f t="shared" si="220"/>
        <v/>
      </c>
      <c r="AZ474" t="str">
        <f t="shared" si="221"/>
        <v/>
      </c>
    </row>
    <row r="475" spans="1:52" x14ac:dyDescent="0.25">
      <c r="A475" s="609" t="s">
        <v>4180</v>
      </c>
      <c r="B475" s="1"/>
      <c r="C475" s="1"/>
      <c r="D475" s="2" t="s">
        <v>4180</v>
      </c>
      <c r="E475" s="1" t="s">
        <v>4180</v>
      </c>
      <c r="F475" s="457"/>
      <c r="G475" s="532"/>
      <c r="H475" s="490"/>
      <c r="I475" s="709"/>
      <c r="J475" s="669" t="s">
        <v>4180</v>
      </c>
      <c r="K475" s="15"/>
      <c r="N475" s="35"/>
      <c r="O475" s="43" t="s">
        <v>2659</v>
      </c>
      <c r="P475" s="29"/>
      <c r="Q475" s="12">
        <v>2009</v>
      </c>
      <c r="R475" s="12">
        <v>2010</v>
      </c>
      <c r="S475" s="12">
        <v>2011</v>
      </c>
      <c r="T475" s="12">
        <v>2012</v>
      </c>
      <c r="U475" s="55"/>
      <c r="V475" s="35" t="s">
        <v>778</v>
      </c>
      <c r="AD475" s="92"/>
      <c r="AE475" s="43" t="s">
        <v>827</v>
      </c>
      <c r="AG475" s="92"/>
      <c r="AH475" s="212" t="str">
        <f t="shared" si="222"/>
        <v/>
      </c>
      <c r="AI475" s="214" t="str">
        <f t="shared" si="223"/>
        <v/>
      </c>
      <c r="AJ475" s="214" t="str">
        <f t="shared" si="224"/>
        <v/>
      </c>
      <c r="AK475" s="214" t="str">
        <f t="shared" si="225"/>
        <v/>
      </c>
      <c r="AL475" s="214" t="str">
        <f t="shared" si="226"/>
        <v/>
      </c>
      <c r="AM475" s="214" t="str">
        <f t="shared" si="227"/>
        <v/>
      </c>
      <c r="AN475" s="213" t="str">
        <f t="shared" si="209"/>
        <v/>
      </c>
      <c r="AO475" s="213" t="str">
        <f t="shared" si="210"/>
        <v/>
      </c>
      <c r="AP475" s="213" t="str">
        <f t="shared" si="211"/>
        <v/>
      </c>
      <c r="AQ475" s="215" t="str">
        <f t="shared" si="212"/>
        <v/>
      </c>
      <c r="AR475" s="216" t="str">
        <f t="shared" si="213"/>
        <v/>
      </c>
      <c r="AS475" s="215" t="str">
        <f t="shared" si="214"/>
        <v/>
      </c>
      <c r="AT475">
        <f t="shared" si="215"/>
        <v>0</v>
      </c>
      <c r="AU475" s="216" t="str">
        <f t="shared" si="216"/>
        <v/>
      </c>
      <c r="AV475" s="215" t="str">
        <f t="shared" si="217"/>
        <v/>
      </c>
      <c r="AW475" s="216" t="str">
        <f t="shared" si="218"/>
        <v/>
      </c>
      <c r="AX475" s="215" t="str">
        <f t="shared" si="219"/>
        <v/>
      </c>
      <c r="AY475" t="str">
        <f t="shared" si="220"/>
        <v>2011</v>
      </c>
      <c r="AZ475" t="str">
        <f t="shared" si="221"/>
        <v>2012</v>
      </c>
    </row>
    <row r="476" spans="1:52" ht="90.75" x14ac:dyDescent="0.25">
      <c r="A476" s="609" t="s">
        <v>4180</v>
      </c>
      <c r="B476" s="1"/>
      <c r="C476" s="1"/>
      <c r="D476" s="2" t="s">
        <v>4180</v>
      </c>
      <c r="E476" s="1" t="s">
        <v>4180</v>
      </c>
      <c r="F476" s="457"/>
      <c r="G476" s="532"/>
      <c r="H476" s="490"/>
      <c r="I476" s="709"/>
      <c r="J476" s="669" t="s">
        <v>4180</v>
      </c>
      <c r="K476" s="15"/>
      <c r="M476" s="48" t="s">
        <v>2914</v>
      </c>
      <c r="N476" s="42" t="s">
        <v>2913</v>
      </c>
      <c r="O476" s="44" t="s">
        <v>825</v>
      </c>
      <c r="P476" s="42" t="s">
        <v>3008</v>
      </c>
      <c r="Q476" s="42" t="s">
        <v>1013</v>
      </c>
      <c r="R476" s="42" t="s">
        <v>1264</v>
      </c>
      <c r="S476" s="42" t="s">
        <v>1482</v>
      </c>
      <c r="T476" s="42" t="s">
        <v>4161</v>
      </c>
      <c r="U476" s="80" t="s">
        <v>771</v>
      </c>
      <c r="V476" s="42" t="s">
        <v>1021</v>
      </c>
      <c r="W476" s="42" t="s">
        <v>1029</v>
      </c>
      <c r="X476" s="42" t="s">
        <v>786</v>
      </c>
      <c r="Y476" s="79" t="s">
        <v>4884</v>
      </c>
      <c r="Z476" s="79" t="s">
        <v>5520</v>
      </c>
      <c r="AA476" s="79" t="s">
        <v>5521</v>
      </c>
      <c r="AB476" s="79" t="s">
        <v>5522</v>
      </c>
      <c r="AC476" s="79" t="s">
        <v>4853</v>
      </c>
      <c r="AD476" s="79" t="s">
        <v>770</v>
      </c>
      <c r="AE476" s="44" t="s">
        <v>824</v>
      </c>
      <c r="AF476" s="63"/>
      <c r="AG476" s="63"/>
      <c r="AH476" s="212" t="str">
        <f t="shared" si="222"/>
        <v/>
      </c>
      <c r="AI476" s="214" t="str">
        <f t="shared" si="223"/>
        <v/>
      </c>
      <c r="AJ476" s="214" t="str">
        <f t="shared" si="224"/>
        <v/>
      </c>
      <c r="AK476" s="214" t="str">
        <f t="shared" si="225"/>
        <v/>
      </c>
      <c r="AL476" s="214" t="str">
        <f t="shared" si="226"/>
        <v/>
      </c>
      <c r="AM476" s="214" t="str">
        <f t="shared" si="227"/>
        <v/>
      </c>
      <c r="AN476" s="213" t="str">
        <f t="shared" si="209"/>
        <v/>
      </c>
      <c r="AO476" s="213" t="str">
        <f t="shared" si="210"/>
        <v/>
      </c>
      <c r="AP476" s="213" t="str">
        <f t="shared" si="211"/>
        <v/>
      </c>
      <c r="AQ476" s="215" t="str">
        <f t="shared" si="212"/>
        <v/>
      </c>
      <c r="AR476" s="216" t="str">
        <f t="shared" si="213"/>
        <v/>
      </c>
      <c r="AS476" s="215" t="str">
        <f t="shared" si="214"/>
        <v/>
      </c>
      <c r="AT476">
        <f t="shared" si="215"/>
        <v>0</v>
      </c>
      <c r="AU476" s="216" t="str">
        <f t="shared" si="216"/>
        <v/>
      </c>
      <c r="AV476" s="215" t="str">
        <f t="shared" si="217"/>
        <v/>
      </c>
      <c r="AW476" s="216" t="str">
        <f t="shared" si="218"/>
        <v/>
      </c>
      <c r="AX476" s="215" t="str">
        <f t="shared" si="219"/>
        <v/>
      </c>
      <c r="AY476" t="str">
        <f t="shared" si="220"/>
        <v>erstmals KWK in 2011</v>
      </c>
      <c r="AZ476" t="str">
        <f t="shared" si="221"/>
        <v>erstmals KWK in 2012</v>
      </c>
    </row>
    <row r="477" spans="1:52" ht="34.5" x14ac:dyDescent="0.25">
      <c r="A477" s="609" t="s">
        <v>4180</v>
      </c>
      <c r="B477" s="1"/>
      <c r="C477" s="1"/>
      <c r="D477" s="2" t="s">
        <v>4180</v>
      </c>
      <c r="E477" s="1" t="s">
        <v>4180</v>
      </c>
      <c r="F477" s="457"/>
      <c r="G477" s="532"/>
      <c r="H477" s="490"/>
      <c r="I477" s="709"/>
      <c r="J477" s="669" t="s">
        <v>4180</v>
      </c>
      <c r="K477" s="15"/>
      <c r="M477" s="46"/>
      <c r="N477" s="42"/>
      <c r="O477" s="44" t="s">
        <v>1014</v>
      </c>
      <c r="P477" s="42" t="s">
        <v>1015</v>
      </c>
      <c r="Q477" s="42" t="s">
        <v>1016</v>
      </c>
      <c r="R477" s="42" t="s">
        <v>1265</v>
      </c>
      <c r="S477" s="42" t="s">
        <v>3490</v>
      </c>
      <c r="T477" s="118" t="s">
        <v>4162</v>
      </c>
      <c r="U477" s="56" t="s">
        <v>1018</v>
      </c>
      <c r="V477" s="42" t="s">
        <v>1019</v>
      </c>
      <c r="W477" s="42" t="s">
        <v>1020</v>
      </c>
      <c r="X477" s="42" t="s">
        <v>4069</v>
      </c>
      <c r="Y477" s="42" t="s">
        <v>1023</v>
      </c>
      <c r="Z477" s="42" t="s">
        <v>1024</v>
      </c>
      <c r="AA477" s="42" t="s">
        <v>1025</v>
      </c>
      <c r="AB477" s="42" t="s">
        <v>1026</v>
      </c>
      <c r="AC477" s="42" t="s">
        <v>1028</v>
      </c>
      <c r="AD477" s="42" t="s">
        <v>1027</v>
      </c>
      <c r="AE477" s="44" t="s">
        <v>826</v>
      </c>
      <c r="AF477" s="63"/>
      <c r="AG477" s="63"/>
      <c r="AH477" s="212" t="str">
        <f t="shared" si="222"/>
        <v/>
      </c>
      <c r="AI477" s="214" t="str">
        <f t="shared" si="223"/>
        <v/>
      </c>
      <c r="AJ477" s="214" t="str">
        <f t="shared" si="224"/>
        <v/>
      </c>
      <c r="AK477" s="214" t="str">
        <f t="shared" si="225"/>
        <v/>
      </c>
      <c r="AL477" s="214" t="str">
        <f t="shared" si="226"/>
        <v/>
      </c>
      <c r="AM477" s="214" t="str">
        <f t="shared" si="227"/>
        <v/>
      </c>
      <c r="AN477" s="213" t="str">
        <f t="shared" si="209"/>
        <v/>
      </c>
      <c r="AO477" s="213" t="str">
        <f t="shared" si="210"/>
        <v/>
      </c>
      <c r="AP477" s="213" t="str">
        <f t="shared" si="211"/>
        <v/>
      </c>
      <c r="AQ477" s="215" t="str">
        <f t="shared" si="212"/>
        <v/>
      </c>
      <c r="AR477" s="216" t="str">
        <f t="shared" si="213"/>
        <v/>
      </c>
      <c r="AS477" s="215" t="str">
        <f t="shared" si="214"/>
        <v/>
      </c>
      <c r="AT477">
        <f t="shared" si="215"/>
        <v>0</v>
      </c>
      <c r="AU477" s="216" t="str">
        <f t="shared" si="216"/>
        <v/>
      </c>
      <c r="AV477" s="215" t="str">
        <f t="shared" si="217"/>
        <v/>
      </c>
      <c r="AW477" s="216" t="str">
        <f t="shared" si="218"/>
        <v/>
      </c>
      <c r="AX477" s="215" t="str">
        <f t="shared" si="219"/>
        <v/>
      </c>
      <c r="AY477" t="str">
        <f t="shared" si="220"/>
        <v>"K11"</v>
      </c>
      <c r="AZ477" t="str">
        <f t="shared" si="221"/>
        <v>"K12"</v>
      </c>
    </row>
    <row r="478" spans="1:52" x14ac:dyDescent="0.25">
      <c r="A478" s="609" t="s">
        <v>4180</v>
      </c>
      <c r="B478" s="1"/>
      <c r="C478" s="1"/>
      <c r="D478" s="2" t="s">
        <v>4180</v>
      </c>
      <c r="E478" s="1" t="s">
        <v>4180</v>
      </c>
      <c r="F478" s="457"/>
      <c r="G478" s="532"/>
      <c r="H478" s="490"/>
      <c r="I478" s="709"/>
      <c r="J478" s="669" t="s">
        <v>4180</v>
      </c>
      <c r="K478" s="15"/>
      <c r="M478" s="92"/>
      <c r="N478" s="41"/>
      <c r="O478" s="93">
        <v>2</v>
      </c>
      <c r="P478" s="41">
        <v>3</v>
      </c>
      <c r="Q478" s="41">
        <v>3</v>
      </c>
      <c r="R478" s="41">
        <f>ROUND($Q478*0.99^(R475-$Q475),2)</f>
        <v>2.97</v>
      </c>
      <c r="S478" s="41">
        <f>ROUND($Q478*0.99^(S475-$Q475),2)</f>
        <v>2.94</v>
      </c>
      <c r="T478" s="41">
        <f>ROUND($Q478*0.99^(T475-$Q475),2)</f>
        <v>2.91</v>
      </c>
      <c r="U478" s="198">
        <v>1</v>
      </c>
      <c r="V478" s="41">
        <v>6</v>
      </c>
      <c r="W478" s="41">
        <v>4</v>
      </c>
      <c r="X478" s="41">
        <v>2.5</v>
      </c>
      <c r="Y478" s="41">
        <v>7</v>
      </c>
      <c r="Z478" s="41">
        <v>11</v>
      </c>
      <c r="AA478" s="41">
        <v>8</v>
      </c>
      <c r="AB478" s="41">
        <v>9</v>
      </c>
      <c r="AC478" s="41">
        <v>13</v>
      </c>
      <c r="AD478" s="41">
        <v>10</v>
      </c>
      <c r="AE478" s="93">
        <v>2</v>
      </c>
      <c r="AF478" s="202"/>
      <c r="AG478" s="202"/>
      <c r="AH478" s="212" t="str">
        <f t="shared" si="222"/>
        <v/>
      </c>
      <c r="AI478" s="214" t="str">
        <f t="shared" si="223"/>
        <v/>
      </c>
      <c r="AJ478" s="214" t="str">
        <f t="shared" si="224"/>
        <v/>
      </c>
      <c r="AK478" s="214" t="str">
        <f t="shared" si="225"/>
        <v/>
      </c>
      <c r="AL478" s="214" t="str">
        <f t="shared" si="226"/>
        <v/>
      </c>
      <c r="AM478" s="214" t="str">
        <f t="shared" si="227"/>
        <v/>
      </c>
      <c r="AN478" s="213" t="str">
        <f t="shared" si="209"/>
        <v/>
      </c>
      <c r="AO478" s="213" t="str">
        <f t="shared" si="210"/>
        <v/>
      </c>
      <c r="AP478" s="213" t="str">
        <f t="shared" si="211"/>
        <v/>
      </c>
      <c r="AQ478" s="215" t="str">
        <f t="shared" si="212"/>
        <v/>
      </c>
      <c r="AR478" s="216" t="str">
        <f t="shared" si="213"/>
        <v/>
      </c>
      <c r="AS478" s="215" t="str">
        <f t="shared" si="214"/>
        <v/>
      </c>
      <c r="AT478">
        <f t="shared" si="215"/>
        <v>0</v>
      </c>
      <c r="AU478" s="216" t="str">
        <f t="shared" si="216"/>
        <v/>
      </c>
      <c r="AV478" s="215" t="str">
        <f t="shared" si="217"/>
        <v/>
      </c>
      <c r="AW478" s="216" t="str">
        <f t="shared" si="218"/>
        <v/>
      </c>
      <c r="AX478" s="215" t="str">
        <f t="shared" si="219"/>
        <v/>
      </c>
      <c r="AY478" t="str">
        <f t="shared" si="220"/>
        <v>2,94</v>
      </c>
      <c r="AZ478" t="str">
        <f t="shared" si="221"/>
        <v>2,91</v>
      </c>
    </row>
    <row r="479" spans="1:52" s="178" customFormat="1" x14ac:dyDescent="0.25">
      <c r="A479" s="618" t="s">
        <v>4808</v>
      </c>
      <c r="B479" s="31" t="s">
        <v>5548</v>
      </c>
      <c r="C479" s="31" t="s">
        <v>4809</v>
      </c>
      <c r="D479" s="31" t="s">
        <v>1780</v>
      </c>
      <c r="E479" s="31" t="s">
        <v>4810</v>
      </c>
      <c r="F479" s="460">
        <f t="shared" ref="F479:F542" si="228">M479</f>
        <v>11.67</v>
      </c>
      <c r="G479" s="536">
        <v>11.67</v>
      </c>
      <c r="H479" s="494">
        <f t="shared" ref="H479:H542" si="229">IF(ISNUMBER(G479),ROUND(0.8*G479,2),"")</f>
        <v>9.34</v>
      </c>
      <c r="I479" s="713"/>
      <c r="J479" s="669" t="s">
        <v>5805</v>
      </c>
      <c r="K479" s="15"/>
      <c r="L479"/>
      <c r="M479" s="49">
        <f t="shared" ref="M479:M542" si="230">N479+SUMIF(O479:AG479,"x",O$478:AG$478)</f>
        <v>11.67</v>
      </c>
      <c r="N479" s="41">
        <v>11.67</v>
      </c>
      <c r="O479" s="54"/>
      <c r="P479" s="15"/>
      <c r="Q479"/>
      <c r="R479"/>
      <c r="S479" t="s">
        <v>4180</v>
      </c>
      <c r="T479" s="178" t="s">
        <v>4180</v>
      </c>
      <c r="U479" s="55"/>
      <c r="V479"/>
      <c r="W479" s="65"/>
      <c r="X479" s="65"/>
      <c r="Y479"/>
      <c r="Z479"/>
      <c r="AA479" s="65"/>
      <c r="AB479"/>
      <c r="AC479"/>
      <c r="AD479" s="91"/>
      <c r="AE479" s="124"/>
      <c r="AF479" s="65"/>
      <c r="AG479" s="91"/>
      <c r="AH479" s="212" t="str">
        <f t="shared" si="222"/>
        <v/>
      </c>
      <c r="AI479" s="214" t="str">
        <f t="shared" si="223"/>
        <v/>
      </c>
      <c r="AJ479" s="214" t="str">
        <f t="shared" si="224"/>
        <v/>
      </c>
      <c r="AK479" s="214" t="str">
        <f t="shared" si="225"/>
        <v/>
      </c>
      <c r="AL479" s="214" t="str">
        <f t="shared" si="226"/>
        <v/>
      </c>
      <c r="AM479" s="214" t="str">
        <f t="shared" si="227"/>
        <v/>
      </c>
      <c r="AN479" s="213" t="str">
        <f t="shared" si="209"/>
        <v/>
      </c>
      <c r="AO479" s="213" t="str">
        <f t="shared" si="210"/>
        <v/>
      </c>
      <c r="AP479" s="213" t="str">
        <f t="shared" si="211"/>
        <v/>
      </c>
      <c r="AQ479" s="215" t="str">
        <f t="shared" si="212"/>
        <v/>
      </c>
      <c r="AR479" s="216" t="str">
        <f t="shared" si="213"/>
        <v>BiK81-------04</v>
      </c>
      <c r="AS479" s="215" t="str">
        <f t="shared" si="214"/>
        <v/>
      </c>
      <c r="AT479">
        <f t="shared" si="215"/>
        <v>14</v>
      </c>
      <c r="AU479" s="216" t="str">
        <f t="shared" si="216"/>
        <v>0-0,15 MW</v>
      </c>
      <c r="AV479" s="215" t="str">
        <f t="shared" si="217"/>
        <v/>
      </c>
      <c r="AW479" s="216" t="str">
        <f t="shared" si="218"/>
        <v>Anteil Nicht-KWK</v>
      </c>
      <c r="AX479" s="215" t="str">
        <f t="shared" si="219"/>
        <v/>
      </c>
      <c r="AY479" t="str">
        <f t="shared" si="220"/>
        <v/>
      </c>
      <c r="AZ479" t="str">
        <f t="shared" si="221"/>
        <v/>
      </c>
    </row>
    <row r="480" spans="1:52" s="178" customFormat="1" x14ac:dyDescent="0.25">
      <c r="A480" s="618" t="s">
        <v>4811</v>
      </c>
      <c r="B480" s="31" t="s">
        <v>5548</v>
      </c>
      <c r="C480" s="31" t="s">
        <v>4809</v>
      </c>
      <c r="D480" s="32" t="s">
        <v>6868</v>
      </c>
      <c r="E480" s="31" t="s">
        <v>4812</v>
      </c>
      <c r="F480" s="460">
        <f t="shared" si="228"/>
        <v>13.67</v>
      </c>
      <c r="G480" s="536">
        <v>13.67</v>
      </c>
      <c r="H480" s="494">
        <f t="shared" si="229"/>
        <v>10.94</v>
      </c>
      <c r="I480" s="713"/>
      <c r="J480" s="669" t="s">
        <v>5805</v>
      </c>
      <c r="K480" s="15"/>
      <c r="L480"/>
      <c r="M480" s="49">
        <f t="shared" si="230"/>
        <v>13.67</v>
      </c>
      <c r="N480" s="41">
        <v>11.67</v>
      </c>
      <c r="O480" s="54" t="s">
        <v>1017</v>
      </c>
      <c r="P480" s="15"/>
      <c r="Q480"/>
      <c r="R480"/>
      <c r="S480" t="s">
        <v>4180</v>
      </c>
      <c r="T480" s="178" t="s">
        <v>4180</v>
      </c>
      <c r="U480" s="55"/>
      <c r="V480"/>
      <c r="W480" s="65"/>
      <c r="X480" s="65"/>
      <c r="Y480"/>
      <c r="Z480"/>
      <c r="AA480" s="65"/>
      <c r="AB480"/>
      <c r="AC480"/>
      <c r="AD480" s="91"/>
      <c r="AE480" s="124"/>
      <c r="AF480" s="65"/>
      <c r="AG480" s="91"/>
      <c r="AH480" s="212" t="str">
        <f t="shared" si="222"/>
        <v/>
      </c>
      <c r="AI480" s="214" t="str">
        <f t="shared" si="223"/>
        <v/>
      </c>
      <c r="AJ480" s="214" t="str">
        <f t="shared" si="224"/>
        <v/>
      </c>
      <c r="AK480" s="214" t="str">
        <f t="shared" si="225"/>
        <v/>
      </c>
      <c r="AL480" s="214" t="str">
        <f t="shared" si="226"/>
        <v/>
      </c>
      <c r="AM480" s="214" t="str">
        <f t="shared" si="227"/>
        <v/>
      </c>
      <c r="AN480" s="213" t="str">
        <f t="shared" si="209"/>
        <v/>
      </c>
      <c r="AO480" s="213" t="str">
        <f t="shared" si="210"/>
        <v/>
      </c>
      <c r="AP480" s="213" t="str">
        <f t="shared" si="211"/>
        <v/>
      </c>
      <c r="AQ480" s="215" t="str">
        <f t="shared" si="212"/>
        <v/>
      </c>
      <c r="AR480" s="216" t="str">
        <f t="shared" si="213"/>
        <v>BiK81KWK----04</v>
      </c>
      <c r="AS480" s="215" t="str">
        <f t="shared" si="214"/>
        <v/>
      </c>
      <c r="AT480">
        <f t="shared" si="215"/>
        <v>14</v>
      </c>
      <c r="AU480" s="216" t="str">
        <f t="shared" si="216"/>
        <v>0-0,15 MW, Bonusregel KWK</v>
      </c>
      <c r="AV480" s="215" t="str">
        <f t="shared" si="217"/>
        <v/>
      </c>
      <c r="AW480" s="216" t="str">
        <f t="shared" si="218"/>
        <v>Anteil KWK</v>
      </c>
      <c r="AX480" s="215" t="str">
        <f t="shared" si="219"/>
        <v/>
      </c>
      <c r="AY480" t="str">
        <f t="shared" si="220"/>
        <v/>
      </c>
      <c r="AZ480" t="str">
        <f t="shared" si="221"/>
        <v/>
      </c>
    </row>
    <row r="481" spans="1:52" s="178" customFormat="1" x14ac:dyDescent="0.25">
      <c r="A481" s="610" t="s">
        <v>4334</v>
      </c>
      <c r="B481" s="17" t="s">
        <v>5548</v>
      </c>
      <c r="C481" s="17" t="s">
        <v>4809</v>
      </c>
      <c r="D481" s="30" t="s">
        <v>6869</v>
      </c>
      <c r="E481" s="30" t="s">
        <v>4331</v>
      </c>
      <c r="F481" s="454">
        <f t="shared" si="228"/>
        <v>14.67</v>
      </c>
      <c r="G481" s="529">
        <v>14.67</v>
      </c>
      <c r="H481" s="487">
        <f t="shared" si="229"/>
        <v>11.74</v>
      </c>
      <c r="I481" s="706"/>
      <c r="J481" s="669" t="s">
        <v>5805</v>
      </c>
      <c r="K481" s="15"/>
      <c r="L481"/>
      <c r="M481" s="49">
        <f t="shared" si="230"/>
        <v>14.67</v>
      </c>
      <c r="N481" s="41">
        <v>11.67</v>
      </c>
      <c r="O481" s="54"/>
      <c r="P481" t="s">
        <v>1017</v>
      </c>
      <c r="Q481"/>
      <c r="R481"/>
      <c r="S481" t="s">
        <v>4180</v>
      </c>
      <c r="T481" s="178" t="s">
        <v>4180</v>
      </c>
      <c r="U481" s="55"/>
      <c r="V481"/>
      <c r="W481" s="65"/>
      <c r="X481" s="65"/>
      <c r="Y481"/>
      <c r="Z481"/>
      <c r="AA481" s="65"/>
      <c r="AB481"/>
      <c r="AC481"/>
      <c r="AD481" s="91"/>
      <c r="AE481" s="124"/>
      <c r="AF481" s="65"/>
      <c r="AG481" s="91"/>
      <c r="AH481" s="212" t="str">
        <f t="shared" si="222"/>
        <v/>
      </c>
      <c r="AI481" s="214" t="str">
        <f t="shared" si="223"/>
        <v/>
      </c>
      <c r="AJ481" s="214" t="str">
        <f t="shared" si="224"/>
        <v/>
      </c>
      <c r="AK481" s="214" t="str">
        <f t="shared" si="225"/>
        <v/>
      </c>
      <c r="AL481" s="214" t="str">
        <f t="shared" si="226"/>
        <v/>
      </c>
      <c r="AM481" s="214" t="str">
        <f t="shared" si="227"/>
        <v/>
      </c>
      <c r="AN481" s="213" t="str">
        <f t="shared" si="209"/>
        <v/>
      </c>
      <c r="AO481" s="213" t="str">
        <f t="shared" si="210"/>
        <v/>
      </c>
      <c r="AP481" s="213" t="str">
        <f t="shared" si="211"/>
        <v/>
      </c>
      <c r="AQ481" s="215" t="str">
        <f t="shared" si="212"/>
        <v/>
      </c>
      <c r="AR481" s="216" t="str">
        <f t="shared" si="213"/>
        <v>BiK81KA3----04</v>
      </c>
      <c r="AS481" s="215" t="str">
        <f t="shared" si="214"/>
        <v/>
      </c>
      <c r="AT481">
        <f t="shared" si="215"/>
        <v>14</v>
      </c>
      <c r="AU481" s="216" t="str">
        <f t="shared" si="216"/>
        <v>0-0,15 MW, Bonusregel K wenn Anlage 3 erfüllt</v>
      </c>
      <c r="AV481" s="215" t="str">
        <f t="shared" si="217"/>
        <v/>
      </c>
      <c r="AW481" s="216" t="str">
        <f t="shared" si="218"/>
        <v>Anteil KWK gemäß Anlage 3</v>
      </c>
      <c r="AX481" s="215" t="str">
        <f t="shared" si="219"/>
        <v/>
      </c>
      <c r="AY481" t="str">
        <f t="shared" si="220"/>
        <v/>
      </c>
      <c r="AZ481" t="str">
        <f t="shared" si="221"/>
        <v/>
      </c>
    </row>
    <row r="482" spans="1:52" s="178" customFormat="1" x14ac:dyDescent="0.25">
      <c r="A482" s="610" t="s">
        <v>3664</v>
      </c>
      <c r="B482" s="17" t="s">
        <v>5548</v>
      </c>
      <c r="C482" s="17" t="s">
        <v>4809</v>
      </c>
      <c r="D482" s="30" t="s">
        <v>6870</v>
      </c>
      <c r="E482" s="17" t="s">
        <v>674</v>
      </c>
      <c r="F482" s="454">
        <f t="shared" si="228"/>
        <v>14.67</v>
      </c>
      <c r="G482" s="529">
        <v>14.67</v>
      </c>
      <c r="H482" s="487">
        <f t="shared" si="229"/>
        <v>11.74</v>
      </c>
      <c r="I482" s="706"/>
      <c r="J482" s="669" t="s">
        <v>5805</v>
      </c>
      <c r="K482" s="15"/>
      <c r="L482"/>
      <c r="M482" s="49">
        <f t="shared" si="230"/>
        <v>14.67</v>
      </c>
      <c r="N482" s="41">
        <v>11.67</v>
      </c>
      <c r="O482" s="54"/>
      <c r="P482" s="15"/>
      <c r="Q482" t="s">
        <v>1017</v>
      </c>
      <c r="R482"/>
      <c r="S482" t="s">
        <v>4180</v>
      </c>
      <c r="T482" s="178" t="s">
        <v>4180</v>
      </c>
      <c r="U482" s="55"/>
      <c r="V482"/>
      <c r="W482" s="65"/>
      <c r="X482" s="65"/>
      <c r="Y482"/>
      <c r="Z482"/>
      <c r="AA482" s="65"/>
      <c r="AB482"/>
      <c r="AC482"/>
      <c r="AD482" s="91"/>
      <c r="AE482" s="124"/>
      <c r="AF482" s="65"/>
      <c r="AG482" s="91"/>
      <c r="AH482" s="212" t="str">
        <f t="shared" si="222"/>
        <v/>
      </c>
      <c r="AI482" s="214" t="str">
        <f t="shared" si="223"/>
        <v/>
      </c>
      <c r="AJ482" s="214" t="str">
        <f t="shared" si="224"/>
        <v/>
      </c>
      <c r="AK482" s="214" t="str">
        <f t="shared" si="225"/>
        <v/>
      </c>
      <c r="AL482" s="214" t="str">
        <f t="shared" si="226"/>
        <v/>
      </c>
      <c r="AM482" s="214" t="str">
        <f t="shared" si="227"/>
        <v/>
      </c>
      <c r="AN482" s="213" t="str">
        <f t="shared" si="209"/>
        <v/>
      </c>
      <c r="AO482" s="213" t="str">
        <f t="shared" si="210"/>
        <v/>
      </c>
      <c r="AP482" s="213" t="str">
        <f t="shared" si="211"/>
        <v/>
      </c>
      <c r="AQ482" s="215" t="str">
        <f t="shared" si="212"/>
        <v/>
      </c>
      <c r="AR482" s="216" t="str">
        <f t="shared" si="213"/>
        <v>BiK81K09----04</v>
      </c>
      <c r="AS482" s="215" t="str">
        <f t="shared" si="214"/>
        <v/>
      </c>
      <c r="AT482">
        <f t="shared" si="215"/>
        <v>14</v>
      </c>
      <c r="AU482" s="216" t="str">
        <f t="shared" si="216"/>
        <v>0-0,15 MW, Bonusregel K erstmals 2009</v>
      </c>
      <c r="AV482" s="215" t="str">
        <f t="shared" si="217"/>
        <v/>
      </c>
      <c r="AW482" s="216" t="str">
        <f t="shared" si="218"/>
        <v>Anteil KWK, erstmals 2009</v>
      </c>
      <c r="AX482" s="215" t="str">
        <f t="shared" si="219"/>
        <v/>
      </c>
      <c r="AY482" t="str">
        <f t="shared" si="220"/>
        <v/>
      </c>
      <c r="AZ482" t="str">
        <f t="shared" si="221"/>
        <v/>
      </c>
    </row>
    <row r="483" spans="1:52" s="178" customFormat="1" x14ac:dyDescent="0.25">
      <c r="A483" s="610" t="s">
        <v>1628</v>
      </c>
      <c r="B483" s="17" t="s">
        <v>5548</v>
      </c>
      <c r="C483" s="17" t="s">
        <v>4809</v>
      </c>
      <c r="D483" s="30" t="s">
        <v>6871</v>
      </c>
      <c r="E483" s="30" t="s">
        <v>3567</v>
      </c>
      <c r="F483" s="454">
        <f t="shared" si="228"/>
        <v>14.64</v>
      </c>
      <c r="G483" s="529">
        <v>14.64</v>
      </c>
      <c r="H483" s="487">
        <f t="shared" si="229"/>
        <v>11.71</v>
      </c>
      <c r="I483" s="706"/>
      <c r="J483" s="669" t="s">
        <v>5805</v>
      </c>
      <c r="K483" s="15"/>
      <c r="L483"/>
      <c r="M483" s="49">
        <f t="shared" si="230"/>
        <v>14.64</v>
      </c>
      <c r="N483" s="41">
        <v>11.67</v>
      </c>
      <c r="O483" s="54"/>
      <c r="P483" s="15"/>
      <c r="Q483"/>
      <c r="R483" t="s">
        <v>1017</v>
      </c>
      <c r="S483" t="s">
        <v>4180</v>
      </c>
      <c r="T483" s="178" t="s">
        <v>4180</v>
      </c>
      <c r="U483" s="55"/>
      <c r="V483"/>
      <c r="W483" s="65"/>
      <c r="X483" s="65"/>
      <c r="Y483"/>
      <c r="Z483"/>
      <c r="AA483" s="65"/>
      <c r="AB483"/>
      <c r="AC483"/>
      <c r="AD483" s="91"/>
      <c r="AE483" s="124"/>
      <c r="AF483" s="65"/>
      <c r="AG483" s="91"/>
      <c r="AH483" s="212" t="str">
        <f t="shared" si="222"/>
        <v>2010</v>
      </c>
      <c r="AI483" s="214" t="str">
        <f t="shared" si="223"/>
        <v/>
      </c>
      <c r="AJ483" s="214" t="str">
        <f t="shared" si="224"/>
        <v/>
      </c>
      <c r="AK483" s="214" t="str">
        <f t="shared" si="225"/>
        <v/>
      </c>
      <c r="AL483" s="214" t="str">
        <f t="shared" si="226"/>
        <v/>
      </c>
      <c r="AM483" s="214" t="str">
        <f t="shared" si="227"/>
        <v/>
      </c>
      <c r="AN483" s="213" t="str">
        <f t="shared" si="209"/>
        <v>2010</v>
      </c>
      <c r="AO483" s="213" t="str">
        <f t="shared" si="210"/>
        <v>2010</v>
      </c>
      <c r="AP483" s="213" t="str">
        <f t="shared" si="211"/>
        <v>2010</v>
      </c>
      <c r="AQ483" s="215" t="str">
        <f t="shared" si="212"/>
        <v/>
      </c>
      <c r="AR483" s="216" t="str">
        <f t="shared" si="213"/>
        <v>BiK81K10----04</v>
      </c>
      <c r="AS483" s="215" t="str">
        <f t="shared" si="214"/>
        <v/>
      </c>
      <c r="AT483">
        <f t="shared" si="215"/>
        <v>14</v>
      </c>
      <c r="AU483" s="216" t="str">
        <f t="shared" si="216"/>
        <v>0-0,15 MW, Bonusregel K erstmals 2010</v>
      </c>
      <c r="AV483" s="215" t="str">
        <f t="shared" si="217"/>
        <v/>
      </c>
      <c r="AW483" s="216" t="str">
        <f t="shared" si="218"/>
        <v>Anteil KWK, erstmals 2010</v>
      </c>
      <c r="AX483" s="215" t="str">
        <f t="shared" si="219"/>
        <v/>
      </c>
      <c r="AY483" t="str">
        <f t="shared" si="220"/>
        <v/>
      </c>
      <c r="AZ483" t="str">
        <f t="shared" si="221"/>
        <v/>
      </c>
    </row>
    <row r="484" spans="1:52" s="178" customFormat="1" x14ac:dyDescent="0.25">
      <c r="A484" s="610" t="s">
        <v>5243</v>
      </c>
      <c r="B484" s="17" t="s">
        <v>5548</v>
      </c>
      <c r="C484" s="17" t="s">
        <v>4809</v>
      </c>
      <c r="D484" s="30" t="s">
        <v>6872</v>
      </c>
      <c r="E484" s="30" t="s">
        <v>3055</v>
      </c>
      <c r="F484" s="454">
        <f t="shared" si="228"/>
        <v>14.61</v>
      </c>
      <c r="G484" s="529">
        <v>14.61</v>
      </c>
      <c r="H484" s="487">
        <f t="shared" si="229"/>
        <v>11.69</v>
      </c>
      <c r="I484" s="706"/>
      <c r="J484" s="669" t="s">
        <v>5805</v>
      </c>
      <c r="K484" s="15"/>
      <c r="L484"/>
      <c r="M484" s="49">
        <f t="shared" si="230"/>
        <v>14.61</v>
      </c>
      <c r="N484" s="41">
        <v>11.67</v>
      </c>
      <c r="O484" s="54"/>
      <c r="P484" s="15"/>
      <c r="Q484"/>
      <c r="R484"/>
      <c r="S484" t="s">
        <v>1017</v>
      </c>
      <c r="T484" s="178" t="s">
        <v>4180</v>
      </c>
      <c r="U484" s="55"/>
      <c r="V484"/>
      <c r="W484" s="65"/>
      <c r="X484" s="65"/>
      <c r="Y484"/>
      <c r="Z484"/>
      <c r="AA484" s="65"/>
      <c r="AB484"/>
      <c r="AC484"/>
      <c r="AD484" s="91"/>
      <c r="AE484" s="124"/>
      <c r="AF484" s="65"/>
      <c r="AG484" s="91"/>
      <c r="AH484" s="212" t="str">
        <f t="shared" si="222"/>
        <v>2011</v>
      </c>
      <c r="AI484" s="214" t="str">
        <f t="shared" si="223"/>
        <v/>
      </c>
      <c r="AJ484" s="214" t="str">
        <f t="shared" si="224"/>
        <v/>
      </c>
      <c r="AK484" s="214" t="str">
        <f t="shared" si="225"/>
        <v/>
      </c>
      <c r="AL484" s="214" t="str">
        <f t="shared" si="226"/>
        <v/>
      </c>
      <c r="AM484" s="214" t="str">
        <f t="shared" si="227"/>
        <v/>
      </c>
      <c r="AN484" s="213" t="str">
        <f t="shared" si="209"/>
        <v>2011</v>
      </c>
      <c r="AO484" s="213" t="str">
        <f t="shared" si="210"/>
        <v>2011</v>
      </c>
      <c r="AP484" s="213" t="str">
        <f t="shared" si="211"/>
        <v>2011</v>
      </c>
      <c r="AQ484" s="215" t="str">
        <f t="shared" si="212"/>
        <v/>
      </c>
      <c r="AR484" s="216" t="str">
        <f t="shared" si="213"/>
        <v>BiK81K11----04</v>
      </c>
      <c r="AS484" s="215" t="str">
        <f t="shared" si="214"/>
        <v/>
      </c>
      <c r="AT484">
        <f t="shared" si="215"/>
        <v>14</v>
      </c>
      <c r="AU484" s="216" t="str">
        <f t="shared" si="216"/>
        <v>0-0,15 MW, Bonusregel K erstmals 2011</v>
      </c>
      <c r="AV484" s="215" t="str">
        <f t="shared" si="217"/>
        <v/>
      </c>
      <c r="AW484" s="216" t="str">
        <f t="shared" si="218"/>
        <v>Anteil KWK, erstmals 2011</v>
      </c>
      <c r="AX484" s="215" t="str">
        <f t="shared" si="219"/>
        <v/>
      </c>
      <c r="AY484" t="str">
        <f t="shared" si="220"/>
        <v>x</v>
      </c>
      <c r="AZ484" t="str">
        <f t="shared" si="221"/>
        <v/>
      </c>
    </row>
    <row r="485" spans="1:52" s="178" customFormat="1" x14ac:dyDescent="0.25">
      <c r="A485" s="625" t="s">
        <v>3550</v>
      </c>
      <c r="B485" s="221" t="s">
        <v>5548</v>
      </c>
      <c r="C485" s="221" t="s">
        <v>4809</v>
      </c>
      <c r="D485" s="219" t="s">
        <v>6873</v>
      </c>
      <c r="E485" s="219" t="s">
        <v>1980</v>
      </c>
      <c r="F485" s="455">
        <f t="shared" si="228"/>
        <v>14.58</v>
      </c>
      <c r="G485" s="530">
        <v>14.58</v>
      </c>
      <c r="H485" s="488">
        <f t="shared" si="229"/>
        <v>11.66</v>
      </c>
      <c r="I485" s="707"/>
      <c r="J485" s="669" t="s">
        <v>5805</v>
      </c>
      <c r="K485" s="15"/>
      <c r="L485"/>
      <c r="M485" s="49">
        <f t="shared" si="230"/>
        <v>14.58</v>
      </c>
      <c r="N485" s="41">
        <v>11.67</v>
      </c>
      <c r="O485" s="54"/>
      <c r="P485" s="15"/>
      <c r="Q485"/>
      <c r="R485"/>
      <c r="S485" t="s">
        <v>4180</v>
      </c>
      <c r="T485" s="178" t="s">
        <v>1017</v>
      </c>
      <c r="U485" s="55"/>
      <c r="V485"/>
      <c r="W485" s="65"/>
      <c r="X485" s="65"/>
      <c r="Y485"/>
      <c r="Z485"/>
      <c r="AA485" s="65"/>
      <c r="AB485"/>
      <c r="AC485"/>
      <c r="AD485" s="91"/>
      <c r="AE485" s="124"/>
      <c r="AF485" s="65"/>
      <c r="AG485" s="91"/>
      <c r="AH485" s="217" t="s">
        <v>4179</v>
      </c>
      <c r="AI485" s="214" t="str">
        <f t="shared" si="223"/>
        <v/>
      </c>
      <c r="AJ485" s="214" t="str">
        <f t="shared" si="224"/>
        <v/>
      </c>
      <c r="AK485" s="214" t="str">
        <f t="shared" si="225"/>
        <v/>
      </c>
      <c r="AL485" s="214" t="str">
        <f t="shared" si="226"/>
        <v/>
      </c>
      <c r="AM485" s="214" t="str">
        <f t="shared" si="227"/>
        <v/>
      </c>
      <c r="AN485" s="213" t="str">
        <f t="shared" si="209"/>
        <v>2012</v>
      </c>
      <c r="AO485" s="213" t="str">
        <f t="shared" si="210"/>
        <v>2012</v>
      </c>
      <c r="AP485" s="213" t="str">
        <f t="shared" si="211"/>
        <v>2012</v>
      </c>
      <c r="AQ485" s="215" t="str">
        <f t="shared" si="212"/>
        <v/>
      </c>
      <c r="AR485" s="216" t="str">
        <f t="shared" si="213"/>
        <v>BiK81K12----04</v>
      </c>
      <c r="AS485" s="215" t="str">
        <f t="shared" si="214"/>
        <v/>
      </c>
      <c r="AT485">
        <f t="shared" si="215"/>
        <v>14</v>
      </c>
      <c r="AU485" s="216" t="str">
        <f t="shared" si="216"/>
        <v>0-0,15 MW, Bonusregel K erstmals 2012</v>
      </c>
      <c r="AV485" s="215" t="str">
        <f t="shared" si="217"/>
        <v/>
      </c>
      <c r="AW485" s="216" t="str">
        <f t="shared" si="218"/>
        <v>Anteil KWK, erstmals 2012</v>
      </c>
      <c r="AX485" s="215" t="str">
        <f t="shared" si="219"/>
        <v/>
      </c>
      <c r="AY485" t="str">
        <f t="shared" si="220"/>
        <v/>
      </c>
      <c r="AZ485" t="str">
        <f t="shared" si="221"/>
        <v>x</v>
      </c>
    </row>
    <row r="486" spans="1:52" s="178" customFormat="1" x14ac:dyDescent="0.25">
      <c r="A486" s="610" t="s">
        <v>1341</v>
      </c>
      <c r="B486" s="17" t="s">
        <v>5548</v>
      </c>
      <c r="C486" s="17" t="s">
        <v>4809</v>
      </c>
      <c r="D486" s="21" t="s">
        <v>6874</v>
      </c>
      <c r="E486" s="17" t="s">
        <v>4810</v>
      </c>
      <c r="F486" s="454">
        <f t="shared" si="228"/>
        <v>12.67</v>
      </c>
      <c r="G486" s="529">
        <v>12.67</v>
      </c>
      <c r="H486" s="487">
        <f t="shared" si="229"/>
        <v>10.14</v>
      </c>
      <c r="I486" s="706"/>
      <c r="J486" s="669" t="s">
        <v>5805</v>
      </c>
      <c r="K486" s="15"/>
      <c r="L486"/>
      <c r="M486" s="49">
        <f t="shared" si="230"/>
        <v>12.67</v>
      </c>
      <c r="N486" s="41">
        <v>11.67</v>
      </c>
      <c r="O486" s="54"/>
      <c r="P486" s="15"/>
      <c r="Q486"/>
      <c r="R486"/>
      <c r="S486" t="s">
        <v>4180</v>
      </c>
      <c r="T486" s="178" t="s">
        <v>4180</v>
      </c>
      <c r="U486" s="55" t="s">
        <v>1017</v>
      </c>
      <c r="V486"/>
      <c r="W486" s="65"/>
      <c r="X486" s="65"/>
      <c r="Y486"/>
      <c r="Z486"/>
      <c r="AA486" s="65"/>
      <c r="AB486"/>
      <c r="AC486"/>
      <c r="AD486" s="91"/>
      <c r="AE486" s="124"/>
      <c r="AF486" s="65"/>
      <c r="AG486" s="91"/>
      <c r="AH486" s="212" t="str">
        <f t="shared" ref="AH486:AH491" si="231">IF(ISERROR(SEARCH("K erstmals 201",D486)),"",RIGHT(D486,4))</f>
        <v/>
      </c>
      <c r="AI486" s="214" t="str">
        <f t="shared" si="223"/>
        <v/>
      </c>
      <c r="AJ486" s="214" t="str">
        <f t="shared" si="224"/>
        <v/>
      </c>
      <c r="AK486" s="214" t="str">
        <f t="shared" si="225"/>
        <v/>
      </c>
      <c r="AL486" s="214" t="str">
        <f t="shared" si="226"/>
        <v/>
      </c>
      <c r="AM486" s="214" t="str">
        <f t="shared" si="227"/>
        <v/>
      </c>
      <c r="AN486" s="213" t="str">
        <f t="shared" si="209"/>
        <v/>
      </c>
      <c r="AO486" s="213" t="str">
        <f t="shared" si="210"/>
        <v/>
      </c>
      <c r="AP486" s="213" t="str">
        <f t="shared" si="211"/>
        <v/>
      </c>
      <c r="AQ486" s="215" t="str">
        <f t="shared" si="212"/>
        <v/>
      </c>
      <c r="AR486" s="216" t="str">
        <f t="shared" si="213"/>
        <v>BiK81y------04</v>
      </c>
      <c r="AS486" s="215" t="str">
        <f t="shared" si="214"/>
        <v/>
      </c>
      <c r="AT486">
        <f t="shared" si="215"/>
        <v>14</v>
      </c>
      <c r="AU486" s="216" t="str">
        <f t="shared" si="216"/>
        <v>0-0,15 MW, Bonusregel y</v>
      </c>
      <c r="AV486" s="215" t="str">
        <f t="shared" si="217"/>
        <v/>
      </c>
      <c r="AW486" s="216" t="str">
        <f t="shared" si="218"/>
        <v>Anteil Nicht-KWK</v>
      </c>
      <c r="AX486" s="215" t="str">
        <f t="shared" si="219"/>
        <v/>
      </c>
      <c r="AY486" t="str">
        <f t="shared" si="220"/>
        <v/>
      </c>
      <c r="AZ486" t="str">
        <f t="shared" si="221"/>
        <v/>
      </c>
    </row>
    <row r="487" spans="1:52" s="178" customFormat="1" x14ac:dyDescent="0.25">
      <c r="A487" s="610" t="s">
        <v>1342</v>
      </c>
      <c r="B487" s="17" t="s">
        <v>5548</v>
      </c>
      <c r="C487" s="17" t="s">
        <v>4809</v>
      </c>
      <c r="D487" s="21" t="s">
        <v>6875</v>
      </c>
      <c r="E487" s="17" t="s">
        <v>4812</v>
      </c>
      <c r="F487" s="454">
        <f t="shared" si="228"/>
        <v>14.67</v>
      </c>
      <c r="G487" s="529">
        <v>14.67</v>
      </c>
      <c r="H487" s="487">
        <f t="shared" si="229"/>
        <v>11.74</v>
      </c>
      <c r="I487" s="706"/>
      <c r="J487" s="669" t="s">
        <v>5805</v>
      </c>
      <c r="K487" s="15"/>
      <c r="L487"/>
      <c r="M487" s="49">
        <f t="shared" si="230"/>
        <v>14.67</v>
      </c>
      <c r="N487" s="41">
        <v>11.67</v>
      </c>
      <c r="O487" s="54" t="s">
        <v>1017</v>
      </c>
      <c r="P487" s="15"/>
      <c r="Q487"/>
      <c r="R487"/>
      <c r="S487" t="s">
        <v>4180</v>
      </c>
      <c r="T487" s="178" t="s">
        <v>4180</v>
      </c>
      <c r="U487" s="55" t="s">
        <v>1017</v>
      </c>
      <c r="V487"/>
      <c r="W487" s="65"/>
      <c r="X487" s="65"/>
      <c r="Y487"/>
      <c r="Z487"/>
      <c r="AA487" s="65"/>
      <c r="AB487"/>
      <c r="AC487"/>
      <c r="AD487" s="91"/>
      <c r="AE487" s="124"/>
      <c r="AF487" s="65"/>
      <c r="AG487" s="91"/>
      <c r="AH487" s="212" t="str">
        <f t="shared" si="231"/>
        <v/>
      </c>
      <c r="AI487" s="214" t="str">
        <f t="shared" si="223"/>
        <v/>
      </c>
      <c r="AJ487" s="214" t="str">
        <f t="shared" si="224"/>
        <v/>
      </c>
      <c r="AK487" s="214" t="str">
        <f t="shared" si="225"/>
        <v/>
      </c>
      <c r="AL487" s="214" t="str">
        <f t="shared" si="226"/>
        <v/>
      </c>
      <c r="AM487" s="214" t="str">
        <f t="shared" si="227"/>
        <v/>
      </c>
      <c r="AN487" s="213" t="str">
        <f t="shared" si="209"/>
        <v/>
      </c>
      <c r="AO487" s="213" t="str">
        <f t="shared" si="210"/>
        <v/>
      </c>
      <c r="AP487" s="213" t="str">
        <f t="shared" si="211"/>
        <v/>
      </c>
      <c r="AQ487" s="215" t="str">
        <f t="shared" si="212"/>
        <v/>
      </c>
      <c r="AR487" s="216" t="str">
        <f t="shared" si="213"/>
        <v>BiK81KWKy---04</v>
      </c>
      <c r="AS487" s="215" t="str">
        <f t="shared" si="214"/>
        <v/>
      </c>
      <c r="AT487">
        <f t="shared" si="215"/>
        <v>14</v>
      </c>
      <c r="AU487" s="216" t="str">
        <f t="shared" si="216"/>
        <v>0-0,15 MW, Bonusregeln y und KWK</v>
      </c>
      <c r="AV487" s="215" t="str">
        <f t="shared" si="217"/>
        <v/>
      </c>
      <c r="AW487" s="216" t="str">
        <f t="shared" si="218"/>
        <v>Anteil KWK</v>
      </c>
      <c r="AX487" s="215" t="str">
        <f t="shared" si="219"/>
        <v/>
      </c>
      <c r="AY487" t="str">
        <f t="shared" si="220"/>
        <v/>
      </c>
      <c r="AZ487" t="str">
        <f t="shared" si="221"/>
        <v/>
      </c>
    </row>
    <row r="488" spans="1:52" s="178" customFormat="1" x14ac:dyDescent="0.25">
      <c r="A488" s="610" t="s">
        <v>1343</v>
      </c>
      <c r="B488" s="17" t="s">
        <v>5548</v>
      </c>
      <c r="C488" s="17" t="s">
        <v>4809</v>
      </c>
      <c r="D488" s="30" t="s">
        <v>6876</v>
      </c>
      <c r="E488" s="30" t="s">
        <v>4331</v>
      </c>
      <c r="F488" s="454">
        <f t="shared" si="228"/>
        <v>15.67</v>
      </c>
      <c r="G488" s="529">
        <v>15.67</v>
      </c>
      <c r="H488" s="487">
        <f t="shared" si="229"/>
        <v>12.54</v>
      </c>
      <c r="I488" s="706"/>
      <c r="J488" s="669" t="s">
        <v>5805</v>
      </c>
      <c r="K488" s="15"/>
      <c r="L488"/>
      <c r="M488" s="49">
        <f t="shared" si="230"/>
        <v>15.67</v>
      </c>
      <c r="N488" s="41">
        <v>11.67</v>
      </c>
      <c r="O488" s="54"/>
      <c r="P488" t="s">
        <v>1017</v>
      </c>
      <c r="Q488"/>
      <c r="R488"/>
      <c r="S488" t="s">
        <v>4180</v>
      </c>
      <c r="T488" s="178" t="s">
        <v>4180</v>
      </c>
      <c r="U488" s="55" t="s">
        <v>1017</v>
      </c>
      <c r="V488"/>
      <c r="W488" s="65"/>
      <c r="X488" s="65"/>
      <c r="Y488"/>
      <c r="Z488"/>
      <c r="AA488" s="65"/>
      <c r="AB488"/>
      <c r="AC488"/>
      <c r="AD488" s="91"/>
      <c r="AE488" s="124"/>
      <c r="AF488" s="65"/>
      <c r="AG488" s="91"/>
      <c r="AH488" s="212" t="str">
        <f t="shared" si="231"/>
        <v/>
      </c>
      <c r="AI488" s="214" t="str">
        <f t="shared" si="223"/>
        <v/>
      </c>
      <c r="AJ488" s="214" t="str">
        <f t="shared" si="224"/>
        <v/>
      </c>
      <c r="AK488" s="214" t="str">
        <f t="shared" si="225"/>
        <v/>
      </c>
      <c r="AL488" s="214" t="str">
        <f t="shared" si="226"/>
        <v/>
      </c>
      <c r="AM488" s="214" t="str">
        <f t="shared" si="227"/>
        <v/>
      </c>
      <c r="AN488" s="213" t="str">
        <f t="shared" si="209"/>
        <v/>
      </c>
      <c r="AO488" s="213" t="str">
        <f t="shared" si="210"/>
        <v/>
      </c>
      <c r="AP488" s="213" t="str">
        <f t="shared" si="211"/>
        <v/>
      </c>
      <c r="AQ488" s="215" t="str">
        <f t="shared" si="212"/>
        <v/>
      </c>
      <c r="AR488" s="216" t="str">
        <f t="shared" si="213"/>
        <v>BiK81KA3y---04</v>
      </c>
      <c r="AS488" s="215" t="str">
        <f t="shared" si="214"/>
        <v/>
      </c>
      <c r="AT488">
        <f t="shared" si="215"/>
        <v>14</v>
      </c>
      <c r="AU488" s="216" t="str">
        <f t="shared" si="216"/>
        <v>0-0,15 MW, Bonusregeln y und K wenn Anlage 3 erfüllt</v>
      </c>
      <c r="AV488" s="215" t="str">
        <f t="shared" si="217"/>
        <v/>
      </c>
      <c r="AW488" s="216" t="str">
        <f t="shared" si="218"/>
        <v>Anteil KWK gemäß Anlage 3</v>
      </c>
      <c r="AX488" s="215" t="str">
        <f t="shared" si="219"/>
        <v/>
      </c>
      <c r="AY488" t="str">
        <f t="shared" si="220"/>
        <v/>
      </c>
      <c r="AZ488" t="str">
        <f t="shared" si="221"/>
        <v/>
      </c>
    </row>
    <row r="489" spans="1:52" s="178" customFormat="1" x14ac:dyDescent="0.25">
      <c r="A489" s="610" t="s">
        <v>1344</v>
      </c>
      <c r="B489" s="17" t="s">
        <v>5548</v>
      </c>
      <c r="C489" s="17" t="s">
        <v>4809</v>
      </c>
      <c r="D489" s="30" t="s">
        <v>6877</v>
      </c>
      <c r="E489" s="17" t="s">
        <v>674</v>
      </c>
      <c r="F489" s="454">
        <f t="shared" si="228"/>
        <v>15.67</v>
      </c>
      <c r="G489" s="529">
        <v>15.67</v>
      </c>
      <c r="H489" s="487">
        <f t="shared" si="229"/>
        <v>12.54</v>
      </c>
      <c r="I489" s="706"/>
      <c r="J489" s="669" t="s">
        <v>5805</v>
      </c>
      <c r="K489" s="15"/>
      <c r="L489"/>
      <c r="M489" s="49">
        <f t="shared" si="230"/>
        <v>15.67</v>
      </c>
      <c r="N489" s="41">
        <v>11.67</v>
      </c>
      <c r="O489" s="54"/>
      <c r="P489" s="15"/>
      <c r="Q489" t="s">
        <v>1017</v>
      </c>
      <c r="R489"/>
      <c r="S489" t="s">
        <v>4180</v>
      </c>
      <c r="T489" s="178" t="s">
        <v>4180</v>
      </c>
      <c r="U489" s="55" t="s">
        <v>1017</v>
      </c>
      <c r="V489"/>
      <c r="W489" s="65"/>
      <c r="X489" s="65"/>
      <c r="Y489"/>
      <c r="Z489"/>
      <c r="AA489" s="65"/>
      <c r="AB489"/>
      <c r="AC489"/>
      <c r="AD489" s="91"/>
      <c r="AE489" s="124"/>
      <c r="AF489" s="65"/>
      <c r="AG489" s="91"/>
      <c r="AH489" s="212" t="str">
        <f t="shared" si="231"/>
        <v/>
      </c>
      <c r="AI489" s="214" t="str">
        <f t="shared" si="223"/>
        <v/>
      </c>
      <c r="AJ489" s="214" t="str">
        <f t="shared" si="224"/>
        <v/>
      </c>
      <c r="AK489" s="214" t="str">
        <f t="shared" si="225"/>
        <v/>
      </c>
      <c r="AL489" s="214" t="str">
        <f t="shared" si="226"/>
        <v/>
      </c>
      <c r="AM489" s="214" t="str">
        <f t="shared" si="227"/>
        <v/>
      </c>
      <c r="AN489" s="213" t="str">
        <f t="shared" si="209"/>
        <v/>
      </c>
      <c r="AO489" s="213" t="str">
        <f t="shared" si="210"/>
        <v/>
      </c>
      <c r="AP489" s="213" t="str">
        <f t="shared" si="211"/>
        <v/>
      </c>
      <c r="AQ489" s="215" t="str">
        <f t="shared" si="212"/>
        <v/>
      </c>
      <c r="AR489" s="216" t="str">
        <f t="shared" si="213"/>
        <v>BiK81K09y---04</v>
      </c>
      <c r="AS489" s="215" t="str">
        <f t="shared" si="214"/>
        <v/>
      </c>
      <c r="AT489">
        <f t="shared" si="215"/>
        <v>14</v>
      </c>
      <c r="AU489" s="216" t="str">
        <f t="shared" si="216"/>
        <v>0-0,15 MW, Bonusregeln y und K erstmals 2009</v>
      </c>
      <c r="AV489" s="215" t="str">
        <f t="shared" si="217"/>
        <v/>
      </c>
      <c r="AW489" s="216" t="str">
        <f t="shared" si="218"/>
        <v>Anteil KWK, erstmals 2009</v>
      </c>
      <c r="AX489" s="215" t="str">
        <f t="shared" si="219"/>
        <v/>
      </c>
      <c r="AY489" t="str">
        <f t="shared" si="220"/>
        <v/>
      </c>
      <c r="AZ489" t="str">
        <f t="shared" si="221"/>
        <v/>
      </c>
    </row>
    <row r="490" spans="1:52" s="178" customFormat="1" x14ac:dyDescent="0.25">
      <c r="A490" s="610" t="s">
        <v>1629</v>
      </c>
      <c r="B490" s="17" t="s">
        <v>5548</v>
      </c>
      <c r="C490" s="17" t="s">
        <v>4809</v>
      </c>
      <c r="D490" s="30" t="s">
        <v>6878</v>
      </c>
      <c r="E490" s="30" t="s">
        <v>3567</v>
      </c>
      <c r="F490" s="454">
        <f t="shared" si="228"/>
        <v>15.64</v>
      </c>
      <c r="G490" s="529">
        <v>15.64</v>
      </c>
      <c r="H490" s="487">
        <f t="shared" si="229"/>
        <v>12.51</v>
      </c>
      <c r="I490" s="706"/>
      <c r="J490" s="669" t="s">
        <v>5805</v>
      </c>
      <c r="K490" s="15"/>
      <c r="L490"/>
      <c r="M490" s="49">
        <f t="shared" si="230"/>
        <v>15.64</v>
      </c>
      <c r="N490" s="41">
        <v>11.67</v>
      </c>
      <c r="O490" s="54"/>
      <c r="P490" s="15"/>
      <c r="Q490"/>
      <c r="R490" t="s">
        <v>1017</v>
      </c>
      <c r="S490" t="s">
        <v>4180</v>
      </c>
      <c r="T490" s="178" t="s">
        <v>4180</v>
      </c>
      <c r="U490" s="55" t="s">
        <v>1017</v>
      </c>
      <c r="V490"/>
      <c r="W490" s="65"/>
      <c r="X490" s="65"/>
      <c r="Y490"/>
      <c r="Z490"/>
      <c r="AA490" s="65"/>
      <c r="AB490"/>
      <c r="AC490"/>
      <c r="AD490" s="91"/>
      <c r="AE490" s="124"/>
      <c r="AF490" s="65"/>
      <c r="AG490" s="91"/>
      <c r="AH490" s="212" t="str">
        <f t="shared" si="231"/>
        <v>2010</v>
      </c>
      <c r="AI490" s="214" t="str">
        <f t="shared" si="223"/>
        <v/>
      </c>
      <c r="AJ490" s="214" t="str">
        <f t="shared" si="224"/>
        <v/>
      </c>
      <c r="AK490" s="214" t="str">
        <f t="shared" si="225"/>
        <v/>
      </c>
      <c r="AL490" s="214" t="str">
        <f t="shared" si="226"/>
        <v/>
      </c>
      <c r="AM490" s="214" t="str">
        <f t="shared" si="227"/>
        <v/>
      </c>
      <c r="AN490" s="213" t="str">
        <f t="shared" si="209"/>
        <v>2010</v>
      </c>
      <c r="AO490" s="213" t="str">
        <f t="shared" si="210"/>
        <v>2010</v>
      </c>
      <c r="AP490" s="213" t="str">
        <f t="shared" si="211"/>
        <v>2010</v>
      </c>
      <c r="AQ490" s="215" t="str">
        <f t="shared" si="212"/>
        <v/>
      </c>
      <c r="AR490" s="216" t="str">
        <f t="shared" si="213"/>
        <v>BiK81K10y---04</v>
      </c>
      <c r="AS490" s="215" t="str">
        <f t="shared" si="214"/>
        <v/>
      </c>
      <c r="AT490">
        <f t="shared" si="215"/>
        <v>14</v>
      </c>
      <c r="AU490" s="216" t="str">
        <f t="shared" si="216"/>
        <v>0-0,15 MW, Bonusregeln y und K erstmals 2010</v>
      </c>
      <c r="AV490" s="215" t="str">
        <f t="shared" si="217"/>
        <v/>
      </c>
      <c r="AW490" s="216" t="str">
        <f t="shared" si="218"/>
        <v>Anteil KWK, erstmals 2010</v>
      </c>
      <c r="AX490" s="215" t="str">
        <f t="shared" si="219"/>
        <v/>
      </c>
      <c r="AY490" t="str">
        <f t="shared" si="220"/>
        <v/>
      </c>
      <c r="AZ490" t="str">
        <f t="shared" si="221"/>
        <v/>
      </c>
    </row>
    <row r="491" spans="1:52" s="178" customFormat="1" x14ac:dyDescent="0.25">
      <c r="A491" s="610" t="s">
        <v>5244</v>
      </c>
      <c r="B491" s="17" t="s">
        <v>5548</v>
      </c>
      <c r="C491" s="17" t="s">
        <v>4809</v>
      </c>
      <c r="D491" s="30" t="s">
        <v>6879</v>
      </c>
      <c r="E491" s="30" t="s">
        <v>3055</v>
      </c>
      <c r="F491" s="454">
        <f t="shared" si="228"/>
        <v>15.61</v>
      </c>
      <c r="G491" s="529">
        <v>15.61</v>
      </c>
      <c r="H491" s="487">
        <f t="shared" si="229"/>
        <v>12.49</v>
      </c>
      <c r="I491" s="706"/>
      <c r="J491" s="669" t="s">
        <v>5805</v>
      </c>
      <c r="K491" s="15"/>
      <c r="L491"/>
      <c r="M491" s="49">
        <f t="shared" si="230"/>
        <v>15.61</v>
      </c>
      <c r="N491" s="41">
        <v>11.67</v>
      </c>
      <c r="O491" s="54"/>
      <c r="P491" s="15"/>
      <c r="Q491"/>
      <c r="R491"/>
      <c r="S491" t="s">
        <v>1017</v>
      </c>
      <c r="T491" s="178" t="s">
        <v>4180</v>
      </c>
      <c r="U491" s="55" t="s">
        <v>1017</v>
      </c>
      <c r="V491"/>
      <c r="W491" s="65"/>
      <c r="X491" s="65"/>
      <c r="Y491"/>
      <c r="Z491"/>
      <c r="AA491" s="65"/>
      <c r="AB491"/>
      <c r="AC491"/>
      <c r="AD491" s="91"/>
      <c r="AE491" s="124"/>
      <c r="AF491" s="65"/>
      <c r="AG491" s="91"/>
      <c r="AH491" s="212" t="str">
        <f t="shared" si="231"/>
        <v>2011</v>
      </c>
      <c r="AI491" s="214" t="str">
        <f t="shared" si="223"/>
        <v/>
      </c>
      <c r="AJ491" s="214" t="str">
        <f t="shared" si="224"/>
        <v/>
      </c>
      <c r="AK491" s="214" t="str">
        <f t="shared" si="225"/>
        <v/>
      </c>
      <c r="AL491" s="214" t="str">
        <f t="shared" si="226"/>
        <v/>
      </c>
      <c r="AM491" s="214" t="str">
        <f t="shared" si="227"/>
        <v/>
      </c>
      <c r="AN491" s="213" t="str">
        <f t="shared" si="209"/>
        <v>2011</v>
      </c>
      <c r="AO491" s="213" t="str">
        <f t="shared" si="210"/>
        <v>2011</v>
      </c>
      <c r="AP491" s="213" t="str">
        <f t="shared" si="211"/>
        <v>2011</v>
      </c>
      <c r="AQ491" s="215" t="str">
        <f t="shared" si="212"/>
        <v/>
      </c>
      <c r="AR491" s="216" t="str">
        <f t="shared" si="213"/>
        <v>BiK81K11y---04</v>
      </c>
      <c r="AS491" s="215" t="str">
        <f t="shared" si="214"/>
        <v/>
      </c>
      <c r="AT491">
        <f t="shared" si="215"/>
        <v>14</v>
      </c>
      <c r="AU491" s="216" t="str">
        <f t="shared" si="216"/>
        <v>0-0,15 MW, Bonusregeln y und K erstmals 2011</v>
      </c>
      <c r="AV491" s="215" t="str">
        <f t="shared" si="217"/>
        <v/>
      </c>
      <c r="AW491" s="216" t="str">
        <f t="shared" si="218"/>
        <v>Anteil KWK, erstmals 2011</v>
      </c>
      <c r="AX491" s="215" t="str">
        <f t="shared" si="219"/>
        <v/>
      </c>
      <c r="AY491" t="str">
        <f t="shared" si="220"/>
        <v>x</v>
      </c>
      <c r="AZ491" t="str">
        <f t="shared" si="221"/>
        <v/>
      </c>
    </row>
    <row r="492" spans="1:52" s="178" customFormat="1" x14ac:dyDescent="0.25">
      <c r="A492" s="625" t="s">
        <v>3551</v>
      </c>
      <c r="B492" s="221" t="s">
        <v>5548</v>
      </c>
      <c r="C492" s="221" t="s">
        <v>4809</v>
      </c>
      <c r="D492" s="219" t="s">
        <v>6880</v>
      </c>
      <c r="E492" s="219" t="s">
        <v>1980</v>
      </c>
      <c r="F492" s="455">
        <f t="shared" si="228"/>
        <v>15.58</v>
      </c>
      <c r="G492" s="530">
        <v>15.58</v>
      </c>
      <c r="H492" s="488">
        <f t="shared" si="229"/>
        <v>12.46</v>
      </c>
      <c r="I492" s="707"/>
      <c r="J492" s="669" t="s">
        <v>5805</v>
      </c>
      <c r="K492" s="15"/>
      <c r="L492"/>
      <c r="M492" s="49">
        <f t="shared" si="230"/>
        <v>15.58</v>
      </c>
      <c r="N492" s="41">
        <v>11.67</v>
      </c>
      <c r="O492" s="54"/>
      <c r="P492" s="15"/>
      <c r="Q492"/>
      <c r="R492"/>
      <c r="S492" t="s">
        <v>4180</v>
      </c>
      <c r="T492" s="178" t="s">
        <v>1017</v>
      </c>
      <c r="U492" s="55" t="s">
        <v>1017</v>
      </c>
      <c r="V492"/>
      <c r="W492" s="65"/>
      <c r="X492" s="65"/>
      <c r="Y492"/>
      <c r="Z492"/>
      <c r="AA492" s="65"/>
      <c r="AB492"/>
      <c r="AC492"/>
      <c r="AD492" s="91"/>
      <c r="AE492" s="124"/>
      <c r="AF492" s="65"/>
      <c r="AG492" s="91"/>
      <c r="AH492" s="217" t="s">
        <v>4179</v>
      </c>
      <c r="AI492" s="214" t="str">
        <f t="shared" si="223"/>
        <v/>
      </c>
      <c r="AJ492" s="214" t="str">
        <f t="shared" si="224"/>
        <v/>
      </c>
      <c r="AK492" s="214" t="str">
        <f t="shared" si="225"/>
        <v/>
      </c>
      <c r="AL492" s="214" t="str">
        <f t="shared" si="226"/>
        <v/>
      </c>
      <c r="AM492" s="214" t="str">
        <f t="shared" si="227"/>
        <v/>
      </c>
      <c r="AN492" s="213" t="str">
        <f t="shared" si="209"/>
        <v>2012</v>
      </c>
      <c r="AO492" s="213" t="str">
        <f t="shared" si="210"/>
        <v>2012</v>
      </c>
      <c r="AP492" s="213" t="str">
        <f t="shared" si="211"/>
        <v>2012</v>
      </c>
      <c r="AQ492" s="215" t="str">
        <f t="shared" si="212"/>
        <v/>
      </c>
      <c r="AR492" s="216" t="str">
        <f t="shared" si="213"/>
        <v>BiK81K12y---04</v>
      </c>
      <c r="AS492" s="215" t="str">
        <f t="shared" si="214"/>
        <v/>
      </c>
      <c r="AT492">
        <f t="shared" si="215"/>
        <v>14</v>
      </c>
      <c r="AU492" s="216" t="str">
        <f t="shared" si="216"/>
        <v>0-0,15 MW, Bonusregeln y und K erstmals 2012</v>
      </c>
      <c r="AV492" s="215" t="str">
        <f t="shared" si="217"/>
        <v/>
      </c>
      <c r="AW492" s="216" t="str">
        <f t="shared" si="218"/>
        <v>Anteil KWK, erstmals 2012</v>
      </c>
      <c r="AX492" s="215" t="str">
        <f t="shared" si="219"/>
        <v/>
      </c>
      <c r="AY492" t="str">
        <f t="shared" si="220"/>
        <v/>
      </c>
      <c r="AZ492" t="str">
        <f t="shared" si="221"/>
        <v>x</v>
      </c>
    </row>
    <row r="493" spans="1:52" s="178" customFormat="1" x14ac:dyDescent="0.25">
      <c r="A493" s="618" t="s">
        <v>4813</v>
      </c>
      <c r="B493" s="31" t="s">
        <v>5548</v>
      </c>
      <c r="C493" s="31" t="s">
        <v>4809</v>
      </c>
      <c r="D493" s="31" t="s">
        <v>6881</v>
      </c>
      <c r="E493" s="31" t="s">
        <v>4810</v>
      </c>
      <c r="F493" s="460">
        <f t="shared" si="228"/>
        <v>17.670000000000002</v>
      </c>
      <c r="G493" s="536">
        <v>17.670000000000002</v>
      </c>
      <c r="H493" s="494">
        <f t="shared" si="229"/>
        <v>14.14</v>
      </c>
      <c r="I493" s="713"/>
      <c r="J493" s="669" t="s">
        <v>5805</v>
      </c>
      <c r="K493" s="15"/>
      <c r="L493"/>
      <c r="M493" s="49">
        <f t="shared" si="230"/>
        <v>17.670000000000002</v>
      </c>
      <c r="N493" s="41">
        <v>11.67</v>
      </c>
      <c r="O493" s="54"/>
      <c r="P493" s="15"/>
      <c r="Q493"/>
      <c r="R493"/>
      <c r="S493" t="s">
        <v>4180</v>
      </c>
      <c r="T493" s="178" t="s">
        <v>4180</v>
      </c>
      <c r="U493" s="55"/>
      <c r="V493" t="s">
        <v>1017</v>
      </c>
      <c r="W493" s="65"/>
      <c r="X493" s="65"/>
      <c r="Y493"/>
      <c r="Z493"/>
      <c r="AA493" s="65"/>
      <c r="AB493"/>
      <c r="AC493"/>
      <c r="AD493" s="91"/>
      <c r="AE493" s="124"/>
      <c r="AF493" s="65"/>
      <c r="AG493" s="91"/>
      <c r="AH493" s="212" t="str">
        <f t="shared" ref="AH493:AH498" si="232">IF(ISERROR(SEARCH("K erstmals 201",D493)),"",RIGHT(D493,4))</f>
        <v/>
      </c>
      <c r="AI493" s="214" t="str">
        <f t="shared" si="223"/>
        <v/>
      </c>
      <c r="AJ493" s="214" t="str">
        <f t="shared" si="224"/>
        <v/>
      </c>
      <c r="AK493" s="214" t="str">
        <f t="shared" si="225"/>
        <v/>
      </c>
      <c r="AL493" s="214" t="str">
        <f t="shared" si="226"/>
        <v/>
      </c>
      <c r="AM493" s="214" t="str">
        <f t="shared" si="227"/>
        <v/>
      </c>
      <c r="AN493" s="213" t="str">
        <f t="shared" si="209"/>
        <v/>
      </c>
      <c r="AO493" s="213" t="str">
        <f t="shared" si="210"/>
        <v/>
      </c>
      <c r="AP493" s="213" t="str">
        <f t="shared" si="211"/>
        <v/>
      </c>
      <c r="AQ493" s="215" t="str">
        <f t="shared" si="212"/>
        <v/>
      </c>
      <c r="AR493" s="216" t="str">
        <f t="shared" si="213"/>
        <v>BiK81a1-----04</v>
      </c>
      <c r="AS493" s="215" t="str">
        <f t="shared" si="214"/>
        <v/>
      </c>
      <c r="AT493">
        <f t="shared" si="215"/>
        <v>14</v>
      </c>
      <c r="AU493" s="216" t="str">
        <f t="shared" si="216"/>
        <v>0-0,15 MW, Bonusregel a1</v>
      </c>
      <c r="AV493" s="215" t="str">
        <f t="shared" si="217"/>
        <v/>
      </c>
      <c r="AW493" s="216" t="str">
        <f t="shared" si="218"/>
        <v>Anteil Nicht-KWK</v>
      </c>
      <c r="AX493" s="215" t="str">
        <f t="shared" si="219"/>
        <v/>
      </c>
      <c r="AY493" t="str">
        <f t="shared" si="220"/>
        <v/>
      </c>
      <c r="AZ493" t="str">
        <f t="shared" si="221"/>
        <v/>
      </c>
    </row>
    <row r="494" spans="1:52" s="178" customFormat="1" x14ac:dyDescent="0.25">
      <c r="A494" s="618" t="s">
        <v>4814</v>
      </c>
      <c r="B494" s="31" t="s">
        <v>5548</v>
      </c>
      <c r="C494" s="31" t="s">
        <v>4809</v>
      </c>
      <c r="D494" s="33" t="s">
        <v>6882</v>
      </c>
      <c r="E494" s="31" t="s">
        <v>4812</v>
      </c>
      <c r="F494" s="460">
        <f t="shared" si="228"/>
        <v>19.670000000000002</v>
      </c>
      <c r="G494" s="536">
        <v>19.670000000000002</v>
      </c>
      <c r="H494" s="494">
        <f t="shared" si="229"/>
        <v>15.74</v>
      </c>
      <c r="I494" s="713"/>
      <c r="J494" s="669" t="s">
        <v>5805</v>
      </c>
      <c r="K494" s="15"/>
      <c r="L494"/>
      <c r="M494" s="49">
        <f t="shared" si="230"/>
        <v>19.670000000000002</v>
      </c>
      <c r="N494" s="41">
        <v>11.67</v>
      </c>
      <c r="O494" s="54" t="s">
        <v>1017</v>
      </c>
      <c r="P494" s="15"/>
      <c r="Q494"/>
      <c r="R494"/>
      <c r="S494" t="s">
        <v>4180</v>
      </c>
      <c r="T494" s="178" t="s">
        <v>4180</v>
      </c>
      <c r="U494" s="55"/>
      <c r="V494" t="s">
        <v>1017</v>
      </c>
      <c r="W494" s="65"/>
      <c r="X494" s="65"/>
      <c r="Y494"/>
      <c r="Z494"/>
      <c r="AA494" s="65"/>
      <c r="AB494"/>
      <c r="AC494"/>
      <c r="AD494" s="91"/>
      <c r="AE494" s="124"/>
      <c r="AF494" s="65"/>
      <c r="AG494" s="91"/>
      <c r="AH494" s="212" t="str">
        <f t="shared" si="232"/>
        <v/>
      </c>
      <c r="AI494" s="214" t="str">
        <f t="shared" si="223"/>
        <v/>
      </c>
      <c r="AJ494" s="214" t="str">
        <f t="shared" si="224"/>
        <v/>
      </c>
      <c r="AK494" s="214" t="str">
        <f t="shared" si="225"/>
        <v/>
      </c>
      <c r="AL494" s="214" t="str">
        <f t="shared" si="226"/>
        <v/>
      </c>
      <c r="AM494" s="214" t="str">
        <f t="shared" si="227"/>
        <v/>
      </c>
      <c r="AN494" s="213" t="str">
        <f t="shared" si="209"/>
        <v/>
      </c>
      <c r="AO494" s="213" t="str">
        <f t="shared" si="210"/>
        <v/>
      </c>
      <c r="AP494" s="213" t="str">
        <f t="shared" si="211"/>
        <v/>
      </c>
      <c r="AQ494" s="215" t="str">
        <f t="shared" si="212"/>
        <v/>
      </c>
      <c r="AR494" s="216" t="str">
        <f t="shared" si="213"/>
        <v>BiK81a1KWK--04</v>
      </c>
      <c r="AS494" s="215" t="str">
        <f t="shared" si="214"/>
        <v/>
      </c>
      <c r="AT494">
        <f t="shared" si="215"/>
        <v>14</v>
      </c>
      <c r="AU494" s="216" t="str">
        <f t="shared" si="216"/>
        <v>0-0,15 MW, Bonusregeln a1 und KWK</v>
      </c>
      <c r="AV494" s="215" t="str">
        <f t="shared" si="217"/>
        <v/>
      </c>
      <c r="AW494" s="216" t="str">
        <f t="shared" si="218"/>
        <v>Anteil KWK</v>
      </c>
      <c r="AX494" s="215" t="str">
        <f t="shared" si="219"/>
        <v/>
      </c>
      <c r="AY494" t="str">
        <f t="shared" si="220"/>
        <v/>
      </c>
      <c r="AZ494" t="str">
        <f t="shared" si="221"/>
        <v/>
      </c>
    </row>
    <row r="495" spans="1:52" s="178" customFormat="1" x14ac:dyDescent="0.25">
      <c r="A495" s="610" t="s">
        <v>4036</v>
      </c>
      <c r="B495" s="17" t="s">
        <v>5548</v>
      </c>
      <c r="C495" s="17" t="s">
        <v>4809</v>
      </c>
      <c r="D495" s="30" t="s">
        <v>6883</v>
      </c>
      <c r="E495" s="30" t="s">
        <v>4331</v>
      </c>
      <c r="F495" s="454">
        <f t="shared" si="228"/>
        <v>20.67</v>
      </c>
      <c r="G495" s="529">
        <v>20.67</v>
      </c>
      <c r="H495" s="487">
        <f t="shared" si="229"/>
        <v>16.54</v>
      </c>
      <c r="I495" s="706"/>
      <c r="J495" s="669" t="s">
        <v>5805</v>
      </c>
      <c r="K495" s="15"/>
      <c r="L495"/>
      <c r="M495" s="49">
        <f t="shared" si="230"/>
        <v>20.67</v>
      </c>
      <c r="N495" s="41">
        <v>11.67</v>
      </c>
      <c r="O495" s="54"/>
      <c r="P495" t="s">
        <v>1017</v>
      </c>
      <c r="Q495"/>
      <c r="R495"/>
      <c r="S495" t="s">
        <v>4180</v>
      </c>
      <c r="T495" s="178" t="s">
        <v>4180</v>
      </c>
      <c r="U495" s="55"/>
      <c r="V495" t="s">
        <v>1017</v>
      </c>
      <c r="W495" s="65"/>
      <c r="X495" s="65"/>
      <c r="Y495"/>
      <c r="Z495"/>
      <c r="AA495" s="65"/>
      <c r="AB495"/>
      <c r="AC495"/>
      <c r="AD495" s="91"/>
      <c r="AE495" s="124"/>
      <c r="AF495" s="65"/>
      <c r="AG495" s="91"/>
      <c r="AH495" s="212" t="str">
        <f t="shared" si="232"/>
        <v/>
      </c>
      <c r="AI495" s="214" t="str">
        <f t="shared" si="223"/>
        <v/>
      </c>
      <c r="AJ495" s="214" t="str">
        <f t="shared" si="224"/>
        <v/>
      </c>
      <c r="AK495" s="214" t="str">
        <f t="shared" si="225"/>
        <v/>
      </c>
      <c r="AL495" s="214" t="str">
        <f t="shared" si="226"/>
        <v/>
      </c>
      <c r="AM495" s="214" t="str">
        <f t="shared" si="227"/>
        <v/>
      </c>
      <c r="AN495" s="213" t="str">
        <f t="shared" si="209"/>
        <v/>
      </c>
      <c r="AO495" s="213" t="str">
        <f t="shared" si="210"/>
        <v/>
      </c>
      <c r="AP495" s="213" t="str">
        <f t="shared" si="211"/>
        <v/>
      </c>
      <c r="AQ495" s="215" t="str">
        <f t="shared" si="212"/>
        <v/>
      </c>
      <c r="AR495" s="216" t="str">
        <f t="shared" si="213"/>
        <v>BiK81a1KA3--04</v>
      </c>
      <c r="AS495" s="215" t="str">
        <f t="shared" si="214"/>
        <v/>
      </c>
      <c r="AT495">
        <f t="shared" si="215"/>
        <v>14</v>
      </c>
      <c r="AU495" s="216" t="str">
        <f t="shared" si="216"/>
        <v>0-0,15 MW, Bonusregeln a1 und K wenn Anlage 3 erfüllt</v>
      </c>
      <c r="AV495" s="215" t="str">
        <f t="shared" si="217"/>
        <v/>
      </c>
      <c r="AW495" s="216" t="str">
        <f t="shared" si="218"/>
        <v>Anteil KWK gemäß Anlage 3</v>
      </c>
      <c r="AX495" s="215" t="str">
        <f t="shared" si="219"/>
        <v/>
      </c>
      <c r="AY495" t="str">
        <f t="shared" si="220"/>
        <v/>
      </c>
      <c r="AZ495" t="str">
        <f t="shared" si="221"/>
        <v/>
      </c>
    </row>
    <row r="496" spans="1:52" s="178" customFormat="1" x14ac:dyDescent="0.25">
      <c r="A496" s="610" t="s">
        <v>4335</v>
      </c>
      <c r="B496" s="17" t="s">
        <v>5548</v>
      </c>
      <c r="C496" s="17" t="s">
        <v>4809</v>
      </c>
      <c r="D496" s="30" t="s">
        <v>6884</v>
      </c>
      <c r="E496" s="17" t="s">
        <v>674</v>
      </c>
      <c r="F496" s="454">
        <f t="shared" si="228"/>
        <v>20.67</v>
      </c>
      <c r="G496" s="529">
        <v>20.67</v>
      </c>
      <c r="H496" s="487">
        <f t="shared" si="229"/>
        <v>16.54</v>
      </c>
      <c r="I496" s="706"/>
      <c r="J496" s="669" t="s">
        <v>5805</v>
      </c>
      <c r="K496" s="15"/>
      <c r="L496"/>
      <c r="M496" s="49">
        <f t="shared" si="230"/>
        <v>20.67</v>
      </c>
      <c r="N496" s="41">
        <v>11.67</v>
      </c>
      <c r="O496" s="54"/>
      <c r="P496" s="15"/>
      <c r="Q496" t="s">
        <v>1017</v>
      </c>
      <c r="R496"/>
      <c r="S496" t="s">
        <v>4180</v>
      </c>
      <c r="T496" s="178" t="s">
        <v>4180</v>
      </c>
      <c r="U496" s="55"/>
      <c r="V496" t="s">
        <v>1017</v>
      </c>
      <c r="W496" s="65"/>
      <c r="X496" s="65"/>
      <c r="Y496"/>
      <c r="Z496"/>
      <c r="AA496" s="65"/>
      <c r="AB496"/>
      <c r="AC496"/>
      <c r="AD496" s="91"/>
      <c r="AE496" s="124"/>
      <c r="AF496" s="65"/>
      <c r="AG496" s="91"/>
      <c r="AH496" s="212" t="str">
        <f t="shared" si="232"/>
        <v/>
      </c>
      <c r="AI496" s="214" t="str">
        <f t="shared" si="223"/>
        <v/>
      </c>
      <c r="AJ496" s="214" t="str">
        <f t="shared" si="224"/>
        <v/>
      </c>
      <c r="AK496" s="214" t="str">
        <f t="shared" si="225"/>
        <v/>
      </c>
      <c r="AL496" s="214" t="str">
        <f t="shared" si="226"/>
        <v/>
      </c>
      <c r="AM496" s="214" t="str">
        <f t="shared" si="227"/>
        <v/>
      </c>
      <c r="AN496" s="213" t="str">
        <f t="shared" si="209"/>
        <v/>
      </c>
      <c r="AO496" s="213" t="str">
        <f t="shared" si="210"/>
        <v/>
      </c>
      <c r="AP496" s="213" t="str">
        <f t="shared" si="211"/>
        <v/>
      </c>
      <c r="AQ496" s="215" t="str">
        <f t="shared" si="212"/>
        <v/>
      </c>
      <c r="AR496" s="216" t="str">
        <f t="shared" si="213"/>
        <v>BiK81a1K09--04</v>
      </c>
      <c r="AS496" s="215" t="str">
        <f t="shared" si="214"/>
        <v/>
      </c>
      <c r="AT496">
        <f t="shared" si="215"/>
        <v>14</v>
      </c>
      <c r="AU496" s="216" t="str">
        <f t="shared" si="216"/>
        <v>0-0,15 MW, Bonusregeln a1, K erstmals 2009</v>
      </c>
      <c r="AV496" s="215" t="str">
        <f t="shared" si="217"/>
        <v/>
      </c>
      <c r="AW496" s="216" t="str">
        <f t="shared" si="218"/>
        <v>Anteil KWK, erstmals 2009</v>
      </c>
      <c r="AX496" s="215" t="str">
        <f t="shared" si="219"/>
        <v/>
      </c>
      <c r="AY496" t="str">
        <f t="shared" si="220"/>
        <v/>
      </c>
      <c r="AZ496" t="str">
        <f t="shared" si="221"/>
        <v/>
      </c>
    </row>
    <row r="497" spans="1:52" s="178" customFormat="1" x14ac:dyDescent="0.25">
      <c r="A497" s="610" t="s">
        <v>1630</v>
      </c>
      <c r="B497" s="17" t="s">
        <v>5548</v>
      </c>
      <c r="C497" s="17" t="s">
        <v>4809</v>
      </c>
      <c r="D497" s="30" t="s">
        <v>6885</v>
      </c>
      <c r="E497" s="30" t="s">
        <v>3567</v>
      </c>
      <c r="F497" s="454">
        <f t="shared" si="228"/>
        <v>20.64</v>
      </c>
      <c r="G497" s="529">
        <v>20.64</v>
      </c>
      <c r="H497" s="487">
        <f t="shared" si="229"/>
        <v>16.510000000000002</v>
      </c>
      <c r="I497" s="706"/>
      <c r="J497" s="669" t="s">
        <v>5805</v>
      </c>
      <c r="K497" s="15"/>
      <c r="L497"/>
      <c r="M497" s="49">
        <f t="shared" si="230"/>
        <v>20.64</v>
      </c>
      <c r="N497" s="41">
        <v>11.67</v>
      </c>
      <c r="O497" s="54"/>
      <c r="P497" s="15"/>
      <c r="Q497"/>
      <c r="R497" t="s">
        <v>1017</v>
      </c>
      <c r="S497" t="s">
        <v>4180</v>
      </c>
      <c r="T497" s="178" t="s">
        <v>4180</v>
      </c>
      <c r="U497" s="55"/>
      <c r="V497" t="s">
        <v>1017</v>
      </c>
      <c r="W497" s="65"/>
      <c r="X497" s="65"/>
      <c r="Y497"/>
      <c r="Z497"/>
      <c r="AA497" s="65"/>
      <c r="AB497"/>
      <c r="AC497"/>
      <c r="AD497" s="91"/>
      <c r="AE497" s="124"/>
      <c r="AF497" s="65"/>
      <c r="AG497" s="91"/>
      <c r="AH497" s="212" t="str">
        <f t="shared" si="232"/>
        <v>2010</v>
      </c>
      <c r="AI497" s="214" t="str">
        <f t="shared" si="223"/>
        <v/>
      </c>
      <c r="AJ497" s="214" t="str">
        <f t="shared" si="224"/>
        <v/>
      </c>
      <c r="AK497" s="214" t="str">
        <f t="shared" si="225"/>
        <v/>
      </c>
      <c r="AL497" s="214" t="str">
        <f t="shared" si="226"/>
        <v/>
      </c>
      <c r="AM497" s="214" t="str">
        <f t="shared" si="227"/>
        <v/>
      </c>
      <c r="AN497" s="213" t="str">
        <f t="shared" si="209"/>
        <v>2010</v>
      </c>
      <c r="AO497" s="213" t="str">
        <f t="shared" si="210"/>
        <v>2010</v>
      </c>
      <c r="AP497" s="213" t="str">
        <f t="shared" si="211"/>
        <v>2010</v>
      </c>
      <c r="AQ497" s="215" t="str">
        <f t="shared" si="212"/>
        <v/>
      </c>
      <c r="AR497" s="216" t="str">
        <f t="shared" si="213"/>
        <v>BiK81a1K10--04</v>
      </c>
      <c r="AS497" s="215" t="str">
        <f t="shared" si="214"/>
        <v/>
      </c>
      <c r="AT497">
        <f t="shared" si="215"/>
        <v>14</v>
      </c>
      <c r="AU497" s="216" t="str">
        <f t="shared" si="216"/>
        <v>0-0,15 MW, Bonusregeln a1, K erstmals 2010</v>
      </c>
      <c r="AV497" s="215" t="str">
        <f t="shared" si="217"/>
        <v/>
      </c>
      <c r="AW497" s="216" t="str">
        <f t="shared" si="218"/>
        <v>Anteil KWK, erstmals 2010</v>
      </c>
      <c r="AX497" s="215" t="str">
        <f t="shared" si="219"/>
        <v/>
      </c>
      <c r="AY497" t="str">
        <f t="shared" si="220"/>
        <v/>
      </c>
      <c r="AZ497" t="str">
        <f t="shared" si="221"/>
        <v/>
      </c>
    </row>
    <row r="498" spans="1:52" s="178" customFormat="1" x14ac:dyDescent="0.25">
      <c r="A498" s="610" t="s">
        <v>5245</v>
      </c>
      <c r="B498" s="17" t="s">
        <v>5548</v>
      </c>
      <c r="C498" s="17" t="s">
        <v>4809</v>
      </c>
      <c r="D498" s="30" t="s">
        <v>6886</v>
      </c>
      <c r="E498" s="30" t="s">
        <v>3055</v>
      </c>
      <c r="F498" s="454">
        <f t="shared" si="228"/>
        <v>20.61</v>
      </c>
      <c r="G498" s="529">
        <v>20.61</v>
      </c>
      <c r="H498" s="487">
        <f t="shared" si="229"/>
        <v>16.489999999999998</v>
      </c>
      <c r="I498" s="706"/>
      <c r="J498" s="669" t="s">
        <v>5805</v>
      </c>
      <c r="K498" s="15"/>
      <c r="L498"/>
      <c r="M498" s="49">
        <f t="shared" si="230"/>
        <v>20.61</v>
      </c>
      <c r="N498" s="41">
        <v>11.67</v>
      </c>
      <c r="O498" s="54"/>
      <c r="P498" s="15"/>
      <c r="Q498"/>
      <c r="R498"/>
      <c r="S498" t="s">
        <v>1017</v>
      </c>
      <c r="T498" s="178" t="s">
        <v>4180</v>
      </c>
      <c r="U498" s="55"/>
      <c r="V498" t="s">
        <v>1017</v>
      </c>
      <c r="W498" s="65"/>
      <c r="X498" s="65"/>
      <c r="Y498"/>
      <c r="Z498"/>
      <c r="AA498" s="65"/>
      <c r="AB498"/>
      <c r="AC498"/>
      <c r="AD498" s="91"/>
      <c r="AE498" s="124"/>
      <c r="AF498" s="65"/>
      <c r="AG498" s="91"/>
      <c r="AH498" s="212" t="str">
        <f t="shared" si="232"/>
        <v>2011</v>
      </c>
      <c r="AI498" s="214" t="str">
        <f t="shared" si="223"/>
        <v/>
      </c>
      <c r="AJ498" s="214" t="str">
        <f t="shared" si="224"/>
        <v/>
      </c>
      <c r="AK498" s="214" t="str">
        <f t="shared" si="225"/>
        <v/>
      </c>
      <c r="AL498" s="214" t="str">
        <f t="shared" si="226"/>
        <v/>
      </c>
      <c r="AM498" s="214" t="str">
        <f t="shared" si="227"/>
        <v/>
      </c>
      <c r="AN498" s="213" t="str">
        <f t="shared" si="209"/>
        <v>2011</v>
      </c>
      <c r="AO498" s="213" t="str">
        <f t="shared" si="210"/>
        <v>2011</v>
      </c>
      <c r="AP498" s="213" t="str">
        <f t="shared" si="211"/>
        <v>2011</v>
      </c>
      <c r="AQ498" s="215" t="str">
        <f t="shared" si="212"/>
        <v/>
      </c>
      <c r="AR498" s="216" t="str">
        <f t="shared" si="213"/>
        <v>BiK81a1K11--04</v>
      </c>
      <c r="AS498" s="215" t="str">
        <f t="shared" si="214"/>
        <v/>
      </c>
      <c r="AT498">
        <f t="shared" si="215"/>
        <v>14</v>
      </c>
      <c r="AU498" s="216" t="str">
        <f t="shared" si="216"/>
        <v>0-0,15 MW, Bonusregeln a1, K erstmals 2011</v>
      </c>
      <c r="AV498" s="215" t="str">
        <f t="shared" si="217"/>
        <v/>
      </c>
      <c r="AW498" s="216" t="str">
        <f t="shared" si="218"/>
        <v>Anteil KWK, erstmals 2011</v>
      </c>
      <c r="AX498" s="215" t="str">
        <f t="shared" si="219"/>
        <v/>
      </c>
      <c r="AY498" t="str">
        <f t="shared" si="220"/>
        <v>x</v>
      </c>
      <c r="AZ498" t="str">
        <f t="shared" si="221"/>
        <v/>
      </c>
    </row>
    <row r="499" spans="1:52" s="178" customFormat="1" x14ac:dyDescent="0.25">
      <c r="A499" s="625" t="s">
        <v>3552</v>
      </c>
      <c r="B499" s="221" t="s">
        <v>5548</v>
      </c>
      <c r="C499" s="221" t="s">
        <v>4809</v>
      </c>
      <c r="D499" s="219" t="s">
        <v>6887</v>
      </c>
      <c r="E499" s="219" t="s">
        <v>1980</v>
      </c>
      <c r="F499" s="455">
        <f t="shared" si="228"/>
        <v>20.58</v>
      </c>
      <c r="G499" s="530">
        <v>20.58</v>
      </c>
      <c r="H499" s="488">
        <f t="shared" si="229"/>
        <v>16.46</v>
      </c>
      <c r="I499" s="707"/>
      <c r="J499" s="669" t="s">
        <v>5805</v>
      </c>
      <c r="K499" s="15"/>
      <c r="L499"/>
      <c r="M499" s="49">
        <f t="shared" si="230"/>
        <v>20.58</v>
      </c>
      <c r="N499" s="41">
        <v>11.67</v>
      </c>
      <c r="O499" s="54"/>
      <c r="P499" s="15"/>
      <c r="Q499"/>
      <c r="R499"/>
      <c r="S499" t="s">
        <v>4180</v>
      </c>
      <c r="T499" s="178" t="s">
        <v>1017</v>
      </c>
      <c r="U499" s="55"/>
      <c r="V499" t="s">
        <v>1017</v>
      </c>
      <c r="W499" s="65"/>
      <c r="X499" s="65"/>
      <c r="Y499"/>
      <c r="Z499"/>
      <c r="AA499" s="65"/>
      <c r="AB499"/>
      <c r="AC499"/>
      <c r="AD499" s="91"/>
      <c r="AE499" s="124"/>
      <c r="AF499" s="65"/>
      <c r="AG499" s="91"/>
      <c r="AH499" s="217" t="s">
        <v>4179</v>
      </c>
      <c r="AI499" s="214" t="str">
        <f t="shared" si="223"/>
        <v/>
      </c>
      <c r="AJ499" s="214" t="str">
        <f t="shared" si="224"/>
        <v/>
      </c>
      <c r="AK499" s="214" t="str">
        <f t="shared" si="225"/>
        <v/>
      </c>
      <c r="AL499" s="214" t="str">
        <f t="shared" si="226"/>
        <v/>
      </c>
      <c r="AM499" s="214" t="str">
        <f t="shared" si="227"/>
        <v/>
      </c>
      <c r="AN499" s="213" t="str">
        <f t="shared" si="209"/>
        <v>2012</v>
      </c>
      <c r="AO499" s="213" t="str">
        <f t="shared" si="210"/>
        <v>2012</v>
      </c>
      <c r="AP499" s="213" t="str">
        <f t="shared" si="211"/>
        <v>2012</v>
      </c>
      <c r="AQ499" s="215" t="str">
        <f t="shared" si="212"/>
        <v/>
      </c>
      <c r="AR499" s="216" t="str">
        <f t="shared" si="213"/>
        <v>BiK81a1K12--04</v>
      </c>
      <c r="AS499" s="215" t="str">
        <f t="shared" si="214"/>
        <v/>
      </c>
      <c r="AT499">
        <f t="shared" si="215"/>
        <v>14</v>
      </c>
      <c r="AU499" s="216" t="str">
        <f t="shared" si="216"/>
        <v>0-0,15 MW, Bonusregeln a1, K erstmals 2012</v>
      </c>
      <c r="AV499" s="215" t="str">
        <f t="shared" si="217"/>
        <v/>
      </c>
      <c r="AW499" s="216" t="str">
        <f t="shared" si="218"/>
        <v>Anteil KWK, erstmals 2012</v>
      </c>
      <c r="AX499" s="215" t="str">
        <f t="shared" si="219"/>
        <v/>
      </c>
      <c r="AY499" t="str">
        <f t="shared" si="220"/>
        <v/>
      </c>
      <c r="AZ499" t="str">
        <f t="shared" si="221"/>
        <v>x</v>
      </c>
    </row>
    <row r="500" spans="1:52" s="178" customFormat="1" x14ac:dyDescent="0.25">
      <c r="A500" s="610" t="s">
        <v>1345</v>
      </c>
      <c r="B500" s="17" t="s">
        <v>5548</v>
      </c>
      <c r="C500" s="17" t="s">
        <v>4809</v>
      </c>
      <c r="D500" s="30" t="s">
        <v>6888</v>
      </c>
      <c r="E500" s="17" t="s">
        <v>4810</v>
      </c>
      <c r="F500" s="454">
        <f t="shared" si="228"/>
        <v>18.670000000000002</v>
      </c>
      <c r="G500" s="529">
        <v>18.670000000000002</v>
      </c>
      <c r="H500" s="487">
        <f t="shared" si="229"/>
        <v>14.94</v>
      </c>
      <c r="I500" s="706"/>
      <c r="J500" s="669" t="s">
        <v>5805</v>
      </c>
      <c r="K500" s="15"/>
      <c r="L500"/>
      <c r="M500" s="49">
        <f t="shared" si="230"/>
        <v>18.670000000000002</v>
      </c>
      <c r="N500" s="41">
        <v>11.67</v>
      </c>
      <c r="O500" s="54"/>
      <c r="P500" s="15"/>
      <c r="Q500"/>
      <c r="R500"/>
      <c r="S500" t="s">
        <v>4180</v>
      </c>
      <c r="T500" s="178" t="s">
        <v>4180</v>
      </c>
      <c r="U500" s="55" t="s">
        <v>1017</v>
      </c>
      <c r="V500" t="s">
        <v>1017</v>
      </c>
      <c r="W500" s="65"/>
      <c r="X500" s="65"/>
      <c r="Y500"/>
      <c r="Z500"/>
      <c r="AA500" s="65"/>
      <c r="AB500"/>
      <c r="AC500"/>
      <c r="AD500" s="91"/>
      <c r="AE500" s="124"/>
      <c r="AF500" s="65"/>
      <c r="AG500" s="91"/>
      <c r="AH500" s="212" t="str">
        <f t="shared" ref="AH500:AH505" si="233">IF(ISERROR(SEARCH("K erstmals 201",D500)),"",RIGHT(D500,4))</f>
        <v/>
      </c>
      <c r="AI500" s="214" t="str">
        <f t="shared" si="223"/>
        <v/>
      </c>
      <c r="AJ500" s="214" t="str">
        <f t="shared" si="224"/>
        <v/>
      </c>
      <c r="AK500" s="214" t="str">
        <f t="shared" si="225"/>
        <v/>
      </c>
      <c r="AL500" s="214" t="str">
        <f t="shared" si="226"/>
        <v/>
      </c>
      <c r="AM500" s="214" t="str">
        <f t="shared" si="227"/>
        <v/>
      </c>
      <c r="AN500" s="213" t="str">
        <f t="shared" si="209"/>
        <v/>
      </c>
      <c r="AO500" s="213" t="str">
        <f t="shared" si="210"/>
        <v/>
      </c>
      <c r="AP500" s="213" t="str">
        <f t="shared" si="211"/>
        <v/>
      </c>
      <c r="AQ500" s="215" t="str">
        <f t="shared" si="212"/>
        <v/>
      </c>
      <c r="AR500" s="216" t="str">
        <f t="shared" si="213"/>
        <v>BiK81a1y----04</v>
      </c>
      <c r="AS500" s="215" t="str">
        <f t="shared" si="214"/>
        <v/>
      </c>
      <c r="AT500">
        <f t="shared" si="215"/>
        <v>14</v>
      </c>
      <c r="AU500" s="216" t="str">
        <f t="shared" si="216"/>
        <v>0-0,15 MW, Bonusregeln a1, y</v>
      </c>
      <c r="AV500" s="215" t="str">
        <f t="shared" si="217"/>
        <v/>
      </c>
      <c r="AW500" s="216" t="str">
        <f t="shared" si="218"/>
        <v>Anteil Nicht-KWK</v>
      </c>
      <c r="AX500" s="215" t="str">
        <f t="shared" si="219"/>
        <v/>
      </c>
      <c r="AY500" t="str">
        <f t="shared" si="220"/>
        <v/>
      </c>
      <c r="AZ500" t="str">
        <f t="shared" si="221"/>
        <v/>
      </c>
    </row>
    <row r="501" spans="1:52" s="178" customFormat="1" x14ac:dyDescent="0.25">
      <c r="A501" s="610" t="s">
        <v>1346</v>
      </c>
      <c r="B501" s="17" t="s">
        <v>5548</v>
      </c>
      <c r="C501" s="17" t="s">
        <v>4809</v>
      </c>
      <c r="D501" s="30" t="s">
        <v>6889</v>
      </c>
      <c r="E501" s="17" t="s">
        <v>4812</v>
      </c>
      <c r="F501" s="454">
        <f t="shared" si="228"/>
        <v>20.67</v>
      </c>
      <c r="G501" s="529">
        <v>20.67</v>
      </c>
      <c r="H501" s="487">
        <f t="shared" si="229"/>
        <v>16.54</v>
      </c>
      <c r="I501" s="706"/>
      <c r="J501" s="669" t="s">
        <v>5805</v>
      </c>
      <c r="K501" s="15"/>
      <c r="L501"/>
      <c r="M501" s="49">
        <f t="shared" si="230"/>
        <v>20.67</v>
      </c>
      <c r="N501" s="41">
        <v>11.67</v>
      </c>
      <c r="O501" s="54" t="s">
        <v>1017</v>
      </c>
      <c r="P501" s="15"/>
      <c r="Q501"/>
      <c r="R501"/>
      <c r="S501" t="s">
        <v>4180</v>
      </c>
      <c r="T501" s="178" t="s">
        <v>4180</v>
      </c>
      <c r="U501" s="55" t="s">
        <v>1017</v>
      </c>
      <c r="V501" t="s">
        <v>1017</v>
      </c>
      <c r="W501" s="65"/>
      <c r="X501" s="65"/>
      <c r="Y501"/>
      <c r="Z501"/>
      <c r="AA501" s="65"/>
      <c r="AB501"/>
      <c r="AC501"/>
      <c r="AD501" s="91"/>
      <c r="AE501" s="124"/>
      <c r="AF501" s="65"/>
      <c r="AG501" s="91"/>
      <c r="AH501" s="212" t="str">
        <f t="shared" si="233"/>
        <v/>
      </c>
      <c r="AI501" s="214" t="str">
        <f t="shared" si="223"/>
        <v/>
      </c>
      <c r="AJ501" s="214" t="str">
        <f t="shared" si="224"/>
        <v/>
      </c>
      <c r="AK501" s="214" t="str">
        <f t="shared" si="225"/>
        <v/>
      </c>
      <c r="AL501" s="214" t="str">
        <f t="shared" si="226"/>
        <v/>
      </c>
      <c r="AM501" s="214" t="str">
        <f t="shared" si="227"/>
        <v/>
      </c>
      <c r="AN501" s="213" t="str">
        <f t="shared" si="209"/>
        <v/>
      </c>
      <c r="AO501" s="213" t="str">
        <f t="shared" si="210"/>
        <v/>
      </c>
      <c r="AP501" s="213" t="str">
        <f t="shared" si="211"/>
        <v/>
      </c>
      <c r="AQ501" s="215" t="str">
        <f t="shared" si="212"/>
        <v/>
      </c>
      <c r="AR501" s="216" t="str">
        <f t="shared" si="213"/>
        <v>BiK81a1KWKy-04</v>
      </c>
      <c r="AS501" s="215" t="str">
        <f t="shared" si="214"/>
        <v/>
      </c>
      <c r="AT501">
        <f t="shared" si="215"/>
        <v>14</v>
      </c>
      <c r="AU501" s="216" t="str">
        <f t="shared" si="216"/>
        <v>0-0,15 MW, Bonusregeln a1, y und KWK</v>
      </c>
      <c r="AV501" s="215" t="str">
        <f t="shared" si="217"/>
        <v/>
      </c>
      <c r="AW501" s="216" t="str">
        <f t="shared" si="218"/>
        <v>Anteil KWK</v>
      </c>
      <c r="AX501" s="215" t="str">
        <f t="shared" si="219"/>
        <v/>
      </c>
      <c r="AY501" t="str">
        <f t="shared" si="220"/>
        <v/>
      </c>
      <c r="AZ501" t="str">
        <f t="shared" si="221"/>
        <v/>
      </c>
    </row>
    <row r="502" spans="1:52" s="178" customFormat="1" x14ac:dyDescent="0.25">
      <c r="A502" s="610" t="s">
        <v>1347</v>
      </c>
      <c r="B502" s="17" t="s">
        <v>5548</v>
      </c>
      <c r="C502" s="17" t="s">
        <v>4809</v>
      </c>
      <c r="D502" s="30" t="s">
        <v>6890</v>
      </c>
      <c r="E502" s="30" t="s">
        <v>4331</v>
      </c>
      <c r="F502" s="454">
        <f t="shared" si="228"/>
        <v>21.67</v>
      </c>
      <c r="G502" s="529">
        <v>21.67</v>
      </c>
      <c r="H502" s="487">
        <f t="shared" si="229"/>
        <v>17.34</v>
      </c>
      <c r="I502" s="706"/>
      <c r="J502" s="669" t="s">
        <v>5805</v>
      </c>
      <c r="K502" s="15"/>
      <c r="L502"/>
      <c r="M502" s="49">
        <f t="shared" si="230"/>
        <v>21.67</v>
      </c>
      <c r="N502" s="41">
        <v>11.67</v>
      </c>
      <c r="O502" s="54"/>
      <c r="P502" t="s">
        <v>1017</v>
      </c>
      <c r="Q502"/>
      <c r="R502"/>
      <c r="S502" t="s">
        <v>4180</v>
      </c>
      <c r="T502" s="178" t="s">
        <v>4180</v>
      </c>
      <c r="U502" s="55" t="s">
        <v>1017</v>
      </c>
      <c r="V502" t="s">
        <v>1017</v>
      </c>
      <c r="W502" s="65"/>
      <c r="X502" s="65"/>
      <c r="Y502"/>
      <c r="Z502"/>
      <c r="AA502" s="65"/>
      <c r="AB502"/>
      <c r="AC502"/>
      <c r="AD502" s="91"/>
      <c r="AE502" s="124"/>
      <c r="AF502" s="65"/>
      <c r="AG502" s="91"/>
      <c r="AH502" s="212" t="str">
        <f t="shared" si="233"/>
        <v/>
      </c>
      <c r="AI502" s="214" t="str">
        <f t="shared" si="223"/>
        <v/>
      </c>
      <c r="AJ502" s="214" t="str">
        <f t="shared" si="224"/>
        <v/>
      </c>
      <c r="AK502" s="214" t="str">
        <f t="shared" si="225"/>
        <v/>
      </c>
      <c r="AL502" s="214" t="str">
        <f t="shared" si="226"/>
        <v/>
      </c>
      <c r="AM502" s="214" t="str">
        <f t="shared" si="227"/>
        <v/>
      </c>
      <c r="AN502" s="213" t="str">
        <f t="shared" si="209"/>
        <v/>
      </c>
      <c r="AO502" s="213" t="str">
        <f t="shared" si="210"/>
        <v/>
      </c>
      <c r="AP502" s="213" t="str">
        <f t="shared" si="211"/>
        <v/>
      </c>
      <c r="AQ502" s="215" t="str">
        <f t="shared" si="212"/>
        <v/>
      </c>
      <c r="AR502" s="216" t="str">
        <f t="shared" si="213"/>
        <v>BiK81a1KA3y-04</v>
      </c>
      <c r="AS502" s="215" t="str">
        <f t="shared" si="214"/>
        <v/>
      </c>
      <c r="AT502">
        <f t="shared" si="215"/>
        <v>14</v>
      </c>
      <c r="AU502" s="216" t="str">
        <f t="shared" si="216"/>
        <v>0-0,15 MW, Bonusregeln a1, y und K wenn Anlage 3 erfüllt</v>
      </c>
      <c r="AV502" s="215" t="str">
        <f t="shared" si="217"/>
        <v/>
      </c>
      <c r="AW502" s="216" t="str">
        <f t="shared" si="218"/>
        <v>Anteil KWK gemäß Anlage 3</v>
      </c>
      <c r="AX502" s="215" t="str">
        <f t="shared" si="219"/>
        <v/>
      </c>
      <c r="AY502" t="str">
        <f t="shared" si="220"/>
        <v/>
      </c>
      <c r="AZ502" t="str">
        <f t="shared" si="221"/>
        <v/>
      </c>
    </row>
    <row r="503" spans="1:52" s="178" customFormat="1" x14ac:dyDescent="0.25">
      <c r="A503" s="610" t="s">
        <v>1348</v>
      </c>
      <c r="B503" s="17" t="s">
        <v>5548</v>
      </c>
      <c r="C503" s="17" t="s">
        <v>4809</v>
      </c>
      <c r="D503" s="30" t="s">
        <v>6891</v>
      </c>
      <c r="E503" s="17" t="s">
        <v>674</v>
      </c>
      <c r="F503" s="454">
        <f t="shared" si="228"/>
        <v>21.67</v>
      </c>
      <c r="G503" s="529">
        <v>21.67</v>
      </c>
      <c r="H503" s="487">
        <f t="shared" si="229"/>
        <v>17.34</v>
      </c>
      <c r="I503" s="706"/>
      <c r="J503" s="669" t="s">
        <v>5805</v>
      </c>
      <c r="K503" s="15"/>
      <c r="L503"/>
      <c r="M503" s="49">
        <f t="shared" si="230"/>
        <v>21.67</v>
      </c>
      <c r="N503" s="41">
        <v>11.67</v>
      </c>
      <c r="O503" s="54"/>
      <c r="P503" s="15"/>
      <c r="Q503" t="s">
        <v>1017</v>
      </c>
      <c r="R503"/>
      <c r="S503" t="s">
        <v>4180</v>
      </c>
      <c r="T503" s="178" t="s">
        <v>4180</v>
      </c>
      <c r="U503" s="55" t="s">
        <v>1017</v>
      </c>
      <c r="V503" t="s">
        <v>1017</v>
      </c>
      <c r="W503" s="65"/>
      <c r="X503" s="65"/>
      <c r="Y503"/>
      <c r="Z503"/>
      <c r="AA503" s="65"/>
      <c r="AB503"/>
      <c r="AC503"/>
      <c r="AD503" s="91"/>
      <c r="AE503" s="124"/>
      <c r="AF503" s="65"/>
      <c r="AG503" s="91"/>
      <c r="AH503" s="212" t="str">
        <f t="shared" si="233"/>
        <v/>
      </c>
      <c r="AI503" s="214" t="str">
        <f t="shared" si="223"/>
        <v/>
      </c>
      <c r="AJ503" s="214" t="str">
        <f t="shared" si="224"/>
        <v/>
      </c>
      <c r="AK503" s="214" t="str">
        <f t="shared" si="225"/>
        <v/>
      </c>
      <c r="AL503" s="214" t="str">
        <f t="shared" si="226"/>
        <v/>
      </c>
      <c r="AM503" s="214" t="str">
        <f t="shared" si="227"/>
        <v/>
      </c>
      <c r="AN503" s="213" t="str">
        <f t="shared" si="209"/>
        <v/>
      </c>
      <c r="AO503" s="213" t="str">
        <f t="shared" si="210"/>
        <v/>
      </c>
      <c r="AP503" s="213" t="str">
        <f t="shared" si="211"/>
        <v/>
      </c>
      <c r="AQ503" s="215" t="str">
        <f t="shared" si="212"/>
        <v/>
      </c>
      <c r="AR503" s="216" t="str">
        <f t="shared" si="213"/>
        <v>BiK81a1K09y-04</v>
      </c>
      <c r="AS503" s="215" t="str">
        <f t="shared" si="214"/>
        <v/>
      </c>
      <c r="AT503">
        <f t="shared" si="215"/>
        <v>14</v>
      </c>
      <c r="AU503" s="216" t="str">
        <f t="shared" si="216"/>
        <v>0-0,15 MW, Bonusregeln a1, y und K erstmals 2009</v>
      </c>
      <c r="AV503" s="215" t="str">
        <f t="shared" si="217"/>
        <v/>
      </c>
      <c r="AW503" s="216" t="str">
        <f t="shared" si="218"/>
        <v>Anteil KWK, erstmals 2009</v>
      </c>
      <c r="AX503" s="215" t="str">
        <f t="shared" si="219"/>
        <v/>
      </c>
      <c r="AY503" t="str">
        <f t="shared" si="220"/>
        <v/>
      </c>
      <c r="AZ503" t="str">
        <f t="shared" si="221"/>
        <v/>
      </c>
    </row>
    <row r="504" spans="1:52" s="178" customFormat="1" x14ac:dyDescent="0.25">
      <c r="A504" s="610" t="s">
        <v>1631</v>
      </c>
      <c r="B504" s="17" t="s">
        <v>5548</v>
      </c>
      <c r="C504" s="17" t="s">
        <v>4809</v>
      </c>
      <c r="D504" s="30" t="s">
        <v>6892</v>
      </c>
      <c r="E504" s="30" t="s">
        <v>3567</v>
      </c>
      <c r="F504" s="454">
        <f t="shared" si="228"/>
        <v>21.64</v>
      </c>
      <c r="G504" s="529">
        <v>21.64</v>
      </c>
      <c r="H504" s="487">
        <f t="shared" si="229"/>
        <v>17.309999999999999</v>
      </c>
      <c r="I504" s="706"/>
      <c r="J504" s="669" t="s">
        <v>5805</v>
      </c>
      <c r="K504" s="15"/>
      <c r="L504"/>
      <c r="M504" s="49">
        <f t="shared" si="230"/>
        <v>21.64</v>
      </c>
      <c r="N504" s="41">
        <v>11.67</v>
      </c>
      <c r="O504" s="54"/>
      <c r="P504" s="15"/>
      <c r="Q504"/>
      <c r="R504" t="s">
        <v>1017</v>
      </c>
      <c r="S504" t="s">
        <v>4180</v>
      </c>
      <c r="T504" s="178" t="s">
        <v>4180</v>
      </c>
      <c r="U504" s="55" t="s">
        <v>1017</v>
      </c>
      <c r="V504" t="s">
        <v>1017</v>
      </c>
      <c r="W504" s="65"/>
      <c r="X504" s="65"/>
      <c r="Y504"/>
      <c r="Z504"/>
      <c r="AA504" s="65"/>
      <c r="AB504"/>
      <c r="AC504"/>
      <c r="AD504" s="91"/>
      <c r="AE504" s="124"/>
      <c r="AF504" s="65"/>
      <c r="AG504" s="91"/>
      <c r="AH504" s="212" t="str">
        <f t="shared" si="233"/>
        <v>2010</v>
      </c>
      <c r="AI504" s="214" t="str">
        <f t="shared" si="223"/>
        <v/>
      </c>
      <c r="AJ504" s="214" t="str">
        <f t="shared" si="224"/>
        <v/>
      </c>
      <c r="AK504" s="214" t="str">
        <f t="shared" si="225"/>
        <v/>
      </c>
      <c r="AL504" s="214" t="str">
        <f t="shared" si="226"/>
        <v/>
      </c>
      <c r="AM504" s="214" t="str">
        <f t="shared" si="227"/>
        <v/>
      </c>
      <c r="AN504" s="213" t="str">
        <f t="shared" si="209"/>
        <v>2010</v>
      </c>
      <c r="AO504" s="213" t="str">
        <f t="shared" si="210"/>
        <v>2010</v>
      </c>
      <c r="AP504" s="213" t="str">
        <f t="shared" si="211"/>
        <v>2010</v>
      </c>
      <c r="AQ504" s="215" t="str">
        <f t="shared" si="212"/>
        <v/>
      </c>
      <c r="AR504" s="216" t="str">
        <f t="shared" si="213"/>
        <v>BiK81a1K10y-04</v>
      </c>
      <c r="AS504" s="215" t="str">
        <f t="shared" si="214"/>
        <v/>
      </c>
      <c r="AT504">
        <f t="shared" si="215"/>
        <v>14</v>
      </c>
      <c r="AU504" s="216" t="str">
        <f t="shared" si="216"/>
        <v>0-0,15 MW, Bonusregeln a1, y und K erstmals 2010</v>
      </c>
      <c r="AV504" s="215" t="str">
        <f t="shared" si="217"/>
        <v/>
      </c>
      <c r="AW504" s="216" t="str">
        <f t="shared" si="218"/>
        <v>Anteil KWK, erstmals 2010</v>
      </c>
      <c r="AX504" s="215" t="str">
        <f t="shared" si="219"/>
        <v/>
      </c>
      <c r="AY504" t="str">
        <f t="shared" si="220"/>
        <v/>
      </c>
      <c r="AZ504" t="str">
        <f t="shared" si="221"/>
        <v/>
      </c>
    </row>
    <row r="505" spans="1:52" s="178" customFormat="1" x14ac:dyDescent="0.25">
      <c r="A505" s="610" t="s">
        <v>5246</v>
      </c>
      <c r="B505" s="17" t="s">
        <v>5548</v>
      </c>
      <c r="C505" s="17" t="s">
        <v>4809</v>
      </c>
      <c r="D505" s="30" t="s">
        <v>6893</v>
      </c>
      <c r="E505" s="30" t="s">
        <v>3055</v>
      </c>
      <c r="F505" s="454">
        <f t="shared" si="228"/>
        <v>21.61</v>
      </c>
      <c r="G505" s="529">
        <v>21.61</v>
      </c>
      <c r="H505" s="487">
        <f t="shared" si="229"/>
        <v>17.29</v>
      </c>
      <c r="I505" s="706"/>
      <c r="J505" s="669" t="s">
        <v>5805</v>
      </c>
      <c r="K505" s="15"/>
      <c r="L505"/>
      <c r="M505" s="49">
        <f t="shared" si="230"/>
        <v>21.61</v>
      </c>
      <c r="N505" s="41">
        <v>11.67</v>
      </c>
      <c r="O505" s="54"/>
      <c r="P505" s="15"/>
      <c r="Q505"/>
      <c r="R505"/>
      <c r="S505" t="s">
        <v>1017</v>
      </c>
      <c r="T505" s="178" t="s">
        <v>4180</v>
      </c>
      <c r="U505" s="55" t="s">
        <v>1017</v>
      </c>
      <c r="V505" t="s">
        <v>1017</v>
      </c>
      <c r="W505" s="65"/>
      <c r="X505" s="65"/>
      <c r="Y505"/>
      <c r="Z505"/>
      <c r="AA505" s="65"/>
      <c r="AB505"/>
      <c r="AC505"/>
      <c r="AD505" s="91"/>
      <c r="AE505" s="124"/>
      <c r="AF505" s="65"/>
      <c r="AG505" s="91"/>
      <c r="AH505" s="212" t="str">
        <f t="shared" si="233"/>
        <v>2011</v>
      </c>
      <c r="AI505" s="214" t="str">
        <f t="shared" si="223"/>
        <v/>
      </c>
      <c r="AJ505" s="214" t="str">
        <f t="shared" si="224"/>
        <v/>
      </c>
      <c r="AK505" s="214" t="str">
        <f t="shared" si="225"/>
        <v/>
      </c>
      <c r="AL505" s="214" t="str">
        <f t="shared" si="226"/>
        <v/>
      </c>
      <c r="AM505" s="214" t="str">
        <f t="shared" si="227"/>
        <v/>
      </c>
      <c r="AN505" s="213" t="str">
        <f t="shared" si="209"/>
        <v>2011</v>
      </c>
      <c r="AO505" s="213" t="str">
        <f t="shared" si="210"/>
        <v>2011</v>
      </c>
      <c r="AP505" s="213" t="str">
        <f t="shared" si="211"/>
        <v>2011</v>
      </c>
      <c r="AQ505" s="215" t="str">
        <f t="shared" si="212"/>
        <v/>
      </c>
      <c r="AR505" s="216" t="str">
        <f t="shared" si="213"/>
        <v>BiK81a1K11y-04</v>
      </c>
      <c r="AS505" s="215" t="str">
        <f t="shared" si="214"/>
        <v/>
      </c>
      <c r="AT505">
        <f t="shared" si="215"/>
        <v>14</v>
      </c>
      <c r="AU505" s="216" t="str">
        <f t="shared" si="216"/>
        <v>0-0,15 MW, Bonusregeln a1, y und K erstmals 2011</v>
      </c>
      <c r="AV505" s="215" t="str">
        <f t="shared" si="217"/>
        <v/>
      </c>
      <c r="AW505" s="216" t="str">
        <f t="shared" si="218"/>
        <v>Anteil KWK, erstmals 2011</v>
      </c>
      <c r="AX505" s="215" t="str">
        <f t="shared" si="219"/>
        <v/>
      </c>
      <c r="AY505" t="str">
        <f t="shared" si="220"/>
        <v>x</v>
      </c>
      <c r="AZ505" t="str">
        <f t="shared" si="221"/>
        <v/>
      </c>
    </row>
    <row r="506" spans="1:52" s="178" customFormat="1" x14ac:dyDescent="0.25">
      <c r="A506" s="625" t="s">
        <v>3553</v>
      </c>
      <c r="B506" s="221" t="s">
        <v>5548</v>
      </c>
      <c r="C506" s="221" t="s">
        <v>4809</v>
      </c>
      <c r="D506" s="219" t="s">
        <v>6894</v>
      </c>
      <c r="E506" s="219" t="s">
        <v>1980</v>
      </c>
      <c r="F506" s="455">
        <f t="shared" si="228"/>
        <v>21.58</v>
      </c>
      <c r="G506" s="530">
        <v>21.58</v>
      </c>
      <c r="H506" s="488">
        <f t="shared" si="229"/>
        <v>17.260000000000002</v>
      </c>
      <c r="I506" s="707"/>
      <c r="J506" s="669" t="s">
        <v>5805</v>
      </c>
      <c r="K506" s="15"/>
      <c r="L506"/>
      <c r="M506" s="49">
        <f t="shared" si="230"/>
        <v>21.58</v>
      </c>
      <c r="N506" s="41">
        <v>11.67</v>
      </c>
      <c r="O506" s="54"/>
      <c r="P506" s="15"/>
      <c r="Q506"/>
      <c r="R506"/>
      <c r="S506" t="s">
        <v>4180</v>
      </c>
      <c r="T506" s="178" t="s">
        <v>1017</v>
      </c>
      <c r="U506" s="55" t="s">
        <v>1017</v>
      </c>
      <c r="V506" t="s">
        <v>1017</v>
      </c>
      <c r="W506" s="65"/>
      <c r="X506" s="65"/>
      <c r="Y506"/>
      <c r="Z506"/>
      <c r="AA506" s="65"/>
      <c r="AB506"/>
      <c r="AC506"/>
      <c r="AD506" s="91"/>
      <c r="AE506" s="124"/>
      <c r="AF506" s="65"/>
      <c r="AG506" s="91"/>
      <c r="AH506" s="217" t="s">
        <v>4179</v>
      </c>
      <c r="AI506" s="214" t="str">
        <f t="shared" si="223"/>
        <v/>
      </c>
      <c r="AJ506" s="214" t="str">
        <f t="shared" si="224"/>
        <v/>
      </c>
      <c r="AK506" s="214" t="str">
        <f t="shared" si="225"/>
        <v/>
      </c>
      <c r="AL506" s="214" t="str">
        <f t="shared" si="226"/>
        <v/>
      </c>
      <c r="AM506" s="214" t="str">
        <f t="shared" si="227"/>
        <v/>
      </c>
      <c r="AN506" s="213" t="str">
        <f t="shared" si="209"/>
        <v>2012</v>
      </c>
      <c r="AO506" s="213" t="str">
        <f t="shared" si="210"/>
        <v>2012</v>
      </c>
      <c r="AP506" s="213" t="str">
        <f t="shared" si="211"/>
        <v>2012</v>
      </c>
      <c r="AQ506" s="215" t="str">
        <f t="shared" si="212"/>
        <v/>
      </c>
      <c r="AR506" s="216" t="str">
        <f t="shared" si="213"/>
        <v>BiK81a1K12y-04</v>
      </c>
      <c r="AS506" s="215" t="str">
        <f t="shared" si="214"/>
        <v/>
      </c>
      <c r="AT506">
        <f t="shared" si="215"/>
        <v>14</v>
      </c>
      <c r="AU506" s="216" t="str">
        <f t="shared" si="216"/>
        <v>0-0,15 MW, Bonusregeln a1, y und K erstmals 2012</v>
      </c>
      <c r="AV506" s="215" t="str">
        <f t="shared" si="217"/>
        <v/>
      </c>
      <c r="AW506" s="216" t="str">
        <f t="shared" si="218"/>
        <v>Anteil KWK, erstmals 2012</v>
      </c>
      <c r="AX506" s="215" t="str">
        <f t="shared" si="219"/>
        <v/>
      </c>
      <c r="AY506" t="str">
        <f t="shared" si="220"/>
        <v/>
      </c>
      <c r="AZ506" t="str">
        <f t="shared" si="221"/>
        <v>x</v>
      </c>
    </row>
    <row r="507" spans="1:52" s="178" customFormat="1" x14ac:dyDescent="0.25">
      <c r="A507" s="610" t="s">
        <v>2502</v>
      </c>
      <c r="B507" s="30" t="s">
        <v>5548</v>
      </c>
      <c r="C507" s="30" t="s">
        <v>4809</v>
      </c>
      <c r="D507" s="30" t="s">
        <v>6810</v>
      </c>
      <c r="E507" s="30" t="s">
        <v>4810</v>
      </c>
      <c r="F507" s="454">
        <f t="shared" si="228"/>
        <v>18.670000000000002</v>
      </c>
      <c r="G507" s="529">
        <v>18.670000000000002</v>
      </c>
      <c r="H507" s="487">
        <f t="shared" si="229"/>
        <v>14.94</v>
      </c>
      <c r="I507" s="706"/>
      <c r="J507" s="669" t="s">
        <v>5805</v>
      </c>
      <c r="K507" s="15"/>
      <c r="L507"/>
      <c r="M507" s="49">
        <f t="shared" si="230"/>
        <v>18.670000000000002</v>
      </c>
      <c r="N507" s="41">
        <v>11.67</v>
      </c>
      <c r="O507" s="186"/>
      <c r="P507" s="177"/>
      <c r="S507" s="178" t="s">
        <v>4180</v>
      </c>
      <c r="T507" s="178" t="s">
        <v>4180</v>
      </c>
      <c r="U507" s="179"/>
      <c r="W507" s="180"/>
      <c r="X507" s="180"/>
      <c r="Y507" s="178" t="s">
        <v>1017</v>
      </c>
      <c r="AA507" s="180"/>
      <c r="AD507" s="201"/>
      <c r="AE507" s="200"/>
      <c r="AF507" s="180"/>
      <c r="AG507" s="201"/>
      <c r="AH507" s="212" t="str">
        <f t="shared" ref="AH507:AH512" si="234">IF(ISERROR(SEARCH("K erstmals 201",D507)),"",RIGHT(D507,4))</f>
        <v/>
      </c>
      <c r="AI507" s="214" t="str">
        <f t="shared" si="223"/>
        <v/>
      </c>
      <c r="AJ507" s="214" t="str">
        <f t="shared" si="224"/>
        <v/>
      </c>
      <c r="AK507" s="214" t="str">
        <f t="shared" si="225"/>
        <v/>
      </c>
      <c r="AL507" s="214" t="str">
        <f t="shared" si="226"/>
        <v/>
      </c>
      <c r="AM507" s="214" t="str">
        <f t="shared" si="227"/>
        <v/>
      </c>
      <c r="AN507" s="213" t="str">
        <f t="shared" si="209"/>
        <v/>
      </c>
      <c r="AO507" s="213" t="str">
        <f t="shared" si="210"/>
        <v/>
      </c>
      <c r="AP507" s="213" t="str">
        <f t="shared" si="211"/>
        <v/>
      </c>
      <c r="AQ507" s="215" t="str">
        <f t="shared" si="212"/>
        <v/>
      </c>
      <c r="AR507" s="216" t="str">
        <f t="shared" si="213"/>
        <v>BiK81G------04</v>
      </c>
      <c r="AS507" s="215" t="str">
        <f t="shared" si="214"/>
        <v/>
      </c>
      <c r="AT507">
        <f t="shared" si="215"/>
        <v>14</v>
      </c>
      <c r="AU507" s="216" t="str">
        <f t="shared" si="216"/>
        <v>0-0,15 MW, Bonusregel G</v>
      </c>
      <c r="AV507" s="215" t="str">
        <f t="shared" si="217"/>
        <v/>
      </c>
      <c r="AW507" s="216" t="str">
        <f t="shared" si="218"/>
        <v>Anteil Nicht-KWK</v>
      </c>
      <c r="AX507" s="215" t="str">
        <f t="shared" si="219"/>
        <v/>
      </c>
      <c r="AY507" t="str">
        <f t="shared" si="220"/>
        <v/>
      </c>
      <c r="AZ507" t="str">
        <f t="shared" si="221"/>
        <v/>
      </c>
    </row>
    <row r="508" spans="1:52" s="178" customFormat="1" x14ac:dyDescent="0.25">
      <c r="A508" s="610" t="s">
        <v>2503</v>
      </c>
      <c r="B508" s="30" t="s">
        <v>5548</v>
      </c>
      <c r="C508" s="30" t="s">
        <v>4809</v>
      </c>
      <c r="D508" s="30" t="s">
        <v>6895</v>
      </c>
      <c r="E508" s="30" t="s">
        <v>4812</v>
      </c>
      <c r="F508" s="454">
        <f t="shared" si="228"/>
        <v>20.67</v>
      </c>
      <c r="G508" s="529">
        <v>20.67</v>
      </c>
      <c r="H508" s="487">
        <f t="shared" si="229"/>
        <v>16.54</v>
      </c>
      <c r="I508" s="706"/>
      <c r="J508" s="669" t="s">
        <v>5805</v>
      </c>
      <c r="K508" s="15"/>
      <c r="L508"/>
      <c r="M508" s="49">
        <f t="shared" si="230"/>
        <v>20.67</v>
      </c>
      <c r="N508" s="41">
        <v>11.67</v>
      </c>
      <c r="O508" s="186" t="s">
        <v>1017</v>
      </c>
      <c r="P508" s="177"/>
      <c r="S508" s="178" t="s">
        <v>4180</v>
      </c>
      <c r="T508" s="178" t="s">
        <v>4180</v>
      </c>
      <c r="U508" s="179"/>
      <c r="W508" s="180"/>
      <c r="X508" s="180"/>
      <c r="Y508" s="178" t="s">
        <v>1017</v>
      </c>
      <c r="AA508" s="180"/>
      <c r="AD508" s="201"/>
      <c r="AE508" s="200"/>
      <c r="AF508" s="180"/>
      <c r="AG508" s="201"/>
      <c r="AH508" s="212" t="str">
        <f t="shared" si="234"/>
        <v/>
      </c>
      <c r="AI508" s="214" t="str">
        <f t="shared" si="223"/>
        <v/>
      </c>
      <c r="AJ508" s="214" t="str">
        <f t="shared" si="224"/>
        <v/>
      </c>
      <c r="AK508" s="214" t="str">
        <f t="shared" si="225"/>
        <v/>
      </c>
      <c r="AL508" s="214" t="str">
        <f t="shared" si="226"/>
        <v/>
      </c>
      <c r="AM508" s="214" t="str">
        <f t="shared" si="227"/>
        <v/>
      </c>
      <c r="AN508" s="213" t="str">
        <f t="shared" si="209"/>
        <v/>
      </c>
      <c r="AO508" s="213" t="str">
        <f t="shared" si="210"/>
        <v/>
      </c>
      <c r="AP508" s="213" t="str">
        <f t="shared" si="211"/>
        <v/>
      </c>
      <c r="AQ508" s="215" t="str">
        <f t="shared" si="212"/>
        <v/>
      </c>
      <c r="AR508" s="216" t="str">
        <f t="shared" si="213"/>
        <v>BiK81GKWK---04</v>
      </c>
      <c r="AS508" s="215" t="str">
        <f t="shared" si="214"/>
        <v/>
      </c>
      <c r="AT508">
        <f t="shared" si="215"/>
        <v>14</v>
      </c>
      <c r="AU508" s="216" t="str">
        <f t="shared" si="216"/>
        <v>0-0,15 MW, Bonusregeln G und KWK</v>
      </c>
      <c r="AV508" s="215" t="str">
        <f t="shared" si="217"/>
        <v/>
      </c>
      <c r="AW508" s="216" t="str">
        <f t="shared" si="218"/>
        <v>Anteil KWK</v>
      </c>
      <c r="AX508" s="215" t="str">
        <f t="shared" si="219"/>
        <v/>
      </c>
      <c r="AY508" t="str">
        <f t="shared" si="220"/>
        <v/>
      </c>
      <c r="AZ508" t="str">
        <f t="shared" si="221"/>
        <v/>
      </c>
    </row>
    <row r="509" spans="1:52" s="178" customFormat="1" x14ac:dyDescent="0.25">
      <c r="A509" s="610" t="s">
        <v>2687</v>
      </c>
      <c r="B509" s="30" t="s">
        <v>5548</v>
      </c>
      <c r="C509" s="30" t="s">
        <v>4809</v>
      </c>
      <c r="D509" s="30" t="s">
        <v>6811</v>
      </c>
      <c r="E509" s="30" t="s">
        <v>4331</v>
      </c>
      <c r="F509" s="454">
        <f t="shared" si="228"/>
        <v>21.67</v>
      </c>
      <c r="G509" s="529">
        <v>21.67</v>
      </c>
      <c r="H509" s="487">
        <f t="shared" si="229"/>
        <v>17.34</v>
      </c>
      <c r="I509" s="706"/>
      <c r="J509" s="669" t="s">
        <v>5805</v>
      </c>
      <c r="K509" s="15"/>
      <c r="L509"/>
      <c r="M509" s="49">
        <f t="shared" si="230"/>
        <v>21.67</v>
      </c>
      <c r="N509" s="41">
        <v>11.67</v>
      </c>
      <c r="O509" s="186"/>
      <c r="P509" s="178" t="s">
        <v>1017</v>
      </c>
      <c r="S509" s="178" t="s">
        <v>4180</v>
      </c>
      <c r="T509" s="178" t="s">
        <v>4180</v>
      </c>
      <c r="U509" s="179"/>
      <c r="W509" s="180"/>
      <c r="X509" s="180"/>
      <c r="Y509" s="178" t="s">
        <v>1017</v>
      </c>
      <c r="AA509" s="180"/>
      <c r="AD509" s="201"/>
      <c r="AE509" s="200"/>
      <c r="AF509" s="180"/>
      <c r="AG509" s="201"/>
      <c r="AH509" s="212" t="str">
        <f t="shared" si="234"/>
        <v/>
      </c>
      <c r="AI509" s="214" t="str">
        <f t="shared" si="223"/>
        <v/>
      </c>
      <c r="AJ509" s="214" t="str">
        <f t="shared" si="224"/>
        <v/>
      </c>
      <c r="AK509" s="214" t="str">
        <f t="shared" si="225"/>
        <v/>
      </c>
      <c r="AL509" s="214" t="str">
        <f t="shared" si="226"/>
        <v/>
      </c>
      <c r="AM509" s="214" t="str">
        <f t="shared" si="227"/>
        <v/>
      </c>
      <c r="AN509" s="213" t="str">
        <f t="shared" si="209"/>
        <v/>
      </c>
      <c r="AO509" s="213" t="str">
        <f t="shared" si="210"/>
        <v/>
      </c>
      <c r="AP509" s="213" t="str">
        <f t="shared" si="211"/>
        <v/>
      </c>
      <c r="AQ509" s="215" t="str">
        <f t="shared" si="212"/>
        <v/>
      </c>
      <c r="AR509" s="216" t="str">
        <f t="shared" si="213"/>
        <v>BiK81GKA3---04</v>
      </c>
      <c r="AS509" s="215" t="str">
        <f t="shared" si="214"/>
        <v/>
      </c>
      <c r="AT509">
        <f t="shared" si="215"/>
        <v>14</v>
      </c>
      <c r="AU509" s="216" t="str">
        <f t="shared" si="216"/>
        <v>0-0,15 MW, Bonusregeln G und K wenn Anlage 3 erfüllt</v>
      </c>
      <c r="AV509" s="215" t="str">
        <f t="shared" si="217"/>
        <v/>
      </c>
      <c r="AW509" s="216" t="str">
        <f t="shared" si="218"/>
        <v>Anteil KWK gemäß Anlage 3</v>
      </c>
      <c r="AX509" s="215" t="str">
        <f t="shared" si="219"/>
        <v/>
      </c>
      <c r="AY509" t="str">
        <f t="shared" si="220"/>
        <v/>
      </c>
      <c r="AZ509" t="str">
        <f t="shared" si="221"/>
        <v/>
      </c>
    </row>
    <row r="510" spans="1:52" s="178" customFormat="1" x14ac:dyDescent="0.25">
      <c r="A510" s="610" t="s">
        <v>2688</v>
      </c>
      <c r="B510" s="30" t="s">
        <v>5548</v>
      </c>
      <c r="C510" s="30" t="s">
        <v>4809</v>
      </c>
      <c r="D510" s="30" t="s">
        <v>6812</v>
      </c>
      <c r="E510" s="30" t="s">
        <v>674</v>
      </c>
      <c r="F510" s="454">
        <f t="shared" si="228"/>
        <v>21.67</v>
      </c>
      <c r="G510" s="529">
        <v>21.67</v>
      </c>
      <c r="H510" s="487">
        <f t="shared" si="229"/>
        <v>17.34</v>
      </c>
      <c r="I510" s="706"/>
      <c r="J510" s="669" t="s">
        <v>5805</v>
      </c>
      <c r="K510" s="15"/>
      <c r="L510"/>
      <c r="M510" s="49">
        <f t="shared" si="230"/>
        <v>21.67</v>
      </c>
      <c r="N510" s="41">
        <v>11.67</v>
      </c>
      <c r="O510" s="186"/>
      <c r="P510" s="177"/>
      <c r="Q510" s="178" t="s">
        <v>1017</v>
      </c>
      <c r="S510" s="178" t="s">
        <v>4180</v>
      </c>
      <c r="T510" s="178" t="s">
        <v>4180</v>
      </c>
      <c r="U510" s="179"/>
      <c r="W510" s="180"/>
      <c r="X510" s="180"/>
      <c r="Y510" s="178" t="s">
        <v>1017</v>
      </c>
      <c r="AA510" s="180"/>
      <c r="AD510" s="201"/>
      <c r="AE510" s="200"/>
      <c r="AF510" s="180"/>
      <c r="AG510" s="201"/>
      <c r="AH510" s="212" t="str">
        <f t="shared" si="234"/>
        <v/>
      </c>
      <c r="AI510" s="214" t="str">
        <f t="shared" si="223"/>
        <v/>
      </c>
      <c r="AJ510" s="214" t="str">
        <f t="shared" si="224"/>
        <v/>
      </c>
      <c r="AK510" s="214" t="str">
        <f t="shared" si="225"/>
        <v/>
      </c>
      <c r="AL510" s="214" t="str">
        <f t="shared" si="226"/>
        <v/>
      </c>
      <c r="AM510" s="214" t="str">
        <f t="shared" si="227"/>
        <v/>
      </c>
      <c r="AN510" s="213" t="str">
        <f t="shared" si="209"/>
        <v/>
      </c>
      <c r="AO510" s="213" t="str">
        <f t="shared" si="210"/>
        <v/>
      </c>
      <c r="AP510" s="213" t="str">
        <f t="shared" si="211"/>
        <v/>
      </c>
      <c r="AQ510" s="215" t="str">
        <f t="shared" si="212"/>
        <v/>
      </c>
      <c r="AR510" s="216" t="str">
        <f t="shared" si="213"/>
        <v>BiK81GK09---04</v>
      </c>
      <c r="AS510" s="215" t="str">
        <f t="shared" si="214"/>
        <v/>
      </c>
      <c r="AT510">
        <f t="shared" si="215"/>
        <v>14</v>
      </c>
      <c r="AU510" s="216" t="str">
        <f t="shared" si="216"/>
        <v>0-0,15 MW, Bonusregeln G und K erstmals 2009</v>
      </c>
      <c r="AV510" s="215" t="str">
        <f t="shared" si="217"/>
        <v/>
      </c>
      <c r="AW510" s="216" t="str">
        <f t="shared" si="218"/>
        <v>Anteil KWK, erstmals 2009</v>
      </c>
      <c r="AX510" s="215" t="str">
        <f t="shared" si="219"/>
        <v/>
      </c>
      <c r="AY510" t="str">
        <f t="shared" si="220"/>
        <v/>
      </c>
      <c r="AZ510" t="str">
        <f t="shared" si="221"/>
        <v/>
      </c>
    </row>
    <row r="511" spans="1:52" s="178" customFormat="1" x14ac:dyDescent="0.25">
      <c r="A511" s="610" t="s">
        <v>1632</v>
      </c>
      <c r="B511" s="30" t="s">
        <v>5548</v>
      </c>
      <c r="C511" s="30" t="s">
        <v>4809</v>
      </c>
      <c r="D511" s="30" t="s">
        <v>6813</v>
      </c>
      <c r="E511" s="30" t="s">
        <v>3567</v>
      </c>
      <c r="F511" s="454">
        <f t="shared" si="228"/>
        <v>21.64</v>
      </c>
      <c r="G511" s="529">
        <v>21.64</v>
      </c>
      <c r="H511" s="487">
        <f t="shared" si="229"/>
        <v>17.309999999999999</v>
      </c>
      <c r="I511" s="706"/>
      <c r="J511" s="669" t="s">
        <v>5805</v>
      </c>
      <c r="K511" s="15"/>
      <c r="L511"/>
      <c r="M511" s="49">
        <f t="shared" si="230"/>
        <v>21.64</v>
      </c>
      <c r="N511" s="41">
        <v>11.67</v>
      </c>
      <c r="O511" s="186"/>
      <c r="P511" s="177"/>
      <c r="R511" s="178" t="s">
        <v>1017</v>
      </c>
      <c r="S511" s="178" t="s">
        <v>4180</v>
      </c>
      <c r="T511" s="178" t="s">
        <v>4180</v>
      </c>
      <c r="U511" s="179"/>
      <c r="W511" s="180"/>
      <c r="X511" s="180"/>
      <c r="Y511" s="178" t="s">
        <v>1017</v>
      </c>
      <c r="AA511" s="180"/>
      <c r="AD511" s="201"/>
      <c r="AE511" s="200"/>
      <c r="AF511" s="180"/>
      <c r="AG511" s="201"/>
      <c r="AH511" s="212" t="str">
        <f t="shared" si="234"/>
        <v>2010</v>
      </c>
      <c r="AI511" s="214" t="str">
        <f t="shared" si="223"/>
        <v/>
      </c>
      <c r="AJ511" s="214" t="str">
        <f t="shared" si="224"/>
        <v/>
      </c>
      <c r="AK511" s="214" t="str">
        <f t="shared" si="225"/>
        <v/>
      </c>
      <c r="AL511" s="214" t="str">
        <f t="shared" si="226"/>
        <v/>
      </c>
      <c r="AM511" s="214" t="str">
        <f t="shared" si="227"/>
        <v/>
      </c>
      <c r="AN511" s="213" t="str">
        <f t="shared" si="209"/>
        <v>2010</v>
      </c>
      <c r="AO511" s="213" t="str">
        <f t="shared" si="210"/>
        <v>2010</v>
      </c>
      <c r="AP511" s="213" t="str">
        <f t="shared" si="211"/>
        <v>2010</v>
      </c>
      <c r="AQ511" s="215" t="str">
        <f t="shared" si="212"/>
        <v/>
      </c>
      <c r="AR511" s="216" t="str">
        <f t="shared" si="213"/>
        <v>BiK81GK10---04</v>
      </c>
      <c r="AS511" s="215" t="str">
        <f t="shared" si="214"/>
        <v/>
      </c>
      <c r="AT511">
        <f t="shared" si="215"/>
        <v>14</v>
      </c>
      <c r="AU511" s="216" t="str">
        <f t="shared" si="216"/>
        <v>0-0,15 MW, Bonusregeln G und K erstmals 2010</v>
      </c>
      <c r="AV511" s="215" t="str">
        <f t="shared" si="217"/>
        <v/>
      </c>
      <c r="AW511" s="216" t="str">
        <f t="shared" si="218"/>
        <v>Anteil KWK, erstmals 2010</v>
      </c>
      <c r="AX511" s="215" t="str">
        <f t="shared" si="219"/>
        <v/>
      </c>
      <c r="AY511" t="str">
        <f t="shared" si="220"/>
        <v/>
      </c>
      <c r="AZ511" t="str">
        <f t="shared" si="221"/>
        <v/>
      </c>
    </row>
    <row r="512" spans="1:52" s="178" customFormat="1" x14ac:dyDescent="0.25">
      <c r="A512" s="610" t="s">
        <v>5247</v>
      </c>
      <c r="B512" s="30" t="s">
        <v>5548</v>
      </c>
      <c r="C512" s="30" t="s">
        <v>4809</v>
      </c>
      <c r="D512" s="30" t="s">
        <v>6814</v>
      </c>
      <c r="E512" s="30" t="s">
        <v>3055</v>
      </c>
      <c r="F512" s="454">
        <f t="shared" si="228"/>
        <v>21.61</v>
      </c>
      <c r="G512" s="529">
        <v>21.61</v>
      </c>
      <c r="H512" s="487">
        <f t="shared" si="229"/>
        <v>17.29</v>
      </c>
      <c r="I512" s="706"/>
      <c r="J512" s="669" t="s">
        <v>5805</v>
      </c>
      <c r="K512" s="15"/>
      <c r="L512"/>
      <c r="M512" s="49">
        <f t="shared" si="230"/>
        <v>21.61</v>
      </c>
      <c r="N512" s="41">
        <v>11.67</v>
      </c>
      <c r="O512" s="186"/>
      <c r="P512" s="177"/>
      <c r="S512" s="178" t="s">
        <v>1017</v>
      </c>
      <c r="T512" s="178" t="s">
        <v>4180</v>
      </c>
      <c r="U512" s="179"/>
      <c r="W512" s="180"/>
      <c r="X512" s="180"/>
      <c r="Y512" s="178" t="s">
        <v>1017</v>
      </c>
      <c r="AA512" s="180"/>
      <c r="AD512" s="201"/>
      <c r="AE512" s="200"/>
      <c r="AF512" s="180"/>
      <c r="AG512" s="201"/>
      <c r="AH512" s="212" t="str">
        <f t="shared" si="234"/>
        <v>2011</v>
      </c>
      <c r="AI512" s="214" t="str">
        <f t="shared" si="223"/>
        <v/>
      </c>
      <c r="AJ512" s="214" t="str">
        <f t="shared" si="224"/>
        <v/>
      </c>
      <c r="AK512" s="214" t="str">
        <f t="shared" si="225"/>
        <v/>
      </c>
      <c r="AL512" s="214" t="str">
        <f t="shared" si="226"/>
        <v/>
      </c>
      <c r="AM512" s="214" t="str">
        <f t="shared" si="227"/>
        <v/>
      </c>
      <c r="AN512" s="213" t="str">
        <f t="shared" si="209"/>
        <v>2011</v>
      </c>
      <c r="AO512" s="213" t="str">
        <f t="shared" si="210"/>
        <v>2011</v>
      </c>
      <c r="AP512" s="213" t="str">
        <f t="shared" si="211"/>
        <v>2011</v>
      </c>
      <c r="AQ512" s="215" t="str">
        <f t="shared" si="212"/>
        <v/>
      </c>
      <c r="AR512" s="216" t="str">
        <f t="shared" si="213"/>
        <v>BiK81GK11---04</v>
      </c>
      <c r="AS512" s="215" t="str">
        <f t="shared" si="214"/>
        <v/>
      </c>
      <c r="AT512">
        <f t="shared" si="215"/>
        <v>14</v>
      </c>
      <c r="AU512" s="216" t="str">
        <f t="shared" si="216"/>
        <v>0-0,15 MW, Bonusregeln G und K erstmals 2011</v>
      </c>
      <c r="AV512" s="215" t="str">
        <f t="shared" si="217"/>
        <v/>
      </c>
      <c r="AW512" s="216" t="str">
        <f t="shared" si="218"/>
        <v>Anteil KWK, erstmals 2011</v>
      </c>
      <c r="AX512" s="215" t="str">
        <f t="shared" si="219"/>
        <v/>
      </c>
      <c r="AY512" t="str">
        <f t="shared" si="220"/>
        <v>x</v>
      </c>
      <c r="AZ512" t="str">
        <f t="shared" si="221"/>
        <v/>
      </c>
    </row>
    <row r="513" spans="1:52" s="178" customFormat="1" x14ac:dyDescent="0.25">
      <c r="A513" s="625" t="s">
        <v>3554</v>
      </c>
      <c r="B513" s="219" t="s">
        <v>5548</v>
      </c>
      <c r="C513" s="219" t="s">
        <v>4809</v>
      </c>
      <c r="D513" s="219" t="s">
        <v>6815</v>
      </c>
      <c r="E513" s="219" t="s">
        <v>1980</v>
      </c>
      <c r="F513" s="455">
        <f t="shared" si="228"/>
        <v>21.58</v>
      </c>
      <c r="G513" s="530">
        <v>21.58</v>
      </c>
      <c r="H513" s="488">
        <f t="shared" si="229"/>
        <v>17.260000000000002</v>
      </c>
      <c r="I513" s="707"/>
      <c r="J513" s="669" t="s">
        <v>5805</v>
      </c>
      <c r="K513" s="15"/>
      <c r="L513"/>
      <c r="M513" s="49">
        <f t="shared" si="230"/>
        <v>21.58</v>
      </c>
      <c r="N513" s="41">
        <v>11.67</v>
      </c>
      <c r="O513" s="186"/>
      <c r="P513" s="177"/>
      <c r="S513" s="178" t="s">
        <v>4180</v>
      </c>
      <c r="T513" s="178" t="s">
        <v>1017</v>
      </c>
      <c r="U513" s="179"/>
      <c r="W513" s="180"/>
      <c r="X513" s="180"/>
      <c r="Y513" s="178" t="s">
        <v>1017</v>
      </c>
      <c r="AA513" s="180"/>
      <c r="AD513" s="201"/>
      <c r="AE513" s="200"/>
      <c r="AF513" s="180"/>
      <c r="AG513" s="201"/>
      <c r="AH513" s="217" t="s">
        <v>4179</v>
      </c>
      <c r="AI513" s="214" t="str">
        <f t="shared" si="223"/>
        <v/>
      </c>
      <c r="AJ513" s="214" t="str">
        <f t="shared" si="224"/>
        <v/>
      </c>
      <c r="AK513" s="214" t="str">
        <f t="shared" si="225"/>
        <v/>
      </c>
      <c r="AL513" s="214" t="str">
        <f t="shared" si="226"/>
        <v/>
      </c>
      <c r="AM513" s="214" t="str">
        <f t="shared" si="227"/>
        <v/>
      </c>
      <c r="AN513" s="213" t="str">
        <f t="shared" si="209"/>
        <v>2012</v>
      </c>
      <c r="AO513" s="213" t="str">
        <f t="shared" si="210"/>
        <v>2012</v>
      </c>
      <c r="AP513" s="213" t="str">
        <f t="shared" si="211"/>
        <v>2012</v>
      </c>
      <c r="AQ513" s="215" t="str">
        <f t="shared" si="212"/>
        <v/>
      </c>
      <c r="AR513" s="216" t="str">
        <f t="shared" si="213"/>
        <v>BiK81GK12---04</v>
      </c>
      <c r="AS513" s="215" t="str">
        <f t="shared" si="214"/>
        <v/>
      </c>
      <c r="AT513">
        <f t="shared" si="215"/>
        <v>14</v>
      </c>
      <c r="AU513" s="216" t="str">
        <f t="shared" si="216"/>
        <v>0-0,15 MW, Bonusregeln G und K erstmals 2012</v>
      </c>
      <c r="AV513" s="215" t="str">
        <f t="shared" si="217"/>
        <v/>
      </c>
      <c r="AW513" s="216" t="str">
        <f t="shared" si="218"/>
        <v>Anteil KWK, erstmals 2012</v>
      </c>
      <c r="AX513" s="215" t="str">
        <f t="shared" si="219"/>
        <v/>
      </c>
      <c r="AY513" t="str">
        <f t="shared" si="220"/>
        <v/>
      </c>
      <c r="AZ513" t="str">
        <f t="shared" si="221"/>
        <v>x</v>
      </c>
    </row>
    <row r="514" spans="1:52" s="178" customFormat="1" x14ac:dyDescent="0.25">
      <c r="A514" s="610" t="s">
        <v>2689</v>
      </c>
      <c r="B514" s="30" t="s">
        <v>5548</v>
      </c>
      <c r="C514" s="30" t="s">
        <v>4809</v>
      </c>
      <c r="D514" s="30" t="s">
        <v>6816</v>
      </c>
      <c r="E514" s="30" t="s">
        <v>4810</v>
      </c>
      <c r="F514" s="454">
        <f t="shared" si="228"/>
        <v>19.670000000000002</v>
      </c>
      <c r="G514" s="529">
        <v>19.670000000000002</v>
      </c>
      <c r="H514" s="487">
        <f t="shared" si="229"/>
        <v>15.74</v>
      </c>
      <c r="I514" s="706"/>
      <c r="J514" s="669" t="s">
        <v>5805</v>
      </c>
      <c r="K514" s="15"/>
      <c r="L514"/>
      <c r="M514" s="49">
        <f t="shared" si="230"/>
        <v>19.670000000000002</v>
      </c>
      <c r="N514" s="41">
        <v>11.67</v>
      </c>
      <c r="O514" s="187"/>
      <c r="P514" s="183"/>
      <c r="Q514" s="184"/>
      <c r="R514" s="184"/>
      <c r="S514" s="184" t="s">
        <v>4180</v>
      </c>
      <c r="T514" s="178" t="s">
        <v>4180</v>
      </c>
      <c r="U514" s="185" t="s">
        <v>1017</v>
      </c>
      <c r="V514" s="184"/>
      <c r="W514" s="180"/>
      <c r="X514" s="180"/>
      <c r="Y514" s="184" t="s">
        <v>1017</v>
      </c>
      <c r="Z514" s="184"/>
      <c r="AA514" s="180"/>
      <c r="AB514" s="184"/>
      <c r="AC514" s="184"/>
      <c r="AD514" s="201"/>
      <c r="AE514" s="181"/>
      <c r="AF514" s="180"/>
      <c r="AG514" s="201"/>
      <c r="AH514" s="212" t="str">
        <f t="shared" ref="AH514:AH519" si="235">IF(ISERROR(SEARCH("K erstmals 201",D514)),"",RIGHT(D514,4))</f>
        <v/>
      </c>
      <c r="AI514" s="214" t="str">
        <f t="shared" si="223"/>
        <v/>
      </c>
      <c r="AJ514" s="214" t="str">
        <f t="shared" si="224"/>
        <v/>
      </c>
      <c r="AK514" s="214" t="str">
        <f t="shared" si="225"/>
        <v/>
      </c>
      <c r="AL514" s="214" t="str">
        <f t="shared" si="226"/>
        <v/>
      </c>
      <c r="AM514" s="214" t="str">
        <f t="shared" si="227"/>
        <v/>
      </c>
      <c r="AN514" s="213" t="str">
        <f t="shared" si="209"/>
        <v/>
      </c>
      <c r="AO514" s="213" t="str">
        <f t="shared" si="210"/>
        <v/>
      </c>
      <c r="AP514" s="213" t="str">
        <f t="shared" si="211"/>
        <v/>
      </c>
      <c r="AQ514" s="215" t="str">
        <f t="shared" si="212"/>
        <v/>
      </c>
      <c r="AR514" s="216" t="str">
        <f t="shared" si="213"/>
        <v>BiK81Gy-----04</v>
      </c>
      <c r="AS514" s="215" t="str">
        <f t="shared" si="214"/>
        <v/>
      </c>
      <c r="AT514">
        <f t="shared" si="215"/>
        <v>14</v>
      </c>
      <c r="AU514" s="216" t="str">
        <f t="shared" si="216"/>
        <v>0-0,15 MW, Bonusregel G, y</v>
      </c>
      <c r="AV514" s="215" t="str">
        <f t="shared" si="217"/>
        <v/>
      </c>
      <c r="AW514" s="216" t="str">
        <f t="shared" si="218"/>
        <v>Anteil Nicht-KWK</v>
      </c>
      <c r="AX514" s="215" t="str">
        <f t="shared" si="219"/>
        <v/>
      </c>
      <c r="AY514" t="str">
        <f t="shared" si="220"/>
        <v/>
      </c>
      <c r="AZ514" t="str">
        <f t="shared" si="221"/>
        <v/>
      </c>
    </row>
    <row r="515" spans="1:52" s="178" customFormat="1" x14ac:dyDescent="0.25">
      <c r="A515" s="610" t="s">
        <v>2690</v>
      </c>
      <c r="B515" s="30" t="s">
        <v>5548</v>
      </c>
      <c r="C515" s="30" t="s">
        <v>4809</v>
      </c>
      <c r="D515" s="30" t="s">
        <v>6896</v>
      </c>
      <c r="E515" s="30" t="s">
        <v>4812</v>
      </c>
      <c r="F515" s="454">
        <f t="shared" si="228"/>
        <v>21.67</v>
      </c>
      <c r="G515" s="529">
        <v>21.67</v>
      </c>
      <c r="H515" s="487">
        <f t="shared" si="229"/>
        <v>17.34</v>
      </c>
      <c r="I515" s="706"/>
      <c r="J515" s="669" t="s">
        <v>5805</v>
      </c>
      <c r="K515" s="15"/>
      <c r="L515"/>
      <c r="M515" s="49">
        <f t="shared" si="230"/>
        <v>21.67</v>
      </c>
      <c r="N515" s="41">
        <v>11.67</v>
      </c>
      <c r="O515" s="187" t="s">
        <v>1017</v>
      </c>
      <c r="P515" s="183"/>
      <c r="Q515" s="184"/>
      <c r="R515" s="184"/>
      <c r="S515" s="184" t="s">
        <v>4180</v>
      </c>
      <c r="T515" s="178" t="s">
        <v>4180</v>
      </c>
      <c r="U515" s="185" t="s">
        <v>1017</v>
      </c>
      <c r="V515" s="184"/>
      <c r="W515" s="180"/>
      <c r="X515" s="180"/>
      <c r="Y515" s="184" t="s">
        <v>1017</v>
      </c>
      <c r="Z515" s="184"/>
      <c r="AA515" s="180"/>
      <c r="AB515" s="184"/>
      <c r="AC515" s="184"/>
      <c r="AD515" s="201"/>
      <c r="AE515" s="181"/>
      <c r="AF515" s="180"/>
      <c r="AG515" s="201"/>
      <c r="AH515" s="212" t="str">
        <f t="shared" si="235"/>
        <v/>
      </c>
      <c r="AI515" s="214" t="str">
        <f t="shared" si="223"/>
        <v/>
      </c>
      <c r="AJ515" s="214" t="str">
        <f t="shared" si="224"/>
        <v/>
      </c>
      <c r="AK515" s="214" t="str">
        <f t="shared" si="225"/>
        <v/>
      </c>
      <c r="AL515" s="214" t="str">
        <f t="shared" si="226"/>
        <v/>
      </c>
      <c r="AM515" s="214" t="str">
        <f t="shared" si="227"/>
        <v/>
      </c>
      <c r="AN515" s="213" t="str">
        <f t="shared" si="209"/>
        <v/>
      </c>
      <c r="AO515" s="213" t="str">
        <f t="shared" si="210"/>
        <v/>
      </c>
      <c r="AP515" s="213" t="str">
        <f t="shared" si="211"/>
        <v/>
      </c>
      <c r="AQ515" s="215" t="str">
        <f t="shared" si="212"/>
        <v/>
      </c>
      <c r="AR515" s="216" t="str">
        <f t="shared" si="213"/>
        <v>BiK81GKWKy--04</v>
      </c>
      <c r="AS515" s="215" t="str">
        <f t="shared" si="214"/>
        <v/>
      </c>
      <c r="AT515">
        <f t="shared" si="215"/>
        <v>14</v>
      </c>
      <c r="AU515" s="216" t="str">
        <f t="shared" si="216"/>
        <v>0-0,15 MW, Bonusregeln G, y und KWK</v>
      </c>
      <c r="AV515" s="215" t="str">
        <f t="shared" si="217"/>
        <v/>
      </c>
      <c r="AW515" s="216" t="str">
        <f t="shared" si="218"/>
        <v>Anteil KWK</v>
      </c>
      <c r="AX515" s="215" t="str">
        <f t="shared" si="219"/>
        <v/>
      </c>
      <c r="AY515" t="str">
        <f t="shared" si="220"/>
        <v/>
      </c>
      <c r="AZ515" t="str">
        <f t="shared" si="221"/>
        <v/>
      </c>
    </row>
    <row r="516" spans="1:52" s="178" customFormat="1" x14ac:dyDescent="0.25">
      <c r="A516" s="610" t="s">
        <v>2691</v>
      </c>
      <c r="B516" s="30" t="s">
        <v>5548</v>
      </c>
      <c r="C516" s="30" t="s">
        <v>4809</v>
      </c>
      <c r="D516" s="109" t="s">
        <v>6817</v>
      </c>
      <c r="E516" s="30" t="s">
        <v>4331</v>
      </c>
      <c r="F516" s="454">
        <f t="shared" si="228"/>
        <v>22.67</v>
      </c>
      <c r="G516" s="529">
        <v>22.67</v>
      </c>
      <c r="H516" s="487">
        <f t="shared" si="229"/>
        <v>18.14</v>
      </c>
      <c r="I516" s="706"/>
      <c r="J516" s="669" t="s">
        <v>5805</v>
      </c>
      <c r="K516" s="15"/>
      <c r="L516"/>
      <c r="M516" s="49">
        <f t="shared" si="230"/>
        <v>22.67</v>
      </c>
      <c r="N516" s="41">
        <v>11.67</v>
      </c>
      <c r="O516" s="187"/>
      <c r="P516" s="184" t="s">
        <v>1017</v>
      </c>
      <c r="Q516" s="184"/>
      <c r="R516" s="184"/>
      <c r="S516" s="184" t="s">
        <v>4180</v>
      </c>
      <c r="T516" s="178" t="s">
        <v>4180</v>
      </c>
      <c r="U516" s="185" t="s">
        <v>1017</v>
      </c>
      <c r="V516" s="184"/>
      <c r="W516" s="180"/>
      <c r="X516" s="180"/>
      <c r="Y516" s="184" t="s">
        <v>1017</v>
      </c>
      <c r="Z516" s="184"/>
      <c r="AA516" s="180"/>
      <c r="AB516" s="184"/>
      <c r="AC516" s="184"/>
      <c r="AD516" s="201"/>
      <c r="AE516" s="181"/>
      <c r="AF516" s="180"/>
      <c r="AG516" s="201"/>
      <c r="AH516" s="212" t="str">
        <f t="shared" si="235"/>
        <v/>
      </c>
      <c r="AI516" s="214" t="str">
        <f t="shared" si="223"/>
        <v/>
      </c>
      <c r="AJ516" s="214" t="str">
        <f t="shared" si="224"/>
        <v/>
      </c>
      <c r="AK516" s="214" t="str">
        <f t="shared" si="225"/>
        <v/>
      </c>
      <c r="AL516" s="214" t="str">
        <f t="shared" si="226"/>
        <v/>
      </c>
      <c r="AM516" s="214" t="str">
        <f t="shared" si="227"/>
        <v/>
      </c>
      <c r="AN516" s="213" t="str">
        <f t="shared" si="209"/>
        <v/>
      </c>
      <c r="AO516" s="213" t="str">
        <f t="shared" si="210"/>
        <v/>
      </c>
      <c r="AP516" s="213" t="str">
        <f t="shared" si="211"/>
        <v/>
      </c>
      <c r="AQ516" s="215" t="str">
        <f t="shared" si="212"/>
        <v/>
      </c>
      <c r="AR516" s="216" t="str">
        <f t="shared" si="213"/>
        <v>BiK81GKA3y--04</v>
      </c>
      <c r="AS516" s="215" t="str">
        <f t="shared" si="214"/>
        <v/>
      </c>
      <c r="AT516">
        <f t="shared" si="215"/>
        <v>14</v>
      </c>
      <c r="AU516" s="216" t="str">
        <f t="shared" si="216"/>
        <v>0-0,15 MW, Bonusregeln G, y und K wenn Anlage 3 erfüllt</v>
      </c>
      <c r="AV516" s="215" t="str">
        <f t="shared" si="217"/>
        <v/>
      </c>
      <c r="AW516" s="216" t="str">
        <f t="shared" si="218"/>
        <v>Anteil KWK gemäß Anlage 3</v>
      </c>
      <c r="AX516" s="215" t="str">
        <f t="shared" si="219"/>
        <v/>
      </c>
      <c r="AY516" t="str">
        <f t="shared" si="220"/>
        <v/>
      </c>
      <c r="AZ516" t="str">
        <f t="shared" si="221"/>
        <v/>
      </c>
    </row>
    <row r="517" spans="1:52" s="178" customFormat="1" x14ac:dyDescent="0.25">
      <c r="A517" s="610" t="s">
        <v>2692</v>
      </c>
      <c r="B517" s="30" t="s">
        <v>5548</v>
      </c>
      <c r="C517" s="30" t="s">
        <v>4809</v>
      </c>
      <c r="D517" s="30" t="s">
        <v>6818</v>
      </c>
      <c r="E517" s="30" t="s">
        <v>674</v>
      </c>
      <c r="F517" s="454">
        <f t="shared" si="228"/>
        <v>22.67</v>
      </c>
      <c r="G517" s="529">
        <v>22.67</v>
      </c>
      <c r="H517" s="487">
        <f t="shared" si="229"/>
        <v>18.14</v>
      </c>
      <c r="I517" s="706"/>
      <c r="J517" s="669" t="s">
        <v>5805</v>
      </c>
      <c r="K517" s="15"/>
      <c r="L517"/>
      <c r="M517" s="49">
        <f t="shared" si="230"/>
        <v>22.67</v>
      </c>
      <c r="N517" s="41">
        <v>11.67</v>
      </c>
      <c r="O517" s="187"/>
      <c r="P517" s="183"/>
      <c r="Q517" s="184" t="s">
        <v>1017</v>
      </c>
      <c r="R517" s="184"/>
      <c r="S517" s="184" t="s">
        <v>4180</v>
      </c>
      <c r="T517" s="178" t="s">
        <v>4180</v>
      </c>
      <c r="U517" s="185" t="s">
        <v>1017</v>
      </c>
      <c r="V517" s="184"/>
      <c r="W517" s="180"/>
      <c r="X517" s="180"/>
      <c r="Y517" s="184" t="s">
        <v>1017</v>
      </c>
      <c r="Z517" s="184"/>
      <c r="AA517" s="180"/>
      <c r="AB517" s="184"/>
      <c r="AC517" s="184"/>
      <c r="AD517" s="201"/>
      <c r="AE517" s="181"/>
      <c r="AF517" s="180"/>
      <c r="AG517" s="201"/>
      <c r="AH517" s="212" t="str">
        <f t="shared" si="235"/>
        <v/>
      </c>
      <c r="AI517" s="214" t="str">
        <f t="shared" si="223"/>
        <v/>
      </c>
      <c r="AJ517" s="214" t="str">
        <f t="shared" si="224"/>
        <v/>
      </c>
      <c r="AK517" s="214" t="str">
        <f t="shared" si="225"/>
        <v/>
      </c>
      <c r="AL517" s="214" t="str">
        <f t="shared" si="226"/>
        <v/>
      </c>
      <c r="AM517" s="214" t="str">
        <f t="shared" si="227"/>
        <v/>
      </c>
      <c r="AN517" s="213" t="str">
        <f t="shared" si="209"/>
        <v/>
      </c>
      <c r="AO517" s="213" t="str">
        <f t="shared" si="210"/>
        <v/>
      </c>
      <c r="AP517" s="213" t="str">
        <f t="shared" si="211"/>
        <v/>
      </c>
      <c r="AQ517" s="215" t="str">
        <f t="shared" si="212"/>
        <v/>
      </c>
      <c r="AR517" s="216" t="str">
        <f t="shared" si="213"/>
        <v>BiK81GK09y--04</v>
      </c>
      <c r="AS517" s="215" t="str">
        <f t="shared" si="214"/>
        <v/>
      </c>
      <c r="AT517">
        <f t="shared" si="215"/>
        <v>14</v>
      </c>
      <c r="AU517" s="216" t="str">
        <f t="shared" si="216"/>
        <v>0-0,15 MW, Bonusregeln G, y und K erstmals 2009</v>
      </c>
      <c r="AV517" s="215" t="str">
        <f t="shared" si="217"/>
        <v/>
      </c>
      <c r="AW517" s="216" t="str">
        <f t="shared" si="218"/>
        <v>Anteil KWK, erstmals 2009</v>
      </c>
      <c r="AX517" s="215" t="str">
        <f t="shared" si="219"/>
        <v/>
      </c>
      <c r="AY517" t="str">
        <f t="shared" si="220"/>
        <v/>
      </c>
      <c r="AZ517" t="str">
        <f t="shared" si="221"/>
        <v/>
      </c>
    </row>
    <row r="518" spans="1:52" s="178" customFormat="1" x14ac:dyDescent="0.25">
      <c r="A518" s="610" t="s">
        <v>1633</v>
      </c>
      <c r="B518" s="30" t="s">
        <v>5548</v>
      </c>
      <c r="C518" s="30" t="s">
        <v>4809</v>
      </c>
      <c r="D518" s="30" t="s">
        <v>6819</v>
      </c>
      <c r="E518" s="30" t="s">
        <v>3567</v>
      </c>
      <c r="F518" s="454">
        <f t="shared" si="228"/>
        <v>22.64</v>
      </c>
      <c r="G518" s="529">
        <v>22.64</v>
      </c>
      <c r="H518" s="487">
        <f t="shared" si="229"/>
        <v>18.11</v>
      </c>
      <c r="I518" s="706"/>
      <c r="J518" s="669" t="s">
        <v>5805</v>
      </c>
      <c r="K518" s="15"/>
      <c r="L518"/>
      <c r="M518" s="49">
        <f t="shared" si="230"/>
        <v>22.64</v>
      </c>
      <c r="N518" s="41">
        <v>11.67</v>
      </c>
      <c r="O518" s="187"/>
      <c r="P518" s="183"/>
      <c r="Q518" s="184"/>
      <c r="R518" s="184" t="s">
        <v>1017</v>
      </c>
      <c r="S518" s="184" t="s">
        <v>4180</v>
      </c>
      <c r="T518" s="178" t="s">
        <v>4180</v>
      </c>
      <c r="U518" s="185" t="s">
        <v>1017</v>
      </c>
      <c r="V518" s="184"/>
      <c r="W518" s="180"/>
      <c r="X518" s="180"/>
      <c r="Y518" s="184" t="s">
        <v>1017</v>
      </c>
      <c r="Z518" s="184"/>
      <c r="AA518" s="180"/>
      <c r="AB518" s="184"/>
      <c r="AC518" s="184"/>
      <c r="AD518" s="201"/>
      <c r="AE518" s="181"/>
      <c r="AF518" s="180"/>
      <c r="AG518" s="201"/>
      <c r="AH518" s="212" t="str">
        <f t="shared" si="235"/>
        <v>2010</v>
      </c>
      <c r="AI518" s="214" t="str">
        <f t="shared" si="223"/>
        <v/>
      </c>
      <c r="AJ518" s="214" t="str">
        <f t="shared" si="224"/>
        <v/>
      </c>
      <c r="AK518" s="214" t="str">
        <f t="shared" si="225"/>
        <v/>
      </c>
      <c r="AL518" s="214" t="str">
        <f t="shared" si="226"/>
        <v/>
      </c>
      <c r="AM518" s="214" t="str">
        <f t="shared" si="227"/>
        <v/>
      </c>
      <c r="AN518" s="213" t="str">
        <f t="shared" si="209"/>
        <v>2010</v>
      </c>
      <c r="AO518" s="213" t="str">
        <f t="shared" si="210"/>
        <v>2010</v>
      </c>
      <c r="AP518" s="213" t="str">
        <f t="shared" si="211"/>
        <v>2010</v>
      </c>
      <c r="AQ518" s="215" t="str">
        <f t="shared" si="212"/>
        <v/>
      </c>
      <c r="AR518" s="216" t="str">
        <f t="shared" si="213"/>
        <v>BiK81GK10y--04</v>
      </c>
      <c r="AS518" s="215" t="str">
        <f t="shared" si="214"/>
        <v/>
      </c>
      <c r="AT518">
        <f t="shared" si="215"/>
        <v>14</v>
      </c>
      <c r="AU518" s="216" t="str">
        <f t="shared" si="216"/>
        <v>0-0,15 MW, Bonusregeln G, y und K erstmals 2010</v>
      </c>
      <c r="AV518" s="215" t="str">
        <f t="shared" si="217"/>
        <v/>
      </c>
      <c r="AW518" s="216" t="str">
        <f t="shared" si="218"/>
        <v>Anteil KWK, erstmals 2010</v>
      </c>
      <c r="AX518" s="215" t="str">
        <f t="shared" si="219"/>
        <v/>
      </c>
      <c r="AY518" t="str">
        <f t="shared" si="220"/>
        <v/>
      </c>
      <c r="AZ518" t="str">
        <f t="shared" si="221"/>
        <v/>
      </c>
    </row>
    <row r="519" spans="1:52" s="178" customFormat="1" x14ac:dyDescent="0.25">
      <c r="A519" s="610" t="s">
        <v>5248</v>
      </c>
      <c r="B519" s="30" t="s">
        <v>5548</v>
      </c>
      <c r="C519" s="30" t="s">
        <v>4809</v>
      </c>
      <c r="D519" s="30" t="s">
        <v>6820</v>
      </c>
      <c r="E519" s="30" t="s">
        <v>3055</v>
      </c>
      <c r="F519" s="454">
        <f t="shared" si="228"/>
        <v>22.61</v>
      </c>
      <c r="G519" s="529">
        <v>22.61</v>
      </c>
      <c r="H519" s="487">
        <f t="shared" si="229"/>
        <v>18.09</v>
      </c>
      <c r="I519" s="706"/>
      <c r="J519" s="669" t="s">
        <v>5805</v>
      </c>
      <c r="K519" s="15"/>
      <c r="L519"/>
      <c r="M519" s="49">
        <f t="shared" si="230"/>
        <v>22.61</v>
      </c>
      <c r="N519" s="41">
        <v>11.67</v>
      </c>
      <c r="O519" s="187"/>
      <c r="P519" s="183"/>
      <c r="Q519" s="184"/>
      <c r="S519" s="184" t="s">
        <v>1017</v>
      </c>
      <c r="T519" s="178" t="s">
        <v>4180</v>
      </c>
      <c r="U519" s="185" t="s">
        <v>1017</v>
      </c>
      <c r="V519" s="184"/>
      <c r="W519" s="180"/>
      <c r="X519" s="180"/>
      <c r="Y519" s="184" t="s">
        <v>1017</v>
      </c>
      <c r="Z519" s="184"/>
      <c r="AA519" s="180"/>
      <c r="AB519" s="184"/>
      <c r="AC519" s="184"/>
      <c r="AD519" s="201"/>
      <c r="AE519" s="181"/>
      <c r="AF519" s="180"/>
      <c r="AG519" s="201"/>
      <c r="AH519" s="212" t="str">
        <f t="shared" si="235"/>
        <v>2011</v>
      </c>
      <c r="AI519" s="214" t="str">
        <f t="shared" si="223"/>
        <v/>
      </c>
      <c r="AJ519" s="214" t="str">
        <f t="shared" si="224"/>
        <v/>
      </c>
      <c r="AK519" s="214" t="str">
        <f t="shared" si="225"/>
        <v/>
      </c>
      <c r="AL519" s="214" t="str">
        <f t="shared" si="226"/>
        <v/>
      </c>
      <c r="AM519" s="214" t="str">
        <f t="shared" si="227"/>
        <v/>
      </c>
      <c r="AN519" s="213" t="str">
        <f t="shared" si="209"/>
        <v>2011</v>
      </c>
      <c r="AO519" s="213" t="str">
        <f t="shared" si="210"/>
        <v>2011</v>
      </c>
      <c r="AP519" s="213" t="str">
        <f t="shared" si="211"/>
        <v>2011</v>
      </c>
      <c r="AQ519" s="215" t="str">
        <f t="shared" si="212"/>
        <v/>
      </c>
      <c r="AR519" s="216" t="str">
        <f t="shared" si="213"/>
        <v>BiK81GK11y--04</v>
      </c>
      <c r="AS519" s="215" t="str">
        <f t="shared" si="214"/>
        <v/>
      </c>
      <c r="AT519">
        <f t="shared" si="215"/>
        <v>14</v>
      </c>
      <c r="AU519" s="216" t="str">
        <f t="shared" si="216"/>
        <v>0-0,15 MW, Bonusregeln G, y und K erstmals 2011</v>
      </c>
      <c r="AV519" s="215" t="str">
        <f t="shared" si="217"/>
        <v/>
      </c>
      <c r="AW519" s="216" t="str">
        <f t="shared" si="218"/>
        <v>Anteil KWK, erstmals 2011</v>
      </c>
      <c r="AX519" s="215" t="str">
        <f t="shared" si="219"/>
        <v/>
      </c>
      <c r="AY519" t="str">
        <f t="shared" si="220"/>
        <v>x</v>
      </c>
      <c r="AZ519" t="str">
        <f t="shared" si="221"/>
        <v/>
      </c>
    </row>
    <row r="520" spans="1:52" s="178" customFormat="1" x14ac:dyDescent="0.25">
      <c r="A520" s="625" t="s">
        <v>3555</v>
      </c>
      <c r="B520" s="219" t="s">
        <v>5548</v>
      </c>
      <c r="C520" s="219" t="s">
        <v>4809</v>
      </c>
      <c r="D520" s="219" t="s">
        <v>6821</v>
      </c>
      <c r="E520" s="219" t="s">
        <v>1980</v>
      </c>
      <c r="F520" s="455">
        <f t="shared" si="228"/>
        <v>22.58</v>
      </c>
      <c r="G520" s="530">
        <v>22.58</v>
      </c>
      <c r="H520" s="488">
        <f t="shared" si="229"/>
        <v>18.059999999999999</v>
      </c>
      <c r="I520" s="707"/>
      <c r="J520" s="669" t="s">
        <v>5805</v>
      </c>
      <c r="K520" s="15"/>
      <c r="L520"/>
      <c r="M520" s="49">
        <f t="shared" si="230"/>
        <v>22.58</v>
      </c>
      <c r="N520" s="41">
        <v>11.67</v>
      </c>
      <c r="O520" s="187"/>
      <c r="P520" s="183"/>
      <c r="Q520" s="184"/>
      <c r="S520" s="184" t="s">
        <v>4180</v>
      </c>
      <c r="T520" s="178" t="s">
        <v>1017</v>
      </c>
      <c r="U520" s="185" t="s">
        <v>1017</v>
      </c>
      <c r="V520" s="184"/>
      <c r="W520" s="180"/>
      <c r="X520" s="180"/>
      <c r="Y520" s="184" t="s">
        <v>1017</v>
      </c>
      <c r="Z520" s="184"/>
      <c r="AA520" s="180"/>
      <c r="AB520" s="184"/>
      <c r="AC520" s="184"/>
      <c r="AD520" s="201"/>
      <c r="AE520" s="181"/>
      <c r="AF520" s="180"/>
      <c r="AG520" s="201"/>
      <c r="AH520" s="217" t="s">
        <v>4179</v>
      </c>
      <c r="AI520" s="214" t="str">
        <f t="shared" si="223"/>
        <v/>
      </c>
      <c r="AJ520" s="214" t="str">
        <f t="shared" si="224"/>
        <v/>
      </c>
      <c r="AK520" s="214" t="str">
        <f t="shared" si="225"/>
        <v/>
      </c>
      <c r="AL520" s="214" t="str">
        <f t="shared" si="226"/>
        <v/>
      </c>
      <c r="AM520" s="214" t="str">
        <f t="shared" si="227"/>
        <v/>
      </c>
      <c r="AN520" s="213" t="str">
        <f t="shared" si="209"/>
        <v>2012</v>
      </c>
      <c r="AO520" s="213" t="str">
        <f t="shared" si="210"/>
        <v>2012</v>
      </c>
      <c r="AP520" s="213" t="str">
        <f t="shared" si="211"/>
        <v>2012</v>
      </c>
      <c r="AQ520" s="215" t="str">
        <f t="shared" si="212"/>
        <v/>
      </c>
      <c r="AR520" s="216" t="str">
        <f t="shared" si="213"/>
        <v>BiK81GK12y--04</v>
      </c>
      <c r="AS520" s="215" t="str">
        <f t="shared" si="214"/>
        <v/>
      </c>
      <c r="AT520">
        <f t="shared" si="215"/>
        <v>14</v>
      </c>
      <c r="AU520" s="216" t="str">
        <f t="shared" si="216"/>
        <v>0-0,15 MW, Bonusregeln G, y und K erstmals 2012</v>
      </c>
      <c r="AV520" s="215" t="str">
        <f t="shared" si="217"/>
        <v/>
      </c>
      <c r="AW520" s="216" t="str">
        <f t="shared" si="218"/>
        <v>Anteil KWK, erstmals 2012</v>
      </c>
      <c r="AX520" s="215" t="str">
        <f t="shared" si="219"/>
        <v/>
      </c>
      <c r="AY520" t="str">
        <f t="shared" si="220"/>
        <v/>
      </c>
      <c r="AZ520" t="str">
        <f t="shared" si="221"/>
        <v>x</v>
      </c>
    </row>
    <row r="521" spans="1:52" s="178" customFormat="1" x14ac:dyDescent="0.25">
      <c r="A521" s="610" t="s">
        <v>2693</v>
      </c>
      <c r="B521" s="30" t="s">
        <v>5548</v>
      </c>
      <c r="C521" s="30" t="s">
        <v>4809</v>
      </c>
      <c r="D521" s="30" t="s">
        <v>6822</v>
      </c>
      <c r="E521" s="30" t="s">
        <v>4810</v>
      </c>
      <c r="F521" s="454">
        <f t="shared" si="228"/>
        <v>22.67</v>
      </c>
      <c r="G521" s="529">
        <v>22.67</v>
      </c>
      <c r="H521" s="487">
        <f t="shared" si="229"/>
        <v>18.14</v>
      </c>
      <c r="I521" s="706"/>
      <c r="J521" s="669" t="s">
        <v>5805</v>
      </c>
      <c r="K521" s="15"/>
      <c r="L521"/>
      <c r="M521" s="49">
        <f t="shared" si="230"/>
        <v>22.67</v>
      </c>
      <c r="N521" s="41">
        <v>11.67</v>
      </c>
      <c r="O521" s="186"/>
      <c r="P521" s="177"/>
      <c r="S521" s="178" t="s">
        <v>4180</v>
      </c>
      <c r="T521" s="178" t="s">
        <v>4180</v>
      </c>
      <c r="U521" s="179"/>
      <c r="W521" s="180"/>
      <c r="X521" s="180"/>
      <c r="Z521" s="178" t="s">
        <v>1017</v>
      </c>
      <c r="AA521" s="180"/>
      <c r="AD521" s="201"/>
      <c r="AE521" s="200"/>
      <c r="AF521" s="180"/>
      <c r="AG521" s="201"/>
      <c r="AH521" s="212" t="str">
        <f t="shared" ref="AH521:AH526" si="236">IF(ISERROR(SEARCH("K erstmals 201",D521)),"",RIGHT(D521,4))</f>
        <v/>
      </c>
      <c r="AI521" s="214" t="str">
        <f t="shared" si="223"/>
        <v/>
      </c>
      <c r="AJ521" s="214" t="str">
        <f t="shared" si="224"/>
        <v/>
      </c>
      <c r="AK521" s="214" t="str">
        <f t="shared" si="225"/>
        <v/>
      </c>
      <c r="AL521" s="214" t="str">
        <f t="shared" si="226"/>
        <v/>
      </c>
      <c r="AM521" s="214" t="str">
        <f t="shared" si="227"/>
        <v/>
      </c>
      <c r="AN521" s="213" t="str">
        <f t="shared" si="209"/>
        <v/>
      </c>
      <c r="AO521" s="213" t="str">
        <f t="shared" si="210"/>
        <v/>
      </c>
      <c r="AP521" s="213" t="str">
        <f t="shared" si="211"/>
        <v/>
      </c>
      <c r="AQ521" s="215" t="str">
        <f t="shared" si="212"/>
        <v/>
      </c>
      <c r="AR521" s="216" t="str">
        <f t="shared" si="213"/>
        <v>BiK81M1-----04</v>
      </c>
      <c r="AS521" s="215" t="str">
        <f t="shared" si="214"/>
        <v/>
      </c>
      <c r="AT521">
        <f t="shared" si="215"/>
        <v>14</v>
      </c>
      <c r="AU521" s="216" t="str">
        <f t="shared" si="216"/>
        <v>0-0,15 MW, Bonusregel M1</v>
      </c>
      <c r="AV521" s="215" t="str">
        <f t="shared" si="217"/>
        <v/>
      </c>
      <c r="AW521" s="216" t="str">
        <f t="shared" si="218"/>
        <v>Anteil Nicht-KWK</v>
      </c>
      <c r="AX521" s="215" t="str">
        <f t="shared" si="219"/>
        <v/>
      </c>
      <c r="AY521" t="str">
        <f t="shared" si="220"/>
        <v/>
      </c>
      <c r="AZ521" t="str">
        <f t="shared" si="221"/>
        <v/>
      </c>
    </row>
    <row r="522" spans="1:52" s="178" customFormat="1" x14ac:dyDescent="0.25">
      <c r="A522" s="610" t="s">
        <v>2694</v>
      </c>
      <c r="B522" s="30" t="s">
        <v>5548</v>
      </c>
      <c r="C522" s="30" t="s">
        <v>4809</v>
      </c>
      <c r="D522" s="30" t="s">
        <v>6897</v>
      </c>
      <c r="E522" s="30" t="s">
        <v>4812</v>
      </c>
      <c r="F522" s="454">
        <f t="shared" si="228"/>
        <v>24.67</v>
      </c>
      <c r="G522" s="529">
        <v>24.67</v>
      </c>
      <c r="H522" s="487">
        <f t="shared" si="229"/>
        <v>19.739999999999998</v>
      </c>
      <c r="I522" s="706"/>
      <c r="J522" s="669" t="s">
        <v>5805</v>
      </c>
      <c r="K522" s="15"/>
      <c r="L522"/>
      <c r="M522" s="49">
        <f t="shared" si="230"/>
        <v>24.67</v>
      </c>
      <c r="N522" s="41">
        <v>11.67</v>
      </c>
      <c r="O522" s="186" t="s">
        <v>1017</v>
      </c>
      <c r="P522" s="177"/>
      <c r="S522" s="178" t="s">
        <v>4180</v>
      </c>
      <c r="T522" s="178" t="s">
        <v>4180</v>
      </c>
      <c r="U522" s="179"/>
      <c r="W522" s="180"/>
      <c r="X522" s="180"/>
      <c r="Z522" s="178" t="s">
        <v>1017</v>
      </c>
      <c r="AA522" s="180"/>
      <c r="AD522" s="201"/>
      <c r="AE522" s="200"/>
      <c r="AF522" s="180"/>
      <c r="AG522" s="201"/>
      <c r="AH522" s="212" t="str">
        <f t="shared" si="236"/>
        <v/>
      </c>
      <c r="AI522" s="214" t="str">
        <f t="shared" si="223"/>
        <v/>
      </c>
      <c r="AJ522" s="214" t="str">
        <f t="shared" si="224"/>
        <v/>
      </c>
      <c r="AK522" s="214" t="str">
        <f t="shared" si="225"/>
        <v/>
      </c>
      <c r="AL522" s="214" t="str">
        <f t="shared" si="226"/>
        <v/>
      </c>
      <c r="AM522" s="214" t="str">
        <f t="shared" si="227"/>
        <v/>
      </c>
      <c r="AN522" s="213" t="str">
        <f t="shared" si="209"/>
        <v/>
      </c>
      <c r="AO522" s="213" t="str">
        <f t="shared" si="210"/>
        <v/>
      </c>
      <c r="AP522" s="213" t="str">
        <f t="shared" si="211"/>
        <v/>
      </c>
      <c r="AQ522" s="215" t="str">
        <f t="shared" si="212"/>
        <v/>
      </c>
      <c r="AR522" s="216" t="str">
        <f t="shared" si="213"/>
        <v>BiK81M1KWK--04</v>
      </c>
      <c r="AS522" s="215" t="str">
        <f t="shared" si="214"/>
        <v/>
      </c>
      <c r="AT522">
        <f t="shared" si="215"/>
        <v>14</v>
      </c>
      <c r="AU522" s="216" t="str">
        <f t="shared" si="216"/>
        <v>0-0,15 MW, Bonusregeln M1 und KWK</v>
      </c>
      <c r="AV522" s="215" t="str">
        <f t="shared" si="217"/>
        <v/>
      </c>
      <c r="AW522" s="216" t="str">
        <f t="shared" si="218"/>
        <v>Anteil KWK</v>
      </c>
      <c r="AX522" s="215" t="str">
        <f t="shared" si="219"/>
        <v/>
      </c>
      <c r="AY522" t="str">
        <f t="shared" si="220"/>
        <v/>
      </c>
      <c r="AZ522" t="str">
        <f t="shared" si="221"/>
        <v/>
      </c>
    </row>
    <row r="523" spans="1:52" s="178" customFormat="1" x14ac:dyDescent="0.25">
      <c r="A523" s="610" t="s">
        <v>2695</v>
      </c>
      <c r="B523" s="30" t="s">
        <v>5548</v>
      </c>
      <c r="C523" s="30" t="s">
        <v>4809</v>
      </c>
      <c r="D523" s="30" t="s">
        <v>6823</v>
      </c>
      <c r="E523" s="30" t="s">
        <v>4331</v>
      </c>
      <c r="F523" s="454">
        <f t="shared" si="228"/>
        <v>25.67</v>
      </c>
      <c r="G523" s="529">
        <v>25.67</v>
      </c>
      <c r="H523" s="487">
        <f t="shared" si="229"/>
        <v>20.54</v>
      </c>
      <c r="I523" s="706"/>
      <c r="J523" s="669" t="s">
        <v>5805</v>
      </c>
      <c r="K523" s="15"/>
      <c r="L523"/>
      <c r="M523" s="49">
        <f t="shared" si="230"/>
        <v>25.67</v>
      </c>
      <c r="N523" s="41">
        <v>11.67</v>
      </c>
      <c r="O523" s="186"/>
      <c r="P523" s="178" t="s">
        <v>1017</v>
      </c>
      <c r="S523" s="178" t="s">
        <v>4180</v>
      </c>
      <c r="T523" s="178" t="s">
        <v>4180</v>
      </c>
      <c r="U523" s="179"/>
      <c r="W523" s="180"/>
      <c r="X523" s="180"/>
      <c r="Z523" s="178" t="s">
        <v>1017</v>
      </c>
      <c r="AA523" s="180"/>
      <c r="AD523" s="201"/>
      <c r="AE523" s="200"/>
      <c r="AF523" s="180"/>
      <c r="AG523" s="201"/>
      <c r="AH523" s="212" t="str">
        <f t="shared" si="236"/>
        <v/>
      </c>
      <c r="AI523" s="214" t="str">
        <f t="shared" si="223"/>
        <v/>
      </c>
      <c r="AJ523" s="214" t="str">
        <f t="shared" si="224"/>
        <v/>
      </c>
      <c r="AK523" s="214" t="str">
        <f t="shared" si="225"/>
        <v/>
      </c>
      <c r="AL523" s="214" t="str">
        <f t="shared" si="226"/>
        <v/>
      </c>
      <c r="AM523" s="214" t="str">
        <f t="shared" si="227"/>
        <v/>
      </c>
      <c r="AN523" s="213" t="str">
        <f t="shared" si="209"/>
        <v/>
      </c>
      <c r="AO523" s="213" t="str">
        <f t="shared" si="210"/>
        <v/>
      </c>
      <c r="AP523" s="213" t="str">
        <f t="shared" si="211"/>
        <v/>
      </c>
      <c r="AQ523" s="215" t="str">
        <f t="shared" si="212"/>
        <v/>
      </c>
      <c r="AR523" s="216" t="str">
        <f t="shared" si="213"/>
        <v>BiK81M1KA3--04</v>
      </c>
      <c r="AS523" s="215" t="str">
        <f t="shared" si="214"/>
        <v/>
      </c>
      <c r="AT523">
        <f t="shared" si="215"/>
        <v>14</v>
      </c>
      <c r="AU523" s="216" t="str">
        <f t="shared" si="216"/>
        <v>0-0,15 MW, Bonusregeln M1 und K wenn Anlage 3 erfüllt</v>
      </c>
      <c r="AV523" s="215" t="str">
        <f t="shared" si="217"/>
        <v/>
      </c>
      <c r="AW523" s="216" t="str">
        <f t="shared" si="218"/>
        <v>Anteil KWK gemäß Anlage 3</v>
      </c>
      <c r="AX523" s="215" t="str">
        <f t="shared" si="219"/>
        <v/>
      </c>
      <c r="AY523" t="str">
        <f t="shared" si="220"/>
        <v/>
      </c>
      <c r="AZ523" t="str">
        <f t="shared" si="221"/>
        <v/>
      </c>
    </row>
    <row r="524" spans="1:52" s="178" customFormat="1" x14ac:dyDescent="0.25">
      <c r="A524" s="610" t="s">
        <v>2696</v>
      </c>
      <c r="B524" s="30" t="s">
        <v>5548</v>
      </c>
      <c r="C524" s="30" t="s">
        <v>4809</v>
      </c>
      <c r="D524" s="30" t="s">
        <v>6898</v>
      </c>
      <c r="E524" s="30" t="s">
        <v>674</v>
      </c>
      <c r="F524" s="454">
        <f t="shared" si="228"/>
        <v>25.67</v>
      </c>
      <c r="G524" s="529">
        <v>25.67</v>
      </c>
      <c r="H524" s="487">
        <f t="shared" si="229"/>
        <v>20.54</v>
      </c>
      <c r="I524" s="706"/>
      <c r="J524" s="669" t="s">
        <v>5805</v>
      </c>
      <c r="K524" s="15"/>
      <c r="L524"/>
      <c r="M524" s="49">
        <f t="shared" si="230"/>
        <v>25.67</v>
      </c>
      <c r="N524" s="41">
        <v>11.67</v>
      </c>
      <c r="O524" s="186"/>
      <c r="P524" s="177"/>
      <c r="Q524" s="178" t="s">
        <v>1017</v>
      </c>
      <c r="S524" s="178" t="s">
        <v>4180</v>
      </c>
      <c r="T524" s="178" t="s">
        <v>4180</v>
      </c>
      <c r="U524" s="179"/>
      <c r="W524" s="180"/>
      <c r="X524" s="180"/>
      <c r="Z524" s="178" t="s">
        <v>1017</v>
      </c>
      <c r="AA524" s="180"/>
      <c r="AD524" s="201"/>
      <c r="AE524" s="200"/>
      <c r="AF524" s="180"/>
      <c r="AG524" s="201"/>
      <c r="AH524" s="212" t="str">
        <f t="shared" si="236"/>
        <v/>
      </c>
      <c r="AI524" s="214" t="str">
        <f t="shared" si="223"/>
        <v/>
      </c>
      <c r="AJ524" s="214" t="str">
        <f t="shared" si="224"/>
        <v/>
      </c>
      <c r="AK524" s="214" t="str">
        <f t="shared" si="225"/>
        <v/>
      </c>
      <c r="AL524" s="214" t="str">
        <f t="shared" si="226"/>
        <v/>
      </c>
      <c r="AM524" s="214" t="str">
        <f t="shared" si="227"/>
        <v/>
      </c>
      <c r="AN524" s="213" t="str">
        <f t="shared" si="209"/>
        <v/>
      </c>
      <c r="AO524" s="213" t="str">
        <f t="shared" si="210"/>
        <v/>
      </c>
      <c r="AP524" s="213" t="str">
        <f t="shared" si="211"/>
        <v/>
      </c>
      <c r="AQ524" s="215" t="str">
        <f t="shared" si="212"/>
        <v/>
      </c>
      <c r="AR524" s="216" t="str">
        <f t="shared" si="213"/>
        <v>BiK81M1K09--04</v>
      </c>
      <c r="AS524" s="215" t="str">
        <f t="shared" si="214"/>
        <v/>
      </c>
      <c r="AT524">
        <f t="shared" si="215"/>
        <v>14</v>
      </c>
      <c r="AU524" s="216" t="str">
        <f t="shared" si="216"/>
        <v>0-0,15 MW, Bonusregeln M1, K erstmals 2009</v>
      </c>
      <c r="AV524" s="215" t="str">
        <f t="shared" si="217"/>
        <v/>
      </c>
      <c r="AW524" s="216" t="str">
        <f t="shared" si="218"/>
        <v>Anteil KWK, erstmals 2009</v>
      </c>
      <c r="AX524" s="215" t="str">
        <f t="shared" si="219"/>
        <v/>
      </c>
      <c r="AY524" t="str">
        <f t="shared" si="220"/>
        <v/>
      </c>
      <c r="AZ524" t="str">
        <f t="shared" si="221"/>
        <v/>
      </c>
    </row>
    <row r="525" spans="1:52" x14ac:dyDescent="0.25">
      <c r="A525" s="610" t="s">
        <v>1634</v>
      </c>
      <c r="B525" s="30" t="s">
        <v>5548</v>
      </c>
      <c r="C525" s="30" t="s">
        <v>4809</v>
      </c>
      <c r="D525" s="30" t="s">
        <v>6899</v>
      </c>
      <c r="E525" s="30" t="s">
        <v>3567</v>
      </c>
      <c r="F525" s="454">
        <f t="shared" si="228"/>
        <v>25.64</v>
      </c>
      <c r="G525" s="529">
        <v>25.64</v>
      </c>
      <c r="H525" s="487">
        <f t="shared" si="229"/>
        <v>20.51</v>
      </c>
      <c r="I525" s="706"/>
      <c r="J525" s="669" t="s">
        <v>5805</v>
      </c>
      <c r="K525" s="15"/>
      <c r="M525" s="49">
        <f t="shared" si="230"/>
        <v>25.64</v>
      </c>
      <c r="N525" s="41">
        <v>11.67</v>
      </c>
      <c r="O525" s="186"/>
      <c r="P525" s="177"/>
      <c r="Q525" s="178"/>
      <c r="R525" s="178" t="s">
        <v>1017</v>
      </c>
      <c r="S525" s="178" t="s">
        <v>4180</v>
      </c>
      <c r="T525" t="s">
        <v>4180</v>
      </c>
      <c r="U525" s="179"/>
      <c r="V525" s="178"/>
      <c r="W525" s="180"/>
      <c r="X525" s="180"/>
      <c r="Y525" s="178"/>
      <c r="Z525" s="178" t="s">
        <v>1017</v>
      </c>
      <c r="AA525" s="180"/>
      <c r="AB525" s="178"/>
      <c r="AC525" s="178"/>
      <c r="AD525" s="201"/>
      <c r="AE525" s="200"/>
      <c r="AF525" s="180"/>
      <c r="AG525" s="201"/>
      <c r="AH525" s="212" t="str">
        <f t="shared" si="236"/>
        <v>2010</v>
      </c>
      <c r="AI525" s="214" t="str">
        <f t="shared" si="223"/>
        <v/>
      </c>
      <c r="AJ525" s="214" t="str">
        <f t="shared" si="224"/>
        <v/>
      </c>
      <c r="AK525" s="214" t="str">
        <f t="shared" si="225"/>
        <v/>
      </c>
      <c r="AL525" s="214" t="str">
        <f t="shared" si="226"/>
        <v/>
      </c>
      <c r="AM525" s="214" t="str">
        <f t="shared" si="227"/>
        <v/>
      </c>
      <c r="AN525" s="213" t="str">
        <f t="shared" si="209"/>
        <v>2010</v>
      </c>
      <c r="AO525" s="213" t="str">
        <f t="shared" si="210"/>
        <v>2010</v>
      </c>
      <c r="AP525" s="213" t="str">
        <f t="shared" si="211"/>
        <v>2010</v>
      </c>
      <c r="AQ525" s="215" t="str">
        <f t="shared" si="212"/>
        <v/>
      </c>
      <c r="AR525" s="216" t="str">
        <f t="shared" si="213"/>
        <v>BiK81M1K10--04</v>
      </c>
      <c r="AS525" s="215" t="str">
        <f t="shared" si="214"/>
        <v/>
      </c>
      <c r="AT525">
        <f t="shared" si="215"/>
        <v>14</v>
      </c>
      <c r="AU525" s="216" t="str">
        <f t="shared" si="216"/>
        <v>0-0,15 MW, Bonusregeln M1, K erstmals 2010</v>
      </c>
      <c r="AV525" s="215" t="str">
        <f t="shared" si="217"/>
        <v/>
      </c>
      <c r="AW525" s="216" t="str">
        <f t="shared" si="218"/>
        <v>Anteil KWK, erstmals 2010</v>
      </c>
      <c r="AX525" s="215" t="str">
        <f t="shared" si="219"/>
        <v/>
      </c>
      <c r="AY525" t="str">
        <f t="shared" si="220"/>
        <v/>
      </c>
      <c r="AZ525" t="str">
        <f t="shared" si="221"/>
        <v/>
      </c>
    </row>
    <row r="526" spans="1:52" x14ac:dyDescent="0.25">
      <c r="A526" s="610" t="s">
        <v>5249</v>
      </c>
      <c r="B526" s="30" t="s">
        <v>5548</v>
      </c>
      <c r="C526" s="30" t="s">
        <v>4809</v>
      </c>
      <c r="D526" s="30" t="s">
        <v>6900</v>
      </c>
      <c r="E526" s="30" t="s">
        <v>3055</v>
      </c>
      <c r="F526" s="454">
        <f t="shared" si="228"/>
        <v>25.61</v>
      </c>
      <c r="G526" s="529">
        <v>25.61</v>
      </c>
      <c r="H526" s="487">
        <f t="shared" si="229"/>
        <v>20.49</v>
      </c>
      <c r="I526" s="706"/>
      <c r="J526" s="669" t="s">
        <v>5805</v>
      </c>
      <c r="K526" s="15"/>
      <c r="M526" s="49">
        <f t="shared" si="230"/>
        <v>25.61</v>
      </c>
      <c r="N526" s="41">
        <v>11.67</v>
      </c>
      <c r="O526" s="186"/>
      <c r="P526" s="177"/>
      <c r="Q526" s="178"/>
      <c r="R526" s="178"/>
      <c r="S526" s="178" t="s">
        <v>1017</v>
      </c>
      <c r="T526" t="s">
        <v>4180</v>
      </c>
      <c r="U526" s="179"/>
      <c r="V526" s="178"/>
      <c r="W526" s="180"/>
      <c r="X526" s="180"/>
      <c r="Y526" s="178"/>
      <c r="Z526" s="178" t="s">
        <v>1017</v>
      </c>
      <c r="AA526" s="180"/>
      <c r="AB526" s="178"/>
      <c r="AC526" s="178"/>
      <c r="AD526" s="201"/>
      <c r="AE526" s="200"/>
      <c r="AF526" s="180"/>
      <c r="AG526" s="201"/>
      <c r="AH526" s="212" t="str">
        <f t="shared" si="236"/>
        <v>2011</v>
      </c>
      <c r="AI526" s="214" t="str">
        <f t="shared" si="223"/>
        <v/>
      </c>
      <c r="AJ526" s="214" t="str">
        <f t="shared" si="224"/>
        <v/>
      </c>
      <c r="AK526" s="214" t="str">
        <f t="shared" si="225"/>
        <v/>
      </c>
      <c r="AL526" s="214" t="str">
        <f t="shared" si="226"/>
        <v/>
      </c>
      <c r="AM526" s="214" t="str">
        <f t="shared" si="227"/>
        <v/>
      </c>
      <c r="AN526" s="213" t="str">
        <f t="shared" si="209"/>
        <v>2011</v>
      </c>
      <c r="AO526" s="213" t="str">
        <f t="shared" si="210"/>
        <v>2011</v>
      </c>
      <c r="AP526" s="213" t="str">
        <f t="shared" si="211"/>
        <v>2011</v>
      </c>
      <c r="AQ526" s="215" t="str">
        <f t="shared" si="212"/>
        <v/>
      </c>
      <c r="AR526" s="216" t="str">
        <f t="shared" si="213"/>
        <v>BiK81M1K11--04</v>
      </c>
      <c r="AS526" s="215" t="str">
        <f t="shared" si="214"/>
        <v/>
      </c>
      <c r="AT526">
        <f t="shared" si="215"/>
        <v>14</v>
      </c>
      <c r="AU526" s="216" t="str">
        <f t="shared" si="216"/>
        <v>0-0,15 MW, Bonusregeln M1, K erstmals 2011</v>
      </c>
      <c r="AV526" s="215" t="str">
        <f t="shared" si="217"/>
        <v/>
      </c>
      <c r="AW526" s="216" t="str">
        <f t="shared" si="218"/>
        <v>Anteil KWK, erstmals 2011</v>
      </c>
      <c r="AX526" s="215" t="str">
        <f t="shared" si="219"/>
        <v/>
      </c>
      <c r="AY526" t="str">
        <f t="shared" si="220"/>
        <v>x</v>
      </c>
      <c r="AZ526" t="str">
        <f t="shared" si="221"/>
        <v/>
      </c>
    </row>
    <row r="527" spans="1:52" x14ac:dyDescent="0.25">
      <c r="A527" s="625" t="s">
        <v>3556</v>
      </c>
      <c r="B527" s="219" t="s">
        <v>5548</v>
      </c>
      <c r="C527" s="219" t="s">
        <v>4809</v>
      </c>
      <c r="D527" s="219" t="s">
        <v>6901</v>
      </c>
      <c r="E527" s="219" t="s">
        <v>1980</v>
      </c>
      <c r="F527" s="455">
        <f t="shared" si="228"/>
        <v>25.58</v>
      </c>
      <c r="G527" s="530">
        <v>25.58</v>
      </c>
      <c r="H527" s="488">
        <f t="shared" si="229"/>
        <v>20.46</v>
      </c>
      <c r="I527" s="707"/>
      <c r="J527" s="669" t="s">
        <v>5805</v>
      </c>
      <c r="K527" s="15"/>
      <c r="M527" s="49">
        <f t="shared" si="230"/>
        <v>25.58</v>
      </c>
      <c r="N527" s="41">
        <v>11.67</v>
      </c>
      <c r="O527" s="186"/>
      <c r="P527" s="177"/>
      <c r="Q527" s="178"/>
      <c r="R527" s="178"/>
      <c r="S527" s="178" t="s">
        <v>4180</v>
      </c>
      <c r="T527" t="s">
        <v>1017</v>
      </c>
      <c r="U527" s="179"/>
      <c r="V527" s="178"/>
      <c r="W527" s="180"/>
      <c r="X527" s="180"/>
      <c r="Y527" s="178"/>
      <c r="Z527" s="178" t="s">
        <v>1017</v>
      </c>
      <c r="AA527" s="180"/>
      <c r="AB527" s="178"/>
      <c r="AC527" s="178"/>
      <c r="AD527" s="201"/>
      <c r="AE527" s="200"/>
      <c r="AF527" s="180"/>
      <c r="AG527" s="201"/>
      <c r="AH527" s="217" t="s">
        <v>4179</v>
      </c>
      <c r="AI527" s="214" t="str">
        <f t="shared" si="223"/>
        <v/>
      </c>
      <c r="AJ527" s="214" t="str">
        <f t="shared" si="224"/>
        <v/>
      </c>
      <c r="AK527" s="214" t="str">
        <f t="shared" si="225"/>
        <v/>
      </c>
      <c r="AL527" s="214" t="str">
        <f t="shared" si="226"/>
        <v/>
      </c>
      <c r="AM527" s="214" t="str">
        <f t="shared" si="227"/>
        <v/>
      </c>
      <c r="AN527" s="213" t="str">
        <f t="shared" si="209"/>
        <v>2012</v>
      </c>
      <c r="AO527" s="213" t="str">
        <f t="shared" si="210"/>
        <v>2012</v>
      </c>
      <c r="AP527" s="213" t="str">
        <f t="shared" si="211"/>
        <v>2012</v>
      </c>
      <c r="AQ527" s="215" t="str">
        <f t="shared" si="212"/>
        <v/>
      </c>
      <c r="AR527" s="216" t="str">
        <f t="shared" si="213"/>
        <v>BiK81M1K12--04</v>
      </c>
      <c r="AS527" s="215" t="str">
        <f t="shared" si="214"/>
        <v/>
      </c>
      <c r="AT527">
        <f t="shared" si="215"/>
        <v>14</v>
      </c>
      <c r="AU527" s="216" t="str">
        <f t="shared" si="216"/>
        <v>0-0,15 MW, Bonusregeln M1, K erstmals 2012</v>
      </c>
      <c r="AV527" s="215" t="str">
        <f t="shared" si="217"/>
        <v/>
      </c>
      <c r="AW527" s="216" t="str">
        <f t="shared" si="218"/>
        <v>Anteil KWK, erstmals 2012</v>
      </c>
      <c r="AX527" s="215" t="str">
        <f t="shared" si="219"/>
        <v/>
      </c>
      <c r="AY527" t="str">
        <f t="shared" si="220"/>
        <v/>
      </c>
      <c r="AZ527" t="str">
        <f t="shared" si="221"/>
        <v>x</v>
      </c>
    </row>
    <row r="528" spans="1:52" x14ac:dyDescent="0.25">
      <c r="A528" s="610" t="s">
        <v>2697</v>
      </c>
      <c r="B528" s="30" t="s">
        <v>5548</v>
      </c>
      <c r="C528" s="30" t="s">
        <v>4809</v>
      </c>
      <c r="D528" s="30" t="s">
        <v>6828</v>
      </c>
      <c r="E528" s="30" t="s">
        <v>4810</v>
      </c>
      <c r="F528" s="454">
        <f t="shared" si="228"/>
        <v>23.67</v>
      </c>
      <c r="G528" s="529">
        <v>23.67</v>
      </c>
      <c r="H528" s="487">
        <f t="shared" si="229"/>
        <v>18.940000000000001</v>
      </c>
      <c r="I528" s="706"/>
      <c r="J528" s="669" t="s">
        <v>5805</v>
      </c>
      <c r="K528" s="15"/>
      <c r="M528" s="49">
        <f t="shared" si="230"/>
        <v>23.67</v>
      </c>
      <c r="N528" s="41">
        <v>11.67</v>
      </c>
      <c r="O528" s="187"/>
      <c r="P528" s="183"/>
      <c r="Q528" s="184"/>
      <c r="R528" s="184"/>
      <c r="S528" s="184" t="s">
        <v>4180</v>
      </c>
      <c r="T528" t="s">
        <v>4180</v>
      </c>
      <c r="U528" s="185" t="s">
        <v>1017</v>
      </c>
      <c r="V528" s="184"/>
      <c r="W528" s="180"/>
      <c r="X528" s="180"/>
      <c r="Y528" s="178"/>
      <c r="Z528" s="184" t="s">
        <v>1017</v>
      </c>
      <c r="AA528" s="180"/>
      <c r="AB528" s="184"/>
      <c r="AC528" s="184"/>
      <c r="AD528" s="201"/>
      <c r="AE528" s="181"/>
      <c r="AF528" s="180"/>
      <c r="AG528" s="201"/>
      <c r="AH528" s="212" t="str">
        <f t="shared" ref="AH528:AH533" si="237">IF(ISERROR(SEARCH("K erstmals 201",D528)),"",RIGHT(D528,4))</f>
        <v/>
      </c>
      <c r="AI528" s="214" t="str">
        <f t="shared" si="223"/>
        <v/>
      </c>
      <c r="AJ528" s="214" t="str">
        <f t="shared" si="224"/>
        <v/>
      </c>
      <c r="AK528" s="214" t="str">
        <f t="shared" si="225"/>
        <v/>
      </c>
      <c r="AL528" s="214" t="str">
        <f t="shared" si="226"/>
        <v/>
      </c>
      <c r="AM528" s="214" t="str">
        <f t="shared" si="227"/>
        <v/>
      </c>
      <c r="AN528" s="213" t="str">
        <f t="shared" si="209"/>
        <v/>
      </c>
      <c r="AO528" s="213" t="str">
        <f t="shared" si="210"/>
        <v/>
      </c>
      <c r="AP528" s="213" t="str">
        <f t="shared" si="211"/>
        <v/>
      </c>
      <c r="AQ528" s="215" t="str">
        <f t="shared" si="212"/>
        <v/>
      </c>
      <c r="AR528" s="216" t="str">
        <f t="shared" si="213"/>
        <v>BiK81M1y----04</v>
      </c>
      <c r="AS528" s="215" t="str">
        <f t="shared" si="214"/>
        <v/>
      </c>
      <c r="AT528">
        <f t="shared" si="215"/>
        <v>14</v>
      </c>
      <c r="AU528" s="216" t="str">
        <f t="shared" si="216"/>
        <v>0-0,15 MW, Bonusregeln M1, y</v>
      </c>
      <c r="AV528" s="215" t="str">
        <f t="shared" si="217"/>
        <v/>
      </c>
      <c r="AW528" s="216" t="str">
        <f t="shared" si="218"/>
        <v>Anteil Nicht-KWK</v>
      </c>
      <c r="AX528" s="215" t="str">
        <f t="shared" si="219"/>
        <v/>
      </c>
      <c r="AY528" t="str">
        <f t="shared" si="220"/>
        <v/>
      </c>
      <c r="AZ528" t="str">
        <f t="shared" si="221"/>
        <v/>
      </c>
    </row>
    <row r="529" spans="1:52" x14ac:dyDescent="0.25">
      <c r="A529" s="610" t="s">
        <v>2698</v>
      </c>
      <c r="B529" s="30" t="s">
        <v>5548</v>
      </c>
      <c r="C529" s="30" t="s">
        <v>4809</v>
      </c>
      <c r="D529" s="30" t="s">
        <v>6902</v>
      </c>
      <c r="E529" s="30" t="s">
        <v>4812</v>
      </c>
      <c r="F529" s="454">
        <f t="shared" si="228"/>
        <v>25.67</v>
      </c>
      <c r="G529" s="529">
        <v>25.67</v>
      </c>
      <c r="H529" s="487">
        <f t="shared" si="229"/>
        <v>20.54</v>
      </c>
      <c r="I529" s="706"/>
      <c r="J529" s="669" t="s">
        <v>5805</v>
      </c>
      <c r="K529" s="15"/>
      <c r="M529" s="49">
        <f t="shared" si="230"/>
        <v>25.67</v>
      </c>
      <c r="N529" s="41">
        <v>11.67</v>
      </c>
      <c r="O529" s="187" t="s">
        <v>1017</v>
      </c>
      <c r="P529" s="183"/>
      <c r="Q529" s="184"/>
      <c r="R529" s="184"/>
      <c r="S529" s="184" t="s">
        <v>4180</v>
      </c>
      <c r="T529" t="s">
        <v>4180</v>
      </c>
      <c r="U529" s="185" t="s">
        <v>1017</v>
      </c>
      <c r="V529" s="184"/>
      <c r="W529" s="180"/>
      <c r="X529" s="180"/>
      <c r="Y529" s="178"/>
      <c r="Z529" s="184" t="s">
        <v>1017</v>
      </c>
      <c r="AA529" s="180"/>
      <c r="AB529" s="184"/>
      <c r="AC529" s="184"/>
      <c r="AD529" s="201"/>
      <c r="AE529" s="181"/>
      <c r="AF529" s="180"/>
      <c r="AG529" s="201"/>
      <c r="AH529" s="212" t="str">
        <f t="shared" si="237"/>
        <v/>
      </c>
      <c r="AI529" s="214" t="str">
        <f t="shared" si="223"/>
        <v/>
      </c>
      <c r="AJ529" s="214" t="str">
        <f t="shared" si="224"/>
        <v/>
      </c>
      <c r="AK529" s="214" t="str">
        <f t="shared" si="225"/>
        <v/>
      </c>
      <c r="AL529" s="214" t="str">
        <f t="shared" si="226"/>
        <v/>
      </c>
      <c r="AM529" s="214" t="str">
        <f t="shared" si="227"/>
        <v/>
      </c>
      <c r="AN529" s="213" t="str">
        <f t="shared" si="209"/>
        <v/>
      </c>
      <c r="AO529" s="213" t="str">
        <f t="shared" si="210"/>
        <v/>
      </c>
      <c r="AP529" s="213" t="str">
        <f t="shared" si="211"/>
        <v/>
      </c>
      <c r="AQ529" s="215" t="str">
        <f t="shared" si="212"/>
        <v/>
      </c>
      <c r="AR529" s="216" t="str">
        <f t="shared" si="213"/>
        <v>BiK81M1KWKy-04</v>
      </c>
      <c r="AS529" s="215" t="str">
        <f t="shared" si="214"/>
        <v/>
      </c>
      <c r="AT529">
        <f t="shared" si="215"/>
        <v>14</v>
      </c>
      <c r="AU529" s="216" t="str">
        <f t="shared" si="216"/>
        <v>0-0,15 MW, Bonusregeln M1, y und KWK</v>
      </c>
      <c r="AV529" s="215" t="str">
        <f t="shared" si="217"/>
        <v/>
      </c>
      <c r="AW529" s="216" t="str">
        <f t="shared" si="218"/>
        <v>Anteil KWK</v>
      </c>
      <c r="AX529" s="215" t="str">
        <f t="shared" si="219"/>
        <v/>
      </c>
      <c r="AY529" t="str">
        <f t="shared" si="220"/>
        <v/>
      </c>
      <c r="AZ529" t="str">
        <f t="shared" si="221"/>
        <v/>
      </c>
    </row>
    <row r="530" spans="1:52" x14ac:dyDescent="0.25">
      <c r="A530" s="610" t="s">
        <v>2699</v>
      </c>
      <c r="B530" s="30" t="s">
        <v>5548</v>
      </c>
      <c r="C530" s="30" t="s">
        <v>4809</v>
      </c>
      <c r="D530" s="109" t="s">
        <v>6829</v>
      </c>
      <c r="E530" s="30" t="s">
        <v>4331</v>
      </c>
      <c r="F530" s="454">
        <f t="shared" si="228"/>
        <v>26.67</v>
      </c>
      <c r="G530" s="529">
        <v>26.67</v>
      </c>
      <c r="H530" s="487">
        <f t="shared" si="229"/>
        <v>21.34</v>
      </c>
      <c r="I530" s="706"/>
      <c r="J530" s="669" t="s">
        <v>5805</v>
      </c>
      <c r="K530" s="15"/>
      <c r="M530" s="49">
        <f t="shared" si="230"/>
        <v>26.67</v>
      </c>
      <c r="N530" s="41">
        <v>11.67</v>
      </c>
      <c r="O530" s="187"/>
      <c r="P530" s="184" t="s">
        <v>1017</v>
      </c>
      <c r="Q530" s="184"/>
      <c r="R530" s="184"/>
      <c r="S530" s="184" t="s">
        <v>4180</v>
      </c>
      <c r="T530" t="s">
        <v>4180</v>
      </c>
      <c r="U530" s="185" t="s">
        <v>1017</v>
      </c>
      <c r="V530" s="184"/>
      <c r="W530" s="180"/>
      <c r="X530" s="180"/>
      <c r="Y530" s="178"/>
      <c r="Z530" s="184" t="s">
        <v>1017</v>
      </c>
      <c r="AA530" s="180"/>
      <c r="AB530" s="184"/>
      <c r="AC530" s="184"/>
      <c r="AD530" s="201"/>
      <c r="AE530" s="181"/>
      <c r="AF530" s="180"/>
      <c r="AG530" s="201"/>
      <c r="AH530" s="212" t="str">
        <f t="shared" si="237"/>
        <v/>
      </c>
      <c r="AI530" s="214" t="str">
        <f t="shared" si="223"/>
        <v/>
      </c>
      <c r="AJ530" s="214" t="str">
        <f t="shared" si="224"/>
        <v/>
      </c>
      <c r="AK530" s="214" t="str">
        <f t="shared" si="225"/>
        <v/>
      </c>
      <c r="AL530" s="214" t="str">
        <f t="shared" si="226"/>
        <v/>
      </c>
      <c r="AM530" s="214" t="str">
        <f t="shared" si="227"/>
        <v/>
      </c>
      <c r="AN530" s="213" t="str">
        <f t="shared" si="209"/>
        <v/>
      </c>
      <c r="AO530" s="213" t="str">
        <f t="shared" si="210"/>
        <v/>
      </c>
      <c r="AP530" s="213" t="str">
        <f t="shared" si="211"/>
        <v/>
      </c>
      <c r="AQ530" s="215" t="str">
        <f t="shared" si="212"/>
        <v/>
      </c>
      <c r="AR530" s="216" t="str">
        <f t="shared" si="213"/>
        <v>BiK81M1KA3y-04</v>
      </c>
      <c r="AS530" s="215" t="str">
        <f t="shared" si="214"/>
        <v/>
      </c>
      <c r="AT530">
        <f t="shared" si="215"/>
        <v>14</v>
      </c>
      <c r="AU530" s="216" t="str">
        <f t="shared" si="216"/>
        <v>0-0,15 MW, Bonusregeln M1, y und K wenn Anlage 3 erfüllt</v>
      </c>
      <c r="AV530" s="215" t="str">
        <f t="shared" si="217"/>
        <v/>
      </c>
      <c r="AW530" s="216" t="str">
        <f t="shared" si="218"/>
        <v>Anteil KWK gemäß Anlage 3</v>
      </c>
      <c r="AX530" s="215" t="str">
        <f t="shared" si="219"/>
        <v/>
      </c>
      <c r="AY530" t="str">
        <f t="shared" si="220"/>
        <v/>
      </c>
      <c r="AZ530" t="str">
        <f t="shared" si="221"/>
        <v/>
      </c>
    </row>
    <row r="531" spans="1:52" x14ac:dyDescent="0.25">
      <c r="A531" s="610" t="s">
        <v>2700</v>
      </c>
      <c r="B531" s="30" t="s">
        <v>5548</v>
      </c>
      <c r="C531" s="30" t="s">
        <v>4809</v>
      </c>
      <c r="D531" s="30" t="s">
        <v>6830</v>
      </c>
      <c r="E531" s="30" t="s">
        <v>674</v>
      </c>
      <c r="F531" s="454">
        <f t="shared" si="228"/>
        <v>26.67</v>
      </c>
      <c r="G531" s="529">
        <v>26.67</v>
      </c>
      <c r="H531" s="487">
        <f t="shared" si="229"/>
        <v>21.34</v>
      </c>
      <c r="I531" s="706"/>
      <c r="J531" s="669" t="s">
        <v>5805</v>
      </c>
      <c r="K531" s="15"/>
      <c r="M531" s="49">
        <f t="shared" si="230"/>
        <v>26.67</v>
      </c>
      <c r="N531" s="41">
        <v>11.67</v>
      </c>
      <c r="O531" s="187"/>
      <c r="P531" s="183"/>
      <c r="Q531" s="184" t="s">
        <v>1017</v>
      </c>
      <c r="R531" s="184"/>
      <c r="S531" s="184" t="s">
        <v>4180</v>
      </c>
      <c r="T531" t="s">
        <v>4180</v>
      </c>
      <c r="U531" s="185" t="s">
        <v>1017</v>
      </c>
      <c r="V531" s="184"/>
      <c r="W531" s="180"/>
      <c r="X531" s="180"/>
      <c r="Y531" s="178"/>
      <c r="Z531" s="184" t="s">
        <v>1017</v>
      </c>
      <c r="AA531" s="180"/>
      <c r="AB531" s="184"/>
      <c r="AC531" s="184"/>
      <c r="AD531" s="201"/>
      <c r="AE531" s="181"/>
      <c r="AF531" s="180"/>
      <c r="AG531" s="201"/>
      <c r="AH531" s="212" t="str">
        <f t="shared" si="237"/>
        <v/>
      </c>
      <c r="AI531" s="214" t="str">
        <f t="shared" si="223"/>
        <v/>
      </c>
      <c r="AJ531" s="214" t="str">
        <f t="shared" si="224"/>
        <v/>
      </c>
      <c r="AK531" s="214" t="str">
        <f t="shared" si="225"/>
        <v/>
      </c>
      <c r="AL531" s="214" t="str">
        <f t="shared" si="226"/>
        <v/>
      </c>
      <c r="AM531" s="214" t="str">
        <f t="shared" si="227"/>
        <v/>
      </c>
      <c r="AN531" s="213" t="str">
        <f t="shared" si="209"/>
        <v/>
      </c>
      <c r="AO531" s="213" t="str">
        <f t="shared" si="210"/>
        <v/>
      </c>
      <c r="AP531" s="213" t="str">
        <f t="shared" si="211"/>
        <v/>
      </c>
      <c r="AQ531" s="215" t="str">
        <f t="shared" si="212"/>
        <v/>
      </c>
      <c r="AR531" s="216" t="str">
        <f t="shared" si="213"/>
        <v>BiK81M1K09y-04</v>
      </c>
      <c r="AS531" s="215" t="str">
        <f t="shared" si="214"/>
        <v/>
      </c>
      <c r="AT531">
        <f t="shared" si="215"/>
        <v>14</v>
      </c>
      <c r="AU531" s="216" t="str">
        <f t="shared" si="216"/>
        <v>0-0,15 MW, Bonusregeln M1, y und K erstmals 2009</v>
      </c>
      <c r="AV531" s="215" t="str">
        <f t="shared" si="217"/>
        <v/>
      </c>
      <c r="AW531" s="216" t="str">
        <f t="shared" si="218"/>
        <v>Anteil KWK, erstmals 2009</v>
      </c>
      <c r="AX531" s="215" t="str">
        <f t="shared" si="219"/>
        <v/>
      </c>
      <c r="AY531" t="str">
        <f t="shared" si="220"/>
        <v/>
      </c>
      <c r="AZ531" t="str">
        <f t="shared" si="221"/>
        <v/>
      </c>
    </row>
    <row r="532" spans="1:52" x14ac:dyDescent="0.25">
      <c r="A532" s="610" t="s">
        <v>1635</v>
      </c>
      <c r="B532" s="30" t="s">
        <v>5548</v>
      </c>
      <c r="C532" s="30" t="s">
        <v>4809</v>
      </c>
      <c r="D532" s="30" t="s">
        <v>6831</v>
      </c>
      <c r="E532" s="30" t="s">
        <v>3567</v>
      </c>
      <c r="F532" s="454">
        <f t="shared" si="228"/>
        <v>26.64</v>
      </c>
      <c r="G532" s="529">
        <v>26.64</v>
      </c>
      <c r="H532" s="487">
        <f t="shared" si="229"/>
        <v>21.31</v>
      </c>
      <c r="I532" s="706"/>
      <c r="J532" s="669" t="s">
        <v>5805</v>
      </c>
      <c r="K532" s="15"/>
      <c r="M532" s="49">
        <f t="shared" si="230"/>
        <v>26.64</v>
      </c>
      <c r="N532" s="41">
        <v>11.67</v>
      </c>
      <c r="O532" s="187"/>
      <c r="P532" s="183"/>
      <c r="Q532" s="184"/>
      <c r="R532" s="184" t="s">
        <v>1017</v>
      </c>
      <c r="S532" s="184" t="s">
        <v>4180</v>
      </c>
      <c r="T532" t="s">
        <v>4180</v>
      </c>
      <c r="U532" s="185" t="s">
        <v>1017</v>
      </c>
      <c r="V532" s="184"/>
      <c r="W532" s="180"/>
      <c r="X532" s="180"/>
      <c r="Y532" s="178"/>
      <c r="Z532" s="184" t="s">
        <v>1017</v>
      </c>
      <c r="AA532" s="180"/>
      <c r="AB532" s="184"/>
      <c r="AC532" s="184"/>
      <c r="AD532" s="201"/>
      <c r="AE532" s="181"/>
      <c r="AF532" s="180"/>
      <c r="AG532" s="201"/>
      <c r="AH532" s="212" t="str">
        <f t="shared" si="237"/>
        <v>2010</v>
      </c>
      <c r="AI532" s="214" t="str">
        <f t="shared" si="223"/>
        <v/>
      </c>
      <c r="AJ532" s="214" t="str">
        <f t="shared" si="224"/>
        <v/>
      </c>
      <c r="AK532" s="214" t="str">
        <f t="shared" si="225"/>
        <v/>
      </c>
      <c r="AL532" s="214" t="str">
        <f t="shared" si="226"/>
        <v/>
      </c>
      <c r="AM532" s="214" t="str">
        <f t="shared" si="227"/>
        <v/>
      </c>
      <c r="AN532" s="213" t="str">
        <f t="shared" si="209"/>
        <v>2010</v>
      </c>
      <c r="AO532" s="213" t="str">
        <f t="shared" si="210"/>
        <v>2010</v>
      </c>
      <c r="AP532" s="213" t="str">
        <f t="shared" si="211"/>
        <v>2010</v>
      </c>
      <c r="AQ532" s="215" t="str">
        <f t="shared" si="212"/>
        <v/>
      </c>
      <c r="AR532" s="216" t="str">
        <f t="shared" si="213"/>
        <v>BiK81M1K10y-04</v>
      </c>
      <c r="AS532" s="215" t="str">
        <f t="shared" si="214"/>
        <v/>
      </c>
      <c r="AT532">
        <f t="shared" si="215"/>
        <v>14</v>
      </c>
      <c r="AU532" s="216" t="str">
        <f t="shared" si="216"/>
        <v>0-0,15 MW, Bonusregeln M1, y und K erstmals 2010</v>
      </c>
      <c r="AV532" s="215" t="str">
        <f t="shared" si="217"/>
        <v/>
      </c>
      <c r="AW532" s="216" t="str">
        <f t="shared" si="218"/>
        <v>Anteil KWK, erstmals 2010</v>
      </c>
      <c r="AX532" s="215" t="str">
        <f t="shared" si="219"/>
        <v/>
      </c>
      <c r="AY532" t="str">
        <f t="shared" si="220"/>
        <v/>
      </c>
      <c r="AZ532" t="str">
        <f t="shared" si="221"/>
        <v/>
      </c>
    </row>
    <row r="533" spans="1:52" x14ac:dyDescent="0.25">
      <c r="A533" s="610" t="s">
        <v>5250</v>
      </c>
      <c r="B533" s="30" t="s">
        <v>5548</v>
      </c>
      <c r="C533" s="30" t="s">
        <v>4809</v>
      </c>
      <c r="D533" s="30" t="s">
        <v>6832</v>
      </c>
      <c r="E533" s="30" t="s">
        <v>3055</v>
      </c>
      <c r="F533" s="454">
        <f t="shared" si="228"/>
        <v>26.61</v>
      </c>
      <c r="G533" s="529">
        <v>26.61</v>
      </c>
      <c r="H533" s="487">
        <f t="shared" si="229"/>
        <v>21.29</v>
      </c>
      <c r="I533" s="706"/>
      <c r="J533" s="669" t="s">
        <v>5805</v>
      </c>
      <c r="K533" s="15"/>
      <c r="M533" s="49">
        <f t="shared" si="230"/>
        <v>26.61</v>
      </c>
      <c r="N533" s="41">
        <v>11.67</v>
      </c>
      <c r="O533" s="187"/>
      <c r="P533" s="183"/>
      <c r="Q533" s="184"/>
      <c r="R533" s="178"/>
      <c r="S533" s="184" t="s">
        <v>1017</v>
      </c>
      <c r="T533" t="s">
        <v>4180</v>
      </c>
      <c r="U533" s="185" t="s">
        <v>1017</v>
      </c>
      <c r="V533" s="184"/>
      <c r="W533" s="180"/>
      <c r="X533" s="180"/>
      <c r="Y533" s="178"/>
      <c r="Z533" s="184" t="s">
        <v>1017</v>
      </c>
      <c r="AA533" s="180"/>
      <c r="AB533" s="184"/>
      <c r="AC533" s="184"/>
      <c r="AD533" s="201"/>
      <c r="AE533" s="181"/>
      <c r="AF533" s="180"/>
      <c r="AG533" s="201"/>
      <c r="AH533" s="212" t="str">
        <f t="shared" si="237"/>
        <v>2011</v>
      </c>
      <c r="AI533" s="214" t="str">
        <f t="shared" si="223"/>
        <v/>
      </c>
      <c r="AJ533" s="214" t="str">
        <f t="shared" si="224"/>
        <v/>
      </c>
      <c r="AK533" s="214" t="str">
        <f t="shared" si="225"/>
        <v/>
      </c>
      <c r="AL533" s="214" t="str">
        <f t="shared" si="226"/>
        <v/>
      </c>
      <c r="AM533" s="214" t="str">
        <f t="shared" si="227"/>
        <v/>
      </c>
      <c r="AN533" s="213" t="str">
        <f t="shared" si="209"/>
        <v>2011</v>
      </c>
      <c r="AO533" s="213" t="str">
        <f t="shared" si="210"/>
        <v>2011</v>
      </c>
      <c r="AP533" s="213" t="str">
        <f t="shared" si="211"/>
        <v>2011</v>
      </c>
      <c r="AQ533" s="215" t="str">
        <f t="shared" si="212"/>
        <v/>
      </c>
      <c r="AR533" s="216" t="str">
        <f t="shared" si="213"/>
        <v>BiK81M1K11y-04</v>
      </c>
      <c r="AS533" s="215" t="str">
        <f t="shared" si="214"/>
        <v/>
      </c>
      <c r="AT533">
        <f t="shared" si="215"/>
        <v>14</v>
      </c>
      <c r="AU533" s="216" t="str">
        <f t="shared" si="216"/>
        <v>0-0,15 MW, Bonusregeln M1, y und K erstmals 2011</v>
      </c>
      <c r="AV533" s="215" t="str">
        <f t="shared" si="217"/>
        <v/>
      </c>
      <c r="AW533" s="216" t="str">
        <f t="shared" si="218"/>
        <v>Anteil KWK, erstmals 2011</v>
      </c>
      <c r="AX533" s="215" t="str">
        <f t="shared" si="219"/>
        <v/>
      </c>
      <c r="AY533" t="str">
        <f t="shared" si="220"/>
        <v>x</v>
      </c>
      <c r="AZ533" t="str">
        <f t="shared" si="221"/>
        <v/>
      </c>
    </row>
    <row r="534" spans="1:52" x14ac:dyDescent="0.25">
      <c r="A534" s="625" t="s">
        <v>3557</v>
      </c>
      <c r="B534" s="219" t="s">
        <v>5548</v>
      </c>
      <c r="C534" s="219" t="s">
        <v>4809</v>
      </c>
      <c r="D534" s="219" t="s">
        <v>6833</v>
      </c>
      <c r="E534" s="219" t="s">
        <v>1980</v>
      </c>
      <c r="F534" s="455">
        <f t="shared" si="228"/>
        <v>26.58</v>
      </c>
      <c r="G534" s="530">
        <v>26.58</v>
      </c>
      <c r="H534" s="488">
        <f t="shared" si="229"/>
        <v>21.26</v>
      </c>
      <c r="I534" s="707"/>
      <c r="J534" s="669" t="s">
        <v>5805</v>
      </c>
      <c r="K534" s="15"/>
      <c r="M534" s="49">
        <f t="shared" si="230"/>
        <v>26.58</v>
      </c>
      <c r="N534" s="41">
        <v>11.67</v>
      </c>
      <c r="O534" s="187"/>
      <c r="P534" s="183"/>
      <c r="Q534" s="184"/>
      <c r="R534" s="178"/>
      <c r="S534" s="184" t="s">
        <v>4180</v>
      </c>
      <c r="T534" t="s">
        <v>1017</v>
      </c>
      <c r="U534" s="185" t="s">
        <v>1017</v>
      </c>
      <c r="V534" s="184"/>
      <c r="W534" s="180"/>
      <c r="X534" s="180"/>
      <c r="Y534" s="178"/>
      <c r="Z534" s="184" t="s">
        <v>1017</v>
      </c>
      <c r="AA534" s="180"/>
      <c r="AB534" s="184"/>
      <c r="AC534" s="184"/>
      <c r="AD534" s="201"/>
      <c r="AE534" s="181"/>
      <c r="AF534" s="180"/>
      <c r="AG534" s="201"/>
      <c r="AH534" s="217" t="s">
        <v>4179</v>
      </c>
      <c r="AI534" s="214" t="str">
        <f t="shared" si="223"/>
        <v/>
      </c>
      <c r="AJ534" s="214" t="str">
        <f t="shared" si="224"/>
        <v/>
      </c>
      <c r="AK534" s="214" t="str">
        <f t="shared" si="225"/>
        <v/>
      </c>
      <c r="AL534" s="214" t="str">
        <f t="shared" si="226"/>
        <v/>
      </c>
      <c r="AM534" s="214" t="str">
        <f t="shared" si="227"/>
        <v/>
      </c>
      <c r="AN534" s="213" t="str">
        <f t="shared" si="209"/>
        <v>2012</v>
      </c>
      <c r="AO534" s="213" t="str">
        <f t="shared" si="210"/>
        <v>2012</v>
      </c>
      <c r="AP534" s="213" t="str">
        <f t="shared" si="211"/>
        <v>2012</v>
      </c>
      <c r="AQ534" s="215" t="str">
        <f t="shared" si="212"/>
        <v/>
      </c>
      <c r="AR534" s="216" t="str">
        <f t="shared" si="213"/>
        <v>BiK81M1K12y-04</v>
      </c>
      <c r="AS534" s="215" t="str">
        <f t="shared" si="214"/>
        <v/>
      </c>
      <c r="AT534">
        <f t="shared" si="215"/>
        <v>14</v>
      </c>
      <c r="AU534" s="216" t="str">
        <f t="shared" si="216"/>
        <v>0-0,15 MW, Bonusregeln M1, y und K erstmals 2012</v>
      </c>
      <c r="AV534" s="215" t="str">
        <f t="shared" si="217"/>
        <v/>
      </c>
      <c r="AW534" s="216" t="str">
        <f t="shared" si="218"/>
        <v>Anteil KWK, erstmals 2012</v>
      </c>
      <c r="AX534" s="215" t="str">
        <f t="shared" si="219"/>
        <v/>
      </c>
      <c r="AY534" t="str">
        <f t="shared" si="220"/>
        <v/>
      </c>
      <c r="AZ534" t="str">
        <f t="shared" si="221"/>
        <v>x</v>
      </c>
    </row>
    <row r="535" spans="1:52" x14ac:dyDescent="0.25">
      <c r="A535" s="610" t="s">
        <v>2701</v>
      </c>
      <c r="B535" s="30" t="s">
        <v>5548</v>
      </c>
      <c r="C535" s="30" t="s">
        <v>4809</v>
      </c>
      <c r="D535" s="30" t="s">
        <v>6834</v>
      </c>
      <c r="E535" s="30" t="s">
        <v>4810</v>
      </c>
      <c r="F535" s="454">
        <f t="shared" si="228"/>
        <v>20.67</v>
      </c>
      <c r="G535" s="529">
        <v>20.67</v>
      </c>
      <c r="H535" s="487">
        <f t="shared" si="229"/>
        <v>16.54</v>
      </c>
      <c r="I535" s="706"/>
      <c r="J535" s="669" t="s">
        <v>5805</v>
      </c>
      <c r="K535" s="15"/>
      <c r="M535" s="49">
        <f t="shared" si="230"/>
        <v>20.67</v>
      </c>
      <c r="N535" s="41">
        <v>11.67</v>
      </c>
      <c r="O535" s="186"/>
      <c r="P535" s="177"/>
      <c r="Q535" s="178"/>
      <c r="R535" s="178"/>
      <c r="S535" s="178" t="s">
        <v>4180</v>
      </c>
      <c r="T535" t="s">
        <v>4180</v>
      </c>
      <c r="U535" s="179"/>
      <c r="V535" s="178"/>
      <c r="W535" s="180"/>
      <c r="X535" s="180"/>
      <c r="Y535" s="178"/>
      <c r="Z535" s="178"/>
      <c r="AA535" s="180"/>
      <c r="AB535" s="178" t="s">
        <v>1017</v>
      </c>
      <c r="AC535" s="178"/>
      <c r="AD535" s="201"/>
      <c r="AE535" s="200"/>
      <c r="AF535" s="180"/>
      <c r="AG535" s="201"/>
      <c r="AH535" s="212" t="str">
        <f t="shared" ref="AH535:AH540" si="238">IF(ISERROR(SEARCH("K erstmals 201",D535)),"",RIGHT(D535,4))</f>
        <v/>
      </c>
      <c r="AI535" s="214" t="str">
        <f t="shared" si="223"/>
        <v/>
      </c>
      <c r="AJ535" s="214" t="str">
        <f t="shared" si="224"/>
        <v/>
      </c>
      <c r="AK535" s="214" t="str">
        <f t="shared" si="225"/>
        <v/>
      </c>
      <c r="AL535" s="214" t="str">
        <f t="shared" si="226"/>
        <v/>
      </c>
      <c r="AM535" s="214" t="str">
        <f t="shared" si="227"/>
        <v/>
      </c>
      <c r="AN535" s="213" t="str">
        <f t="shared" ref="AN535:AN598" si="239">IF(ISERROR(SEARCH("K1",A535)),"","20"&amp;MID(A535,SEARCH("K1",A535)+1,2))</f>
        <v/>
      </c>
      <c r="AO535" s="213" t="str">
        <f t="shared" ref="AO535:AO598" si="240">IF(ISERROR(SEARCH("erstmals 201",E535)),"",MID(E535,SEARCH("erstmals ",E535)+9,4))</f>
        <v/>
      </c>
      <c r="AP535" s="213" t="str">
        <f t="shared" ref="AP535:AP598" si="241">IF(R535="x","2010",IF(S535="x","2011",IF(T535="x","2012","")))</f>
        <v/>
      </c>
      <c r="AQ535" s="215" t="str">
        <f t="shared" ref="AQ535:AQ598" si="242">IF(OR(AH535&lt;&gt;AN535,AH535&lt;&gt;AO535,AH535&lt;&gt;AP535),"DIFF","")</f>
        <v/>
      </c>
      <c r="AR535" s="216" t="str">
        <f t="shared" ref="AR535:AR598" si="243">IF(A535="","",IF(ISERROR(SEARCH("K1",A535)),A535,LEFT(A535,SEARCH("K1",A535)+1)&amp;RIGHT(AH535,1)&amp;MID(A535,SEARCH("K1",A535)+3,14)))</f>
        <v>BiK81L------04</v>
      </c>
      <c r="AS535" s="215" t="str">
        <f t="shared" ref="AS535:AS598" si="244">IF(OR(A535&lt;&gt;AR535),"DIFF","")</f>
        <v/>
      </c>
      <c r="AT535">
        <f t="shared" ref="AT535:AT598" si="245">LEN(AR535)</f>
        <v>14</v>
      </c>
      <c r="AU535" s="216" t="str">
        <f t="shared" ref="AU535:AU598" si="246">IF(D535="","",IF(OR(A535="",ISERROR(SEARCH("erstmals 201",D535))),D535,LEFT(D535,SEARCH("erstmals 201",D535)+8) &amp; AH535 &amp; MID(D535,SEARCH("erstmals 201",D535)+13,255)))</f>
        <v>0-0,15 MW, Bonusregel L</v>
      </c>
      <c r="AV535" s="215" t="str">
        <f t="shared" ref="AV535:AV598" si="247">IF(OR(D535&lt;&gt;AU535),"DIFF","")</f>
        <v/>
      </c>
      <c r="AW535" s="216" t="str">
        <f t="shared" ref="AW535:AW598" si="248">IF(E535="","",IF(OR(E535="",ISERROR(SEARCH("erstmals 201",E535))),E535,LEFT(E535,SEARCH("erstmals 201",E535)+8) &amp; AH535 &amp; MID(E535,SEARCH("erstmals 201",E535)+13,255)))</f>
        <v>Anteil Nicht-KWK</v>
      </c>
      <c r="AX535" s="215" t="str">
        <f t="shared" ref="AX535:AX598" si="249">IF(OR(E535&lt;&gt;AW535),"DIFF","")</f>
        <v/>
      </c>
      <c r="AY535" t="str">
        <f t="shared" ref="AY535:AY598" si="250">IF(AH535="2011","x",IF(AH535="2012","","" &amp; S535))</f>
        <v/>
      </c>
      <c r="AZ535" t="str">
        <f t="shared" ref="AZ535:AZ598" si="251">IF(AH535="2012","x",IF(AH535="2011","","" &amp; T535))</f>
        <v/>
      </c>
    </row>
    <row r="536" spans="1:52" x14ac:dyDescent="0.25">
      <c r="A536" s="610" t="s">
        <v>2702</v>
      </c>
      <c r="B536" s="30" t="s">
        <v>5548</v>
      </c>
      <c r="C536" s="30" t="s">
        <v>4809</v>
      </c>
      <c r="D536" s="30" t="s">
        <v>6903</v>
      </c>
      <c r="E536" s="30" t="s">
        <v>4812</v>
      </c>
      <c r="F536" s="454">
        <f t="shared" si="228"/>
        <v>22.67</v>
      </c>
      <c r="G536" s="529">
        <v>22.67</v>
      </c>
      <c r="H536" s="487">
        <f t="shared" si="229"/>
        <v>18.14</v>
      </c>
      <c r="I536" s="706"/>
      <c r="J536" s="669" t="s">
        <v>5805</v>
      </c>
      <c r="K536" s="15"/>
      <c r="M536" s="49">
        <f t="shared" si="230"/>
        <v>22.67</v>
      </c>
      <c r="N536" s="41">
        <v>11.67</v>
      </c>
      <c r="O536" s="186" t="s">
        <v>1017</v>
      </c>
      <c r="P536" s="177"/>
      <c r="Q536" s="178"/>
      <c r="R536" s="178"/>
      <c r="S536" s="178" t="s">
        <v>4180</v>
      </c>
      <c r="T536" t="s">
        <v>4180</v>
      </c>
      <c r="U536" s="179"/>
      <c r="V536" s="178"/>
      <c r="W536" s="180"/>
      <c r="X536" s="180"/>
      <c r="Y536" s="178"/>
      <c r="Z536" s="178"/>
      <c r="AA536" s="180"/>
      <c r="AB536" s="178" t="s">
        <v>1017</v>
      </c>
      <c r="AC536" s="178"/>
      <c r="AD536" s="201"/>
      <c r="AE536" s="200"/>
      <c r="AF536" s="180"/>
      <c r="AG536" s="201"/>
      <c r="AH536" s="212" t="str">
        <f t="shared" si="238"/>
        <v/>
      </c>
      <c r="AI536" s="214" t="str">
        <f t="shared" si="223"/>
        <v/>
      </c>
      <c r="AJ536" s="214" t="str">
        <f t="shared" si="224"/>
        <v/>
      </c>
      <c r="AK536" s="214" t="str">
        <f t="shared" si="225"/>
        <v/>
      </c>
      <c r="AL536" s="214" t="str">
        <f t="shared" si="226"/>
        <v/>
      </c>
      <c r="AM536" s="214" t="str">
        <f t="shared" si="227"/>
        <v/>
      </c>
      <c r="AN536" s="213" t="str">
        <f t="shared" si="239"/>
        <v/>
      </c>
      <c r="AO536" s="213" t="str">
        <f t="shared" si="240"/>
        <v/>
      </c>
      <c r="AP536" s="213" t="str">
        <f t="shared" si="241"/>
        <v/>
      </c>
      <c r="AQ536" s="215" t="str">
        <f t="shared" si="242"/>
        <v/>
      </c>
      <c r="AR536" s="216" t="str">
        <f t="shared" si="243"/>
        <v>BiK81LKWK---04</v>
      </c>
      <c r="AS536" s="215" t="str">
        <f t="shared" si="244"/>
        <v/>
      </c>
      <c r="AT536">
        <f t="shared" si="245"/>
        <v>14</v>
      </c>
      <c r="AU536" s="216" t="str">
        <f t="shared" si="246"/>
        <v>0-0,15 MW, Bonusregeln L und KWK</v>
      </c>
      <c r="AV536" s="215" t="str">
        <f t="shared" si="247"/>
        <v/>
      </c>
      <c r="AW536" s="216" t="str">
        <f t="shared" si="248"/>
        <v>Anteil KWK</v>
      </c>
      <c r="AX536" s="215" t="str">
        <f t="shared" si="249"/>
        <v/>
      </c>
      <c r="AY536" t="str">
        <f t="shared" si="250"/>
        <v/>
      </c>
      <c r="AZ536" t="str">
        <f t="shared" si="251"/>
        <v/>
      </c>
    </row>
    <row r="537" spans="1:52" x14ac:dyDescent="0.25">
      <c r="A537" s="610" t="s">
        <v>2703</v>
      </c>
      <c r="B537" s="30" t="s">
        <v>5548</v>
      </c>
      <c r="C537" s="30" t="s">
        <v>4809</v>
      </c>
      <c r="D537" s="30" t="s">
        <v>6835</v>
      </c>
      <c r="E537" s="30" t="s">
        <v>4331</v>
      </c>
      <c r="F537" s="454">
        <f t="shared" si="228"/>
        <v>23.67</v>
      </c>
      <c r="G537" s="529">
        <v>23.67</v>
      </c>
      <c r="H537" s="487">
        <f t="shared" si="229"/>
        <v>18.940000000000001</v>
      </c>
      <c r="I537" s="706"/>
      <c r="J537" s="669" t="s">
        <v>5805</v>
      </c>
      <c r="K537" s="15"/>
      <c r="M537" s="49">
        <f t="shared" si="230"/>
        <v>23.67</v>
      </c>
      <c r="N537" s="41">
        <v>11.67</v>
      </c>
      <c r="O537" s="186"/>
      <c r="P537" s="178" t="s">
        <v>1017</v>
      </c>
      <c r="Q537" s="178"/>
      <c r="R537" s="178"/>
      <c r="S537" s="178" t="s">
        <v>4180</v>
      </c>
      <c r="T537" t="s">
        <v>4180</v>
      </c>
      <c r="U537" s="179"/>
      <c r="V537" s="178"/>
      <c r="W537" s="180"/>
      <c r="X537" s="180"/>
      <c r="Y537" s="178"/>
      <c r="Z537" s="178"/>
      <c r="AA537" s="180"/>
      <c r="AB537" s="178" t="s">
        <v>1017</v>
      </c>
      <c r="AC537" s="178"/>
      <c r="AD537" s="201"/>
      <c r="AE537" s="200"/>
      <c r="AF537" s="180"/>
      <c r="AG537" s="201"/>
      <c r="AH537" s="212" t="str">
        <f t="shared" si="238"/>
        <v/>
      </c>
      <c r="AI537" s="214" t="str">
        <f t="shared" si="223"/>
        <v/>
      </c>
      <c r="AJ537" s="214" t="str">
        <f t="shared" si="224"/>
        <v/>
      </c>
      <c r="AK537" s="214" t="str">
        <f t="shared" si="225"/>
        <v/>
      </c>
      <c r="AL537" s="214" t="str">
        <f t="shared" si="226"/>
        <v/>
      </c>
      <c r="AM537" s="214" t="str">
        <f t="shared" si="227"/>
        <v/>
      </c>
      <c r="AN537" s="213" t="str">
        <f t="shared" si="239"/>
        <v/>
      </c>
      <c r="AO537" s="213" t="str">
        <f t="shared" si="240"/>
        <v/>
      </c>
      <c r="AP537" s="213" t="str">
        <f t="shared" si="241"/>
        <v/>
      </c>
      <c r="AQ537" s="215" t="str">
        <f t="shared" si="242"/>
        <v/>
      </c>
      <c r="AR537" s="216" t="str">
        <f t="shared" si="243"/>
        <v>BiK81LKA3---04</v>
      </c>
      <c r="AS537" s="215" t="str">
        <f t="shared" si="244"/>
        <v/>
      </c>
      <c r="AT537">
        <f t="shared" si="245"/>
        <v>14</v>
      </c>
      <c r="AU537" s="216" t="str">
        <f t="shared" si="246"/>
        <v>0-0,15 MW, Bonusregeln L und K wenn Anlage 3 erfüllt</v>
      </c>
      <c r="AV537" s="215" t="str">
        <f t="shared" si="247"/>
        <v/>
      </c>
      <c r="AW537" s="216" t="str">
        <f t="shared" si="248"/>
        <v>Anteil KWK gemäß Anlage 3</v>
      </c>
      <c r="AX537" s="215" t="str">
        <f t="shared" si="249"/>
        <v/>
      </c>
      <c r="AY537" t="str">
        <f t="shared" si="250"/>
        <v/>
      </c>
      <c r="AZ537" t="str">
        <f t="shared" si="251"/>
        <v/>
      </c>
    </row>
    <row r="538" spans="1:52" x14ac:dyDescent="0.25">
      <c r="A538" s="610" t="s">
        <v>2704</v>
      </c>
      <c r="B538" s="30" t="s">
        <v>5548</v>
      </c>
      <c r="C538" s="30" t="s">
        <v>4809</v>
      </c>
      <c r="D538" s="30" t="s">
        <v>6836</v>
      </c>
      <c r="E538" s="30" t="s">
        <v>674</v>
      </c>
      <c r="F538" s="454">
        <f t="shared" si="228"/>
        <v>23.67</v>
      </c>
      <c r="G538" s="529">
        <v>23.67</v>
      </c>
      <c r="H538" s="487">
        <f t="shared" si="229"/>
        <v>18.940000000000001</v>
      </c>
      <c r="I538" s="706"/>
      <c r="J538" s="669" t="s">
        <v>5805</v>
      </c>
      <c r="K538" s="15"/>
      <c r="M538" s="49">
        <f t="shared" si="230"/>
        <v>23.67</v>
      </c>
      <c r="N538" s="41">
        <v>11.67</v>
      </c>
      <c r="O538" s="186"/>
      <c r="P538" s="177"/>
      <c r="Q538" s="178" t="s">
        <v>1017</v>
      </c>
      <c r="R538" s="178"/>
      <c r="S538" s="178" t="s">
        <v>4180</v>
      </c>
      <c r="T538" t="s">
        <v>4180</v>
      </c>
      <c r="U538" s="179"/>
      <c r="V538" s="178"/>
      <c r="W538" s="180"/>
      <c r="X538" s="180"/>
      <c r="Y538" s="178"/>
      <c r="Z538" s="178"/>
      <c r="AA538" s="180"/>
      <c r="AB538" s="178" t="s">
        <v>1017</v>
      </c>
      <c r="AC538" s="178"/>
      <c r="AD538" s="201"/>
      <c r="AE538" s="200"/>
      <c r="AF538" s="180"/>
      <c r="AG538" s="201"/>
      <c r="AH538" s="212" t="str">
        <f t="shared" si="238"/>
        <v/>
      </c>
      <c r="AI538" s="214" t="str">
        <f t="shared" ref="AI538:AI601" si="252">IF(AND($AH538&lt;&gt;"",AH538 =AH537),"Gleich","")</f>
        <v/>
      </c>
      <c r="AJ538" s="214" t="str">
        <f t="shared" ref="AJ538:AJ601" si="253">IF(AND($AH538&lt;&gt;"",A538 =A537),"Gleich","")</f>
        <v/>
      </c>
      <c r="AK538" s="214" t="str">
        <f t="shared" ref="AK538:AK601" si="254">IF(AND($AH538&lt;&gt;"",D538 =D537),"Gleich","")</f>
        <v/>
      </c>
      <c r="AL538" s="214" t="str">
        <f t="shared" ref="AL538:AL601" si="255">IF(AND($AH538&lt;&gt;"",E538 =E537),"Gleich","")</f>
        <v/>
      </c>
      <c r="AM538" s="214" t="str">
        <f t="shared" ref="AM538:AM601" si="256">IF(AND($AH538&lt;&gt;"",F538 =F537),"Gleich","")</f>
        <v/>
      </c>
      <c r="AN538" s="213" t="str">
        <f t="shared" si="239"/>
        <v/>
      </c>
      <c r="AO538" s="213" t="str">
        <f t="shared" si="240"/>
        <v/>
      </c>
      <c r="AP538" s="213" t="str">
        <f t="shared" si="241"/>
        <v/>
      </c>
      <c r="AQ538" s="215" t="str">
        <f t="shared" si="242"/>
        <v/>
      </c>
      <c r="AR538" s="216" t="str">
        <f t="shared" si="243"/>
        <v>BiK81LK09---04</v>
      </c>
      <c r="AS538" s="215" t="str">
        <f t="shared" si="244"/>
        <v/>
      </c>
      <c r="AT538">
        <f t="shared" si="245"/>
        <v>14</v>
      </c>
      <c r="AU538" s="216" t="str">
        <f t="shared" si="246"/>
        <v>0-0,15 MW, Bonusregeln L und K erstmals 2009</v>
      </c>
      <c r="AV538" s="215" t="str">
        <f t="shared" si="247"/>
        <v/>
      </c>
      <c r="AW538" s="216" t="str">
        <f t="shared" si="248"/>
        <v>Anteil KWK, erstmals 2009</v>
      </c>
      <c r="AX538" s="215" t="str">
        <f t="shared" si="249"/>
        <v/>
      </c>
      <c r="AY538" t="str">
        <f t="shared" si="250"/>
        <v/>
      </c>
      <c r="AZ538" t="str">
        <f t="shared" si="251"/>
        <v/>
      </c>
    </row>
    <row r="539" spans="1:52" x14ac:dyDescent="0.25">
      <c r="A539" s="610" t="s">
        <v>1636</v>
      </c>
      <c r="B539" s="30" t="s">
        <v>5548</v>
      </c>
      <c r="C539" s="30" t="s">
        <v>4809</v>
      </c>
      <c r="D539" s="30" t="s">
        <v>6837</v>
      </c>
      <c r="E539" s="30" t="s">
        <v>3567</v>
      </c>
      <c r="F539" s="454">
        <f t="shared" si="228"/>
        <v>23.64</v>
      </c>
      <c r="G539" s="529">
        <v>23.64</v>
      </c>
      <c r="H539" s="487">
        <f t="shared" si="229"/>
        <v>18.91</v>
      </c>
      <c r="I539" s="706"/>
      <c r="J539" s="669" t="s">
        <v>5805</v>
      </c>
      <c r="K539" s="15"/>
      <c r="M539" s="49">
        <f t="shared" si="230"/>
        <v>23.64</v>
      </c>
      <c r="N539" s="41">
        <v>11.67</v>
      </c>
      <c r="O539" s="186"/>
      <c r="P539" s="177"/>
      <c r="Q539" s="178"/>
      <c r="R539" s="178" t="s">
        <v>1017</v>
      </c>
      <c r="S539" s="178" t="s">
        <v>4180</v>
      </c>
      <c r="T539" t="s">
        <v>4180</v>
      </c>
      <c r="U539" s="179"/>
      <c r="V539" s="178"/>
      <c r="W539" s="180"/>
      <c r="X539" s="180"/>
      <c r="Y539" s="178"/>
      <c r="Z539" s="178"/>
      <c r="AA539" s="180"/>
      <c r="AB539" s="178" t="s">
        <v>1017</v>
      </c>
      <c r="AC539" s="178"/>
      <c r="AD539" s="201"/>
      <c r="AE539" s="200"/>
      <c r="AF539" s="180"/>
      <c r="AG539" s="201"/>
      <c r="AH539" s="212" t="str">
        <f t="shared" si="238"/>
        <v>2010</v>
      </c>
      <c r="AI539" s="214" t="str">
        <f t="shared" si="252"/>
        <v/>
      </c>
      <c r="AJ539" s="214" t="str">
        <f t="shared" si="253"/>
        <v/>
      </c>
      <c r="AK539" s="214" t="str">
        <f t="shared" si="254"/>
        <v/>
      </c>
      <c r="AL539" s="214" t="str">
        <f t="shared" si="255"/>
        <v/>
      </c>
      <c r="AM539" s="214" t="str">
        <f t="shared" si="256"/>
        <v/>
      </c>
      <c r="AN539" s="213" t="str">
        <f t="shared" si="239"/>
        <v>2010</v>
      </c>
      <c r="AO539" s="213" t="str">
        <f t="shared" si="240"/>
        <v>2010</v>
      </c>
      <c r="AP539" s="213" t="str">
        <f t="shared" si="241"/>
        <v>2010</v>
      </c>
      <c r="AQ539" s="215" t="str">
        <f t="shared" si="242"/>
        <v/>
      </c>
      <c r="AR539" s="216" t="str">
        <f t="shared" si="243"/>
        <v>BiK81LK10---04</v>
      </c>
      <c r="AS539" s="215" t="str">
        <f t="shared" si="244"/>
        <v/>
      </c>
      <c r="AT539">
        <f t="shared" si="245"/>
        <v>14</v>
      </c>
      <c r="AU539" s="216" t="str">
        <f t="shared" si="246"/>
        <v>0-0,15 MW, Bonusregeln L und K erstmals 2010</v>
      </c>
      <c r="AV539" s="215" t="str">
        <f t="shared" si="247"/>
        <v/>
      </c>
      <c r="AW539" s="216" t="str">
        <f t="shared" si="248"/>
        <v>Anteil KWK, erstmals 2010</v>
      </c>
      <c r="AX539" s="215" t="str">
        <f t="shared" si="249"/>
        <v/>
      </c>
      <c r="AY539" t="str">
        <f t="shared" si="250"/>
        <v/>
      </c>
      <c r="AZ539" t="str">
        <f t="shared" si="251"/>
        <v/>
      </c>
    </row>
    <row r="540" spans="1:52" x14ac:dyDescent="0.25">
      <c r="A540" s="610" t="s">
        <v>5251</v>
      </c>
      <c r="B540" s="30" t="s">
        <v>5548</v>
      </c>
      <c r="C540" s="30" t="s">
        <v>4809</v>
      </c>
      <c r="D540" s="30" t="s">
        <v>6838</v>
      </c>
      <c r="E540" s="30" t="s">
        <v>3055</v>
      </c>
      <c r="F540" s="454">
        <f t="shared" si="228"/>
        <v>23.61</v>
      </c>
      <c r="G540" s="529">
        <v>23.61</v>
      </c>
      <c r="H540" s="487">
        <f t="shared" si="229"/>
        <v>18.89</v>
      </c>
      <c r="I540" s="706"/>
      <c r="J540" s="669" t="s">
        <v>5805</v>
      </c>
      <c r="K540" s="15"/>
      <c r="M540" s="49">
        <f t="shared" si="230"/>
        <v>23.61</v>
      </c>
      <c r="N540" s="41">
        <v>11.67</v>
      </c>
      <c r="O540" s="186"/>
      <c r="P540" s="177"/>
      <c r="Q540" s="178"/>
      <c r="R540" s="178"/>
      <c r="S540" s="178" t="s">
        <v>1017</v>
      </c>
      <c r="T540" t="s">
        <v>4180</v>
      </c>
      <c r="U540" s="179"/>
      <c r="V540" s="178"/>
      <c r="W540" s="180"/>
      <c r="X540" s="180"/>
      <c r="Y540" s="178"/>
      <c r="Z540" s="178"/>
      <c r="AA540" s="180"/>
      <c r="AB540" s="178" t="s">
        <v>1017</v>
      </c>
      <c r="AC540" s="178"/>
      <c r="AD540" s="201"/>
      <c r="AE540" s="200"/>
      <c r="AF540" s="180"/>
      <c r="AG540" s="201"/>
      <c r="AH540" s="212" t="str">
        <f t="shared" si="238"/>
        <v>2011</v>
      </c>
      <c r="AI540" s="214" t="str">
        <f t="shared" si="252"/>
        <v/>
      </c>
      <c r="AJ540" s="214" t="str">
        <f t="shared" si="253"/>
        <v/>
      </c>
      <c r="AK540" s="214" t="str">
        <f t="shared" si="254"/>
        <v/>
      </c>
      <c r="AL540" s="214" t="str">
        <f t="shared" si="255"/>
        <v/>
      </c>
      <c r="AM540" s="214" t="str">
        <f t="shared" si="256"/>
        <v/>
      </c>
      <c r="AN540" s="213" t="str">
        <f t="shared" si="239"/>
        <v>2011</v>
      </c>
      <c r="AO540" s="213" t="str">
        <f t="shared" si="240"/>
        <v>2011</v>
      </c>
      <c r="AP540" s="213" t="str">
        <f t="shared" si="241"/>
        <v>2011</v>
      </c>
      <c r="AQ540" s="215" t="str">
        <f t="shared" si="242"/>
        <v/>
      </c>
      <c r="AR540" s="216" t="str">
        <f t="shared" si="243"/>
        <v>BiK81LK11---04</v>
      </c>
      <c r="AS540" s="215" t="str">
        <f t="shared" si="244"/>
        <v/>
      </c>
      <c r="AT540">
        <f t="shared" si="245"/>
        <v>14</v>
      </c>
      <c r="AU540" s="216" t="str">
        <f t="shared" si="246"/>
        <v>0-0,15 MW, Bonusregeln L und K erstmals 2011</v>
      </c>
      <c r="AV540" s="215" t="str">
        <f t="shared" si="247"/>
        <v/>
      </c>
      <c r="AW540" s="216" t="str">
        <f t="shared" si="248"/>
        <v>Anteil KWK, erstmals 2011</v>
      </c>
      <c r="AX540" s="215" t="str">
        <f t="shared" si="249"/>
        <v/>
      </c>
      <c r="AY540" t="str">
        <f t="shared" si="250"/>
        <v>x</v>
      </c>
      <c r="AZ540" t="str">
        <f t="shared" si="251"/>
        <v/>
      </c>
    </row>
    <row r="541" spans="1:52" x14ac:dyDescent="0.25">
      <c r="A541" s="625" t="s">
        <v>3558</v>
      </c>
      <c r="B541" s="219" t="s">
        <v>5548</v>
      </c>
      <c r="C541" s="219" t="s">
        <v>4809</v>
      </c>
      <c r="D541" s="219" t="s">
        <v>6839</v>
      </c>
      <c r="E541" s="219" t="s">
        <v>1980</v>
      </c>
      <c r="F541" s="455">
        <f t="shared" si="228"/>
        <v>23.58</v>
      </c>
      <c r="G541" s="530">
        <v>23.58</v>
      </c>
      <c r="H541" s="488">
        <f t="shared" si="229"/>
        <v>18.86</v>
      </c>
      <c r="I541" s="707"/>
      <c r="J541" s="669" t="s">
        <v>5805</v>
      </c>
      <c r="K541" s="15"/>
      <c r="M541" s="49">
        <f t="shared" si="230"/>
        <v>23.58</v>
      </c>
      <c r="N541" s="41">
        <v>11.67</v>
      </c>
      <c r="O541" s="186"/>
      <c r="P541" s="177"/>
      <c r="Q541" s="178"/>
      <c r="R541" s="178"/>
      <c r="S541" s="178" t="s">
        <v>4180</v>
      </c>
      <c r="T541" t="s">
        <v>1017</v>
      </c>
      <c r="U541" s="179"/>
      <c r="V541" s="178"/>
      <c r="W541" s="180"/>
      <c r="X541" s="180"/>
      <c r="Y541" s="178"/>
      <c r="Z541" s="178"/>
      <c r="AA541" s="180"/>
      <c r="AB541" s="178" t="s">
        <v>1017</v>
      </c>
      <c r="AC541" s="178"/>
      <c r="AD541" s="201"/>
      <c r="AE541" s="200"/>
      <c r="AF541" s="180"/>
      <c r="AG541" s="201"/>
      <c r="AH541" s="217" t="s">
        <v>4179</v>
      </c>
      <c r="AI541" s="214" t="str">
        <f t="shared" si="252"/>
        <v/>
      </c>
      <c r="AJ541" s="214" t="str">
        <f t="shared" si="253"/>
        <v/>
      </c>
      <c r="AK541" s="214" t="str">
        <f t="shared" si="254"/>
        <v/>
      </c>
      <c r="AL541" s="214" t="str">
        <f t="shared" si="255"/>
        <v/>
      </c>
      <c r="AM541" s="214" t="str">
        <f t="shared" si="256"/>
        <v/>
      </c>
      <c r="AN541" s="213" t="str">
        <f t="shared" si="239"/>
        <v>2012</v>
      </c>
      <c r="AO541" s="213" t="str">
        <f t="shared" si="240"/>
        <v>2012</v>
      </c>
      <c r="AP541" s="213" t="str">
        <f t="shared" si="241"/>
        <v>2012</v>
      </c>
      <c r="AQ541" s="215" t="str">
        <f t="shared" si="242"/>
        <v/>
      </c>
      <c r="AR541" s="216" t="str">
        <f t="shared" si="243"/>
        <v>BiK81LK12---04</v>
      </c>
      <c r="AS541" s="215" t="str">
        <f t="shared" si="244"/>
        <v/>
      </c>
      <c r="AT541">
        <f t="shared" si="245"/>
        <v>14</v>
      </c>
      <c r="AU541" s="216" t="str">
        <f t="shared" si="246"/>
        <v>0-0,15 MW, Bonusregeln L und K erstmals 2012</v>
      </c>
      <c r="AV541" s="215" t="str">
        <f t="shared" si="247"/>
        <v/>
      </c>
      <c r="AW541" s="216" t="str">
        <f t="shared" si="248"/>
        <v>Anteil KWK, erstmals 2012</v>
      </c>
      <c r="AX541" s="215" t="str">
        <f t="shared" si="249"/>
        <v/>
      </c>
      <c r="AY541" t="str">
        <f t="shared" si="250"/>
        <v/>
      </c>
      <c r="AZ541" t="str">
        <f t="shared" si="251"/>
        <v>x</v>
      </c>
    </row>
    <row r="542" spans="1:52" x14ac:dyDescent="0.25">
      <c r="A542" s="610" t="s">
        <v>2705</v>
      </c>
      <c r="B542" s="30" t="s">
        <v>5548</v>
      </c>
      <c r="C542" s="30" t="s">
        <v>4809</v>
      </c>
      <c r="D542" s="30" t="s">
        <v>6840</v>
      </c>
      <c r="E542" s="30" t="s">
        <v>4810</v>
      </c>
      <c r="F542" s="454">
        <f t="shared" si="228"/>
        <v>21.67</v>
      </c>
      <c r="G542" s="529">
        <v>21.67</v>
      </c>
      <c r="H542" s="487">
        <f t="shared" si="229"/>
        <v>17.34</v>
      </c>
      <c r="I542" s="706"/>
      <c r="J542" s="669" t="s">
        <v>5805</v>
      </c>
      <c r="K542" s="15"/>
      <c r="M542" s="49">
        <f t="shared" si="230"/>
        <v>21.67</v>
      </c>
      <c r="N542" s="41">
        <v>11.67</v>
      </c>
      <c r="O542" s="187"/>
      <c r="P542" s="183"/>
      <c r="Q542" s="184"/>
      <c r="R542" s="184"/>
      <c r="S542" s="184" t="s">
        <v>4180</v>
      </c>
      <c r="T542" t="s">
        <v>4180</v>
      </c>
      <c r="U542" s="185" t="s">
        <v>1017</v>
      </c>
      <c r="V542" s="184"/>
      <c r="W542" s="180"/>
      <c r="X542" s="180"/>
      <c r="Y542" s="178"/>
      <c r="Z542" s="178"/>
      <c r="AA542" s="180"/>
      <c r="AB542" s="184" t="s">
        <v>1017</v>
      </c>
      <c r="AC542" s="184"/>
      <c r="AD542" s="201"/>
      <c r="AE542" s="181"/>
      <c r="AF542" s="180"/>
      <c r="AG542" s="201"/>
      <c r="AH542" s="212" t="str">
        <f t="shared" ref="AH542:AH547" si="257">IF(ISERROR(SEARCH("K erstmals 201",D542)),"",RIGHT(D542,4))</f>
        <v/>
      </c>
      <c r="AI542" s="214" t="str">
        <f t="shared" si="252"/>
        <v/>
      </c>
      <c r="AJ542" s="214" t="str">
        <f t="shared" si="253"/>
        <v/>
      </c>
      <c r="AK542" s="214" t="str">
        <f t="shared" si="254"/>
        <v/>
      </c>
      <c r="AL542" s="214" t="str">
        <f t="shared" si="255"/>
        <v/>
      </c>
      <c r="AM542" s="214" t="str">
        <f t="shared" si="256"/>
        <v/>
      </c>
      <c r="AN542" s="213" t="str">
        <f t="shared" si="239"/>
        <v/>
      </c>
      <c r="AO542" s="213" t="str">
        <f t="shared" si="240"/>
        <v/>
      </c>
      <c r="AP542" s="213" t="str">
        <f t="shared" si="241"/>
        <v/>
      </c>
      <c r="AQ542" s="215" t="str">
        <f t="shared" si="242"/>
        <v/>
      </c>
      <c r="AR542" s="216" t="str">
        <f t="shared" si="243"/>
        <v>BiK81Ly-----04</v>
      </c>
      <c r="AS542" s="215" t="str">
        <f t="shared" si="244"/>
        <v/>
      </c>
      <c r="AT542">
        <f t="shared" si="245"/>
        <v>14</v>
      </c>
      <c r="AU542" s="216" t="str">
        <f t="shared" si="246"/>
        <v>0-0,15 MW, Bonusregeln L, y</v>
      </c>
      <c r="AV542" s="215" t="str">
        <f t="shared" si="247"/>
        <v/>
      </c>
      <c r="AW542" s="216" t="str">
        <f t="shared" si="248"/>
        <v>Anteil Nicht-KWK</v>
      </c>
      <c r="AX542" s="215" t="str">
        <f t="shared" si="249"/>
        <v/>
      </c>
      <c r="AY542" t="str">
        <f t="shared" si="250"/>
        <v/>
      </c>
      <c r="AZ542" t="str">
        <f t="shared" si="251"/>
        <v/>
      </c>
    </row>
    <row r="543" spans="1:52" x14ac:dyDescent="0.25">
      <c r="A543" s="610" t="s">
        <v>2706</v>
      </c>
      <c r="B543" s="30" t="s">
        <v>5548</v>
      </c>
      <c r="C543" s="30" t="s">
        <v>4809</v>
      </c>
      <c r="D543" s="30" t="s">
        <v>6904</v>
      </c>
      <c r="E543" s="30" t="s">
        <v>4812</v>
      </c>
      <c r="F543" s="454">
        <f t="shared" ref="F543:F606" si="258">M543</f>
        <v>23.67</v>
      </c>
      <c r="G543" s="529">
        <v>23.67</v>
      </c>
      <c r="H543" s="487">
        <f t="shared" ref="H543:H606" si="259">IF(ISNUMBER(G543),ROUND(0.8*G543,2),"")</f>
        <v>18.940000000000001</v>
      </c>
      <c r="I543" s="706"/>
      <c r="J543" s="669" t="s">
        <v>5805</v>
      </c>
      <c r="K543" s="15"/>
      <c r="M543" s="49">
        <f t="shared" ref="M543:M606" si="260">N543+SUMIF(O543:AG543,"x",O$478:AG$478)</f>
        <v>23.67</v>
      </c>
      <c r="N543" s="41">
        <v>11.67</v>
      </c>
      <c r="O543" s="187" t="s">
        <v>1017</v>
      </c>
      <c r="P543" s="183"/>
      <c r="Q543" s="184"/>
      <c r="R543" s="184"/>
      <c r="S543" s="184" t="s">
        <v>4180</v>
      </c>
      <c r="T543" t="s">
        <v>4180</v>
      </c>
      <c r="U543" s="185" t="s">
        <v>1017</v>
      </c>
      <c r="V543" s="184"/>
      <c r="W543" s="180"/>
      <c r="X543" s="180"/>
      <c r="Y543" s="178"/>
      <c r="Z543" s="178"/>
      <c r="AA543" s="180"/>
      <c r="AB543" s="184" t="s">
        <v>1017</v>
      </c>
      <c r="AC543" s="184"/>
      <c r="AD543" s="201"/>
      <c r="AE543" s="181"/>
      <c r="AF543" s="180"/>
      <c r="AG543" s="201"/>
      <c r="AH543" s="212" t="str">
        <f t="shared" si="257"/>
        <v/>
      </c>
      <c r="AI543" s="214" t="str">
        <f t="shared" si="252"/>
        <v/>
      </c>
      <c r="AJ543" s="214" t="str">
        <f t="shared" si="253"/>
        <v/>
      </c>
      <c r="AK543" s="214" t="str">
        <f t="shared" si="254"/>
        <v/>
      </c>
      <c r="AL543" s="214" t="str">
        <f t="shared" si="255"/>
        <v/>
      </c>
      <c r="AM543" s="214" t="str">
        <f t="shared" si="256"/>
        <v/>
      </c>
      <c r="AN543" s="213" t="str">
        <f t="shared" si="239"/>
        <v/>
      </c>
      <c r="AO543" s="213" t="str">
        <f t="shared" si="240"/>
        <v/>
      </c>
      <c r="AP543" s="213" t="str">
        <f t="shared" si="241"/>
        <v/>
      </c>
      <c r="AQ543" s="215" t="str">
        <f t="shared" si="242"/>
        <v/>
      </c>
      <c r="AR543" s="216" t="str">
        <f t="shared" si="243"/>
        <v>BiK81LKWKy--04</v>
      </c>
      <c r="AS543" s="215" t="str">
        <f t="shared" si="244"/>
        <v/>
      </c>
      <c r="AT543">
        <f t="shared" si="245"/>
        <v>14</v>
      </c>
      <c r="AU543" s="216" t="str">
        <f t="shared" si="246"/>
        <v>0-0,15 MW, Bonusregeln L, y und KWK</v>
      </c>
      <c r="AV543" s="215" t="str">
        <f t="shared" si="247"/>
        <v/>
      </c>
      <c r="AW543" s="216" t="str">
        <f t="shared" si="248"/>
        <v>Anteil KWK</v>
      </c>
      <c r="AX543" s="215" t="str">
        <f t="shared" si="249"/>
        <v/>
      </c>
      <c r="AY543" t="str">
        <f t="shared" si="250"/>
        <v/>
      </c>
      <c r="AZ543" t="str">
        <f t="shared" si="251"/>
        <v/>
      </c>
    </row>
    <row r="544" spans="1:52" x14ac:dyDescent="0.25">
      <c r="A544" s="610" t="s">
        <v>2707</v>
      </c>
      <c r="B544" s="30" t="s">
        <v>5548</v>
      </c>
      <c r="C544" s="30" t="s">
        <v>4809</v>
      </c>
      <c r="D544" s="109" t="s">
        <v>6841</v>
      </c>
      <c r="E544" s="30" t="s">
        <v>4331</v>
      </c>
      <c r="F544" s="454">
        <f t="shared" si="258"/>
        <v>24.67</v>
      </c>
      <c r="G544" s="529">
        <v>24.67</v>
      </c>
      <c r="H544" s="487">
        <f t="shared" si="259"/>
        <v>19.739999999999998</v>
      </c>
      <c r="I544" s="706"/>
      <c r="J544" s="669" t="s">
        <v>5805</v>
      </c>
      <c r="K544" s="15"/>
      <c r="M544" s="49">
        <f t="shared" si="260"/>
        <v>24.67</v>
      </c>
      <c r="N544" s="41">
        <v>11.67</v>
      </c>
      <c r="O544" s="187"/>
      <c r="P544" s="184" t="s">
        <v>1017</v>
      </c>
      <c r="Q544" s="184"/>
      <c r="R544" s="184"/>
      <c r="S544" s="184" t="s">
        <v>4180</v>
      </c>
      <c r="T544" t="s">
        <v>4180</v>
      </c>
      <c r="U544" s="185" t="s">
        <v>1017</v>
      </c>
      <c r="V544" s="184"/>
      <c r="W544" s="180"/>
      <c r="X544" s="180"/>
      <c r="Y544" s="178"/>
      <c r="Z544" s="178"/>
      <c r="AA544" s="180"/>
      <c r="AB544" s="184" t="s">
        <v>1017</v>
      </c>
      <c r="AC544" s="184"/>
      <c r="AD544" s="201"/>
      <c r="AE544" s="181"/>
      <c r="AF544" s="180"/>
      <c r="AG544" s="201"/>
      <c r="AH544" s="212" t="str">
        <f t="shared" si="257"/>
        <v/>
      </c>
      <c r="AI544" s="214" t="str">
        <f t="shared" si="252"/>
        <v/>
      </c>
      <c r="AJ544" s="214" t="str">
        <f t="shared" si="253"/>
        <v/>
      </c>
      <c r="AK544" s="214" t="str">
        <f t="shared" si="254"/>
        <v/>
      </c>
      <c r="AL544" s="214" t="str">
        <f t="shared" si="255"/>
        <v/>
      </c>
      <c r="AM544" s="214" t="str">
        <f t="shared" si="256"/>
        <v/>
      </c>
      <c r="AN544" s="213" t="str">
        <f t="shared" si="239"/>
        <v/>
      </c>
      <c r="AO544" s="213" t="str">
        <f t="shared" si="240"/>
        <v/>
      </c>
      <c r="AP544" s="213" t="str">
        <f t="shared" si="241"/>
        <v/>
      </c>
      <c r="AQ544" s="215" t="str">
        <f t="shared" si="242"/>
        <v/>
      </c>
      <c r="AR544" s="216" t="str">
        <f t="shared" si="243"/>
        <v>BiK81LKA3y--04</v>
      </c>
      <c r="AS544" s="215" t="str">
        <f t="shared" si="244"/>
        <v/>
      </c>
      <c r="AT544">
        <f t="shared" si="245"/>
        <v>14</v>
      </c>
      <c r="AU544" s="216" t="str">
        <f t="shared" si="246"/>
        <v>0-0,15 MW, Bonusregeln L, y und K wenn Anlage 3 erfüllt</v>
      </c>
      <c r="AV544" s="215" t="str">
        <f t="shared" si="247"/>
        <v/>
      </c>
      <c r="AW544" s="216" t="str">
        <f t="shared" si="248"/>
        <v>Anteil KWK gemäß Anlage 3</v>
      </c>
      <c r="AX544" s="215" t="str">
        <f t="shared" si="249"/>
        <v/>
      </c>
      <c r="AY544" t="str">
        <f t="shared" si="250"/>
        <v/>
      </c>
      <c r="AZ544" t="str">
        <f t="shared" si="251"/>
        <v/>
      </c>
    </row>
    <row r="545" spans="1:52" x14ac:dyDescent="0.25">
      <c r="A545" s="610" t="s">
        <v>2708</v>
      </c>
      <c r="B545" s="30" t="s">
        <v>5548</v>
      </c>
      <c r="C545" s="30" t="s">
        <v>4809</v>
      </c>
      <c r="D545" s="30" t="s">
        <v>6842</v>
      </c>
      <c r="E545" s="30" t="s">
        <v>674</v>
      </c>
      <c r="F545" s="454">
        <f t="shared" si="258"/>
        <v>24.67</v>
      </c>
      <c r="G545" s="529">
        <v>24.67</v>
      </c>
      <c r="H545" s="487">
        <f t="shared" si="259"/>
        <v>19.739999999999998</v>
      </c>
      <c r="I545" s="706"/>
      <c r="J545" s="669" t="s">
        <v>5805</v>
      </c>
      <c r="K545" s="15"/>
      <c r="M545" s="49">
        <f t="shared" si="260"/>
        <v>24.67</v>
      </c>
      <c r="N545" s="41">
        <v>11.67</v>
      </c>
      <c r="O545" s="187"/>
      <c r="P545" s="183"/>
      <c r="Q545" s="184" t="s">
        <v>1017</v>
      </c>
      <c r="R545" s="184"/>
      <c r="S545" s="184" t="s">
        <v>4180</v>
      </c>
      <c r="T545" t="s">
        <v>4180</v>
      </c>
      <c r="U545" s="185" t="s">
        <v>1017</v>
      </c>
      <c r="V545" s="184"/>
      <c r="W545" s="180"/>
      <c r="X545" s="180"/>
      <c r="Y545" s="178"/>
      <c r="Z545" s="178"/>
      <c r="AA545" s="180"/>
      <c r="AB545" s="184" t="s">
        <v>1017</v>
      </c>
      <c r="AC545" s="184"/>
      <c r="AD545" s="201"/>
      <c r="AE545" s="181"/>
      <c r="AF545" s="180"/>
      <c r="AG545" s="201"/>
      <c r="AH545" s="212" t="str">
        <f t="shared" si="257"/>
        <v/>
      </c>
      <c r="AI545" s="214" t="str">
        <f t="shared" si="252"/>
        <v/>
      </c>
      <c r="AJ545" s="214" t="str">
        <f t="shared" si="253"/>
        <v/>
      </c>
      <c r="AK545" s="214" t="str">
        <f t="shared" si="254"/>
        <v/>
      </c>
      <c r="AL545" s="214" t="str">
        <f t="shared" si="255"/>
        <v/>
      </c>
      <c r="AM545" s="214" t="str">
        <f t="shared" si="256"/>
        <v/>
      </c>
      <c r="AN545" s="213" t="str">
        <f t="shared" si="239"/>
        <v/>
      </c>
      <c r="AO545" s="213" t="str">
        <f t="shared" si="240"/>
        <v/>
      </c>
      <c r="AP545" s="213" t="str">
        <f t="shared" si="241"/>
        <v/>
      </c>
      <c r="AQ545" s="215" t="str">
        <f t="shared" si="242"/>
        <v/>
      </c>
      <c r="AR545" s="216" t="str">
        <f t="shared" si="243"/>
        <v>BiK81LK09y--04</v>
      </c>
      <c r="AS545" s="215" t="str">
        <f t="shared" si="244"/>
        <v/>
      </c>
      <c r="AT545">
        <f t="shared" si="245"/>
        <v>14</v>
      </c>
      <c r="AU545" s="216" t="str">
        <f t="shared" si="246"/>
        <v>0-0,15 MW, Bonusregeln L, y und K erstmals 2009</v>
      </c>
      <c r="AV545" s="215" t="str">
        <f t="shared" si="247"/>
        <v/>
      </c>
      <c r="AW545" s="216" t="str">
        <f t="shared" si="248"/>
        <v>Anteil KWK, erstmals 2009</v>
      </c>
      <c r="AX545" s="215" t="str">
        <f t="shared" si="249"/>
        <v/>
      </c>
      <c r="AY545" t="str">
        <f t="shared" si="250"/>
        <v/>
      </c>
      <c r="AZ545" t="str">
        <f t="shared" si="251"/>
        <v/>
      </c>
    </row>
    <row r="546" spans="1:52" x14ac:dyDescent="0.25">
      <c r="A546" s="610" t="s">
        <v>1637</v>
      </c>
      <c r="B546" s="30" t="s">
        <v>5548</v>
      </c>
      <c r="C546" s="30" t="s">
        <v>4809</v>
      </c>
      <c r="D546" s="30" t="s">
        <v>6843</v>
      </c>
      <c r="E546" s="30" t="s">
        <v>3567</v>
      </c>
      <c r="F546" s="454">
        <f t="shared" si="258"/>
        <v>24.64</v>
      </c>
      <c r="G546" s="529">
        <v>24.64</v>
      </c>
      <c r="H546" s="487">
        <f t="shared" si="259"/>
        <v>19.71</v>
      </c>
      <c r="I546" s="706"/>
      <c r="J546" s="669" t="s">
        <v>5805</v>
      </c>
      <c r="K546" s="15"/>
      <c r="M546" s="49">
        <f t="shared" si="260"/>
        <v>24.64</v>
      </c>
      <c r="N546" s="41">
        <v>11.67</v>
      </c>
      <c r="O546" s="187"/>
      <c r="P546" s="183"/>
      <c r="Q546" s="184"/>
      <c r="R546" s="184" t="s">
        <v>1017</v>
      </c>
      <c r="S546" s="184" t="s">
        <v>4180</v>
      </c>
      <c r="T546" t="s">
        <v>4180</v>
      </c>
      <c r="U546" s="185" t="s">
        <v>1017</v>
      </c>
      <c r="V546" s="184"/>
      <c r="W546" s="180"/>
      <c r="X546" s="180"/>
      <c r="Y546" s="178"/>
      <c r="Z546" s="178"/>
      <c r="AA546" s="180"/>
      <c r="AB546" s="184" t="s">
        <v>1017</v>
      </c>
      <c r="AC546" s="184"/>
      <c r="AD546" s="201"/>
      <c r="AE546" s="181"/>
      <c r="AF546" s="180"/>
      <c r="AG546" s="201"/>
      <c r="AH546" s="212" t="str">
        <f t="shared" si="257"/>
        <v>2010</v>
      </c>
      <c r="AI546" s="214" t="str">
        <f t="shared" si="252"/>
        <v/>
      </c>
      <c r="AJ546" s="214" t="str">
        <f t="shared" si="253"/>
        <v/>
      </c>
      <c r="AK546" s="214" t="str">
        <f t="shared" si="254"/>
        <v/>
      </c>
      <c r="AL546" s="214" t="str">
        <f t="shared" si="255"/>
        <v/>
      </c>
      <c r="AM546" s="214" t="str">
        <f t="shared" si="256"/>
        <v/>
      </c>
      <c r="AN546" s="213" t="str">
        <f t="shared" si="239"/>
        <v>2010</v>
      </c>
      <c r="AO546" s="213" t="str">
        <f t="shared" si="240"/>
        <v>2010</v>
      </c>
      <c r="AP546" s="213" t="str">
        <f t="shared" si="241"/>
        <v>2010</v>
      </c>
      <c r="AQ546" s="215" t="str">
        <f t="shared" si="242"/>
        <v/>
      </c>
      <c r="AR546" s="216" t="str">
        <f t="shared" si="243"/>
        <v>BiK81LK10y--04</v>
      </c>
      <c r="AS546" s="215" t="str">
        <f t="shared" si="244"/>
        <v/>
      </c>
      <c r="AT546">
        <f t="shared" si="245"/>
        <v>14</v>
      </c>
      <c r="AU546" s="216" t="str">
        <f t="shared" si="246"/>
        <v>0-0,15 MW, Bonusregeln L, y und K erstmals 2010</v>
      </c>
      <c r="AV546" s="215" t="str">
        <f t="shared" si="247"/>
        <v/>
      </c>
      <c r="AW546" s="216" t="str">
        <f t="shared" si="248"/>
        <v>Anteil KWK, erstmals 2010</v>
      </c>
      <c r="AX546" s="215" t="str">
        <f t="shared" si="249"/>
        <v/>
      </c>
      <c r="AY546" t="str">
        <f t="shared" si="250"/>
        <v/>
      </c>
      <c r="AZ546" t="str">
        <f t="shared" si="251"/>
        <v/>
      </c>
    </row>
    <row r="547" spans="1:52" x14ac:dyDescent="0.25">
      <c r="A547" s="610" t="s">
        <v>5252</v>
      </c>
      <c r="B547" s="30" t="s">
        <v>5548</v>
      </c>
      <c r="C547" s="30" t="s">
        <v>4809</v>
      </c>
      <c r="D547" s="30" t="s">
        <v>6844</v>
      </c>
      <c r="E547" s="30" t="s">
        <v>3055</v>
      </c>
      <c r="F547" s="454">
        <f t="shared" si="258"/>
        <v>24.61</v>
      </c>
      <c r="G547" s="529">
        <v>24.61</v>
      </c>
      <c r="H547" s="487">
        <f t="shared" si="259"/>
        <v>19.690000000000001</v>
      </c>
      <c r="I547" s="706"/>
      <c r="J547" s="669" t="s">
        <v>5805</v>
      </c>
      <c r="K547" s="15"/>
      <c r="M547" s="49">
        <f t="shared" si="260"/>
        <v>24.61</v>
      </c>
      <c r="N547" s="41">
        <v>11.67</v>
      </c>
      <c r="O547" s="187"/>
      <c r="P547" s="183"/>
      <c r="Q547" s="184"/>
      <c r="R547" s="178"/>
      <c r="S547" s="184" t="s">
        <v>1017</v>
      </c>
      <c r="T547" t="s">
        <v>4180</v>
      </c>
      <c r="U547" s="185" t="s">
        <v>1017</v>
      </c>
      <c r="V547" s="184"/>
      <c r="W547" s="180"/>
      <c r="X547" s="180"/>
      <c r="Y547" s="178"/>
      <c r="Z547" s="178"/>
      <c r="AA547" s="180"/>
      <c r="AB547" s="184" t="s">
        <v>1017</v>
      </c>
      <c r="AC547" s="184"/>
      <c r="AD547" s="201"/>
      <c r="AE547" s="181"/>
      <c r="AF547" s="180"/>
      <c r="AG547" s="201"/>
      <c r="AH547" s="212" t="str">
        <f t="shared" si="257"/>
        <v>2011</v>
      </c>
      <c r="AI547" s="214" t="str">
        <f t="shared" si="252"/>
        <v/>
      </c>
      <c r="AJ547" s="214" t="str">
        <f t="shared" si="253"/>
        <v/>
      </c>
      <c r="AK547" s="214" t="str">
        <f t="shared" si="254"/>
        <v/>
      </c>
      <c r="AL547" s="214" t="str">
        <f t="shared" si="255"/>
        <v/>
      </c>
      <c r="AM547" s="214" t="str">
        <f t="shared" si="256"/>
        <v/>
      </c>
      <c r="AN547" s="213" t="str">
        <f t="shared" si="239"/>
        <v>2011</v>
      </c>
      <c r="AO547" s="213" t="str">
        <f t="shared" si="240"/>
        <v>2011</v>
      </c>
      <c r="AP547" s="213" t="str">
        <f t="shared" si="241"/>
        <v>2011</v>
      </c>
      <c r="AQ547" s="215" t="str">
        <f t="shared" si="242"/>
        <v/>
      </c>
      <c r="AR547" s="216" t="str">
        <f t="shared" si="243"/>
        <v>BiK81LK11y--04</v>
      </c>
      <c r="AS547" s="215" t="str">
        <f t="shared" si="244"/>
        <v/>
      </c>
      <c r="AT547">
        <f t="shared" si="245"/>
        <v>14</v>
      </c>
      <c r="AU547" s="216" t="str">
        <f t="shared" si="246"/>
        <v>0-0,15 MW, Bonusregeln L, y und K erstmals 2011</v>
      </c>
      <c r="AV547" s="215" t="str">
        <f t="shared" si="247"/>
        <v/>
      </c>
      <c r="AW547" s="216" t="str">
        <f t="shared" si="248"/>
        <v>Anteil KWK, erstmals 2011</v>
      </c>
      <c r="AX547" s="215" t="str">
        <f t="shared" si="249"/>
        <v/>
      </c>
      <c r="AY547" t="str">
        <f t="shared" si="250"/>
        <v>x</v>
      </c>
      <c r="AZ547" t="str">
        <f t="shared" si="251"/>
        <v/>
      </c>
    </row>
    <row r="548" spans="1:52" x14ac:dyDescent="0.25">
      <c r="A548" s="625" t="s">
        <v>3559</v>
      </c>
      <c r="B548" s="219" t="s">
        <v>5548</v>
      </c>
      <c r="C548" s="219" t="s">
        <v>4809</v>
      </c>
      <c r="D548" s="219" t="s">
        <v>6845</v>
      </c>
      <c r="E548" s="219" t="s">
        <v>1980</v>
      </c>
      <c r="F548" s="455">
        <f t="shared" si="258"/>
        <v>24.58</v>
      </c>
      <c r="G548" s="530">
        <v>24.58</v>
      </c>
      <c r="H548" s="488">
        <f t="shared" si="259"/>
        <v>19.66</v>
      </c>
      <c r="I548" s="707"/>
      <c r="J548" s="669" t="s">
        <v>5805</v>
      </c>
      <c r="K548" s="15"/>
      <c r="M548" s="49">
        <f t="shared" si="260"/>
        <v>24.58</v>
      </c>
      <c r="N548" s="41">
        <v>11.67</v>
      </c>
      <c r="O548" s="187"/>
      <c r="P548" s="183"/>
      <c r="Q548" s="184"/>
      <c r="R548" s="178"/>
      <c r="S548" s="184" t="s">
        <v>4180</v>
      </c>
      <c r="T548" t="s">
        <v>1017</v>
      </c>
      <c r="U548" s="185" t="s">
        <v>1017</v>
      </c>
      <c r="V548" s="184"/>
      <c r="W548" s="180"/>
      <c r="X548" s="180"/>
      <c r="Y548" s="178"/>
      <c r="Z548" s="178"/>
      <c r="AA548" s="180"/>
      <c r="AB548" s="184" t="s">
        <v>1017</v>
      </c>
      <c r="AC548" s="184"/>
      <c r="AD548" s="201"/>
      <c r="AE548" s="181"/>
      <c r="AF548" s="180"/>
      <c r="AG548" s="201"/>
      <c r="AH548" s="217" t="s">
        <v>4179</v>
      </c>
      <c r="AI548" s="214" t="str">
        <f t="shared" si="252"/>
        <v/>
      </c>
      <c r="AJ548" s="214" t="str">
        <f t="shared" si="253"/>
        <v/>
      </c>
      <c r="AK548" s="214" t="str">
        <f t="shared" si="254"/>
        <v/>
      </c>
      <c r="AL548" s="214" t="str">
        <f t="shared" si="255"/>
        <v/>
      </c>
      <c r="AM548" s="214" t="str">
        <f t="shared" si="256"/>
        <v/>
      </c>
      <c r="AN548" s="213" t="str">
        <f t="shared" si="239"/>
        <v>2012</v>
      </c>
      <c r="AO548" s="213" t="str">
        <f t="shared" si="240"/>
        <v>2012</v>
      </c>
      <c r="AP548" s="213" t="str">
        <f t="shared" si="241"/>
        <v>2012</v>
      </c>
      <c r="AQ548" s="215" t="str">
        <f t="shared" si="242"/>
        <v/>
      </c>
      <c r="AR548" s="216" t="str">
        <f t="shared" si="243"/>
        <v>BiK81LK12y--04</v>
      </c>
      <c r="AS548" s="215" t="str">
        <f t="shared" si="244"/>
        <v/>
      </c>
      <c r="AT548">
        <f t="shared" si="245"/>
        <v>14</v>
      </c>
      <c r="AU548" s="216" t="str">
        <f t="shared" si="246"/>
        <v>0-0,15 MW, Bonusregeln L, y und K erstmals 2012</v>
      </c>
      <c r="AV548" s="215" t="str">
        <f t="shared" si="247"/>
        <v/>
      </c>
      <c r="AW548" s="216" t="str">
        <f t="shared" si="248"/>
        <v>Anteil KWK, erstmals 2012</v>
      </c>
      <c r="AX548" s="215" t="str">
        <f t="shared" si="249"/>
        <v/>
      </c>
      <c r="AY548" t="str">
        <f t="shared" si="250"/>
        <v/>
      </c>
      <c r="AZ548" t="str">
        <f t="shared" si="251"/>
        <v>x</v>
      </c>
    </row>
    <row r="549" spans="1:52" s="178" customFormat="1" x14ac:dyDescent="0.25">
      <c r="A549" s="610" t="s">
        <v>2709</v>
      </c>
      <c r="B549" s="30" t="s">
        <v>5548</v>
      </c>
      <c r="C549" s="30" t="s">
        <v>4809</v>
      </c>
      <c r="D549" s="30" t="s">
        <v>6846</v>
      </c>
      <c r="E549" s="30" t="s">
        <v>4810</v>
      </c>
      <c r="F549" s="454">
        <f t="shared" si="258"/>
        <v>24.67</v>
      </c>
      <c r="G549" s="529">
        <v>24.67</v>
      </c>
      <c r="H549" s="487">
        <f t="shared" si="259"/>
        <v>19.739999999999998</v>
      </c>
      <c r="I549" s="706"/>
      <c r="J549" s="669" t="s">
        <v>5805</v>
      </c>
      <c r="K549" s="15"/>
      <c r="L549"/>
      <c r="M549" s="49">
        <f t="shared" si="260"/>
        <v>24.67</v>
      </c>
      <c r="N549" s="41">
        <v>11.67</v>
      </c>
      <c r="O549" s="186"/>
      <c r="P549" s="177"/>
      <c r="S549" s="178" t="s">
        <v>4180</v>
      </c>
      <c r="T549" s="178" t="s">
        <v>4180</v>
      </c>
      <c r="U549" s="179"/>
      <c r="W549" s="180"/>
      <c r="X549" s="180"/>
      <c r="AA549" s="180"/>
      <c r="AC549" s="178" t="s">
        <v>1017</v>
      </c>
      <c r="AD549" s="201"/>
      <c r="AE549" s="200"/>
      <c r="AF549" s="180"/>
      <c r="AG549" s="201"/>
      <c r="AH549" s="212" t="str">
        <f t="shared" ref="AH549:AH554" si="261">IF(ISERROR(SEARCH("K erstmals 201",D549)),"",RIGHT(D549,4))</f>
        <v/>
      </c>
      <c r="AI549" s="214" t="str">
        <f t="shared" si="252"/>
        <v/>
      </c>
      <c r="AJ549" s="214" t="str">
        <f t="shared" si="253"/>
        <v/>
      </c>
      <c r="AK549" s="214" t="str">
        <f t="shared" si="254"/>
        <v/>
      </c>
      <c r="AL549" s="214" t="str">
        <f t="shared" si="255"/>
        <v/>
      </c>
      <c r="AM549" s="214" t="str">
        <f t="shared" si="256"/>
        <v/>
      </c>
      <c r="AN549" s="213" t="str">
        <f t="shared" si="239"/>
        <v/>
      </c>
      <c r="AO549" s="213" t="str">
        <f t="shared" si="240"/>
        <v/>
      </c>
      <c r="AP549" s="213" t="str">
        <f t="shared" si="241"/>
        <v/>
      </c>
      <c r="AQ549" s="215" t="str">
        <f t="shared" si="242"/>
        <v/>
      </c>
      <c r="AR549" s="216" t="str">
        <f t="shared" si="243"/>
        <v>BiK81X1-----04</v>
      </c>
      <c r="AS549" s="215" t="str">
        <f t="shared" si="244"/>
        <v/>
      </c>
      <c r="AT549">
        <f t="shared" si="245"/>
        <v>14</v>
      </c>
      <c r="AU549" s="216" t="str">
        <f t="shared" si="246"/>
        <v>0-0,15 MW, Bonusregel X1</v>
      </c>
      <c r="AV549" s="215" t="str">
        <f t="shared" si="247"/>
        <v/>
      </c>
      <c r="AW549" s="216" t="str">
        <f t="shared" si="248"/>
        <v>Anteil Nicht-KWK</v>
      </c>
      <c r="AX549" s="215" t="str">
        <f t="shared" si="249"/>
        <v/>
      </c>
      <c r="AY549" t="str">
        <f t="shared" si="250"/>
        <v/>
      </c>
      <c r="AZ549" t="str">
        <f t="shared" si="251"/>
        <v/>
      </c>
    </row>
    <row r="550" spans="1:52" s="178" customFormat="1" x14ac:dyDescent="0.25">
      <c r="A550" s="610" t="s">
        <v>2710</v>
      </c>
      <c r="B550" s="30" t="s">
        <v>5548</v>
      </c>
      <c r="C550" s="30" t="s">
        <v>4809</v>
      </c>
      <c r="D550" s="30" t="s">
        <v>6905</v>
      </c>
      <c r="E550" s="30" t="s">
        <v>4812</v>
      </c>
      <c r="F550" s="454">
        <f t="shared" si="258"/>
        <v>26.67</v>
      </c>
      <c r="G550" s="529">
        <v>26.67</v>
      </c>
      <c r="H550" s="487">
        <f t="shared" si="259"/>
        <v>21.34</v>
      </c>
      <c r="I550" s="706"/>
      <c r="J550" s="669" t="s">
        <v>5805</v>
      </c>
      <c r="K550" s="15"/>
      <c r="L550"/>
      <c r="M550" s="49">
        <f t="shared" si="260"/>
        <v>26.67</v>
      </c>
      <c r="N550" s="41">
        <v>11.67</v>
      </c>
      <c r="O550" s="186" t="s">
        <v>1017</v>
      </c>
      <c r="P550" s="177"/>
      <c r="S550" s="178" t="s">
        <v>4180</v>
      </c>
      <c r="T550" s="178" t="s">
        <v>4180</v>
      </c>
      <c r="U550" s="179"/>
      <c r="W550" s="180"/>
      <c r="X550" s="180"/>
      <c r="AA550" s="180"/>
      <c r="AC550" s="178" t="s">
        <v>1017</v>
      </c>
      <c r="AD550" s="201"/>
      <c r="AE550" s="200"/>
      <c r="AF550" s="180"/>
      <c r="AG550" s="201"/>
      <c r="AH550" s="212" t="str">
        <f t="shared" si="261"/>
        <v/>
      </c>
      <c r="AI550" s="214" t="str">
        <f t="shared" si="252"/>
        <v/>
      </c>
      <c r="AJ550" s="214" t="str">
        <f t="shared" si="253"/>
        <v/>
      </c>
      <c r="AK550" s="214" t="str">
        <f t="shared" si="254"/>
        <v/>
      </c>
      <c r="AL550" s="214" t="str">
        <f t="shared" si="255"/>
        <v/>
      </c>
      <c r="AM550" s="214" t="str">
        <f t="shared" si="256"/>
        <v/>
      </c>
      <c r="AN550" s="213" t="str">
        <f t="shared" si="239"/>
        <v/>
      </c>
      <c r="AO550" s="213" t="str">
        <f t="shared" si="240"/>
        <v/>
      </c>
      <c r="AP550" s="213" t="str">
        <f t="shared" si="241"/>
        <v/>
      </c>
      <c r="AQ550" s="215" t="str">
        <f t="shared" si="242"/>
        <v/>
      </c>
      <c r="AR550" s="216" t="str">
        <f t="shared" si="243"/>
        <v>BiK81X1KWK--04</v>
      </c>
      <c r="AS550" s="215" t="str">
        <f t="shared" si="244"/>
        <v/>
      </c>
      <c r="AT550">
        <f t="shared" si="245"/>
        <v>14</v>
      </c>
      <c r="AU550" s="216" t="str">
        <f t="shared" si="246"/>
        <v>0-0,15 MW, Bonusregeln X1 und KWK</v>
      </c>
      <c r="AV550" s="215" t="str">
        <f t="shared" si="247"/>
        <v/>
      </c>
      <c r="AW550" s="216" t="str">
        <f t="shared" si="248"/>
        <v>Anteil KWK</v>
      </c>
      <c r="AX550" s="215" t="str">
        <f t="shared" si="249"/>
        <v/>
      </c>
      <c r="AY550" t="str">
        <f t="shared" si="250"/>
        <v/>
      </c>
      <c r="AZ550" t="str">
        <f t="shared" si="251"/>
        <v/>
      </c>
    </row>
    <row r="551" spans="1:52" s="178" customFormat="1" x14ac:dyDescent="0.25">
      <c r="A551" s="610" t="s">
        <v>2711</v>
      </c>
      <c r="B551" s="30" t="s">
        <v>5548</v>
      </c>
      <c r="C551" s="30" t="s">
        <v>4809</v>
      </c>
      <c r="D551" s="30" t="s">
        <v>6847</v>
      </c>
      <c r="E551" s="30" t="s">
        <v>4331</v>
      </c>
      <c r="F551" s="454">
        <f t="shared" si="258"/>
        <v>27.67</v>
      </c>
      <c r="G551" s="529">
        <v>27.67</v>
      </c>
      <c r="H551" s="487">
        <f t="shared" si="259"/>
        <v>22.14</v>
      </c>
      <c r="I551" s="706"/>
      <c r="J551" s="669" t="s">
        <v>5805</v>
      </c>
      <c r="K551" s="15"/>
      <c r="L551"/>
      <c r="M551" s="49">
        <f t="shared" si="260"/>
        <v>27.67</v>
      </c>
      <c r="N551" s="41">
        <v>11.67</v>
      </c>
      <c r="O551" s="186"/>
      <c r="P551" s="178" t="s">
        <v>1017</v>
      </c>
      <c r="S551" s="178" t="s">
        <v>4180</v>
      </c>
      <c r="T551" s="178" t="s">
        <v>4180</v>
      </c>
      <c r="U551" s="179"/>
      <c r="W551" s="180"/>
      <c r="X551" s="180"/>
      <c r="AA551" s="180"/>
      <c r="AC551" s="178" t="s">
        <v>1017</v>
      </c>
      <c r="AD551" s="201"/>
      <c r="AE551" s="200"/>
      <c r="AF551" s="180"/>
      <c r="AG551" s="201"/>
      <c r="AH551" s="212" t="str">
        <f t="shared" si="261"/>
        <v/>
      </c>
      <c r="AI551" s="214" t="str">
        <f t="shared" si="252"/>
        <v/>
      </c>
      <c r="AJ551" s="214" t="str">
        <f t="shared" si="253"/>
        <v/>
      </c>
      <c r="AK551" s="214" t="str">
        <f t="shared" si="254"/>
        <v/>
      </c>
      <c r="AL551" s="214" t="str">
        <f t="shared" si="255"/>
        <v/>
      </c>
      <c r="AM551" s="214" t="str">
        <f t="shared" si="256"/>
        <v/>
      </c>
      <c r="AN551" s="213" t="str">
        <f t="shared" si="239"/>
        <v/>
      </c>
      <c r="AO551" s="213" t="str">
        <f t="shared" si="240"/>
        <v/>
      </c>
      <c r="AP551" s="213" t="str">
        <f t="shared" si="241"/>
        <v/>
      </c>
      <c r="AQ551" s="215" t="str">
        <f t="shared" si="242"/>
        <v/>
      </c>
      <c r="AR551" s="216" t="str">
        <f t="shared" si="243"/>
        <v>BiK81X1KA3--04</v>
      </c>
      <c r="AS551" s="215" t="str">
        <f t="shared" si="244"/>
        <v/>
      </c>
      <c r="AT551">
        <f t="shared" si="245"/>
        <v>14</v>
      </c>
      <c r="AU551" s="216" t="str">
        <f t="shared" si="246"/>
        <v>0-0,15 MW, Bonusregeln X1 und K wenn Anlage 3 erfüllt</v>
      </c>
      <c r="AV551" s="215" t="str">
        <f t="shared" si="247"/>
        <v/>
      </c>
      <c r="AW551" s="216" t="str">
        <f t="shared" si="248"/>
        <v>Anteil KWK gemäß Anlage 3</v>
      </c>
      <c r="AX551" s="215" t="str">
        <f t="shared" si="249"/>
        <v/>
      </c>
      <c r="AY551" t="str">
        <f t="shared" si="250"/>
        <v/>
      </c>
      <c r="AZ551" t="str">
        <f t="shared" si="251"/>
        <v/>
      </c>
    </row>
    <row r="552" spans="1:52" s="178" customFormat="1" x14ac:dyDescent="0.25">
      <c r="A552" s="610" t="s">
        <v>2712</v>
      </c>
      <c r="B552" s="30" t="s">
        <v>5548</v>
      </c>
      <c r="C552" s="30" t="s">
        <v>4809</v>
      </c>
      <c r="D552" s="30" t="s">
        <v>6848</v>
      </c>
      <c r="E552" s="30" t="s">
        <v>674</v>
      </c>
      <c r="F552" s="454">
        <f t="shared" si="258"/>
        <v>27.67</v>
      </c>
      <c r="G552" s="529">
        <v>27.67</v>
      </c>
      <c r="H552" s="487">
        <f t="shared" si="259"/>
        <v>22.14</v>
      </c>
      <c r="I552" s="706"/>
      <c r="J552" s="669" t="s">
        <v>5805</v>
      </c>
      <c r="K552" s="15"/>
      <c r="L552"/>
      <c r="M552" s="49">
        <f t="shared" si="260"/>
        <v>27.67</v>
      </c>
      <c r="N552" s="41">
        <v>11.67</v>
      </c>
      <c r="O552" s="186"/>
      <c r="P552" s="177"/>
      <c r="Q552" s="178" t="s">
        <v>1017</v>
      </c>
      <c r="S552" s="178" t="s">
        <v>4180</v>
      </c>
      <c r="T552" s="178" t="s">
        <v>4180</v>
      </c>
      <c r="U552" s="179"/>
      <c r="W552" s="180"/>
      <c r="X552" s="180"/>
      <c r="AA552" s="180"/>
      <c r="AC552" s="178" t="s">
        <v>1017</v>
      </c>
      <c r="AD552" s="201"/>
      <c r="AE552" s="200"/>
      <c r="AF552" s="180"/>
      <c r="AG552" s="201"/>
      <c r="AH552" s="212" t="str">
        <f t="shared" si="261"/>
        <v/>
      </c>
      <c r="AI552" s="214" t="str">
        <f t="shared" si="252"/>
        <v/>
      </c>
      <c r="AJ552" s="214" t="str">
        <f t="shared" si="253"/>
        <v/>
      </c>
      <c r="AK552" s="214" t="str">
        <f t="shared" si="254"/>
        <v/>
      </c>
      <c r="AL552" s="214" t="str">
        <f t="shared" si="255"/>
        <v/>
      </c>
      <c r="AM552" s="214" t="str">
        <f t="shared" si="256"/>
        <v/>
      </c>
      <c r="AN552" s="213" t="str">
        <f t="shared" si="239"/>
        <v/>
      </c>
      <c r="AO552" s="213" t="str">
        <f t="shared" si="240"/>
        <v/>
      </c>
      <c r="AP552" s="213" t="str">
        <f t="shared" si="241"/>
        <v/>
      </c>
      <c r="AQ552" s="215" t="str">
        <f t="shared" si="242"/>
        <v/>
      </c>
      <c r="AR552" s="216" t="str">
        <f t="shared" si="243"/>
        <v>BiK81X1K09--04</v>
      </c>
      <c r="AS552" s="215" t="str">
        <f t="shared" si="244"/>
        <v/>
      </c>
      <c r="AT552">
        <f t="shared" si="245"/>
        <v>14</v>
      </c>
      <c r="AU552" s="216" t="str">
        <f t="shared" si="246"/>
        <v>0-0,15 MW, Bonusregeln X1 und K erstmals 2009</v>
      </c>
      <c r="AV552" s="215" t="str">
        <f t="shared" si="247"/>
        <v/>
      </c>
      <c r="AW552" s="216" t="str">
        <f t="shared" si="248"/>
        <v>Anteil KWK, erstmals 2009</v>
      </c>
      <c r="AX552" s="215" t="str">
        <f t="shared" si="249"/>
        <v/>
      </c>
      <c r="AY552" t="str">
        <f t="shared" si="250"/>
        <v/>
      </c>
      <c r="AZ552" t="str">
        <f t="shared" si="251"/>
        <v/>
      </c>
    </row>
    <row r="553" spans="1:52" s="178" customFormat="1" x14ac:dyDescent="0.25">
      <c r="A553" s="610" t="s">
        <v>1638</v>
      </c>
      <c r="B553" s="30" t="s">
        <v>5548</v>
      </c>
      <c r="C553" s="30" t="s">
        <v>4809</v>
      </c>
      <c r="D553" s="30" t="s">
        <v>6849</v>
      </c>
      <c r="E553" s="30" t="s">
        <v>3567</v>
      </c>
      <c r="F553" s="454">
        <f t="shared" si="258"/>
        <v>27.64</v>
      </c>
      <c r="G553" s="529">
        <v>27.64</v>
      </c>
      <c r="H553" s="487">
        <f t="shared" si="259"/>
        <v>22.11</v>
      </c>
      <c r="I553" s="706"/>
      <c r="J553" s="669" t="s">
        <v>5805</v>
      </c>
      <c r="K553" s="15"/>
      <c r="L553"/>
      <c r="M553" s="49">
        <f t="shared" si="260"/>
        <v>27.64</v>
      </c>
      <c r="N553" s="41">
        <v>11.67</v>
      </c>
      <c r="O553" s="186"/>
      <c r="P553" s="177"/>
      <c r="R553" s="178" t="s">
        <v>1017</v>
      </c>
      <c r="S553" s="178" t="s">
        <v>4180</v>
      </c>
      <c r="T553" s="178" t="s">
        <v>4180</v>
      </c>
      <c r="U553" s="179"/>
      <c r="W553" s="180"/>
      <c r="X553" s="180"/>
      <c r="AA553" s="180"/>
      <c r="AC553" s="178" t="s">
        <v>1017</v>
      </c>
      <c r="AD553" s="201"/>
      <c r="AE553" s="200"/>
      <c r="AF553" s="180"/>
      <c r="AG553" s="201"/>
      <c r="AH553" s="212" t="str">
        <f t="shared" si="261"/>
        <v>2010</v>
      </c>
      <c r="AI553" s="214" t="str">
        <f t="shared" si="252"/>
        <v/>
      </c>
      <c r="AJ553" s="214" t="str">
        <f t="shared" si="253"/>
        <v/>
      </c>
      <c r="AK553" s="214" t="str">
        <f t="shared" si="254"/>
        <v/>
      </c>
      <c r="AL553" s="214" t="str">
        <f t="shared" si="255"/>
        <v/>
      </c>
      <c r="AM553" s="214" t="str">
        <f t="shared" si="256"/>
        <v/>
      </c>
      <c r="AN553" s="213" t="str">
        <f t="shared" si="239"/>
        <v>2010</v>
      </c>
      <c r="AO553" s="213" t="str">
        <f t="shared" si="240"/>
        <v>2010</v>
      </c>
      <c r="AP553" s="213" t="str">
        <f t="shared" si="241"/>
        <v>2010</v>
      </c>
      <c r="AQ553" s="215" t="str">
        <f t="shared" si="242"/>
        <v/>
      </c>
      <c r="AR553" s="216" t="str">
        <f t="shared" si="243"/>
        <v>BiK81X1K10--04</v>
      </c>
      <c r="AS553" s="215" t="str">
        <f t="shared" si="244"/>
        <v/>
      </c>
      <c r="AT553">
        <f t="shared" si="245"/>
        <v>14</v>
      </c>
      <c r="AU553" s="216" t="str">
        <f t="shared" si="246"/>
        <v>0-0,15 MW, Bonusregeln X1 und K erstmals 2010</v>
      </c>
      <c r="AV553" s="215" t="str">
        <f t="shared" si="247"/>
        <v/>
      </c>
      <c r="AW553" s="216" t="str">
        <f t="shared" si="248"/>
        <v>Anteil KWK, erstmals 2010</v>
      </c>
      <c r="AX553" s="215" t="str">
        <f t="shared" si="249"/>
        <v/>
      </c>
      <c r="AY553" t="str">
        <f t="shared" si="250"/>
        <v/>
      </c>
      <c r="AZ553" t="str">
        <f t="shared" si="251"/>
        <v/>
      </c>
    </row>
    <row r="554" spans="1:52" s="178" customFormat="1" x14ac:dyDescent="0.25">
      <c r="A554" s="610" t="s">
        <v>5253</v>
      </c>
      <c r="B554" s="30" t="s">
        <v>5548</v>
      </c>
      <c r="C554" s="30" t="s">
        <v>4809</v>
      </c>
      <c r="D554" s="30" t="s">
        <v>6850</v>
      </c>
      <c r="E554" s="30" t="s">
        <v>3055</v>
      </c>
      <c r="F554" s="454">
        <f t="shared" si="258"/>
        <v>27.61</v>
      </c>
      <c r="G554" s="529">
        <v>27.61</v>
      </c>
      <c r="H554" s="487">
        <f t="shared" si="259"/>
        <v>22.09</v>
      </c>
      <c r="I554" s="706"/>
      <c r="J554" s="669" t="s">
        <v>5805</v>
      </c>
      <c r="K554" s="15"/>
      <c r="L554"/>
      <c r="M554" s="49">
        <f t="shared" si="260"/>
        <v>27.61</v>
      </c>
      <c r="N554" s="41">
        <v>11.67</v>
      </c>
      <c r="O554" s="186"/>
      <c r="P554" s="177"/>
      <c r="S554" s="178" t="s">
        <v>1017</v>
      </c>
      <c r="T554" s="178" t="s">
        <v>4180</v>
      </c>
      <c r="U554" s="179"/>
      <c r="W554" s="180"/>
      <c r="X554" s="180"/>
      <c r="AA554" s="180"/>
      <c r="AC554" s="178" t="s">
        <v>1017</v>
      </c>
      <c r="AD554" s="201"/>
      <c r="AE554" s="200"/>
      <c r="AF554" s="180"/>
      <c r="AG554" s="201"/>
      <c r="AH554" s="212" t="str">
        <f t="shared" si="261"/>
        <v>2011</v>
      </c>
      <c r="AI554" s="214" t="str">
        <f t="shared" si="252"/>
        <v/>
      </c>
      <c r="AJ554" s="214" t="str">
        <f t="shared" si="253"/>
        <v/>
      </c>
      <c r="AK554" s="214" t="str">
        <f t="shared" si="254"/>
        <v/>
      </c>
      <c r="AL554" s="214" t="str">
        <f t="shared" si="255"/>
        <v/>
      </c>
      <c r="AM554" s="214" t="str">
        <f t="shared" si="256"/>
        <v/>
      </c>
      <c r="AN554" s="213" t="str">
        <f t="shared" si="239"/>
        <v>2011</v>
      </c>
      <c r="AO554" s="213" t="str">
        <f t="shared" si="240"/>
        <v>2011</v>
      </c>
      <c r="AP554" s="213" t="str">
        <f t="shared" si="241"/>
        <v>2011</v>
      </c>
      <c r="AQ554" s="215" t="str">
        <f t="shared" si="242"/>
        <v/>
      </c>
      <c r="AR554" s="216" t="str">
        <f t="shared" si="243"/>
        <v>BiK81X1K11--04</v>
      </c>
      <c r="AS554" s="215" t="str">
        <f t="shared" si="244"/>
        <v/>
      </c>
      <c r="AT554">
        <f t="shared" si="245"/>
        <v>14</v>
      </c>
      <c r="AU554" s="216" t="str">
        <f t="shared" si="246"/>
        <v>0-0,15 MW, Bonusregeln X1 und K erstmals 2011</v>
      </c>
      <c r="AV554" s="215" t="str">
        <f t="shared" si="247"/>
        <v/>
      </c>
      <c r="AW554" s="216" t="str">
        <f t="shared" si="248"/>
        <v>Anteil KWK, erstmals 2011</v>
      </c>
      <c r="AX554" s="215" t="str">
        <f t="shared" si="249"/>
        <v/>
      </c>
      <c r="AY554" t="str">
        <f t="shared" si="250"/>
        <v>x</v>
      </c>
      <c r="AZ554" t="str">
        <f t="shared" si="251"/>
        <v/>
      </c>
    </row>
    <row r="555" spans="1:52" s="178" customFormat="1" x14ac:dyDescent="0.25">
      <c r="A555" s="625" t="s">
        <v>3560</v>
      </c>
      <c r="B555" s="219" t="s">
        <v>5548</v>
      </c>
      <c r="C555" s="219" t="s">
        <v>4809</v>
      </c>
      <c r="D555" s="219" t="s">
        <v>6851</v>
      </c>
      <c r="E555" s="219" t="s">
        <v>1980</v>
      </c>
      <c r="F555" s="455">
        <f t="shared" si="258"/>
        <v>27.58</v>
      </c>
      <c r="G555" s="530">
        <v>27.58</v>
      </c>
      <c r="H555" s="488">
        <f t="shared" si="259"/>
        <v>22.06</v>
      </c>
      <c r="I555" s="707"/>
      <c r="J555" s="669" t="s">
        <v>5805</v>
      </c>
      <c r="K555" s="15"/>
      <c r="L555"/>
      <c r="M555" s="49">
        <f t="shared" si="260"/>
        <v>27.58</v>
      </c>
      <c r="N555" s="41">
        <v>11.67</v>
      </c>
      <c r="O555" s="186"/>
      <c r="P555" s="177"/>
      <c r="S555" s="178" t="s">
        <v>4180</v>
      </c>
      <c r="T555" s="178" t="s">
        <v>1017</v>
      </c>
      <c r="U555" s="179"/>
      <c r="W555" s="180"/>
      <c r="X555" s="180"/>
      <c r="AA555" s="180"/>
      <c r="AC555" s="178" t="s">
        <v>1017</v>
      </c>
      <c r="AD555" s="201"/>
      <c r="AE555" s="200"/>
      <c r="AF555" s="180"/>
      <c r="AG555" s="201"/>
      <c r="AH555" s="217" t="s">
        <v>4179</v>
      </c>
      <c r="AI555" s="214" t="str">
        <f t="shared" si="252"/>
        <v/>
      </c>
      <c r="AJ555" s="214" t="str">
        <f t="shared" si="253"/>
        <v/>
      </c>
      <c r="AK555" s="214" t="str">
        <f t="shared" si="254"/>
        <v/>
      </c>
      <c r="AL555" s="214" t="str">
        <f t="shared" si="255"/>
        <v/>
      </c>
      <c r="AM555" s="214" t="str">
        <f t="shared" si="256"/>
        <v/>
      </c>
      <c r="AN555" s="213" t="str">
        <f t="shared" si="239"/>
        <v>2012</v>
      </c>
      <c r="AO555" s="213" t="str">
        <f t="shared" si="240"/>
        <v>2012</v>
      </c>
      <c r="AP555" s="213" t="str">
        <f t="shared" si="241"/>
        <v>2012</v>
      </c>
      <c r="AQ555" s="215" t="str">
        <f t="shared" si="242"/>
        <v/>
      </c>
      <c r="AR555" s="216" t="str">
        <f t="shared" si="243"/>
        <v>BiK81X1K12--04</v>
      </c>
      <c r="AS555" s="215" t="str">
        <f t="shared" si="244"/>
        <v/>
      </c>
      <c r="AT555">
        <f t="shared" si="245"/>
        <v>14</v>
      </c>
      <c r="AU555" s="216" t="str">
        <f t="shared" si="246"/>
        <v>0-0,15 MW, Bonusregeln X1 und K erstmals 2012</v>
      </c>
      <c r="AV555" s="215" t="str">
        <f t="shared" si="247"/>
        <v/>
      </c>
      <c r="AW555" s="216" t="str">
        <f t="shared" si="248"/>
        <v>Anteil KWK, erstmals 2012</v>
      </c>
      <c r="AX555" s="215" t="str">
        <f t="shared" si="249"/>
        <v/>
      </c>
      <c r="AY555" t="str">
        <f t="shared" si="250"/>
        <v/>
      </c>
      <c r="AZ555" t="str">
        <f t="shared" si="251"/>
        <v>x</v>
      </c>
    </row>
    <row r="556" spans="1:52" s="178" customFormat="1" x14ac:dyDescent="0.25">
      <c r="A556" s="610" t="s">
        <v>2713</v>
      </c>
      <c r="B556" s="30" t="s">
        <v>5548</v>
      </c>
      <c r="C556" s="30" t="s">
        <v>4809</v>
      </c>
      <c r="D556" s="30" t="s">
        <v>6852</v>
      </c>
      <c r="E556" s="30" t="s">
        <v>4810</v>
      </c>
      <c r="F556" s="454">
        <f t="shared" si="258"/>
        <v>25.67</v>
      </c>
      <c r="G556" s="529">
        <v>25.67</v>
      </c>
      <c r="H556" s="487">
        <f t="shared" si="259"/>
        <v>20.54</v>
      </c>
      <c r="I556" s="706"/>
      <c r="J556" s="669" t="s">
        <v>5805</v>
      </c>
      <c r="K556" s="15"/>
      <c r="L556"/>
      <c r="M556" s="49">
        <f t="shared" si="260"/>
        <v>25.67</v>
      </c>
      <c r="N556" s="41">
        <v>11.67</v>
      </c>
      <c r="O556" s="187"/>
      <c r="P556" s="183"/>
      <c r="Q556" s="184"/>
      <c r="R556" s="184"/>
      <c r="S556" s="184" t="s">
        <v>4180</v>
      </c>
      <c r="T556" s="178" t="s">
        <v>4180</v>
      </c>
      <c r="U556" s="185" t="s">
        <v>1017</v>
      </c>
      <c r="V556" s="184"/>
      <c r="W556" s="180"/>
      <c r="X556" s="180"/>
      <c r="AA556" s="180"/>
      <c r="AC556" s="184" t="s">
        <v>1017</v>
      </c>
      <c r="AD556" s="201"/>
      <c r="AE556" s="181"/>
      <c r="AF556" s="180"/>
      <c r="AG556" s="201"/>
      <c r="AH556" s="212" t="str">
        <f t="shared" ref="AH556:AH561" si="262">IF(ISERROR(SEARCH("K erstmals 201",D556)),"",RIGHT(D556,4))</f>
        <v/>
      </c>
      <c r="AI556" s="214" t="str">
        <f t="shared" si="252"/>
        <v/>
      </c>
      <c r="AJ556" s="214" t="str">
        <f t="shared" si="253"/>
        <v/>
      </c>
      <c r="AK556" s="214" t="str">
        <f t="shared" si="254"/>
        <v/>
      </c>
      <c r="AL556" s="214" t="str">
        <f t="shared" si="255"/>
        <v/>
      </c>
      <c r="AM556" s="214" t="str">
        <f t="shared" si="256"/>
        <v/>
      </c>
      <c r="AN556" s="213" t="str">
        <f t="shared" si="239"/>
        <v/>
      </c>
      <c r="AO556" s="213" t="str">
        <f t="shared" si="240"/>
        <v/>
      </c>
      <c r="AP556" s="213" t="str">
        <f t="shared" si="241"/>
        <v/>
      </c>
      <c r="AQ556" s="215" t="str">
        <f t="shared" si="242"/>
        <v/>
      </c>
      <c r="AR556" s="216" t="str">
        <f t="shared" si="243"/>
        <v>BiK81X1y----04</v>
      </c>
      <c r="AS556" s="215" t="str">
        <f t="shared" si="244"/>
        <v/>
      </c>
      <c r="AT556">
        <f t="shared" si="245"/>
        <v>14</v>
      </c>
      <c r="AU556" s="216" t="str">
        <f t="shared" si="246"/>
        <v>0-0,15 MW, Bonusregeln X1, y</v>
      </c>
      <c r="AV556" s="215" t="str">
        <f t="shared" si="247"/>
        <v/>
      </c>
      <c r="AW556" s="216" t="str">
        <f t="shared" si="248"/>
        <v>Anteil Nicht-KWK</v>
      </c>
      <c r="AX556" s="215" t="str">
        <f t="shared" si="249"/>
        <v/>
      </c>
      <c r="AY556" t="str">
        <f t="shared" si="250"/>
        <v/>
      </c>
      <c r="AZ556" t="str">
        <f t="shared" si="251"/>
        <v/>
      </c>
    </row>
    <row r="557" spans="1:52" s="178" customFormat="1" x14ac:dyDescent="0.25">
      <c r="A557" s="610" t="s">
        <v>2714</v>
      </c>
      <c r="B557" s="30" t="s">
        <v>5548</v>
      </c>
      <c r="C557" s="30" t="s">
        <v>4809</v>
      </c>
      <c r="D557" s="30" t="s">
        <v>6906</v>
      </c>
      <c r="E557" s="30" t="s">
        <v>4812</v>
      </c>
      <c r="F557" s="454">
        <f t="shared" si="258"/>
        <v>27.67</v>
      </c>
      <c r="G557" s="529">
        <v>27.67</v>
      </c>
      <c r="H557" s="487">
        <f t="shared" si="259"/>
        <v>22.14</v>
      </c>
      <c r="I557" s="706"/>
      <c r="J557" s="669" t="s">
        <v>5805</v>
      </c>
      <c r="K557" s="15"/>
      <c r="L557"/>
      <c r="M557" s="49">
        <f t="shared" si="260"/>
        <v>27.67</v>
      </c>
      <c r="N557" s="41">
        <v>11.67</v>
      </c>
      <c r="O557" s="187" t="s">
        <v>1017</v>
      </c>
      <c r="P557" s="183"/>
      <c r="Q557" s="184"/>
      <c r="R557" s="184"/>
      <c r="S557" s="184" t="s">
        <v>4180</v>
      </c>
      <c r="T557" s="178" t="s">
        <v>4180</v>
      </c>
      <c r="U557" s="185" t="s">
        <v>1017</v>
      </c>
      <c r="V557" s="184"/>
      <c r="W557" s="180"/>
      <c r="X557" s="180"/>
      <c r="AA557" s="180"/>
      <c r="AC557" s="184" t="s">
        <v>1017</v>
      </c>
      <c r="AD557" s="201"/>
      <c r="AE557" s="181"/>
      <c r="AF557" s="180"/>
      <c r="AG557" s="201"/>
      <c r="AH557" s="212" t="str">
        <f t="shared" si="262"/>
        <v/>
      </c>
      <c r="AI557" s="214" t="str">
        <f t="shared" si="252"/>
        <v/>
      </c>
      <c r="AJ557" s="214" t="str">
        <f t="shared" si="253"/>
        <v/>
      </c>
      <c r="AK557" s="214" t="str">
        <f t="shared" si="254"/>
        <v/>
      </c>
      <c r="AL557" s="214" t="str">
        <f t="shared" si="255"/>
        <v/>
      </c>
      <c r="AM557" s="214" t="str">
        <f t="shared" si="256"/>
        <v/>
      </c>
      <c r="AN557" s="213" t="str">
        <f t="shared" si="239"/>
        <v/>
      </c>
      <c r="AO557" s="213" t="str">
        <f t="shared" si="240"/>
        <v/>
      </c>
      <c r="AP557" s="213" t="str">
        <f t="shared" si="241"/>
        <v/>
      </c>
      <c r="AQ557" s="215" t="str">
        <f t="shared" si="242"/>
        <v/>
      </c>
      <c r="AR557" s="216" t="str">
        <f t="shared" si="243"/>
        <v>BiK81X1KWKy-04</v>
      </c>
      <c r="AS557" s="215" t="str">
        <f t="shared" si="244"/>
        <v/>
      </c>
      <c r="AT557">
        <f t="shared" si="245"/>
        <v>14</v>
      </c>
      <c r="AU557" s="216" t="str">
        <f t="shared" si="246"/>
        <v>0-0,15 MW, Bonusregeln X1, y und KWK</v>
      </c>
      <c r="AV557" s="215" t="str">
        <f t="shared" si="247"/>
        <v/>
      </c>
      <c r="AW557" s="216" t="str">
        <f t="shared" si="248"/>
        <v>Anteil KWK</v>
      </c>
      <c r="AX557" s="215" t="str">
        <f t="shared" si="249"/>
        <v/>
      </c>
      <c r="AY557" t="str">
        <f t="shared" si="250"/>
        <v/>
      </c>
      <c r="AZ557" t="str">
        <f t="shared" si="251"/>
        <v/>
      </c>
    </row>
    <row r="558" spans="1:52" s="178" customFormat="1" x14ac:dyDescent="0.25">
      <c r="A558" s="610" t="s">
        <v>4784</v>
      </c>
      <c r="B558" s="30" t="s">
        <v>5548</v>
      </c>
      <c r="C558" s="30" t="s">
        <v>4809</v>
      </c>
      <c r="D558" s="109" t="s">
        <v>6853</v>
      </c>
      <c r="E558" s="30" t="s">
        <v>4331</v>
      </c>
      <c r="F558" s="454">
        <f t="shared" si="258"/>
        <v>28.67</v>
      </c>
      <c r="G558" s="529">
        <v>28.67</v>
      </c>
      <c r="H558" s="487">
        <f t="shared" si="259"/>
        <v>22.94</v>
      </c>
      <c r="I558" s="706"/>
      <c r="J558" s="669" t="s">
        <v>5805</v>
      </c>
      <c r="K558" s="15"/>
      <c r="L558"/>
      <c r="M558" s="49">
        <f t="shared" si="260"/>
        <v>28.67</v>
      </c>
      <c r="N558" s="41">
        <v>11.67</v>
      </c>
      <c r="O558" s="187"/>
      <c r="P558" s="184" t="s">
        <v>1017</v>
      </c>
      <c r="Q558" s="184"/>
      <c r="R558" s="184"/>
      <c r="S558" s="184" t="s">
        <v>4180</v>
      </c>
      <c r="T558" s="178" t="s">
        <v>4180</v>
      </c>
      <c r="U558" s="185" t="s">
        <v>1017</v>
      </c>
      <c r="V558" s="184"/>
      <c r="W558" s="180"/>
      <c r="X558" s="180"/>
      <c r="AA558" s="180"/>
      <c r="AC558" s="184" t="s">
        <v>1017</v>
      </c>
      <c r="AD558" s="201"/>
      <c r="AE558" s="181"/>
      <c r="AF558" s="180"/>
      <c r="AG558" s="201"/>
      <c r="AH558" s="212" t="str">
        <f t="shared" si="262"/>
        <v/>
      </c>
      <c r="AI558" s="214" t="str">
        <f t="shared" si="252"/>
        <v/>
      </c>
      <c r="AJ558" s="214" t="str">
        <f t="shared" si="253"/>
        <v/>
      </c>
      <c r="AK558" s="214" t="str">
        <f t="shared" si="254"/>
        <v/>
      </c>
      <c r="AL558" s="214" t="str">
        <f t="shared" si="255"/>
        <v/>
      </c>
      <c r="AM558" s="214" t="str">
        <f t="shared" si="256"/>
        <v/>
      </c>
      <c r="AN558" s="213" t="str">
        <f t="shared" si="239"/>
        <v/>
      </c>
      <c r="AO558" s="213" t="str">
        <f t="shared" si="240"/>
        <v/>
      </c>
      <c r="AP558" s="213" t="str">
        <f t="shared" si="241"/>
        <v/>
      </c>
      <c r="AQ558" s="215" t="str">
        <f t="shared" si="242"/>
        <v/>
      </c>
      <c r="AR558" s="216" t="str">
        <f t="shared" si="243"/>
        <v>BiK81X1KA3y-04</v>
      </c>
      <c r="AS558" s="215" t="str">
        <f t="shared" si="244"/>
        <v/>
      </c>
      <c r="AT558">
        <f t="shared" si="245"/>
        <v>14</v>
      </c>
      <c r="AU558" s="216" t="str">
        <f t="shared" si="246"/>
        <v>0-0,15 MW, Bonusregeln X1, y und K wenn Anlage 3 erfüllt</v>
      </c>
      <c r="AV558" s="215" t="str">
        <f t="shared" si="247"/>
        <v/>
      </c>
      <c r="AW558" s="216" t="str">
        <f t="shared" si="248"/>
        <v>Anteil KWK gemäß Anlage 3</v>
      </c>
      <c r="AX558" s="215" t="str">
        <f t="shared" si="249"/>
        <v/>
      </c>
      <c r="AY558" t="str">
        <f t="shared" si="250"/>
        <v/>
      </c>
      <c r="AZ558" t="str">
        <f t="shared" si="251"/>
        <v/>
      </c>
    </row>
    <row r="559" spans="1:52" s="178" customFormat="1" x14ac:dyDescent="0.25">
      <c r="A559" s="610" t="s">
        <v>4785</v>
      </c>
      <c r="B559" s="30" t="s">
        <v>5548</v>
      </c>
      <c r="C559" s="30" t="s">
        <v>4809</v>
      </c>
      <c r="D559" s="30" t="s">
        <v>6854</v>
      </c>
      <c r="E559" s="30" t="s">
        <v>674</v>
      </c>
      <c r="F559" s="454">
        <f t="shared" si="258"/>
        <v>28.67</v>
      </c>
      <c r="G559" s="529">
        <v>28.67</v>
      </c>
      <c r="H559" s="487">
        <f t="shared" si="259"/>
        <v>22.94</v>
      </c>
      <c r="I559" s="706"/>
      <c r="J559" s="669" t="s">
        <v>5805</v>
      </c>
      <c r="K559" s="15"/>
      <c r="L559"/>
      <c r="M559" s="49">
        <f t="shared" si="260"/>
        <v>28.67</v>
      </c>
      <c r="N559" s="41">
        <v>11.67</v>
      </c>
      <c r="O559" s="187"/>
      <c r="P559" s="183"/>
      <c r="Q559" s="184" t="s">
        <v>1017</v>
      </c>
      <c r="R559" s="184"/>
      <c r="S559" s="184" t="s">
        <v>4180</v>
      </c>
      <c r="T559" s="178" t="s">
        <v>4180</v>
      </c>
      <c r="U559" s="185" t="s">
        <v>1017</v>
      </c>
      <c r="V559" s="184"/>
      <c r="W559" s="180"/>
      <c r="X559" s="180"/>
      <c r="AA559" s="180"/>
      <c r="AC559" s="184" t="s">
        <v>1017</v>
      </c>
      <c r="AD559" s="201"/>
      <c r="AE559" s="181"/>
      <c r="AF559" s="180"/>
      <c r="AG559" s="201"/>
      <c r="AH559" s="212" t="str">
        <f t="shared" si="262"/>
        <v/>
      </c>
      <c r="AI559" s="214" t="str">
        <f t="shared" si="252"/>
        <v/>
      </c>
      <c r="AJ559" s="214" t="str">
        <f t="shared" si="253"/>
        <v/>
      </c>
      <c r="AK559" s="214" t="str">
        <f t="shared" si="254"/>
        <v/>
      </c>
      <c r="AL559" s="214" t="str">
        <f t="shared" si="255"/>
        <v/>
      </c>
      <c r="AM559" s="214" t="str">
        <f t="shared" si="256"/>
        <v/>
      </c>
      <c r="AN559" s="213" t="str">
        <f t="shared" si="239"/>
        <v/>
      </c>
      <c r="AO559" s="213" t="str">
        <f t="shared" si="240"/>
        <v/>
      </c>
      <c r="AP559" s="213" t="str">
        <f t="shared" si="241"/>
        <v/>
      </c>
      <c r="AQ559" s="215" t="str">
        <f t="shared" si="242"/>
        <v/>
      </c>
      <c r="AR559" s="216" t="str">
        <f t="shared" si="243"/>
        <v>BiK81X1K09y-04</v>
      </c>
      <c r="AS559" s="215" t="str">
        <f t="shared" si="244"/>
        <v/>
      </c>
      <c r="AT559">
        <f t="shared" si="245"/>
        <v>14</v>
      </c>
      <c r="AU559" s="216" t="str">
        <f t="shared" si="246"/>
        <v>0-0,15 MW, Bonusregeln X1, y und K erstmals 2009</v>
      </c>
      <c r="AV559" s="215" t="str">
        <f t="shared" si="247"/>
        <v/>
      </c>
      <c r="AW559" s="216" t="str">
        <f t="shared" si="248"/>
        <v>Anteil KWK, erstmals 2009</v>
      </c>
      <c r="AX559" s="215" t="str">
        <f t="shared" si="249"/>
        <v/>
      </c>
      <c r="AY559" t="str">
        <f t="shared" si="250"/>
        <v/>
      </c>
      <c r="AZ559" t="str">
        <f t="shared" si="251"/>
        <v/>
      </c>
    </row>
    <row r="560" spans="1:52" s="178" customFormat="1" x14ac:dyDescent="0.25">
      <c r="A560" s="610" t="s">
        <v>1639</v>
      </c>
      <c r="B560" s="30" t="s">
        <v>5548</v>
      </c>
      <c r="C560" s="30" t="s">
        <v>4809</v>
      </c>
      <c r="D560" s="30" t="s">
        <v>6855</v>
      </c>
      <c r="E560" s="30" t="s">
        <v>3567</v>
      </c>
      <c r="F560" s="454">
        <f t="shared" si="258"/>
        <v>28.64</v>
      </c>
      <c r="G560" s="529">
        <v>28.64</v>
      </c>
      <c r="H560" s="487">
        <f t="shared" si="259"/>
        <v>22.91</v>
      </c>
      <c r="I560" s="706"/>
      <c r="J560" s="669" t="s">
        <v>5805</v>
      </c>
      <c r="K560" s="15"/>
      <c r="L560"/>
      <c r="M560" s="49">
        <f t="shared" si="260"/>
        <v>28.64</v>
      </c>
      <c r="N560" s="41">
        <v>11.67</v>
      </c>
      <c r="O560" s="187"/>
      <c r="P560" s="183"/>
      <c r="Q560" s="184"/>
      <c r="R560" s="184" t="s">
        <v>1017</v>
      </c>
      <c r="S560" s="184" t="s">
        <v>4180</v>
      </c>
      <c r="T560" s="178" t="s">
        <v>4180</v>
      </c>
      <c r="U560" s="185" t="s">
        <v>1017</v>
      </c>
      <c r="V560" s="184"/>
      <c r="W560" s="180"/>
      <c r="X560" s="180"/>
      <c r="AA560" s="180"/>
      <c r="AC560" s="184" t="s">
        <v>1017</v>
      </c>
      <c r="AD560" s="201"/>
      <c r="AE560" s="181"/>
      <c r="AF560" s="180"/>
      <c r="AG560" s="201"/>
      <c r="AH560" s="212" t="str">
        <f t="shared" si="262"/>
        <v>2010</v>
      </c>
      <c r="AI560" s="214" t="str">
        <f t="shared" si="252"/>
        <v/>
      </c>
      <c r="AJ560" s="214" t="str">
        <f t="shared" si="253"/>
        <v/>
      </c>
      <c r="AK560" s="214" t="str">
        <f t="shared" si="254"/>
        <v/>
      </c>
      <c r="AL560" s="214" t="str">
        <f t="shared" si="255"/>
        <v/>
      </c>
      <c r="AM560" s="214" t="str">
        <f t="shared" si="256"/>
        <v/>
      </c>
      <c r="AN560" s="213" t="str">
        <f t="shared" si="239"/>
        <v>2010</v>
      </c>
      <c r="AO560" s="213" t="str">
        <f t="shared" si="240"/>
        <v>2010</v>
      </c>
      <c r="AP560" s="213" t="str">
        <f t="shared" si="241"/>
        <v>2010</v>
      </c>
      <c r="AQ560" s="215" t="str">
        <f t="shared" si="242"/>
        <v/>
      </c>
      <c r="AR560" s="216" t="str">
        <f t="shared" si="243"/>
        <v>BiK81X1K10y-04</v>
      </c>
      <c r="AS560" s="215" t="str">
        <f t="shared" si="244"/>
        <v/>
      </c>
      <c r="AT560">
        <f t="shared" si="245"/>
        <v>14</v>
      </c>
      <c r="AU560" s="216" t="str">
        <f t="shared" si="246"/>
        <v>0-0,15 MW, Bonusregeln X1, y und K erstmals 2010</v>
      </c>
      <c r="AV560" s="215" t="str">
        <f t="shared" si="247"/>
        <v/>
      </c>
      <c r="AW560" s="216" t="str">
        <f t="shared" si="248"/>
        <v>Anteil KWK, erstmals 2010</v>
      </c>
      <c r="AX560" s="215" t="str">
        <f t="shared" si="249"/>
        <v/>
      </c>
      <c r="AY560" t="str">
        <f t="shared" si="250"/>
        <v/>
      </c>
      <c r="AZ560" t="str">
        <f t="shared" si="251"/>
        <v/>
      </c>
    </row>
    <row r="561" spans="1:52" s="178" customFormat="1" x14ac:dyDescent="0.25">
      <c r="A561" s="610" t="s">
        <v>5254</v>
      </c>
      <c r="B561" s="30" t="s">
        <v>5548</v>
      </c>
      <c r="C561" s="30" t="s">
        <v>4809</v>
      </c>
      <c r="D561" s="30" t="s">
        <v>6856</v>
      </c>
      <c r="E561" s="30" t="s">
        <v>3055</v>
      </c>
      <c r="F561" s="454">
        <f t="shared" si="258"/>
        <v>28.61</v>
      </c>
      <c r="G561" s="529">
        <v>28.61</v>
      </c>
      <c r="H561" s="487">
        <f t="shared" si="259"/>
        <v>22.89</v>
      </c>
      <c r="I561" s="706"/>
      <c r="J561" s="669" t="s">
        <v>5805</v>
      </c>
      <c r="K561" s="15"/>
      <c r="L561"/>
      <c r="M561" s="49">
        <f t="shared" si="260"/>
        <v>28.61</v>
      </c>
      <c r="N561" s="41">
        <v>11.67</v>
      </c>
      <c r="O561" s="187"/>
      <c r="P561" s="183"/>
      <c r="Q561" s="184"/>
      <c r="S561" s="184" t="s">
        <v>1017</v>
      </c>
      <c r="T561" s="178" t="s">
        <v>4180</v>
      </c>
      <c r="U561" s="185" t="s">
        <v>1017</v>
      </c>
      <c r="V561" s="184"/>
      <c r="W561" s="180"/>
      <c r="X561" s="180"/>
      <c r="AA561" s="180"/>
      <c r="AC561" s="184" t="s">
        <v>1017</v>
      </c>
      <c r="AD561" s="201"/>
      <c r="AE561" s="181"/>
      <c r="AF561" s="180"/>
      <c r="AG561" s="201"/>
      <c r="AH561" s="212" t="str">
        <f t="shared" si="262"/>
        <v>2011</v>
      </c>
      <c r="AI561" s="214" t="str">
        <f t="shared" si="252"/>
        <v/>
      </c>
      <c r="AJ561" s="214" t="str">
        <f t="shared" si="253"/>
        <v/>
      </c>
      <c r="AK561" s="214" t="str">
        <f t="shared" si="254"/>
        <v/>
      </c>
      <c r="AL561" s="214" t="str">
        <f t="shared" si="255"/>
        <v/>
      </c>
      <c r="AM561" s="214" t="str">
        <f t="shared" si="256"/>
        <v/>
      </c>
      <c r="AN561" s="213" t="str">
        <f t="shared" si="239"/>
        <v>2011</v>
      </c>
      <c r="AO561" s="213" t="str">
        <f t="shared" si="240"/>
        <v>2011</v>
      </c>
      <c r="AP561" s="213" t="str">
        <f t="shared" si="241"/>
        <v>2011</v>
      </c>
      <c r="AQ561" s="215" t="str">
        <f t="shared" si="242"/>
        <v/>
      </c>
      <c r="AR561" s="216" t="str">
        <f t="shared" si="243"/>
        <v>BiK81X1K11y-04</v>
      </c>
      <c r="AS561" s="215" t="str">
        <f t="shared" si="244"/>
        <v/>
      </c>
      <c r="AT561">
        <f t="shared" si="245"/>
        <v>14</v>
      </c>
      <c r="AU561" s="216" t="str">
        <f t="shared" si="246"/>
        <v>0-0,15 MW, Bonusregeln X1, y und K erstmals 2011</v>
      </c>
      <c r="AV561" s="215" t="str">
        <f t="shared" si="247"/>
        <v/>
      </c>
      <c r="AW561" s="216" t="str">
        <f t="shared" si="248"/>
        <v>Anteil KWK, erstmals 2011</v>
      </c>
      <c r="AX561" s="215" t="str">
        <f t="shared" si="249"/>
        <v/>
      </c>
      <c r="AY561" t="str">
        <f t="shared" si="250"/>
        <v>x</v>
      </c>
      <c r="AZ561" t="str">
        <f t="shared" si="251"/>
        <v/>
      </c>
    </row>
    <row r="562" spans="1:52" s="178" customFormat="1" x14ac:dyDescent="0.25">
      <c r="A562" s="625" t="s">
        <v>3561</v>
      </c>
      <c r="B562" s="219" t="s">
        <v>5548</v>
      </c>
      <c r="C562" s="219" t="s">
        <v>4809</v>
      </c>
      <c r="D562" s="219" t="s">
        <v>6857</v>
      </c>
      <c r="E562" s="219" t="s">
        <v>1980</v>
      </c>
      <c r="F562" s="455">
        <f t="shared" si="258"/>
        <v>28.58</v>
      </c>
      <c r="G562" s="530">
        <v>28.58</v>
      </c>
      <c r="H562" s="488">
        <f t="shared" si="259"/>
        <v>22.86</v>
      </c>
      <c r="I562" s="707"/>
      <c r="J562" s="669" t="s">
        <v>5805</v>
      </c>
      <c r="K562" s="15"/>
      <c r="L562"/>
      <c r="M562" s="49">
        <f t="shared" si="260"/>
        <v>28.58</v>
      </c>
      <c r="N562" s="41">
        <v>11.67</v>
      </c>
      <c r="O562" s="187"/>
      <c r="P562" s="183"/>
      <c r="Q562" s="184"/>
      <c r="S562" s="184" t="s">
        <v>4180</v>
      </c>
      <c r="T562" s="178" t="s">
        <v>1017</v>
      </c>
      <c r="U562" s="185" t="s">
        <v>1017</v>
      </c>
      <c r="V562" s="184"/>
      <c r="W562" s="180"/>
      <c r="X562" s="180"/>
      <c r="AA562" s="180"/>
      <c r="AC562" s="184" t="s">
        <v>1017</v>
      </c>
      <c r="AD562" s="201"/>
      <c r="AE562" s="181"/>
      <c r="AF562" s="180"/>
      <c r="AG562" s="201"/>
      <c r="AH562" s="217" t="s">
        <v>4179</v>
      </c>
      <c r="AI562" s="214" t="str">
        <f t="shared" si="252"/>
        <v/>
      </c>
      <c r="AJ562" s="214" t="str">
        <f t="shared" si="253"/>
        <v/>
      </c>
      <c r="AK562" s="214" t="str">
        <f t="shared" si="254"/>
        <v/>
      </c>
      <c r="AL562" s="214" t="str">
        <f t="shared" si="255"/>
        <v/>
      </c>
      <c r="AM562" s="214" t="str">
        <f t="shared" si="256"/>
        <v/>
      </c>
      <c r="AN562" s="213" t="str">
        <f t="shared" si="239"/>
        <v>2012</v>
      </c>
      <c r="AO562" s="213" t="str">
        <f t="shared" si="240"/>
        <v>2012</v>
      </c>
      <c r="AP562" s="213" t="str">
        <f t="shared" si="241"/>
        <v>2012</v>
      </c>
      <c r="AQ562" s="215" t="str">
        <f t="shared" si="242"/>
        <v/>
      </c>
      <c r="AR562" s="216" t="str">
        <f t="shared" si="243"/>
        <v>BiK81X1K12y-04</v>
      </c>
      <c r="AS562" s="215" t="str">
        <f t="shared" si="244"/>
        <v/>
      </c>
      <c r="AT562">
        <f t="shared" si="245"/>
        <v>14</v>
      </c>
      <c r="AU562" s="216" t="str">
        <f t="shared" si="246"/>
        <v>0-0,15 MW, Bonusregeln X1, y und K erstmals 2012</v>
      </c>
      <c r="AV562" s="215" t="str">
        <f t="shared" si="247"/>
        <v/>
      </c>
      <c r="AW562" s="216" t="str">
        <f t="shared" si="248"/>
        <v>Anteil KWK, erstmals 2012</v>
      </c>
      <c r="AX562" s="215" t="str">
        <f t="shared" si="249"/>
        <v/>
      </c>
      <c r="AY562" t="str">
        <f t="shared" si="250"/>
        <v/>
      </c>
      <c r="AZ562" t="str">
        <f t="shared" si="251"/>
        <v>x</v>
      </c>
    </row>
    <row r="563" spans="1:52" s="178" customFormat="1" x14ac:dyDescent="0.25">
      <c r="A563" s="618" t="s">
        <v>4815</v>
      </c>
      <c r="B563" s="31" t="s">
        <v>5548</v>
      </c>
      <c r="C563" s="31" t="s">
        <v>4809</v>
      </c>
      <c r="D563" s="31" t="s">
        <v>6907</v>
      </c>
      <c r="E563" s="31" t="s">
        <v>4810</v>
      </c>
      <c r="F563" s="460">
        <f t="shared" si="258"/>
        <v>13.67</v>
      </c>
      <c r="G563" s="536">
        <v>13.67</v>
      </c>
      <c r="H563" s="494">
        <f t="shared" si="259"/>
        <v>10.94</v>
      </c>
      <c r="I563" s="713"/>
      <c r="J563" s="669" t="s">
        <v>5805</v>
      </c>
      <c r="K563" s="15"/>
      <c r="L563"/>
      <c r="M563" s="49">
        <f t="shared" si="260"/>
        <v>13.67</v>
      </c>
      <c r="N563" s="41">
        <v>11.67</v>
      </c>
      <c r="O563" s="54"/>
      <c r="P563" s="15"/>
      <c r="Q563"/>
      <c r="R563"/>
      <c r="S563" t="s">
        <v>4180</v>
      </c>
      <c r="T563" s="178" t="s">
        <v>4180</v>
      </c>
      <c r="U563" s="55"/>
      <c r="V563"/>
      <c r="W563" s="65"/>
      <c r="X563" s="65"/>
      <c r="Y563"/>
      <c r="Z563"/>
      <c r="AA563" s="65"/>
      <c r="AB563"/>
      <c r="AC563"/>
      <c r="AD563" s="91"/>
      <c r="AE563" s="124" t="s">
        <v>1017</v>
      </c>
      <c r="AF563" s="65"/>
      <c r="AG563" s="91"/>
      <c r="AH563" s="212" t="str">
        <f t="shared" ref="AH563:AH568" si="263">IF(ISERROR(SEARCH("K erstmals 201",D563)),"",RIGHT(D563,4))</f>
        <v/>
      </c>
      <c r="AI563" s="214" t="str">
        <f t="shared" si="252"/>
        <v/>
      </c>
      <c r="AJ563" s="214" t="str">
        <f t="shared" si="253"/>
        <v/>
      </c>
      <c r="AK563" s="214" t="str">
        <f t="shared" si="254"/>
        <v/>
      </c>
      <c r="AL563" s="214" t="str">
        <f t="shared" si="255"/>
        <v/>
      </c>
      <c r="AM563" s="214" t="str">
        <f t="shared" si="256"/>
        <v/>
      </c>
      <c r="AN563" s="213" t="str">
        <f t="shared" si="239"/>
        <v/>
      </c>
      <c r="AO563" s="213" t="str">
        <f t="shared" si="240"/>
        <v/>
      </c>
      <c r="AP563" s="213" t="str">
        <f t="shared" si="241"/>
        <v/>
      </c>
      <c r="AQ563" s="215" t="str">
        <f t="shared" si="242"/>
        <v/>
      </c>
      <c r="AR563" s="216" t="str">
        <f t="shared" si="243"/>
        <v>BiK81b------04</v>
      </c>
      <c r="AS563" s="215" t="str">
        <f t="shared" si="244"/>
        <v/>
      </c>
      <c r="AT563">
        <f t="shared" si="245"/>
        <v>14</v>
      </c>
      <c r="AU563" s="216" t="str">
        <f t="shared" si="246"/>
        <v>0-0,15 MW, Bonusregel b</v>
      </c>
      <c r="AV563" s="215" t="str">
        <f t="shared" si="247"/>
        <v/>
      </c>
      <c r="AW563" s="216" t="str">
        <f t="shared" si="248"/>
        <v>Anteil Nicht-KWK</v>
      </c>
      <c r="AX563" s="215" t="str">
        <f t="shared" si="249"/>
        <v/>
      </c>
      <c r="AY563" t="str">
        <f t="shared" si="250"/>
        <v/>
      </c>
      <c r="AZ563" t="str">
        <f t="shared" si="251"/>
        <v/>
      </c>
    </row>
    <row r="564" spans="1:52" s="178" customFormat="1" x14ac:dyDescent="0.25">
      <c r="A564" s="618" t="s">
        <v>4816</v>
      </c>
      <c r="B564" s="31" t="s">
        <v>5548</v>
      </c>
      <c r="C564" s="31" t="s">
        <v>4809</v>
      </c>
      <c r="D564" s="33" t="s">
        <v>6908</v>
      </c>
      <c r="E564" s="31" t="s">
        <v>4812</v>
      </c>
      <c r="F564" s="460">
        <f t="shared" si="258"/>
        <v>15.67</v>
      </c>
      <c r="G564" s="536">
        <v>15.67</v>
      </c>
      <c r="H564" s="494">
        <f t="shared" si="259"/>
        <v>12.54</v>
      </c>
      <c r="I564" s="713"/>
      <c r="J564" s="669" t="s">
        <v>5805</v>
      </c>
      <c r="K564" s="15"/>
      <c r="L564"/>
      <c r="M564" s="49">
        <f t="shared" si="260"/>
        <v>15.67</v>
      </c>
      <c r="N564" s="41">
        <v>11.67</v>
      </c>
      <c r="O564" s="54" t="s">
        <v>1017</v>
      </c>
      <c r="P564" s="15"/>
      <c r="Q564"/>
      <c r="R564"/>
      <c r="S564" t="s">
        <v>4180</v>
      </c>
      <c r="T564" s="178" t="s">
        <v>4180</v>
      </c>
      <c r="U564" s="55"/>
      <c r="V564"/>
      <c r="W564" s="65"/>
      <c r="X564" s="65"/>
      <c r="Y564"/>
      <c r="Z564"/>
      <c r="AA564" s="65"/>
      <c r="AB564"/>
      <c r="AC564"/>
      <c r="AD564" s="91"/>
      <c r="AE564" s="124" t="s">
        <v>1017</v>
      </c>
      <c r="AF564" s="65"/>
      <c r="AG564" s="91"/>
      <c r="AH564" s="212" t="str">
        <f t="shared" si="263"/>
        <v/>
      </c>
      <c r="AI564" s="214" t="str">
        <f t="shared" si="252"/>
        <v/>
      </c>
      <c r="AJ564" s="214" t="str">
        <f t="shared" si="253"/>
        <v/>
      </c>
      <c r="AK564" s="214" t="str">
        <f t="shared" si="254"/>
        <v/>
      </c>
      <c r="AL564" s="214" t="str">
        <f t="shared" si="255"/>
        <v/>
      </c>
      <c r="AM564" s="214" t="str">
        <f t="shared" si="256"/>
        <v/>
      </c>
      <c r="AN564" s="213" t="str">
        <f t="shared" si="239"/>
        <v/>
      </c>
      <c r="AO564" s="213" t="str">
        <f t="shared" si="240"/>
        <v/>
      </c>
      <c r="AP564" s="213" t="str">
        <f t="shared" si="241"/>
        <v/>
      </c>
      <c r="AQ564" s="215" t="str">
        <f t="shared" si="242"/>
        <v/>
      </c>
      <c r="AR564" s="216" t="str">
        <f t="shared" si="243"/>
        <v>BiK81bKWK---04</v>
      </c>
      <c r="AS564" s="215" t="str">
        <f t="shared" si="244"/>
        <v/>
      </c>
      <c r="AT564">
        <f t="shared" si="245"/>
        <v>14</v>
      </c>
      <c r="AU564" s="216" t="str">
        <f t="shared" si="246"/>
        <v>0-0,15 MW, Bonusregeln b und KWK</v>
      </c>
      <c r="AV564" s="215" t="str">
        <f t="shared" si="247"/>
        <v/>
      </c>
      <c r="AW564" s="216" t="str">
        <f t="shared" si="248"/>
        <v>Anteil KWK</v>
      </c>
      <c r="AX564" s="215" t="str">
        <f t="shared" si="249"/>
        <v/>
      </c>
      <c r="AY564" t="str">
        <f t="shared" si="250"/>
        <v/>
      </c>
      <c r="AZ564" t="str">
        <f t="shared" si="251"/>
        <v/>
      </c>
    </row>
    <row r="565" spans="1:52" s="178" customFormat="1" x14ac:dyDescent="0.25">
      <c r="A565" s="610" t="s">
        <v>4037</v>
      </c>
      <c r="B565" s="17" t="s">
        <v>5548</v>
      </c>
      <c r="C565" s="17" t="s">
        <v>4809</v>
      </c>
      <c r="D565" s="30" t="s">
        <v>6909</v>
      </c>
      <c r="E565" s="30" t="s">
        <v>4331</v>
      </c>
      <c r="F565" s="454">
        <f t="shared" si="258"/>
        <v>16.670000000000002</v>
      </c>
      <c r="G565" s="529">
        <v>16.670000000000002</v>
      </c>
      <c r="H565" s="487">
        <f t="shared" si="259"/>
        <v>13.34</v>
      </c>
      <c r="I565" s="706"/>
      <c r="J565" s="669" t="s">
        <v>5805</v>
      </c>
      <c r="K565" s="15"/>
      <c r="L565"/>
      <c r="M565" s="49">
        <f t="shared" si="260"/>
        <v>16.670000000000002</v>
      </c>
      <c r="N565" s="41">
        <v>11.67</v>
      </c>
      <c r="O565" s="54"/>
      <c r="P565" t="s">
        <v>1017</v>
      </c>
      <c r="Q565"/>
      <c r="R565"/>
      <c r="S565" t="s">
        <v>4180</v>
      </c>
      <c r="T565" s="178" t="s">
        <v>4180</v>
      </c>
      <c r="U565" s="55"/>
      <c r="V565"/>
      <c r="W565" s="65"/>
      <c r="X565" s="65"/>
      <c r="Y565"/>
      <c r="Z565"/>
      <c r="AA565" s="65"/>
      <c r="AB565"/>
      <c r="AC565"/>
      <c r="AD565" s="91"/>
      <c r="AE565" s="124" t="s">
        <v>1017</v>
      </c>
      <c r="AF565" s="65"/>
      <c r="AG565" s="91"/>
      <c r="AH565" s="212" t="str">
        <f t="shared" si="263"/>
        <v/>
      </c>
      <c r="AI565" s="214" t="str">
        <f t="shared" si="252"/>
        <v/>
      </c>
      <c r="AJ565" s="214" t="str">
        <f t="shared" si="253"/>
        <v/>
      </c>
      <c r="AK565" s="214" t="str">
        <f t="shared" si="254"/>
        <v/>
      </c>
      <c r="AL565" s="214" t="str">
        <f t="shared" si="255"/>
        <v/>
      </c>
      <c r="AM565" s="214" t="str">
        <f t="shared" si="256"/>
        <v/>
      </c>
      <c r="AN565" s="213" t="str">
        <f t="shared" si="239"/>
        <v/>
      </c>
      <c r="AO565" s="213" t="str">
        <f t="shared" si="240"/>
        <v/>
      </c>
      <c r="AP565" s="213" t="str">
        <f t="shared" si="241"/>
        <v/>
      </c>
      <c r="AQ565" s="215" t="str">
        <f t="shared" si="242"/>
        <v/>
      </c>
      <c r="AR565" s="216" t="str">
        <f t="shared" si="243"/>
        <v>BiK81bKA3---04</v>
      </c>
      <c r="AS565" s="215" t="str">
        <f t="shared" si="244"/>
        <v/>
      </c>
      <c r="AT565">
        <f t="shared" si="245"/>
        <v>14</v>
      </c>
      <c r="AU565" s="216" t="str">
        <f t="shared" si="246"/>
        <v>0-0,15 MW, Bonusregeln b und K wenn Anlage 3 erfüllt</v>
      </c>
      <c r="AV565" s="215" t="str">
        <f t="shared" si="247"/>
        <v/>
      </c>
      <c r="AW565" s="216" t="str">
        <f t="shared" si="248"/>
        <v>Anteil KWK gemäß Anlage 3</v>
      </c>
      <c r="AX565" s="215" t="str">
        <f t="shared" si="249"/>
        <v/>
      </c>
      <c r="AY565" t="str">
        <f t="shared" si="250"/>
        <v/>
      </c>
      <c r="AZ565" t="str">
        <f t="shared" si="251"/>
        <v/>
      </c>
    </row>
    <row r="566" spans="1:52" s="178" customFormat="1" x14ac:dyDescent="0.25">
      <c r="A566" s="610" t="s">
        <v>2664</v>
      </c>
      <c r="B566" s="17" t="s">
        <v>5548</v>
      </c>
      <c r="C566" s="17" t="s">
        <v>4809</v>
      </c>
      <c r="D566" s="30" t="s">
        <v>6910</v>
      </c>
      <c r="E566" s="17" t="s">
        <v>674</v>
      </c>
      <c r="F566" s="454">
        <f t="shared" si="258"/>
        <v>16.670000000000002</v>
      </c>
      <c r="G566" s="529">
        <v>16.670000000000002</v>
      </c>
      <c r="H566" s="487">
        <f t="shared" si="259"/>
        <v>13.34</v>
      </c>
      <c r="I566" s="706"/>
      <c r="J566" s="669" t="s">
        <v>5805</v>
      </c>
      <c r="K566" s="15"/>
      <c r="L566"/>
      <c r="M566" s="49">
        <f t="shared" si="260"/>
        <v>16.670000000000002</v>
      </c>
      <c r="N566" s="41">
        <v>11.67</v>
      </c>
      <c r="O566" s="54"/>
      <c r="P566" s="15"/>
      <c r="Q566" t="s">
        <v>1017</v>
      </c>
      <c r="R566"/>
      <c r="S566" t="s">
        <v>4180</v>
      </c>
      <c r="T566" s="178" t="s">
        <v>4180</v>
      </c>
      <c r="U566" s="55"/>
      <c r="V566"/>
      <c r="W566" s="65"/>
      <c r="X566" s="65"/>
      <c r="Y566"/>
      <c r="Z566"/>
      <c r="AA566" s="65"/>
      <c r="AB566"/>
      <c r="AC566"/>
      <c r="AD566" s="91"/>
      <c r="AE566" s="124" t="s">
        <v>1017</v>
      </c>
      <c r="AF566" s="65"/>
      <c r="AG566" s="91"/>
      <c r="AH566" s="212" t="str">
        <f t="shared" si="263"/>
        <v/>
      </c>
      <c r="AI566" s="214" t="str">
        <f t="shared" si="252"/>
        <v/>
      </c>
      <c r="AJ566" s="214" t="str">
        <f t="shared" si="253"/>
        <v/>
      </c>
      <c r="AK566" s="214" t="str">
        <f t="shared" si="254"/>
        <v/>
      </c>
      <c r="AL566" s="214" t="str">
        <f t="shared" si="255"/>
        <v/>
      </c>
      <c r="AM566" s="214" t="str">
        <f t="shared" si="256"/>
        <v/>
      </c>
      <c r="AN566" s="213" t="str">
        <f t="shared" si="239"/>
        <v/>
      </c>
      <c r="AO566" s="213" t="str">
        <f t="shared" si="240"/>
        <v/>
      </c>
      <c r="AP566" s="213" t="str">
        <f t="shared" si="241"/>
        <v/>
      </c>
      <c r="AQ566" s="215" t="str">
        <f t="shared" si="242"/>
        <v/>
      </c>
      <c r="AR566" s="216" t="str">
        <f t="shared" si="243"/>
        <v>BiK81bK09---04</v>
      </c>
      <c r="AS566" s="215" t="str">
        <f t="shared" si="244"/>
        <v/>
      </c>
      <c r="AT566">
        <f t="shared" si="245"/>
        <v>14</v>
      </c>
      <c r="AU566" s="216" t="str">
        <f t="shared" si="246"/>
        <v>0-0,15 MW, Bonusregeln b und K erstmals 2009</v>
      </c>
      <c r="AV566" s="215" t="str">
        <f t="shared" si="247"/>
        <v/>
      </c>
      <c r="AW566" s="216" t="str">
        <f t="shared" si="248"/>
        <v>Anteil KWK, erstmals 2009</v>
      </c>
      <c r="AX566" s="215" t="str">
        <f t="shared" si="249"/>
        <v/>
      </c>
      <c r="AY566" t="str">
        <f t="shared" si="250"/>
        <v/>
      </c>
      <c r="AZ566" t="str">
        <f t="shared" si="251"/>
        <v/>
      </c>
    </row>
    <row r="567" spans="1:52" s="178" customFormat="1" x14ac:dyDescent="0.25">
      <c r="A567" s="610" t="s">
        <v>1640</v>
      </c>
      <c r="B567" s="17" t="s">
        <v>5548</v>
      </c>
      <c r="C567" s="17" t="s">
        <v>4809</v>
      </c>
      <c r="D567" s="30" t="s">
        <v>6911</v>
      </c>
      <c r="E567" s="30" t="s">
        <v>3567</v>
      </c>
      <c r="F567" s="454">
        <f t="shared" si="258"/>
        <v>16.64</v>
      </c>
      <c r="G567" s="529">
        <v>16.64</v>
      </c>
      <c r="H567" s="487">
        <f t="shared" si="259"/>
        <v>13.31</v>
      </c>
      <c r="I567" s="706"/>
      <c r="J567" s="669" t="s">
        <v>5805</v>
      </c>
      <c r="K567" s="15"/>
      <c r="L567"/>
      <c r="M567" s="49">
        <f t="shared" si="260"/>
        <v>16.64</v>
      </c>
      <c r="N567" s="41">
        <v>11.67</v>
      </c>
      <c r="O567" s="54"/>
      <c r="P567" s="15"/>
      <c r="Q567"/>
      <c r="R567" t="s">
        <v>1017</v>
      </c>
      <c r="S567" t="s">
        <v>4180</v>
      </c>
      <c r="T567" s="178" t="s">
        <v>4180</v>
      </c>
      <c r="U567" s="55"/>
      <c r="V567"/>
      <c r="W567" s="65"/>
      <c r="X567" s="65"/>
      <c r="Y567"/>
      <c r="Z567"/>
      <c r="AA567" s="65"/>
      <c r="AB567"/>
      <c r="AC567"/>
      <c r="AD567" s="91"/>
      <c r="AE567" s="124" t="s">
        <v>1017</v>
      </c>
      <c r="AF567" s="65"/>
      <c r="AG567" s="91"/>
      <c r="AH567" s="212" t="str">
        <f t="shared" si="263"/>
        <v>2010</v>
      </c>
      <c r="AI567" s="214" t="str">
        <f t="shared" si="252"/>
        <v/>
      </c>
      <c r="AJ567" s="214" t="str">
        <f t="shared" si="253"/>
        <v/>
      </c>
      <c r="AK567" s="214" t="str">
        <f t="shared" si="254"/>
        <v/>
      </c>
      <c r="AL567" s="214" t="str">
        <f t="shared" si="255"/>
        <v/>
      </c>
      <c r="AM567" s="214" t="str">
        <f t="shared" si="256"/>
        <v/>
      </c>
      <c r="AN567" s="213" t="str">
        <f t="shared" si="239"/>
        <v>2010</v>
      </c>
      <c r="AO567" s="213" t="str">
        <f t="shared" si="240"/>
        <v>2010</v>
      </c>
      <c r="AP567" s="213" t="str">
        <f t="shared" si="241"/>
        <v>2010</v>
      </c>
      <c r="AQ567" s="215" t="str">
        <f t="shared" si="242"/>
        <v/>
      </c>
      <c r="AR567" s="216" t="str">
        <f t="shared" si="243"/>
        <v>BiK81bK10---04</v>
      </c>
      <c r="AS567" s="215" t="str">
        <f t="shared" si="244"/>
        <v/>
      </c>
      <c r="AT567">
        <f t="shared" si="245"/>
        <v>14</v>
      </c>
      <c r="AU567" s="216" t="str">
        <f t="shared" si="246"/>
        <v>0-0,15 MW, Bonusregeln b und K erstmals 2010</v>
      </c>
      <c r="AV567" s="215" t="str">
        <f t="shared" si="247"/>
        <v/>
      </c>
      <c r="AW567" s="216" t="str">
        <f t="shared" si="248"/>
        <v>Anteil KWK, erstmals 2010</v>
      </c>
      <c r="AX567" s="215" t="str">
        <f t="shared" si="249"/>
        <v/>
      </c>
      <c r="AY567" t="str">
        <f t="shared" si="250"/>
        <v/>
      </c>
      <c r="AZ567" t="str">
        <f t="shared" si="251"/>
        <v/>
      </c>
    </row>
    <row r="568" spans="1:52" s="178" customFormat="1" x14ac:dyDescent="0.25">
      <c r="A568" s="610" t="s">
        <v>5255</v>
      </c>
      <c r="B568" s="17" t="s">
        <v>5548</v>
      </c>
      <c r="C568" s="17" t="s">
        <v>4809</v>
      </c>
      <c r="D568" s="30" t="s">
        <v>6912</v>
      </c>
      <c r="E568" s="30" t="s">
        <v>3055</v>
      </c>
      <c r="F568" s="454">
        <f t="shared" si="258"/>
        <v>16.61</v>
      </c>
      <c r="G568" s="529">
        <v>16.61</v>
      </c>
      <c r="H568" s="487">
        <f t="shared" si="259"/>
        <v>13.29</v>
      </c>
      <c r="I568" s="706"/>
      <c r="J568" s="669" t="s">
        <v>5805</v>
      </c>
      <c r="K568" s="15"/>
      <c r="L568"/>
      <c r="M568" s="49">
        <f t="shared" si="260"/>
        <v>16.61</v>
      </c>
      <c r="N568" s="41">
        <v>11.67</v>
      </c>
      <c r="O568" s="54"/>
      <c r="P568" s="15"/>
      <c r="Q568"/>
      <c r="R568"/>
      <c r="S568" t="s">
        <v>1017</v>
      </c>
      <c r="T568" s="178" t="s">
        <v>4180</v>
      </c>
      <c r="U568" s="55"/>
      <c r="V568"/>
      <c r="W568" s="65"/>
      <c r="X568" s="65"/>
      <c r="Y568"/>
      <c r="Z568"/>
      <c r="AA568" s="65"/>
      <c r="AB568"/>
      <c r="AC568"/>
      <c r="AD568" s="91"/>
      <c r="AE568" s="124" t="s">
        <v>1017</v>
      </c>
      <c r="AF568" s="65"/>
      <c r="AG568" s="91"/>
      <c r="AH568" s="212" t="str">
        <f t="shared" si="263"/>
        <v>2011</v>
      </c>
      <c r="AI568" s="214" t="str">
        <f t="shared" si="252"/>
        <v/>
      </c>
      <c r="AJ568" s="214" t="str">
        <f t="shared" si="253"/>
        <v/>
      </c>
      <c r="AK568" s="214" t="str">
        <f t="shared" si="254"/>
        <v/>
      </c>
      <c r="AL568" s="214" t="str">
        <f t="shared" si="255"/>
        <v/>
      </c>
      <c r="AM568" s="214" t="str">
        <f t="shared" si="256"/>
        <v/>
      </c>
      <c r="AN568" s="213" t="str">
        <f t="shared" si="239"/>
        <v>2011</v>
      </c>
      <c r="AO568" s="213" t="str">
        <f t="shared" si="240"/>
        <v>2011</v>
      </c>
      <c r="AP568" s="213" t="str">
        <f t="shared" si="241"/>
        <v>2011</v>
      </c>
      <c r="AQ568" s="215" t="str">
        <f t="shared" si="242"/>
        <v/>
      </c>
      <c r="AR568" s="216" t="str">
        <f t="shared" si="243"/>
        <v>BiK81bK11---04</v>
      </c>
      <c r="AS568" s="215" t="str">
        <f t="shared" si="244"/>
        <v/>
      </c>
      <c r="AT568">
        <f t="shared" si="245"/>
        <v>14</v>
      </c>
      <c r="AU568" s="216" t="str">
        <f t="shared" si="246"/>
        <v>0-0,15 MW, Bonusregeln b und K erstmals 2011</v>
      </c>
      <c r="AV568" s="215" t="str">
        <f t="shared" si="247"/>
        <v/>
      </c>
      <c r="AW568" s="216" t="str">
        <f t="shared" si="248"/>
        <v>Anteil KWK, erstmals 2011</v>
      </c>
      <c r="AX568" s="215" t="str">
        <f t="shared" si="249"/>
        <v/>
      </c>
      <c r="AY568" t="str">
        <f t="shared" si="250"/>
        <v>x</v>
      </c>
      <c r="AZ568" t="str">
        <f t="shared" si="251"/>
        <v/>
      </c>
    </row>
    <row r="569" spans="1:52" s="178" customFormat="1" x14ac:dyDescent="0.25">
      <c r="A569" s="625" t="s">
        <v>3395</v>
      </c>
      <c r="B569" s="221" t="s">
        <v>5548</v>
      </c>
      <c r="C569" s="221" t="s">
        <v>4809</v>
      </c>
      <c r="D569" s="219" t="s">
        <v>6913</v>
      </c>
      <c r="E569" s="219" t="s">
        <v>1980</v>
      </c>
      <c r="F569" s="455">
        <f t="shared" si="258"/>
        <v>16.579999999999998</v>
      </c>
      <c r="G569" s="530">
        <v>16.579999999999998</v>
      </c>
      <c r="H569" s="488">
        <f t="shared" si="259"/>
        <v>13.26</v>
      </c>
      <c r="I569" s="707"/>
      <c r="J569" s="669" t="s">
        <v>5805</v>
      </c>
      <c r="K569" s="15"/>
      <c r="L569"/>
      <c r="M569" s="49">
        <f t="shared" si="260"/>
        <v>16.579999999999998</v>
      </c>
      <c r="N569" s="41">
        <v>11.67</v>
      </c>
      <c r="O569" s="54"/>
      <c r="P569" s="15"/>
      <c r="Q569"/>
      <c r="R569"/>
      <c r="S569" t="s">
        <v>4180</v>
      </c>
      <c r="T569" s="178" t="s">
        <v>1017</v>
      </c>
      <c r="U569" s="55"/>
      <c r="V569"/>
      <c r="W569" s="65"/>
      <c r="X569" s="65"/>
      <c r="Y569"/>
      <c r="Z569"/>
      <c r="AA569" s="65"/>
      <c r="AB569"/>
      <c r="AC569"/>
      <c r="AD569" s="91"/>
      <c r="AE569" s="124" t="s">
        <v>1017</v>
      </c>
      <c r="AF569" s="65"/>
      <c r="AG569" s="91"/>
      <c r="AH569" s="217" t="s">
        <v>4179</v>
      </c>
      <c r="AI569" s="214" t="str">
        <f t="shared" si="252"/>
        <v/>
      </c>
      <c r="AJ569" s="214" t="str">
        <f t="shared" si="253"/>
        <v/>
      </c>
      <c r="AK569" s="214" t="str">
        <f t="shared" si="254"/>
        <v/>
      </c>
      <c r="AL569" s="214" t="str">
        <f t="shared" si="255"/>
        <v/>
      </c>
      <c r="AM569" s="214" t="str">
        <f t="shared" si="256"/>
        <v/>
      </c>
      <c r="AN569" s="213" t="str">
        <f t="shared" si="239"/>
        <v>2012</v>
      </c>
      <c r="AO569" s="213" t="str">
        <f t="shared" si="240"/>
        <v>2012</v>
      </c>
      <c r="AP569" s="213" t="str">
        <f t="shared" si="241"/>
        <v>2012</v>
      </c>
      <c r="AQ569" s="215" t="str">
        <f t="shared" si="242"/>
        <v/>
      </c>
      <c r="AR569" s="216" t="str">
        <f t="shared" si="243"/>
        <v>BiK81bK12---04</v>
      </c>
      <c r="AS569" s="215" t="str">
        <f t="shared" si="244"/>
        <v/>
      </c>
      <c r="AT569">
        <f t="shared" si="245"/>
        <v>14</v>
      </c>
      <c r="AU569" s="216" t="str">
        <f t="shared" si="246"/>
        <v>0-0,15 MW, Bonusregeln b und K erstmals 2012</v>
      </c>
      <c r="AV569" s="215" t="str">
        <f t="shared" si="247"/>
        <v/>
      </c>
      <c r="AW569" s="216" t="str">
        <f t="shared" si="248"/>
        <v>Anteil KWK, erstmals 2012</v>
      </c>
      <c r="AX569" s="215" t="str">
        <f t="shared" si="249"/>
        <v/>
      </c>
      <c r="AY569" t="str">
        <f t="shared" si="250"/>
        <v/>
      </c>
      <c r="AZ569" t="str">
        <f t="shared" si="251"/>
        <v>x</v>
      </c>
    </row>
    <row r="570" spans="1:52" s="178" customFormat="1" x14ac:dyDescent="0.25">
      <c r="A570" s="610" t="s">
        <v>1349</v>
      </c>
      <c r="B570" s="17" t="s">
        <v>5548</v>
      </c>
      <c r="C570" s="17" t="s">
        <v>4809</v>
      </c>
      <c r="D570" s="30" t="s">
        <v>6914</v>
      </c>
      <c r="E570" s="17" t="s">
        <v>4810</v>
      </c>
      <c r="F570" s="454">
        <f t="shared" si="258"/>
        <v>14.67</v>
      </c>
      <c r="G570" s="529">
        <v>14.67</v>
      </c>
      <c r="H570" s="487">
        <f t="shared" si="259"/>
        <v>11.74</v>
      </c>
      <c r="I570" s="706"/>
      <c r="J570" s="669" t="s">
        <v>5805</v>
      </c>
      <c r="K570" s="15"/>
      <c r="L570"/>
      <c r="M570" s="49">
        <f t="shared" si="260"/>
        <v>14.67</v>
      </c>
      <c r="N570" s="41">
        <v>11.67</v>
      </c>
      <c r="O570" s="54"/>
      <c r="P570" s="15"/>
      <c r="Q570"/>
      <c r="R570"/>
      <c r="S570" t="s">
        <v>4180</v>
      </c>
      <c r="T570" s="178" t="s">
        <v>4180</v>
      </c>
      <c r="U570" s="55" t="s">
        <v>1017</v>
      </c>
      <c r="V570"/>
      <c r="W570" s="65"/>
      <c r="X570" s="65"/>
      <c r="Y570"/>
      <c r="Z570"/>
      <c r="AA570" s="65"/>
      <c r="AB570"/>
      <c r="AC570"/>
      <c r="AD570" s="91"/>
      <c r="AE570" s="124" t="s">
        <v>1017</v>
      </c>
      <c r="AF570" s="65"/>
      <c r="AG570" s="91"/>
      <c r="AH570" s="212" t="str">
        <f t="shared" ref="AH570:AH575" si="264">IF(ISERROR(SEARCH("K erstmals 201",D570)),"",RIGHT(D570,4))</f>
        <v/>
      </c>
      <c r="AI570" s="214" t="str">
        <f t="shared" si="252"/>
        <v/>
      </c>
      <c r="AJ570" s="214" t="str">
        <f t="shared" si="253"/>
        <v/>
      </c>
      <c r="AK570" s="214" t="str">
        <f t="shared" si="254"/>
        <v/>
      </c>
      <c r="AL570" s="214" t="str">
        <f t="shared" si="255"/>
        <v/>
      </c>
      <c r="AM570" s="214" t="str">
        <f t="shared" si="256"/>
        <v/>
      </c>
      <c r="AN570" s="213" t="str">
        <f t="shared" si="239"/>
        <v/>
      </c>
      <c r="AO570" s="213" t="str">
        <f t="shared" si="240"/>
        <v/>
      </c>
      <c r="AP570" s="213" t="str">
        <f t="shared" si="241"/>
        <v/>
      </c>
      <c r="AQ570" s="215" t="str">
        <f t="shared" si="242"/>
        <v/>
      </c>
      <c r="AR570" s="216" t="str">
        <f t="shared" si="243"/>
        <v>BiK81by-----04</v>
      </c>
      <c r="AS570" s="215" t="str">
        <f t="shared" si="244"/>
        <v/>
      </c>
      <c r="AT570">
        <f t="shared" si="245"/>
        <v>14</v>
      </c>
      <c r="AU570" s="216" t="str">
        <f t="shared" si="246"/>
        <v>0-0,15 MW, Bonusregeln b, y</v>
      </c>
      <c r="AV570" s="215" t="str">
        <f t="shared" si="247"/>
        <v/>
      </c>
      <c r="AW570" s="216" t="str">
        <f t="shared" si="248"/>
        <v>Anteil Nicht-KWK</v>
      </c>
      <c r="AX570" s="215" t="str">
        <f t="shared" si="249"/>
        <v/>
      </c>
      <c r="AY570" t="str">
        <f t="shared" si="250"/>
        <v/>
      </c>
      <c r="AZ570" t="str">
        <f t="shared" si="251"/>
        <v/>
      </c>
    </row>
    <row r="571" spans="1:52" s="178" customFormat="1" x14ac:dyDescent="0.25">
      <c r="A571" s="610" t="s">
        <v>1350</v>
      </c>
      <c r="B571" s="17" t="s">
        <v>5548</v>
      </c>
      <c r="C571" s="17" t="s">
        <v>4809</v>
      </c>
      <c r="D571" s="30" t="s">
        <v>6915</v>
      </c>
      <c r="E571" s="17" t="s">
        <v>4812</v>
      </c>
      <c r="F571" s="454">
        <f t="shared" si="258"/>
        <v>16.670000000000002</v>
      </c>
      <c r="G571" s="529">
        <v>16.670000000000002</v>
      </c>
      <c r="H571" s="487">
        <f t="shared" si="259"/>
        <v>13.34</v>
      </c>
      <c r="I571" s="706"/>
      <c r="J571" s="669" t="s">
        <v>5805</v>
      </c>
      <c r="K571" s="15"/>
      <c r="L571"/>
      <c r="M571" s="49">
        <f t="shared" si="260"/>
        <v>16.670000000000002</v>
      </c>
      <c r="N571" s="41">
        <v>11.67</v>
      </c>
      <c r="O571" s="54" t="s">
        <v>1017</v>
      </c>
      <c r="P571" s="15"/>
      <c r="Q571"/>
      <c r="R571"/>
      <c r="S571" t="s">
        <v>4180</v>
      </c>
      <c r="T571" s="178" t="s">
        <v>4180</v>
      </c>
      <c r="U571" s="55" t="s">
        <v>1017</v>
      </c>
      <c r="V571"/>
      <c r="W571" s="65"/>
      <c r="X571" s="65"/>
      <c r="Y571"/>
      <c r="Z571"/>
      <c r="AA571" s="65"/>
      <c r="AB571"/>
      <c r="AC571"/>
      <c r="AD571" s="91"/>
      <c r="AE571" s="124" t="s">
        <v>1017</v>
      </c>
      <c r="AF571" s="65"/>
      <c r="AG571" s="91"/>
      <c r="AH571" s="212" t="str">
        <f t="shared" si="264"/>
        <v/>
      </c>
      <c r="AI571" s="214" t="str">
        <f t="shared" si="252"/>
        <v/>
      </c>
      <c r="AJ571" s="214" t="str">
        <f t="shared" si="253"/>
        <v/>
      </c>
      <c r="AK571" s="214" t="str">
        <f t="shared" si="254"/>
        <v/>
      </c>
      <c r="AL571" s="214" t="str">
        <f t="shared" si="255"/>
        <v/>
      </c>
      <c r="AM571" s="214" t="str">
        <f t="shared" si="256"/>
        <v/>
      </c>
      <c r="AN571" s="213" t="str">
        <f t="shared" si="239"/>
        <v/>
      </c>
      <c r="AO571" s="213" t="str">
        <f t="shared" si="240"/>
        <v/>
      </c>
      <c r="AP571" s="213" t="str">
        <f t="shared" si="241"/>
        <v/>
      </c>
      <c r="AQ571" s="215" t="str">
        <f t="shared" si="242"/>
        <v/>
      </c>
      <c r="AR571" s="216" t="str">
        <f t="shared" si="243"/>
        <v>BiK81bKWKy--04</v>
      </c>
      <c r="AS571" s="215" t="str">
        <f t="shared" si="244"/>
        <v/>
      </c>
      <c r="AT571">
        <f t="shared" si="245"/>
        <v>14</v>
      </c>
      <c r="AU571" s="216" t="str">
        <f t="shared" si="246"/>
        <v>0-0,15 MW, Bonusregeln b, y und KWK</v>
      </c>
      <c r="AV571" s="215" t="str">
        <f t="shared" si="247"/>
        <v/>
      </c>
      <c r="AW571" s="216" t="str">
        <f t="shared" si="248"/>
        <v>Anteil KWK</v>
      </c>
      <c r="AX571" s="215" t="str">
        <f t="shared" si="249"/>
        <v/>
      </c>
      <c r="AY571" t="str">
        <f t="shared" si="250"/>
        <v/>
      </c>
      <c r="AZ571" t="str">
        <f t="shared" si="251"/>
        <v/>
      </c>
    </row>
    <row r="572" spans="1:52" s="178" customFormat="1" x14ac:dyDescent="0.25">
      <c r="A572" s="610" t="s">
        <v>1351</v>
      </c>
      <c r="B572" s="17" t="s">
        <v>5548</v>
      </c>
      <c r="C572" s="17" t="s">
        <v>4809</v>
      </c>
      <c r="D572" s="30" t="s">
        <v>6916</v>
      </c>
      <c r="E572" s="30" t="s">
        <v>4331</v>
      </c>
      <c r="F572" s="454">
        <f t="shared" si="258"/>
        <v>17.670000000000002</v>
      </c>
      <c r="G572" s="529">
        <v>17.670000000000002</v>
      </c>
      <c r="H572" s="487">
        <f t="shared" si="259"/>
        <v>14.14</v>
      </c>
      <c r="I572" s="706"/>
      <c r="J572" s="669" t="s">
        <v>5805</v>
      </c>
      <c r="K572" s="15"/>
      <c r="L572"/>
      <c r="M572" s="49">
        <f t="shared" si="260"/>
        <v>17.670000000000002</v>
      </c>
      <c r="N572" s="41">
        <v>11.67</v>
      </c>
      <c r="O572" s="54"/>
      <c r="P572" t="s">
        <v>1017</v>
      </c>
      <c r="Q572"/>
      <c r="R572"/>
      <c r="S572" t="s">
        <v>4180</v>
      </c>
      <c r="T572" s="178" t="s">
        <v>4180</v>
      </c>
      <c r="U572" s="55" t="s">
        <v>1017</v>
      </c>
      <c r="V572"/>
      <c r="W572" s="65"/>
      <c r="X572" s="65"/>
      <c r="Y572"/>
      <c r="Z572"/>
      <c r="AA572" s="65"/>
      <c r="AB572"/>
      <c r="AC572"/>
      <c r="AD572" s="91"/>
      <c r="AE572" s="124" t="s">
        <v>1017</v>
      </c>
      <c r="AF572" s="65"/>
      <c r="AG572" s="91"/>
      <c r="AH572" s="212" t="str">
        <f t="shared" si="264"/>
        <v/>
      </c>
      <c r="AI572" s="214" t="str">
        <f t="shared" si="252"/>
        <v/>
      </c>
      <c r="AJ572" s="214" t="str">
        <f t="shared" si="253"/>
        <v/>
      </c>
      <c r="AK572" s="214" t="str">
        <f t="shared" si="254"/>
        <v/>
      </c>
      <c r="AL572" s="214" t="str">
        <f t="shared" si="255"/>
        <v/>
      </c>
      <c r="AM572" s="214" t="str">
        <f t="shared" si="256"/>
        <v/>
      </c>
      <c r="AN572" s="213" t="str">
        <f t="shared" si="239"/>
        <v/>
      </c>
      <c r="AO572" s="213" t="str">
        <f t="shared" si="240"/>
        <v/>
      </c>
      <c r="AP572" s="213" t="str">
        <f t="shared" si="241"/>
        <v/>
      </c>
      <c r="AQ572" s="215" t="str">
        <f t="shared" si="242"/>
        <v/>
      </c>
      <c r="AR572" s="216" t="str">
        <f t="shared" si="243"/>
        <v>BiK81bKA3y--04</v>
      </c>
      <c r="AS572" s="215" t="str">
        <f t="shared" si="244"/>
        <v/>
      </c>
      <c r="AT572">
        <f t="shared" si="245"/>
        <v>14</v>
      </c>
      <c r="AU572" s="216" t="str">
        <f t="shared" si="246"/>
        <v>0-0,15 MW, Bonusregeln b, y und K wenn Anlage 3 erfüllt</v>
      </c>
      <c r="AV572" s="215" t="str">
        <f t="shared" si="247"/>
        <v/>
      </c>
      <c r="AW572" s="216" t="str">
        <f t="shared" si="248"/>
        <v>Anteil KWK gemäß Anlage 3</v>
      </c>
      <c r="AX572" s="215" t="str">
        <f t="shared" si="249"/>
        <v/>
      </c>
      <c r="AY572" t="str">
        <f t="shared" si="250"/>
        <v/>
      </c>
      <c r="AZ572" t="str">
        <f t="shared" si="251"/>
        <v/>
      </c>
    </row>
    <row r="573" spans="1:52" s="178" customFormat="1" x14ac:dyDescent="0.25">
      <c r="A573" s="610" t="s">
        <v>1352</v>
      </c>
      <c r="B573" s="17" t="s">
        <v>5548</v>
      </c>
      <c r="C573" s="17" t="s">
        <v>4809</v>
      </c>
      <c r="D573" s="30" t="s">
        <v>6917</v>
      </c>
      <c r="E573" s="17" t="s">
        <v>674</v>
      </c>
      <c r="F573" s="454">
        <f t="shared" si="258"/>
        <v>17.670000000000002</v>
      </c>
      <c r="G573" s="529">
        <v>17.670000000000002</v>
      </c>
      <c r="H573" s="487">
        <f t="shared" si="259"/>
        <v>14.14</v>
      </c>
      <c r="I573" s="706"/>
      <c r="J573" s="669" t="s">
        <v>5805</v>
      </c>
      <c r="K573" s="15"/>
      <c r="L573"/>
      <c r="M573" s="49">
        <f t="shared" si="260"/>
        <v>17.670000000000002</v>
      </c>
      <c r="N573" s="41">
        <v>11.67</v>
      </c>
      <c r="O573" s="54"/>
      <c r="P573" s="15"/>
      <c r="Q573" t="s">
        <v>1017</v>
      </c>
      <c r="R573"/>
      <c r="S573" t="s">
        <v>4180</v>
      </c>
      <c r="T573" s="178" t="s">
        <v>4180</v>
      </c>
      <c r="U573" s="55" t="s">
        <v>1017</v>
      </c>
      <c r="V573"/>
      <c r="W573" s="65"/>
      <c r="X573" s="65"/>
      <c r="Y573"/>
      <c r="Z573"/>
      <c r="AA573" s="65"/>
      <c r="AB573"/>
      <c r="AC573"/>
      <c r="AD573" s="91"/>
      <c r="AE573" s="124" t="s">
        <v>1017</v>
      </c>
      <c r="AF573" s="65"/>
      <c r="AG573" s="91"/>
      <c r="AH573" s="212" t="str">
        <f t="shared" si="264"/>
        <v/>
      </c>
      <c r="AI573" s="214" t="str">
        <f t="shared" si="252"/>
        <v/>
      </c>
      <c r="AJ573" s="214" t="str">
        <f t="shared" si="253"/>
        <v/>
      </c>
      <c r="AK573" s="214" t="str">
        <f t="shared" si="254"/>
        <v/>
      </c>
      <c r="AL573" s="214" t="str">
        <f t="shared" si="255"/>
        <v/>
      </c>
      <c r="AM573" s="214" t="str">
        <f t="shared" si="256"/>
        <v/>
      </c>
      <c r="AN573" s="213" t="str">
        <f t="shared" si="239"/>
        <v/>
      </c>
      <c r="AO573" s="213" t="str">
        <f t="shared" si="240"/>
        <v/>
      </c>
      <c r="AP573" s="213" t="str">
        <f t="shared" si="241"/>
        <v/>
      </c>
      <c r="AQ573" s="215" t="str">
        <f t="shared" si="242"/>
        <v/>
      </c>
      <c r="AR573" s="216" t="str">
        <f t="shared" si="243"/>
        <v>BiK81bK09y--04</v>
      </c>
      <c r="AS573" s="215" t="str">
        <f t="shared" si="244"/>
        <v/>
      </c>
      <c r="AT573">
        <f t="shared" si="245"/>
        <v>14</v>
      </c>
      <c r="AU573" s="216" t="str">
        <f t="shared" si="246"/>
        <v>0-0,15 MW, Bonusregeln b, y und K erstmals 2009</v>
      </c>
      <c r="AV573" s="215" t="str">
        <f t="shared" si="247"/>
        <v/>
      </c>
      <c r="AW573" s="216" t="str">
        <f t="shared" si="248"/>
        <v>Anteil KWK, erstmals 2009</v>
      </c>
      <c r="AX573" s="215" t="str">
        <f t="shared" si="249"/>
        <v/>
      </c>
      <c r="AY573" t="str">
        <f t="shared" si="250"/>
        <v/>
      </c>
      <c r="AZ573" t="str">
        <f t="shared" si="251"/>
        <v/>
      </c>
    </row>
    <row r="574" spans="1:52" s="178" customFormat="1" x14ac:dyDescent="0.25">
      <c r="A574" s="610" t="s">
        <v>1641</v>
      </c>
      <c r="B574" s="17" t="s">
        <v>5548</v>
      </c>
      <c r="C574" s="17" t="s">
        <v>4809</v>
      </c>
      <c r="D574" s="30" t="s">
        <v>6918</v>
      </c>
      <c r="E574" s="30" t="s">
        <v>3567</v>
      </c>
      <c r="F574" s="454">
        <f t="shared" si="258"/>
        <v>17.64</v>
      </c>
      <c r="G574" s="529">
        <v>17.64</v>
      </c>
      <c r="H574" s="487">
        <f t="shared" si="259"/>
        <v>14.11</v>
      </c>
      <c r="I574" s="706"/>
      <c r="J574" s="669" t="s">
        <v>5805</v>
      </c>
      <c r="K574" s="15"/>
      <c r="L574"/>
      <c r="M574" s="49">
        <f t="shared" si="260"/>
        <v>17.64</v>
      </c>
      <c r="N574" s="41">
        <v>11.67</v>
      </c>
      <c r="O574" s="54"/>
      <c r="P574" s="15"/>
      <c r="Q574"/>
      <c r="R574" t="s">
        <v>1017</v>
      </c>
      <c r="S574" t="s">
        <v>4180</v>
      </c>
      <c r="T574" s="178" t="s">
        <v>4180</v>
      </c>
      <c r="U574" s="55" t="s">
        <v>1017</v>
      </c>
      <c r="V574"/>
      <c r="W574" s="65"/>
      <c r="X574" s="65"/>
      <c r="Y574"/>
      <c r="Z574"/>
      <c r="AA574" s="65"/>
      <c r="AB574"/>
      <c r="AC574"/>
      <c r="AD574" s="91"/>
      <c r="AE574" s="124" t="s">
        <v>1017</v>
      </c>
      <c r="AF574" s="65"/>
      <c r="AG574" s="91"/>
      <c r="AH574" s="212" t="str">
        <f t="shared" si="264"/>
        <v>2010</v>
      </c>
      <c r="AI574" s="214" t="str">
        <f t="shared" si="252"/>
        <v/>
      </c>
      <c r="AJ574" s="214" t="str">
        <f t="shared" si="253"/>
        <v/>
      </c>
      <c r="AK574" s="214" t="str">
        <f t="shared" si="254"/>
        <v/>
      </c>
      <c r="AL574" s="214" t="str">
        <f t="shared" si="255"/>
        <v/>
      </c>
      <c r="AM574" s="214" t="str">
        <f t="shared" si="256"/>
        <v/>
      </c>
      <c r="AN574" s="213" t="str">
        <f t="shared" si="239"/>
        <v>2010</v>
      </c>
      <c r="AO574" s="213" t="str">
        <f t="shared" si="240"/>
        <v>2010</v>
      </c>
      <c r="AP574" s="213" t="str">
        <f t="shared" si="241"/>
        <v>2010</v>
      </c>
      <c r="AQ574" s="215" t="str">
        <f t="shared" si="242"/>
        <v/>
      </c>
      <c r="AR574" s="216" t="str">
        <f t="shared" si="243"/>
        <v>BiK81bK10y--04</v>
      </c>
      <c r="AS574" s="215" t="str">
        <f t="shared" si="244"/>
        <v/>
      </c>
      <c r="AT574">
        <f t="shared" si="245"/>
        <v>14</v>
      </c>
      <c r="AU574" s="216" t="str">
        <f t="shared" si="246"/>
        <v>0-0,15 MW, Bonusregeln b, y und K erstmals 2010</v>
      </c>
      <c r="AV574" s="215" t="str">
        <f t="shared" si="247"/>
        <v/>
      </c>
      <c r="AW574" s="216" t="str">
        <f t="shared" si="248"/>
        <v>Anteil KWK, erstmals 2010</v>
      </c>
      <c r="AX574" s="215" t="str">
        <f t="shared" si="249"/>
        <v/>
      </c>
      <c r="AY574" t="str">
        <f t="shared" si="250"/>
        <v/>
      </c>
      <c r="AZ574" t="str">
        <f t="shared" si="251"/>
        <v/>
      </c>
    </row>
    <row r="575" spans="1:52" s="178" customFormat="1" x14ac:dyDescent="0.25">
      <c r="A575" s="610" t="s">
        <v>5256</v>
      </c>
      <c r="B575" s="17" t="s">
        <v>5548</v>
      </c>
      <c r="C575" s="17" t="s">
        <v>4809</v>
      </c>
      <c r="D575" s="30" t="s">
        <v>6919</v>
      </c>
      <c r="E575" s="30" t="s">
        <v>3055</v>
      </c>
      <c r="F575" s="454">
        <f t="shared" si="258"/>
        <v>17.61</v>
      </c>
      <c r="G575" s="529">
        <v>17.61</v>
      </c>
      <c r="H575" s="487">
        <f t="shared" si="259"/>
        <v>14.09</v>
      </c>
      <c r="I575" s="706"/>
      <c r="J575" s="669" t="s">
        <v>5805</v>
      </c>
      <c r="K575" s="15"/>
      <c r="L575"/>
      <c r="M575" s="49">
        <f t="shared" si="260"/>
        <v>17.61</v>
      </c>
      <c r="N575" s="41">
        <v>11.67</v>
      </c>
      <c r="O575" s="54"/>
      <c r="P575" s="15"/>
      <c r="Q575"/>
      <c r="R575"/>
      <c r="S575" t="s">
        <v>1017</v>
      </c>
      <c r="T575" s="178" t="s">
        <v>4180</v>
      </c>
      <c r="U575" s="55" t="s">
        <v>1017</v>
      </c>
      <c r="V575"/>
      <c r="W575" s="65"/>
      <c r="X575" s="65"/>
      <c r="Y575"/>
      <c r="Z575"/>
      <c r="AA575" s="65"/>
      <c r="AB575"/>
      <c r="AC575"/>
      <c r="AD575" s="91"/>
      <c r="AE575" s="124" t="s">
        <v>1017</v>
      </c>
      <c r="AF575" s="65"/>
      <c r="AG575" s="91"/>
      <c r="AH575" s="212" t="str">
        <f t="shared" si="264"/>
        <v>2011</v>
      </c>
      <c r="AI575" s="214" t="str">
        <f t="shared" si="252"/>
        <v/>
      </c>
      <c r="AJ575" s="214" t="str">
        <f t="shared" si="253"/>
        <v/>
      </c>
      <c r="AK575" s="214" t="str">
        <f t="shared" si="254"/>
        <v/>
      </c>
      <c r="AL575" s="214" t="str">
        <f t="shared" si="255"/>
        <v/>
      </c>
      <c r="AM575" s="214" t="str">
        <f t="shared" si="256"/>
        <v/>
      </c>
      <c r="AN575" s="213" t="str">
        <f t="shared" si="239"/>
        <v>2011</v>
      </c>
      <c r="AO575" s="213" t="str">
        <f t="shared" si="240"/>
        <v>2011</v>
      </c>
      <c r="AP575" s="213" t="str">
        <f t="shared" si="241"/>
        <v>2011</v>
      </c>
      <c r="AQ575" s="215" t="str">
        <f t="shared" si="242"/>
        <v/>
      </c>
      <c r="AR575" s="216" t="str">
        <f t="shared" si="243"/>
        <v>BiK81bK11y--04</v>
      </c>
      <c r="AS575" s="215" t="str">
        <f t="shared" si="244"/>
        <v/>
      </c>
      <c r="AT575">
        <f t="shared" si="245"/>
        <v>14</v>
      </c>
      <c r="AU575" s="216" t="str">
        <f t="shared" si="246"/>
        <v>0-0,15 MW, Bonusregeln b, y und K erstmals 2011</v>
      </c>
      <c r="AV575" s="215" t="str">
        <f t="shared" si="247"/>
        <v/>
      </c>
      <c r="AW575" s="216" t="str">
        <f t="shared" si="248"/>
        <v>Anteil KWK, erstmals 2011</v>
      </c>
      <c r="AX575" s="215" t="str">
        <f t="shared" si="249"/>
        <v/>
      </c>
      <c r="AY575" t="str">
        <f t="shared" si="250"/>
        <v>x</v>
      </c>
      <c r="AZ575" t="str">
        <f t="shared" si="251"/>
        <v/>
      </c>
    </row>
    <row r="576" spans="1:52" s="178" customFormat="1" x14ac:dyDescent="0.25">
      <c r="A576" s="625" t="s">
        <v>3396</v>
      </c>
      <c r="B576" s="221" t="s">
        <v>5548</v>
      </c>
      <c r="C576" s="221" t="s">
        <v>4809</v>
      </c>
      <c r="D576" s="219" t="s">
        <v>6920</v>
      </c>
      <c r="E576" s="219" t="s">
        <v>1980</v>
      </c>
      <c r="F576" s="455">
        <f t="shared" si="258"/>
        <v>17.579999999999998</v>
      </c>
      <c r="G576" s="530">
        <v>17.579999999999998</v>
      </c>
      <c r="H576" s="488">
        <f t="shared" si="259"/>
        <v>14.06</v>
      </c>
      <c r="I576" s="707"/>
      <c r="J576" s="669" t="s">
        <v>5805</v>
      </c>
      <c r="K576" s="15"/>
      <c r="L576"/>
      <c r="M576" s="49">
        <f t="shared" si="260"/>
        <v>17.579999999999998</v>
      </c>
      <c r="N576" s="41">
        <v>11.67</v>
      </c>
      <c r="O576" s="54"/>
      <c r="P576" s="15"/>
      <c r="Q576"/>
      <c r="R576"/>
      <c r="S576" t="s">
        <v>4180</v>
      </c>
      <c r="T576" s="178" t="s">
        <v>1017</v>
      </c>
      <c r="U576" s="55" t="s">
        <v>1017</v>
      </c>
      <c r="V576"/>
      <c r="W576" s="65"/>
      <c r="X576" s="65"/>
      <c r="Y576"/>
      <c r="Z576"/>
      <c r="AA576" s="65"/>
      <c r="AB576"/>
      <c r="AC576"/>
      <c r="AD576" s="91"/>
      <c r="AE576" s="124" t="s">
        <v>1017</v>
      </c>
      <c r="AF576" s="65"/>
      <c r="AG576" s="91"/>
      <c r="AH576" s="217" t="s">
        <v>4179</v>
      </c>
      <c r="AI576" s="214" t="str">
        <f t="shared" si="252"/>
        <v/>
      </c>
      <c r="AJ576" s="214" t="str">
        <f t="shared" si="253"/>
        <v/>
      </c>
      <c r="AK576" s="214" t="str">
        <f t="shared" si="254"/>
        <v/>
      </c>
      <c r="AL576" s="214" t="str">
        <f t="shared" si="255"/>
        <v/>
      </c>
      <c r="AM576" s="214" t="str">
        <f t="shared" si="256"/>
        <v/>
      </c>
      <c r="AN576" s="213" t="str">
        <f t="shared" si="239"/>
        <v>2012</v>
      </c>
      <c r="AO576" s="213" t="str">
        <f t="shared" si="240"/>
        <v>2012</v>
      </c>
      <c r="AP576" s="213" t="str">
        <f t="shared" si="241"/>
        <v>2012</v>
      </c>
      <c r="AQ576" s="215" t="str">
        <f t="shared" si="242"/>
        <v/>
      </c>
      <c r="AR576" s="216" t="str">
        <f t="shared" si="243"/>
        <v>BiK81bK12y--04</v>
      </c>
      <c r="AS576" s="215" t="str">
        <f t="shared" si="244"/>
        <v/>
      </c>
      <c r="AT576">
        <f t="shared" si="245"/>
        <v>14</v>
      </c>
      <c r="AU576" s="216" t="str">
        <f t="shared" si="246"/>
        <v>0-0,15 MW, Bonusregeln b, y und K erstmals 2012</v>
      </c>
      <c r="AV576" s="215" t="str">
        <f t="shared" si="247"/>
        <v/>
      </c>
      <c r="AW576" s="216" t="str">
        <f t="shared" si="248"/>
        <v>Anteil KWK, erstmals 2012</v>
      </c>
      <c r="AX576" s="215" t="str">
        <f t="shared" si="249"/>
        <v/>
      </c>
      <c r="AY576" t="str">
        <f t="shared" si="250"/>
        <v/>
      </c>
      <c r="AZ576" t="str">
        <f t="shared" si="251"/>
        <v>x</v>
      </c>
    </row>
    <row r="577" spans="1:52" s="178" customFormat="1" x14ac:dyDescent="0.25">
      <c r="A577" s="618" t="s">
        <v>4817</v>
      </c>
      <c r="B577" s="31" t="s">
        <v>5548</v>
      </c>
      <c r="C577" s="31" t="s">
        <v>4809</v>
      </c>
      <c r="D577" s="31" t="s">
        <v>6921</v>
      </c>
      <c r="E577" s="31" t="s">
        <v>4810</v>
      </c>
      <c r="F577" s="460">
        <f t="shared" si="258"/>
        <v>19.670000000000002</v>
      </c>
      <c r="G577" s="536">
        <v>19.670000000000002</v>
      </c>
      <c r="H577" s="494">
        <f t="shared" si="259"/>
        <v>15.74</v>
      </c>
      <c r="I577" s="713"/>
      <c r="J577" s="669" t="s">
        <v>5805</v>
      </c>
      <c r="K577" s="15"/>
      <c r="L577"/>
      <c r="M577" s="49">
        <f t="shared" si="260"/>
        <v>19.670000000000002</v>
      </c>
      <c r="N577" s="41">
        <v>11.67</v>
      </c>
      <c r="O577" s="54"/>
      <c r="P577" s="15"/>
      <c r="Q577"/>
      <c r="R577"/>
      <c r="S577" t="s">
        <v>4180</v>
      </c>
      <c r="T577" s="178" t="s">
        <v>4180</v>
      </c>
      <c r="U577" s="55"/>
      <c r="V577" t="s">
        <v>1017</v>
      </c>
      <c r="W577" s="65"/>
      <c r="X577" s="65"/>
      <c r="Y577"/>
      <c r="Z577"/>
      <c r="AA577" s="65"/>
      <c r="AB577"/>
      <c r="AC577"/>
      <c r="AD577" s="91"/>
      <c r="AE577" s="124" t="s">
        <v>1017</v>
      </c>
      <c r="AF577" s="65"/>
      <c r="AG577" s="91"/>
      <c r="AH577" s="212" t="str">
        <f t="shared" ref="AH577:AH582" si="265">IF(ISERROR(SEARCH("K erstmals 201",D577)),"",RIGHT(D577,4))</f>
        <v/>
      </c>
      <c r="AI577" s="214" t="str">
        <f t="shared" si="252"/>
        <v/>
      </c>
      <c r="AJ577" s="214" t="str">
        <f t="shared" si="253"/>
        <v/>
      </c>
      <c r="AK577" s="214" t="str">
        <f t="shared" si="254"/>
        <v/>
      </c>
      <c r="AL577" s="214" t="str">
        <f t="shared" si="255"/>
        <v/>
      </c>
      <c r="AM577" s="214" t="str">
        <f t="shared" si="256"/>
        <v/>
      </c>
      <c r="AN577" s="213" t="str">
        <f t="shared" si="239"/>
        <v/>
      </c>
      <c r="AO577" s="213" t="str">
        <f t="shared" si="240"/>
        <v/>
      </c>
      <c r="AP577" s="213" t="str">
        <f t="shared" si="241"/>
        <v/>
      </c>
      <c r="AQ577" s="215" t="str">
        <f t="shared" si="242"/>
        <v/>
      </c>
      <c r="AR577" s="216" t="str">
        <f t="shared" si="243"/>
        <v>BiK81a1b----04</v>
      </c>
      <c r="AS577" s="215" t="str">
        <f t="shared" si="244"/>
        <v/>
      </c>
      <c r="AT577">
        <f t="shared" si="245"/>
        <v>14</v>
      </c>
      <c r="AU577" s="216" t="str">
        <f t="shared" si="246"/>
        <v>0-0,15 MW, Bonusregeln a1 und b</v>
      </c>
      <c r="AV577" s="215" t="str">
        <f t="shared" si="247"/>
        <v/>
      </c>
      <c r="AW577" s="216" t="str">
        <f t="shared" si="248"/>
        <v>Anteil Nicht-KWK</v>
      </c>
      <c r="AX577" s="215" t="str">
        <f t="shared" si="249"/>
        <v/>
      </c>
      <c r="AY577" t="str">
        <f t="shared" si="250"/>
        <v/>
      </c>
      <c r="AZ577" t="str">
        <f t="shared" si="251"/>
        <v/>
      </c>
    </row>
    <row r="578" spans="1:52" s="178" customFormat="1" x14ac:dyDescent="0.25">
      <c r="A578" s="618" t="s">
        <v>4783</v>
      </c>
      <c r="B578" s="31" t="s">
        <v>5548</v>
      </c>
      <c r="C578" s="31" t="s">
        <v>4809</v>
      </c>
      <c r="D578" s="31" t="s">
        <v>6922</v>
      </c>
      <c r="E578" s="31" t="s">
        <v>4812</v>
      </c>
      <c r="F578" s="460">
        <f t="shared" si="258"/>
        <v>21.67</v>
      </c>
      <c r="G578" s="536">
        <v>21.67</v>
      </c>
      <c r="H578" s="494">
        <f t="shared" si="259"/>
        <v>17.34</v>
      </c>
      <c r="I578" s="713"/>
      <c r="J578" s="669" t="s">
        <v>5805</v>
      </c>
      <c r="K578" s="15"/>
      <c r="L578"/>
      <c r="M578" s="49">
        <f t="shared" si="260"/>
        <v>21.67</v>
      </c>
      <c r="N578" s="41">
        <v>11.67</v>
      </c>
      <c r="O578" s="54" t="s">
        <v>1017</v>
      </c>
      <c r="P578" s="15"/>
      <c r="Q578"/>
      <c r="R578"/>
      <c r="S578" t="s">
        <v>4180</v>
      </c>
      <c r="T578" s="178" t="s">
        <v>4180</v>
      </c>
      <c r="U578" s="55"/>
      <c r="V578" t="s">
        <v>1017</v>
      </c>
      <c r="W578" s="65"/>
      <c r="X578" s="65"/>
      <c r="Y578"/>
      <c r="Z578"/>
      <c r="AA578" s="65"/>
      <c r="AB578"/>
      <c r="AC578"/>
      <c r="AD578" s="91"/>
      <c r="AE578" s="124" t="s">
        <v>1017</v>
      </c>
      <c r="AF578" s="65"/>
      <c r="AG578" s="91"/>
      <c r="AH578" s="212" t="str">
        <f t="shared" si="265"/>
        <v/>
      </c>
      <c r="AI578" s="214" t="str">
        <f t="shared" si="252"/>
        <v/>
      </c>
      <c r="AJ578" s="214" t="str">
        <f t="shared" si="253"/>
        <v/>
      </c>
      <c r="AK578" s="214" t="str">
        <f t="shared" si="254"/>
        <v/>
      </c>
      <c r="AL578" s="214" t="str">
        <f t="shared" si="255"/>
        <v/>
      </c>
      <c r="AM578" s="214" t="str">
        <f t="shared" si="256"/>
        <v/>
      </c>
      <c r="AN578" s="213" t="str">
        <f t="shared" si="239"/>
        <v/>
      </c>
      <c r="AO578" s="213" t="str">
        <f t="shared" si="240"/>
        <v/>
      </c>
      <c r="AP578" s="213" t="str">
        <f t="shared" si="241"/>
        <v/>
      </c>
      <c r="AQ578" s="215" t="str">
        <f t="shared" si="242"/>
        <v/>
      </c>
      <c r="AR578" s="216" t="str">
        <f t="shared" si="243"/>
        <v>BiK81a1bKWK-04</v>
      </c>
      <c r="AS578" s="215" t="str">
        <f t="shared" si="244"/>
        <v/>
      </c>
      <c r="AT578">
        <f t="shared" si="245"/>
        <v>14</v>
      </c>
      <c r="AU578" s="216" t="str">
        <f t="shared" si="246"/>
        <v>0-0,15 MW, Bonusregeln a1, b und KWK</v>
      </c>
      <c r="AV578" s="215" t="str">
        <f t="shared" si="247"/>
        <v/>
      </c>
      <c r="AW578" s="216" t="str">
        <f t="shared" si="248"/>
        <v>Anteil KWK</v>
      </c>
      <c r="AX578" s="215" t="str">
        <f t="shared" si="249"/>
        <v/>
      </c>
      <c r="AY578" t="str">
        <f t="shared" si="250"/>
        <v/>
      </c>
      <c r="AZ578" t="str">
        <f t="shared" si="251"/>
        <v/>
      </c>
    </row>
    <row r="579" spans="1:52" s="178" customFormat="1" x14ac:dyDescent="0.25">
      <c r="A579" s="610" t="s">
        <v>4337</v>
      </c>
      <c r="B579" s="17" t="s">
        <v>5548</v>
      </c>
      <c r="C579" s="17" t="s">
        <v>4809</v>
      </c>
      <c r="D579" s="30" t="s">
        <v>6923</v>
      </c>
      <c r="E579" s="30" t="s">
        <v>4331</v>
      </c>
      <c r="F579" s="454">
        <f t="shared" si="258"/>
        <v>22.67</v>
      </c>
      <c r="G579" s="529">
        <v>22.67</v>
      </c>
      <c r="H579" s="487">
        <f t="shared" si="259"/>
        <v>18.14</v>
      </c>
      <c r="I579" s="706"/>
      <c r="J579" s="669" t="s">
        <v>5805</v>
      </c>
      <c r="K579" s="15"/>
      <c r="L579"/>
      <c r="M579" s="49">
        <f t="shared" si="260"/>
        <v>22.67</v>
      </c>
      <c r="N579" s="41">
        <v>11.67</v>
      </c>
      <c r="O579" s="54"/>
      <c r="P579" t="s">
        <v>1017</v>
      </c>
      <c r="Q579"/>
      <c r="R579"/>
      <c r="S579" t="s">
        <v>4180</v>
      </c>
      <c r="T579" s="178" t="s">
        <v>4180</v>
      </c>
      <c r="U579" s="55"/>
      <c r="V579" t="s">
        <v>1017</v>
      </c>
      <c r="W579" s="65"/>
      <c r="X579" s="65"/>
      <c r="Y579"/>
      <c r="Z579"/>
      <c r="AA579" s="65"/>
      <c r="AB579"/>
      <c r="AC579"/>
      <c r="AD579" s="91"/>
      <c r="AE579" s="124" t="s">
        <v>1017</v>
      </c>
      <c r="AF579" s="65"/>
      <c r="AG579" s="91"/>
      <c r="AH579" s="212" t="str">
        <f t="shared" si="265"/>
        <v/>
      </c>
      <c r="AI579" s="214" t="str">
        <f t="shared" si="252"/>
        <v/>
      </c>
      <c r="AJ579" s="214" t="str">
        <f t="shared" si="253"/>
        <v/>
      </c>
      <c r="AK579" s="214" t="str">
        <f t="shared" si="254"/>
        <v/>
      </c>
      <c r="AL579" s="214" t="str">
        <f t="shared" si="255"/>
        <v/>
      </c>
      <c r="AM579" s="214" t="str">
        <f t="shared" si="256"/>
        <v/>
      </c>
      <c r="AN579" s="213" t="str">
        <f t="shared" si="239"/>
        <v/>
      </c>
      <c r="AO579" s="213" t="str">
        <f t="shared" si="240"/>
        <v/>
      </c>
      <c r="AP579" s="213" t="str">
        <f t="shared" si="241"/>
        <v/>
      </c>
      <c r="AQ579" s="215" t="str">
        <f t="shared" si="242"/>
        <v/>
      </c>
      <c r="AR579" s="216" t="str">
        <f t="shared" si="243"/>
        <v>BiK81a1bKA3-04</v>
      </c>
      <c r="AS579" s="215" t="str">
        <f t="shared" si="244"/>
        <v/>
      </c>
      <c r="AT579">
        <f t="shared" si="245"/>
        <v>14</v>
      </c>
      <c r="AU579" s="216" t="str">
        <f t="shared" si="246"/>
        <v>0-0,15 MW, Bonusregeln a1, b und K wenn Anlage 3 erfüllt</v>
      </c>
      <c r="AV579" s="215" t="str">
        <f t="shared" si="247"/>
        <v/>
      </c>
      <c r="AW579" s="216" t="str">
        <f t="shared" si="248"/>
        <v>Anteil KWK gemäß Anlage 3</v>
      </c>
      <c r="AX579" s="215" t="str">
        <f t="shared" si="249"/>
        <v/>
      </c>
      <c r="AY579" t="str">
        <f t="shared" si="250"/>
        <v/>
      </c>
      <c r="AZ579" t="str">
        <f t="shared" si="251"/>
        <v/>
      </c>
    </row>
    <row r="580" spans="1:52" s="178" customFormat="1" x14ac:dyDescent="0.25">
      <c r="A580" s="610" t="s">
        <v>2665</v>
      </c>
      <c r="B580" s="17" t="s">
        <v>5548</v>
      </c>
      <c r="C580" s="17" t="s">
        <v>4809</v>
      </c>
      <c r="D580" s="30" t="s">
        <v>6924</v>
      </c>
      <c r="E580" s="17" t="s">
        <v>674</v>
      </c>
      <c r="F580" s="454">
        <f t="shared" si="258"/>
        <v>22.67</v>
      </c>
      <c r="G580" s="529">
        <v>22.67</v>
      </c>
      <c r="H580" s="487">
        <f t="shared" si="259"/>
        <v>18.14</v>
      </c>
      <c r="I580" s="706"/>
      <c r="J580" s="669" t="s">
        <v>5805</v>
      </c>
      <c r="K580" s="15"/>
      <c r="L580"/>
      <c r="M580" s="49">
        <f t="shared" si="260"/>
        <v>22.67</v>
      </c>
      <c r="N580" s="41">
        <v>11.67</v>
      </c>
      <c r="O580" s="54"/>
      <c r="P580" s="15"/>
      <c r="Q580" t="s">
        <v>1017</v>
      </c>
      <c r="R580"/>
      <c r="S580" t="s">
        <v>4180</v>
      </c>
      <c r="T580" s="178" t="s">
        <v>4180</v>
      </c>
      <c r="U580" s="55"/>
      <c r="V580" t="s">
        <v>1017</v>
      </c>
      <c r="W580" s="65"/>
      <c r="X580" s="65"/>
      <c r="Y580"/>
      <c r="Z580"/>
      <c r="AA580" s="65"/>
      <c r="AB580"/>
      <c r="AC580"/>
      <c r="AD580" s="91"/>
      <c r="AE580" s="124" t="s">
        <v>1017</v>
      </c>
      <c r="AF580" s="65"/>
      <c r="AG580" s="91"/>
      <c r="AH580" s="212" t="str">
        <f t="shared" si="265"/>
        <v/>
      </c>
      <c r="AI580" s="214" t="str">
        <f t="shared" si="252"/>
        <v/>
      </c>
      <c r="AJ580" s="214" t="str">
        <f t="shared" si="253"/>
        <v/>
      </c>
      <c r="AK580" s="214" t="str">
        <f t="shared" si="254"/>
        <v/>
      </c>
      <c r="AL580" s="214" t="str">
        <f t="shared" si="255"/>
        <v/>
      </c>
      <c r="AM580" s="214" t="str">
        <f t="shared" si="256"/>
        <v/>
      </c>
      <c r="AN580" s="213" t="str">
        <f t="shared" si="239"/>
        <v/>
      </c>
      <c r="AO580" s="213" t="str">
        <f t="shared" si="240"/>
        <v/>
      </c>
      <c r="AP580" s="213" t="str">
        <f t="shared" si="241"/>
        <v/>
      </c>
      <c r="AQ580" s="215" t="str">
        <f t="shared" si="242"/>
        <v/>
      </c>
      <c r="AR580" s="216" t="str">
        <f t="shared" si="243"/>
        <v>BiK81a1bK09-04</v>
      </c>
      <c r="AS580" s="215" t="str">
        <f t="shared" si="244"/>
        <v/>
      </c>
      <c r="AT580">
        <f t="shared" si="245"/>
        <v>14</v>
      </c>
      <c r="AU580" s="216" t="str">
        <f t="shared" si="246"/>
        <v>0-0,15 MW, Bonusregeln a1, b und K erstmals 2009</v>
      </c>
      <c r="AV580" s="215" t="str">
        <f t="shared" si="247"/>
        <v/>
      </c>
      <c r="AW580" s="216" t="str">
        <f t="shared" si="248"/>
        <v>Anteil KWK, erstmals 2009</v>
      </c>
      <c r="AX580" s="215" t="str">
        <f t="shared" si="249"/>
        <v/>
      </c>
      <c r="AY580" t="str">
        <f t="shared" si="250"/>
        <v/>
      </c>
      <c r="AZ580" t="str">
        <f t="shared" si="251"/>
        <v/>
      </c>
    </row>
    <row r="581" spans="1:52" s="178" customFormat="1" x14ac:dyDescent="0.25">
      <c r="A581" s="610" t="s">
        <v>1642</v>
      </c>
      <c r="B581" s="17" t="s">
        <v>5548</v>
      </c>
      <c r="C581" s="17" t="s">
        <v>4809</v>
      </c>
      <c r="D581" s="30" t="s">
        <v>6925</v>
      </c>
      <c r="E581" s="30" t="s">
        <v>3567</v>
      </c>
      <c r="F581" s="454">
        <f t="shared" si="258"/>
        <v>22.64</v>
      </c>
      <c r="G581" s="529">
        <v>22.64</v>
      </c>
      <c r="H581" s="487">
        <f t="shared" si="259"/>
        <v>18.11</v>
      </c>
      <c r="I581" s="706"/>
      <c r="J581" s="669" t="s">
        <v>5805</v>
      </c>
      <c r="K581" s="15"/>
      <c r="L581"/>
      <c r="M581" s="49">
        <f t="shared" si="260"/>
        <v>22.64</v>
      </c>
      <c r="N581" s="41">
        <v>11.67</v>
      </c>
      <c r="O581" s="54"/>
      <c r="P581" s="15"/>
      <c r="Q581"/>
      <c r="R581" t="s">
        <v>1017</v>
      </c>
      <c r="S581" t="s">
        <v>4180</v>
      </c>
      <c r="T581" s="178" t="s">
        <v>4180</v>
      </c>
      <c r="U581" s="55"/>
      <c r="V581" t="s">
        <v>1017</v>
      </c>
      <c r="W581" s="65"/>
      <c r="X581" s="65"/>
      <c r="Y581"/>
      <c r="Z581"/>
      <c r="AA581" s="65"/>
      <c r="AB581"/>
      <c r="AC581"/>
      <c r="AD581" s="91"/>
      <c r="AE581" s="124" t="s">
        <v>1017</v>
      </c>
      <c r="AF581" s="65"/>
      <c r="AG581" s="91"/>
      <c r="AH581" s="212" t="str">
        <f t="shared" si="265"/>
        <v>2010</v>
      </c>
      <c r="AI581" s="214" t="str">
        <f t="shared" si="252"/>
        <v/>
      </c>
      <c r="AJ581" s="214" t="str">
        <f t="shared" si="253"/>
        <v/>
      </c>
      <c r="AK581" s="214" t="str">
        <f t="shared" si="254"/>
        <v/>
      </c>
      <c r="AL581" s="214" t="str">
        <f t="shared" si="255"/>
        <v/>
      </c>
      <c r="AM581" s="214" t="str">
        <f t="shared" si="256"/>
        <v/>
      </c>
      <c r="AN581" s="213" t="str">
        <f t="shared" si="239"/>
        <v>2010</v>
      </c>
      <c r="AO581" s="213" t="str">
        <f t="shared" si="240"/>
        <v>2010</v>
      </c>
      <c r="AP581" s="213" t="str">
        <f t="shared" si="241"/>
        <v>2010</v>
      </c>
      <c r="AQ581" s="215" t="str">
        <f t="shared" si="242"/>
        <v/>
      </c>
      <c r="AR581" s="216" t="str">
        <f t="shared" si="243"/>
        <v>BiK81a1bK10-04</v>
      </c>
      <c r="AS581" s="215" t="str">
        <f t="shared" si="244"/>
        <v/>
      </c>
      <c r="AT581">
        <f t="shared" si="245"/>
        <v>14</v>
      </c>
      <c r="AU581" s="216" t="str">
        <f t="shared" si="246"/>
        <v>0-0,15 MW, Bonusregeln a1, b und K erstmals 2010</v>
      </c>
      <c r="AV581" s="215" t="str">
        <f t="shared" si="247"/>
        <v/>
      </c>
      <c r="AW581" s="216" t="str">
        <f t="shared" si="248"/>
        <v>Anteil KWK, erstmals 2010</v>
      </c>
      <c r="AX581" s="215" t="str">
        <f t="shared" si="249"/>
        <v/>
      </c>
      <c r="AY581" t="str">
        <f t="shared" si="250"/>
        <v/>
      </c>
      <c r="AZ581" t="str">
        <f t="shared" si="251"/>
        <v/>
      </c>
    </row>
    <row r="582" spans="1:52" s="178" customFormat="1" x14ac:dyDescent="0.25">
      <c r="A582" s="610" t="s">
        <v>5257</v>
      </c>
      <c r="B582" s="17" t="s">
        <v>5548</v>
      </c>
      <c r="C582" s="17" t="s">
        <v>4809</v>
      </c>
      <c r="D582" s="30" t="s">
        <v>6926</v>
      </c>
      <c r="E582" s="30" t="s">
        <v>3055</v>
      </c>
      <c r="F582" s="454">
        <f t="shared" si="258"/>
        <v>22.61</v>
      </c>
      <c r="G582" s="529">
        <v>22.61</v>
      </c>
      <c r="H582" s="487">
        <f t="shared" si="259"/>
        <v>18.09</v>
      </c>
      <c r="I582" s="706"/>
      <c r="J582" s="669" t="s">
        <v>5805</v>
      </c>
      <c r="K582" s="15"/>
      <c r="L582"/>
      <c r="M582" s="49">
        <f t="shared" si="260"/>
        <v>22.61</v>
      </c>
      <c r="N582" s="41">
        <v>11.67</v>
      </c>
      <c r="O582" s="54"/>
      <c r="P582" s="15"/>
      <c r="Q582"/>
      <c r="R582"/>
      <c r="S582" t="s">
        <v>1017</v>
      </c>
      <c r="T582" s="178" t="s">
        <v>4180</v>
      </c>
      <c r="U582" s="55"/>
      <c r="V582" t="s">
        <v>1017</v>
      </c>
      <c r="W582" s="65"/>
      <c r="X582" s="65"/>
      <c r="Y582"/>
      <c r="Z582"/>
      <c r="AA582" s="65"/>
      <c r="AB582"/>
      <c r="AC582"/>
      <c r="AD582" s="91"/>
      <c r="AE582" s="124" t="s">
        <v>1017</v>
      </c>
      <c r="AF582" s="65"/>
      <c r="AG582" s="91"/>
      <c r="AH582" s="212" t="str">
        <f t="shared" si="265"/>
        <v>2011</v>
      </c>
      <c r="AI582" s="214" t="str">
        <f t="shared" si="252"/>
        <v/>
      </c>
      <c r="AJ582" s="214" t="str">
        <f t="shared" si="253"/>
        <v/>
      </c>
      <c r="AK582" s="214" t="str">
        <f t="shared" si="254"/>
        <v/>
      </c>
      <c r="AL582" s="214" t="str">
        <f t="shared" si="255"/>
        <v/>
      </c>
      <c r="AM582" s="214" t="str">
        <f t="shared" si="256"/>
        <v/>
      </c>
      <c r="AN582" s="213" t="str">
        <f t="shared" si="239"/>
        <v>2011</v>
      </c>
      <c r="AO582" s="213" t="str">
        <f t="shared" si="240"/>
        <v>2011</v>
      </c>
      <c r="AP582" s="213" t="str">
        <f t="shared" si="241"/>
        <v>2011</v>
      </c>
      <c r="AQ582" s="215" t="str">
        <f t="shared" si="242"/>
        <v/>
      </c>
      <c r="AR582" s="216" t="str">
        <f t="shared" si="243"/>
        <v>BiK81a1bK11-04</v>
      </c>
      <c r="AS582" s="215" t="str">
        <f t="shared" si="244"/>
        <v/>
      </c>
      <c r="AT582">
        <f t="shared" si="245"/>
        <v>14</v>
      </c>
      <c r="AU582" s="216" t="str">
        <f t="shared" si="246"/>
        <v>0-0,15 MW, Bonusregeln a1, b und K erstmals 2011</v>
      </c>
      <c r="AV582" s="215" t="str">
        <f t="shared" si="247"/>
        <v/>
      </c>
      <c r="AW582" s="216" t="str">
        <f t="shared" si="248"/>
        <v>Anteil KWK, erstmals 2011</v>
      </c>
      <c r="AX582" s="215" t="str">
        <f t="shared" si="249"/>
        <v/>
      </c>
      <c r="AY582" t="str">
        <f t="shared" si="250"/>
        <v>x</v>
      </c>
      <c r="AZ582" t="str">
        <f t="shared" si="251"/>
        <v/>
      </c>
    </row>
    <row r="583" spans="1:52" s="178" customFormat="1" x14ac:dyDescent="0.25">
      <c r="A583" s="625" t="s">
        <v>1507</v>
      </c>
      <c r="B583" s="221" t="s">
        <v>5548</v>
      </c>
      <c r="C583" s="221" t="s">
        <v>4809</v>
      </c>
      <c r="D583" s="219" t="s">
        <v>6927</v>
      </c>
      <c r="E583" s="219" t="s">
        <v>1980</v>
      </c>
      <c r="F583" s="455">
        <f t="shared" si="258"/>
        <v>22.58</v>
      </c>
      <c r="G583" s="530">
        <v>22.58</v>
      </c>
      <c r="H583" s="488">
        <f t="shared" si="259"/>
        <v>18.059999999999999</v>
      </c>
      <c r="I583" s="707"/>
      <c r="J583" s="669" t="s">
        <v>5805</v>
      </c>
      <c r="K583" s="15"/>
      <c r="L583"/>
      <c r="M583" s="49">
        <f t="shared" si="260"/>
        <v>22.58</v>
      </c>
      <c r="N583" s="41">
        <v>11.67</v>
      </c>
      <c r="O583" s="54"/>
      <c r="P583" s="15"/>
      <c r="Q583"/>
      <c r="R583"/>
      <c r="S583" t="s">
        <v>4180</v>
      </c>
      <c r="T583" s="178" t="s">
        <v>1017</v>
      </c>
      <c r="U583" s="55"/>
      <c r="V583" t="s">
        <v>1017</v>
      </c>
      <c r="W583" s="65"/>
      <c r="X583" s="65"/>
      <c r="Y583"/>
      <c r="Z583"/>
      <c r="AA583" s="65"/>
      <c r="AB583"/>
      <c r="AC583"/>
      <c r="AD583" s="91"/>
      <c r="AE583" s="124" t="s">
        <v>1017</v>
      </c>
      <c r="AF583" s="65"/>
      <c r="AG583" s="91"/>
      <c r="AH583" s="217" t="s">
        <v>4179</v>
      </c>
      <c r="AI583" s="214" t="str">
        <f t="shared" si="252"/>
        <v/>
      </c>
      <c r="AJ583" s="214" t="str">
        <f t="shared" si="253"/>
        <v/>
      </c>
      <c r="AK583" s="214" t="str">
        <f t="shared" si="254"/>
        <v/>
      </c>
      <c r="AL583" s="214" t="str">
        <f t="shared" si="255"/>
        <v/>
      </c>
      <c r="AM583" s="214" t="str">
        <f t="shared" si="256"/>
        <v/>
      </c>
      <c r="AN583" s="213" t="str">
        <f t="shared" si="239"/>
        <v>2012</v>
      </c>
      <c r="AO583" s="213" t="str">
        <f t="shared" si="240"/>
        <v>2012</v>
      </c>
      <c r="AP583" s="213" t="str">
        <f t="shared" si="241"/>
        <v>2012</v>
      </c>
      <c r="AQ583" s="215" t="str">
        <f t="shared" si="242"/>
        <v/>
      </c>
      <c r="AR583" s="216" t="str">
        <f t="shared" si="243"/>
        <v>BiK81a1bK12-04</v>
      </c>
      <c r="AS583" s="215" t="str">
        <f t="shared" si="244"/>
        <v/>
      </c>
      <c r="AT583">
        <f t="shared" si="245"/>
        <v>14</v>
      </c>
      <c r="AU583" s="216" t="str">
        <f t="shared" si="246"/>
        <v>0-0,15 MW, Bonusregeln a1, b und K erstmals 2012</v>
      </c>
      <c r="AV583" s="215" t="str">
        <f t="shared" si="247"/>
        <v/>
      </c>
      <c r="AW583" s="216" t="str">
        <f t="shared" si="248"/>
        <v>Anteil KWK, erstmals 2012</v>
      </c>
      <c r="AX583" s="215" t="str">
        <f t="shared" si="249"/>
        <v/>
      </c>
      <c r="AY583" t="str">
        <f t="shared" si="250"/>
        <v/>
      </c>
      <c r="AZ583" t="str">
        <f t="shared" si="251"/>
        <v>x</v>
      </c>
    </row>
    <row r="584" spans="1:52" s="178" customFormat="1" x14ac:dyDescent="0.25">
      <c r="A584" s="610" t="s">
        <v>1353</v>
      </c>
      <c r="B584" s="17" t="s">
        <v>5548</v>
      </c>
      <c r="C584" s="17" t="s">
        <v>4809</v>
      </c>
      <c r="D584" s="30" t="s">
        <v>6928</v>
      </c>
      <c r="E584" s="17" t="s">
        <v>4810</v>
      </c>
      <c r="F584" s="454">
        <f t="shared" si="258"/>
        <v>20.67</v>
      </c>
      <c r="G584" s="529">
        <v>20.67</v>
      </c>
      <c r="H584" s="487">
        <f t="shared" si="259"/>
        <v>16.54</v>
      </c>
      <c r="I584" s="706"/>
      <c r="J584" s="669" t="s">
        <v>5805</v>
      </c>
      <c r="K584" s="15"/>
      <c r="L584"/>
      <c r="M584" s="49">
        <f t="shared" si="260"/>
        <v>20.67</v>
      </c>
      <c r="N584" s="41">
        <v>11.67</v>
      </c>
      <c r="O584" s="54"/>
      <c r="P584" s="15"/>
      <c r="Q584"/>
      <c r="R584"/>
      <c r="S584" t="s">
        <v>4180</v>
      </c>
      <c r="T584" s="178" t="s">
        <v>4180</v>
      </c>
      <c r="U584" s="55" t="s">
        <v>1017</v>
      </c>
      <c r="V584" t="s">
        <v>1017</v>
      </c>
      <c r="W584" s="65"/>
      <c r="X584" s="65"/>
      <c r="Y584"/>
      <c r="Z584"/>
      <c r="AA584" s="65"/>
      <c r="AB584"/>
      <c r="AC584"/>
      <c r="AD584" s="91"/>
      <c r="AE584" s="124" t="s">
        <v>1017</v>
      </c>
      <c r="AF584" s="65"/>
      <c r="AG584" s="91"/>
      <c r="AH584" s="212" t="str">
        <f t="shared" ref="AH584:AH589" si="266">IF(ISERROR(SEARCH("K erstmals 201",D584)),"",RIGHT(D584,4))</f>
        <v/>
      </c>
      <c r="AI584" s="214" t="str">
        <f t="shared" si="252"/>
        <v/>
      </c>
      <c r="AJ584" s="214" t="str">
        <f t="shared" si="253"/>
        <v/>
      </c>
      <c r="AK584" s="214" t="str">
        <f t="shared" si="254"/>
        <v/>
      </c>
      <c r="AL584" s="214" t="str">
        <f t="shared" si="255"/>
        <v/>
      </c>
      <c r="AM584" s="214" t="str">
        <f t="shared" si="256"/>
        <v/>
      </c>
      <c r="AN584" s="213" t="str">
        <f t="shared" si="239"/>
        <v/>
      </c>
      <c r="AO584" s="213" t="str">
        <f t="shared" si="240"/>
        <v/>
      </c>
      <c r="AP584" s="213" t="str">
        <f t="shared" si="241"/>
        <v/>
      </c>
      <c r="AQ584" s="215" t="str">
        <f t="shared" si="242"/>
        <v/>
      </c>
      <c r="AR584" s="216" t="str">
        <f t="shared" si="243"/>
        <v>BiK81a1by---04</v>
      </c>
      <c r="AS584" s="215" t="str">
        <f t="shared" si="244"/>
        <v/>
      </c>
      <c r="AT584">
        <f t="shared" si="245"/>
        <v>14</v>
      </c>
      <c r="AU584" s="216" t="str">
        <f t="shared" si="246"/>
        <v>0-0,15 MW, Bonusregeln a1, b, y</v>
      </c>
      <c r="AV584" s="215" t="str">
        <f t="shared" si="247"/>
        <v/>
      </c>
      <c r="AW584" s="216" t="str">
        <f t="shared" si="248"/>
        <v>Anteil Nicht-KWK</v>
      </c>
      <c r="AX584" s="215" t="str">
        <f t="shared" si="249"/>
        <v/>
      </c>
      <c r="AY584" t="str">
        <f t="shared" si="250"/>
        <v/>
      </c>
      <c r="AZ584" t="str">
        <f t="shared" si="251"/>
        <v/>
      </c>
    </row>
    <row r="585" spans="1:52" s="178" customFormat="1" x14ac:dyDescent="0.25">
      <c r="A585" s="610" t="s">
        <v>1354</v>
      </c>
      <c r="B585" s="17" t="s">
        <v>5548</v>
      </c>
      <c r="C585" s="17" t="s">
        <v>4809</v>
      </c>
      <c r="D585" s="17" t="s">
        <v>6929</v>
      </c>
      <c r="E585" s="17" t="s">
        <v>4812</v>
      </c>
      <c r="F585" s="454">
        <f t="shared" si="258"/>
        <v>22.67</v>
      </c>
      <c r="G585" s="529">
        <v>22.67</v>
      </c>
      <c r="H585" s="487">
        <f t="shared" si="259"/>
        <v>18.14</v>
      </c>
      <c r="I585" s="706"/>
      <c r="J585" s="669" t="s">
        <v>5805</v>
      </c>
      <c r="K585" s="15"/>
      <c r="L585"/>
      <c r="M585" s="49">
        <f t="shared" si="260"/>
        <v>22.67</v>
      </c>
      <c r="N585" s="41">
        <v>11.67</v>
      </c>
      <c r="O585" s="54" t="s">
        <v>1017</v>
      </c>
      <c r="P585" s="15"/>
      <c r="Q585"/>
      <c r="R585"/>
      <c r="S585" t="s">
        <v>4180</v>
      </c>
      <c r="T585" s="178" t="s">
        <v>4180</v>
      </c>
      <c r="U585" s="55" t="s">
        <v>1017</v>
      </c>
      <c r="V585" t="s">
        <v>1017</v>
      </c>
      <c r="W585" s="65"/>
      <c r="X585" s="65"/>
      <c r="Y585"/>
      <c r="Z585"/>
      <c r="AA585" s="65"/>
      <c r="AB585"/>
      <c r="AC585"/>
      <c r="AD585" s="91"/>
      <c r="AE585" s="124" t="s">
        <v>1017</v>
      </c>
      <c r="AF585" s="65"/>
      <c r="AG585" s="91"/>
      <c r="AH585" s="212" t="str">
        <f t="shared" si="266"/>
        <v/>
      </c>
      <c r="AI585" s="214" t="str">
        <f t="shared" si="252"/>
        <v/>
      </c>
      <c r="AJ585" s="214" t="str">
        <f t="shared" si="253"/>
        <v/>
      </c>
      <c r="AK585" s="214" t="str">
        <f t="shared" si="254"/>
        <v/>
      </c>
      <c r="AL585" s="214" t="str">
        <f t="shared" si="255"/>
        <v/>
      </c>
      <c r="AM585" s="214" t="str">
        <f t="shared" si="256"/>
        <v/>
      </c>
      <c r="AN585" s="213" t="str">
        <f t="shared" si="239"/>
        <v/>
      </c>
      <c r="AO585" s="213" t="str">
        <f t="shared" si="240"/>
        <v/>
      </c>
      <c r="AP585" s="213" t="str">
        <f t="shared" si="241"/>
        <v/>
      </c>
      <c r="AQ585" s="215" t="str">
        <f t="shared" si="242"/>
        <v/>
      </c>
      <c r="AR585" s="216" t="str">
        <f t="shared" si="243"/>
        <v>BiK81a1bKWKy04</v>
      </c>
      <c r="AS585" s="215" t="str">
        <f t="shared" si="244"/>
        <v/>
      </c>
      <c r="AT585">
        <f t="shared" si="245"/>
        <v>14</v>
      </c>
      <c r="AU585" s="216" t="str">
        <f t="shared" si="246"/>
        <v>0-0,15 MW, Bonusregeln a1, b, y und KWK</v>
      </c>
      <c r="AV585" s="215" t="str">
        <f t="shared" si="247"/>
        <v/>
      </c>
      <c r="AW585" s="216" t="str">
        <f t="shared" si="248"/>
        <v>Anteil KWK</v>
      </c>
      <c r="AX585" s="215" t="str">
        <f t="shared" si="249"/>
        <v/>
      </c>
      <c r="AY585" t="str">
        <f t="shared" si="250"/>
        <v/>
      </c>
      <c r="AZ585" t="str">
        <f t="shared" si="251"/>
        <v/>
      </c>
    </row>
    <row r="586" spans="1:52" s="178" customFormat="1" x14ac:dyDescent="0.25">
      <c r="A586" s="610" t="s">
        <v>1355</v>
      </c>
      <c r="B586" s="17" t="s">
        <v>5548</v>
      </c>
      <c r="C586" s="17" t="s">
        <v>4809</v>
      </c>
      <c r="D586" s="30" t="s">
        <v>6930</v>
      </c>
      <c r="E586" s="30" t="s">
        <v>4331</v>
      </c>
      <c r="F586" s="454">
        <f t="shared" si="258"/>
        <v>23.67</v>
      </c>
      <c r="G586" s="529">
        <v>23.67</v>
      </c>
      <c r="H586" s="487">
        <f t="shared" si="259"/>
        <v>18.940000000000001</v>
      </c>
      <c r="I586" s="706"/>
      <c r="J586" s="669" t="s">
        <v>5805</v>
      </c>
      <c r="K586" s="15"/>
      <c r="L586"/>
      <c r="M586" s="49">
        <f t="shared" si="260"/>
        <v>23.67</v>
      </c>
      <c r="N586" s="41">
        <v>11.67</v>
      </c>
      <c r="O586" s="54"/>
      <c r="P586" t="s">
        <v>1017</v>
      </c>
      <c r="Q586"/>
      <c r="R586"/>
      <c r="S586" t="s">
        <v>4180</v>
      </c>
      <c r="T586" s="178" t="s">
        <v>4180</v>
      </c>
      <c r="U586" s="55" t="s">
        <v>1017</v>
      </c>
      <c r="V586" t="s">
        <v>1017</v>
      </c>
      <c r="W586" s="65"/>
      <c r="X586" s="65"/>
      <c r="Y586"/>
      <c r="Z586"/>
      <c r="AA586" s="65"/>
      <c r="AB586"/>
      <c r="AC586"/>
      <c r="AD586" s="91"/>
      <c r="AE586" s="124" t="s">
        <v>1017</v>
      </c>
      <c r="AF586" s="65"/>
      <c r="AG586" s="91"/>
      <c r="AH586" s="212" t="str">
        <f t="shared" si="266"/>
        <v/>
      </c>
      <c r="AI586" s="214" t="str">
        <f t="shared" si="252"/>
        <v/>
      </c>
      <c r="AJ586" s="214" t="str">
        <f t="shared" si="253"/>
        <v/>
      </c>
      <c r="AK586" s="214" t="str">
        <f t="shared" si="254"/>
        <v/>
      </c>
      <c r="AL586" s="214" t="str">
        <f t="shared" si="255"/>
        <v/>
      </c>
      <c r="AM586" s="214" t="str">
        <f t="shared" si="256"/>
        <v/>
      </c>
      <c r="AN586" s="213" t="str">
        <f t="shared" si="239"/>
        <v/>
      </c>
      <c r="AO586" s="213" t="str">
        <f t="shared" si="240"/>
        <v/>
      </c>
      <c r="AP586" s="213" t="str">
        <f t="shared" si="241"/>
        <v/>
      </c>
      <c r="AQ586" s="215" t="str">
        <f t="shared" si="242"/>
        <v/>
      </c>
      <c r="AR586" s="216" t="str">
        <f t="shared" si="243"/>
        <v>BiK81a1bKA3y04</v>
      </c>
      <c r="AS586" s="215" t="str">
        <f t="shared" si="244"/>
        <v/>
      </c>
      <c r="AT586">
        <f t="shared" si="245"/>
        <v>14</v>
      </c>
      <c r="AU586" s="216" t="str">
        <f t="shared" si="246"/>
        <v>0-0,15 MW, Bonusregeln a1, b, y und K wenn Anlage 3 erfüllt</v>
      </c>
      <c r="AV586" s="215" t="str">
        <f t="shared" si="247"/>
        <v/>
      </c>
      <c r="AW586" s="216" t="str">
        <f t="shared" si="248"/>
        <v>Anteil KWK gemäß Anlage 3</v>
      </c>
      <c r="AX586" s="215" t="str">
        <f t="shared" si="249"/>
        <v/>
      </c>
      <c r="AY586" t="str">
        <f t="shared" si="250"/>
        <v/>
      </c>
      <c r="AZ586" t="str">
        <f t="shared" si="251"/>
        <v/>
      </c>
    </row>
    <row r="587" spans="1:52" s="178" customFormat="1" x14ac:dyDescent="0.25">
      <c r="A587" s="610" t="s">
        <v>1356</v>
      </c>
      <c r="B587" s="17" t="s">
        <v>5548</v>
      </c>
      <c r="C587" s="17" t="s">
        <v>4809</v>
      </c>
      <c r="D587" s="30" t="s">
        <v>6931</v>
      </c>
      <c r="E587" s="17" t="s">
        <v>674</v>
      </c>
      <c r="F587" s="454">
        <f t="shared" si="258"/>
        <v>23.67</v>
      </c>
      <c r="G587" s="529">
        <v>23.67</v>
      </c>
      <c r="H587" s="487">
        <f t="shared" si="259"/>
        <v>18.940000000000001</v>
      </c>
      <c r="I587" s="706"/>
      <c r="J587" s="669" t="s">
        <v>5805</v>
      </c>
      <c r="K587" s="15"/>
      <c r="L587"/>
      <c r="M587" s="49">
        <f t="shared" si="260"/>
        <v>23.67</v>
      </c>
      <c r="N587" s="41">
        <v>11.67</v>
      </c>
      <c r="O587" s="54"/>
      <c r="P587" s="15"/>
      <c r="Q587" t="s">
        <v>1017</v>
      </c>
      <c r="R587"/>
      <c r="S587" t="s">
        <v>4180</v>
      </c>
      <c r="T587" s="178" t="s">
        <v>4180</v>
      </c>
      <c r="U587" s="55" t="s">
        <v>1017</v>
      </c>
      <c r="V587" t="s">
        <v>1017</v>
      </c>
      <c r="W587" s="65"/>
      <c r="X587" s="65"/>
      <c r="Y587"/>
      <c r="Z587"/>
      <c r="AA587" s="65"/>
      <c r="AB587"/>
      <c r="AC587"/>
      <c r="AD587" s="91"/>
      <c r="AE587" s="124" t="s">
        <v>1017</v>
      </c>
      <c r="AF587" s="65"/>
      <c r="AG587" s="91"/>
      <c r="AH587" s="212" t="str">
        <f t="shared" si="266"/>
        <v/>
      </c>
      <c r="AI587" s="214" t="str">
        <f t="shared" si="252"/>
        <v/>
      </c>
      <c r="AJ587" s="214" t="str">
        <f t="shared" si="253"/>
        <v/>
      </c>
      <c r="AK587" s="214" t="str">
        <f t="shared" si="254"/>
        <v/>
      </c>
      <c r="AL587" s="214" t="str">
        <f t="shared" si="255"/>
        <v/>
      </c>
      <c r="AM587" s="214" t="str">
        <f t="shared" si="256"/>
        <v/>
      </c>
      <c r="AN587" s="213" t="str">
        <f t="shared" si="239"/>
        <v/>
      </c>
      <c r="AO587" s="213" t="str">
        <f t="shared" si="240"/>
        <v/>
      </c>
      <c r="AP587" s="213" t="str">
        <f t="shared" si="241"/>
        <v/>
      </c>
      <c r="AQ587" s="215" t="str">
        <f t="shared" si="242"/>
        <v/>
      </c>
      <c r="AR587" s="216" t="str">
        <f t="shared" si="243"/>
        <v>BiK81a1bK09y04</v>
      </c>
      <c r="AS587" s="215" t="str">
        <f t="shared" si="244"/>
        <v/>
      </c>
      <c r="AT587">
        <f t="shared" si="245"/>
        <v>14</v>
      </c>
      <c r="AU587" s="216" t="str">
        <f t="shared" si="246"/>
        <v>0-0,15 MW, Bonusregeln a1, b, y und K erstmals 2009</v>
      </c>
      <c r="AV587" s="215" t="str">
        <f t="shared" si="247"/>
        <v/>
      </c>
      <c r="AW587" s="216" t="str">
        <f t="shared" si="248"/>
        <v>Anteil KWK, erstmals 2009</v>
      </c>
      <c r="AX587" s="215" t="str">
        <f t="shared" si="249"/>
        <v/>
      </c>
      <c r="AY587" t="str">
        <f t="shared" si="250"/>
        <v/>
      </c>
      <c r="AZ587" t="str">
        <f t="shared" si="251"/>
        <v/>
      </c>
    </row>
    <row r="588" spans="1:52" s="178" customFormat="1" x14ac:dyDescent="0.25">
      <c r="A588" s="610" t="s">
        <v>1643</v>
      </c>
      <c r="B588" s="17" t="s">
        <v>5548</v>
      </c>
      <c r="C588" s="17" t="s">
        <v>4809</v>
      </c>
      <c r="D588" s="30" t="s">
        <v>6932</v>
      </c>
      <c r="E588" s="30" t="s">
        <v>3567</v>
      </c>
      <c r="F588" s="454">
        <f t="shared" si="258"/>
        <v>23.64</v>
      </c>
      <c r="G588" s="529">
        <v>23.64</v>
      </c>
      <c r="H588" s="487">
        <f t="shared" si="259"/>
        <v>18.91</v>
      </c>
      <c r="I588" s="706"/>
      <c r="J588" s="669" t="s">
        <v>5805</v>
      </c>
      <c r="K588" s="15"/>
      <c r="L588"/>
      <c r="M588" s="49">
        <f t="shared" si="260"/>
        <v>23.64</v>
      </c>
      <c r="N588" s="41">
        <v>11.67</v>
      </c>
      <c r="O588" s="54"/>
      <c r="P588" s="15"/>
      <c r="Q588"/>
      <c r="R588" t="s">
        <v>1017</v>
      </c>
      <c r="S588" t="s">
        <v>4180</v>
      </c>
      <c r="T588" s="178" t="s">
        <v>4180</v>
      </c>
      <c r="U588" s="55" t="s">
        <v>1017</v>
      </c>
      <c r="V588" t="s">
        <v>1017</v>
      </c>
      <c r="W588" s="65"/>
      <c r="X588" s="65"/>
      <c r="Y588"/>
      <c r="Z588"/>
      <c r="AA588" s="65"/>
      <c r="AB588"/>
      <c r="AC588"/>
      <c r="AD588" s="91"/>
      <c r="AE588" s="124" t="s">
        <v>1017</v>
      </c>
      <c r="AF588" s="65"/>
      <c r="AG588" s="91"/>
      <c r="AH588" s="212" t="str">
        <f t="shared" si="266"/>
        <v>2010</v>
      </c>
      <c r="AI588" s="214" t="str">
        <f t="shared" si="252"/>
        <v/>
      </c>
      <c r="AJ588" s="214" t="str">
        <f t="shared" si="253"/>
        <v/>
      </c>
      <c r="AK588" s="214" t="str">
        <f t="shared" si="254"/>
        <v/>
      </c>
      <c r="AL588" s="214" t="str">
        <f t="shared" si="255"/>
        <v/>
      </c>
      <c r="AM588" s="214" t="str">
        <f t="shared" si="256"/>
        <v/>
      </c>
      <c r="AN588" s="213" t="str">
        <f t="shared" si="239"/>
        <v>2010</v>
      </c>
      <c r="AO588" s="213" t="str">
        <f t="shared" si="240"/>
        <v>2010</v>
      </c>
      <c r="AP588" s="213" t="str">
        <f t="shared" si="241"/>
        <v>2010</v>
      </c>
      <c r="AQ588" s="215" t="str">
        <f t="shared" si="242"/>
        <v/>
      </c>
      <c r="AR588" s="216" t="str">
        <f t="shared" si="243"/>
        <v>BiK81a1bK10y04</v>
      </c>
      <c r="AS588" s="215" t="str">
        <f t="shared" si="244"/>
        <v/>
      </c>
      <c r="AT588">
        <f t="shared" si="245"/>
        <v>14</v>
      </c>
      <c r="AU588" s="216" t="str">
        <f t="shared" si="246"/>
        <v>0-0,15 MW, Bonusregeln a1, b, y und K erstmals 2010</v>
      </c>
      <c r="AV588" s="215" t="str">
        <f t="shared" si="247"/>
        <v/>
      </c>
      <c r="AW588" s="216" t="str">
        <f t="shared" si="248"/>
        <v>Anteil KWK, erstmals 2010</v>
      </c>
      <c r="AX588" s="215" t="str">
        <f t="shared" si="249"/>
        <v/>
      </c>
      <c r="AY588" t="str">
        <f t="shared" si="250"/>
        <v/>
      </c>
      <c r="AZ588" t="str">
        <f t="shared" si="251"/>
        <v/>
      </c>
    </row>
    <row r="589" spans="1:52" s="178" customFormat="1" x14ac:dyDescent="0.25">
      <c r="A589" s="610" t="s">
        <v>5258</v>
      </c>
      <c r="B589" s="17" t="s">
        <v>5548</v>
      </c>
      <c r="C589" s="17" t="s">
        <v>4809</v>
      </c>
      <c r="D589" s="30" t="s">
        <v>6933</v>
      </c>
      <c r="E589" s="30" t="s">
        <v>3055</v>
      </c>
      <c r="F589" s="454">
        <f t="shared" si="258"/>
        <v>23.61</v>
      </c>
      <c r="G589" s="529">
        <v>23.61</v>
      </c>
      <c r="H589" s="487">
        <f t="shared" si="259"/>
        <v>18.89</v>
      </c>
      <c r="I589" s="706"/>
      <c r="J589" s="669" t="s">
        <v>5805</v>
      </c>
      <c r="K589" s="15"/>
      <c r="L589"/>
      <c r="M589" s="49">
        <f t="shared" si="260"/>
        <v>23.61</v>
      </c>
      <c r="N589" s="41">
        <v>11.67</v>
      </c>
      <c r="O589" s="54"/>
      <c r="P589" s="15"/>
      <c r="Q589"/>
      <c r="R589"/>
      <c r="S589" t="s">
        <v>1017</v>
      </c>
      <c r="T589" s="178" t="s">
        <v>4180</v>
      </c>
      <c r="U589" s="55" t="s">
        <v>1017</v>
      </c>
      <c r="V589" t="s">
        <v>1017</v>
      </c>
      <c r="W589" s="65"/>
      <c r="X589" s="65"/>
      <c r="Y589"/>
      <c r="Z589"/>
      <c r="AA589" s="65"/>
      <c r="AB589"/>
      <c r="AC589"/>
      <c r="AD589" s="91"/>
      <c r="AE589" s="124" t="s">
        <v>1017</v>
      </c>
      <c r="AF589" s="65"/>
      <c r="AG589" s="91"/>
      <c r="AH589" s="212" t="str">
        <f t="shared" si="266"/>
        <v>2011</v>
      </c>
      <c r="AI589" s="214" t="str">
        <f t="shared" si="252"/>
        <v/>
      </c>
      <c r="AJ589" s="214" t="str">
        <f t="shared" si="253"/>
        <v/>
      </c>
      <c r="AK589" s="214" t="str">
        <f t="shared" si="254"/>
        <v/>
      </c>
      <c r="AL589" s="214" t="str">
        <f t="shared" si="255"/>
        <v/>
      </c>
      <c r="AM589" s="214" t="str">
        <f t="shared" si="256"/>
        <v/>
      </c>
      <c r="AN589" s="213" t="str">
        <f t="shared" si="239"/>
        <v>2011</v>
      </c>
      <c r="AO589" s="213" t="str">
        <f t="shared" si="240"/>
        <v>2011</v>
      </c>
      <c r="AP589" s="213" t="str">
        <f t="shared" si="241"/>
        <v>2011</v>
      </c>
      <c r="AQ589" s="215" t="str">
        <f t="shared" si="242"/>
        <v/>
      </c>
      <c r="AR589" s="216" t="str">
        <f t="shared" si="243"/>
        <v>BiK81a1bK11y04</v>
      </c>
      <c r="AS589" s="215" t="str">
        <f t="shared" si="244"/>
        <v/>
      </c>
      <c r="AT589">
        <f t="shared" si="245"/>
        <v>14</v>
      </c>
      <c r="AU589" s="216" t="str">
        <f t="shared" si="246"/>
        <v>0-0,15 MW, Bonusregeln a1, b, y und K erstmals 2011</v>
      </c>
      <c r="AV589" s="215" t="str">
        <f t="shared" si="247"/>
        <v/>
      </c>
      <c r="AW589" s="216" t="str">
        <f t="shared" si="248"/>
        <v>Anteil KWK, erstmals 2011</v>
      </c>
      <c r="AX589" s="215" t="str">
        <f t="shared" si="249"/>
        <v/>
      </c>
      <c r="AY589" t="str">
        <f t="shared" si="250"/>
        <v>x</v>
      </c>
      <c r="AZ589" t="str">
        <f t="shared" si="251"/>
        <v/>
      </c>
    </row>
    <row r="590" spans="1:52" s="178" customFormat="1" x14ac:dyDescent="0.25">
      <c r="A590" s="625" t="s">
        <v>1508</v>
      </c>
      <c r="B590" s="221" t="s">
        <v>5548</v>
      </c>
      <c r="C590" s="221" t="s">
        <v>4809</v>
      </c>
      <c r="D590" s="219" t="s">
        <v>6934</v>
      </c>
      <c r="E590" s="219" t="s">
        <v>1980</v>
      </c>
      <c r="F590" s="455">
        <f t="shared" si="258"/>
        <v>23.58</v>
      </c>
      <c r="G590" s="530">
        <v>23.58</v>
      </c>
      <c r="H590" s="488">
        <f t="shared" si="259"/>
        <v>18.86</v>
      </c>
      <c r="I590" s="707"/>
      <c r="J590" s="669" t="s">
        <v>5805</v>
      </c>
      <c r="K590" s="15"/>
      <c r="L590"/>
      <c r="M590" s="49">
        <f t="shared" si="260"/>
        <v>23.58</v>
      </c>
      <c r="N590" s="41">
        <v>11.67</v>
      </c>
      <c r="O590" s="54"/>
      <c r="P590" s="15"/>
      <c r="Q590"/>
      <c r="R590"/>
      <c r="S590" t="s">
        <v>4180</v>
      </c>
      <c r="T590" s="178" t="s">
        <v>1017</v>
      </c>
      <c r="U590" s="55" t="s">
        <v>1017</v>
      </c>
      <c r="V590" t="s">
        <v>1017</v>
      </c>
      <c r="W590" s="65"/>
      <c r="X590" s="65"/>
      <c r="Y590"/>
      <c r="Z590"/>
      <c r="AA590" s="65"/>
      <c r="AB590"/>
      <c r="AC590"/>
      <c r="AD590" s="91"/>
      <c r="AE590" s="124" t="s">
        <v>1017</v>
      </c>
      <c r="AF590" s="65"/>
      <c r="AG590" s="91"/>
      <c r="AH590" s="217" t="s">
        <v>4179</v>
      </c>
      <c r="AI590" s="214" t="str">
        <f t="shared" si="252"/>
        <v/>
      </c>
      <c r="AJ590" s="214" t="str">
        <f t="shared" si="253"/>
        <v/>
      </c>
      <c r="AK590" s="214" t="str">
        <f t="shared" si="254"/>
        <v/>
      </c>
      <c r="AL590" s="214" t="str">
        <f t="shared" si="255"/>
        <v/>
      </c>
      <c r="AM590" s="214" t="str">
        <f t="shared" si="256"/>
        <v/>
      </c>
      <c r="AN590" s="213" t="str">
        <f t="shared" si="239"/>
        <v>2012</v>
      </c>
      <c r="AO590" s="213" t="str">
        <f t="shared" si="240"/>
        <v>2012</v>
      </c>
      <c r="AP590" s="213" t="str">
        <f t="shared" si="241"/>
        <v>2012</v>
      </c>
      <c r="AQ590" s="215" t="str">
        <f t="shared" si="242"/>
        <v/>
      </c>
      <c r="AR590" s="216" t="str">
        <f t="shared" si="243"/>
        <v>BiK81a1bK12y04</v>
      </c>
      <c r="AS590" s="215" t="str">
        <f t="shared" si="244"/>
        <v/>
      </c>
      <c r="AT590">
        <f t="shared" si="245"/>
        <v>14</v>
      </c>
      <c r="AU590" s="216" t="str">
        <f t="shared" si="246"/>
        <v>0-0,15 MW, Bonusregeln a1, b, y und K erstmals 2012</v>
      </c>
      <c r="AV590" s="215" t="str">
        <f t="shared" si="247"/>
        <v/>
      </c>
      <c r="AW590" s="216" t="str">
        <f t="shared" si="248"/>
        <v>Anteil KWK, erstmals 2012</v>
      </c>
      <c r="AX590" s="215" t="str">
        <f t="shared" si="249"/>
        <v/>
      </c>
      <c r="AY590" t="str">
        <f t="shared" si="250"/>
        <v/>
      </c>
      <c r="AZ590" t="str">
        <f t="shared" si="251"/>
        <v>x</v>
      </c>
    </row>
    <row r="591" spans="1:52" s="178" customFormat="1" x14ac:dyDescent="0.25">
      <c r="A591" s="610" t="s">
        <v>4786</v>
      </c>
      <c r="B591" s="30" t="s">
        <v>5548</v>
      </c>
      <c r="C591" s="30" t="s">
        <v>4809</v>
      </c>
      <c r="D591" s="30" t="s">
        <v>6935</v>
      </c>
      <c r="E591" s="30" t="s">
        <v>4810</v>
      </c>
      <c r="F591" s="454">
        <f t="shared" si="258"/>
        <v>20.67</v>
      </c>
      <c r="G591" s="529">
        <v>20.67</v>
      </c>
      <c r="H591" s="487">
        <f t="shared" si="259"/>
        <v>16.54</v>
      </c>
      <c r="I591" s="706"/>
      <c r="J591" s="669" t="s">
        <v>5805</v>
      </c>
      <c r="K591" s="15"/>
      <c r="L591"/>
      <c r="M591" s="49">
        <f t="shared" si="260"/>
        <v>20.67</v>
      </c>
      <c r="N591" s="41">
        <v>11.67</v>
      </c>
      <c r="O591" s="186"/>
      <c r="P591" s="177"/>
      <c r="S591" s="178" t="s">
        <v>4180</v>
      </c>
      <c r="T591" s="178" t="s">
        <v>4180</v>
      </c>
      <c r="U591" s="179"/>
      <c r="W591" s="180"/>
      <c r="X591" s="180"/>
      <c r="Y591" s="178" t="s">
        <v>1017</v>
      </c>
      <c r="AA591" s="180"/>
      <c r="AD591" s="201"/>
      <c r="AE591" s="200" t="s">
        <v>1017</v>
      </c>
      <c r="AF591" s="180"/>
      <c r="AG591" s="201"/>
      <c r="AH591" s="212" t="str">
        <f t="shared" ref="AH591:AH596" si="267">IF(ISERROR(SEARCH("K erstmals 201",D591)),"",RIGHT(D591,4))</f>
        <v/>
      </c>
      <c r="AI591" s="214" t="str">
        <f t="shared" si="252"/>
        <v/>
      </c>
      <c r="AJ591" s="214" t="str">
        <f t="shared" si="253"/>
        <v/>
      </c>
      <c r="AK591" s="214" t="str">
        <f t="shared" si="254"/>
        <v/>
      </c>
      <c r="AL591" s="214" t="str">
        <f t="shared" si="255"/>
        <v/>
      </c>
      <c r="AM591" s="214" t="str">
        <f t="shared" si="256"/>
        <v/>
      </c>
      <c r="AN591" s="213" t="str">
        <f t="shared" si="239"/>
        <v/>
      </c>
      <c r="AO591" s="213" t="str">
        <f t="shared" si="240"/>
        <v/>
      </c>
      <c r="AP591" s="213" t="str">
        <f t="shared" si="241"/>
        <v/>
      </c>
      <c r="AQ591" s="215" t="str">
        <f t="shared" si="242"/>
        <v/>
      </c>
      <c r="AR591" s="216" t="str">
        <f t="shared" si="243"/>
        <v>BiK81Gb-----04</v>
      </c>
      <c r="AS591" s="215" t="str">
        <f t="shared" si="244"/>
        <v/>
      </c>
      <c r="AT591">
        <f t="shared" si="245"/>
        <v>14</v>
      </c>
      <c r="AU591" s="216" t="str">
        <f t="shared" si="246"/>
        <v>0-0,15 MW, Bonusregeln G, b</v>
      </c>
      <c r="AV591" s="215" t="str">
        <f t="shared" si="247"/>
        <v/>
      </c>
      <c r="AW591" s="216" t="str">
        <f t="shared" si="248"/>
        <v>Anteil Nicht-KWK</v>
      </c>
      <c r="AX591" s="215" t="str">
        <f t="shared" si="249"/>
        <v/>
      </c>
      <c r="AY591" t="str">
        <f t="shared" si="250"/>
        <v/>
      </c>
      <c r="AZ591" t="str">
        <f t="shared" si="251"/>
        <v/>
      </c>
    </row>
    <row r="592" spans="1:52" s="178" customFormat="1" x14ac:dyDescent="0.25">
      <c r="A592" s="610" t="s">
        <v>4787</v>
      </c>
      <c r="B592" s="30" t="s">
        <v>5548</v>
      </c>
      <c r="C592" s="30" t="s">
        <v>4809</v>
      </c>
      <c r="D592" s="30" t="s">
        <v>6936</v>
      </c>
      <c r="E592" s="30" t="s">
        <v>4812</v>
      </c>
      <c r="F592" s="454">
        <f t="shared" si="258"/>
        <v>22.67</v>
      </c>
      <c r="G592" s="529">
        <v>22.67</v>
      </c>
      <c r="H592" s="487">
        <f t="shared" si="259"/>
        <v>18.14</v>
      </c>
      <c r="I592" s="706"/>
      <c r="J592" s="669" t="s">
        <v>5805</v>
      </c>
      <c r="K592" s="15"/>
      <c r="L592"/>
      <c r="M592" s="49">
        <f t="shared" si="260"/>
        <v>22.67</v>
      </c>
      <c r="N592" s="41">
        <v>11.67</v>
      </c>
      <c r="O592" s="186" t="s">
        <v>1017</v>
      </c>
      <c r="P592" s="177"/>
      <c r="S592" s="178" t="s">
        <v>4180</v>
      </c>
      <c r="T592" s="178" t="s">
        <v>4180</v>
      </c>
      <c r="U592" s="179"/>
      <c r="W592" s="180"/>
      <c r="X592" s="180"/>
      <c r="Y592" s="178" t="s">
        <v>1017</v>
      </c>
      <c r="AA592" s="180"/>
      <c r="AD592" s="201"/>
      <c r="AE592" s="200" t="s">
        <v>1017</v>
      </c>
      <c r="AF592" s="180"/>
      <c r="AG592" s="201"/>
      <c r="AH592" s="212" t="str">
        <f t="shared" si="267"/>
        <v/>
      </c>
      <c r="AI592" s="214" t="str">
        <f t="shared" si="252"/>
        <v/>
      </c>
      <c r="AJ592" s="214" t="str">
        <f t="shared" si="253"/>
        <v/>
      </c>
      <c r="AK592" s="214" t="str">
        <f t="shared" si="254"/>
        <v/>
      </c>
      <c r="AL592" s="214" t="str">
        <f t="shared" si="255"/>
        <v/>
      </c>
      <c r="AM592" s="214" t="str">
        <f t="shared" si="256"/>
        <v/>
      </c>
      <c r="AN592" s="213" t="str">
        <f t="shared" si="239"/>
        <v/>
      </c>
      <c r="AO592" s="213" t="str">
        <f t="shared" si="240"/>
        <v/>
      </c>
      <c r="AP592" s="213" t="str">
        <f t="shared" si="241"/>
        <v/>
      </c>
      <c r="AQ592" s="215" t="str">
        <f t="shared" si="242"/>
        <v/>
      </c>
      <c r="AR592" s="216" t="str">
        <f t="shared" si="243"/>
        <v>BiK81GbKWK--04</v>
      </c>
      <c r="AS592" s="215" t="str">
        <f t="shared" si="244"/>
        <v/>
      </c>
      <c r="AT592">
        <f t="shared" si="245"/>
        <v>14</v>
      </c>
      <c r="AU592" s="216" t="str">
        <f t="shared" si="246"/>
        <v>0-0,15 MW, Bonusregeln G, b und KWK</v>
      </c>
      <c r="AV592" s="215" t="str">
        <f t="shared" si="247"/>
        <v/>
      </c>
      <c r="AW592" s="216" t="str">
        <f t="shared" si="248"/>
        <v>Anteil KWK</v>
      </c>
      <c r="AX592" s="215" t="str">
        <f t="shared" si="249"/>
        <v/>
      </c>
      <c r="AY592" t="str">
        <f t="shared" si="250"/>
        <v/>
      </c>
      <c r="AZ592" t="str">
        <f t="shared" si="251"/>
        <v/>
      </c>
    </row>
    <row r="593" spans="1:52" s="178" customFormat="1" x14ac:dyDescent="0.25">
      <c r="A593" s="610" t="s">
        <v>4788</v>
      </c>
      <c r="B593" s="30" t="s">
        <v>5548</v>
      </c>
      <c r="C593" s="30" t="s">
        <v>4809</v>
      </c>
      <c r="D593" s="30" t="s">
        <v>6937</v>
      </c>
      <c r="E593" s="30" t="s">
        <v>4331</v>
      </c>
      <c r="F593" s="454">
        <f t="shared" si="258"/>
        <v>23.67</v>
      </c>
      <c r="G593" s="529">
        <v>23.67</v>
      </c>
      <c r="H593" s="487">
        <f t="shared" si="259"/>
        <v>18.940000000000001</v>
      </c>
      <c r="I593" s="706"/>
      <c r="J593" s="669" t="s">
        <v>5805</v>
      </c>
      <c r="K593" s="15"/>
      <c r="L593"/>
      <c r="M593" s="49">
        <f t="shared" si="260"/>
        <v>23.67</v>
      </c>
      <c r="N593" s="41">
        <v>11.67</v>
      </c>
      <c r="O593" s="186"/>
      <c r="P593" s="178" t="s">
        <v>1017</v>
      </c>
      <c r="S593" s="178" t="s">
        <v>4180</v>
      </c>
      <c r="T593" s="178" t="s">
        <v>4180</v>
      </c>
      <c r="U593" s="179"/>
      <c r="W593" s="180"/>
      <c r="X593" s="180"/>
      <c r="Y593" s="178" t="s">
        <v>1017</v>
      </c>
      <c r="AA593" s="180"/>
      <c r="AD593" s="201"/>
      <c r="AE593" s="200" t="s">
        <v>1017</v>
      </c>
      <c r="AF593" s="180"/>
      <c r="AG593" s="201"/>
      <c r="AH593" s="212" t="str">
        <f t="shared" si="267"/>
        <v/>
      </c>
      <c r="AI593" s="214" t="str">
        <f t="shared" si="252"/>
        <v/>
      </c>
      <c r="AJ593" s="214" t="str">
        <f t="shared" si="253"/>
        <v/>
      </c>
      <c r="AK593" s="214" t="str">
        <f t="shared" si="254"/>
        <v/>
      </c>
      <c r="AL593" s="214" t="str">
        <f t="shared" si="255"/>
        <v/>
      </c>
      <c r="AM593" s="214" t="str">
        <f t="shared" si="256"/>
        <v/>
      </c>
      <c r="AN593" s="213" t="str">
        <f t="shared" si="239"/>
        <v/>
      </c>
      <c r="AO593" s="213" t="str">
        <f t="shared" si="240"/>
        <v/>
      </c>
      <c r="AP593" s="213" t="str">
        <f t="shared" si="241"/>
        <v/>
      </c>
      <c r="AQ593" s="215" t="str">
        <f t="shared" si="242"/>
        <v/>
      </c>
      <c r="AR593" s="216" t="str">
        <f t="shared" si="243"/>
        <v>BiK81GbKA3--04</v>
      </c>
      <c r="AS593" s="215" t="str">
        <f t="shared" si="244"/>
        <v/>
      </c>
      <c r="AT593">
        <f t="shared" si="245"/>
        <v>14</v>
      </c>
      <c r="AU593" s="216" t="str">
        <f t="shared" si="246"/>
        <v>0-0,15 MW, Bonusregeln G, b und K wenn Anlage 3 erfüllt</v>
      </c>
      <c r="AV593" s="215" t="str">
        <f t="shared" si="247"/>
        <v/>
      </c>
      <c r="AW593" s="216" t="str">
        <f t="shared" si="248"/>
        <v>Anteil KWK gemäß Anlage 3</v>
      </c>
      <c r="AX593" s="215" t="str">
        <f t="shared" si="249"/>
        <v/>
      </c>
      <c r="AY593" t="str">
        <f t="shared" si="250"/>
        <v/>
      </c>
      <c r="AZ593" t="str">
        <f t="shared" si="251"/>
        <v/>
      </c>
    </row>
    <row r="594" spans="1:52" s="178" customFormat="1" x14ac:dyDescent="0.25">
      <c r="A594" s="610" t="s">
        <v>4789</v>
      </c>
      <c r="B594" s="30" t="s">
        <v>5548</v>
      </c>
      <c r="C594" s="30" t="s">
        <v>4809</v>
      </c>
      <c r="D594" s="30" t="s">
        <v>6938</v>
      </c>
      <c r="E594" s="30" t="s">
        <v>674</v>
      </c>
      <c r="F594" s="454">
        <f t="shared" si="258"/>
        <v>23.67</v>
      </c>
      <c r="G594" s="529">
        <v>23.67</v>
      </c>
      <c r="H594" s="487">
        <f t="shared" si="259"/>
        <v>18.940000000000001</v>
      </c>
      <c r="I594" s="706"/>
      <c r="J594" s="669" t="s">
        <v>5805</v>
      </c>
      <c r="K594" s="15"/>
      <c r="L594"/>
      <c r="M594" s="49">
        <f t="shared" si="260"/>
        <v>23.67</v>
      </c>
      <c r="N594" s="41">
        <v>11.67</v>
      </c>
      <c r="O594" s="186"/>
      <c r="P594" s="177"/>
      <c r="Q594" s="178" t="s">
        <v>1017</v>
      </c>
      <c r="S594" s="178" t="s">
        <v>4180</v>
      </c>
      <c r="T594" s="178" t="s">
        <v>4180</v>
      </c>
      <c r="U594" s="179"/>
      <c r="W594" s="180"/>
      <c r="X594" s="180"/>
      <c r="Y594" s="178" t="s">
        <v>1017</v>
      </c>
      <c r="AA594" s="180"/>
      <c r="AD594" s="201"/>
      <c r="AE594" s="200" t="s">
        <v>1017</v>
      </c>
      <c r="AF594" s="180"/>
      <c r="AG594" s="201"/>
      <c r="AH594" s="212" t="str">
        <f t="shared" si="267"/>
        <v/>
      </c>
      <c r="AI594" s="214" t="str">
        <f t="shared" si="252"/>
        <v/>
      </c>
      <c r="AJ594" s="214" t="str">
        <f t="shared" si="253"/>
        <v/>
      </c>
      <c r="AK594" s="214" t="str">
        <f t="shared" si="254"/>
        <v/>
      </c>
      <c r="AL594" s="214" t="str">
        <f t="shared" si="255"/>
        <v/>
      </c>
      <c r="AM594" s="214" t="str">
        <f t="shared" si="256"/>
        <v/>
      </c>
      <c r="AN594" s="213" t="str">
        <f t="shared" si="239"/>
        <v/>
      </c>
      <c r="AO594" s="213" t="str">
        <f t="shared" si="240"/>
        <v/>
      </c>
      <c r="AP594" s="213" t="str">
        <f t="shared" si="241"/>
        <v/>
      </c>
      <c r="AQ594" s="215" t="str">
        <f t="shared" si="242"/>
        <v/>
      </c>
      <c r="AR594" s="216" t="str">
        <f t="shared" si="243"/>
        <v>BiK81GbK09--04</v>
      </c>
      <c r="AS594" s="215" t="str">
        <f t="shared" si="244"/>
        <v/>
      </c>
      <c r="AT594">
        <f t="shared" si="245"/>
        <v>14</v>
      </c>
      <c r="AU594" s="216" t="str">
        <f t="shared" si="246"/>
        <v>0-0,15 MW, Bonusregeln G, b und K erstmals 2009</v>
      </c>
      <c r="AV594" s="215" t="str">
        <f t="shared" si="247"/>
        <v/>
      </c>
      <c r="AW594" s="216" t="str">
        <f t="shared" si="248"/>
        <v>Anteil KWK, erstmals 2009</v>
      </c>
      <c r="AX594" s="215" t="str">
        <f t="shared" si="249"/>
        <v/>
      </c>
      <c r="AY594" t="str">
        <f t="shared" si="250"/>
        <v/>
      </c>
      <c r="AZ594" t="str">
        <f t="shared" si="251"/>
        <v/>
      </c>
    </row>
    <row r="595" spans="1:52" x14ac:dyDescent="0.25">
      <c r="A595" s="610" t="s">
        <v>1644</v>
      </c>
      <c r="B595" s="30" t="s">
        <v>5548</v>
      </c>
      <c r="C595" s="30" t="s">
        <v>4809</v>
      </c>
      <c r="D595" s="30" t="s">
        <v>6939</v>
      </c>
      <c r="E595" s="30" t="s">
        <v>3567</v>
      </c>
      <c r="F595" s="454">
        <f t="shared" si="258"/>
        <v>23.64</v>
      </c>
      <c r="G595" s="529">
        <v>23.64</v>
      </c>
      <c r="H595" s="487">
        <f t="shared" si="259"/>
        <v>18.91</v>
      </c>
      <c r="I595" s="706"/>
      <c r="J595" s="669" t="s">
        <v>5805</v>
      </c>
      <c r="K595" s="15"/>
      <c r="M595" s="49">
        <f t="shared" si="260"/>
        <v>23.64</v>
      </c>
      <c r="N595" s="41">
        <v>11.67</v>
      </c>
      <c r="O595" s="186"/>
      <c r="P595" s="177"/>
      <c r="Q595" s="178"/>
      <c r="R595" s="178" t="s">
        <v>1017</v>
      </c>
      <c r="S595" s="178" t="s">
        <v>4180</v>
      </c>
      <c r="T595" t="s">
        <v>4180</v>
      </c>
      <c r="U595" s="179"/>
      <c r="V595" s="178"/>
      <c r="W595" s="180"/>
      <c r="X595" s="180"/>
      <c r="Y595" s="178" t="s">
        <v>1017</v>
      </c>
      <c r="Z595" s="178"/>
      <c r="AA595" s="180"/>
      <c r="AB595" s="178"/>
      <c r="AC595" s="178"/>
      <c r="AD595" s="201"/>
      <c r="AE595" s="200" t="s">
        <v>1017</v>
      </c>
      <c r="AF595" s="180"/>
      <c r="AG595" s="201"/>
      <c r="AH595" s="212" t="str">
        <f t="shared" si="267"/>
        <v>2010</v>
      </c>
      <c r="AI595" s="214" t="str">
        <f t="shared" si="252"/>
        <v/>
      </c>
      <c r="AJ595" s="214" t="str">
        <f t="shared" si="253"/>
        <v/>
      </c>
      <c r="AK595" s="214" t="str">
        <f t="shared" si="254"/>
        <v/>
      </c>
      <c r="AL595" s="214" t="str">
        <f t="shared" si="255"/>
        <v/>
      </c>
      <c r="AM595" s="214" t="str">
        <f t="shared" si="256"/>
        <v/>
      </c>
      <c r="AN595" s="213" t="str">
        <f t="shared" si="239"/>
        <v>2010</v>
      </c>
      <c r="AO595" s="213" t="str">
        <f t="shared" si="240"/>
        <v>2010</v>
      </c>
      <c r="AP595" s="213" t="str">
        <f t="shared" si="241"/>
        <v>2010</v>
      </c>
      <c r="AQ595" s="215" t="str">
        <f t="shared" si="242"/>
        <v/>
      </c>
      <c r="AR595" s="216" t="str">
        <f t="shared" si="243"/>
        <v>BiK81GbK10--04</v>
      </c>
      <c r="AS595" s="215" t="str">
        <f t="shared" si="244"/>
        <v/>
      </c>
      <c r="AT595">
        <f t="shared" si="245"/>
        <v>14</v>
      </c>
      <c r="AU595" s="216" t="str">
        <f t="shared" si="246"/>
        <v>0-0,15 MW, Bonusregeln G, b und K erstmals 2010</v>
      </c>
      <c r="AV595" s="215" t="str">
        <f t="shared" si="247"/>
        <v/>
      </c>
      <c r="AW595" s="216" t="str">
        <f t="shared" si="248"/>
        <v>Anteil KWK, erstmals 2010</v>
      </c>
      <c r="AX595" s="215" t="str">
        <f t="shared" si="249"/>
        <v/>
      </c>
      <c r="AY595" t="str">
        <f t="shared" si="250"/>
        <v/>
      </c>
      <c r="AZ595" t="str">
        <f t="shared" si="251"/>
        <v/>
      </c>
    </row>
    <row r="596" spans="1:52" x14ac:dyDescent="0.25">
      <c r="A596" s="610" t="s">
        <v>5259</v>
      </c>
      <c r="B596" s="30" t="s">
        <v>5548</v>
      </c>
      <c r="C596" s="30" t="s">
        <v>4809</v>
      </c>
      <c r="D596" s="30" t="s">
        <v>6940</v>
      </c>
      <c r="E596" s="30" t="s">
        <v>3055</v>
      </c>
      <c r="F596" s="454">
        <f t="shared" si="258"/>
        <v>23.61</v>
      </c>
      <c r="G596" s="529">
        <v>23.61</v>
      </c>
      <c r="H596" s="487">
        <f t="shared" si="259"/>
        <v>18.89</v>
      </c>
      <c r="I596" s="706"/>
      <c r="J596" s="669" t="s">
        <v>5805</v>
      </c>
      <c r="K596" s="15"/>
      <c r="M596" s="49">
        <f t="shared" si="260"/>
        <v>23.61</v>
      </c>
      <c r="N596" s="41">
        <v>11.67</v>
      </c>
      <c r="O596" s="186"/>
      <c r="P596" s="177"/>
      <c r="Q596" s="178"/>
      <c r="R596" s="178"/>
      <c r="S596" s="178" t="s">
        <v>1017</v>
      </c>
      <c r="T596" t="s">
        <v>4180</v>
      </c>
      <c r="U596" s="179"/>
      <c r="V596" s="178"/>
      <c r="W596" s="180"/>
      <c r="X596" s="180"/>
      <c r="Y596" s="178" t="s">
        <v>1017</v>
      </c>
      <c r="Z596" s="178"/>
      <c r="AA596" s="180"/>
      <c r="AB596" s="178"/>
      <c r="AC596" s="178"/>
      <c r="AD596" s="201"/>
      <c r="AE596" s="200" t="s">
        <v>1017</v>
      </c>
      <c r="AF596" s="180"/>
      <c r="AG596" s="201"/>
      <c r="AH596" s="212" t="str">
        <f t="shared" si="267"/>
        <v>2011</v>
      </c>
      <c r="AI596" s="214" t="str">
        <f t="shared" si="252"/>
        <v/>
      </c>
      <c r="AJ596" s="214" t="str">
        <f t="shared" si="253"/>
        <v/>
      </c>
      <c r="AK596" s="214" t="str">
        <f t="shared" si="254"/>
        <v/>
      </c>
      <c r="AL596" s="214" t="str">
        <f t="shared" si="255"/>
        <v/>
      </c>
      <c r="AM596" s="214" t="str">
        <f t="shared" si="256"/>
        <v/>
      </c>
      <c r="AN596" s="213" t="str">
        <f t="shared" si="239"/>
        <v>2011</v>
      </c>
      <c r="AO596" s="213" t="str">
        <f t="shared" si="240"/>
        <v>2011</v>
      </c>
      <c r="AP596" s="213" t="str">
        <f t="shared" si="241"/>
        <v>2011</v>
      </c>
      <c r="AQ596" s="215" t="str">
        <f t="shared" si="242"/>
        <v/>
      </c>
      <c r="AR596" s="216" t="str">
        <f t="shared" si="243"/>
        <v>BiK81GbK11--04</v>
      </c>
      <c r="AS596" s="215" t="str">
        <f t="shared" si="244"/>
        <v/>
      </c>
      <c r="AT596">
        <f t="shared" si="245"/>
        <v>14</v>
      </c>
      <c r="AU596" s="216" t="str">
        <f t="shared" si="246"/>
        <v>0-0,15 MW, Bonusregeln G, b und K erstmals 2011</v>
      </c>
      <c r="AV596" s="215" t="str">
        <f t="shared" si="247"/>
        <v/>
      </c>
      <c r="AW596" s="216" t="str">
        <f t="shared" si="248"/>
        <v>Anteil KWK, erstmals 2011</v>
      </c>
      <c r="AX596" s="215" t="str">
        <f t="shared" si="249"/>
        <v/>
      </c>
      <c r="AY596" t="str">
        <f t="shared" si="250"/>
        <v>x</v>
      </c>
      <c r="AZ596" t="str">
        <f t="shared" si="251"/>
        <v/>
      </c>
    </row>
    <row r="597" spans="1:52" x14ac:dyDescent="0.25">
      <c r="A597" s="625" t="s">
        <v>1509</v>
      </c>
      <c r="B597" s="219" t="s">
        <v>5548</v>
      </c>
      <c r="C597" s="219" t="s">
        <v>4809</v>
      </c>
      <c r="D597" s="219" t="s">
        <v>6941</v>
      </c>
      <c r="E597" s="219" t="s">
        <v>1980</v>
      </c>
      <c r="F597" s="455">
        <f t="shared" si="258"/>
        <v>23.58</v>
      </c>
      <c r="G597" s="530">
        <v>23.58</v>
      </c>
      <c r="H597" s="488">
        <f t="shared" si="259"/>
        <v>18.86</v>
      </c>
      <c r="I597" s="707"/>
      <c r="J597" s="669" t="s">
        <v>5805</v>
      </c>
      <c r="K597" s="15"/>
      <c r="M597" s="49">
        <f t="shared" si="260"/>
        <v>23.58</v>
      </c>
      <c r="N597" s="41">
        <v>11.67</v>
      </c>
      <c r="O597" s="186"/>
      <c r="P597" s="177"/>
      <c r="Q597" s="178"/>
      <c r="R597" s="178"/>
      <c r="S597" s="178" t="s">
        <v>4180</v>
      </c>
      <c r="T597" t="s">
        <v>1017</v>
      </c>
      <c r="U597" s="179"/>
      <c r="V597" s="178"/>
      <c r="W597" s="180"/>
      <c r="X597" s="180"/>
      <c r="Y597" s="178" t="s">
        <v>1017</v>
      </c>
      <c r="Z597" s="178"/>
      <c r="AA597" s="180"/>
      <c r="AB597" s="178"/>
      <c r="AC597" s="178"/>
      <c r="AD597" s="201"/>
      <c r="AE597" s="200" t="s">
        <v>1017</v>
      </c>
      <c r="AF597" s="180"/>
      <c r="AG597" s="201"/>
      <c r="AH597" s="217" t="s">
        <v>4179</v>
      </c>
      <c r="AI597" s="214" t="str">
        <f t="shared" si="252"/>
        <v/>
      </c>
      <c r="AJ597" s="214" t="str">
        <f t="shared" si="253"/>
        <v/>
      </c>
      <c r="AK597" s="214" t="str">
        <f t="shared" si="254"/>
        <v/>
      </c>
      <c r="AL597" s="214" t="str">
        <f t="shared" si="255"/>
        <v/>
      </c>
      <c r="AM597" s="214" t="str">
        <f t="shared" si="256"/>
        <v/>
      </c>
      <c r="AN597" s="213" t="str">
        <f t="shared" si="239"/>
        <v>2012</v>
      </c>
      <c r="AO597" s="213" t="str">
        <f t="shared" si="240"/>
        <v>2012</v>
      </c>
      <c r="AP597" s="213" t="str">
        <f t="shared" si="241"/>
        <v>2012</v>
      </c>
      <c r="AQ597" s="215" t="str">
        <f t="shared" si="242"/>
        <v/>
      </c>
      <c r="AR597" s="216" t="str">
        <f t="shared" si="243"/>
        <v>BiK81GbK12--04</v>
      </c>
      <c r="AS597" s="215" t="str">
        <f t="shared" si="244"/>
        <v/>
      </c>
      <c r="AT597">
        <f t="shared" si="245"/>
        <v>14</v>
      </c>
      <c r="AU597" s="216" t="str">
        <f t="shared" si="246"/>
        <v>0-0,15 MW, Bonusregeln G, b und K erstmals 2012</v>
      </c>
      <c r="AV597" s="215" t="str">
        <f t="shared" si="247"/>
        <v/>
      </c>
      <c r="AW597" s="216" t="str">
        <f t="shared" si="248"/>
        <v>Anteil KWK, erstmals 2012</v>
      </c>
      <c r="AX597" s="215" t="str">
        <f t="shared" si="249"/>
        <v/>
      </c>
      <c r="AY597" t="str">
        <f t="shared" si="250"/>
        <v/>
      </c>
      <c r="AZ597" t="str">
        <f t="shared" si="251"/>
        <v>x</v>
      </c>
    </row>
    <row r="598" spans="1:52" x14ac:dyDescent="0.25">
      <c r="A598" s="610" t="s">
        <v>4790</v>
      </c>
      <c r="B598" s="30" t="s">
        <v>5548</v>
      </c>
      <c r="C598" s="30" t="s">
        <v>4809</v>
      </c>
      <c r="D598" s="30" t="s">
        <v>6942</v>
      </c>
      <c r="E598" s="30" t="s">
        <v>4810</v>
      </c>
      <c r="F598" s="454">
        <f t="shared" si="258"/>
        <v>21.67</v>
      </c>
      <c r="G598" s="529">
        <v>21.67</v>
      </c>
      <c r="H598" s="487">
        <f t="shared" si="259"/>
        <v>17.34</v>
      </c>
      <c r="I598" s="706"/>
      <c r="J598" s="669" t="s">
        <v>5805</v>
      </c>
      <c r="K598" s="15"/>
      <c r="M598" s="49">
        <f t="shared" si="260"/>
        <v>21.67</v>
      </c>
      <c r="N598" s="41">
        <v>11.67</v>
      </c>
      <c r="O598" s="187"/>
      <c r="P598" s="183"/>
      <c r="Q598" s="184"/>
      <c r="R598" s="184"/>
      <c r="S598" s="184" t="s">
        <v>4180</v>
      </c>
      <c r="T598" t="s">
        <v>4180</v>
      </c>
      <c r="U598" s="185" t="s">
        <v>1017</v>
      </c>
      <c r="V598" s="184"/>
      <c r="W598" s="180"/>
      <c r="X598" s="180"/>
      <c r="Y598" s="184" t="s">
        <v>1017</v>
      </c>
      <c r="Z598" s="184"/>
      <c r="AA598" s="180"/>
      <c r="AB598" s="184"/>
      <c r="AC598" s="184"/>
      <c r="AD598" s="201"/>
      <c r="AE598" s="181" t="s">
        <v>1017</v>
      </c>
      <c r="AF598" s="180"/>
      <c r="AG598" s="201"/>
      <c r="AH598" s="212" t="str">
        <f t="shared" ref="AH598:AH603" si="268">IF(ISERROR(SEARCH("K erstmals 201",D598)),"",RIGHT(D598,4))</f>
        <v/>
      </c>
      <c r="AI598" s="214" t="str">
        <f t="shared" si="252"/>
        <v/>
      </c>
      <c r="AJ598" s="214" t="str">
        <f t="shared" si="253"/>
        <v/>
      </c>
      <c r="AK598" s="214" t="str">
        <f t="shared" si="254"/>
        <v/>
      </c>
      <c r="AL598" s="214" t="str">
        <f t="shared" si="255"/>
        <v/>
      </c>
      <c r="AM598" s="214" t="str">
        <f t="shared" si="256"/>
        <v/>
      </c>
      <c r="AN598" s="213" t="str">
        <f t="shared" si="239"/>
        <v/>
      </c>
      <c r="AO598" s="213" t="str">
        <f t="shared" si="240"/>
        <v/>
      </c>
      <c r="AP598" s="213" t="str">
        <f t="shared" si="241"/>
        <v/>
      </c>
      <c r="AQ598" s="215" t="str">
        <f t="shared" si="242"/>
        <v/>
      </c>
      <c r="AR598" s="216" t="str">
        <f t="shared" si="243"/>
        <v>BiK81Gby----04</v>
      </c>
      <c r="AS598" s="215" t="str">
        <f t="shared" si="244"/>
        <v/>
      </c>
      <c r="AT598">
        <f t="shared" si="245"/>
        <v>14</v>
      </c>
      <c r="AU598" s="216" t="str">
        <f t="shared" si="246"/>
        <v>0-0,15 MW, Bonusregeln G, y, b</v>
      </c>
      <c r="AV598" s="215" t="str">
        <f t="shared" si="247"/>
        <v/>
      </c>
      <c r="AW598" s="216" t="str">
        <f t="shared" si="248"/>
        <v>Anteil Nicht-KWK</v>
      </c>
      <c r="AX598" s="215" t="str">
        <f t="shared" si="249"/>
        <v/>
      </c>
      <c r="AY598" t="str">
        <f t="shared" si="250"/>
        <v/>
      </c>
      <c r="AZ598" t="str">
        <f t="shared" si="251"/>
        <v/>
      </c>
    </row>
    <row r="599" spans="1:52" x14ac:dyDescent="0.25">
      <c r="A599" s="610" t="s">
        <v>4791</v>
      </c>
      <c r="B599" s="30" t="s">
        <v>5548</v>
      </c>
      <c r="C599" s="30" t="s">
        <v>4809</v>
      </c>
      <c r="D599" s="30" t="s">
        <v>6943</v>
      </c>
      <c r="E599" s="30" t="s">
        <v>4812</v>
      </c>
      <c r="F599" s="454">
        <f t="shared" si="258"/>
        <v>23.67</v>
      </c>
      <c r="G599" s="529">
        <v>23.67</v>
      </c>
      <c r="H599" s="487">
        <f t="shared" si="259"/>
        <v>18.940000000000001</v>
      </c>
      <c r="I599" s="706"/>
      <c r="J599" s="669" t="s">
        <v>5805</v>
      </c>
      <c r="K599" s="15"/>
      <c r="M599" s="49">
        <f t="shared" si="260"/>
        <v>23.67</v>
      </c>
      <c r="N599" s="41">
        <v>11.67</v>
      </c>
      <c r="O599" s="187" t="s">
        <v>1017</v>
      </c>
      <c r="P599" s="183"/>
      <c r="Q599" s="184"/>
      <c r="R599" s="184"/>
      <c r="S599" s="184" t="s">
        <v>4180</v>
      </c>
      <c r="T599" t="s">
        <v>4180</v>
      </c>
      <c r="U599" s="185" t="s">
        <v>1017</v>
      </c>
      <c r="V599" s="184"/>
      <c r="W599" s="180"/>
      <c r="X599" s="180"/>
      <c r="Y599" s="184" t="s">
        <v>1017</v>
      </c>
      <c r="Z599" s="184"/>
      <c r="AA599" s="180"/>
      <c r="AB599" s="184"/>
      <c r="AC599" s="184"/>
      <c r="AD599" s="201"/>
      <c r="AE599" s="181" t="s">
        <v>1017</v>
      </c>
      <c r="AF599" s="180"/>
      <c r="AG599" s="201"/>
      <c r="AH599" s="212" t="str">
        <f t="shared" si="268"/>
        <v/>
      </c>
      <c r="AI599" s="214" t="str">
        <f t="shared" si="252"/>
        <v/>
      </c>
      <c r="AJ599" s="214" t="str">
        <f t="shared" si="253"/>
        <v/>
      </c>
      <c r="AK599" s="214" t="str">
        <f t="shared" si="254"/>
        <v/>
      </c>
      <c r="AL599" s="214" t="str">
        <f t="shared" si="255"/>
        <v/>
      </c>
      <c r="AM599" s="214" t="str">
        <f t="shared" si="256"/>
        <v/>
      </c>
      <c r="AN599" s="213" t="str">
        <f t="shared" ref="AN599:AN662" si="269">IF(ISERROR(SEARCH("K1",A599)),"","20"&amp;MID(A599,SEARCH("K1",A599)+1,2))</f>
        <v/>
      </c>
      <c r="AO599" s="213" t="str">
        <f t="shared" ref="AO599:AO662" si="270">IF(ISERROR(SEARCH("erstmals 201",E599)),"",MID(E599,SEARCH("erstmals ",E599)+9,4))</f>
        <v/>
      </c>
      <c r="AP599" s="213" t="str">
        <f t="shared" ref="AP599:AP662" si="271">IF(R599="x","2010",IF(S599="x","2011",IF(T599="x","2012","")))</f>
        <v/>
      </c>
      <c r="AQ599" s="215" t="str">
        <f t="shared" ref="AQ599:AQ662" si="272">IF(OR(AH599&lt;&gt;AN599,AH599&lt;&gt;AO599,AH599&lt;&gt;AP599),"DIFF","")</f>
        <v/>
      </c>
      <c r="AR599" s="216" t="str">
        <f t="shared" ref="AR599:AR662" si="273">IF(A599="","",IF(ISERROR(SEARCH("K1",A599)),A599,LEFT(A599,SEARCH("K1",A599)+1)&amp;RIGHT(AH599,1)&amp;MID(A599,SEARCH("K1",A599)+3,14)))</f>
        <v>BiK81GbKWKy-04</v>
      </c>
      <c r="AS599" s="215" t="str">
        <f t="shared" ref="AS599:AS662" si="274">IF(OR(A599&lt;&gt;AR599),"DIFF","")</f>
        <v/>
      </c>
      <c r="AT599">
        <f t="shared" ref="AT599:AT662" si="275">LEN(AR599)</f>
        <v>14</v>
      </c>
      <c r="AU599" s="216" t="str">
        <f t="shared" ref="AU599:AU662" si="276">IF(D599="","",IF(OR(A599="",ISERROR(SEARCH("erstmals 201",D599))),D599,LEFT(D599,SEARCH("erstmals 201",D599)+8) &amp; AH599 &amp; MID(D599,SEARCH("erstmals 201",D599)+13,255)))</f>
        <v>0-0,15 MW, Bonusregeln G, y, b und KWK</v>
      </c>
      <c r="AV599" s="215" t="str">
        <f t="shared" ref="AV599:AV662" si="277">IF(OR(D599&lt;&gt;AU599),"DIFF","")</f>
        <v/>
      </c>
      <c r="AW599" s="216" t="str">
        <f t="shared" ref="AW599:AW662" si="278">IF(E599="","",IF(OR(E599="",ISERROR(SEARCH("erstmals 201",E599))),E599,LEFT(E599,SEARCH("erstmals 201",E599)+8) &amp; AH599 &amp; MID(E599,SEARCH("erstmals 201",E599)+13,255)))</f>
        <v>Anteil KWK</v>
      </c>
      <c r="AX599" s="215" t="str">
        <f t="shared" ref="AX599:AX662" si="279">IF(OR(E599&lt;&gt;AW599),"DIFF","")</f>
        <v/>
      </c>
      <c r="AY599" t="str">
        <f t="shared" ref="AY599:AY662" si="280">IF(AH599="2011","x",IF(AH599="2012","","" &amp; S599))</f>
        <v/>
      </c>
      <c r="AZ599" t="str">
        <f t="shared" ref="AZ599:AZ662" si="281">IF(AH599="2012","x",IF(AH599="2011","","" &amp; T599))</f>
        <v/>
      </c>
    </row>
    <row r="600" spans="1:52" x14ac:dyDescent="0.25">
      <c r="A600" s="610" t="s">
        <v>4864</v>
      </c>
      <c r="B600" s="30" t="s">
        <v>5548</v>
      </c>
      <c r="C600" s="30" t="s">
        <v>4809</v>
      </c>
      <c r="D600" s="109" t="s">
        <v>6944</v>
      </c>
      <c r="E600" s="30" t="s">
        <v>4331</v>
      </c>
      <c r="F600" s="454">
        <f t="shared" si="258"/>
        <v>24.67</v>
      </c>
      <c r="G600" s="529">
        <v>24.67</v>
      </c>
      <c r="H600" s="487">
        <f t="shared" si="259"/>
        <v>19.739999999999998</v>
      </c>
      <c r="I600" s="706"/>
      <c r="J600" s="669" t="s">
        <v>5805</v>
      </c>
      <c r="K600" s="15"/>
      <c r="M600" s="49">
        <f t="shared" si="260"/>
        <v>24.67</v>
      </c>
      <c r="N600" s="41">
        <v>11.67</v>
      </c>
      <c r="O600" s="187"/>
      <c r="P600" s="184" t="s">
        <v>1017</v>
      </c>
      <c r="Q600" s="184"/>
      <c r="R600" s="184"/>
      <c r="S600" s="184" t="s">
        <v>4180</v>
      </c>
      <c r="T600" t="s">
        <v>4180</v>
      </c>
      <c r="U600" s="185" t="s">
        <v>1017</v>
      </c>
      <c r="V600" s="184"/>
      <c r="W600" s="180"/>
      <c r="X600" s="180"/>
      <c r="Y600" s="184" t="s">
        <v>1017</v>
      </c>
      <c r="Z600" s="184"/>
      <c r="AA600" s="180"/>
      <c r="AB600" s="184"/>
      <c r="AC600" s="184"/>
      <c r="AD600" s="201"/>
      <c r="AE600" s="181" t="s">
        <v>1017</v>
      </c>
      <c r="AF600" s="180"/>
      <c r="AG600" s="201"/>
      <c r="AH600" s="212" t="str">
        <f t="shared" si="268"/>
        <v/>
      </c>
      <c r="AI600" s="214" t="str">
        <f t="shared" si="252"/>
        <v/>
      </c>
      <c r="AJ600" s="214" t="str">
        <f t="shared" si="253"/>
        <v/>
      </c>
      <c r="AK600" s="214" t="str">
        <f t="shared" si="254"/>
        <v/>
      </c>
      <c r="AL600" s="214" t="str">
        <f t="shared" si="255"/>
        <v/>
      </c>
      <c r="AM600" s="214" t="str">
        <f t="shared" si="256"/>
        <v/>
      </c>
      <c r="AN600" s="213" t="str">
        <f t="shared" si="269"/>
        <v/>
      </c>
      <c r="AO600" s="213" t="str">
        <f t="shared" si="270"/>
        <v/>
      </c>
      <c r="AP600" s="213" t="str">
        <f t="shared" si="271"/>
        <v/>
      </c>
      <c r="AQ600" s="215" t="str">
        <f t="shared" si="272"/>
        <v/>
      </c>
      <c r="AR600" s="216" t="str">
        <f t="shared" si="273"/>
        <v>BiK81GbKA3y-04</v>
      </c>
      <c r="AS600" s="215" t="str">
        <f t="shared" si="274"/>
        <v/>
      </c>
      <c r="AT600">
        <f t="shared" si="275"/>
        <v>14</v>
      </c>
      <c r="AU600" s="216" t="str">
        <f t="shared" si="276"/>
        <v>0-0,15 MW, Bonusregeln G, y, b und K wenn Anlage 3 erfüllt</v>
      </c>
      <c r="AV600" s="215" t="str">
        <f t="shared" si="277"/>
        <v/>
      </c>
      <c r="AW600" s="216" t="str">
        <f t="shared" si="278"/>
        <v>Anteil KWK gemäß Anlage 3</v>
      </c>
      <c r="AX600" s="215" t="str">
        <f t="shared" si="279"/>
        <v/>
      </c>
      <c r="AY600" t="str">
        <f t="shared" si="280"/>
        <v/>
      </c>
      <c r="AZ600" t="str">
        <f t="shared" si="281"/>
        <v/>
      </c>
    </row>
    <row r="601" spans="1:52" x14ac:dyDescent="0.25">
      <c r="A601" s="610" t="s">
        <v>4865</v>
      </c>
      <c r="B601" s="30" t="s">
        <v>5548</v>
      </c>
      <c r="C601" s="30" t="s">
        <v>4809</v>
      </c>
      <c r="D601" s="30" t="s">
        <v>6945</v>
      </c>
      <c r="E601" s="30" t="s">
        <v>674</v>
      </c>
      <c r="F601" s="454">
        <f t="shared" si="258"/>
        <v>24.67</v>
      </c>
      <c r="G601" s="529">
        <v>24.67</v>
      </c>
      <c r="H601" s="487">
        <f t="shared" si="259"/>
        <v>19.739999999999998</v>
      </c>
      <c r="I601" s="706"/>
      <c r="J601" s="669" t="s">
        <v>5805</v>
      </c>
      <c r="K601" s="15"/>
      <c r="M601" s="49">
        <f t="shared" si="260"/>
        <v>24.67</v>
      </c>
      <c r="N601" s="41">
        <v>11.67</v>
      </c>
      <c r="O601" s="187"/>
      <c r="P601" s="183"/>
      <c r="Q601" s="184" t="s">
        <v>1017</v>
      </c>
      <c r="R601" s="184"/>
      <c r="S601" s="184" t="s">
        <v>4180</v>
      </c>
      <c r="T601" t="s">
        <v>4180</v>
      </c>
      <c r="U601" s="185" t="s">
        <v>1017</v>
      </c>
      <c r="V601" s="184"/>
      <c r="W601" s="180"/>
      <c r="X601" s="180"/>
      <c r="Y601" s="184" t="s">
        <v>1017</v>
      </c>
      <c r="Z601" s="184"/>
      <c r="AA601" s="180"/>
      <c r="AB601" s="184"/>
      <c r="AC601" s="184"/>
      <c r="AD601" s="201"/>
      <c r="AE601" s="181" t="s">
        <v>1017</v>
      </c>
      <c r="AF601" s="180"/>
      <c r="AG601" s="201"/>
      <c r="AH601" s="212" t="str">
        <f t="shared" si="268"/>
        <v/>
      </c>
      <c r="AI601" s="214" t="str">
        <f t="shared" si="252"/>
        <v/>
      </c>
      <c r="AJ601" s="214" t="str">
        <f t="shared" si="253"/>
        <v/>
      </c>
      <c r="AK601" s="214" t="str">
        <f t="shared" si="254"/>
        <v/>
      </c>
      <c r="AL601" s="214" t="str">
        <f t="shared" si="255"/>
        <v/>
      </c>
      <c r="AM601" s="214" t="str">
        <f t="shared" si="256"/>
        <v/>
      </c>
      <c r="AN601" s="213" t="str">
        <f t="shared" si="269"/>
        <v/>
      </c>
      <c r="AO601" s="213" t="str">
        <f t="shared" si="270"/>
        <v/>
      </c>
      <c r="AP601" s="213" t="str">
        <f t="shared" si="271"/>
        <v/>
      </c>
      <c r="AQ601" s="215" t="str">
        <f t="shared" si="272"/>
        <v/>
      </c>
      <c r="AR601" s="216" t="str">
        <f t="shared" si="273"/>
        <v>BiK81GbK09y-04</v>
      </c>
      <c r="AS601" s="215" t="str">
        <f t="shared" si="274"/>
        <v/>
      </c>
      <c r="AT601">
        <f t="shared" si="275"/>
        <v>14</v>
      </c>
      <c r="AU601" s="216" t="str">
        <f t="shared" si="276"/>
        <v>0-0,15 MW, Bonusregeln G, y, b und K erstmals 2009</v>
      </c>
      <c r="AV601" s="215" t="str">
        <f t="shared" si="277"/>
        <v/>
      </c>
      <c r="AW601" s="216" t="str">
        <f t="shared" si="278"/>
        <v>Anteil KWK, erstmals 2009</v>
      </c>
      <c r="AX601" s="215" t="str">
        <f t="shared" si="279"/>
        <v/>
      </c>
      <c r="AY601" t="str">
        <f t="shared" si="280"/>
        <v/>
      </c>
      <c r="AZ601" t="str">
        <f t="shared" si="281"/>
        <v/>
      </c>
    </row>
    <row r="602" spans="1:52" x14ac:dyDescent="0.25">
      <c r="A602" s="610" t="s">
        <v>1645</v>
      </c>
      <c r="B602" s="30" t="s">
        <v>5548</v>
      </c>
      <c r="C602" s="30" t="s">
        <v>4809</v>
      </c>
      <c r="D602" s="30" t="s">
        <v>6946</v>
      </c>
      <c r="E602" s="30" t="s">
        <v>3567</v>
      </c>
      <c r="F602" s="454">
        <f t="shared" si="258"/>
        <v>24.64</v>
      </c>
      <c r="G602" s="529">
        <v>24.64</v>
      </c>
      <c r="H602" s="487">
        <f t="shared" si="259"/>
        <v>19.71</v>
      </c>
      <c r="I602" s="706"/>
      <c r="J602" s="669" t="s">
        <v>5805</v>
      </c>
      <c r="K602" s="15"/>
      <c r="M602" s="49">
        <f t="shared" si="260"/>
        <v>24.64</v>
      </c>
      <c r="N602" s="41">
        <v>11.67</v>
      </c>
      <c r="O602" s="187"/>
      <c r="P602" s="183"/>
      <c r="Q602" s="184"/>
      <c r="R602" s="184" t="s">
        <v>1017</v>
      </c>
      <c r="S602" s="184" t="s">
        <v>4180</v>
      </c>
      <c r="T602" t="s">
        <v>4180</v>
      </c>
      <c r="U602" s="185" t="s">
        <v>1017</v>
      </c>
      <c r="V602" s="184"/>
      <c r="W602" s="180"/>
      <c r="X602" s="180"/>
      <c r="Y602" s="184" t="s">
        <v>1017</v>
      </c>
      <c r="Z602" s="184"/>
      <c r="AA602" s="180"/>
      <c r="AB602" s="184"/>
      <c r="AC602" s="184"/>
      <c r="AD602" s="201"/>
      <c r="AE602" s="181" t="s">
        <v>1017</v>
      </c>
      <c r="AF602" s="180"/>
      <c r="AG602" s="201"/>
      <c r="AH602" s="212" t="str">
        <f t="shared" si="268"/>
        <v>2010</v>
      </c>
      <c r="AI602" s="214" t="str">
        <f t="shared" ref="AI602:AI665" si="282">IF(AND($AH602&lt;&gt;"",AH602 =AH601),"Gleich","")</f>
        <v/>
      </c>
      <c r="AJ602" s="214" t="str">
        <f t="shared" ref="AJ602:AJ665" si="283">IF(AND($AH602&lt;&gt;"",A602 =A601),"Gleich","")</f>
        <v/>
      </c>
      <c r="AK602" s="214" t="str">
        <f t="shared" ref="AK602:AK665" si="284">IF(AND($AH602&lt;&gt;"",D602 =D601),"Gleich","")</f>
        <v/>
      </c>
      <c r="AL602" s="214" t="str">
        <f t="shared" ref="AL602:AL665" si="285">IF(AND($AH602&lt;&gt;"",E602 =E601),"Gleich","")</f>
        <v/>
      </c>
      <c r="AM602" s="214" t="str">
        <f t="shared" ref="AM602:AM665" si="286">IF(AND($AH602&lt;&gt;"",F602 =F601),"Gleich","")</f>
        <v/>
      </c>
      <c r="AN602" s="213" t="str">
        <f t="shared" si="269"/>
        <v>2010</v>
      </c>
      <c r="AO602" s="213" t="str">
        <f t="shared" si="270"/>
        <v>2010</v>
      </c>
      <c r="AP602" s="213" t="str">
        <f t="shared" si="271"/>
        <v>2010</v>
      </c>
      <c r="AQ602" s="215" t="str">
        <f t="shared" si="272"/>
        <v/>
      </c>
      <c r="AR602" s="216" t="str">
        <f t="shared" si="273"/>
        <v>BiK81GbK10y-04</v>
      </c>
      <c r="AS602" s="215" t="str">
        <f t="shared" si="274"/>
        <v/>
      </c>
      <c r="AT602">
        <f t="shared" si="275"/>
        <v>14</v>
      </c>
      <c r="AU602" s="216" t="str">
        <f t="shared" si="276"/>
        <v>0-0,15 MW, Bonusregeln G, y, b und K erstmals 2010</v>
      </c>
      <c r="AV602" s="215" t="str">
        <f t="shared" si="277"/>
        <v/>
      </c>
      <c r="AW602" s="216" t="str">
        <f t="shared" si="278"/>
        <v>Anteil KWK, erstmals 2010</v>
      </c>
      <c r="AX602" s="215" t="str">
        <f t="shared" si="279"/>
        <v/>
      </c>
      <c r="AY602" t="str">
        <f t="shared" si="280"/>
        <v/>
      </c>
      <c r="AZ602" t="str">
        <f t="shared" si="281"/>
        <v/>
      </c>
    </row>
    <row r="603" spans="1:52" x14ac:dyDescent="0.25">
      <c r="A603" s="610" t="s">
        <v>5260</v>
      </c>
      <c r="B603" s="30" t="s">
        <v>5548</v>
      </c>
      <c r="C603" s="30" t="s">
        <v>4809</v>
      </c>
      <c r="D603" s="30" t="s">
        <v>6947</v>
      </c>
      <c r="E603" s="30" t="s">
        <v>3055</v>
      </c>
      <c r="F603" s="454">
        <f t="shared" si="258"/>
        <v>24.61</v>
      </c>
      <c r="G603" s="529">
        <v>24.61</v>
      </c>
      <c r="H603" s="487">
        <f t="shared" si="259"/>
        <v>19.690000000000001</v>
      </c>
      <c r="I603" s="706"/>
      <c r="J603" s="669" t="s">
        <v>5805</v>
      </c>
      <c r="K603" s="15"/>
      <c r="M603" s="49">
        <f t="shared" si="260"/>
        <v>24.61</v>
      </c>
      <c r="N603" s="41">
        <v>11.67</v>
      </c>
      <c r="O603" s="187"/>
      <c r="P603" s="183"/>
      <c r="Q603" s="184"/>
      <c r="R603" s="178"/>
      <c r="S603" s="184" t="s">
        <v>1017</v>
      </c>
      <c r="T603" t="s">
        <v>4180</v>
      </c>
      <c r="U603" s="185" t="s">
        <v>1017</v>
      </c>
      <c r="V603" s="184"/>
      <c r="W603" s="180"/>
      <c r="X603" s="180"/>
      <c r="Y603" s="184" t="s">
        <v>1017</v>
      </c>
      <c r="Z603" s="184"/>
      <c r="AA603" s="180"/>
      <c r="AB603" s="184"/>
      <c r="AC603" s="184"/>
      <c r="AD603" s="201"/>
      <c r="AE603" s="181" t="s">
        <v>1017</v>
      </c>
      <c r="AF603" s="180"/>
      <c r="AG603" s="201"/>
      <c r="AH603" s="212" t="str">
        <f t="shared" si="268"/>
        <v>2011</v>
      </c>
      <c r="AI603" s="214" t="str">
        <f t="shared" si="282"/>
        <v/>
      </c>
      <c r="AJ603" s="214" t="str">
        <f t="shared" si="283"/>
        <v/>
      </c>
      <c r="AK603" s="214" t="str">
        <f t="shared" si="284"/>
        <v/>
      </c>
      <c r="AL603" s="214" t="str">
        <f t="shared" si="285"/>
        <v/>
      </c>
      <c r="AM603" s="214" t="str">
        <f t="shared" si="286"/>
        <v/>
      </c>
      <c r="AN603" s="213" t="str">
        <f t="shared" si="269"/>
        <v>2011</v>
      </c>
      <c r="AO603" s="213" t="str">
        <f t="shared" si="270"/>
        <v>2011</v>
      </c>
      <c r="AP603" s="213" t="str">
        <f t="shared" si="271"/>
        <v>2011</v>
      </c>
      <c r="AQ603" s="215" t="str">
        <f t="shared" si="272"/>
        <v/>
      </c>
      <c r="AR603" s="216" t="str">
        <f t="shared" si="273"/>
        <v>BiK81GbK11y-04</v>
      </c>
      <c r="AS603" s="215" t="str">
        <f t="shared" si="274"/>
        <v/>
      </c>
      <c r="AT603">
        <f t="shared" si="275"/>
        <v>14</v>
      </c>
      <c r="AU603" s="216" t="str">
        <f t="shared" si="276"/>
        <v>0-0,15 MW, Bonusregeln G, y, b und K erstmals 2011</v>
      </c>
      <c r="AV603" s="215" t="str">
        <f t="shared" si="277"/>
        <v/>
      </c>
      <c r="AW603" s="216" t="str">
        <f t="shared" si="278"/>
        <v>Anteil KWK, erstmals 2011</v>
      </c>
      <c r="AX603" s="215" t="str">
        <f t="shared" si="279"/>
        <v/>
      </c>
      <c r="AY603" t="str">
        <f t="shared" si="280"/>
        <v>x</v>
      </c>
      <c r="AZ603" t="str">
        <f t="shared" si="281"/>
        <v/>
      </c>
    </row>
    <row r="604" spans="1:52" x14ac:dyDescent="0.25">
      <c r="A604" s="625" t="s">
        <v>1510</v>
      </c>
      <c r="B604" s="219" t="s">
        <v>5548</v>
      </c>
      <c r="C604" s="219" t="s">
        <v>4809</v>
      </c>
      <c r="D604" s="219" t="s">
        <v>6948</v>
      </c>
      <c r="E604" s="219" t="s">
        <v>1980</v>
      </c>
      <c r="F604" s="455">
        <f t="shared" si="258"/>
        <v>24.58</v>
      </c>
      <c r="G604" s="530">
        <v>24.58</v>
      </c>
      <c r="H604" s="488">
        <f t="shared" si="259"/>
        <v>19.66</v>
      </c>
      <c r="I604" s="707"/>
      <c r="J604" s="669" t="s">
        <v>5805</v>
      </c>
      <c r="K604" s="15"/>
      <c r="M604" s="49">
        <f t="shared" si="260"/>
        <v>24.58</v>
      </c>
      <c r="N604" s="41">
        <v>11.67</v>
      </c>
      <c r="O604" s="187"/>
      <c r="P604" s="183"/>
      <c r="Q604" s="184"/>
      <c r="R604" s="178"/>
      <c r="S604" s="184" t="s">
        <v>4180</v>
      </c>
      <c r="T604" t="s">
        <v>1017</v>
      </c>
      <c r="U604" s="185" t="s">
        <v>1017</v>
      </c>
      <c r="V604" s="184"/>
      <c r="W604" s="180"/>
      <c r="X604" s="180"/>
      <c r="Y604" s="184" t="s">
        <v>1017</v>
      </c>
      <c r="Z604" s="184"/>
      <c r="AA604" s="180"/>
      <c r="AB604" s="184"/>
      <c r="AC604" s="184"/>
      <c r="AD604" s="201"/>
      <c r="AE604" s="181" t="s">
        <v>1017</v>
      </c>
      <c r="AF604" s="180"/>
      <c r="AG604" s="201"/>
      <c r="AH604" s="217" t="s">
        <v>4179</v>
      </c>
      <c r="AI604" s="214" t="str">
        <f t="shared" si="282"/>
        <v/>
      </c>
      <c r="AJ604" s="214" t="str">
        <f t="shared" si="283"/>
        <v/>
      </c>
      <c r="AK604" s="214" t="str">
        <f t="shared" si="284"/>
        <v/>
      </c>
      <c r="AL604" s="214" t="str">
        <f t="shared" si="285"/>
        <v/>
      </c>
      <c r="AM604" s="214" t="str">
        <f t="shared" si="286"/>
        <v/>
      </c>
      <c r="AN604" s="213" t="str">
        <f t="shared" si="269"/>
        <v>2012</v>
      </c>
      <c r="AO604" s="213" t="str">
        <f t="shared" si="270"/>
        <v>2012</v>
      </c>
      <c r="AP604" s="213" t="str">
        <f t="shared" si="271"/>
        <v>2012</v>
      </c>
      <c r="AQ604" s="215" t="str">
        <f t="shared" si="272"/>
        <v/>
      </c>
      <c r="AR604" s="216" t="str">
        <f t="shared" si="273"/>
        <v>BiK81GbK12y-04</v>
      </c>
      <c r="AS604" s="215" t="str">
        <f t="shared" si="274"/>
        <v/>
      </c>
      <c r="AT604">
        <f t="shared" si="275"/>
        <v>14</v>
      </c>
      <c r="AU604" s="216" t="str">
        <f t="shared" si="276"/>
        <v>0-0,15 MW, Bonusregeln G, y, b und K erstmals 2012</v>
      </c>
      <c r="AV604" s="215" t="str">
        <f t="shared" si="277"/>
        <v/>
      </c>
      <c r="AW604" s="216" t="str">
        <f t="shared" si="278"/>
        <v>Anteil KWK, erstmals 2012</v>
      </c>
      <c r="AX604" s="215" t="str">
        <f t="shared" si="279"/>
        <v/>
      </c>
      <c r="AY604" t="str">
        <f t="shared" si="280"/>
        <v/>
      </c>
      <c r="AZ604" t="str">
        <f t="shared" si="281"/>
        <v>x</v>
      </c>
    </row>
    <row r="605" spans="1:52" x14ac:dyDescent="0.25">
      <c r="A605" s="610" t="s">
        <v>4866</v>
      </c>
      <c r="B605" s="30" t="s">
        <v>5548</v>
      </c>
      <c r="C605" s="30" t="s">
        <v>4809</v>
      </c>
      <c r="D605" s="30" t="s">
        <v>6949</v>
      </c>
      <c r="E605" s="30" t="s">
        <v>4810</v>
      </c>
      <c r="F605" s="454">
        <f t="shared" si="258"/>
        <v>24.67</v>
      </c>
      <c r="G605" s="529">
        <v>24.67</v>
      </c>
      <c r="H605" s="487">
        <f t="shared" si="259"/>
        <v>19.739999999999998</v>
      </c>
      <c r="I605" s="706"/>
      <c r="J605" s="669" t="s">
        <v>5805</v>
      </c>
      <c r="K605" s="15"/>
      <c r="M605" s="49">
        <f t="shared" si="260"/>
        <v>24.67</v>
      </c>
      <c r="N605" s="41">
        <v>11.67</v>
      </c>
      <c r="O605" s="186"/>
      <c r="P605" s="177"/>
      <c r="Q605" s="178"/>
      <c r="R605" s="178"/>
      <c r="S605" s="178" t="s">
        <v>4180</v>
      </c>
      <c r="T605" t="s">
        <v>4180</v>
      </c>
      <c r="U605" s="179"/>
      <c r="V605" s="178"/>
      <c r="W605" s="180"/>
      <c r="X605" s="180"/>
      <c r="Y605" s="178"/>
      <c r="Z605" s="178" t="s">
        <v>1017</v>
      </c>
      <c r="AA605" s="180"/>
      <c r="AB605" s="178"/>
      <c r="AC605" s="178"/>
      <c r="AD605" s="201"/>
      <c r="AE605" s="181" t="s">
        <v>1017</v>
      </c>
      <c r="AF605" s="180"/>
      <c r="AG605" s="201"/>
      <c r="AH605" s="212" t="str">
        <f t="shared" ref="AH605:AH610" si="287">IF(ISERROR(SEARCH("K erstmals 201",D605)),"",RIGHT(D605,4))</f>
        <v/>
      </c>
      <c r="AI605" s="214" t="str">
        <f t="shared" si="282"/>
        <v/>
      </c>
      <c r="AJ605" s="214" t="str">
        <f t="shared" si="283"/>
        <v/>
      </c>
      <c r="AK605" s="214" t="str">
        <f t="shared" si="284"/>
        <v/>
      </c>
      <c r="AL605" s="214" t="str">
        <f t="shared" si="285"/>
        <v/>
      </c>
      <c r="AM605" s="214" t="str">
        <f t="shared" si="286"/>
        <v/>
      </c>
      <c r="AN605" s="213" t="str">
        <f t="shared" si="269"/>
        <v/>
      </c>
      <c r="AO605" s="213" t="str">
        <f t="shared" si="270"/>
        <v/>
      </c>
      <c r="AP605" s="213" t="str">
        <f t="shared" si="271"/>
        <v/>
      </c>
      <c r="AQ605" s="215" t="str">
        <f t="shared" si="272"/>
        <v/>
      </c>
      <c r="AR605" s="216" t="str">
        <f t="shared" si="273"/>
        <v>BiK81M1b----04</v>
      </c>
      <c r="AS605" s="215" t="str">
        <f t="shared" si="274"/>
        <v/>
      </c>
      <c r="AT605">
        <f t="shared" si="275"/>
        <v>14</v>
      </c>
      <c r="AU605" s="216" t="str">
        <f t="shared" si="276"/>
        <v>0-0,15 MW, Bonusregeln M1, b</v>
      </c>
      <c r="AV605" s="215" t="str">
        <f t="shared" si="277"/>
        <v/>
      </c>
      <c r="AW605" s="216" t="str">
        <f t="shared" si="278"/>
        <v>Anteil Nicht-KWK</v>
      </c>
      <c r="AX605" s="215" t="str">
        <f t="shared" si="279"/>
        <v/>
      </c>
      <c r="AY605" t="str">
        <f t="shared" si="280"/>
        <v/>
      </c>
      <c r="AZ605" t="str">
        <f t="shared" si="281"/>
        <v/>
      </c>
    </row>
    <row r="606" spans="1:52" x14ac:dyDescent="0.25">
      <c r="A606" s="610" t="s">
        <v>4867</v>
      </c>
      <c r="B606" s="30" t="s">
        <v>5548</v>
      </c>
      <c r="C606" s="30" t="s">
        <v>4809</v>
      </c>
      <c r="D606" s="30" t="s">
        <v>6950</v>
      </c>
      <c r="E606" s="30" t="s">
        <v>4812</v>
      </c>
      <c r="F606" s="454">
        <f t="shared" si="258"/>
        <v>26.67</v>
      </c>
      <c r="G606" s="529">
        <v>26.67</v>
      </c>
      <c r="H606" s="487">
        <f t="shared" si="259"/>
        <v>21.34</v>
      </c>
      <c r="I606" s="706"/>
      <c r="J606" s="669" t="s">
        <v>5805</v>
      </c>
      <c r="K606" s="15"/>
      <c r="M606" s="49">
        <f t="shared" si="260"/>
        <v>26.67</v>
      </c>
      <c r="N606" s="41">
        <v>11.67</v>
      </c>
      <c r="O606" s="186" t="s">
        <v>1017</v>
      </c>
      <c r="P606" s="177"/>
      <c r="Q606" s="178"/>
      <c r="R606" s="178"/>
      <c r="S606" s="178" t="s">
        <v>4180</v>
      </c>
      <c r="T606" t="s">
        <v>4180</v>
      </c>
      <c r="U606" s="179"/>
      <c r="V606" s="178"/>
      <c r="W606" s="180"/>
      <c r="X606" s="180"/>
      <c r="Y606" s="178"/>
      <c r="Z606" s="178" t="s">
        <v>1017</v>
      </c>
      <c r="AA606" s="180"/>
      <c r="AB606" s="178"/>
      <c r="AC606" s="178"/>
      <c r="AD606" s="201"/>
      <c r="AE606" s="181" t="s">
        <v>1017</v>
      </c>
      <c r="AF606" s="180"/>
      <c r="AG606" s="201"/>
      <c r="AH606" s="212" t="str">
        <f t="shared" si="287"/>
        <v/>
      </c>
      <c r="AI606" s="214" t="str">
        <f t="shared" si="282"/>
        <v/>
      </c>
      <c r="AJ606" s="214" t="str">
        <f t="shared" si="283"/>
        <v/>
      </c>
      <c r="AK606" s="214" t="str">
        <f t="shared" si="284"/>
        <v/>
      </c>
      <c r="AL606" s="214" t="str">
        <f t="shared" si="285"/>
        <v/>
      </c>
      <c r="AM606" s="214" t="str">
        <f t="shared" si="286"/>
        <v/>
      </c>
      <c r="AN606" s="213" t="str">
        <f t="shared" si="269"/>
        <v/>
      </c>
      <c r="AO606" s="213" t="str">
        <f t="shared" si="270"/>
        <v/>
      </c>
      <c r="AP606" s="213" t="str">
        <f t="shared" si="271"/>
        <v/>
      </c>
      <c r="AQ606" s="215" t="str">
        <f t="shared" si="272"/>
        <v/>
      </c>
      <c r="AR606" s="216" t="str">
        <f t="shared" si="273"/>
        <v>BiK81M1bKWK-04</v>
      </c>
      <c r="AS606" s="215" t="str">
        <f t="shared" si="274"/>
        <v/>
      </c>
      <c r="AT606">
        <f t="shared" si="275"/>
        <v>14</v>
      </c>
      <c r="AU606" s="216" t="str">
        <f t="shared" si="276"/>
        <v>0-0,15 MW, Bonusregeln M1, b und KWK</v>
      </c>
      <c r="AV606" s="215" t="str">
        <f t="shared" si="277"/>
        <v/>
      </c>
      <c r="AW606" s="216" t="str">
        <f t="shared" si="278"/>
        <v>Anteil KWK</v>
      </c>
      <c r="AX606" s="215" t="str">
        <f t="shared" si="279"/>
        <v/>
      </c>
      <c r="AY606" t="str">
        <f t="shared" si="280"/>
        <v/>
      </c>
      <c r="AZ606" t="str">
        <f t="shared" si="281"/>
        <v/>
      </c>
    </row>
    <row r="607" spans="1:52" x14ac:dyDescent="0.25">
      <c r="A607" s="610" t="s">
        <v>4868</v>
      </c>
      <c r="B607" s="30" t="s">
        <v>5548</v>
      </c>
      <c r="C607" s="30" t="s">
        <v>4809</v>
      </c>
      <c r="D607" s="30" t="s">
        <v>6951</v>
      </c>
      <c r="E607" s="30" t="s">
        <v>4331</v>
      </c>
      <c r="F607" s="454">
        <f t="shared" ref="F607:F670" si="288">M607</f>
        <v>27.67</v>
      </c>
      <c r="G607" s="529">
        <v>27.67</v>
      </c>
      <c r="H607" s="487">
        <f t="shared" ref="H607:H670" si="289">IF(ISNUMBER(G607),ROUND(0.8*G607,2),"")</f>
        <v>22.14</v>
      </c>
      <c r="I607" s="706"/>
      <c r="J607" s="669" t="s">
        <v>5805</v>
      </c>
      <c r="K607" s="15"/>
      <c r="M607" s="49">
        <f t="shared" ref="M607:M670" si="290">N607+SUMIF(O607:AG607,"x",O$478:AG$478)</f>
        <v>27.67</v>
      </c>
      <c r="N607" s="41">
        <v>11.67</v>
      </c>
      <c r="O607" s="186"/>
      <c r="P607" s="178" t="s">
        <v>1017</v>
      </c>
      <c r="Q607" s="178"/>
      <c r="R607" s="178"/>
      <c r="S607" s="178" t="s">
        <v>4180</v>
      </c>
      <c r="T607" t="s">
        <v>4180</v>
      </c>
      <c r="U607" s="179"/>
      <c r="V607" s="178"/>
      <c r="W607" s="180"/>
      <c r="X607" s="180"/>
      <c r="Y607" s="178"/>
      <c r="Z607" s="178" t="s">
        <v>1017</v>
      </c>
      <c r="AA607" s="180"/>
      <c r="AB607" s="178"/>
      <c r="AC607" s="178"/>
      <c r="AD607" s="201"/>
      <c r="AE607" s="181" t="s">
        <v>1017</v>
      </c>
      <c r="AF607" s="180"/>
      <c r="AG607" s="201"/>
      <c r="AH607" s="212" t="str">
        <f t="shared" si="287"/>
        <v/>
      </c>
      <c r="AI607" s="214" t="str">
        <f t="shared" si="282"/>
        <v/>
      </c>
      <c r="AJ607" s="214" t="str">
        <f t="shared" si="283"/>
        <v/>
      </c>
      <c r="AK607" s="214" t="str">
        <f t="shared" si="284"/>
        <v/>
      </c>
      <c r="AL607" s="214" t="str">
        <f t="shared" si="285"/>
        <v/>
      </c>
      <c r="AM607" s="214" t="str">
        <f t="shared" si="286"/>
        <v/>
      </c>
      <c r="AN607" s="213" t="str">
        <f t="shared" si="269"/>
        <v/>
      </c>
      <c r="AO607" s="213" t="str">
        <f t="shared" si="270"/>
        <v/>
      </c>
      <c r="AP607" s="213" t="str">
        <f t="shared" si="271"/>
        <v/>
      </c>
      <c r="AQ607" s="215" t="str">
        <f t="shared" si="272"/>
        <v/>
      </c>
      <c r="AR607" s="216" t="str">
        <f t="shared" si="273"/>
        <v>BiK81M1bKA3-04</v>
      </c>
      <c r="AS607" s="215" t="str">
        <f t="shared" si="274"/>
        <v/>
      </c>
      <c r="AT607">
        <f t="shared" si="275"/>
        <v>14</v>
      </c>
      <c r="AU607" s="216" t="str">
        <f t="shared" si="276"/>
        <v>0-0,15 MW, Bonusregeln M1, b und K wenn Anlage 3 erfüllt</v>
      </c>
      <c r="AV607" s="215" t="str">
        <f t="shared" si="277"/>
        <v/>
      </c>
      <c r="AW607" s="216" t="str">
        <f t="shared" si="278"/>
        <v>Anteil KWK gemäß Anlage 3</v>
      </c>
      <c r="AX607" s="215" t="str">
        <f t="shared" si="279"/>
        <v/>
      </c>
      <c r="AY607" t="str">
        <f t="shared" si="280"/>
        <v/>
      </c>
      <c r="AZ607" t="str">
        <f t="shared" si="281"/>
        <v/>
      </c>
    </row>
    <row r="608" spans="1:52" x14ac:dyDescent="0.25">
      <c r="A608" s="610" t="s">
        <v>4869</v>
      </c>
      <c r="B608" s="30" t="s">
        <v>5548</v>
      </c>
      <c r="C608" s="30" t="s">
        <v>4809</v>
      </c>
      <c r="D608" s="30" t="s">
        <v>6952</v>
      </c>
      <c r="E608" s="30" t="s">
        <v>674</v>
      </c>
      <c r="F608" s="454">
        <f t="shared" si="288"/>
        <v>27.67</v>
      </c>
      <c r="G608" s="529">
        <v>27.67</v>
      </c>
      <c r="H608" s="487">
        <f t="shared" si="289"/>
        <v>22.14</v>
      </c>
      <c r="I608" s="706"/>
      <c r="J608" s="669" t="s">
        <v>5805</v>
      </c>
      <c r="K608" s="15"/>
      <c r="M608" s="49">
        <f t="shared" si="290"/>
        <v>27.67</v>
      </c>
      <c r="N608" s="41">
        <v>11.67</v>
      </c>
      <c r="O608" s="186"/>
      <c r="P608" s="177"/>
      <c r="Q608" s="178" t="s">
        <v>1017</v>
      </c>
      <c r="R608" s="178"/>
      <c r="S608" s="178" t="s">
        <v>4180</v>
      </c>
      <c r="T608" t="s">
        <v>4180</v>
      </c>
      <c r="U608" s="179"/>
      <c r="V608" s="178"/>
      <c r="W608" s="180"/>
      <c r="X608" s="180"/>
      <c r="Y608" s="178"/>
      <c r="Z608" s="178" t="s">
        <v>1017</v>
      </c>
      <c r="AA608" s="180"/>
      <c r="AB608" s="178"/>
      <c r="AC608" s="178"/>
      <c r="AD608" s="201"/>
      <c r="AE608" s="181" t="s">
        <v>1017</v>
      </c>
      <c r="AF608" s="180"/>
      <c r="AG608" s="201"/>
      <c r="AH608" s="212" t="str">
        <f t="shared" si="287"/>
        <v/>
      </c>
      <c r="AI608" s="214" t="str">
        <f t="shared" si="282"/>
        <v/>
      </c>
      <c r="AJ608" s="214" t="str">
        <f t="shared" si="283"/>
        <v/>
      </c>
      <c r="AK608" s="214" t="str">
        <f t="shared" si="284"/>
        <v/>
      </c>
      <c r="AL608" s="214" t="str">
        <f t="shared" si="285"/>
        <v/>
      </c>
      <c r="AM608" s="214" t="str">
        <f t="shared" si="286"/>
        <v/>
      </c>
      <c r="AN608" s="213" t="str">
        <f t="shared" si="269"/>
        <v/>
      </c>
      <c r="AO608" s="213" t="str">
        <f t="shared" si="270"/>
        <v/>
      </c>
      <c r="AP608" s="213" t="str">
        <f t="shared" si="271"/>
        <v/>
      </c>
      <c r="AQ608" s="215" t="str">
        <f t="shared" si="272"/>
        <v/>
      </c>
      <c r="AR608" s="216" t="str">
        <f t="shared" si="273"/>
        <v>BiK81M1bK09-04</v>
      </c>
      <c r="AS608" s="215" t="str">
        <f t="shared" si="274"/>
        <v/>
      </c>
      <c r="AT608">
        <f t="shared" si="275"/>
        <v>14</v>
      </c>
      <c r="AU608" s="216" t="str">
        <f t="shared" si="276"/>
        <v>0-0,15 MW, Bonusregeln M1, b und K erstmals 2009</v>
      </c>
      <c r="AV608" s="215" t="str">
        <f t="shared" si="277"/>
        <v/>
      </c>
      <c r="AW608" s="216" t="str">
        <f t="shared" si="278"/>
        <v>Anteil KWK, erstmals 2009</v>
      </c>
      <c r="AX608" s="215" t="str">
        <f t="shared" si="279"/>
        <v/>
      </c>
      <c r="AY608" t="str">
        <f t="shared" si="280"/>
        <v/>
      </c>
      <c r="AZ608" t="str">
        <f t="shared" si="281"/>
        <v/>
      </c>
    </row>
    <row r="609" spans="1:52" x14ac:dyDescent="0.25">
      <c r="A609" s="610" t="s">
        <v>1439</v>
      </c>
      <c r="B609" s="30" t="s">
        <v>5548</v>
      </c>
      <c r="C609" s="30" t="s">
        <v>4809</v>
      </c>
      <c r="D609" s="30" t="s">
        <v>6953</v>
      </c>
      <c r="E609" s="30" t="s">
        <v>3567</v>
      </c>
      <c r="F609" s="454">
        <f t="shared" si="288"/>
        <v>27.64</v>
      </c>
      <c r="G609" s="529">
        <v>27.64</v>
      </c>
      <c r="H609" s="487">
        <f t="shared" si="289"/>
        <v>22.11</v>
      </c>
      <c r="I609" s="706"/>
      <c r="J609" s="669" t="s">
        <v>5805</v>
      </c>
      <c r="K609" s="15"/>
      <c r="M609" s="49">
        <f t="shared" si="290"/>
        <v>27.64</v>
      </c>
      <c r="N609" s="41">
        <v>11.67</v>
      </c>
      <c r="O609" s="186"/>
      <c r="P609" s="177"/>
      <c r="Q609" s="178"/>
      <c r="R609" s="178" t="s">
        <v>1017</v>
      </c>
      <c r="S609" s="178" t="s">
        <v>4180</v>
      </c>
      <c r="T609" t="s">
        <v>4180</v>
      </c>
      <c r="U609" s="179"/>
      <c r="V609" s="178"/>
      <c r="W609" s="180"/>
      <c r="X609" s="180"/>
      <c r="Y609" s="178"/>
      <c r="Z609" s="178" t="s">
        <v>1017</v>
      </c>
      <c r="AA609" s="180"/>
      <c r="AB609" s="178"/>
      <c r="AC609" s="178"/>
      <c r="AD609" s="201"/>
      <c r="AE609" s="181" t="s">
        <v>1017</v>
      </c>
      <c r="AF609" s="180"/>
      <c r="AG609" s="201"/>
      <c r="AH609" s="212" t="str">
        <f t="shared" si="287"/>
        <v>2010</v>
      </c>
      <c r="AI609" s="214" t="str">
        <f t="shared" si="282"/>
        <v/>
      </c>
      <c r="AJ609" s="214" t="str">
        <f t="shared" si="283"/>
        <v/>
      </c>
      <c r="AK609" s="214" t="str">
        <f t="shared" si="284"/>
        <v/>
      </c>
      <c r="AL609" s="214" t="str">
        <f t="shared" si="285"/>
        <v/>
      </c>
      <c r="AM609" s="214" t="str">
        <f t="shared" si="286"/>
        <v/>
      </c>
      <c r="AN609" s="213" t="str">
        <f t="shared" si="269"/>
        <v>2010</v>
      </c>
      <c r="AO609" s="213" t="str">
        <f t="shared" si="270"/>
        <v>2010</v>
      </c>
      <c r="AP609" s="213" t="str">
        <f t="shared" si="271"/>
        <v>2010</v>
      </c>
      <c r="AQ609" s="215" t="str">
        <f t="shared" si="272"/>
        <v/>
      </c>
      <c r="AR609" s="216" t="str">
        <f t="shared" si="273"/>
        <v>BiK81M1bK10-04</v>
      </c>
      <c r="AS609" s="215" t="str">
        <f t="shared" si="274"/>
        <v/>
      </c>
      <c r="AT609">
        <f t="shared" si="275"/>
        <v>14</v>
      </c>
      <c r="AU609" s="216" t="str">
        <f t="shared" si="276"/>
        <v>0-0,15 MW, Bonusregeln M1, b und K erstmals 2010</v>
      </c>
      <c r="AV609" s="215" t="str">
        <f t="shared" si="277"/>
        <v/>
      </c>
      <c r="AW609" s="216" t="str">
        <f t="shared" si="278"/>
        <v>Anteil KWK, erstmals 2010</v>
      </c>
      <c r="AX609" s="215" t="str">
        <f t="shared" si="279"/>
        <v/>
      </c>
      <c r="AY609" t="str">
        <f t="shared" si="280"/>
        <v/>
      </c>
      <c r="AZ609" t="str">
        <f t="shared" si="281"/>
        <v/>
      </c>
    </row>
    <row r="610" spans="1:52" x14ac:dyDescent="0.25">
      <c r="A610" s="610" t="s">
        <v>5261</v>
      </c>
      <c r="B610" s="30" t="s">
        <v>5548</v>
      </c>
      <c r="C610" s="30" t="s">
        <v>4809</v>
      </c>
      <c r="D610" s="30" t="s">
        <v>6954</v>
      </c>
      <c r="E610" s="30" t="s">
        <v>3055</v>
      </c>
      <c r="F610" s="454">
        <f t="shared" si="288"/>
        <v>27.61</v>
      </c>
      <c r="G610" s="529">
        <v>27.61</v>
      </c>
      <c r="H610" s="487">
        <f t="shared" si="289"/>
        <v>22.09</v>
      </c>
      <c r="I610" s="706"/>
      <c r="J610" s="669" t="s">
        <v>5805</v>
      </c>
      <c r="K610" s="15"/>
      <c r="M610" s="49">
        <f t="shared" si="290"/>
        <v>27.61</v>
      </c>
      <c r="N610" s="41">
        <v>11.67</v>
      </c>
      <c r="O610" s="186"/>
      <c r="P610" s="177"/>
      <c r="Q610" s="178"/>
      <c r="R610" s="178"/>
      <c r="S610" s="178" t="s">
        <v>1017</v>
      </c>
      <c r="T610" t="s">
        <v>4180</v>
      </c>
      <c r="U610" s="179"/>
      <c r="V610" s="178"/>
      <c r="W610" s="180"/>
      <c r="X610" s="180"/>
      <c r="Y610" s="178"/>
      <c r="Z610" s="178" t="s">
        <v>1017</v>
      </c>
      <c r="AA610" s="180"/>
      <c r="AB610" s="178"/>
      <c r="AC610" s="178"/>
      <c r="AD610" s="201"/>
      <c r="AE610" s="181" t="s">
        <v>1017</v>
      </c>
      <c r="AF610" s="180"/>
      <c r="AG610" s="201"/>
      <c r="AH610" s="212" t="str">
        <f t="shared" si="287"/>
        <v>2011</v>
      </c>
      <c r="AI610" s="214" t="str">
        <f t="shared" si="282"/>
        <v/>
      </c>
      <c r="AJ610" s="214" t="str">
        <f t="shared" si="283"/>
        <v/>
      </c>
      <c r="AK610" s="214" t="str">
        <f t="shared" si="284"/>
        <v/>
      </c>
      <c r="AL610" s="214" t="str">
        <f t="shared" si="285"/>
        <v/>
      </c>
      <c r="AM610" s="214" t="str">
        <f t="shared" si="286"/>
        <v/>
      </c>
      <c r="AN610" s="213" t="str">
        <f t="shared" si="269"/>
        <v>2011</v>
      </c>
      <c r="AO610" s="213" t="str">
        <f t="shared" si="270"/>
        <v>2011</v>
      </c>
      <c r="AP610" s="213" t="str">
        <f t="shared" si="271"/>
        <v>2011</v>
      </c>
      <c r="AQ610" s="215" t="str">
        <f t="shared" si="272"/>
        <v/>
      </c>
      <c r="AR610" s="216" t="str">
        <f t="shared" si="273"/>
        <v>BiK81M1bK11-04</v>
      </c>
      <c r="AS610" s="215" t="str">
        <f t="shared" si="274"/>
        <v/>
      </c>
      <c r="AT610">
        <f t="shared" si="275"/>
        <v>14</v>
      </c>
      <c r="AU610" s="216" t="str">
        <f t="shared" si="276"/>
        <v>0-0,15 MW, Bonusregeln M1, b und K erstmals 2011</v>
      </c>
      <c r="AV610" s="215" t="str">
        <f t="shared" si="277"/>
        <v/>
      </c>
      <c r="AW610" s="216" t="str">
        <f t="shared" si="278"/>
        <v>Anteil KWK, erstmals 2011</v>
      </c>
      <c r="AX610" s="215" t="str">
        <f t="shared" si="279"/>
        <v/>
      </c>
      <c r="AY610" t="str">
        <f t="shared" si="280"/>
        <v>x</v>
      </c>
      <c r="AZ610" t="str">
        <f t="shared" si="281"/>
        <v/>
      </c>
    </row>
    <row r="611" spans="1:52" x14ac:dyDescent="0.25">
      <c r="A611" s="625" t="s">
        <v>1511</v>
      </c>
      <c r="B611" s="219" t="s">
        <v>5548</v>
      </c>
      <c r="C611" s="219" t="s">
        <v>4809</v>
      </c>
      <c r="D611" s="219" t="s">
        <v>6955</v>
      </c>
      <c r="E611" s="219" t="s">
        <v>1980</v>
      </c>
      <c r="F611" s="455">
        <f t="shared" si="288"/>
        <v>27.58</v>
      </c>
      <c r="G611" s="530">
        <v>27.58</v>
      </c>
      <c r="H611" s="488">
        <f t="shared" si="289"/>
        <v>22.06</v>
      </c>
      <c r="I611" s="707"/>
      <c r="J611" s="669" t="s">
        <v>5805</v>
      </c>
      <c r="K611" s="15"/>
      <c r="M611" s="49">
        <f t="shared" si="290"/>
        <v>27.58</v>
      </c>
      <c r="N611" s="41">
        <v>11.67</v>
      </c>
      <c r="O611" s="186"/>
      <c r="P611" s="177"/>
      <c r="Q611" s="178"/>
      <c r="R611" s="178"/>
      <c r="S611" s="178" t="s">
        <v>4180</v>
      </c>
      <c r="T611" t="s">
        <v>1017</v>
      </c>
      <c r="U611" s="179"/>
      <c r="V611" s="178"/>
      <c r="W611" s="180"/>
      <c r="X611" s="180"/>
      <c r="Y611" s="178"/>
      <c r="Z611" s="178" t="s">
        <v>1017</v>
      </c>
      <c r="AA611" s="180"/>
      <c r="AB611" s="178"/>
      <c r="AC611" s="178"/>
      <c r="AD611" s="201"/>
      <c r="AE611" s="181" t="s">
        <v>1017</v>
      </c>
      <c r="AF611" s="180"/>
      <c r="AG611" s="201"/>
      <c r="AH611" s="217" t="s">
        <v>4179</v>
      </c>
      <c r="AI611" s="214" t="str">
        <f t="shared" si="282"/>
        <v/>
      </c>
      <c r="AJ611" s="214" t="str">
        <f t="shared" si="283"/>
        <v/>
      </c>
      <c r="AK611" s="214" t="str">
        <f t="shared" si="284"/>
        <v/>
      </c>
      <c r="AL611" s="214" t="str">
        <f t="shared" si="285"/>
        <v/>
      </c>
      <c r="AM611" s="214" t="str">
        <f t="shared" si="286"/>
        <v/>
      </c>
      <c r="AN611" s="213" t="str">
        <f t="shared" si="269"/>
        <v>2012</v>
      </c>
      <c r="AO611" s="213" t="str">
        <f t="shared" si="270"/>
        <v>2012</v>
      </c>
      <c r="AP611" s="213" t="str">
        <f t="shared" si="271"/>
        <v>2012</v>
      </c>
      <c r="AQ611" s="215" t="str">
        <f t="shared" si="272"/>
        <v/>
      </c>
      <c r="AR611" s="216" t="str">
        <f t="shared" si="273"/>
        <v>BiK81M1bK12-04</v>
      </c>
      <c r="AS611" s="215" t="str">
        <f t="shared" si="274"/>
        <v/>
      </c>
      <c r="AT611">
        <f t="shared" si="275"/>
        <v>14</v>
      </c>
      <c r="AU611" s="216" t="str">
        <f t="shared" si="276"/>
        <v>0-0,15 MW, Bonusregeln M1, b und K erstmals 2012</v>
      </c>
      <c r="AV611" s="215" t="str">
        <f t="shared" si="277"/>
        <v/>
      </c>
      <c r="AW611" s="216" t="str">
        <f t="shared" si="278"/>
        <v>Anteil KWK, erstmals 2012</v>
      </c>
      <c r="AX611" s="215" t="str">
        <f t="shared" si="279"/>
        <v/>
      </c>
      <c r="AY611" t="str">
        <f t="shared" si="280"/>
        <v/>
      </c>
      <c r="AZ611" t="str">
        <f t="shared" si="281"/>
        <v>x</v>
      </c>
    </row>
    <row r="612" spans="1:52" x14ac:dyDescent="0.25">
      <c r="A612" s="610" t="s">
        <v>4870</v>
      </c>
      <c r="B612" s="30" t="s">
        <v>5548</v>
      </c>
      <c r="C612" s="30" t="s">
        <v>4809</v>
      </c>
      <c r="D612" s="30" t="s">
        <v>6956</v>
      </c>
      <c r="E612" s="30" t="s">
        <v>4810</v>
      </c>
      <c r="F612" s="454">
        <f t="shared" si="288"/>
        <v>25.67</v>
      </c>
      <c r="G612" s="529">
        <v>25.67</v>
      </c>
      <c r="H612" s="487">
        <f t="shared" si="289"/>
        <v>20.54</v>
      </c>
      <c r="I612" s="706"/>
      <c r="J612" s="669" t="s">
        <v>5805</v>
      </c>
      <c r="K612" s="15"/>
      <c r="M612" s="49">
        <f t="shared" si="290"/>
        <v>25.67</v>
      </c>
      <c r="N612" s="41">
        <v>11.67</v>
      </c>
      <c r="O612" s="187"/>
      <c r="P612" s="183"/>
      <c r="Q612" s="184"/>
      <c r="R612" s="184"/>
      <c r="S612" s="184" t="s">
        <v>4180</v>
      </c>
      <c r="T612" t="s">
        <v>4180</v>
      </c>
      <c r="U612" s="185" t="s">
        <v>1017</v>
      </c>
      <c r="V612" s="184"/>
      <c r="W612" s="180"/>
      <c r="X612" s="180"/>
      <c r="Y612" s="178"/>
      <c r="Z612" s="184" t="s">
        <v>1017</v>
      </c>
      <c r="AA612" s="180"/>
      <c r="AB612" s="184"/>
      <c r="AC612" s="184"/>
      <c r="AD612" s="201"/>
      <c r="AE612" s="181" t="s">
        <v>1017</v>
      </c>
      <c r="AF612" s="180"/>
      <c r="AG612" s="201"/>
      <c r="AH612" s="212" t="str">
        <f t="shared" ref="AH612:AH617" si="291">IF(ISERROR(SEARCH("K erstmals 201",D612)),"",RIGHT(D612,4))</f>
        <v/>
      </c>
      <c r="AI612" s="214" t="str">
        <f t="shared" si="282"/>
        <v/>
      </c>
      <c r="AJ612" s="214" t="str">
        <f t="shared" si="283"/>
        <v/>
      </c>
      <c r="AK612" s="214" t="str">
        <f t="shared" si="284"/>
        <v/>
      </c>
      <c r="AL612" s="214" t="str">
        <f t="shared" si="285"/>
        <v/>
      </c>
      <c r="AM612" s="214" t="str">
        <f t="shared" si="286"/>
        <v/>
      </c>
      <c r="AN612" s="213" t="str">
        <f t="shared" si="269"/>
        <v/>
      </c>
      <c r="AO612" s="213" t="str">
        <f t="shared" si="270"/>
        <v/>
      </c>
      <c r="AP612" s="213" t="str">
        <f t="shared" si="271"/>
        <v/>
      </c>
      <c r="AQ612" s="215" t="str">
        <f t="shared" si="272"/>
        <v/>
      </c>
      <c r="AR612" s="216" t="str">
        <f t="shared" si="273"/>
        <v>BiK81M1by---04</v>
      </c>
      <c r="AS612" s="215" t="str">
        <f t="shared" si="274"/>
        <v/>
      </c>
      <c r="AT612">
        <f t="shared" si="275"/>
        <v>14</v>
      </c>
      <c r="AU612" s="216" t="str">
        <f t="shared" si="276"/>
        <v>0-0,15 MW, Bonusregeln M1, y, b</v>
      </c>
      <c r="AV612" s="215" t="str">
        <f t="shared" si="277"/>
        <v/>
      </c>
      <c r="AW612" s="216" t="str">
        <f t="shared" si="278"/>
        <v>Anteil Nicht-KWK</v>
      </c>
      <c r="AX612" s="215" t="str">
        <f t="shared" si="279"/>
        <v/>
      </c>
      <c r="AY612" t="str">
        <f t="shared" si="280"/>
        <v/>
      </c>
      <c r="AZ612" t="str">
        <f t="shared" si="281"/>
        <v/>
      </c>
    </row>
    <row r="613" spans="1:52" x14ac:dyDescent="0.25">
      <c r="A613" s="610" t="s">
        <v>4871</v>
      </c>
      <c r="B613" s="30" t="s">
        <v>5548</v>
      </c>
      <c r="C613" s="30" t="s">
        <v>4809</v>
      </c>
      <c r="D613" s="30" t="s">
        <v>6957</v>
      </c>
      <c r="E613" s="30" t="s">
        <v>4812</v>
      </c>
      <c r="F613" s="454">
        <f t="shared" si="288"/>
        <v>27.67</v>
      </c>
      <c r="G613" s="529">
        <v>27.67</v>
      </c>
      <c r="H613" s="487">
        <f t="shared" si="289"/>
        <v>22.14</v>
      </c>
      <c r="I613" s="706"/>
      <c r="J613" s="669" t="s">
        <v>5805</v>
      </c>
      <c r="K613" s="15"/>
      <c r="M613" s="49">
        <f t="shared" si="290"/>
        <v>27.67</v>
      </c>
      <c r="N613" s="41">
        <v>11.67</v>
      </c>
      <c r="O613" s="187" t="s">
        <v>1017</v>
      </c>
      <c r="P613" s="183"/>
      <c r="Q613" s="184"/>
      <c r="R613" s="184"/>
      <c r="S613" s="184" t="s">
        <v>4180</v>
      </c>
      <c r="T613" t="s">
        <v>4180</v>
      </c>
      <c r="U613" s="185" t="s">
        <v>1017</v>
      </c>
      <c r="V613" s="184"/>
      <c r="W613" s="180"/>
      <c r="X613" s="180"/>
      <c r="Y613" s="178"/>
      <c r="Z613" s="184" t="s">
        <v>1017</v>
      </c>
      <c r="AA613" s="180"/>
      <c r="AB613" s="184"/>
      <c r="AC613" s="184"/>
      <c r="AD613" s="201"/>
      <c r="AE613" s="181" t="s">
        <v>1017</v>
      </c>
      <c r="AF613" s="180"/>
      <c r="AG613" s="201"/>
      <c r="AH613" s="212" t="str">
        <f t="shared" si="291"/>
        <v/>
      </c>
      <c r="AI613" s="214" t="str">
        <f t="shared" si="282"/>
        <v/>
      </c>
      <c r="AJ613" s="214" t="str">
        <f t="shared" si="283"/>
        <v/>
      </c>
      <c r="AK613" s="214" t="str">
        <f t="shared" si="284"/>
        <v/>
      </c>
      <c r="AL613" s="214" t="str">
        <f t="shared" si="285"/>
        <v/>
      </c>
      <c r="AM613" s="214" t="str">
        <f t="shared" si="286"/>
        <v/>
      </c>
      <c r="AN613" s="213" t="str">
        <f t="shared" si="269"/>
        <v/>
      </c>
      <c r="AO613" s="213" t="str">
        <f t="shared" si="270"/>
        <v/>
      </c>
      <c r="AP613" s="213" t="str">
        <f t="shared" si="271"/>
        <v/>
      </c>
      <c r="AQ613" s="215" t="str">
        <f t="shared" si="272"/>
        <v/>
      </c>
      <c r="AR613" s="216" t="str">
        <f t="shared" si="273"/>
        <v>BiK81M1bKWKy04</v>
      </c>
      <c r="AS613" s="215" t="str">
        <f t="shared" si="274"/>
        <v/>
      </c>
      <c r="AT613">
        <f t="shared" si="275"/>
        <v>14</v>
      </c>
      <c r="AU613" s="216" t="str">
        <f t="shared" si="276"/>
        <v>0-0,15 MW, Bonusregeln M1, y, b und KWK</v>
      </c>
      <c r="AV613" s="215" t="str">
        <f t="shared" si="277"/>
        <v/>
      </c>
      <c r="AW613" s="216" t="str">
        <f t="shared" si="278"/>
        <v>Anteil KWK</v>
      </c>
      <c r="AX613" s="215" t="str">
        <f t="shared" si="279"/>
        <v/>
      </c>
      <c r="AY613" t="str">
        <f t="shared" si="280"/>
        <v/>
      </c>
      <c r="AZ613" t="str">
        <f t="shared" si="281"/>
        <v/>
      </c>
    </row>
    <row r="614" spans="1:52" x14ac:dyDescent="0.25">
      <c r="A614" s="610" t="s">
        <v>4872</v>
      </c>
      <c r="B614" s="30" t="s">
        <v>5548</v>
      </c>
      <c r="C614" s="30" t="s">
        <v>4809</v>
      </c>
      <c r="D614" s="109" t="s">
        <v>6958</v>
      </c>
      <c r="E614" s="30" t="s">
        <v>4331</v>
      </c>
      <c r="F614" s="454">
        <f t="shared" si="288"/>
        <v>28.67</v>
      </c>
      <c r="G614" s="529">
        <v>28.67</v>
      </c>
      <c r="H614" s="487">
        <f t="shared" si="289"/>
        <v>22.94</v>
      </c>
      <c r="I614" s="706"/>
      <c r="J614" s="669" t="s">
        <v>5805</v>
      </c>
      <c r="K614" s="15"/>
      <c r="M614" s="49">
        <f t="shared" si="290"/>
        <v>28.67</v>
      </c>
      <c r="N614" s="41">
        <v>11.67</v>
      </c>
      <c r="O614" s="187"/>
      <c r="P614" s="184" t="s">
        <v>1017</v>
      </c>
      <c r="Q614" s="184"/>
      <c r="R614" s="184"/>
      <c r="S614" s="184" t="s">
        <v>4180</v>
      </c>
      <c r="T614" t="s">
        <v>4180</v>
      </c>
      <c r="U614" s="185" t="s">
        <v>1017</v>
      </c>
      <c r="V614" s="184"/>
      <c r="W614" s="180"/>
      <c r="X614" s="180"/>
      <c r="Y614" s="178"/>
      <c r="Z614" s="184" t="s">
        <v>1017</v>
      </c>
      <c r="AA614" s="180"/>
      <c r="AB614" s="184"/>
      <c r="AC614" s="184"/>
      <c r="AD614" s="201"/>
      <c r="AE614" s="181" t="s">
        <v>1017</v>
      </c>
      <c r="AF614" s="180"/>
      <c r="AG614" s="201"/>
      <c r="AH614" s="212" t="str">
        <f t="shared" si="291"/>
        <v/>
      </c>
      <c r="AI614" s="214" t="str">
        <f t="shared" si="282"/>
        <v/>
      </c>
      <c r="AJ614" s="214" t="str">
        <f t="shared" si="283"/>
        <v/>
      </c>
      <c r="AK614" s="214" t="str">
        <f t="shared" si="284"/>
        <v/>
      </c>
      <c r="AL614" s="214" t="str">
        <f t="shared" si="285"/>
        <v/>
      </c>
      <c r="AM614" s="214" t="str">
        <f t="shared" si="286"/>
        <v/>
      </c>
      <c r="AN614" s="213" t="str">
        <f t="shared" si="269"/>
        <v/>
      </c>
      <c r="AO614" s="213" t="str">
        <f t="shared" si="270"/>
        <v/>
      </c>
      <c r="AP614" s="213" t="str">
        <f t="shared" si="271"/>
        <v/>
      </c>
      <c r="AQ614" s="215" t="str">
        <f t="shared" si="272"/>
        <v/>
      </c>
      <c r="AR614" s="216" t="str">
        <f t="shared" si="273"/>
        <v>BiK81M1bKA3y04</v>
      </c>
      <c r="AS614" s="215" t="str">
        <f t="shared" si="274"/>
        <v/>
      </c>
      <c r="AT614">
        <f t="shared" si="275"/>
        <v>14</v>
      </c>
      <c r="AU614" s="216" t="str">
        <f t="shared" si="276"/>
        <v>0-0,15 MW, Bonusregeln M1, y, b und K wenn Anlage 3 erfüllt</v>
      </c>
      <c r="AV614" s="215" t="str">
        <f t="shared" si="277"/>
        <v/>
      </c>
      <c r="AW614" s="216" t="str">
        <f t="shared" si="278"/>
        <v>Anteil KWK gemäß Anlage 3</v>
      </c>
      <c r="AX614" s="215" t="str">
        <f t="shared" si="279"/>
        <v/>
      </c>
      <c r="AY614" t="str">
        <f t="shared" si="280"/>
        <v/>
      </c>
      <c r="AZ614" t="str">
        <f t="shared" si="281"/>
        <v/>
      </c>
    </row>
    <row r="615" spans="1:52" x14ac:dyDescent="0.25">
      <c r="A615" s="610" t="s">
        <v>4873</v>
      </c>
      <c r="B615" s="30" t="s">
        <v>5548</v>
      </c>
      <c r="C615" s="30" t="s">
        <v>4809</v>
      </c>
      <c r="D615" s="30" t="s">
        <v>6959</v>
      </c>
      <c r="E615" s="30" t="s">
        <v>674</v>
      </c>
      <c r="F615" s="454">
        <f t="shared" si="288"/>
        <v>28.67</v>
      </c>
      <c r="G615" s="529">
        <v>28.67</v>
      </c>
      <c r="H615" s="487">
        <f t="shared" si="289"/>
        <v>22.94</v>
      </c>
      <c r="I615" s="706"/>
      <c r="J615" s="669" t="s">
        <v>5805</v>
      </c>
      <c r="K615" s="15"/>
      <c r="M615" s="49">
        <f t="shared" si="290"/>
        <v>28.67</v>
      </c>
      <c r="N615" s="41">
        <v>11.67</v>
      </c>
      <c r="O615" s="187"/>
      <c r="P615" s="183"/>
      <c r="Q615" s="184" t="s">
        <v>1017</v>
      </c>
      <c r="R615" s="184"/>
      <c r="S615" s="184" t="s">
        <v>4180</v>
      </c>
      <c r="T615" t="s">
        <v>4180</v>
      </c>
      <c r="U615" s="185" t="s">
        <v>1017</v>
      </c>
      <c r="V615" s="184"/>
      <c r="W615" s="180"/>
      <c r="X615" s="180"/>
      <c r="Y615" s="178"/>
      <c r="Z615" s="184" t="s">
        <v>1017</v>
      </c>
      <c r="AA615" s="180"/>
      <c r="AB615" s="184"/>
      <c r="AC615" s="184"/>
      <c r="AD615" s="201"/>
      <c r="AE615" s="181" t="s">
        <v>1017</v>
      </c>
      <c r="AF615" s="180"/>
      <c r="AG615" s="201"/>
      <c r="AH615" s="212" t="str">
        <f t="shared" si="291"/>
        <v/>
      </c>
      <c r="AI615" s="214" t="str">
        <f t="shared" si="282"/>
        <v/>
      </c>
      <c r="AJ615" s="214" t="str">
        <f t="shared" si="283"/>
        <v/>
      </c>
      <c r="AK615" s="214" t="str">
        <f t="shared" si="284"/>
        <v/>
      </c>
      <c r="AL615" s="214" t="str">
        <f t="shared" si="285"/>
        <v/>
      </c>
      <c r="AM615" s="214" t="str">
        <f t="shared" si="286"/>
        <v/>
      </c>
      <c r="AN615" s="213" t="str">
        <f t="shared" si="269"/>
        <v/>
      </c>
      <c r="AO615" s="213" t="str">
        <f t="shared" si="270"/>
        <v/>
      </c>
      <c r="AP615" s="213" t="str">
        <f t="shared" si="271"/>
        <v/>
      </c>
      <c r="AQ615" s="215" t="str">
        <f t="shared" si="272"/>
        <v/>
      </c>
      <c r="AR615" s="216" t="str">
        <f t="shared" si="273"/>
        <v>BiK81M1bK09y04</v>
      </c>
      <c r="AS615" s="215" t="str">
        <f t="shared" si="274"/>
        <v/>
      </c>
      <c r="AT615">
        <f t="shared" si="275"/>
        <v>14</v>
      </c>
      <c r="AU615" s="216" t="str">
        <f t="shared" si="276"/>
        <v>0-0,15 MW, Bonusregeln M1, y, b und K erstmals 2009</v>
      </c>
      <c r="AV615" s="215" t="str">
        <f t="shared" si="277"/>
        <v/>
      </c>
      <c r="AW615" s="216" t="str">
        <f t="shared" si="278"/>
        <v>Anteil KWK, erstmals 2009</v>
      </c>
      <c r="AX615" s="215" t="str">
        <f t="shared" si="279"/>
        <v/>
      </c>
      <c r="AY615" t="str">
        <f t="shared" si="280"/>
        <v/>
      </c>
      <c r="AZ615" t="str">
        <f t="shared" si="281"/>
        <v/>
      </c>
    </row>
    <row r="616" spans="1:52" x14ac:dyDescent="0.25">
      <c r="A616" s="610" t="s">
        <v>1440</v>
      </c>
      <c r="B616" s="30" t="s">
        <v>5548</v>
      </c>
      <c r="C616" s="30" t="s">
        <v>4809</v>
      </c>
      <c r="D616" s="30" t="s">
        <v>6960</v>
      </c>
      <c r="E616" s="30" t="s">
        <v>3567</v>
      </c>
      <c r="F616" s="454">
        <f t="shared" si="288"/>
        <v>28.64</v>
      </c>
      <c r="G616" s="529">
        <v>28.64</v>
      </c>
      <c r="H616" s="487">
        <f t="shared" si="289"/>
        <v>22.91</v>
      </c>
      <c r="I616" s="706"/>
      <c r="J616" s="669" t="s">
        <v>5805</v>
      </c>
      <c r="K616" s="15"/>
      <c r="M616" s="49">
        <f t="shared" si="290"/>
        <v>28.64</v>
      </c>
      <c r="N616" s="41">
        <v>11.67</v>
      </c>
      <c r="O616" s="187"/>
      <c r="P616" s="183"/>
      <c r="Q616" s="184"/>
      <c r="R616" s="184" t="s">
        <v>1017</v>
      </c>
      <c r="S616" s="184" t="s">
        <v>4180</v>
      </c>
      <c r="T616" t="s">
        <v>4180</v>
      </c>
      <c r="U616" s="185" t="s">
        <v>1017</v>
      </c>
      <c r="V616" s="184"/>
      <c r="W616" s="180"/>
      <c r="X616" s="180"/>
      <c r="Y616" s="178"/>
      <c r="Z616" s="184" t="s">
        <v>1017</v>
      </c>
      <c r="AA616" s="180"/>
      <c r="AB616" s="184"/>
      <c r="AC616" s="184"/>
      <c r="AD616" s="201"/>
      <c r="AE616" s="181" t="s">
        <v>1017</v>
      </c>
      <c r="AF616" s="180"/>
      <c r="AG616" s="201"/>
      <c r="AH616" s="212" t="str">
        <f t="shared" si="291"/>
        <v>2010</v>
      </c>
      <c r="AI616" s="214" t="str">
        <f t="shared" si="282"/>
        <v/>
      </c>
      <c r="AJ616" s="214" t="str">
        <f t="shared" si="283"/>
        <v/>
      </c>
      <c r="AK616" s="214" t="str">
        <f t="shared" si="284"/>
        <v/>
      </c>
      <c r="AL616" s="214" t="str">
        <f t="shared" si="285"/>
        <v/>
      </c>
      <c r="AM616" s="214" t="str">
        <f t="shared" si="286"/>
        <v/>
      </c>
      <c r="AN616" s="213" t="str">
        <f t="shared" si="269"/>
        <v>2010</v>
      </c>
      <c r="AO616" s="213" t="str">
        <f t="shared" si="270"/>
        <v>2010</v>
      </c>
      <c r="AP616" s="213" t="str">
        <f t="shared" si="271"/>
        <v>2010</v>
      </c>
      <c r="AQ616" s="215" t="str">
        <f t="shared" si="272"/>
        <v/>
      </c>
      <c r="AR616" s="216" t="str">
        <f t="shared" si="273"/>
        <v>BiK81M1bK10y04</v>
      </c>
      <c r="AS616" s="215" t="str">
        <f t="shared" si="274"/>
        <v/>
      </c>
      <c r="AT616">
        <f t="shared" si="275"/>
        <v>14</v>
      </c>
      <c r="AU616" s="216" t="str">
        <f t="shared" si="276"/>
        <v>0-0,15 MW, Bonusregeln M1, y, b und K erstmals 2010</v>
      </c>
      <c r="AV616" s="215" t="str">
        <f t="shared" si="277"/>
        <v/>
      </c>
      <c r="AW616" s="216" t="str">
        <f t="shared" si="278"/>
        <v>Anteil KWK, erstmals 2010</v>
      </c>
      <c r="AX616" s="215" t="str">
        <f t="shared" si="279"/>
        <v/>
      </c>
      <c r="AY616" t="str">
        <f t="shared" si="280"/>
        <v/>
      </c>
      <c r="AZ616" t="str">
        <f t="shared" si="281"/>
        <v/>
      </c>
    </row>
    <row r="617" spans="1:52" x14ac:dyDescent="0.25">
      <c r="A617" s="610" t="s">
        <v>5262</v>
      </c>
      <c r="B617" s="30" t="s">
        <v>5548</v>
      </c>
      <c r="C617" s="30" t="s">
        <v>4809</v>
      </c>
      <c r="D617" s="30" t="s">
        <v>6961</v>
      </c>
      <c r="E617" s="30" t="s">
        <v>3055</v>
      </c>
      <c r="F617" s="454">
        <f t="shared" si="288"/>
        <v>28.61</v>
      </c>
      <c r="G617" s="529">
        <v>28.61</v>
      </c>
      <c r="H617" s="487">
        <f t="shared" si="289"/>
        <v>22.89</v>
      </c>
      <c r="I617" s="706"/>
      <c r="J617" s="669" t="s">
        <v>5805</v>
      </c>
      <c r="K617" s="15"/>
      <c r="M617" s="49">
        <f t="shared" si="290"/>
        <v>28.61</v>
      </c>
      <c r="N617" s="41">
        <v>11.67</v>
      </c>
      <c r="O617" s="187"/>
      <c r="P617" s="183"/>
      <c r="Q617" s="184"/>
      <c r="R617" s="178"/>
      <c r="S617" s="184" t="s">
        <v>1017</v>
      </c>
      <c r="T617" t="s">
        <v>4180</v>
      </c>
      <c r="U617" s="185" t="s">
        <v>1017</v>
      </c>
      <c r="V617" s="184"/>
      <c r="W617" s="180"/>
      <c r="X617" s="180"/>
      <c r="Y617" s="178"/>
      <c r="Z617" s="184" t="s">
        <v>1017</v>
      </c>
      <c r="AA617" s="180"/>
      <c r="AB617" s="184"/>
      <c r="AC617" s="184"/>
      <c r="AD617" s="201"/>
      <c r="AE617" s="181" t="s">
        <v>1017</v>
      </c>
      <c r="AF617" s="180"/>
      <c r="AG617" s="201"/>
      <c r="AH617" s="212" t="str">
        <f t="shared" si="291"/>
        <v>2011</v>
      </c>
      <c r="AI617" s="214" t="str">
        <f t="shared" si="282"/>
        <v/>
      </c>
      <c r="AJ617" s="214" t="str">
        <f t="shared" si="283"/>
        <v/>
      </c>
      <c r="AK617" s="214" t="str">
        <f t="shared" si="284"/>
        <v/>
      </c>
      <c r="AL617" s="214" t="str">
        <f t="shared" si="285"/>
        <v/>
      </c>
      <c r="AM617" s="214" t="str">
        <f t="shared" si="286"/>
        <v/>
      </c>
      <c r="AN617" s="213" t="str">
        <f t="shared" si="269"/>
        <v>2011</v>
      </c>
      <c r="AO617" s="213" t="str">
        <f t="shared" si="270"/>
        <v>2011</v>
      </c>
      <c r="AP617" s="213" t="str">
        <f t="shared" si="271"/>
        <v>2011</v>
      </c>
      <c r="AQ617" s="215" t="str">
        <f t="shared" si="272"/>
        <v/>
      </c>
      <c r="AR617" s="216" t="str">
        <f t="shared" si="273"/>
        <v>BiK81M1bK11y04</v>
      </c>
      <c r="AS617" s="215" t="str">
        <f t="shared" si="274"/>
        <v/>
      </c>
      <c r="AT617">
        <f t="shared" si="275"/>
        <v>14</v>
      </c>
      <c r="AU617" s="216" t="str">
        <f t="shared" si="276"/>
        <v>0-0,15 MW, Bonusregeln M1, y, b und K erstmals 2011</v>
      </c>
      <c r="AV617" s="215" t="str">
        <f t="shared" si="277"/>
        <v/>
      </c>
      <c r="AW617" s="216" t="str">
        <f t="shared" si="278"/>
        <v>Anteil KWK, erstmals 2011</v>
      </c>
      <c r="AX617" s="215" t="str">
        <f t="shared" si="279"/>
        <v/>
      </c>
      <c r="AY617" t="str">
        <f t="shared" si="280"/>
        <v>x</v>
      </c>
      <c r="AZ617" t="str">
        <f t="shared" si="281"/>
        <v/>
      </c>
    </row>
    <row r="618" spans="1:52" x14ac:dyDescent="0.25">
      <c r="A618" s="625" t="s">
        <v>1512</v>
      </c>
      <c r="B618" s="219" t="s">
        <v>5548</v>
      </c>
      <c r="C618" s="219" t="s">
        <v>4809</v>
      </c>
      <c r="D618" s="219" t="s">
        <v>6962</v>
      </c>
      <c r="E618" s="219" t="s">
        <v>1980</v>
      </c>
      <c r="F618" s="455">
        <f t="shared" si="288"/>
        <v>28.58</v>
      </c>
      <c r="G618" s="530">
        <v>28.58</v>
      </c>
      <c r="H618" s="488">
        <f t="shared" si="289"/>
        <v>22.86</v>
      </c>
      <c r="I618" s="707"/>
      <c r="J618" s="669" t="s">
        <v>5805</v>
      </c>
      <c r="K618" s="15"/>
      <c r="M618" s="49">
        <f t="shared" si="290"/>
        <v>28.58</v>
      </c>
      <c r="N618" s="41">
        <v>11.67</v>
      </c>
      <c r="O618" s="187"/>
      <c r="P618" s="183"/>
      <c r="Q618" s="184"/>
      <c r="R618" s="178"/>
      <c r="S618" s="184" t="s">
        <v>4180</v>
      </c>
      <c r="T618" t="s">
        <v>1017</v>
      </c>
      <c r="U618" s="185" t="s">
        <v>1017</v>
      </c>
      <c r="V618" s="184"/>
      <c r="W618" s="180"/>
      <c r="X618" s="180"/>
      <c r="Y618" s="178"/>
      <c r="Z618" s="184" t="s">
        <v>1017</v>
      </c>
      <c r="AA618" s="180"/>
      <c r="AB618" s="184"/>
      <c r="AC618" s="184"/>
      <c r="AD618" s="201"/>
      <c r="AE618" s="181" t="s">
        <v>1017</v>
      </c>
      <c r="AF618" s="180"/>
      <c r="AG618" s="201"/>
      <c r="AH618" s="217" t="s">
        <v>4179</v>
      </c>
      <c r="AI618" s="214" t="str">
        <f t="shared" si="282"/>
        <v/>
      </c>
      <c r="AJ618" s="214" t="str">
        <f t="shared" si="283"/>
        <v/>
      </c>
      <c r="AK618" s="214" t="str">
        <f t="shared" si="284"/>
        <v/>
      </c>
      <c r="AL618" s="214" t="str">
        <f t="shared" si="285"/>
        <v/>
      </c>
      <c r="AM618" s="214" t="str">
        <f t="shared" si="286"/>
        <v/>
      </c>
      <c r="AN618" s="213" t="str">
        <f t="shared" si="269"/>
        <v>2012</v>
      </c>
      <c r="AO618" s="213" t="str">
        <f t="shared" si="270"/>
        <v>2012</v>
      </c>
      <c r="AP618" s="213" t="str">
        <f t="shared" si="271"/>
        <v>2012</v>
      </c>
      <c r="AQ618" s="215" t="str">
        <f t="shared" si="272"/>
        <v/>
      </c>
      <c r="AR618" s="216" t="str">
        <f t="shared" si="273"/>
        <v>BiK81M1bK12y04</v>
      </c>
      <c r="AS618" s="215" t="str">
        <f t="shared" si="274"/>
        <v/>
      </c>
      <c r="AT618">
        <f t="shared" si="275"/>
        <v>14</v>
      </c>
      <c r="AU618" s="216" t="str">
        <f t="shared" si="276"/>
        <v>0-0,15 MW, Bonusregeln M1, y, b und K erstmals 2012</v>
      </c>
      <c r="AV618" s="215" t="str">
        <f t="shared" si="277"/>
        <v/>
      </c>
      <c r="AW618" s="216" t="str">
        <f t="shared" si="278"/>
        <v>Anteil KWK, erstmals 2012</v>
      </c>
      <c r="AX618" s="215" t="str">
        <f t="shared" si="279"/>
        <v/>
      </c>
      <c r="AY618" t="str">
        <f t="shared" si="280"/>
        <v/>
      </c>
      <c r="AZ618" t="str">
        <f t="shared" si="281"/>
        <v>x</v>
      </c>
    </row>
    <row r="619" spans="1:52" s="178" customFormat="1" x14ac:dyDescent="0.25">
      <c r="A619" s="610" t="s">
        <v>4874</v>
      </c>
      <c r="B619" s="30" t="s">
        <v>5548</v>
      </c>
      <c r="C619" s="30" t="s">
        <v>4809</v>
      </c>
      <c r="D619" s="30" t="s">
        <v>6963</v>
      </c>
      <c r="E619" s="30" t="s">
        <v>4810</v>
      </c>
      <c r="F619" s="454">
        <f t="shared" si="288"/>
        <v>22.67</v>
      </c>
      <c r="G619" s="529">
        <v>22.67</v>
      </c>
      <c r="H619" s="487">
        <f t="shared" si="289"/>
        <v>18.14</v>
      </c>
      <c r="I619" s="706"/>
      <c r="J619" s="669" t="s">
        <v>5805</v>
      </c>
      <c r="K619" s="15"/>
      <c r="L619"/>
      <c r="M619" s="49">
        <f t="shared" si="290"/>
        <v>22.67</v>
      </c>
      <c r="N619" s="41">
        <v>11.67</v>
      </c>
      <c r="O619" s="186"/>
      <c r="P619" s="177"/>
      <c r="S619" s="178" t="s">
        <v>4180</v>
      </c>
      <c r="T619" s="178" t="s">
        <v>4180</v>
      </c>
      <c r="U619" s="179"/>
      <c r="W619" s="180"/>
      <c r="X619" s="180"/>
      <c r="AA619" s="180"/>
      <c r="AB619" s="178" t="s">
        <v>1017</v>
      </c>
      <c r="AD619" s="201"/>
      <c r="AE619" s="181" t="s">
        <v>1017</v>
      </c>
      <c r="AF619" s="180"/>
      <c r="AG619" s="201"/>
      <c r="AH619" s="212" t="str">
        <f t="shared" ref="AH619:AH624" si="292">IF(ISERROR(SEARCH("K erstmals 201",D619)),"",RIGHT(D619,4))</f>
        <v/>
      </c>
      <c r="AI619" s="214" t="str">
        <f t="shared" si="282"/>
        <v/>
      </c>
      <c r="AJ619" s="214" t="str">
        <f t="shared" si="283"/>
        <v/>
      </c>
      <c r="AK619" s="214" t="str">
        <f t="shared" si="284"/>
        <v/>
      </c>
      <c r="AL619" s="214" t="str">
        <f t="shared" si="285"/>
        <v/>
      </c>
      <c r="AM619" s="214" t="str">
        <f t="shared" si="286"/>
        <v/>
      </c>
      <c r="AN619" s="213" t="str">
        <f t="shared" si="269"/>
        <v/>
      </c>
      <c r="AO619" s="213" t="str">
        <f t="shared" si="270"/>
        <v/>
      </c>
      <c r="AP619" s="213" t="str">
        <f t="shared" si="271"/>
        <v/>
      </c>
      <c r="AQ619" s="215" t="str">
        <f t="shared" si="272"/>
        <v/>
      </c>
      <c r="AR619" s="216" t="str">
        <f t="shared" si="273"/>
        <v>BiK81Lb-----04</v>
      </c>
      <c r="AS619" s="215" t="str">
        <f t="shared" si="274"/>
        <v/>
      </c>
      <c r="AT619">
        <f t="shared" si="275"/>
        <v>14</v>
      </c>
      <c r="AU619" s="216" t="str">
        <f t="shared" si="276"/>
        <v>0-0,15 MW, Bonusregeln L, b</v>
      </c>
      <c r="AV619" s="215" t="str">
        <f t="shared" si="277"/>
        <v/>
      </c>
      <c r="AW619" s="216" t="str">
        <f t="shared" si="278"/>
        <v>Anteil Nicht-KWK</v>
      </c>
      <c r="AX619" s="215" t="str">
        <f t="shared" si="279"/>
        <v/>
      </c>
      <c r="AY619" t="str">
        <f t="shared" si="280"/>
        <v/>
      </c>
      <c r="AZ619" t="str">
        <f t="shared" si="281"/>
        <v/>
      </c>
    </row>
    <row r="620" spans="1:52" s="178" customFormat="1" x14ac:dyDescent="0.25">
      <c r="A620" s="610" t="s">
        <v>4875</v>
      </c>
      <c r="B620" s="30" t="s">
        <v>5548</v>
      </c>
      <c r="C620" s="30" t="s">
        <v>4809</v>
      </c>
      <c r="D620" s="30" t="s">
        <v>6964</v>
      </c>
      <c r="E620" s="30" t="s">
        <v>4812</v>
      </c>
      <c r="F620" s="454">
        <f t="shared" si="288"/>
        <v>24.67</v>
      </c>
      <c r="G620" s="529">
        <v>24.67</v>
      </c>
      <c r="H620" s="487">
        <f t="shared" si="289"/>
        <v>19.739999999999998</v>
      </c>
      <c r="I620" s="706"/>
      <c r="J620" s="669" t="s">
        <v>5805</v>
      </c>
      <c r="K620" s="15"/>
      <c r="L620"/>
      <c r="M620" s="49">
        <f t="shared" si="290"/>
        <v>24.67</v>
      </c>
      <c r="N620" s="41">
        <v>11.67</v>
      </c>
      <c r="O620" s="186" t="s">
        <v>1017</v>
      </c>
      <c r="P620" s="177"/>
      <c r="S620" s="178" t="s">
        <v>4180</v>
      </c>
      <c r="T620" s="178" t="s">
        <v>4180</v>
      </c>
      <c r="U620" s="179"/>
      <c r="W620" s="180"/>
      <c r="X620" s="180"/>
      <c r="AA620" s="180"/>
      <c r="AB620" s="178" t="s">
        <v>1017</v>
      </c>
      <c r="AD620" s="201"/>
      <c r="AE620" s="181" t="s">
        <v>1017</v>
      </c>
      <c r="AF620" s="180"/>
      <c r="AG620" s="201"/>
      <c r="AH620" s="212" t="str">
        <f t="shared" si="292"/>
        <v/>
      </c>
      <c r="AI620" s="214" t="str">
        <f t="shared" si="282"/>
        <v/>
      </c>
      <c r="AJ620" s="214" t="str">
        <f t="shared" si="283"/>
        <v/>
      </c>
      <c r="AK620" s="214" t="str">
        <f t="shared" si="284"/>
        <v/>
      </c>
      <c r="AL620" s="214" t="str">
        <f t="shared" si="285"/>
        <v/>
      </c>
      <c r="AM620" s="214" t="str">
        <f t="shared" si="286"/>
        <v/>
      </c>
      <c r="AN620" s="213" t="str">
        <f t="shared" si="269"/>
        <v/>
      </c>
      <c r="AO620" s="213" t="str">
        <f t="shared" si="270"/>
        <v/>
      </c>
      <c r="AP620" s="213" t="str">
        <f t="shared" si="271"/>
        <v/>
      </c>
      <c r="AQ620" s="215" t="str">
        <f t="shared" si="272"/>
        <v/>
      </c>
      <c r="AR620" s="216" t="str">
        <f t="shared" si="273"/>
        <v>BiK81LbKWK--04</v>
      </c>
      <c r="AS620" s="215" t="str">
        <f t="shared" si="274"/>
        <v/>
      </c>
      <c r="AT620">
        <f t="shared" si="275"/>
        <v>14</v>
      </c>
      <c r="AU620" s="216" t="str">
        <f t="shared" si="276"/>
        <v>0-0,15 MW, Bonusregeln L, b und KWK</v>
      </c>
      <c r="AV620" s="215" t="str">
        <f t="shared" si="277"/>
        <v/>
      </c>
      <c r="AW620" s="216" t="str">
        <f t="shared" si="278"/>
        <v>Anteil KWK</v>
      </c>
      <c r="AX620" s="215" t="str">
        <f t="shared" si="279"/>
        <v/>
      </c>
      <c r="AY620" t="str">
        <f t="shared" si="280"/>
        <v/>
      </c>
      <c r="AZ620" t="str">
        <f t="shared" si="281"/>
        <v/>
      </c>
    </row>
    <row r="621" spans="1:52" s="178" customFormat="1" x14ac:dyDescent="0.25">
      <c r="A621" s="610" t="s">
        <v>2258</v>
      </c>
      <c r="B621" s="30" t="s">
        <v>5548</v>
      </c>
      <c r="C621" s="30" t="s">
        <v>4809</v>
      </c>
      <c r="D621" s="30" t="s">
        <v>6965</v>
      </c>
      <c r="E621" s="30" t="s">
        <v>4331</v>
      </c>
      <c r="F621" s="454">
        <f t="shared" si="288"/>
        <v>25.67</v>
      </c>
      <c r="G621" s="529">
        <v>25.67</v>
      </c>
      <c r="H621" s="487">
        <f t="shared" si="289"/>
        <v>20.54</v>
      </c>
      <c r="I621" s="706"/>
      <c r="J621" s="669" t="s">
        <v>5805</v>
      </c>
      <c r="K621" s="15"/>
      <c r="L621"/>
      <c r="M621" s="49">
        <f t="shared" si="290"/>
        <v>25.67</v>
      </c>
      <c r="N621" s="41">
        <v>11.67</v>
      </c>
      <c r="O621" s="186"/>
      <c r="P621" s="178" t="s">
        <v>1017</v>
      </c>
      <c r="S621" s="178" t="s">
        <v>4180</v>
      </c>
      <c r="T621" s="178" t="s">
        <v>4180</v>
      </c>
      <c r="U621" s="179"/>
      <c r="W621" s="180"/>
      <c r="X621" s="180"/>
      <c r="AA621" s="180"/>
      <c r="AB621" s="178" t="s">
        <v>1017</v>
      </c>
      <c r="AD621" s="201"/>
      <c r="AE621" s="181" t="s">
        <v>1017</v>
      </c>
      <c r="AF621" s="180"/>
      <c r="AG621" s="201"/>
      <c r="AH621" s="212" t="str">
        <f t="shared" si="292"/>
        <v/>
      </c>
      <c r="AI621" s="214" t="str">
        <f t="shared" si="282"/>
        <v/>
      </c>
      <c r="AJ621" s="214" t="str">
        <f t="shared" si="283"/>
        <v/>
      </c>
      <c r="AK621" s="214" t="str">
        <f t="shared" si="284"/>
        <v/>
      </c>
      <c r="AL621" s="214" t="str">
        <f t="shared" si="285"/>
        <v/>
      </c>
      <c r="AM621" s="214" t="str">
        <f t="shared" si="286"/>
        <v/>
      </c>
      <c r="AN621" s="213" t="str">
        <f t="shared" si="269"/>
        <v/>
      </c>
      <c r="AO621" s="213" t="str">
        <f t="shared" si="270"/>
        <v/>
      </c>
      <c r="AP621" s="213" t="str">
        <f t="shared" si="271"/>
        <v/>
      </c>
      <c r="AQ621" s="215" t="str">
        <f t="shared" si="272"/>
        <v/>
      </c>
      <c r="AR621" s="216" t="str">
        <f t="shared" si="273"/>
        <v>BiK81LbKA3--04</v>
      </c>
      <c r="AS621" s="215" t="str">
        <f t="shared" si="274"/>
        <v/>
      </c>
      <c r="AT621">
        <f t="shared" si="275"/>
        <v>14</v>
      </c>
      <c r="AU621" s="216" t="str">
        <f t="shared" si="276"/>
        <v>0-0,15 MW, Bonusregeln L, b und K wenn Anlage 3 erfüllt</v>
      </c>
      <c r="AV621" s="215" t="str">
        <f t="shared" si="277"/>
        <v/>
      </c>
      <c r="AW621" s="216" t="str">
        <f t="shared" si="278"/>
        <v>Anteil KWK gemäß Anlage 3</v>
      </c>
      <c r="AX621" s="215" t="str">
        <f t="shared" si="279"/>
        <v/>
      </c>
      <c r="AY621" t="str">
        <f t="shared" si="280"/>
        <v/>
      </c>
      <c r="AZ621" t="str">
        <f t="shared" si="281"/>
        <v/>
      </c>
    </row>
    <row r="622" spans="1:52" s="178" customFormat="1" x14ac:dyDescent="0.25">
      <c r="A622" s="610" t="s">
        <v>2259</v>
      </c>
      <c r="B622" s="30" t="s">
        <v>5548</v>
      </c>
      <c r="C622" s="30" t="s">
        <v>4809</v>
      </c>
      <c r="D622" s="30" t="s">
        <v>6966</v>
      </c>
      <c r="E622" s="30" t="s">
        <v>674</v>
      </c>
      <c r="F622" s="454">
        <f t="shared" si="288"/>
        <v>25.67</v>
      </c>
      <c r="G622" s="529">
        <v>25.67</v>
      </c>
      <c r="H622" s="487">
        <f t="shared" si="289"/>
        <v>20.54</v>
      </c>
      <c r="I622" s="706"/>
      <c r="J622" s="669" t="s">
        <v>5805</v>
      </c>
      <c r="K622" s="15"/>
      <c r="L622"/>
      <c r="M622" s="49">
        <f t="shared" si="290"/>
        <v>25.67</v>
      </c>
      <c r="N622" s="41">
        <v>11.67</v>
      </c>
      <c r="O622" s="186"/>
      <c r="P622" s="177"/>
      <c r="Q622" s="178" t="s">
        <v>1017</v>
      </c>
      <c r="S622" s="178" t="s">
        <v>4180</v>
      </c>
      <c r="T622" s="178" t="s">
        <v>4180</v>
      </c>
      <c r="U622" s="179"/>
      <c r="W622" s="180"/>
      <c r="X622" s="180"/>
      <c r="AA622" s="180"/>
      <c r="AB622" s="178" t="s">
        <v>1017</v>
      </c>
      <c r="AD622" s="201"/>
      <c r="AE622" s="181" t="s">
        <v>1017</v>
      </c>
      <c r="AF622" s="180"/>
      <c r="AG622" s="201"/>
      <c r="AH622" s="212" t="str">
        <f t="shared" si="292"/>
        <v/>
      </c>
      <c r="AI622" s="214" t="str">
        <f t="shared" si="282"/>
        <v/>
      </c>
      <c r="AJ622" s="214" t="str">
        <f t="shared" si="283"/>
        <v/>
      </c>
      <c r="AK622" s="214" t="str">
        <f t="shared" si="284"/>
        <v/>
      </c>
      <c r="AL622" s="214" t="str">
        <f t="shared" si="285"/>
        <v/>
      </c>
      <c r="AM622" s="214" t="str">
        <f t="shared" si="286"/>
        <v/>
      </c>
      <c r="AN622" s="213" t="str">
        <f t="shared" si="269"/>
        <v/>
      </c>
      <c r="AO622" s="213" t="str">
        <f t="shared" si="270"/>
        <v/>
      </c>
      <c r="AP622" s="213" t="str">
        <f t="shared" si="271"/>
        <v/>
      </c>
      <c r="AQ622" s="215" t="str">
        <f t="shared" si="272"/>
        <v/>
      </c>
      <c r="AR622" s="216" t="str">
        <f t="shared" si="273"/>
        <v>BiK81LbK09--04</v>
      </c>
      <c r="AS622" s="215" t="str">
        <f t="shared" si="274"/>
        <v/>
      </c>
      <c r="AT622">
        <f t="shared" si="275"/>
        <v>14</v>
      </c>
      <c r="AU622" s="216" t="str">
        <f t="shared" si="276"/>
        <v>0-0,15 MW, Bonusregeln L, b und K erstmals 2009</v>
      </c>
      <c r="AV622" s="215" t="str">
        <f t="shared" si="277"/>
        <v/>
      </c>
      <c r="AW622" s="216" t="str">
        <f t="shared" si="278"/>
        <v>Anteil KWK, erstmals 2009</v>
      </c>
      <c r="AX622" s="215" t="str">
        <f t="shared" si="279"/>
        <v/>
      </c>
      <c r="AY622" t="str">
        <f t="shared" si="280"/>
        <v/>
      </c>
      <c r="AZ622" t="str">
        <f t="shared" si="281"/>
        <v/>
      </c>
    </row>
    <row r="623" spans="1:52" s="178" customFormat="1" x14ac:dyDescent="0.25">
      <c r="A623" s="610" t="s">
        <v>1441</v>
      </c>
      <c r="B623" s="30" t="s">
        <v>5548</v>
      </c>
      <c r="C623" s="30" t="s">
        <v>4809</v>
      </c>
      <c r="D623" s="30" t="s">
        <v>6967</v>
      </c>
      <c r="E623" s="30" t="s">
        <v>3567</v>
      </c>
      <c r="F623" s="454">
        <f t="shared" si="288"/>
        <v>25.64</v>
      </c>
      <c r="G623" s="529">
        <v>25.64</v>
      </c>
      <c r="H623" s="487">
        <f t="shared" si="289"/>
        <v>20.51</v>
      </c>
      <c r="I623" s="706"/>
      <c r="J623" s="669" t="s">
        <v>5805</v>
      </c>
      <c r="K623" s="15"/>
      <c r="L623"/>
      <c r="M623" s="49">
        <f t="shared" si="290"/>
        <v>25.64</v>
      </c>
      <c r="N623" s="41">
        <v>11.67</v>
      </c>
      <c r="O623" s="186"/>
      <c r="P623" s="177"/>
      <c r="R623" s="178" t="s">
        <v>1017</v>
      </c>
      <c r="S623" s="178" t="s">
        <v>4180</v>
      </c>
      <c r="T623" s="178" t="s">
        <v>4180</v>
      </c>
      <c r="U623" s="179"/>
      <c r="W623" s="180"/>
      <c r="X623" s="180"/>
      <c r="AA623" s="180"/>
      <c r="AB623" s="178" t="s">
        <v>1017</v>
      </c>
      <c r="AD623" s="201"/>
      <c r="AE623" s="181" t="s">
        <v>1017</v>
      </c>
      <c r="AF623" s="180"/>
      <c r="AG623" s="201"/>
      <c r="AH623" s="212" t="str">
        <f t="shared" si="292"/>
        <v>2010</v>
      </c>
      <c r="AI623" s="214" t="str">
        <f t="shared" si="282"/>
        <v/>
      </c>
      <c r="AJ623" s="214" t="str">
        <f t="shared" si="283"/>
        <v/>
      </c>
      <c r="AK623" s="214" t="str">
        <f t="shared" si="284"/>
        <v/>
      </c>
      <c r="AL623" s="214" t="str">
        <f t="shared" si="285"/>
        <v/>
      </c>
      <c r="AM623" s="214" t="str">
        <f t="shared" si="286"/>
        <v/>
      </c>
      <c r="AN623" s="213" t="str">
        <f t="shared" si="269"/>
        <v>2010</v>
      </c>
      <c r="AO623" s="213" t="str">
        <f t="shared" si="270"/>
        <v>2010</v>
      </c>
      <c r="AP623" s="213" t="str">
        <f t="shared" si="271"/>
        <v>2010</v>
      </c>
      <c r="AQ623" s="215" t="str">
        <f t="shared" si="272"/>
        <v/>
      </c>
      <c r="AR623" s="216" t="str">
        <f t="shared" si="273"/>
        <v>BiK81LbK10--04</v>
      </c>
      <c r="AS623" s="215" t="str">
        <f t="shared" si="274"/>
        <v/>
      </c>
      <c r="AT623">
        <f t="shared" si="275"/>
        <v>14</v>
      </c>
      <c r="AU623" s="216" t="str">
        <f t="shared" si="276"/>
        <v>0-0,15 MW, Bonusregeln L, b und K erstmals 2010</v>
      </c>
      <c r="AV623" s="215" t="str">
        <f t="shared" si="277"/>
        <v/>
      </c>
      <c r="AW623" s="216" t="str">
        <f t="shared" si="278"/>
        <v>Anteil KWK, erstmals 2010</v>
      </c>
      <c r="AX623" s="215" t="str">
        <f t="shared" si="279"/>
        <v/>
      </c>
      <c r="AY623" t="str">
        <f t="shared" si="280"/>
        <v/>
      </c>
      <c r="AZ623" t="str">
        <f t="shared" si="281"/>
        <v/>
      </c>
    </row>
    <row r="624" spans="1:52" s="178" customFormat="1" x14ac:dyDescent="0.25">
      <c r="A624" s="610" t="s">
        <v>5263</v>
      </c>
      <c r="B624" s="30" t="s">
        <v>5548</v>
      </c>
      <c r="C624" s="30" t="s">
        <v>4809</v>
      </c>
      <c r="D624" s="30" t="s">
        <v>6968</v>
      </c>
      <c r="E624" s="30" t="s">
        <v>3055</v>
      </c>
      <c r="F624" s="454">
        <f t="shared" si="288"/>
        <v>25.61</v>
      </c>
      <c r="G624" s="529">
        <v>25.61</v>
      </c>
      <c r="H624" s="487">
        <f t="shared" si="289"/>
        <v>20.49</v>
      </c>
      <c r="I624" s="706"/>
      <c r="J624" s="669" t="s">
        <v>5805</v>
      </c>
      <c r="K624" s="15"/>
      <c r="L624"/>
      <c r="M624" s="49">
        <f t="shared" si="290"/>
        <v>25.61</v>
      </c>
      <c r="N624" s="41">
        <v>11.67</v>
      </c>
      <c r="O624" s="186"/>
      <c r="P624" s="177"/>
      <c r="S624" s="178" t="s">
        <v>1017</v>
      </c>
      <c r="T624" s="178" t="s">
        <v>4180</v>
      </c>
      <c r="U624" s="179"/>
      <c r="W624" s="180"/>
      <c r="X624" s="180"/>
      <c r="AA624" s="180"/>
      <c r="AB624" s="178" t="s">
        <v>1017</v>
      </c>
      <c r="AD624" s="201"/>
      <c r="AE624" s="181" t="s">
        <v>1017</v>
      </c>
      <c r="AF624" s="180"/>
      <c r="AG624" s="201"/>
      <c r="AH624" s="212" t="str">
        <f t="shared" si="292"/>
        <v>2011</v>
      </c>
      <c r="AI624" s="214" t="str">
        <f t="shared" si="282"/>
        <v/>
      </c>
      <c r="AJ624" s="214" t="str">
        <f t="shared" si="283"/>
        <v/>
      </c>
      <c r="AK624" s="214" t="str">
        <f t="shared" si="284"/>
        <v/>
      </c>
      <c r="AL624" s="214" t="str">
        <f t="shared" si="285"/>
        <v/>
      </c>
      <c r="AM624" s="214" t="str">
        <f t="shared" si="286"/>
        <v/>
      </c>
      <c r="AN624" s="213" t="str">
        <f t="shared" si="269"/>
        <v>2011</v>
      </c>
      <c r="AO624" s="213" t="str">
        <f t="shared" si="270"/>
        <v>2011</v>
      </c>
      <c r="AP624" s="213" t="str">
        <f t="shared" si="271"/>
        <v>2011</v>
      </c>
      <c r="AQ624" s="215" t="str">
        <f t="shared" si="272"/>
        <v/>
      </c>
      <c r="AR624" s="216" t="str">
        <f t="shared" si="273"/>
        <v>BiK81LbK11--04</v>
      </c>
      <c r="AS624" s="215" t="str">
        <f t="shared" si="274"/>
        <v/>
      </c>
      <c r="AT624">
        <f t="shared" si="275"/>
        <v>14</v>
      </c>
      <c r="AU624" s="216" t="str">
        <f t="shared" si="276"/>
        <v>0-0,15 MW, Bonusregeln L, b und K erstmals 2011</v>
      </c>
      <c r="AV624" s="215" t="str">
        <f t="shared" si="277"/>
        <v/>
      </c>
      <c r="AW624" s="216" t="str">
        <f t="shared" si="278"/>
        <v>Anteil KWK, erstmals 2011</v>
      </c>
      <c r="AX624" s="215" t="str">
        <f t="shared" si="279"/>
        <v/>
      </c>
      <c r="AY624" t="str">
        <f t="shared" si="280"/>
        <v>x</v>
      </c>
      <c r="AZ624" t="str">
        <f t="shared" si="281"/>
        <v/>
      </c>
    </row>
    <row r="625" spans="1:52" s="178" customFormat="1" x14ac:dyDescent="0.25">
      <c r="A625" s="625" t="s">
        <v>1513</v>
      </c>
      <c r="B625" s="219" t="s">
        <v>5548</v>
      </c>
      <c r="C625" s="219" t="s">
        <v>4809</v>
      </c>
      <c r="D625" s="219" t="s">
        <v>6969</v>
      </c>
      <c r="E625" s="219" t="s">
        <v>1980</v>
      </c>
      <c r="F625" s="455">
        <f t="shared" si="288"/>
        <v>25.58</v>
      </c>
      <c r="G625" s="530">
        <v>25.58</v>
      </c>
      <c r="H625" s="488">
        <f t="shared" si="289"/>
        <v>20.46</v>
      </c>
      <c r="I625" s="707"/>
      <c r="J625" s="669" t="s">
        <v>5805</v>
      </c>
      <c r="K625" s="15"/>
      <c r="L625"/>
      <c r="M625" s="49">
        <f t="shared" si="290"/>
        <v>25.58</v>
      </c>
      <c r="N625" s="41">
        <v>11.67</v>
      </c>
      <c r="O625" s="186"/>
      <c r="P625" s="177"/>
      <c r="S625" s="178" t="s">
        <v>4180</v>
      </c>
      <c r="T625" s="178" t="s">
        <v>1017</v>
      </c>
      <c r="U625" s="179"/>
      <c r="W625" s="180"/>
      <c r="X625" s="180"/>
      <c r="AA625" s="180"/>
      <c r="AB625" s="178" t="s">
        <v>1017</v>
      </c>
      <c r="AD625" s="201"/>
      <c r="AE625" s="181" t="s">
        <v>1017</v>
      </c>
      <c r="AF625" s="180"/>
      <c r="AG625" s="201"/>
      <c r="AH625" s="217" t="s">
        <v>4179</v>
      </c>
      <c r="AI625" s="214" t="str">
        <f t="shared" si="282"/>
        <v/>
      </c>
      <c r="AJ625" s="214" t="str">
        <f t="shared" si="283"/>
        <v/>
      </c>
      <c r="AK625" s="214" t="str">
        <f t="shared" si="284"/>
        <v/>
      </c>
      <c r="AL625" s="214" t="str">
        <f t="shared" si="285"/>
        <v/>
      </c>
      <c r="AM625" s="214" t="str">
        <f t="shared" si="286"/>
        <v/>
      </c>
      <c r="AN625" s="213" t="str">
        <f t="shared" si="269"/>
        <v>2012</v>
      </c>
      <c r="AO625" s="213" t="str">
        <f t="shared" si="270"/>
        <v>2012</v>
      </c>
      <c r="AP625" s="213" t="str">
        <f t="shared" si="271"/>
        <v>2012</v>
      </c>
      <c r="AQ625" s="215" t="str">
        <f t="shared" si="272"/>
        <v/>
      </c>
      <c r="AR625" s="216" t="str">
        <f t="shared" si="273"/>
        <v>BiK81LbK12--04</v>
      </c>
      <c r="AS625" s="215" t="str">
        <f t="shared" si="274"/>
        <v/>
      </c>
      <c r="AT625">
        <f t="shared" si="275"/>
        <v>14</v>
      </c>
      <c r="AU625" s="216" t="str">
        <f t="shared" si="276"/>
        <v>0-0,15 MW, Bonusregeln L, b und K erstmals 2012</v>
      </c>
      <c r="AV625" s="215" t="str">
        <f t="shared" si="277"/>
        <v/>
      </c>
      <c r="AW625" s="216" t="str">
        <f t="shared" si="278"/>
        <v>Anteil KWK, erstmals 2012</v>
      </c>
      <c r="AX625" s="215" t="str">
        <f t="shared" si="279"/>
        <v/>
      </c>
      <c r="AY625" t="str">
        <f t="shared" si="280"/>
        <v/>
      </c>
      <c r="AZ625" t="str">
        <f t="shared" si="281"/>
        <v>x</v>
      </c>
    </row>
    <row r="626" spans="1:52" s="178" customFormat="1" x14ac:dyDescent="0.25">
      <c r="A626" s="610" t="s">
        <v>2260</v>
      </c>
      <c r="B626" s="30" t="s">
        <v>5548</v>
      </c>
      <c r="C626" s="30" t="s">
        <v>4809</v>
      </c>
      <c r="D626" s="30" t="s">
        <v>6970</v>
      </c>
      <c r="E626" s="30" t="s">
        <v>4810</v>
      </c>
      <c r="F626" s="454">
        <f t="shared" si="288"/>
        <v>23.67</v>
      </c>
      <c r="G626" s="529">
        <v>23.67</v>
      </c>
      <c r="H626" s="487">
        <f t="shared" si="289"/>
        <v>18.940000000000001</v>
      </c>
      <c r="I626" s="706"/>
      <c r="J626" s="669" t="s">
        <v>5805</v>
      </c>
      <c r="K626" s="15"/>
      <c r="L626"/>
      <c r="M626" s="49">
        <f t="shared" si="290"/>
        <v>23.67</v>
      </c>
      <c r="N626" s="41">
        <v>11.67</v>
      </c>
      <c r="O626" s="187"/>
      <c r="P626" s="183"/>
      <c r="Q626" s="184"/>
      <c r="R626" s="184"/>
      <c r="S626" s="184" t="s">
        <v>4180</v>
      </c>
      <c r="T626" s="178" t="s">
        <v>4180</v>
      </c>
      <c r="U626" s="185" t="s">
        <v>1017</v>
      </c>
      <c r="V626" s="184"/>
      <c r="W626" s="180"/>
      <c r="X626" s="180"/>
      <c r="AA626" s="180"/>
      <c r="AB626" s="184" t="s">
        <v>1017</v>
      </c>
      <c r="AC626" s="184"/>
      <c r="AD626" s="201"/>
      <c r="AE626" s="181" t="s">
        <v>1017</v>
      </c>
      <c r="AF626" s="180"/>
      <c r="AG626" s="201"/>
      <c r="AH626" s="212" t="str">
        <f t="shared" ref="AH626:AH631" si="293">IF(ISERROR(SEARCH("K erstmals 201",D626)),"",RIGHT(D626,4))</f>
        <v/>
      </c>
      <c r="AI626" s="214" t="str">
        <f t="shared" si="282"/>
        <v/>
      </c>
      <c r="AJ626" s="214" t="str">
        <f t="shared" si="283"/>
        <v/>
      </c>
      <c r="AK626" s="214" t="str">
        <f t="shared" si="284"/>
        <v/>
      </c>
      <c r="AL626" s="214" t="str">
        <f t="shared" si="285"/>
        <v/>
      </c>
      <c r="AM626" s="214" t="str">
        <f t="shared" si="286"/>
        <v/>
      </c>
      <c r="AN626" s="213" t="str">
        <f t="shared" si="269"/>
        <v/>
      </c>
      <c r="AO626" s="213" t="str">
        <f t="shared" si="270"/>
        <v/>
      </c>
      <c r="AP626" s="213" t="str">
        <f t="shared" si="271"/>
        <v/>
      </c>
      <c r="AQ626" s="215" t="str">
        <f t="shared" si="272"/>
        <v/>
      </c>
      <c r="AR626" s="216" t="str">
        <f t="shared" si="273"/>
        <v>BiK81Lby----04</v>
      </c>
      <c r="AS626" s="215" t="str">
        <f t="shared" si="274"/>
        <v/>
      </c>
      <c r="AT626">
        <f t="shared" si="275"/>
        <v>14</v>
      </c>
      <c r="AU626" s="216" t="str">
        <f t="shared" si="276"/>
        <v>0-0,15 MW, Bonusregeln L, y, b</v>
      </c>
      <c r="AV626" s="215" t="str">
        <f t="shared" si="277"/>
        <v/>
      </c>
      <c r="AW626" s="216" t="str">
        <f t="shared" si="278"/>
        <v>Anteil Nicht-KWK</v>
      </c>
      <c r="AX626" s="215" t="str">
        <f t="shared" si="279"/>
        <v/>
      </c>
      <c r="AY626" t="str">
        <f t="shared" si="280"/>
        <v/>
      </c>
      <c r="AZ626" t="str">
        <f t="shared" si="281"/>
        <v/>
      </c>
    </row>
    <row r="627" spans="1:52" s="178" customFormat="1" x14ac:dyDescent="0.25">
      <c r="A627" s="610" t="s">
        <v>2261</v>
      </c>
      <c r="B627" s="30" t="s">
        <v>5548</v>
      </c>
      <c r="C627" s="30" t="s">
        <v>4809</v>
      </c>
      <c r="D627" s="30" t="s">
        <v>6971</v>
      </c>
      <c r="E627" s="30" t="s">
        <v>4812</v>
      </c>
      <c r="F627" s="454">
        <f t="shared" si="288"/>
        <v>25.67</v>
      </c>
      <c r="G627" s="529">
        <v>25.67</v>
      </c>
      <c r="H627" s="487">
        <f t="shared" si="289"/>
        <v>20.54</v>
      </c>
      <c r="I627" s="706"/>
      <c r="J627" s="669" t="s">
        <v>5805</v>
      </c>
      <c r="K627" s="15"/>
      <c r="L627"/>
      <c r="M627" s="49">
        <f t="shared" si="290"/>
        <v>25.67</v>
      </c>
      <c r="N627" s="41">
        <v>11.67</v>
      </c>
      <c r="O627" s="187" t="s">
        <v>1017</v>
      </c>
      <c r="P627" s="183"/>
      <c r="Q627" s="184"/>
      <c r="R627" s="184"/>
      <c r="S627" s="184" t="s">
        <v>4180</v>
      </c>
      <c r="T627" s="178" t="s">
        <v>4180</v>
      </c>
      <c r="U627" s="185" t="s">
        <v>1017</v>
      </c>
      <c r="V627" s="184"/>
      <c r="W627" s="180"/>
      <c r="X627" s="180"/>
      <c r="AA627" s="180"/>
      <c r="AB627" s="184" t="s">
        <v>1017</v>
      </c>
      <c r="AC627" s="184"/>
      <c r="AD627" s="201"/>
      <c r="AE627" s="181" t="s">
        <v>1017</v>
      </c>
      <c r="AF627" s="180"/>
      <c r="AG627" s="201"/>
      <c r="AH627" s="212" t="str">
        <f t="shared" si="293"/>
        <v/>
      </c>
      <c r="AI627" s="214" t="str">
        <f t="shared" si="282"/>
        <v/>
      </c>
      <c r="AJ627" s="214" t="str">
        <f t="shared" si="283"/>
        <v/>
      </c>
      <c r="AK627" s="214" t="str">
        <f t="shared" si="284"/>
        <v/>
      </c>
      <c r="AL627" s="214" t="str">
        <f t="shared" si="285"/>
        <v/>
      </c>
      <c r="AM627" s="214" t="str">
        <f t="shared" si="286"/>
        <v/>
      </c>
      <c r="AN627" s="213" t="str">
        <f t="shared" si="269"/>
        <v/>
      </c>
      <c r="AO627" s="213" t="str">
        <f t="shared" si="270"/>
        <v/>
      </c>
      <c r="AP627" s="213" t="str">
        <f t="shared" si="271"/>
        <v/>
      </c>
      <c r="AQ627" s="215" t="str">
        <f t="shared" si="272"/>
        <v/>
      </c>
      <c r="AR627" s="216" t="str">
        <f t="shared" si="273"/>
        <v>BiK81LbKWKy-04</v>
      </c>
      <c r="AS627" s="215" t="str">
        <f t="shared" si="274"/>
        <v/>
      </c>
      <c r="AT627">
        <f t="shared" si="275"/>
        <v>14</v>
      </c>
      <c r="AU627" s="216" t="str">
        <f t="shared" si="276"/>
        <v>0-0,15 MW, Bonusregeln L, y, b und KWK</v>
      </c>
      <c r="AV627" s="215" t="str">
        <f t="shared" si="277"/>
        <v/>
      </c>
      <c r="AW627" s="216" t="str">
        <f t="shared" si="278"/>
        <v>Anteil KWK</v>
      </c>
      <c r="AX627" s="215" t="str">
        <f t="shared" si="279"/>
        <v/>
      </c>
      <c r="AY627" t="str">
        <f t="shared" si="280"/>
        <v/>
      </c>
      <c r="AZ627" t="str">
        <f t="shared" si="281"/>
        <v/>
      </c>
    </row>
    <row r="628" spans="1:52" s="178" customFormat="1" x14ac:dyDescent="0.25">
      <c r="A628" s="610" t="s">
        <v>2371</v>
      </c>
      <c r="B628" s="30" t="s">
        <v>5548</v>
      </c>
      <c r="C628" s="30" t="s">
        <v>4809</v>
      </c>
      <c r="D628" s="109" t="s">
        <v>6972</v>
      </c>
      <c r="E628" s="30" t="s">
        <v>4331</v>
      </c>
      <c r="F628" s="454">
        <f t="shared" si="288"/>
        <v>26.67</v>
      </c>
      <c r="G628" s="529">
        <v>26.67</v>
      </c>
      <c r="H628" s="487">
        <f t="shared" si="289"/>
        <v>21.34</v>
      </c>
      <c r="I628" s="706"/>
      <c r="J628" s="669" t="s">
        <v>5805</v>
      </c>
      <c r="K628" s="15"/>
      <c r="L628"/>
      <c r="M628" s="49">
        <f t="shared" si="290"/>
        <v>26.67</v>
      </c>
      <c r="N628" s="41">
        <v>11.67</v>
      </c>
      <c r="O628" s="187"/>
      <c r="P628" s="184" t="s">
        <v>1017</v>
      </c>
      <c r="Q628" s="184"/>
      <c r="R628" s="184"/>
      <c r="S628" s="184" t="s">
        <v>4180</v>
      </c>
      <c r="T628" s="178" t="s">
        <v>4180</v>
      </c>
      <c r="U628" s="185" t="s">
        <v>1017</v>
      </c>
      <c r="V628" s="184"/>
      <c r="W628" s="180"/>
      <c r="X628" s="180"/>
      <c r="AA628" s="180"/>
      <c r="AB628" s="184" t="s">
        <v>1017</v>
      </c>
      <c r="AC628" s="184"/>
      <c r="AD628" s="201"/>
      <c r="AE628" s="181" t="s">
        <v>1017</v>
      </c>
      <c r="AF628" s="180"/>
      <c r="AG628" s="201"/>
      <c r="AH628" s="212" t="str">
        <f t="shared" si="293"/>
        <v/>
      </c>
      <c r="AI628" s="214" t="str">
        <f t="shared" si="282"/>
        <v/>
      </c>
      <c r="AJ628" s="214" t="str">
        <f t="shared" si="283"/>
        <v/>
      </c>
      <c r="AK628" s="214" t="str">
        <f t="shared" si="284"/>
        <v/>
      </c>
      <c r="AL628" s="214" t="str">
        <f t="shared" si="285"/>
        <v/>
      </c>
      <c r="AM628" s="214" t="str">
        <f t="shared" si="286"/>
        <v/>
      </c>
      <c r="AN628" s="213" t="str">
        <f t="shared" si="269"/>
        <v/>
      </c>
      <c r="AO628" s="213" t="str">
        <f t="shared" si="270"/>
        <v/>
      </c>
      <c r="AP628" s="213" t="str">
        <f t="shared" si="271"/>
        <v/>
      </c>
      <c r="AQ628" s="215" t="str">
        <f t="shared" si="272"/>
        <v/>
      </c>
      <c r="AR628" s="216" t="str">
        <f t="shared" si="273"/>
        <v>BiK81LbKA3y-04</v>
      </c>
      <c r="AS628" s="215" t="str">
        <f t="shared" si="274"/>
        <v/>
      </c>
      <c r="AT628">
        <f t="shared" si="275"/>
        <v>14</v>
      </c>
      <c r="AU628" s="216" t="str">
        <f t="shared" si="276"/>
        <v>0-0,15 MW, Bonusregeln L, y, b und K wenn Anlage 3 erfüllt</v>
      </c>
      <c r="AV628" s="215" t="str">
        <f t="shared" si="277"/>
        <v/>
      </c>
      <c r="AW628" s="216" t="str">
        <f t="shared" si="278"/>
        <v>Anteil KWK gemäß Anlage 3</v>
      </c>
      <c r="AX628" s="215" t="str">
        <f t="shared" si="279"/>
        <v/>
      </c>
      <c r="AY628" t="str">
        <f t="shared" si="280"/>
        <v/>
      </c>
      <c r="AZ628" t="str">
        <f t="shared" si="281"/>
        <v/>
      </c>
    </row>
    <row r="629" spans="1:52" s="178" customFormat="1" x14ac:dyDescent="0.25">
      <c r="A629" s="610" t="s">
        <v>2372</v>
      </c>
      <c r="B629" s="30" t="s">
        <v>5548</v>
      </c>
      <c r="C629" s="30" t="s">
        <v>4809</v>
      </c>
      <c r="D629" s="30" t="s">
        <v>6973</v>
      </c>
      <c r="E629" s="30" t="s">
        <v>674</v>
      </c>
      <c r="F629" s="454">
        <f t="shared" si="288"/>
        <v>26.67</v>
      </c>
      <c r="G629" s="529">
        <v>26.67</v>
      </c>
      <c r="H629" s="487">
        <f t="shared" si="289"/>
        <v>21.34</v>
      </c>
      <c r="I629" s="706"/>
      <c r="J629" s="669" t="s">
        <v>5805</v>
      </c>
      <c r="K629" s="15"/>
      <c r="L629"/>
      <c r="M629" s="49">
        <f t="shared" si="290"/>
        <v>26.67</v>
      </c>
      <c r="N629" s="41">
        <v>11.67</v>
      </c>
      <c r="O629" s="187"/>
      <c r="P629" s="183"/>
      <c r="Q629" s="184" t="s">
        <v>1017</v>
      </c>
      <c r="R629" s="184"/>
      <c r="S629" s="184" t="s">
        <v>4180</v>
      </c>
      <c r="T629" s="178" t="s">
        <v>4180</v>
      </c>
      <c r="U629" s="185" t="s">
        <v>1017</v>
      </c>
      <c r="V629" s="184"/>
      <c r="W629" s="180"/>
      <c r="X629" s="180"/>
      <c r="AA629" s="180"/>
      <c r="AB629" s="184" t="s">
        <v>1017</v>
      </c>
      <c r="AC629" s="184"/>
      <c r="AD629" s="201"/>
      <c r="AE629" s="181" t="s">
        <v>1017</v>
      </c>
      <c r="AF629" s="180"/>
      <c r="AG629" s="201"/>
      <c r="AH629" s="212" t="str">
        <f t="shared" si="293"/>
        <v/>
      </c>
      <c r="AI629" s="214" t="str">
        <f t="shared" si="282"/>
        <v/>
      </c>
      <c r="AJ629" s="214" t="str">
        <f t="shared" si="283"/>
        <v/>
      </c>
      <c r="AK629" s="214" t="str">
        <f t="shared" si="284"/>
        <v/>
      </c>
      <c r="AL629" s="214" t="str">
        <f t="shared" si="285"/>
        <v/>
      </c>
      <c r="AM629" s="214" t="str">
        <f t="shared" si="286"/>
        <v/>
      </c>
      <c r="AN629" s="213" t="str">
        <f t="shared" si="269"/>
        <v/>
      </c>
      <c r="AO629" s="213" t="str">
        <f t="shared" si="270"/>
        <v/>
      </c>
      <c r="AP629" s="213" t="str">
        <f t="shared" si="271"/>
        <v/>
      </c>
      <c r="AQ629" s="215" t="str">
        <f t="shared" si="272"/>
        <v/>
      </c>
      <c r="AR629" s="216" t="str">
        <f t="shared" si="273"/>
        <v>BiK81LbK09y-04</v>
      </c>
      <c r="AS629" s="215" t="str">
        <f t="shared" si="274"/>
        <v/>
      </c>
      <c r="AT629">
        <f t="shared" si="275"/>
        <v>14</v>
      </c>
      <c r="AU629" s="216" t="str">
        <f t="shared" si="276"/>
        <v>0-0,15 MW, Bonusregeln L, y, b und K erstmals 2009</v>
      </c>
      <c r="AV629" s="215" t="str">
        <f t="shared" si="277"/>
        <v/>
      </c>
      <c r="AW629" s="216" t="str">
        <f t="shared" si="278"/>
        <v>Anteil KWK, erstmals 2009</v>
      </c>
      <c r="AX629" s="215" t="str">
        <f t="shared" si="279"/>
        <v/>
      </c>
      <c r="AY629" t="str">
        <f t="shared" si="280"/>
        <v/>
      </c>
      <c r="AZ629" t="str">
        <f t="shared" si="281"/>
        <v/>
      </c>
    </row>
    <row r="630" spans="1:52" s="178" customFormat="1" x14ac:dyDescent="0.25">
      <c r="A630" s="610" t="s">
        <v>1442</v>
      </c>
      <c r="B630" s="30" t="s">
        <v>5548</v>
      </c>
      <c r="C630" s="30" t="s">
        <v>4809</v>
      </c>
      <c r="D630" s="30" t="s">
        <v>6974</v>
      </c>
      <c r="E630" s="30" t="s">
        <v>3567</v>
      </c>
      <c r="F630" s="454">
        <f t="shared" si="288"/>
        <v>26.64</v>
      </c>
      <c r="G630" s="529">
        <v>26.64</v>
      </c>
      <c r="H630" s="487">
        <f t="shared" si="289"/>
        <v>21.31</v>
      </c>
      <c r="I630" s="706"/>
      <c r="J630" s="669" t="s">
        <v>5805</v>
      </c>
      <c r="K630" s="15"/>
      <c r="L630"/>
      <c r="M630" s="49">
        <f t="shared" si="290"/>
        <v>26.64</v>
      </c>
      <c r="N630" s="41">
        <v>11.67</v>
      </c>
      <c r="O630" s="187"/>
      <c r="P630" s="183"/>
      <c r="Q630" s="184"/>
      <c r="R630" s="184" t="s">
        <v>1017</v>
      </c>
      <c r="S630" s="184" t="s">
        <v>4180</v>
      </c>
      <c r="T630" s="178" t="s">
        <v>4180</v>
      </c>
      <c r="U630" s="185" t="s">
        <v>1017</v>
      </c>
      <c r="V630" s="184"/>
      <c r="W630" s="180"/>
      <c r="X630" s="180"/>
      <c r="AA630" s="180"/>
      <c r="AB630" s="184" t="s">
        <v>1017</v>
      </c>
      <c r="AC630" s="184"/>
      <c r="AD630" s="201"/>
      <c r="AE630" s="181" t="s">
        <v>1017</v>
      </c>
      <c r="AF630" s="180"/>
      <c r="AG630" s="201"/>
      <c r="AH630" s="212" t="str">
        <f t="shared" si="293"/>
        <v>2010</v>
      </c>
      <c r="AI630" s="214" t="str">
        <f t="shared" si="282"/>
        <v/>
      </c>
      <c r="AJ630" s="214" t="str">
        <f t="shared" si="283"/>
        <v/>
      </c>
      <c r="AK630" s="214" t="str">
        <f t="shared" si="284"/>
        <v/>
      </c>
      <c r="AL630" s="214" t="str">
        <f t="shared" si="285"/>
        <v/>
      </c>
      <c r="AM630" s="214" t="str">
        <f t="shared" si="286"/>
        <v/>
      </c>
      <c r="AN630" s="213" t="str">
        <f t="shared" si="269"/>
        <v>2010</v>
      </c>
      <c r="AO630" s="213" t="str">
        <f t="shared" si="270"/>
        <v>2010</v>
      </c>
      <c r="AP630" s="213" t="str">
        <f t="shared" si="271"/>
        <v>2010</v>
      </c>
      <c r="AQ630" s="215" t="str">
        <f t="shared" si="272"/>
        <v/>
      </c>
      <c r="AR630" s="216" t="str">
        <f t="shared" si="273"/>
        <v>BiK81LbK10y-04</v>
      </c>
      <c r="AS630" s="215" t="str">
        <f t="shared" si="274"/>
        <v/>
      </c>
      <c r="AT630">
        <f t="shared" si="275"/>
        <v>14</v>
      </c>
      <c r="AU630" s="216" t="str">
        <f t="shared" si="276"/>
        <v>0-0,15 MW, Bonusregeln L, y, b und K erstmals 2010</v>
      </c>
      <c r="AV630" s="215" t="str">
        <f t="shared" si="277"/>
        <v/>
      </c>
      <c r="AW630" s="216" t="str">
        <f t="shared" si="278"/>
        <v>Anteil KWK, erstmals 2010</v>
      </c>
      <c r="AX630" s="215" t="str">
        <f t="shared" si="279"/>
        <v/>
      </c>
      <c r="AY630" t="str">
        <f t="shared" si="280"/>
        <v/>
      </c>
      <c r="AZ630" t="str">
        <f t="shared" si="281"/>
        <v/>
      </c>
    </row>
    <row r="631" spans="1:52" s="178" customFormat="1" x14ac:dyDescent="0.25">
      <c r="A631" s="610" t="s">
        <v>5264</v>
      </c>
      <c r="B631" s="30" t="s">
        <v>5548</v>
      </c>
      <c r="C631" s="30" t="s">
        <v>4809</v>
      </c>
      <c r="D631" s="30" t="s">
        <v>6975</v>
      </c>
      <c r="E631" s="30" t="s">
        <v>3055</v>
      </c>
      <c r="F631" s="454">
        <f t="shared" si="288"/>
        <v>26.61</v>
      </c>
      <c r="G631" s="529">
        <v>26.61</v>
      </c>
      <c r="H631" s="487">
        <f t="shared" si="289"/>
        <v>21.29</v>
      </c>
      <c r="I631" s="706"/>
      <c r="J631" s="669" t="s">
        <v>5805</v>
      </c>
      <c r="K631" s="15"/>
      <c r="L631"/>
      <c r="M631" s="49">
        <f t="shared" si="290"/>
        <v>26.61</v>
      </c>
      <c r="N631" s="41">
        <v>11.67</v>
      </c>
      <c r="O631" s="187"/>
      <c r="P631" s="183"/>
      <c r="Q631" s="184"/>
      <c r="S631" s="184" t="s">
        <v>1017</v>
      </c>
      <c r="T631" s="178" t="s">
        <v>4180</v>
      </c>
      <c r="U631" s="185" t="s">
        <v>1017</v>
      </c>
      <c r="V631" s="184"/>
      <c r="W631" s="180"/>
      <c r="X631" s="180"/>
      <c r="AA631" s="180"/>
      <c r="AB631" s="184" t="s">
        <v>1017</v>
      </c>
      <c r="AC631" s="184"/>
      <c r="AD631" s="201"/>
      <c r="AE631" s="181" t="s">
        <v>1017</v>
      </c>
      <c r="AF631" s="180"/>
      <c r="AG631" s="201"/>
      <c r="AH631" s="212" t="str">
        <f t="shared" si="293"/>
        <v>2011</v>
      </c>
      <c r="AI631" s="214" t="str">
        <f t="shared" si="282"/>
        <v/>
      </c>
      <c r="AJ631" s="214" t="str">
        <f t="shared" si="283"/>
        <v/>
      </c>
      <c r="AK631" s="214" t="str">
        <f t="shared" si="284"/>
        <v/>
      </c>
      <c r="AL631" s="214" t="str">
        <f t="shared" si="285"/>
        <v/>
      </c>
      <c r="AM631" s="214" t="str">
        <f t="shared" si="286"/>
        <v/>
      </c>
      <c r="AN631" s="213" t="str">
        <f t="shared" si="269"/>
        <v>2011</v>
      </c>
      <c r="AO631" s="213" t="str">
        <f t="shared" si="270"/>
        <v>2011</v>
      </c>
      <c r="AP631" s="213" t="str">
        <f t="shared" si="271"/>
        <v>2011</v>
      </c>
      <c r="AQ631" s="215" t="str">
        <f t="shared" si="272"/>
        <v/>
      </c>
      <c r="AR631" s="216" t="str">
        <f t="shared" si="273"/>
        <v>BiK81LbK11y-04</v>
      </c>
      <c r="AS631" s="215" t="str">
        <f t="shared" si="274"/>
        <v/>
      </c>
      <c r="AT631">
        <f t="shared" si="275"/>
        <v>14</v>
      </c>
      <c r="AU631" s="216" t="str">
        <f t="shared" si="276"/>
        <v>0-0,15 MW, Bonusregeln L, y, b und K erstmals 2011</v>
      </c>
      <c r="AV631" s="215" t="str">
        <f t="shared" si="277"/>
        <v/>
      </c>
      <c r="AW631" s="216" t="str">
        <f t="shared" si="278"/>
        <v>Anteil KWK, erstmals 2011</v>
      </c>
      <c r="AX631" s="215" t="str">
        <f t="shared" si="279"/>
        <v/>
      </c>
      <c r="AY631" t="str">
        <f t="shared" si="280"/>
        <v>x</v>
      </c>
      <c r="AZ631" t="str">
        <f t="shared" si="281"/>
        <v/>
      </c>
    </row>
    <row r="632" spans="1:52" s="178" customFormat="1" x14ac:dyDescent="0.25">
      <c r="A632" s="625" t="s">
        <v>1514</v>
      </c>
      <c r="B632" s="219" t="s">
        <v>5548</v>
      </c>
      <c r="C632" s="219" t="s">
        <v>4809</v>
      </c>
      <c r="D632" s="219" t="s">
        <v>6976</v>
      </c>
      <c r="E632" s="219" t="s">
        <v>1980</v>
      </c>
      <c r="F632" s="455">
        <f t="shared" si="288"/>
        <v>26.58</v>
      </c>
      <c r="G632" s="530">
        <v>26.58</v>
      </c>
      <c r="H632" s="488">
        <f t="shared" si="289"/>
        <v>21.26</v>
      </c>
      <c r="I632" s="707"/>
      <c r="J632" s="669" t="s">
        <v>5805</v>
      </c>
      <c r="K632" s="15"/>
      <c r="L632"/>
      <c r="M632" s="49">
        <f t="shared" si="290"/>
        <v>26.58</v>
      </c>
      <c r="N632" s="41">
        <v>11.67</v>
      </c>
      <c r="O632" s="187"/>
      <c r="P632" s="183"/>
      <c r="Q632" s="184"/>
      <c r="S632" s="184" t="s">
        <v>4180</v>
      </c>
      <c r="T632" s="178" t="s">
        <v>1017</v>
      </c>
      <c r="U632" s="185" t="s">
        <v>1017</v>
      </c>
      <c r="V632" s="184"/>
      <c r="W632" s="180"/>
      <c r="X632" s="180"/>
      <c r="AA632" s="180"/>
      <c r="AB632" s="184" t="s">
        <v>1017</v>
      </c>
      <c r="AC632" s="184"/>
      <c r="AD632" s="201"/>
      <c r="AE632" s="181" t="s">
        <v>1017</v>
      </c>
      <c r="AF632" s="180"/>
      <c r="AG632" s="201"/>
      <c r="AH632" s="217" t="s">
        <v>4179</v>
      </c>
      <c r="AI632" s="214" t="str">
        <f t="shared" si="282"/>
        <v/>
      </c>
      <c r="AJ632" s="214" t="str">
        <f t="shared" si="283"/>
        <v/>
      </c>
      <c r="AK632" s="214" t="str">
        <f t="shared" si="284"/>
        <v/>
      </c>
      <c r="AL632" s="214" t="str">
        <f t="shared" si="285"/>
        <v/>
      </c>
      <c r="AM632" s="214" t="str">
        <f t="shared" si="286"/>
        <v/>
      </c>
      <c r="AN632" s="213" t="str">
        <f t="shared" si="269"/>
        <v>2012</v>
      </c>
      <c r="AO632" s="213" t="str">
        <f t="shared" si="270"/>
        <v>2012</v>
      </c>
      <c r="AP632" s="213" t="str">
        <f t="shared" si="271"/>
        <v>2012</v>
      </c>
      <c r="AQ632" s="215" t="str">
        <f t="shared" si="272"/>
        <v/>
      </c>
      <c r="AR632" s="216" t="str">
        <f t="shared" si="273"/>
        <v>BiK81LbK12y-04</v>
      </c>
      <c r="AS632" s="215" t="str">
        <f t="shared" si="274"/>
        <v/>
      </c>
      <c r="AT632">
        <f t="shared" si="275"/>
        <v>14</v>
      </c>
      <c r="AU632" s="216" t="str">
        <f t="shared" si="276"/>
        <v>0-0,15 MW, Bonusregeln L, y, b und K erstmals 2012</v>
      </c>
      <c r="AV632" s="215" t="str">
        <f t="shared" si="277"/>
        <v/>
      </c>
      <c r="AW632" s="216" t="str">
        <f t="shared" si="278"/>
        <v>Anteil KWK, erstmals 2012</v>
      </c>
      <c r="AX632" s="215" t="str">
        <f t="shared" si="279"/>
        <v/>
      </c>
      <c r="AY632" t="str">
        <f t="shared" si="280"/>
        <v/>
      </c>
      <c r="AZ632" t="str">
        <f t="shared" si="281"/>
        <v>x</v>
      </c>
    </row>
    <row r="633" spans="1:52" s="178" customFormat="1" x14ac:dyDescent="0.25">
      <c r="A633" s="610" t="s">
        <v>2373</v>
      </c>
      <c r="B633" s="30" t="s">
        <v>5548</v>
      </c>
      <c r="C633" s="30" t="s">
        <v>4809</v>
      </c>
      <c r="D633" s="30" t="s">
        <v>6977</v>
      </c>
      <c r="E633" s="30" t="s">
        <v>4810</v>
      </c>
      <c r="F633" s="454">
        <f t="shared" si="288"/>
        <v>26.67</v>
      </c>
      <c r="G633" s="529">
        <v>26.67</v>
      </c>
      <c r="H633" s="487">
        <f t="shared" si="289"/>
        <v>21.34</v>
      </c>
      <c r="I633" s="706"/>
      <c r="J633" s="669" t="s">
        <v>5805</v>
      </c>
      <c r="K633" s="15"/>
      <c r="L633"/>
      <c r="M633" s="49">
        <f t="shared" si="290"/>
        <v>26.67</v>
      </c>
      <c r="N633" s="41">
        <v>11.67</v>
      </c>
      <c r="O633" s="186"/>
      <c r="P633" s="177"/>
      <c r="S633" s="178" t="s">
        <v>4180</v>
      </c>
      <c r="T633" s="178" t="s">
        <v>4180</v>
      </c>
      <c r="U633" s="179"/>
      <c r="W633" s="180"/>
      <c r="X633" s="180"/>
      <c r="AA633" s="180"/>
      <c r="AC633" s="178" t="s">
        <v>1017</v>
      </c>
      <c r="AD633" s="201"/>
      <c r="AE633" s="181" t="s">
        <v>1017</v>
      </c>
      <c r="AF633" s="180"/>
      <c r="AG633" s="201"/>
      <c r="AH633" s="212" t="str">
        <f t="shared" ref="AH633:AH638" si="294">IF(ISERROR(SEARCH("K erstmals 201",D633)),"",RIGHT(D633,4))</f>
        <v/>
      </c>
      <c r="AI633" s="214" t="str">
        <f t="shared" si="282"/>
        <v/>
      </c>
      <c r="AJ633" s="214" t="str">
        <f t="shared" si="283"/>
        <v/>
      </c>
      <c r="AK633" s="214" t="str">
        <f t="shared" si="284"/>
        <v/>
      </c>
      <c r="AL633" s="214" t="str">
        <f t="shared" si="285"/>
        <v/>
      </c>
      <c r="AM633" s="214" t="str">
        <f t="shared" si="286"/>
        <v/>
      </c>
      <c r="AN633" s="213" t="str">
        <f t="shared" si="269"/>
        <v/>
      </c>
      <c r="AO633" s="213" t="str">
        <f t="shared" si="270"/>
        <v/>
      </c>
      <c r="AP633" s="213" t="str">
        <f t="shared" si="271"/>
        <v/>
      </c>
      <c r="AQ633" s="215" t="str">
        <f t="shared" si="272"/>
        <v/>
      </c>
      <c r="AR633" s="216" t="str">
        <f t="shared" si="273"/>
        <v>BiK81X1b----04</v>
      </c>
      <c r="AS633" s="215" t="str">
        <f t="shared" si="274"/>
        <v/>
      </c>
      <c r="AT633">
        <f t="shared" si="275"/>
        <v>14</v>
      </c>
      <c r="AU633" s="216" t="str">
        <f t="shared" si="276"/>
        <v>0-0,15 MW, Bonusregeln X1, b</v>
      </c>
      <c r="AV633" s="215" t="str">
        <f t="shared" si="277"/>
        <v/>
      </c>
      <c r="AW633" s="216" t="str">
        <f t="shared" si="278"/>
        <v>Anteil Nicht-KWK</v>
      </c>
      <c r="AX633" s="215" t="str">
        <f t="shared" si="279"/>
        <v/>
      </c>
      <c r="AY633" t="str">
        <f t="shared" si="280"/>
        <v/>
      </c>
      <c r="AZ633" t="str">
        <f t="shared" si="281"/>
        <v/>
      </c>
    </row>
    <row r="634" spans="1:52" s="178" customFormat="1" x14ac:dyDescent="0.25">
      <c r="A634" s="610" t="s">
        <v>2374</v>
      </c>
      <c r="B634" s="30" t="s">
        <v>5548</v>
      </c>
      <c r="C634" s="30" t="s">
        <v>4809</v>
      </c>
      <c r="D634" s="30" t="s">
        <v>6978</v>
      </c>
      <c r="E634" s="30" t="s">
        <v>4812</v>
      </c>
      <c r="F634" s="454">
        <f t="shared" si="288"/>
        <v>28.67</v>
      </c>
      <c r="G634" s="529">
        <v>28.67</v>
      </c>
      <c r="H634" s="487">
        <f t="shared" si="289"/>
        <v>22.94</v>
      </c>
      <c r="I634" s="706"/>
      <c r="J634" s="669" t="s">
        <v>5805</v>
      </c>
      <c r="K634" s="15"/>
      <c r="L634"/>
      <c r="M634" s="49">
        <f t="shared" si="290"/>
        <v>28.67</v>
      </c>
      <c r="N634" s="41">
        <v>11.67</v>
      </c>
      <c r="O634" s="186" t="s">
        <v>1017</v>
      </c>
      <c r="P634" s="177"/>
      <c r="S634" s="178" t="s">
        <v>4180</v>
      </c>
      <c r="T634" s="178" t="s">
        <v>4180</v>
      </c>
      <c r="U634" s="179"/>
      <c r="W634" s="180"/>
      <c r="X634" s="180"/>
      <c r="AA634" s="180"/>
      <c r="AC634" s="178" t="s">
        <v>1017</v>
      </c>
      <c r="AD634" s="201"/>
      <c r="AE634" s="181" t="s">
        <v>1017</v>
      </c>
      <c r="AF634" s="180"/>
      <c r="AG634" s="201"/>
      <c r="AH634" s="212" t="str">
        <f t="shared" si="294"/>
        <v/>
      </c>
      <c r="AI634" s="214" t="str">
        <f t="shared" si="282"/>
        <v/>
      </c>
      <c r="AJ634" s="214" t="str">
        <f t="shared" si="283"/>
        <v/>
      </c>
      <c r="AK634" s="214" t="str">
        <f t="shared" si="284"/>
        <v/>
      </c>
      <c r="AL634" s="214" t="str">
        <f t="shared" si="285"/>
        <v/>
      </c>
      <c r="AM634" s="214" t="str">
        <f t="shared" si="286"/>
        <v/>
      </c>
      <c r="AN634" s="213" t="str">
        <f t="shared" si="269"/>
        <v/>
      </c>
      <c r="AO634" s="213" t="str">
        <f t="shared" si="270"/>
        <v/>
      </c>
      <c r="AP634" s="213" t="str">
        <f t="shared" si="271"/>
        <v/>
      </c>
      <c r="AQ634" s="215" t="str">
        <f t="shared" si="272"/>
        <v/>
      </c>
      <c r="AR634" s="216" t="str">
        <f t="shared" si="273"/>
        <v>BiK81X1bKWK-04</v>
      </c>
      <c r="AS634" s="215" t="str">
        <f t="shared" si="274"/>
        <v/>
      </c>
      <c r="AT634">
        <f t="shared" si="275"/>
        <v>14</v>
      </c>
      <c r="AU634" s="216" t="str">
        <f t="shared" si="276"/>
        <v>0-0,15 MW, Bonusregeln X1, b und KWK</v>
      </c>
      <c r="AV634" s="215" t="str">
        <f t="shared" si="277"/>
        <v/>
      </c>
      <c r="AW634" s="216" t="str">
        <f t="shared" si="278"/>
        <v>Anteil KWK</v>
      </c>
      <c r="AX634" s="215" t="str">
        <f t="shared" si="279"/>
        <v/>
      </c>
      <c r="AY634" t="str">
        <f t="shared" si="280"/>
        <v/>
      </c>
      <c r="AZ634" t="str">
        <f t="shared" si="281"/>
        <v/>
      </c>
    </row>
    <row r="635" spans="1:52" s="178" customFormat="1" x14ac:dyDescent="0.25">
      <c r="A635" s="610" t="s">
        <v>2375</v>
      </c>
      <c r="B635" s="30" t="s">
        <v>5548</v>
      </c>
      <c r="C635" s="30" t="s">
        <v>4809</v>
      </c>
      <c r="D635" s="30" t="s">
        <v>6979</v>
      </c>
      <c r="E635" s="30" t="s">
        <v>4331</v>
      </c>
      <c r="F635" s="454">
        <f t="shared" si="288"/>
        <v>29.67</v>
      </c>
      <c r="G635" s="529">
        <v>29.67</v>
      </c>
      <c r="H635" s="487">
        <f t="shared" si="289"/>
        <v>23.74</v>
      </c>
      <c r="I635" s="706"/>
      <c r="J635" s="669" t="s">
        <v>5805</v>
      </c>
      <c r="K635" s="15"/>
      <c r="L635"/>
      <c r="M635" s="49">
        <f t="shared" si="290"/>
        <v>29.67</v>
      </c>
      <c r="N635" s="41">
        <v>11.67</v>
      </c>
      <c r="O635" s="186"/>
      <c r="P635" s="178" t="s">
        <v>1017</v>
      </c>
      <c r="S635" s="178" t="s">
        <v>4180</v>
      </c>
      <c r="T635" s="178" t="s">
        <v>4180</v>
      </c>
      <c r="U635" s="179"/>
      <c r="W635" s="180"/>
      <c r="X635" s="180"/>
      <c r="AA635" s="180"/>
      <c r="AC635" s="178" t="s">
        <v>1017</v>
      </c>
      <c r="AD635" s="201"/>
      <c r="AE635" s="181" t="s">
        <v>1017</v>
      </c>
      <c r="AF635" s="180"/>
      <c r="AG635" s="201"/>
      <c r="AH635" s="212" t="str">
        <f t="shared" si="294"/>
        <v/>
      </c>
      <c r="AI635" s="214" t="str">
        <f t="shared" si="282"/>
        <v/>
      </c>
      <c r="AJ635" s="214" t="str">
        <f t="shared" si="283"/>
        <v/>
      </c>
      <c r="AK635" s="214" t="str">
        <f t="shared" si="284"/>
        <v/>
      </c>
      <c r="AL635" s="214" t="str">
        <f t="shared" si="285"/>
        <v/>
      </c>
      <c r="AM635" s="214" t="str">
        <f t="shared" si="286"/>
        <v/>
      </c>
      <c r="AN635" s="213" t="str">
        <f t="shared" si="269"/>
        <v/>
      </c>
      <c r="AO635" s="213" t="str">
        <f t="shared" si="270"/>
        <v/>
      </c>
      <c r="AP635" s="213" t="str">
        <f t="shared" si="271"/>
        <v/>
      </c>
      <c r="AQ635" s="215" t="str">
        <f t="shared" si="272"/>
        <v/>
      </c>
      <c r="AR635" s="216" t="str">
        <f t="shared" si="273"/>
        <v>BiK81X1bKA3-04</v>
      </c>
      <c r="AS635" s="215" t="str">
        <f t="shared" si="274"/>
        <v/>
      </c>
      <c r="AT635">
        <f t="shared" si="275"/>
        <v>14</v>
      </c>
      <c r="AU635" s="216" t="str">
        <f t="shared" si="276"/>
        <v>0-0,15 MW, Bonusregeln X1, b und K wenn Anlage 3 erfüllt</v>
      </c>
      <c r="AV635" s="215" t="str">
        <f t="shared" si="277"/>
        <v/>
      </c>
      <c r="AW635" s="216" t="str">
        <f t="shared" si="278"/>
        <v>Anteil KWK gemäß Anlage 3</v>
      </c>
      <c r="AX635" s="215" t="str">
        <f t="shared" si="279"/>
        <v/>
      </c>
      <c r="AY635" t="str">
        <f t="shared" si="280"/>
        <v/>
      </c>
      <c r="AZ635" t="str">
        <f t="shared" si="281"/>
        <v/>
      </c>
    </row>
    <row r="636" spans="1:52" s="178" customFormat="1" x14ac:dyDescent="0.25">
      <c r="A636" s="610" t="s">
        <v>2376</v>
      </c>
      <c r="B636" s="30" t="s">
        <v>5548</v>
      </c>
      <c r="C636" s="30" t="s">
        <v>4809</v>
      </c>
      <c r="D636" s="30" t="s">
        <v>6980</v>
      </c>
      <c r="E636" s="30" t="s">
        <v>674</v>
      </c>
      <c r="F636" s="454">
        <f t="shared" si="288"/>
        <v>29.67</v>
      </c>
      <c r="G636" s="529">
        <v>29.67</v>
      </c>
      <c r="H636" s="487">
        <f t="shared" si="289"/>
        <v>23.74</v>
      </c>
      <c r="I636" s="706"/>
      <c r="J636" s="669" t="s">
        <v>5805</v>
      </c>
      <c r="K636" s="15"/>
      <c r="L636"/>
      <c r="M636" s="49">
        <f t="shared" si="290"/>
        <v>29.67</v>
      </c>
      <c r="N636" s="41">
        <v>11.67</v>
      </c>
      <c r="O636" s="186"/>
      <c r="P636" s="177"/>
      <c r="Q636" s="178" t="s">
        <v>1017</v>
      </c>
      <c r="S636" s="178" t="s">
        <v>4180</v>
      </c>
      <c r="T636" s="178" t="s">
        <v>4180</v>
      </c>
      <c r="U636" s="179"/>
      <c r="W636" s="180"/>
      <c r="X636" s="180"/>
      <c r="AA636" s="180"/>
      <c r="AC636" s="178" t="s">
        <v>1017</v>
      </c>
      <c r="AD636" s="201"/>
      <c r="AE636" s="181" t="s">
        <v>1017</v>
      </c>
      <c r="AF636" s="180"/>
      <c r="AG636" s="201"/>
      <c r="AH636" s="212" t="str">
        <f t="shared" si="294"/>
        <v/>
      </c>
      <c r="AI636" s="214" t="str">
        <f t="shared" si="282"/>
        <v/>
      </c>
      <c r="AJ636" s="214" t="str">
        <f t="shared" si="283"/>
        <v/>
      </c>
      <c r="AK636" s="214" t="str">
        <f t="shared" si="284"/>
        <v/>
      </c>
      <c r="AL636" s="214" t="str">
        <f t="shared" si="285"/>
        <v/>
      </c>
      <c r="AM636" s="214" t="str">
        <f t="shared" si="286"/>
        <v/>
      </c>
      <c r="AN636" s="213" t="str">
        <f t="shared" si="269"/>
        <v/>
      </c>
      <c r="AO636" s="213" t="str">
        <f t="shared" si="270"/>
        <v/>
      </c>
      <c r="AP636" s="213" t="str">
        <f t="shared" si="271"/>
        <v/>
      </c>
      <c r="AQ636" s="215" t="str">
        <f t="shared" si="272"/>
        <v/>
      </c>
      <c r="AR636" s="216" t="str">
        <f t="shared" si="273"/>
        <v>BiK81X1bK09-04</v>
      </c>
      <c r="AS636" s="215" t="str">
        <f t="shared" si="274"/>
        <v/>
      </c>
      <c r="AT636">
        <f t="shared" si="275"/>
        <v>14</v>
      </c>
      <c r="AU636" s="216" t="str">
        <f t="shared" si="276"/>
        <v>0-0,15 MW, Bonusregeln X1, b und K erstmals 2009</v>
      </c>
      <c r="AV636" s="215" t="str">
        <f t="shared" si="277"/>
        <v/>
      </c>
      <c r="AW636" s="216" t="str">
        <f t="shared" si="278"/>
        <v>Anteil KWK, erstmals 2009</v>
      </c>
      <c r="AX636" s="215" t="str">
        <f t="shared" si="279"/>
        <v/>
      </c>
      <c r="AY636" t="str">
        <f t="shared" si="280"/>
        <v/>
      </c>
      <c r="AZ636" t="str">
        <f t="shared" si="281"/>
        <v/>
      </c>
    </row>
    <row r="637" spans="1:52" s="178" customFormat="1" x14ac:dyDescent="0.25">
      <c r="A637" s="610" t="s">
        <v>1443</v>
      </c>
      <c r="B637" s="30" t="s">
        <v>5548</v>
      </c>
      <c r="C637" s="30" t="s">
        <v>4809</v>
      </c>
      <c r="D637" s="30" t="s">
        <v>6981</v>
      </c>
      <c r="E637" s="30" t="s">
        <v>3567</v>
      </c>
      <c r="F637" s="454">
        <f t="shared" si="288"/>
        <v>29.64</v>
      </c>
      <c r="G637" s="529">
        <v>29.64</v>
      </c>
      <c r="H637" s="487">
        <f t="shared" si="289"/>
        <v>23.71</v>
      </c>
      <c r="I637" s="706"/>
      <c r="J637" s="669" t="s">
        <v>5805</v>
      </c>
      <c r="K637" s="15"/>
      <c r="L637"/>
      <c r="M637" s="49">
        <f t="shared" si="290"/>
        <v>29.64</v>
      </c>
      <c r="N637" s="41">
        <v>11.67</v>
      </c>
      <c r="O637" s="186"/>
      <c r="P637" s="177"/>
      <c r="R637" s="178" t="s">
        <v>1017</v>
      </c>
      <c r="S637" s="178" t="s">
        <v>4180</v>
      </c>
      <c r="T637" s="178" t="s">
        <v>4180</v>
      </c>
      <c r="U637" s="179"/>
      <c r="W637" s="180"/>
      <c r="X637" s="180"/>
      <c r="AA637" s="180"/>
      <c r="AC637" s="178" t="s">
        <v>1017</v>
      </c>
      <c r="AD637" s="201"/>
      <c r="AE637" s="181" t="s">
        <v>1017</v>
      </c>
      <c r="AF637" s="180"/>
      <c r="AG637" s="201"/>
      <c r="AH637" s="212" t="str">
        <f t="shared" si="294"/>
        <v>2010</v>
      </c>
      <c r="AI637" s="214" t="str">
        <f t="shared" si="282"/>
        <v/>
      </c>
      <c r="AJ637" s="214" t="str">
        <f t="shared" si="283"/>
        <v/>
      </c>
      <c r="AK637" s="214" t="str">
        <f t="shared" si="284"/>
        <v/>
      </c>
      <c r="AL637" s="214" t="str">
        <f t="shared" si="285"/>
        <v/>
      </c>
      <c r="AM637" s="214" t="str">
        <f t="shared" si="286"/>
        <v/>
      </c>
      <c r="AN637" s="213" t="str">
        <f t="shared" si="269"/>
        <v>2010</v>
      </c>
      <c r="AO637" s="213" t="str">
        <f t="shared" si="270"/>
        <v>2010</v>
      </c>
      <c r="AP637" s="213" t="str">
        <f t="shared" si="271"/>
        <v>2010</v>
      </c>
      <c r="AQ637" s="215" t="str">
        <f t="shared" si="272"/>
        <v/>
      </c>
      <c r="AR637" s="216" t="str">
        <f t="shared" si="273"/>
        <v>BiK81X1bK10-04</v>
      </c>
      <c r="AS637" s="215" t="str">
        <f t="shared" si="274"/>
        <v/>
      </c>
      <c r="AT637">
        <f t="shared" si="275"/>
        <v>14</v>
      </c>
      <c r="AU637" s="216" t="str">
        <f t="shared" si="276"/>
        <v>0-0,15 MW, Bonusregeln X1, b und K erstmals 2010</v>
      </c>
      <c r="AV637" s="215" t="str">
        <f t="shared" si="277"/>
        <v/>
      </c>
      <c r="AW637" s="216" t="str">
        <f t="shared" si="278"/>
        <v>Anteil KWK, erstmals 2010</v>
      </c>
      <c r="AX637" s="215" t="str">
        <f t="shared" si="279"/>
        <v/>
      </c>
      <c r="AY637" t="str">
        <f t="shared" si="280"/>
        <v/>
      </c>
      <c r="AZ637" t="str">
        <f t="shared" si="281"/>
        <v/>
      </c>
    </row>
    <row r="638" spans="1:52" s="178" customFormat="1" x14ac:dyDescent="0.25">
      <c r="A638" s="610" t="s">
        <v>5265</v>
      </c>
      <c r="B638" s="30" t="s">
        <v>5548</v>
      </c>
      <c r="C638" s="30" t="s">
        <v>4809</v>
      </c>
      <c r="D638" s="30" t="s">
        <v>6982</v>
      </c>
      <c r="E638" s="30" t="s">
        <v>3055</v>
      </c>
      <c r="F638" s="454">
        <f t="shared" si="288"/>
        <v>29.61</v>
      </c>
      <c r="G638" s="529">
        <v>29.61</v>
      </c>
      <c r="H638" s="487">
        <f t="shared" si="289"/>
        <v>23.69</v>
      </c>
      <c r="I638" s="706"/>
      <c r="J638" s="669" t="s">
        <v>5805</v>
      </c>
      <c r="K638" s="15"/>
      <c r="L638"/>
      <c r="M638" s="49">
        <f t="shared" si="290"/>
        <v>29.61</v>
      </c>
      <c r="N638" s="41">
        <v>11.67</v>
      </c>
      <c r="O638" s="186"/>
      <c r="P638" s="177"/>
      <c r="S638" s="178" t="s">
        <v>1017</v>
      </c>
      <c r="T638" s="178" t="s">
        <v>4180</v>
      </c>
      <c r="U638" s="179"/>
      <c r="W638" s="180"/>
      <c r="X638" s="180"/>
      <c r="AA638" s="180"/>
      <c r="AC638" s="178" t="s">
        <v>1017</v>
      </c>
      <c r="AD638" s="201"/>
      <c r="AE638" s="181" t="s">
        <v>1017</v>
      </c>
      <c r="AF638" s="180"/>
      <c r="AG638" s="201"/>
      <c r="AH638" s="212" t="str">
        <f t="shared" si="294"/>
        <v>2011</v>
      </c>
      <c r="AI638" s="214" t="str">
        <f t="shared" si="282"/>
        <v/>
      </c>
      <c r="AJ638" s="214" t="str">
        <f t="shared" si="283"/>
        <v/>
      </c>
      <c r="AK638" s="214" t="str">
        <f t="shared" si="284"/>
        <v/>
      </c>
      <c r="AL638" s="214" t="str">
        <f t="shared" si="285"/>
        <v/>
      </c>
      <c r="AM638" s="214" t="str">
        <f t="shared" si="286"/>
        <v/>
      </c>
      <c r="AN638" s="213" t="str">
        <f t="shared" si="269"/>
        <v>2011</v>
      </c>
      <c r="AO638" s="213" t="str">
        <f t="shared" si="270"/>
        <v>2011</v>
      </c>
      <c r="AP638" s="213" t="str">
        <f t="shared" si="271"/>
        <v>2011</v>
      </c>
      <c r="AQ638" s="215" t="str">
        <f t="shared" si="272"/>
        <v/>
      </c>
      <c r="AR638" s="216" t="str">
        <f t="shared" si="273"/>
        <v>BiK81X1bK11-04</v>
      </c>
      <c r="AS638" s="215" t="str">
        <f t="shared" si="274"/>
        <v/>
      </c>
      <c r="AT638">
        <f t="shared" si="275"/>
        <v>14</v>
      </c>
      <c r="AU638" s="216" t="str">
        <f t="shared" si="276"/>
        <v>0-0,15 MW, Bonusregeln X1, b und K erstmals 2011</v>
      </c>
      <c r="AV638" s="215" t="str">
        <f t="shared" si="277"/>
        <v/>
      </c>
      <c r="AW638" s="216" t="str">
        <f t="shared" si="278"/>
        <v>Anteil KWK, erstmals 2011</v>
      </c>
      <c r="AX638" s="215" t="str">
        <f t="shared" si="279"/>
        <v/>
      </c>
      <c r="AY638" t="str">
        <f t="shared" si="280"/>
        <v>x</v>
      </c>
      <c r="AZ638" t="str">
        <f t="shared" si="281"/>
        <v/>
      </c>
    </row>
    <row r="639" spans="1:52" s="178" customFormat="1" x14ac:dyDescent="0.25">
      <c r="A639" s="625" t="s">
        <v>1515</v>
      </c>
      <c r="B639" s="219" t="s">
        <v>5548</v>
      </c>
      <c r="C639" s="219" t="s">
        <v>4809</v>
      </c>
      <c r="D639" s="219" t="s">
        <v>6983</v>
      </c>
      <c r="E639" s="219" t="s">
        <v>1980</v>
      </c>
      <c r="F639" s="455">
        <f t="shared" si="288"/>
        <v>29.58</v>
      </c>
      <c r="G639" s="530">
        <v>29.58</v>
      </c>
      <c r="H639" s="488">
        <f t="shared" si="289"/>
        <v>23.66</v>
      </c>
      <c r="I639" s="707"/>
      <c r="J639" s="669" t="s">
        <v>5805</v>
      </c>
      <c r="K639" s="15"/>
      <c r="L639"/>
      <c r="M639" s="49">
        <f t="shared" si="290"/>
        <v>29.58</v>
      </c>
      <c r="N639" s="41">
        <v>11.67</v>
      </c>
      <c r="O639" s="186"/>
      <c r="P639" s="177"/>
      <c r="S639" s="178" t="s">
        <v>4180</v>
      </c>
      <c r="T639" s="178" t="s">
        <v>1017</v>
      </c>
      <c r="U639" s="179"/>
      <c r="W639" s="180"/>
      <c r="X639" s="180"/>
      <c r="AA639" s="180"/>
      <c r="AC639" s="178" t="s">
        <v>1017</v>
      </c>
      <c r="AD639" s="201"/>
      <c r="AE639" s="181" t="s">
        <v>1017</v>
      </c>
      <c r="AF639" s="180"/>
      <c r="AG639" s="201"/>
      <c r="AH639" s="217" t="s">
        <v>4179</v>
      </c>
      <c r="AI639" s="214" t="str">
        <f t="shared" si="282"/>
        <v/>
      </c>
      <c r="AJ639" s="214" t="str">
        <f t="shared" si="283"/>
        <v/>
      </c>
      <c r="AK639" s="214" t="str">
        <f t="shared" si="284"/>
        <v/>
      </c>
      <c r="AL639" s="214" t="str">
        <f t="shared" si="285"/>
        <v/>
      </c>
      <c r="AM639" s="214" t="str">
        <f t="shared" si="286"/>
        <v/>
      </c>
      <c r="AN639" s="213" t="str">
        <f t="shared" si="269"/>
        <v>2012</v>
      </c>
      <c r="AO639" s="213" t="str">
        <f t="shared" si="270"/>
        <v>2012</v>
      </c>
      <c r="AP639" s="213" t="str">
        <f t="shared" si="271"/>
        <v>2012</v>
      </c>
      <c r="AQ639" s="215" t="str">
        <f t="shared" si="272"/>
        <v/>
      </c>
      <c r="AR639" s="216" t="str">
        <f t="shared" si="273"/>
        <v>BiK81X1bK12-04</v>
      </c>
      <c r="AS639" s="215" t="str">
        <f t="shared" si="274"/>
        <v/>
      </c>
      <c r="AT639">
        <f t="shared" si="275"/>
        <v>14</v>
      </c>
      <c r="AU639" s="216" t="str">
        <f t="shared" si="276"/>
        <v>0-0,15 MW, Bonusregeln X1, b und K erstmals 2012</v>
      </c>
      <c r="AV639" s="215" t="str">
        <f t="shared" si="277"/>
        <v/>
      </c>
      <c r="AW639" s="216" t="str">
        <f t="shared" si="278"/>
        <v>Anteil KWK, erstmals 2012</v>
      </c>
      <c r="AX639" s="215" t="str">
        <f t="shared" si="279"/>
        <v/>
      </c>
      <c r="AY639" t="str">
        <f t="shared" si="280"/>
        <v/>
      </c>
      <c r="AZ639" t="str">
        <f t="shared" si="281"/>
        <v>x</v>
      </c>
    </row>
    <row r="640" spans="1:52" s="178" customFormat="1" x14ac:dyDescent="0.25">
      <c r="A640" s="610" t="s">
        <v>2085</v>
      </c>
      <c r="B640" s="30" t="s">
        <v>5548</v>
      </c>
      <c r="C640" s="30" t="s">
        <v>4809</v>
      </c>
      <c r="D640" s="30" t="s">
        <v>6984</v>
      </c>
      <c r="E640" s="30" t="s">
        <v>4810</v>
      </c>
      <c r="F640" s="454">
        <f t="shared" si="288"/>
        <v>27.67</v>
      </c>
      <c r="G640" s="529">
        <v>27.67</v>
      </c>
      <c r="H640" s="487">
        <f t="shared" si="289"/>
        <v>22.14</v>
      </c>
      <c r="I640" s="706"/>
      <c r="J640" s="669" t="s">
        <v>5805</v>
      </c>
      <c r="K640" s="15"/>
      <c r="L640"/>
      <c r="M640" s="49">
        <f t="shared" si="290"/>
        <v>27.67</v>
      </c>
      <c r="N640" s="41">
        <v>11.67</v>
      </c>
      <c r="O640" s="187"/>
      <c r="P640" s="183"/>
      <c r="Q640" s="184"/>
      <c r="R640" s="184"/>
      <c r="S640" s="184" t="s">
        <v>4180</v>
      </c>
      <c r="T640" s="178" t="s">
        <v>4180</v>
      </c>
      <c r="U640" s="185" t="s">
        <v>1017</v>
      </c>
      <c r="V640" s="184"/>
      <c r="W640" s="180"/>
      <c r="X640" s="180"/>
      <c r="AA640" s="180"/>
      <c r="AC640" s="184" t="s">
        <v>1017</v>
      </c>
      <c r="AD640" s="201"/>
      <c r="AE640" s="181" t="s">
        <v>1017</v>
      </c>
      <c r="AF640" s="180"/>
      <c r="AG640" s="201"/>
      <c r="AH640" s="212" t="str">
        <f t="shared" ref="AH640:AH645" si="295">IF(ISERROR(SEARCH("K erstmals 201",D640)),"",RIGHT(D640,4))</f>
        <v/>
      </c>
      <c r="AI640" s="214" t="str">
        <f t="shared" si="282"/>
        <v/>
      </c>
      <c r="AJ640" s="214" t="str">
        <f t="shared" si="283"/>
        <v/>
      </c>
      <c r="AK640" s="214" t="str">
        <f t="shared" si="284"/>
        <v/>
      </c>
      <c r="AL640" s="214" t="str">
        <f t="shared" si="285"/>
        <v/>
      </c>
      <c r="AM640" s="214" t="str">
        <f t="shared" si="286"/>
        <v/>
      </c>
      <c r="AN640" s="213" t="str">
        <f t="shared" si="269"/>
        <v/>
      </c>
      <c r="AO640" s="213" t="str">
        <f t="shared" si="270"/>
        <v/>
      </c>
      <c r="AP640" s="213" t="str">
        <f t="shared" si="271"/>
        <v/>
      </c>
      <c r="AQ640" s="215" t="str">
        <f t="shared" si="272"/>
        <v/>
      </c>
      <c r="AR640" s="216" t="str">
        <f t="shared" si="273"/>
        <v>BiK81X1by---04</v>
      </c>
      <c r="AS640" s="215" t="str">
        <f t="shared" si="274"/>
        <v/>
      </c>
      <c r="AT640">
        <f t="shared" si="275"/>
        <v>14</v>
      </c>
      <c r="AU640" s="216" t="str">
        <f t="shared" si="276"/>
        <v>0-0,15 MW, Bonusregeln X1, y, b</v>
      </c>
      <c r="AV640" s="215" t="str">
        <f t="shared" si="277"/>
        <v/>
      </c>
      <c r="AW640" s="216" t="str">
        <f t="shared" si="278"/>
        <v>Anteil Nicht-KWK</v>
      </c>
      <c r="AX640" s="215" t="str">
        <f t="shared" si="279"/>
        <v/>
      </c>
      <c r="AY640" t="str">
        <f t="shared" si="280"/>
        <v/>
      </c>
      <c r="AZ640" t="str">
        <f t="shared" si="281"/>
        <v/>
      </c>
    </row>
    <row r="641" spans="1:52" s="178" customFormat="1" x14ac:dyDescent="0.25">
      <c r="A641" s="610" t="s">
        <v>2086</v>
      </c>
      <c r="B641" s="30" t="s">
        <v>5548</v>
      </c>
      <c r="C641" s="30" t="s">
        <v>4809</v>
      </c>
      <c r="D641" s="30" t="s">
        <v>6985</v>
      </c>
      <c r="E641" s="30" t="s">
        <v>4812</v>
      </c>
      <c r="F641" s="454">
        <f t="shared" si="288"/>
        <v>29.67</v>
      </c>
      <c r="G641" s="529">
        <v>29.67</v>
      </c>
      <c r="H641" s="487">
        <f t="shared" si="289"/>
        <v>23.74</v>
      </c>
      <c r="I641" s="706"/>
      <c r="J641" s="669" t="s">
        <v>5805</v>
      </c>
      <c r="K641" s="15"/>
      <c r="L641"/>
      <c r="M641" s="49">
        <f t="shared" si="290"/>
        <v>29.67</v>
      </c>
      <c r="N641" s="41">
        <v>11.67</v>
      </c>
      <c r="O641" s="187" t="s">
        <v>1017</v>
      </c>
      <c r="P641" s="183"/>
      <c r="Q641" s="184"/>
      <c r="R641" s="184"/>
      <c r="S641" s="184" t="s">
        <v>4180</v>
      </c>
      <c r="T641" s="178" t="s">
        <v>4180</v>
      </c>
      <c r="U641" s="185" t="s">
        <v>1017</v>
      </c>
      <c r="V641" s="184"/>
      <c r="W641" s="180"/>
      <c r="X641" s="180"/>
      <c r="AA641" s="180"/>
      <c r="AC641" s="184" t="s">
        <v>1017</v>
      </c>
      <c r="AD641" s="201"/>
      <c r="AE641" s="181" t="s">
        <v>1017</v>
      </c>
      <c r="AF641" s="180"/>
      <c r="AG641" s="201"/>
      <c r="AH641" s="212" t="str">
        <f t="shared" si="295"/>
        <v/>
      </c>
      <c r="AI641" s="214" t="str">
        <f t="shared" si="282"/>
        <v/>
      </c>
      <c r="AJ641" s="214" t="str">
        <f t="shared" si="283"/>
        <v/>
      </c>
      <c r="AK641" s="214" t="str">
        <f t="shared" si="284"/>
        <v/>
      </c>
      <c r="AL641" s="214" t="str">
        <f t="shared" si="285"/>
        <v/>
      </c>
      <c r="AM641" s="214" t="str">
        <f t="shared" si="286"/>
        <v/>
      </c>
      <c r="AN641" s="213" t="str">
        <f t="shared" si="269"/>
        <v/>
      </c>
      <c r="AO641" s="213" t="str">
        <f t="shared" si="270"/>
        <v/>
      </c>
      <c r="AP641" s="213" t="str">
        <f t="shared" si="271"/>
        <v/>
      </c>
      <c r="AQ641" s="215" t="str">
        <f t="shared" si="272"/>
        <v/>
      </c>
      <c r="AR641" s="216" t="str">
        <f t="shared" si="273"/>
        <v>BiK81X1bKWKy04</v>
      </c>
      <c r="AS641" s="215" t="str">
        <f t="shared" si="274"/>
        <v/>
      </c>
      <c r="AT641">
        <f t="shared" si="275"/>
        <v>14</v>
      </c>
      <c r="AU641" s="216" t="str">
        <f t="shared" si="276"/>
        <v>0-0,15 MW, Bonusregeln X1, y, b und KWK</v>
      </c>
      <c r="AV641" s="215" t="str">
        <f t="shared" si="277"/>
        <v/>
      </c>
      <c r="AW641" s="216" t="str">
        <f t="shared" si="278"/>
        <v>Anteil KWK</v>
      </c>
      <c r="AX641" s="215" t="str">
        <f t="shared" si="279"/>
        <v/>
      </c>
      <c r="AY641" t="str">
        <f t="shared" si="280"/>
        <v/>
      </c>
      <c r="AZ641" t="str">
        <f t="shared" si="281"/>
        <v/>
      </c>
    </row>
    <row r="642" spans="1:52" s="178" customFormat="1" x14ac:dyDescent="0.25">
      <c r="A642" s="610" t="s">
        <v>2087</v>
      </c>
      <c r="B642" s="30" t="s">
        <v>5548</v>
      </c>
      <c r="C642" s="30" t="s">
        <v>4809</v>
      </c>
      <c r="D642" s="109" t="s">
        <v>6986</v>
      </c>
      <c r="E642" s="30" t="s">
        <v>4331</v>
      </c>
      <c r="F642" s="454">
        <f t="shared" si="288"/>
        <v>30.67</v>
      </c>
      <c r="G642" s="529">
        <v>30.67</v>
      </c>
      <c r="H642" s="487">
        <f t="shared" si="289"/>
        <v>24.54</v>
      </c>
      <c r="I642" s="706"/>
      <c r="J642" s="669" t="s">
        <v>5805</v>
      </c>
      <c r="K642" s="15"/>
      <c r="L642"/>
      <c r="M642" s="49">
        <f t="shared" si="290"/>
        <v>30.67</v>
      </c>
      <c r="N642" s="41">
        <v>11.67</v>
      </c>
      <c r="O642" s="187"/>
      <c r="P642" s="184" t="s">
        <v>1017</v>
      </c>
      <c r="Q642" s="184"/>
      <c r="R642" s="184"/>
      <c r="S642" s="184" t="s">
        <v>4180</v>
      </c>
      <c r="T642" s="178" t="s">
        <v>4180</v>
      </c>
      <c r="U642" s="185" t="s">
        <v>1017</v>
      </c>
      <c r="V642" s="184"/>
      <c r="W642" s="180"/>
      <c r="X642" s="180"/>
      <c r="AA642" s="180"/>
      <c r="AC642" s="184" t="s">
        <v>1017</v>
      </c>
      <c r="AD642" s="201"/>
      <c r="AE642" s="181" t="s">
        <v>1017</v>
      </c>
      <c r="AF642" s="180"/>
      <c r="AG642" s="201"/>
      <c r="AH642" s="212" t="str">
        <f t="shared" si="295"/>
        <v/>
      </c>
      <c r="AI642" s="214" t="str">
        <f t="shared" si="282"/>
        <v/>
      </c>
      <c r="AJ642" s="214" t="str">
        <f t="shared" si="283"/>
        <v/>
      </c>
      <c r="AK642" s="214" t="str">
        <f t="shared" si="284"/>
        <v/>
      </c>
      <c r="AL642" s="214" t="str">
        <f t="shared" si="285"/>
        <v/>
      </c>
      <c r="AM642" s="214" t="str">
        <f t="shared" si="286"/>
        <v/>
      </c>
      <c r="AN642" s="213" t="str">
        <f t="shared" si="269"/>
        <v/>
      </c>
      <c r="AO642" s="213" t="str">
        <f t="shared" si="270"/>
        <v/>
      </c>
      <c r="AP642" s="213" t="str">
        <f t="shared" si="271"/>
        <v/>
      </c>
      <c r="AQ642" s="215" t="str">
        <f t="shared" si="272"/>
        <v/>
      </c>
      <c r="AR642" s="216" t="str">
        <f t="shared" si="273"/>
        <v>BiK81X1bKA3y04</v>
      </c>
      <c r="AS642" s="215" t="str">
        <f t="shared" si="274"/>
        <v/>
      </c>
      <c r="AT642">
        <f t="shared" si="275"/>
        <v>14</v>
      </c>
      <c r="AU642" s="216" t="str">
        <f t="shared" si="276"/>
        <v>0-0,15 MW, Bonusregeln X1, y, b und K wenn Anlage 3 erfüllt</v>
      </c>
      <c r="AV642" s="215" t="str">
        <f t="shared" si="277"/>
        <v/>
      </c>
      <c r="AW642" s="216" t="str">
        <f t="shared" si="278"/>
        <v>Anteil KWK gemäß Anlage 3</v>
      </c>
      <c r="AX642" s="215" t="str">
        <f t="shared" si="279"/>
        <v/>
      </c>
      <c r="AY642" t="str">
        <f t="shared" si="280"/>
        <v/>
      </c>
      <c r="AZ642" t="str">
        <f t="shared" si="281"/>
        <v/>
      </c>
    </row>
    <row r="643" spans="1:52" s="178" customFormat="1" x14ac:dyDescent="0.25">
      <c r="A643" s="610" t="s">
        <v>2088</v>
      </c>
      <c r="B643" s="30" t="s">
        <v>5548</v>
      </c>
      <c r="C643" s="30" t="s">
        <v>4809</v>
      </c>
      <c r="D643" s="30" t="s">
        <v>6987</v>
      </c>
      <c r="E643" s="30" t="s">
        <v>674</v>
      </c>
      <c r="F643" s="454">
        <f t="shared" si="288"/>
        <v>30.67</v>
      </c>
      <c r="G643" s="529">
        <v>30.67</v>
      </c>
      <c r="H643" s="487">
        <f t="shared" si="289"/>
        <v>24.54</v>
      </c>
      <c r="I643" s="706"/>
      <c r="J643" s="669" t="s">
        <v>5805</v>
      </c>
      <c r="K643" s="15"/>
      <c r="L643"/>
      <c r="M643" s="49">
        <f t="shared" si="290"/>
        <v>30.67</v>
      </c>
      <c r="N643" s="41">
        <v>11.67</v>
      </c>
      <c r="O643" s="187"/>
      <c r="P643" s="183"/>
      <c r="Q643" s="184" t="s">
        <v>1017</v>
      </c>
      <c r="R643" s="184"/>
      <c r="S643" s="184" t="s">
        <v>4180</v>
      </c>
      <c r="T643" s="178" t="s">
        <v>4180</v>
      </c>
      <c r="U643" s="185" t="s">
        <v>1017</v>
      </c>
      <c r="V643" s="184"/>
      <c r="W643" s="180"/>
      <c r="X643" s="180"/>
      <c r="AA643" s="180"/>
      <c r="AC643" s="184" t="s">
        <v>1017</v>
      </c>
      <c r="AD643" s="201"/>
      <c r="AE643" s="181" t="s">
        <v>1017</v>
      </c>
      <c r="AF643" s="180"/>
      <c r="AG643" s="201"/>
      <c r="AH643" s="212" t="str">
        <f t="shared" si="295"/>
        <v/>
      </c>
      <c r="AI643" s="214" t="str">
        <f t="shared" si="282"/>
        <v/>
      </c>
      <c r="AJ643" s="214" t="str">
        <f t="shared" si="283"/>
        <v/>
      </c>
      <c r="AK643" s="214" t="str">
        <f t="shared" si="284"/>
        <v/>
      </c>
      <c r="AL643" s="214" t="str">
        <f t="shared" si="285"/>
        <v/>
      </c>
      <c r="AM643" s="214" t="str">
        <f t="shared" si="286"/>
        <v/>
      </c>
      <c r="AN643" s="213" t="str">
        <f t="shared" si="269"/>
        <v/>
      </c>
      <c r="AO643" s="213" t="str">
        <f t="shared" si="270"/>
        <v/>
      </c>
      <c r="AP643" s="213" t="str">
        <f t="shared" si="271"/>
        <v/>
      </c>
      <c r="AQ643" s="215" t="str">
        <f t="shared" si="272"/>
        <v/>
      </c>
      <c r="AR643" s="216" t="str">
        <f t="shared" si="273"/>
        <v>BiK81X1bK09y04</v>
      </c>
      <c r="AS643" s="215" t="str">
        <f t="shared" si="274"/>
        <v/>
      </c>
      <c r="AT643">
        <f t="shared" si="275"/>
        <v>14</v>
      </c>
      <c r="AU643" s="216" t="str">
        <f t="shared" si="276"/>
        <v>0-0,15 MW, Bonusregeln X1, y, b und K erstmals 2009</v>
      </c>
      <c r="AV643" s="215" t="str">
        <f t="shared" si="277"/>
        <v/>
      </c>
      <c r="AW643" s="216" t="str">
        <f t="shared" si="278"/>
        <v>Anteil KWK, erstmals 2009</v>
      </c>
      <c r="AX643" s="215" t="str">
        <f t="shared" si="279"/>
        <v/>
      </c>
      <c r="AY643" t="str">
        <f t="shared" si="280"/>
        <v/>
      </c>
      <c r="AZ643" t="str">
        <f t="shared" si="281"/>
        <v/>
      </c>
    </row>
    <row r="644" spans="1:52" s="178" customFormat="1" x14ac:dyDescent="0.25">
      <c r="A644" s="610" t="s">
        <v>1444</v>
      </c>
      <c r="B644" s="30" t="s">
        <v>5548</v>
      </c>
      <c r="C644" s="30" t="s">
        <v>4809</v>
      </c>
      <c r="D644" s="30" t="s">
        <v>6988</v>
      </c>
      <c r="E644" s="30" t="s">
        <v>3567</v>
      </c>
      <c r="F644" s="454">
        <f t="shared" si="288"/>
        <v>30.64</v>
      </c>
      <c r="G644" s="529">
        <v>30.64</v>
      </c>
      <c r="H644" s="487">
        <f t="shared" si="289"/>
        <v>24.51</v>
      </c>
      <c r="I644" s="706"/>
      <c r="J644" s="669" t="s">
        <v>5805</v>
      </c>
      <c r="K644" s="15"/>
      <c r="L644"/>
      <c r="M644" s="49">
        <f t="shared" si="290"/>
        <v>30.64</v>
      </c>
      <c r="N644" s="41">
        <v>11.67</v>
      </c>
      <c r="O644" s="187"/>
      <c r="P644" s="183"/>
      <c r="Q644" s="184"/>
      <c r="R644" s="184" t="s">
        <v>1017</v>
      </c>
      <c r="S644" s="184" t="s">
        <v>4180</v>
      </c>
      <c r="T644" s="178" t="s">
        <v>4180</v>
      </c>
      <c r="U644" s="185" t="s">
        <v>1017</v>
      </c>
      <c r="V644" s="184"/>
      <c r="W644" s="180"/>
      <c r="X644" s="180"/>
      <c r="AA644" s="180"/>
      <c r="AC644" s="184" t="s">
        <v>1017</v>
      </c>
      <c r="AD644" s="201"/>
      <c r="AE644" s="181" t="s">
        <v>1017</v>
      </c>
      <c r="AF644" s="180"/>
      <c r="AG644" s="201"/>
      <c r="AH644" s="212" t="str">
        <f t="shared" si="295"/>
        <v>2010</v>
      </c>
      <c r="AI644" s="214" t="str">
        <f t="shared" si="282"/>
        <v/>
      </c>
      <c r="AJ644" s="214" t="str">
        <f t="shared" si="283"/>
        <v/>
      </c>
      <c r="AK644" s="214" t="str">
        <f t="shared" si="284"/>
        <v/>
      </c>
      <c r="AL644" s="214" t="str">
        <f t="shared" si="285"/>
        <v/>
      </c>
      <c r="AM644" s="214" t="str">
        <f t="shared" si="286"/>
        <v/>
      </c>
      <c r="AN644" s="213" t="str">
        <f t="shared" si="269"/>
        <v>2010</v>
      </c>
      <c r="AO644" s="213" t="str">
        <f t="shared" si="270"/>
        <v>2010</v>
      </c>
      <c r="AP644" s="213" t="str">
        <f t="shared" si="271"/>
        <v>2010</v>
      </c>
      <c r="AQ644" s="215" t="str">
        <f t="shared" si="272"/>
        <v/>
      </c>
      <c r="AR644" s="216" t="str">
        <f t="shared" si="273"/>
        <v>BiK81X1bK10y04</v>
      </c>
      <c r="AS644" s="215" t="str">
        <f t="shared" si="274"/>
        <v/>
      </c>
      <c r="AT644">
        <f t="shared" si="275"/>
        <v>14</v>
      </c>
      <c r="AU644" s="216" t="str">
        <f t="shared" si="276"/>
        <v>0-0,15 MW, Bonusregeln X1, y, b und K erstmals 2010</v>
      </c>
      <c r="AV644" s="215" t="str">
        <f t="shared" si="277"/>
        <v/>
      </c>
      <c r="AW644" s="216" t="str">
        <f t="shared" si="278"/>
        <v>Anteil KWK, erstmals 2010</v>
      </c>
      <c r="AX644" s="215" t="str">
        <f t="shared" si="279"/>
        <v/>
      </c>
      <c r="AY644" t="str">
        <f t="shared" si="280"/>
        <v/>
      </c>
      <c r="AZ644" t="str">
        <f t="shared" si="281"/>
        <v/>
      </c>
    </row>
    <row r="645" spans="1:52" s="178" customFormat="1" x14ac:dyDescent="0.25">
      <c r="A645" s="610" t="s">
        <v>5266</v>
      </c>
      <c r="B645" s="30" t="s">
        <v>5548</v>
      </c>
      <c r="C645" s="30" t="s">
        <v>4809</v>
      </c>
      <c r="D645" s="30" t="s">
        <v>6989</v>
      </c>
      <c r="E645" s="30" t="s">
        <v>3055</v>
      </c>
      <c r="F645" s="454">
        <f t="shared" si="288"/>
        <v>30.61</v>
      </c>
      <c r="G645" s="529">
        <v>30.61</v>
      </c>
      <c r="H645" s="487">
        <f t="shared" si="289"/>
        <v>24.49</v>
      </c>
      <c r="I645" s="706"/>
      <c r="J645" s="669" t="s">
        <v>5805</v>
      </c>
      <c r="K645" s="15"/>
      <c r="L645"/>
      <c r="M645" s="49">
        <f t="shared" si="290"/>
        <v>30.61</v>
      </c>
      <c r="N645" s="41">
        <v>11.67</v>
      </c>
      <c r="O645" s="187"/>
      <c r="P645" s="183"/>
      <c r="Q645" s="184"/>
      <c r="S645" s="184" t="s">
        <v>1017</v>
      </c>
      <c r="T645" s="178" t="s">
        <v>4180</v>
      </c>
      <c r="U645" s="185" t="s">
        <v>1017</v>
      </c>
      <c r="V645" s="184"/>
      <c r="W645" s="180"/>
      <c r="X645" s="180"/>
      <c r="AA645" s="180"/>
      <c r="AC645" s="184" t="s">
        <v>1017</v>
      </c>
      <c r="AD645" s="201"/>
      <c r="AE645" s="181" t="s">
        <v>1017</v>
      </c>
      <c r="AF645" s="180"/>
      <c r="AG645" s="201"/>
      <c r="AH645" s="212" t="str">
        <f t="shared" si="295"/>
        <v>2011</v>
      </c>
      <c r="AI645" s="214" t="str">
        <f t="shared" si="282"/>
        <v/>
      </c>
      <c r="AJ645" s="214" t="str">
        <f t="shared" si="283"/>
        <v/>
      </c>
      <c r="AK645" s="214" t="str">
        <f t="shared" si="284"/>
        <v/>
      </c>
      <c r="AL645" s="214" t="str">
        <f t="shared" si="285"/>
        <v/>
      </c>
      <c r="AM645" s="214" t="str">
        <f t="shared" si="286"/>
        <v/>
      </c>
      <c r="AN645" s="213" t="str">
        <f t="shared" si="269"/>
        <v>2011</v>
      </c>
      <c r="AO645" s="213" t="str">
        <f t="shared" si="270"/>
        <v>2011</v>
      </c>
      <c r="AP645" s="213" t="str">
        <f t="shared" si="271"/>
        <v>2011</v>
      </c>
      <c r="AQ645" s="215" t="str">
        <f t="shared" si="272"/>
        <v/>
      </c>
      <c r="AR645" s="216" t="str">
        <f t="shared" si="273"/>
        <v>BiK81X1bK11y04</v>
      </c>
      <c r="AS645" s="215" t="str">
        <f t="shared" si="274"/>
        <v/>
      </c>
      <c r="AT645">
        <f t="shared" si="275"/>
        <v>14</v>
      </c>
      <c r="AU645" s="216" t="str">
        <f t="shared" si="276"/>
        <v>0-0,15 MW, Bonusregeln X1, y, b und K erstmals 2011</v>
      </c>
      <c r="AV645" s="215" t="str">
        <f t="shared" si="277"/>
        <v/>
      </c>
      <c r="AW645" s="216" t="str">
        <f t="shared" si="278"/>
        <v>Anteil KWK, erstmals 2011</v>
      </c>
      <c r="AX645" s="215" t="str">
        <f t="shared" si="279"/>
        <v/>
      </c>
      <c r="AY645" t="str">
        <f t="shared" si="280"/>
        <v>x</v>
      </c>
      <c r="AZ645" t="str">
        <f t="shared" si="281"/>
        <v/>
      </c>
    </row>
    <row r="646" spans="1:52" s="178" customFormat="1" x14ac:dyDescent="0.25">
      <c r="A646" s="625" t="s">
        <v>1516</v>
      </c>
      <c r="B646" s="219" t="s">
        <v>5548</v>
      </c>
      <c r="C646" s="219" t="s">
        <v>4809</v>
      </c>
      <c r="D646" s="219" t="s">
        <v>6990</v>
      </c>
      <c r="E646" s="219" t="s">
        <v>1980</v>
      </c>
      <c r="F646" s="455">
        <f t="shared" si="288"/>
        <v>30.58</v>
      </c>
      <c r="G646" s="530">
        <v>30.58</v>
      </c>
      <c r="H646" s="488">
        <f t="shared" si="289"/>
        <v>24.46</v>
      </c>
      <c r="I646" s="707"/>
      <c r="J646" s="669" t="s">
        <v>5805</v>
      </c>
      <c r="K646" s="15"/>
      <c r="L646"/>
      <c r="M646" s="49">
        <f t="shared" si="290"/>
        <v>30.58</v>
      </c>
      <c r="N646" s="41">
        <v>11.67</v>
      </c>
      <c r="O646" s="187"/>
      <c r="P646" s="183"/>
      <c r="Q646" s="184"/>
      <c r="S646" s="184" t="s">
        <v>4180</v>
      </c>
      <c r="T646" s="178" t="s">
        <v>1017</v>
      </c>
      <c r="U646" s="185" t="s">
        <v>1017</v>
      </c>
      <c r="V646" s="184"/>
      <c r="W646" s="180"/>
      <c r="X646" s="180"/>
      <c r="AA646" s="180"/>
      <c r="AC646" s="184" t="s">
        <v>1017</v>
      </c>
      <c r="AD646" s="201"/>
      <c r="AE646" s="181" t="s">
        <v>1017</v>
      </c>
      <c r="AF646" s="180"/>
      <c r="AG646" s="201"/>
      <c r="AH646" s="217" t="s">
        <v>4179</v>
      </c>
      <c r="AI646" s="214" t="str">
        <f t="shared" si="282"/>
        <v/>
      </c>
      <c r="AJ646" s="214" t="str">
        <f t="shared" si="283"/>
        <v/>
      </c>
      <c r="AK646" s="214" t="str">
        <f t="shared" si="284"/>
        <v/>
      </c>
      <c r="AL646" s="214" t="str">
        <f t="shared" si="285"/>
        <v/>
      </c>
      <c r="AM646" s="214" t="str">
        <f t="shared" si="286"/>
        <v/>
      </c>
      <c r="AN646" s="213" t="str">
        <f t="shared" si="269"/>
        <v>2012</v>
      </c>
      <c r="AO646" s="213" t="str">
        <f t="shared" si="270"/>
        <v>2012</v>
      </c>
      <c r="AP646" s="213" t="str">
        <f t="shared" si="271"/>
        <v>2012</v>
      </c>
      <c r="AQ646" s="215" t="str">
        <f t="shared" si="272"/>
        <v/>
      </c>
      <c r="AR646" s="216" t="str">
        <f t="shared" si="273"/>
        <v>BiK81X1bK12y04</v>
      </c>
      <c r="AS646" s="215" t="str">
        <f t="shared" si="274"/>
        <v/>
      </c>
      <c r="AT646">
        <f t="shared" si="275"/>
        <v>14</v>
      </c>
      <c r="AU646" s="216" t="str">
        <f t="shared" si="276"/>
        <v>0-0,15 MW, Bonusregeln X1, y, b und K erstmals 2012</v>
      </c>
      <c r="AV646" s="215" t="str">
        <f t="shared" si="277"/>
        <v/>
      </c>
      <c r="AW646" s="216" t="str">
        <f t="shared" si="278"/>
        <v>Anteil KWK, erstmals 2012</v>
      </c>
      <c r="AX646" s="215" t="str">
        <f t="shared" si="279"/>
        <v/>
      </c>
      <c r="AY646" t="str">
        <f t="shared" si="280"/>
        <v/>
      </c>
      <c r="AZ646" t="str">
        <f t="shared" si="281"/>
        <v>x</v>
      </c>
    </row>
    <row r="647" spans="1:52" s="178" customFormat="1" x14ac:dyDescent="0.25">
      <c r="A647" s="609" t="s">
        <v>1006</v>
      </c>
      <c r="B647" s="1" t="s">
        <v>5548</v>
      </c>
      <c r="C647" s="2" t="s">
        <v>4809</v>
      </c>
      <c r="D647" s="1" t="s">
        <v>1779</v>
      </c>
      <c r="E647" s="1" t="s">
        <v>4810</v>
      </c>
      <c r="F647" s="456">
        <f t="shared" si="288"/>
        <v>9.9</v>
      </c>
      <c r="G647" s="531">
        <v>9.9</v>
      </c>
      <c r="H647" s="489">
        <f t="shared" si="289"/>
        <v>7.92</v>
      </c>
      <c r="I647" s="708"/>
      <c r="J647" s="669" t="s">
        <v>5805</v>
      </c>
      <c r="K647" s="15"/>
      <c r="L647"/>
      <c r="M647" s="49">
        <f t="shared" si="290"/>
        <v>9.9</v>
      </c>
      <c r="N647" s="41">
        <v>9.9</v>
      </c>
      <c r="O647" s="88"/>
      <c r="P647" s="23"/>
      <c r="Q647" s="12"/>
      <c r="R647" s="12"/>
      <c r="S647" s="12" t="s">
        <v>4180</v>
      </c>
      <c r="T647" s="178" t="s">
        <v>4180</v>
      </c>
      <c r="U647" s="58"/>
      <c r="V647" s="12"/>
      <c r="W647" s="65"/>
      <c r="X647" s="65"/>
      <c r="Y647"/>
      <c r="Z647" s="65"/>
      <c r="AA647"/>
      <c r="AB647"/>
      <c r="AC647" s="65"/>
      <c r="AD647" s="92"/>
      <c r="AE647" s="124"/>
      <c r="AF647" s="65"/>
      <c r="AG647" s="91"/>
      <c r="AH647" s="212" t="str">
        <f t="shared" ref="AH647:AH652" si="296">IF(ISERROR(SEARCH("K erstmals 201",D647)),"",RIGHT(D647,4))</f>
        <v/>
      </c>
      <c r="AI647" s="214" t="str">
        <f t="shared" si="282"/>
        <v/>
      </c>
      <c r="AJ647" s="214" t="str">
        <f t="shared" si="283"/>
        <v/>
      </c>
      <c r="AK647" s="214" t="str">
        <f t="shared" si="284"/>
        <v/>
      </c>
      <c r="AL647" s="214" t="str">
        <f t="shared" si="285"/>
        <v/>
      </c>
      <c r="AM647" s="214" t="str">
        <f t="shared" si="286"/>
        <v/>
      </c>
      <c r="AN647" s="213" t="str">
        <f t="shared" si="269"/>
        <v/>
      </c>
      <c r="AO647" s="213" t="str">
        <f t="shared" si="270"/>
        <v/>
      </c>
      <c r="AP647" s="213" t="str">
        <f t="shared" si="271"/>
        <v/>
      </c>
      <c r="AQ647" s="215" t="str">
        <f t="shared" si="272"/>
        <v/>
      </c>
      <c r="AR647" s="216" t="str">
        <f t="shared" si="273"/>
        <v>BiK82-------04</v>
      </c>
      <c r="AS647" s="215" t="str">
        <f t="shared" si="274"/>
        <v/>
      </c>
      <c r="AT647">
        <f t="shared" si="275"/>
        <v>14</v>
      </c>
      <c r="AU647" s="216" t="str">
        <f t="shared" si="276"/>
        <v>0,15-0,5 MW</v>
      </c>
      <c r="AV647" s="215" t="str">
        <f t="shared" si="277"/>
        <v/>
      </c>
      <c r="AW647" s="216" t="str">
        <f t="shared" si="278"/>
        <v>Anteil Nicht-KWK</v>
      </c>
      <c r="AX647" s="215" t="str">
        <f t="shared" si="279"/>
        <v/>
      </c>
      <c r="AY647" t="str">
        <f t="shared" si="280"/>
        <v/>
      </c>
      <c r="AZ647" t="str">
        <f t="shared" si="281"/>
        <v/>
      </c>
    </row>
    <row r="648" spans="1:52" s="178" customFormat="1" x14ac:dyDescent="0.25">
      <c r="A648" s="608" t="s">
        <v>1008</v>
      </c>
      <c r="B648" s="2" t="s">
        <v>5548</v>
      </c>
      <c r="C648" s="2" t="s">
        <v>4809</v>
      </c>
      <c r="D648" s="2" t="s">
        <v>7091</v>
      </c>
      <c r="E648" s="2" t="s">
        <v>4812</v>
      </c>
      <c r="F648" s="456">
        <f t="shared" si="288"/>
        <v>11.9</v>
      </c>
      <c r="G648" s="531">
        <v>11.9</v>
      </c>
      <c r="H648" s="489">
        <f t="shared" si="289"/>
        <v>9.52</v>
      </c>
      <c r="I648" s="708"/>
      <c r="J648" s="669" t="s">
        <v>5805</v>
      </c>
      <c r="K648" s="15"/>
      <c r="L648"/>
      <c r="M648" s="49">
        <f t="shared" si="290"/>
        <v>11.9</v>
      </c>
      <c r="N648" s="41">
        <v>9.9</v>
      </c>
      <c r="O648" s="54" t="s">
        <v>1017</v>
      </c>
      <c r="P648" s="15"/>
      <c r="Q648"/>
      <c r="R648"/>
      <c r="S648" t="s">
        <v>4180</v>
      </c>
      <c r="T648" s="178" t="s">
        <v>4180</v>
      </c>
      <c r="U648" s="55"/>
      <c r="V648"/>
      <c r="W648" s="65"/>
      <c r="X648" s="65"/>
      <c r="Y648"/>
      <c r="Z648" s="65"/>
      <c r="AA648"/>
      <c r="AB648"/>
      <c r="AC648" s="65"/>
      <c r="AD648" s="92"/>
      <c r="AE648" s="124"/>
      <c r="AF648" s="65"/>
      <c r="AG648" s="91"/>
      <c r="AH648" s="212" t="str">
        <f t="shared" si="296"/>
        <v/>
      </c>
      <c r="AI648" s="214" t="str">
        <f t="shared" si="282"/>
        <v/>
      </c>
      <c r="AJ648" s="214" t="str">
        <f t="shared" si="283"/>
        <v/>
      </c>
      <c r="AK648" s="214" t="str">
        <f t="shared" si="284"/>
        <v/>
      </c>
      <c r="AL648" s="214" t="str">
        <f t="shared" si="285"/>
        <v/>
      </c>
      <c r="AM648" s="214" t="str">
        <f t="shared" si="286"/>
        <v/>
      </c>
      <c r="AN648" s="213" t="str">
        <f t="shared" si="269"/>
        <v/>
      </c>
      <c r="AO648" s="213" t="str">
        <f t="shared" si="270"/>
        <v/>
      </c>
      <c r="AP648" s="213" t="str">
        <f t="shared" si="271"/>
        <v/>
      </c>
      <c r="AQ648" s="215" t="str">
        <f t="shared" si="272"/>
        <v/>
      </c>
      <c r="AR648" s="216" t="str">
        <f t="shared" si="273"/>
        <v>BiK82KWK----04</v>
      </c>
      <c r="AS648" s="215" t="str">
        <f t="shared" si="274"/>
        <v/>
      </c>
      <c r="AT648">
        <f t="shared" si="275"/>
        <v>14</v>
      </c>
      <c r="AU648" s="216" t="str">
        <f t="shared" si="276"/>
        <v>0,15-0,5 MW, Bonusregel KWK</v>
      </c>
      <c r="AV648" s="215" t="str">
        <f t="shared" si="277"/>
        <v/>
      </c>
      <c r="AW648" s="216" t="str">
        <f t="shared" si="278"/>
        <v>Anteil KWK</v>
      </c>
      <c r="AX648" s="215" t="str">
        <f t="shared" si="279"/>
        <v/>
      </c>
      <c r="AY648" t="str">
        <f t="shared" si="280"/>
        <v/>
      </c>
      <c r="AZ648" t="str">
        <f t="shared" si="281"/>
        <v/>
      </c>
    </row>
    <row r="649" spans="1:52" s="178" customFormat="1" x14ac:dyDescent="0.25">
      <c r="A649" s="610" t="s">
        <v>4338</v>
      </c>
      <c r="B649" s="17" t="s">
        <v>5548</v>
      </c>
      <c r="C649" s="17" t="s">
        <v>4809</v>
      </c>
      <c r="D649" s="30" t="s">
        <v>7092</v>
      </c>
      <c r="E649" s="30" t="s">
        <v>4331</v>
      </c>
      <c r="F649" s="454">
        <f t="shared" si="288"/>
        <v>12.9</v>
      </c>
      <c r="G649" s="529">
        <v>12.9</v>
      </c>
      <c r="H649" s="487">
        <f t="shared" si="289"/>
        <v>10.32</v>
      </c>
      <c r="I649" s="706"/>
      <c r="J649" s="669" t="s">
        <v>5805</v>
      </c>
      <c r="K649" s="15"/>
      <c r="L649"/>
      <c r="M649" s="49">
        <f t="shared" si="290"/>
        <v>12.9</v>
      </c>
      <c r="N649" s="41">
        <v>9.9</v>
      </c>
      <c r="O649" s="54"/>
      <c r="P649" t="s">
        <v>1017</v>
      </c>
      <c r="Q649"/>
      <c r="R649"/>
      <c r="S649" t="s">
        <v>4180</v>
      </c>
      <c r="T649" s="178" t="s">
        <v>4180</v>
      </c>
      <c r="U649" s="55"/>
      <c r="V649"/>
      <c r="W649" s="65"/>
      <c r="X649" s="65"/>
      <c r="Y649"/>
      <c r="Z649" s="65"/>
      <c r="AA649"/>
      <c r="AB649"/>
      <c r="AC649" s="65"/>
      <c r="AD649" s="92"/>
      <c r="AE649" s="124"/>
      <c r="AF649" s="65"/>
      <c r="AG649" s="91"/>
      <c r="AH649" s="212" t="str">
        <f t="shared" si="296"/>
        <v/>
      </c>
      <c r="AI649" s="214" t="str">
        <f t="shared" si="282"/>
        <v/>
      </c>
      <c r="AJ649" s="214" t="str">
        <f t="shared" si="283"/>
        <v/>
      </c>
      <c r="AK649" s="214" t="str">
        <f t="shared" si="284"/>
        <v/>
      </c>
      <c r="AL649" s="214" t="str">
        <f t="shared" si="285"/>
        <v/>
      </c>
      <c r="AM649" s="214" t="str">
        <f t="shared" si="286"/>
        <v/>
      </c>
      <c r="AN649" s="213" t="str">
        <f t="shared" si="269"/>
        <v/>
      </c>
      <c r="AO649" s="213" t="str">
        <f t="shared" si="270"/>
        <v/>
      </c>
      <c r="AP649" s="213" t="str">
        <f t="shared" si="271"/>
        <v/>
      </c>
      <c r="AQ649" s="215" t="str">
        <f t="shared" si="272"/>
        <v/>
      </c>
      <c r="AR649" s="216" t="str">
        <f t="shared" si="273"/>
        <v>BiK82KA3----04</v>
      </c>
      <c r="AS649" s="215" t="str">
        <f t="shared" si="274"/>
        <v/>
      </c>
      <c r="AT649">
        <f t="shared" si="275"/>
        <v>14</v>
      </c>
      <c r="AU649" s="216" t="str">
        <f t="shared" si="276"/>
        <v>0,15-0,5 MW, Bonusregel K wenn Anlage 3 erfüllt</v>
      </c>
      <c r="AV649" s="215" t="str">
        <f t="shared" si="277"/>
        <v/>
      </c>
      <c r="AW649" s="216" t="str">
        <f t="shared" si="278"/>
        <v>Anteil KWK gemäß Anlage 3</v>
      </c>
      <c r="AX649" s="215" t="str">
        <f t="shared" si="279"/>
        <v/>
      </c>
      <c r="AY649" t="str">
        <f t="shared" si="280"/>
        <v/>
      </c>
      <c r="AZ649" t="str">
        <f t="shared" si="281"/>
        <v/>
      </c>
    </row>
    <row r="650" spans="1:52" s="178" customFormat="1" x14ac:dyDescent="0.25">
      <c r="A650" s="610" t="s">
        <v>5039</v>
      </c>
      <c r="B650" s="17" t="s">
        <v>5548</v>
      </c>
      <c r="C650" s="17" t="s">
        <v>4809</v>
      </c>
      <c r="D650" s="30" t="s">
        <v>7093</v>
      </c>
      <c r="E650" s="17" t="s">
        <v>674</v>
      </c>
      <c r="F650" s="454">
        <f t="shared" si="288"/>
        <v>12.9</v>
      </c>
      <c r="G650" s="529">
        <v>12.9</v>
      </c>
      <c r="H650" s="487">
        <f t="shared" si="289"/>
        <v>10.32</v>
      </c>
      <c r="I650" s="706"/>
      <c r="J650" s="669" t="s">
        <v>5805</v>
      </c>
      <c r="K650" s="15"/>
      <c r="L650"/>
      <c r="M650" s="49">
        <f t="shared" si="290"/>
        <v>12.9</v>
      </c>
      <c r="N650" s="41">
        <v>9.9</v>
      </c>
      <c r="O650" s="54"/>
      <c r="P650" s="15"/>
      <c r="Q650" t="s">
        <v>1017</v>
      </c>
      <c r="R650"/>
      <c r="S650" t="s">
        <v>4180</v>
      </c>
      <c r="T650" s="178" t="s">
        <v>4180</v>
      </c>
      <c r="U650" s="55"/>
      <c r="V650"/>
      <c r="W650" s="65"/>
      <c r="X650" s="65"/>
      <c r="Y650"/>
      <c r="Z650" s="65"/>
      <c r="AA650"/>
      <c r="AB650"/>
      <c r="AC650" s="65"/>
      <c r="AD650" s="92"/>
      <c r="AE650" s="124"/>
      <c r="AF650" s="65"/>
      <c r="AG650" s="91"/>
      <c r="AH650" s="212" t="str">
        <f t="shared" si="296"/>
        <v/>
      </c>
      <c r="AI650" s="214" t="str">
        <f t="shared" si="282"/>
        <v/>
      </c>
      <c r="AJ650" s="214" t="str">
        <f t="shared" si="283"/>
        <v/>
      </c>
      <c r="AK650" s="214" t="str">
        <f t="shared" si="284"/>
        <v/>
      </c>
      <c r="AL650" s="214" t="str">
        <f t="shared" si="285"/>
        <v/>
      </c>
      <c r="AM650" s="214" t="str">
        <f t="shared" si="286"/>
        <v/>
      </c>
      <c r="AN650" s="213" t="str">
        <f t="shared" si="269"/>
        <v/>
      </c>
      <c r="AO650" s="213" t="str">
        <f t="shared" si="270"/>
        <v/>
      </c>
      <c r="AP650" s="213" t="str">
        <f t="shared" si="271"/>
        <v/>
      </c>
      <c r="AQ650" s="215" t="str">
        <f t="shared" si="272"/>
        <v/>
      </c>
      <c r="AR650" s="216" t="str">
        <f t="shared" si="273"/>
        <v>BiK82K09----04</v>
      </c>
      <c r="AS650" s="215" t="str">
        <f t="shared" si="274"/>
        <v/>
      </c>
      <c r="AT650">
        <f t="shared" si="275"/>
        <v>14</v>
      </c>
      <c r="AU650" s="216" t="str">
        <f t="shared" si="276"/>
        <v>0,15-0,5 MW, Bonusregel K erstmals 2009</v>
      </c>
      <c r="AV650" s="215" t="str">
        <f t="shared" si="277"/>
        <v/>
      </c>
      <c r="AW650" s="216" t="str">
        <f t="shared" si="278"/>
        <v>Anteil KWK, erstmals 2009</v>
      </c>
      <c r="AX650" s="215" t="str">
        <f t="shared" si="279"/>
        <v/>
      </c>
      <c r="AY650" t="str">
        <f t="shared" si="280"/>
        <v/>
      </c>
      <c r="AZ650" t="str">
        <f t="shared" si="281"/>
        <v/>
      </c>
    </row>
    <row r="651" spans="1:52" s="178" customFormat="1" x14ac:dyDescent="0.25">
      <c r="A651" s="610" t="s">
        <v>1445</v>
      </c>
      <c r="B651" s="17" t="s">
        <v>5548</v>
      </c>
      <c r="C651" s="17" t="s">
        <v>4809</v>
      </c>
      <c r="D651" s="30" t="s">
        <v>7094</v>
      </c>
      <c r="E651" s="30" t="s">
        <v>3567</v>
      </c>
      <c r="F651" s="454">
        <f t="shared" si="288"/>
        <v>12.870000000000001</v>
      </c>
      <c r="G651" s="529">
        <v>12.870000000000001</v>
      </c>
      <c r="H651" s="487">
        <f t="shared" si="289"/>
        <v>10.3</v>
      </c>
      <c r="I651" s="706"/>
      <c r="J651" s="669" t="s">
        <v>5805</v>
      </c>
      <c r="K651" s="15"/>
      <c r="L651"/>
      <c r="M651" s="49">
        <f t="shared" si="290"/>
        <v>12.870000000000001</v>
      </c>
      <c r="N651" s="41">
        <v>9.9</v>
      </c>
      <c r="O651" s="54"/>
      <c r="P651" s="15"/>
      <c r="Q651"/>
      <c r="R651" t="s">
        <v>1017</v>
      </c>
      <c r="S651" t="s">
        <v>4180</v>
      </c>
      <c r="T651" s="178" t="s">
        <v>4180</v>
      </c>
      <c r="U651" s="55"/>
      <c r="V651"/>
      <c r="W651" s="65"/>
      <c r="X651" s="65"/>
      <c r="Y651"/>
      <c r="Z651" s="65"/>
      <c r="AA651"/>
      <c r="AB651"/>
      <c r="AC651" s="65"/>
      <c r="AD651" s="92"/>
      <c r="AE651" s="124"/>
      <c r="AF651" s="65"/>
      <c r="AG651" s="91"/>
      <c r="AH651" s="212" t="str">
        <f t="shared" si="296"/>
        <v>2010</v>
      </c>
      <c r="AI651" s="214" t="str">
        <f t="shared" si="282"/>
        <v/>
      </c>
      <c r="AJ651" s="214" t="str">
        <f t="shared" si="283"/>
        <v/>
      </c>
      <c r="AK651" s="214" t="str">
        <f t="shared" si="284"/>
        <v/>
      </c>
      <c r="AL651" s="214" t="str">
        <f t="shared" si="285"/>
        <v/>
      </c>
      <c r="AM651" s="214" t="str">
        <f t="shared" si="286"/>
        <v/>
      </c>
      <c r="AN651" s="213" t="str">
        <f t="shared" si="269"/>
        <v>2010</v>
      </c>
      <c r="AO651" s="213" t="str">
        <f t="shared" si="270"/>
        <v>2010</v>
      </c>
      <c r="AP651" s="213" t="str">
        <f t="shared" si="271"/>
        <v>2010</v>
      </c>
      <c r="AQ651" s="215" t="str">
        <f t="shared" si="272"/>
        <v/>
      </c>
      <c r="AR651" s="216" t="str">
        <f t="shared" si="273"/>
        <v>BiK82K10----04</v>
      </c>
      <c r="AS651" s="215" t="str">
        <f t="shared" si="274"/>
        <v/>
      </c>
      <c r="AT651">
        <f t="shared" si="275"/>
        <v>14</v>
      </c>
      <c r="AU651" s="216" t="str">
        <f t="shared" si="276"/>
        <v>0,15-0,5 MW, Bonusregel K erstmals 2010</v>
      </c>
      <c r="AV651" s="215" t="str">
        <f t="shared" si="277"/>
        <v/>
      </c>
      <c r="AW651" s="216" t="str">
        <f t="shared" si="278"/>
        <v>Anteil KWK, erstmals 2010</v>
      </c>
      <c r="AX651" s="215" t="str">
        <f t="shared" si="279"/>
        <v/>
      </c>
      <c r="AY651" t="str">
        <f t="shared" si="280"/>
        <v/>
      </c>
      <c r="AZ651" t="str">
        <f t="shared" si="281"/>
        <v/>
      </c>
    </row>
    <row r="652" spans="1:52" s="178" customFormat="1" x14ac:dyDescent="0.25">
      <c r="A652" s="610" t="s">
        <v>5267</v>
      </c>
      <c r="B652" s="17" t="s">
        <v>5548</v>
      </c>
      <c r="C652" s="17" t="s">
        <v>4809</v>
      </c>
      <c r="D652" s="30" t="s">
        <v>7095</v>
      </c>
      <c r="E652" s="30" t="s">
        <v>3055</v>
      </c>
      <c r="F652" s="454">
        <f t="shared" si="288"/>
        <v>12.84</v>
      </c>
      <c r="G652" s="529">
        <v>12.84</v>
      </c>
      <c r="H652" s="487">
        <f t="shared" si="289"/>
        <v>10.27</v>
      </c>
      <c r="I652" s="706"/>
      <c r="J652" s="669" t="s">
        <v>5805</v>
      </c>
      <c r="K652" s="15"/>
      <c r="L652"/>
      <c r="M652" s="49">
        <f t="shared" si="290"/>
        <v>12.84</v>
      </c>
      <c r="N652" s="41">
        <v>9.9</v>
      </c>
      <c r="O652" s="54"/>
      <c r="P652" s="15"/>
      <c r="Q652"/>
      <c r="R652"/>
      <c r="S652" t="s">
        <v>1017</v>
      </c>
      <c r="T652" s="178" t="s">
        <v>4180</v>
      </c>
      <c r="U652" s="55"/>
      <c r="V652"/>
      <c r="W652" s="65"/>
      <c r="X652" s="65"/>
      <c r="Y652"/>
      <c r="Z652" s="65"/>
      <c r="AA652"/>
      <c r="AB652"/>
      <c r="AC652" s="65"/>
      <c r="AD652" s="92"/>
      <c r="AE652" s="124"/>
      <c r="AF652" s="65"/>
      <c r="AG652" s="91"/>
      <c r="AH652" s="212" t="str">
        <f t="shared" si="296"/>
        <v>2011</v>
      </c>
      <c r="AI652" s="214" t="str">
        <f t="shared" si="282"/>
        <v/>
      </c>
      <c r="AJ652" s="214" t="str">
        <f t="shared" si="283"/>
        <v/>
      </c>
      <c r="AK652" s="214" t="str">
        <f t="shared" si="284"/>
        <v/>
      </c>
      <c r="AL652" s="214" t="str">
        <f t="shared" si="285"/>
        <v/>
      </c>
      <c r="AM652" s="214" t="str">
        <f t="shared" si="286"/>
        <v/>
      </c>
      <c r="AN652" s="213" t="str">
        <f t="shared" si="269"/>
        <v>2011</v>
      </c>
      <c r="AO652" s="213" t="str">
        <f t="shared" si="270"/>
        <v>2011</v>
      </c>
      <c r="AP652" s="213" t="str">
        <f t="shared" si="271"/>
        <v>2011</v>
      </c>
      <c r="AQ652" s="215" t="str">
        <f t="shared" si="272"/>
        <v/>
      </c>
      <c r="AR652" s="216" t="str">
        <f t="shared" si="273"/>
        <v>BiK82K11----04</v>
      </c>
      <c r="AS652" s="215" t="str">
        <f t="shared" si="274"/>
        <v/>
      </c>
      <c r="AT652">
        <f t="shared" si="275"/>
        <v>14</v>
      </c>
      <c r="AU652" s="216" t="str">
        <f t="shared" si="276"/>
        <v>0,15-0,5 MW, Bonusregel K erstmals 2011</v>
      </c>
      <c r="AV652" s="215" t="str">
        <f t="shared" si="277"/>
        <v/>
      </c>
      <c r="AW652" s="216" t="str">
        <f t="shared" si="278"/>
        <v>Anteil KWK, erstmals 2011</v>
      </c>
      <c r="AX652" s="215" t="str">
        <f t="shared" si="279"/>
        <v/>
      </c>
      <c r="AY652" t="str">
        <f t="shared" si="280"/>
        <v>x</v>
      </c>
      <c r="AZ652" t="str">
        <f t="shared" si="281"/>
        <v/>
      </c>
    </row>
    <row r="653" spans="1:52" s="178" customFormat="1" x14ac:dyDescent="0.25">
      <c r="A653" s="625" t="s">
        <v>1517</v>
      </c>
      <c r="B653" s="221" t="s">
        <v>5548</v>
      </c>
      <c r="C653" s="221" t="s">
        <v>4809</v>
      </c>
      <c r="D653" s="219" t="s">
        <v>7096</v>
      </c>
      <c r="E653" s="219" t="s">
        <v>1980</v>
      </c>
      <c r="F653" s="455">
        <f t="shared" si="288"/>
        <v>12.81</v>
      </c>
      <c r="G653" s="530">
        <v>12.81</v>
      </c>
      <c r="H653" s="488">
        <f t="shared" si="289"/>
        <v>10.25</v>
      </c>
      <c r="I653" s="707"/>
      <c r="J653" s="669" t="s">
        <v>5805</v>
      </c>
      <c r="K653" s="15"/>
      <c r="L653"/>
      <c r="M653" s="49">
        <f t="shared" si="290"/>
        <v>12.81</v>
      </c>
      <c r="N653" s="41">
        <v>9.9</v>
      </c>
      <c r="O653" s="54"/>
      <c r="P653" s="15"/>
      <c r="Q653"/>
      <c r="R653"/>
      <c r="S653" t="s">
        <v>4180</v>
      </c>
      <c r="T653" s="178" t="s">
        <v>1017</v>
      </c>
      <c r="U653" s="55"/>
      <c r="V653"/>
      <c r="W653" s="65"/>
      <c r="X653" s="65"/>
      <c r="Y653"/>
      <c r="Z653" s="65"/>
      <c r="AA653"/>
      <c r="AB653"/>
      <c r="AC653" s="65"/>
      <c r="AD653" s="92"/>
      <c r="AE653" s="124"/>
      <c r="AF653" s="65"/>
      <c r="AG653" s="91"/>
      <c r="AH653" s="217" t="s">
        <v>4179</v>
      </c>
      <c r="AI653" s="214" t="str">
        <f t="shared" si="282"/>
        <v/>
      </c>
      <c r="AJ653" s="214" t="str">
        <f t="shared" si="283"/>
        <v/>
      </c>
      <c r="AK653" s="214" t="str">
        <f t="shared" si="284"/>
        <v/>
      </c>
      <c r="AL653" s="214" t="str">
        <f t="shared" si="285"/>
        <v/>
      </c>
      <c r="AM653" s="214" t="str">
        <f t="shared" si="286"/>
        <v/>
      </c>
      <c r="AN653" s="213" t="str">
        <f t="shared" si="269"/>
        <v>2012</v>
      </c>
      <c r="AO653" s="213" t="str">
        <f t="shared" si="270"/>
        <v>2012</v>
      </c>
      <c r="AP653" s="213" t="str">
        <f t="shared" si="271"/>
        <v>2012</v>
      </c>
      <c r="AQ653" s="215" t="str">
        <f t="shared" si="272"/>
        <v/>
      </c>
      <c r="AR653" s="216" t="str">
        <f t="shared" si="273"/>
        <v>BiK82K12----04</v>
      </c>
      <c r="AS653" s="215" t="str">
        <f t="shared" si="274"/>
        <v/>
      </c>
      <c r="AT653">
        <f t="shared" si="275"/>
        <v>14</v>
      </c>
      <c r="AU653" s="216" t="str">
        <f t="shared" si="276"/>
        <v>0,15-0,5 MW, Bonusregel K erstmals 2012</v>
      </c>
      <c r="AV653" s="215" t="str">
        <f t="shared" si="277"/>
        <v/>
      </c>
      <c r="AW653" s="216" t="str">
        <f t="shared" si="278"/>
        <v>Anteil KWK, erstmals 2012</v>
      </c>
      <c r="AX653" s="215" t="str">
        <f t="shared" si="279"/>
        <v/>
      </c>
      <c r="AY653" t="str">
        <f t="shared" si="280"/>
        <v/>
      </c>
      <c r="AZ653" t="str">
        <f t="shared" si="281"/>
        <v>x</v>
      </c>
    </row>
    <row r="654" spans="1:52" s="178" customFormat="1" x14ac:dyDescent="0.25">
      <c r="A654" s="610" t="s">
        <v>1357</v>
      </c>
      <c r="B654" s="17" t="s">
        <v>5548</v>
      </c>
      <c r="C654" s="17" t="s">
        <v>4809</v>
      </c>
      <c r="D654" s="30" t="s">
        <v>7097</v>
      </c>
      <c r="E654" s="17" t="s">
        <v>4810</v>
      </c>
      <c r="F654" s="454">
        <f t="shared" si="288"/>
        <v>10.9</v>
      </c>
      <c r="G654" s="529">
        <v>10.9</v>
      </c>
      <c r="H654" s="487">
        <f t="shared" si="289"/>
        <v>8.7200000000000006</v>
      </c>
      <c r="I654" s="706"/>
      <c r="J654" s="669" t="s">
        <v>5805</v>
      </c>
      <c r="K654" s="15"/>
      <c r="L654"/>
      <c r="M654" s="49">
        <f t="shared" si="290"/>
        <v>10.9</v>
      </c>
      <c r="N654" s="41">
        <v>9.9</v>
      </c>
      <c r="O654" s="88"/>
      <c r="P654" s="23"/>
      <c r="Q654" s="12"/>
      <c r="R654" s="12"/>
      <c r="S654" s="12" t="s">
        <v>4180</v>
      </c>
      <c r="T654" s="178" t="s">
        <v>4180</v>
      </c>
      <c r="U654" s="58" t="s">
        <v>1017</v>
      </c>
      <c r="V654" s="12"/>
      <c r="W654" s="65"/>
      <c r="X654" s="65"/>
      <c r="Y654"/>
      <c r="Z654" s="65"/>
      <c r="AA654"/>
      <c r="AB654"/>
      <c r="AC654" s="65"/>
      <c r="AD654" s="92"/>
      <c r="AE654" s="124"/>
      <c r="AF654" s="65"/>
      <c r="AG654" s="91"/>
      <c r="AH654" s="212" t="str">
        <f t="shared" ref="AH654:AH659" si="297">IF(ISERROR(SEARCH("K erstmals 201",D654)),"",RIGHT(D654,4))</f>
        <v/>
      </c>
      <c r="AI654" s="214" t="str">
        <f t="shared" si="282"/>
        <v/>
      </c>
      <c r="AJ654" s="214" t="str">
        <f t="shared" si="283"/>
        <v/>
      </c>
      <c r="AK654" s="214" t="str">
        <f t="shared" si="284"/>
        <v/>
      </c>
      <c r="AL654" s="214" t="str">
        <f t="shared" si="285"/>
        <v/>
      </c>
      <c r="AM654" s="214" t="str">
        <f t="shared" si="286"/>
        <v/>
      </c>
      <c r="AN654" s="213" t="str">
        <f t="shared" si="269"/>
        <v/>
      </c>
      <c r="AO654" s="213" t="str">
        <f t="shared" si="270"/>
        <v/>
      </c>
      <c r="AP654" s="213" t="str">
        <f t="shared" si="271"/>
        <v/>
      </c>
      <c r="AQ654" s="215" t="str">
        <f t="shared" si="272"/>
        <v/>
      </c>
      <c r="AR654" s="216" t="str">
        <f t="shared" si="273"/>
        <v>BiK82y------04</v>
      </c>
      <c r="AS654" s="215" t="str">
        <f t="shared" si="274"/>
        <v/>
      </c>
      <c r="AT654">
        <f t="shared" si="275"/>
        <v>14</v>
      </c>
      <c r="AU654" s="216" t="str">
        <f t="shared" si="276"/>
        <v>0,15-0,5 MW, Bonusregel y</v>
      </c>
      <c r="AV654" s="215" t="str">
        <f t="shared" si="277"/>
        <v/>
      </c>
      <c r="AW654" s="216" t="str">
        <f t="shared" si="278"/>
        <v>Anteil Nicht-KWK</v>
      </c>
      <c r="AX654" s="215" t="str">
        <f t="shared" si="279"/>
        <v/>
      </c>
      <c r="AY654" t="str">
        <f t="shared" si="280"/>
        <v/>
      </c>
      <c r="AZ654" t="str">
        <f t="shared" si="281"/>
        <v/>
      </c>
    </row>
    <row r="655" spans="1:52" s="178" customFormat="1" x14ac:dyDescent="0.25">
      <c r="A655" s="610" t="s">
        <v>1358</v>
      </c>
      <c r="B655" s="17" t="s">
        <v>5548</v>
      </c>
      <c r="C655" s="17" t="s">
        <v>4809</v>
      </c>
      <c r="D655" s="30" t="s">
        <v>7098</v>
      </c>
      <c r="E655" s="17" t="s">
        <v>4812</v>
      </c>
      <c r="F655" s="454">
        <f t="shared" si="288"/>
        <v>12.9</v>
      </c>
      <c r="G655" s="529">
        <v>12.9</v>
      </c>
      <c r="H655" s="487">
        <f t="shared" si="289"/>
        <v>10.32</v>
      </c>
      <c r="I655" s="706"/>
      <c r="J655" s="669" t="s">
        <v>5805</v>
      </c>
      <c r="K655" s="15"/>
      <c r="L655"/>
      <c r="M655" s="49">
        <f t="shared" si="290"/>
        <v>12.9</v>
      </c>
      <c r="N655" s="41">
        <v>9.9</v>
      </c>
      <c r="O655" s="54" t="s">
        <v>1017</v>
      </c>
      <c r="P655" s="15"/>
      <c r="Q655"/>
      <c r="R655"/>
      <c r="S655" t="s">
        <v>4180</v>
      </c>
      <c r="T655" s="178" t="s">
        <v>4180</v>
      </c>
      <c r="U655" s="55" t="s">
        <v>1017</v>
      </c>
      <c r="V655"/>
      <c r="W655" s="65"/>
      <c r="X655" s="65"/>
      <c r="Y655"/>
      <c r="Z655" s="65"/>
      <c r="AA655"/>
      <c r="AB655"/>
      <c r="AC655" s="65"/>
      <c r="AD655" s="92"/>
      <c r="AE655" s="124"/>
      <c r="AF655" s="65"/>
      <c r="AG655" s="91"/>
      <c r="AH655" s="212" t="str">
        <f t="shared" si="297"/>
        <v/>
      </c>
      <c r="AI655" s="214" t="str">
        <f t="shared" si="282"/>
        <v/>
      </c>
      <c r="AJ655" s="214" t="str">
        <f t="shared" si="283"/>
        <v/>
      </c>
      <c r="AK655" s="214" t="str">
        <f t="shared" si="284"/>
        <v/>
      </c>
      <c r="AL655" s="214" t="str">
        <f t="shared" si="285"/>
        <v/>
      </c>
      <c r="AM655" s="214" t="str">
        <f t="shared" si="286"/>
        <v/>
      </c>
      <c r="AN655" s="213" t="str">
        <f t="shared" si="269"/>
        <v/>
      </c>
      <c r="AO655" s="213" t="str">
        <f t="shared" si="270"/>
        <v/>
      </c>
      <c r="AP655" s="213" t="str">
        <f t="shared" si="271"/>
        <v/>
      </c>
      <c r="AQ655" s="215" t="str">
        <f t="shared" si="272"/>
        <v/>
      </c>
      <c r="AR655" s="216" t="str">
        <f t="shared" si="273"/>
        <v>BiK82KWKy---04</v>
      </c>
      <c r="AS655" s="215" t="str">
        <f t="shared" si="274"/>
        <v/>
      </c>
      <c r="AT655">
        <f t="shared" si="275"/>
        <v>14</v>
      </c>
      <c r="AU655" s="216" t="str">
        <f t="shared" si="276"/>
        <v>0,15-0,5 MW, Bonusregeln y und KWK</v>
      </c>
      <c r="AV655" s="215" t="str">
        <f t="shared" si="277"/>
        <v/>
      </c>
      <c r="AW655" s="216" t="str">
        <f t="shared" si="278"/>
        <v>Anteil KWK</v>
      </c>
      <c r="AX655" s="215" t="str">
        <f t="shared" si="279"/>
        <v/>
      </c>
      <c r="AY655" t="str">
        <f t="shared" si="280"/>
        <v/>
      </c>
      <c r="AZ655" t="str">
        <f t="shared" si="281"/>
        <v/>
      </c>
    </row>
    <row r="656" spans="1:52" s="178" customFormat="1" x14ac:dyDescent="0.25">
      <c r="A656" s="610" t="s">
        <v>1359</v>
      </c>
      <c r="B656" s="17" t="s">
        <v>5548</v>
      </c>
      <c r="C656" s="17" t="s">
        <v>4809</v>
      </c>
      <c r="D656" s="30" t="s">
        <v>7099</v>
      </c>
      <c r="E656" s="30" t="s">
        <v>4331</v>
      </c>
      <c r="F656" s="454">
        <f t="shared" si="288"/>
        <v>13.9</v>
      </c>
      <c r="G656" s="529">
        <v>13.9</v>
      </c>
      <c r="H656" s="487">
        <f t="shared" si="289"/>
        <v>11.12</v>
      </c>
      <c r="I656" s="706"/>
      <c r="J656" s="669" t="s">
        <v>5805</v>
      </c>
      <c r="K656" s="15"/>
      <c r="L656"/>
      <c r="M656" s="49">
        <f t="shared" si="290"/>
        <v>13.9</v>
      </c>
      <c r="N656" s="41">
        <v>9.9</v>
      </c>
      <c r="O656" s="54"/>
      <c r="P656" t="s">
        <v>1017</v>
      </c>
      <c r="Q656"/>
      <c r="R656"/>
      <c r="S656" t="s">
        <v>4180</v>
      </c>
      <c r="T656" s="178" t="s">
        <v>4180</v>
      </c>
      <c r="U656" s="55" t="s">
        <v>1017</v>
      </c>
      <c r="V656"/>
      <c r="W656" s="65"/>
      <c r="X656" s="65"/>
      <c r="Y656"/>
      <c r="Z656" s="65"/>
      <c r="AA656"/>
      <c r="AB656"/>
      <c r="AC656" s="65"/>
      <c r="AD656" s="92"/>
      <c r="AE656" s="124"/>
      <c r="AF656" s="65"/>
      <c r="AG656" s="91"/>
      <c r="AH656" s="212" t="str">
        <f t="shared" si="297"/>
        <v/>
      </c>
      <c r="AI656" s="214" t="str">
        <f t="shared" si="282"/>
        <v/>
      </c>
      <c r="AJ656" s="214" t="str">
        <f t="shared" si="283"/>
        <v/>
      </c>
      <c r="AK656" s="214" t="str">
        <f t="shared" si="284"/>
        <v/>
      </c>
      <c r="AL656" s="214" t="str">
        <f t="shared" si="285"/>
        <v/>
      </c>
      <c r="AM656" s="214" t="str">
        <f t="shared" si="286"/>
        <v/>
      </c>
      <c r="AN656" s="213" t="str">
        <f t="shared" si="269"/>
        <v/>
      </c>
      <c r="AO656" s="213" t="str">
        <f t="shared" si="270"/>
        <v/>
      </c>
      <c r="AP656" s="213" t="str">
        <f t="shared" si="271"/>
        <v/>
      </c>
      <c r="AQ656" s="215" t="str">
        <f t="shared" si="272"/>
        <v/>
      </c>
      <c r="AR656" s="216" t="str">
        <f t="shared" si="273"/>
        <v>BiK82KA3y---04</v>
      </c>
      <c r="AS656" s="215" t="str">
        <f t="shared" si="274"/>
        <v/>
      </c>
      <c r="AT656">
        <f t="shared" si="275"/>
        <v>14</v>
      </c>
      <c r="AU656" s="216" t="str">
        <f t="shared" si="276"/>
        <v>0,15-0,5 MW, Bonusregeln y und K wenn Anlage 3 erfüllt</v>
      </c>
      <c r="AV656" s="215" t="str">
        <f t="shared" si="277"/>
        <v/>
      </c>
      <c r="AW656" s="216" t="str">
        <f t="shared" si="278"/>
        <v>Anteil KWK gemäß Anlage 3</v>
      </c>
      <c r="AX656" s="215" t="str">
        <f t="shared" si="279"/>
        <v/>
      </c>
      <c r="AY656" t="str">
        <f t="shared" si="280"/>
        <v/>
      </c>
      <c r="AZ656" t="str">
        <f t="shared" si="281"/>
        <v/>
      </c>
    </row>
    <row r="657" spans="1:52" s="178" customFormat="1" x14ac:dyDescent="0.25">
      <c r="A657" s="610" t="s">
        <v>1360</v>
      </c>
      <c r="B657" s="17" t="s">
        <v>5548</v>
      </c>
      <c r="C657" s="17" t="s">
        <v>4809</v>
      </c>
      <c r="D657" s="30" t="s">
        <v>7100</v>
      </c>
      <c r="E657" s="17" t="s">
        <v>674</v>
      </c>
      <c r="F657" s="454">
        <f t="shared" si="288"/>
        <v>13.9</v>
      </c>
      <c r="G657" s="529">
        <v>13.9</v>
      </c>
      <c r="H657" s="487">
        <f t="shared" si="289"/>
        <v>11.12</v>
      </c>
      <c r="I657" s="706"/>
      <c r="J657" s="669" t="s">
        <v>5805</v>
      </c>
      <c r="K657" s="15"/>
      <c r="L657"/>
      <c r="M657" s="49">
        <f t="shared" si="290"/>
        <v>13.9</v>
      </c>
      <c r="N657" s="41">
        <v>9.9</v>
      </c>
      <c r="O657" s="54"/>
      <c r="P657" s="15"/>
      <c r="Q657" t="s">
        <v>1017</v>
      </c>
      <c r="R657"/>
      <c r="S657" t="s">
        <v>4180</v>
      </c>
      <c r="T657" s="178" t="s">
        <v>4180</v>
      </c>
      <c r="U657" s="55" t="s">
        <v>1017</v>
      </c>
      <c r="V657"/>
      <c r="W657" s="65"/>
      <c r="X657" s="65"/>
      <c r="Y657"/>
      <c r="Z657" s="65"/>
      <c r="AA657"/>
      <c r="AB657"/>
      <c r="AC657" s="65"/>
      <c r="AD657" s="92"/>
      <c r="AE657" s="124"/>
      <c r="AF657" s="65"/>
      <c r="AG657" s="91"/>
      <c r="AH657" s="212" t="str">
        <f t="shared" si="297"/>
        <v/>
      </c>
      <c r="AI657" s="214" t="str">
        <f t="shared" si="282"/>
        <v/>
      </c>
      <c r="AJ657" s="214" t="str">
        <f t="shared" si="283"/>
        <v/>
      </c>
      <c r="AK657" s="214" t="str">
        <f t="shared" si="284"/>
        <v/>
      </c>
      <c r="AL657" s="214" t="str">
        <f t="shared" si="285"/>
        <v/>
      </c>
      <c r="AM657" s="214" t="str">
        <f t="shared" si="286"/>
        <v/>
      </c>
      <c r="AN657" s="213" t="str">
        <f t="shared" si="269"/>
        <v/>
      </c>
      <c r="AO657" s="213" t="str">
        <f t="shared" si="270"/>
        <v/>
      </c>
      <c r="AP657" s="213" t="str">
        <f t="shared" si="271"/>
        <v/>
      </c>
      <c r="AQ657" s="215" t="str">
        <f t="shared" si="272"/>
        <v/>
      </c>
      <c r="AR657" s="216" t="str">
        <f t="shared" si="273"/>
        <v>BiK82K09y---04</v>
      </c>
      <c r="AS657" s="215" t="str">
        <f t="shared" si="274"/>
        <v/>
      </c>
      <c r="AT657">
        <f t="shared" si="275"/>
        <v>14</v>
      </c>
      <c r="AU657" s="216" t="str">
        <f t="shared" si="276"/>
        <v>0,15-0,5 MW, Bonusregeln y und K erstmals 2009</v>
      </c>
      <c r="AV657" s="215" t="str">
        <f t="shared" si="277"/>
        <v/>
      </c>
      <c r="AW657" s="216" t="str">
        <f t="shared" si="278"/>
        <v>Anteil KWK, erstmals 2009</v>
      </c>
      <c r="AX657" s="215" t="str">
        <f t="shared" si="279"/>
        <v/>
      </c>
      <c r="AY657" t="str">
        <f t="shared" si="280"/>
        <v/>
      </c>
      <c r="AZ657" t="str">
        <f t="shared" si="281"/>
        <v/>
      </c>
    </row>
    <row r="658" spans="1:52" s="178" customFormat="1" x14ac:dyDescent="0.25">
      <c r="A658" s="610" t="s">
        <v>1446</v>
      </c>
      <c r="B658" s="17" t="s">
        <v>5548</v>
      </c>
      <c r="C658" s="17" t="s">
        <v>4809</v>
      </c>
      <c r="D658" s="30" t="s">
        <v>7101</v>
      </c>
      <c r="E658" s="30" t="s">
        <v>3567</v>
      </c>
      <c r="F658" s="454">
        <f t="shared" si="288"/>
        <v>13.870000000000001</v>
      </c>
      <c r="G658" s="529">
        <v>13.870000000000001</v>
      </c>
      <c r="H658" s="487">
        <f t="shared" si="289"/>
        <v>11.1</v>
      </c>
      <c r="I658" s="706"/>
      <c r="J658" s="669" t="s">
        <v>5805</v>
      </c>
      <c r="K658" s="15"/>
      <c r="L658"/>
      <c r="M658" s="49">
        <f t="shared" si="290"/>
        <v>13.870000000000001</v>
      </c>
      <c r="N658" s="41">
        <v>9.9</v>
      </c>
      <c r="O658" s="54"/>
      <c r="P658" s="15"/>
      <c r="Q658"/>
      <c r="R658" t="s">
        <v>1017</v>
      </c>
      <c r="S658" t="s">
        <v>4180</v>
      </c>
      <c r="T658" s="178" t="s">
        <v>4180</v>
      </c>
      <c r="U658" s="55" t="s">
        <v>1017</v>
      </c>
      <c r="V658"/>
      <c r="W658" s="65"/>
      <c r="X658" s="65"/>
      <c r="Y658"/>
      <c r="Z658" s="65"/>
      <c r="AA658"/>
      <c r="AB658"/>
      <c r="AC658" s="65"/>
      <c r="AD658" s="92"/>
      <c r="AE658" s="124"/>
      <c r="AF658" s="65"/>
      <c r="AG658" s="91"/>
      <c r="AH658" s="212" t="str">
        <f t="shared" si="297"/>
        <v>2010</v>
      </c>
      <c r="AI658" s="214" t="str">
        <f t="shared" si="282"/>
        <v/>
      </c>
      <c r="AJ658" s="214" t="str">
        <f t="shared" si="283"/>
        <v/>
      </c>
      <c r="AK658" s="214" t="str">
        <f t="shared" si="284"/>
        <v/>
      </c>
      <c r="AL658" s="214" t="str">
        <f t="shared" si="285"/>
        <v/>
      </c>
      <c r="AM658" s="214" t="str">
        <f t="shared" si="286"/>
        <v/>
      </c>
      <c r="AN658" s="213" t="str">
        <f t="shared" si="269"/>
        <v>2010</v>
      </c>
      <c r="AO658" s="213" t="str">
        <f t="shared" si="270"/>
        <v>2010</v>
      </c>
      <c r="AP658" s="213" t="str">
        <f t="shared" si="271"/>
        <v>2010</v>
      </c>
      <c r="AQ658" s="215" t="str">
        <f t="shared" si="272"/>
        <v/>
      </c>
      <c r="AR658" s="216" t="str">
        <f t="shared" si="273"/>
        <v>BiK82K10y---04</v>
      </c>
      <c r="AS658" s="215" t="str">
        <f t="shared" si="274"/>
        <v/>
      </c>
      <c r="AT658">
        <f t="shared" si="275"/>
        <v>14</v>
      </c>
      <c r="AU658" s="216" t="str">
        <f t="shared" si="276"/>
        <v>0,15-0,5 MW, Bonusregeln y und K erstmals 2010</v>
      </c>
      <c r="AV658" s="215" t="str">
        <f t="shared" si="277"/>
        <v/>
      </c>
      <c r="AW658" s="216" t="str">
        <f t="shared" si="278"/>
        <v>Anteil KWK, erstmals 2010</v>
      </c>
      <c r="AX658" s="215" t="str">
        <f t="shared" si="279"/>
        <v/>
      </c>
      <c r="AY658" t="str">
        <f t="shared" si="280"/>
        <v/>
      </c>
      <c r="AZ658" t="str">
        <f t="shared" si="281"/>
        <v/>
      </c>
    </row>
    <row r="659" spans="1:52" s="178" customFormat="1" x14ac:dyDescent="0.25">
      <c r="A659" s="610" t="s">
        <v>5268</v>
      </c>
      <c r="B659" s="17" t="s">
        <v>5548</v>
      </c>
      <c r="C659" s="17" t="s">
        <v>4809</v>
      </c>
      <c r="D659" s="30" t="s">
        <v>7102</v>
      </c>
      <c r="E659" s="30" t="s">
        <v>3055</v>
      </c>
      <c r="F659" s="454">
        <f t="shared" si="288"/>
        <v>13.84</v>
      </c>
      <c r="G659" s="529">
        <v>13.84</v>
      </c>
      <c r="H659" s="487">
        <f t="shared" si="289"/>
        <v>11.07</v>
      </c>
      <c r="I659" s="706"/>
      <c r="J659" s="669" t="s">
        <v>5805</v>
      </c>
      <c r="K659" s="15"/>
      <c r="L659"/>
      <c r="M659" s="49">
        <f t="shared" si="290"/>
        <v>13.84</v>
      </c>
      <c r="N659" s="41">
        <v>9.9</v>
      </c>
      <c r="O659" s="54"/>
      <c r="P659" s="15"/>
      <c r="Q659"/>
      <c r="R659"/>
      <c r="S659" t="s">
        <v>1017</v>
      </c>
      <c r="T659" s="178" t="s">
        <v>4180</v>
      </c>
      <c r="U659" s="55" t="s">
        <v>1017</v>
      </c>
      <c r="V659"/>
      <c r="W659" s="65"/>
      <c r="X659" s="65"/>
      <c r="Y659"/>
      <c r="Z659" s="65"/>
      <c r="AA659"/>
      <c r="AB659"/>
      <c r="AC659" s="65"/>
      <c r="AD659" s="92"/>
      <c r="AE659" s="124"/>
      <c r="AF659" s="65"/>
      <c r="AG659" s="91"/>
      <c r="AH659" s="212" t="str">
        <f t="shared" si="297"/>
        <v>2011</v>
      </c>
      <c r="AI659" s="214" t="str">
        <f t="shared" si="282"/>
        <v/>
      </c>
      <c r="AJ659" s="214" t="str">
        <f t="shared" si="283"/>
        <v/>
      </c>
      <c r="AK659" s="214" t="str">
        <f t="shared" si="284"/>
        <v/>
      </c>
      <c r="AL659" s="214" t="str">
        <f t="shared" si="285"/>
        <v/>
      </c>
      <c r="AM659" s="214" t="str">
        <f t="shared" si="286"/>
        <v/>
      </c>
      <c r="AN659" s="213" t="str">
        <f t="shared" si="269"/>
        <v>2011</v>
      </c>
      <c r="AO659" s="213" t="str">
        <f t="shared" si="270"/>
        <v>2011</v>
      </c>
      <c r="AP659" s="213" t="str">
        <f t="shared" si="271"/>
        <v>2011</v>
      </c>
      <c r="AQ659" s="215" t="str">
        <f t="shared" si="272"/>
        <v/>
      </c>
      <c r="AR659" s="216" t="str">
        <f t="shared" si="273"/>
        <v>BiK82K11y---04</v>
      </c>
      <c r="AS659" s="215" t="str">
        <f t="shared" si="274"/>
        <v/>
      </c>
      <c r="AT659">
        <f t="shared" si="275"/>
        <v>14</v>
      </c>
      <c r="AU659" s="216" t="str">
        <f t="shared" si="276"/>
        <v>0,15-0,5 MW, Bonusregeln y und K erstmals 2011</v>
      </c>
      <c r="AV659" s="215" t="str">
        <f t="shared" si="277"/>
        <v/>
      </c>
      <c r="AW659" s="216" t="str">
        <f t="shared" si="278"/>
        <v>Anteil KWK, erstmals 2011</v>
      </c>
      <c r="AX659" s="215" t="str">
        <f t="shared" si="279"/>
        <v/>
      </c>
      <c r="AY659" t="str">
        <f t="shared" si="280"/>
        <v>x</v>
      </c>
      <c r="AZ659" t="str">
        <f t="shared" si="281"/>
        <v/>
      </c>
    </row>
    <row r="660" spans="1:52" s="178" customFormat="1" x14ac:dyDescent="0.25">
      <c r="A660" s="625" t="s">
        <v>1518</v>
      </c>
      <c r="B660" s="221" t="s">
        <v>5548</v>
      </c>
      <c r="C660" s="221" t="s">
        <v>4809</v>
      </c>
      <c r="D660" s="219" t="s">
        <v>7103</v>
      </c>
      <c r="E660" s="219" t="s">
        <v>1980</v>
      </c>
      <c r="F660" s="455">
        <f t="shared" si="288"/>
        <v>13.81</v>
      </c>
      <c r="G660" s="530">
        <v>13.81</v>
      </c>
      <c r="H660" s="488">
        <f t="shared" si="289"/>
        <v>11.05</v>
      </c>
      <c r="I660" s="707"/>
      <c r="J660" s="669" t="s">
        <v>5805</v>
      </c>
      <c r="K660" s="15"/>
      <c r="L660"/>
      <c r="M660" s="49">
        <f t="shared" si="290"/>
        <v>13.81</v>
      </c>
      <c r="N660" s="41">
        <v>9.9</v>
      </c>
      <c r="O660" s="54"/>
      <c r="P660" s="15"/>
      <c r="Q660"/>
      <c r="R660"/>
      <c r="S660" t="s">
        <v>4180</v>
      </c>
      <c r="T660" s="178" t="s">
        <v>1017</v>
      </c>
      <c r="U660" s="55" t="s">
        <v>1017</v>
      </c>
      <c r="V660"/>
      <c r="W660" s="65"/>
      <c r="X660" s="65"/>
      <c r="Y660"/>
      <c r="Z660" s="65"/>
      <c r="AA660"/>
      <c r="AB660"/>
      <c r="AC660" s="65"/>
      <c r="AD660" s="92"/>
      <c r="AE660" s="124"/>
      <c r="AF660" s="65"/>
      <c r="AG660" s="91"/>
      <c r="AH660" s="217" t="s">
        <v>4179</v>
      </c>
      <c r="AI660" s="214" t="str">
        <f t="shared" si="282"/>
        <v/>
      </c>
      <c r="AJ660" s="214" t="str">
        <f t="shared" si="283"/>
        <v/>
      </c>
      <c r="AK660" s="214" t="str">
        <f t="shared" si="284"/>
        <v/>
      </c>
      <c r="AL660" s="214" t="str">
        <f t="shared" si="285"/>
        <v/>
      </c>
      <c r="AM660" s="214" t="str">
        <f t="shared" si="286"/>
        <v/>
      </c>
      <c r="AN660" s="213" t="str">
        <f t="shared" si="269"/>
        <v>2012</v>
      </c>
      <c r="AO660" s="213" t="str">
        <f t="shared" si="270"/>
        <v>2012</v>
      </c>
      <c r="AP660" s="213" t="str">
        <f t="shared" si="271"/>
        <v>2012</v>
      </c>
      <c r="AQ660" s="215" t="str">
        <f t="shared" si="272"/>
        <v/>
      </c>
      <c r="AR660" s="216" t="str">
        <f t="shared" si="273"/>
        <v>BiK82K12y---04</v>
      </c>
      <c r="AS660" s="215" t="str">
        <f t="shared" si="274"/>
        <v/>
      </c>
      <c r="AT660">
        <f t="shared" si="275"/>
        <v>14</v>
      </c>
      <c r="AU660" s="216" t="str">
        <f t="shared" si="276"/>
        <v>0,15-0,5 MW, Bonusregeln y und K erstmals 2012</v>
      </c>
      <c r="AV660" s="215" t="str">
        <f t="shared" si="277"/>
        <v/>
      </c>
      <c r="AW660" s="216" t="str">
        <f t="shared" si="278"/>
        <v>Anteil KWK, erstmals 2012</v>
      </c>
      <c r="AX660" s="215" t="str">
        <f t="shared" si="279"/>
        <v/>
      </c>
      <c r="AY660" t="str">
        <f t="shared" si="280"/>
        <v/>
      </c>
      <c r="AZ660" t="str">
        <f t="shared" si="281"/>
        <v>x</v>
      </c>
    </row>
    <row r="661" spans="1:52" s="178" customFormat="1" x14ac:dyDescent="0.25">
      <c r="A661" s="609" t="s">
        <v>1009</v>
      </c>
      <c r="B661" s="1" t="s">
        <v>5548</v>
      </c>
      <c r="C661" s="2" t="s">
        <v>4809</v>
      </c>
      <c r="D661" s="1" t="s">
        <v>7104</v>
      </c>
      <c r="E661" s="1" t="s">
        <v>4810</v>
      </c>
      <c r="F661" s="456">
        <f t="shared" si="288"/>
        <v>15.9</v>
      </c>
      <c r="G661" s="531">
        <v>15.9</v>
      </c>
      <c r="H661" s="489">
        <f t="shared" si="289"/>
        <v>12.72</v>
      </c>
      <c r="I661" s="708"/>
      <c r="J661" s="669" t="s">
        <v>5805</v>
      </c>
      <c r="K661" s="15"/>
      <c r="L661"/>
      <c r="M661" s="49">
        <f t="shared" si="290"/>
        <v>15.9</v>
      </c>
      <c r="N661" s="41">
        <v>9.9</v>
      </c>
      <c r="O661" s="54"/>
      <c r="P661" s="15"/>
      <c r="Q661"/>
      <c r="R661"/>
      <c r="S661" t="s">
        <v>4180</v>
      </c>
      <c r="T661" s="178" t="s">
        <v>4180</v>
      </c>
      <c r="U661" s="55"/>
      <c r="V661" t="s">
        <v>1017</v>
      </c>
      <c r="W661" s="65"/>
      <c r="X661" s="65"/>
      <c r="Y661"/>
      <c r="Z661" s="65"/>
      <c r="AA661"/>
      <c r="AB661"/>
      <c r="AC661" s="65"/>
      <c r="AD661" s="92"/>
      <c r="AE661" s="124"/>
      <c r="AF661" s="65"/>
      <c r="AG661" s="91"/>
      <c r="AH661" s="212" t="str">
        <f t="shared" ref="AH661:AH666" si="298">IF(ISERROR(SEARCH("K erstmals 201",D661)),"",RIGHT(D661,4))</f>
        <v/>
      </c>
      <c r="AI661" s="214" t="str">
        <f t="shared" si="282"/>
        <v/>
      </c>
      <c r="AJ661" s="214" t="str">
        <f t="shared" si="283"/>
        <v/>
      </c>
      <c r="AK661" s="214" t="str">
        <f t="shared" si="284"/>
        <v/>
      </c>
      <c r="AL661" s="214" t="str">
        <f t="shared" si="285"/>
        <v/>
      </c>
      <c r="AM661" s="214" t="str">
        <f t="shared" si="286"/>
        <v/>
      </c>
      <c r="AN661" s="213" t="str">
        <f t="shared" si="269"/>
        <v/>
      </c>
      <c r="AO661" s="213" t="str">
        <f t="shared" si="270"/>
        <v/>
      </c>
      <c r="AP661" s="213" t="str">
        <f t="shared" si="271"/>
        <v/>
      </c>
      <c r="AQ661" s="215" t="str">
        <f t="shared" si="272"/>
        <v/>
      </c>
      <c r="AR661" s="216" t="str">
        <f t="shared" si="273"/>
        <v>BiK82a1-----04</v>
      </c>
      <c r="AS661" s="215" t="str">
        <f t="shared" si="274"/>
        <v/>
      </c>
      <c r="AT661">
        <f t="shared" si="275"/>
        <v>14</v>
      </c>
      <c r="AU661" s="216" t="str">
        <f t="shared" si="276"/>
        <v>0,15-0,5 MW, Bonusregel a1</v>
      </c>
      <c r="AV661" s="215" t="str">
        <f t="shared" si="277"/>
        <v/>
      </c>
      <c r="AW661" s="216" t="str">
        <f t="shared" si="278"/>
        <v>Anteil Nicht-KWK</v>
      </c>
      <c r="AX661" s="215" t="str">
        <f t="shared" si="279"/>
        <v/>
      </c>
      <c r="AY661" t="str">
        <f t="shared" si="280"/>
        <v/>
      </c>
      <c r="AZ661" t="str">
        <f t="shared" si="281"/>
        <v/>
      </c>
    </row>
    <row r="662" spans="1:52" s="178" customFormat="1" x14ac:dyDescent="0.25">
      <c r="A662" s="608" t="s">
        <v>1010</v>
      </c>
      <c r="B662" s="2" t="s">
        <v>5548</v>
      </c>
      <c r="C662" s="2" t="s">
        <v>4809</v>
      </c>
      <c r="D662" s="2" t="s">
        <v>7105</v>
      </c>
      <c r="E662" s="2" t="s">
        <v>4812</v>
      </c>
      <c r="F662" s="456">
        <f t="shared" si="288"/>
        <v>17.899999999999999</v>
      </c>
      <c r="G662" s="531">
        <v>17.899999999999999</v>
      </c>
      <c r="H662" s="489">
        <f t="shared" si="289"/>
        <v>14.32</v>
      </c>
      <c r="I662" s="708"/>
      <c r="J662" s="669" t="s">
        <v>5805</v>
      </c>
      <c r="K662" s="15"/>
      <c r="L662"/>
      <c r="M662" s="49">
        <f t="shared" si="290"/>
        <v>17.899999999999999</v>
      </c>
      <c r="N662" s="41">
        <v>9.9</v>
      </c>
      <c r="O662" s="54" t="s">
        <v>1017</v>
      </c>
      <c r="P662" s="15"/>
      <c r="Q662"/>
      <c r="R662"/>
      <c r="S662" t="s">
        <v>4180</v>
      </c>
      <c r="T662" s="178" t="s">
        <v>4180</v>
      </c>
      <c r="U662" s="55"/>
      <c r="V662" t="s">
        <v>1017</v>
      </c>
      <c r="W662" s="65"/>
      <c r="X662" s="65"/>
      <c r="Y662"/>
      <c r="Z662" s="65"/>
      <c r="AA662"/>
      <c r="AB662"/>
      <c r="AC662" s="65"/>
      <c r="AD662" s="92"/>
      <c r="AE662" s="124"/>
      <c r="AF662" s="65"/>
      <c r="AG662" s="91"/>
      <c r="AH662" s="212" t="str">
        <f t="shared" si="298"/>
        <v/>
      </c>
      <c r="AI662" s="214" t="str">
        <f t="shared" si="282"/>
        <v/>
      </c>
      <c r="AJ662" s="214" t="str">
        <f t="shared" si="283"/>
        <v/>
      </c>
      <c r="AK662" s="214" t="str">
        <f t="shared" si="284"/>
        <v/>
      </c>
      <c r="AL662" s="214" t="str">
        <f t="shared" si="285"/>
        <v/>
      </c>
      <c r="AM662" s="214" t="str">
        <f t="shared" si="286"/>
        <v/>
      </c>
      <c r="AN662" s="213" t="str">
        <f t="shared" si="269"/>
        <v/>
      </c>
      <c r="AO662" s="213" t="str">
        <f t="shared" si="270"/>
        <v/>
      </c>
      <c r="AP662" s="213" t="str">
        <f t="shared" si="271"/>
        <v/>
      </c>
      <c r="AQ662" s="215" t="str">
        <f t="shared" si="272"/>
        <v/>
      </c>
      <c r="AR662" s="216" t="str">
        <f t="shared" si="273"/>
        <v>BiK82a1KWK--04</v>
      </c>
      <c r="AS662" s="215" t="str">
        <f t="shared" si="274"/>
        <v/>
      </c>
      <c r="AT662">
        <f t="shared" si="275"/>
        <v>14</v>
      </c>
      <c r="AU662" s="216" t="str">
        <f t="shared" si="276"/>
        <v>0,15-0,5 MW, Bonusregel a1 und KWK</v>
      </c>
      <c r="AV662" s="215" t="str">
        <f t="shared" si="277"/>
        <v/>
      </c>
      <c r="AW662" s="216" t="str">
        <f t="shared" si="278"/>
        <v>Anteil KWK</v>
      </c>
      <c r="AX662" s="215" t="str">
        <f t="shared" si="279"/>
        <v/>
      </c>
      <c r="AY662" t="str">
        <f t="shared" si="280"/>
        <v/>
      </c>
      <c r="AZ662" t="str">
        <f t="shared" si="281"/>
        <v/>
      </c>
    </row>
    <row r="663" spans="1:52" s="178" customFormat="1" x14ac:dyDescent="0.25">
      <c r="A663" s="610" t="s">
        <v>4339</v>
      </c>
      <c r="B663" s="17" t="s">
        <v>5548</v>
      </c>
      <c r="C663" s="17" t="s">
        <v>4809</v>
      </c>
      <c r="D663" s="30" t="s">
        <v>7106</v>
      </c>
      <c r="E663" s="30" t="s">
        <v>4331</v>
      </c>
      <c r="F663" s="454">
        <f t="shared" si="288"/>
        <v>18.899999999999999</v>
      </c>
      <c r="G663" s="529">
        <v>18.899999999999999</v>
      </c>
      <c r="H663" s="487">
        <f t="shared" si="289"/>
        <v>15.12</v>
      </c>
      <c r="I663" s="706"/>
      <c r="J663" s="669" t="s">
        <v>5805</v>
      </c>
      <c r="K663" s="15"/>
      <c r="L663"/>
      <c r="M663" s="49">
        <f t="shared" si="290"/>
        <v>18.899999999999999</v>
      </c>
      <c r="N663" s="41">
        <v>9.9</v>
      </c>
      <c r="O663" s="54"/>
      <c r="P663" t="s">
        <v>1017</v>
      </c>
      <c r="Q663"/>
      <c r="R663"/>
      <c r="S663" t="s">
        <v>4180</v>
      </c>
      <c r="T663" s="178" t="s">
        <v>4180</v>
      </c>
      <c r="U663" s="55"/>
      <c r="V663" t="s">
        <v>1017</v>
      </c>
      <c r="W663" s="65"/>
      <c r="X663" s="65"/>
      <c r="Y663"/>
      <c r="Z663" s="65"/>
      <c r="AA663"/>
      <c r="AB663"/>
      <c r="AC663" s="65"/>
      <c r="AD663" s="92"/>
      <c r="AE663" s="124"/>
      <c r="AF663" s="65"/>
      <c r="AG663" s="91"/>
      <c r="AH663" s="212" t="str">
        <f t="shared" si="298"/>
        <v/>
      </c>
      <c r="AI663" s="214" t="str">
        <f t="shared" si="282"/>
        <v/>
      </c>
      <c r="AJ663" s="214" t="str">
        <f t="shared" si="283"/>
        <v/>
      </c>
      <c r="AK663" s="214" t="str">
        <f t="shared" si="284"/>
        <v/>
      </c>
      <c r="AL663" s="214" t="str">
        <f t="shared" si="285"/>
        <v/>
      </c>
      <c r="AM663" s="214" t="str">
        <f t="shared" si="286"/>
        <v/>
      </c>
      <c r="AN663" s="213" t="str">
        <f t="shared" ref="AN663:AN726" si="299">IF(ISERROR(SEARCH("K1",A663)),"","20"&amp;MID(A663,SEARCH("K1",A663)+1,2))</f>
        <v/>
      </c>
      <c r="AO663" s="213" t="str">
        <f t="shared" ref="AO663:AO726" si="300">IF(ISERROR(SEARCH("erstmals 201",E663)),"",MID(E663,SEARCH("erstmals ",E663)+9,4))</f>
        <v/>
      </c>
      <c r="AP663" s="213" t="str">
        <f t="shared" ref="AP663:AP726" si="301">IF(R663="x","2010",IF(S663="x","2011",IF(T663="x","2012","")))</f>
        <v/>
      </c>
      <c r="AQ663" s="215" t="str">
        <f t="shared" ref="AQ663:AQ726" si="302">IF(OR(AH663&lt;&gt;AN663,AH663&lt;&gt;AO663,AH663&lt;&gt;AP663),"DIFF","")</f>
        <v/>
      </c>
      <c r="AR663" s="216" t="str">
        <f t="shared" ref="AR663:AR726" si="303">IF(A663="","",IF(ISERROR(SEARCH("K1",A663)),A663,LEFT(A663,SEARCH("K1",A663)+1)&amp;RIGHT(AH663,1)&amp;MID(A663,SEARCH("K1",A663)+3,14)))</f>
        <v>BiK82a1KA3--04</v>
      </c>
      <c r="AS663" s="215" t="str">
        <f t="shared" ref="AS663:AS726" si="304">IF(OR(A663&lt;&gt;AR663),"DIFF","")</f>
        <v/>
      </c>
      <c r="AT663">
        <f t="shared" ref="AT663:AT726" si="305">LEN(AR663)</f>
        <v>14</v>
      </c>
      <c r="AU663" s="216" t="str">
        <f t="shared" ref="AU663:AU726" si="306">IF(D663="","",IF(OR(A663="",ISERROR(SEARCH("erstmals 201",D663))),D663,LEFT(D663,SEARCH("erstmals 201",D663)+8) &amp; AH663 &amp; MID(D663,SEARCH("erstmals 201",D663)+13,255)))</f>
        <v>0,15-0,5 MW, Bonusregeln a1 und K wenn Anlage 3 erfüllt</v>
      </c>
      <c r="AV663" s="215" t="str">
        <f t="shared" ref="AV663:AV726" si="307">IF(OR(D663&lt;&gt;AU663),"DIFF","")</f>
        <v/>
      </c>
      <c r="AW663" s="216" t="str">
        <f t="shared" ref="AW663:AW726" si="308">IF(E663="","",IF(OR(E663="",ISERROR(SEARCH("erstmals 201",E663))),E663,LEFT(E663,SEARCH("erstmals 201",E663)+8) &amp; AH663 &amp; MID(E663,SEARCH("erstmals 201",E663)+13,255)))</f>
        <v>Anteil KWK gemäß Anlage 3</v>
      </c>
      <c r="AX663" s="215" t="str">
        <f t="shared" ref="AX663:AX726" si="309">IF(OR(E663&lt;&gt;AW663),"DIFF","")</f>
        <v/>
      </c>
      <c r="AY663" t="str">
        <f t="shared" ref="AY663:AY726" si="310">IF(AH663="2011","x",IF(AH663="2012","","" &amp; S663))</f>
        <v/>
      </c>
      <c r="AZ663" t="str">
        <f t="shared" ref="AZ663:AZ726" si="311">IF(AH663="2012","x",IF(AH663="2011","","" &amp; T663))</f>
        <v/>
      </c>
    </row>
    <row r="664" spans="1:52" s="178" customFormat="1" x14ac:dyDescent="0.25">
      <c r="A664" s="610" t="s">
        <v>5040</v>
      </c>
      <c r="B664" s="17" t="s">
        <v>5548</v>
      </c>
      <c r="C664" s="17" t="s">
        <v>4809</v>
      </c>
      <c r="D664" s="30" t="s">
        <v>7107</v>
      </c>
      <c r="E664" s="17" t="s">
        <v>674</v>
      </c>
      <c r="F664" s="454">
        <f t="shared" si="288"/>
        <v>18.899999999999999</v>
      </c>
      <c r="G664" s="529">
        <v>18.899999999999999</v>
      </c>
      <c r="H664" s="487">
        <f t="shared" si="289"/>
        <v>15.12</v>
      </c>
      <c r="I664" s="706"/>
      <c r="J664" s="669" t="s">
        <v>5805</v>
      </c>
      <c r="K664" s="15"/>
      <c r="L664"/>
      <c r="M664" s="49">
        <f t="shared" si="290"/>
        <v>18.899999999999999</v>
      </c>
      <c r="N664" s="41">
        <v>9.9</v>
      </c>
      <c r="O664" s="54"/>
      <c r="P664" s="15"/>
      <c r="Q664" t="s">
        <v>1017</v>
      </c>
      <c r="R664"/>
      <c r="S664" t="s">
        <v>4180</v>
      </c>
      <c r="T664" s="178" t="s">
        <v>4180</v>
      </c>
      <c r="U664" s="55"/>
      <c r="V664" t="s">
        <v>1017</v>
      </c>
      <c r="W664" s="65"/>
      <c r="X664" s="65"/>
      <c r="Y664"/>
      <c r="Z664" s="65"/>
      <c r="AA664"/>
      <c r="AB664"/>
      <c r="AC664" s="65"/>
      <c r="AD664" s="92"/>
      <c r="AE664" s="124"/>
      <c r="AF664" s="65"/>
      <c r="AG664" s="91"/>
      <c r="AH664" s="212" t="str">
        <f t="shared" si="298"/>
        <v/>
      </c>
      <c r="AI664" s="214" t="str">
        <f t="shared" si="282"/>
        <v/>
      </c>
      <c r="AJ664" s="214" t="str">
        <f t="shared" si="283"/>
        <v/>
      </c>
      <c r="AK664" s="214" t="str">
        <f t="shared" si="284"/>
        <v/>
      </c>
      <c r="AL664" s="214" t="str">
        <f t="shared" si="285"/>
        <v/>
      </c>
      <c r="AM664" s="214" t="str">
        <f t="shared" si="286"/>
        <v/>
      </c>
      <c r="AN664" s="213" t="str">
        <f t="shared" si="299"/>
        <v/>
      </c>
      <c r="AO664" s="213" t="str">
        <f t="shared" si="300"/>
        <v/>
      </c>
      <c r="AP664" s="213" t="str">
        <f t="shared" si="301"/>
        <v/>
      </c>
      <c r="AQ664" s="215" t="str">
        <f t="shared" si="302"/>
        <v/>
      </c>
      <c r="AR664" s="216" t="str">
        <f t="shared" si="303"/>
        <v>BiK82a1K09--04</v>
      </c>
      <c r="AS664" s="215" t="str">
        <f t="shared" si="304"/>
        <v/>
      </c>
      <c r="AT664">
        <f t="shared" si="305"/>
        <v>14</v>
      </c>
      <c r="AU664" s="216" t="str">
        <f t="shared" si="306"/>
        <v>0,15-0,5 MW, Bonusregeln a1 und K erstmals 2009</v>
      </c>
      <c r="AV664" s="215" t="str">
        <f t="shared" si="307"/>
        <v/>
      </c>
      <c r="AW664" s="216" t="str">
        <f t="shared" si="308"/>
        <v>Anteil KWK, erstmals 2009</v>
      </c>
      <c r="AX664" s="215" t="str">
        <f t="shared" si="309"/>
        <v/>
      </c>
      <c r="AY664" t="str">
        <f t="shared" si="310"/>
        <v/>
      </c>
      <c r="AZ664" t="str">
        <f t="shared" si="311"/>
        <v/>
      </c>
    </row>
    <row r="665" spans="1:52" x14ac:dyDescent="0.25">
      <c r="A665" s="610" t="s">
        <v>1447</v>
      </c>
      <c r="B665" s="17" t="s">
        <v>5548</v>
      </c>
      <c r="C665" s="17" t="s">
        <v>4809</v>
      </c>
      <c r="D665" s="30" t="s">
        <v>7108</v>
      </c>
      <c r="E665" s="30" t="s">
        <v>3567</v>
      </c>
      <c r="F665" s="454">
        <f t="shared" si="288"/>
        <v>18.87</v>
      </c>
      <c r="G665" s="529">
        <v>18.87</v>
      </c>
      <c r="H665" s="487">
        <f t="shared" si="289"/>
        <v>15.1</v>
      </c>
      <c r="I665" s="706"/>
      <c r="J665" s="669" t="s">
        <v>5805</v>
      </c>
      <c r="K665" s="15"/>
      <c r="M665" s="49">
        <f t="shared" si="290"/>
        <v>18.87</v>
      </c>
      <c r="N665" s="41">
        <v>9.9</v>
      </c>
      <c r="O665" s="54"/>
      <c r="P665" s="15"/>
      <c r="R665" t="s">
        <v>1017</v>
      </c>
      <c r="S665" t="s">
        <v>4180</v>
      </c>
      <c r="T665" t="s">
        <v>4180</v>
      </c>
      <c r="U665" s="55"/>
      <c r="V665" t="s">
        <v>1017</v>
      </c>
      <c r="W665" s="65"/>
      <c r="X665" s="65"/>
      <c r="Z665" s="65"/>
      <c r="AC665" s="65"/>
      <c r="AD665" s="92"/>
      <c r="AE665" s="124"/>
      <c r="AF665" s="65"/>
      <c r="AG665" s="91"/>
      <c r="AH665" s="212" t="str">
        <f t="shared" si="298"/>
        <v>2010</v>
      </c>
      <c r="AI665" s="214" t="str">
        <f t="shared" si="282"/>
        <v/>
      </c>
      <c r="AJ665" s="214" t="str">
        <f t="shared" si="283"/>
        <v/>
      </c>
      <c r="AK665" s="214" t="str">
        <f t="shared" si="284"/>
        <v/>
      </c>
      <c r="AL665" s="214" t="str">
        <f t="shared" si="285"/>
        <v/>
      </c>
      <c r="AM665" s="214" t="str">
        <f t="shared" si="286"/>
        <v/>
      </c>
      <c r="AN665" s="213" t="str">
        <f t="shared" si="299"/>
        <v>2010</v>
      </c>
      <c r="AO665" s="213" t="str">
        <f t="shared" si="300"/>
        <v>2010</v>
      </c>
      <c r="AP665" s="213" t="str">
        <f t="shared" si="301"/>
        <v>2010</v>
      </c>
      <c r="AQ665" s="215" t="str">
        <f t="shared" si="302"/>
        <v/>
      </c>
      <c r="AR665" s="216" t="str">
        <f t="shared" si="303"/>
        <v>BiK82a1K10--04</v>
      </c>
      <c r="AS665" s="215" t="str">
        <f t="shared" si="304"/>
        <v/>
      </c>
      <c r="AT665">
        <f t="shared" si="305"/>
        <v>14</v>
      </c>
      <c r="AU665" s="216" t="str">
        <f t="shared" si="306"/>
        <v>0,15-0,5 MW, Bonusregeln a1 und K erstmals 2010</v>
      </c>
      <c r="AV665" s="215" t="str">
        <f t="shared" si="307"/>
        <v/>
      </c>
      <c r="AW665" s="216" t="str">
        <f t="shared" si="308"/>
        <v>Anteil KWK, erstmals 2010</v>
      </c>
      <c r="AX665" s="215" t="str">
        <f t="shared" si="309"/>
        <v/>
      </c>
      <c r="AY665" t="str">
        <f t="shared" si="310"/>
        <v/>
      </c>
      <c r="AZ665" t="str">
        <f t="shared" si="311"/>
        <v/>
      </c>
    </row>
    <row r="666" spans="1:52" x14ac:dyDescent="0.25">
      <c r="A666" s="610" t="s">
        <v>5269</v>
      </c>
      <c r="B666" s="17" t="s">
        <v>5548</v>
      </c>
      <c r="C666" s="17" t="s">
        <v>4809</v>
      </c>
      <c r="D666" s="30" t="s">
        <v>7109</v>
      </c>
      <c r="E666" s="30" t="s">
        <v>3055</v>
      </c>
      <c r="F666" s="454">
        <f t="shared" si="288"/>
        <v>18.84</v>
      </c>
      <c r="G666" s="529">
        <v>18.84</v>
      </c>
      <c r="H666" s="487">
        <f t="shared" si="289"/>
        <v>15.07</v>
      </c>
      <c r="I666" s="706"/>
      <c r="J666" s="669" t="s">
        <v>5805</v>
      </c>
      <c r="K666" s="15"/>
      <c r="M666" s="49">
        <f t="shared" si="290"/>
        <v>18.84</v>
      </c>
      <c r="N666" s="41">
        <v>9.9</v>
      </c>
      <c r="O666" s="54"/>
      <c r="P666" s="15"/>
      <c r="S666" t="s">
        <v>1017</v>
      </c>
      <c r="T666" t="s">
        <v>4180</v>
      </c>
      <c r="U666" s="55"/>
      <c r="V666" t="s">
        <v>1017</v>
      </c>
      <c r="W666" s="65"/>
      <c r="X666" s="65"/>
      <c r="Z666" s="65"/>
      <c r="AC666" s="65"/>
      <c r="AD666" s="92"/>
      <c r="AE666" s="124"/>
      <c r="AF666" s="65"/>
      <c r="AG666" s="91"/>
      <c r="AH666" s="212" t="str">
        <f t="shared" si="298"/>
        <v>2011</v>
      </c>
      <c r="AI666" s="214" t="str">
        <f t="shared" ref="AI666:AI729" si="312">IF(AND($AH666&lt;&gt;"",AH666 =AH665),"Gleich","")</f>
        <v/>
      </c>
      <c r="AJ666" s="214" t="str">
        <f t="shared" ref="AJ666:AJ729" si="313">IF(AND($AH666&lt;&gt;"",A666 =A665),"Gleich","")</f>
        <v/>
      </c>
      <c r="AK666" s="214" t="str">
        <f t="shared" ref="AK666:AK729" si="314">IF(AND($AH666&lt;&gt;"",D666 =D665),"Gleich","")</f>
        <v/>
      </c>
      <c r="AL666" s="214" t="str">
        <f t="shared" ref="AL666:AL729" si="315">IF(AND($AH666&lt;&gt;"",E666 =E665),"Gleich","")</f>
        <v/>
      </c>
      <c r="AM666" s="214" t="str">
        <f t="shared" ref="AM666:AM729" si="316">IF(AND($AH666&lt;&gt;"",F666 =F665),"Gleich","")</f>
        <v/>
      </c>
      <c r="AN666" s="213" t="str">
        <f t="shared" si="299"/>
        <v>2011</v>
      </c>
      <c r="AO666" s="213" t="str">
        <f t="shared" si="300"/>
        <v>2011</v>
      </c>
      <c r="AP666" s="213" t="str">
        <f t="shared" si="301"/>
        <v>2011</v>
      </c>
      <c r="AQ666" s="215" t="str">
        <f t="shared" si="302"/>
        <v/>
      </c>
      <c r="AR666" s="216" t="str">
        <f t="shared" si="303"/>
        <v>BiK82a1K11--04</v>
      </c>
      <c r="AS666" s="215" t="str">
        <f t="shared" si="304"/>
        <v/>
      </c>
      <c r="AT666">
        <f t="shared" si="305"/>
        <v>14</v>
      </c>
      <c r="AU666" s="216" t="str">
        <f t="shared" si="306"/>
        <v>0,15-0,5 MW, Bonusregeln a1 und K erstmals 2011</v>
      </c>
      <c r="AV666" s="215" t="str">
        <f t="shared" si="307"/>
        <v/>
      </c>
      <c r="AW666" s="216" t="str">
        <f t="shared" si="308"/>
        <v>Anteil KWK, erstmals 2011</v>
      </c>
      <c r="AX666" s="215" t="str">
        <f t="shared" si="309"/>
        <v/>
      </c>
      <c r="AY666" t="str">
        <f t="shared" si="310"/>
        <v>x</v>
      </c>
      <c r="AZ666" t="str">
        <f t="shared" si="311"/>
        <v/>
      </c>
    </row>
    <row r="667" spans="1:52" x14ac:dyDescent="0.25">
      <c r="A667" s="625" t="s">
        <v>1519</v>
      </c>
      <c r="B667" s="221" t="s">
        <v>5548</v>
      </c>
      <c r="C667" s="221" t="s">
        <v>4809</v>
      </c>
      <c r="D667" s="219" t="s">
        <v>7110</v>
      </c>
      <c r="E667" s="219" t="s">
        <v>1980</v>
      </c>
      <c r="F667" s="455">
        <f t="shared" si="288"/>
        <v>18.810000000000002</v>
      </c>
      <c r="G667" s="530">
        <v>18.810000000000002</v>
      </c>
      <c r="H667" s="488">
        <f t="shared" si="289"/>
        <v>15.05</v>
      </c>
      <c r="I667" s="707"/>
      <c r="J667" s="669" t="s">
        <v>5805</v>
      </c>
      <c r="K667" s="15"/>
      <c r="M667" s="49">
        <f t="shared" si="290"/>
        <v>18.810000000000002</v>
      </c>
      <c r="N667" s="41">
        <v>9.9</v>
      </c>
      <c r="O667" s="54"/>
      <c r="P667" s="15"/>
      <c r="S667" t="s">
        <v>4180</v>
      </c>
      <c r="T667" t="s">
        <v>1017</v>
      </c>
      <c r="U667" s="55"/>
      <c r="V667" t="s">
        <v>1017</v>
      </c>
      <c r="W667" s="65"/>
      <c r="X667" s="65"/>
      <c r="Z667" s="65"/>
      <c r="AC667" s="65"/>
      <c r="AD667" s="92"/>
      <c r="AE667" s="124"/>
      <c r="AF667" s="65"/>
      <c r="AG667" s="91"/>
      <c r="AH667" s="217" t="s">
        <v>4179</v>
      </c>
      <c r="AI667" s="214" t="str">
        <f t="shared" si="312"/>
        <v/>
      </c>
      <c r="AJ667" s="214" t="str">
        <f t="shared" si="313"/>
        <v/>
      </c>
      <c r="AK667" s="214" t="str">
        <f t="shared" si="314"/>
        <v/>
      </c>
      <c r="AL667" s="214" t="str">
        <f t="shared" si="315"/>
        <v/>
      </c>
      <c r="AM667" s="214" t="str">
        <f t="shared" si="316"/>
        <v/>
      </c>
      <c r="AN667" s="213" t="str">
        <f t="shared" si="299"/>
        <v>2012</v>
      </c>
      <c r="AO667" s="213" t="str">
        <f t="shared" si="300"/>
        <v>2012</v>
      </c>
      <c r="AP667" s="213" t="str">
        <f t="shared" si="301"/>
        <v>2012</v>
      </c>
      <c r="AQ667" s="215" t="str">
        <f t="shared" si="302"/>
        <v/>
      </c>
      <c r="AR667" s="216" t="str">
        <f t="shared" si="303"/>
        <v>BiK82a1K12--04</v>
      </c>
      <c r="AS667" s="215" t="str">
        <f t="shared" si="304"/>
        <v/>
      </c>
      <c r="AT667">
        <f t="shared" si="305"/>
        <v>14</v>
      </c>
      <c r="AU667" s="216" t="str">
        <f t="shared" si="306"/>
        <v>0,15-0,5 MW, Bonusregeln a1 und K erstmals 2012</v>
      </c>
      <c r="AV667" s="215" t="str">
        <f t="shared" si="307"/>
        <v/>
      </c>
      <c r="AW667" s="216" t="str">
        <f t="shared" si="308"/>
        <v>Anteil KWK, erstmals 2012</v>
      </c>
      <c r="AX667" s="215" t="str">
        <f t="shared" si="309"/>
        <v/>
      </c>
      <c r="AY667" t="str">
        <f t="shared" si="310"/>
        <v/>
      </c>
      <c r="AZ667" t="str">
        <f t="shared" si="311"/>
        <v>x</v>
      </c>
    </row>
    <row r="668" spans="1:52" x14ac:dyDescent="0.25">
      <c r="A668" s="610" t="s">
        <v>1361</v>
      </c>
      <c r="B668" s="17" t="s">
        <v>5548</v>
      </c>
      <c r="C668" s="17" t="s">
        <v>4809</v>
      </c>
      <c r="D668" s="30" t="s">
        <v>7111</v>
      </c>
      <c r="E668" s="17" t="s">
        <v>4810</v>
      </c>
      <c r="F668" s="454">
        <f t="shared" si="288"/>
        <v>16.899999999999999</v>
      </c>
      <c r="G668" s="529">
        <v>16.899999999999999</v>
      </c>
      <c r="H668" s="487">
        <f t="shared" si="289"/>
        <v>13.52</v>
      </c>
      <c r="I668" s="706"/>
      <c r="J668" s="669" t="s">
        <v>5805</v>
      </c>
      <c r="K668" s="15"/>
      <c r="M668" s="49">
        <f t="shared" si="290"/>
        <v>16.899999999999999</v>
      </c>
      <c r="N668" s="41">
        <v>9.9</v>
      </c>
      <c r="O668" s="54"/>
      <c r="P668" s="15"/>
      <c r="S668" t="s">
        <v>4180</v>
      </c>
      <c r="T668" t="s">
        <v>4180</v>
      </c>
      <c r="U668" s="55" t="s">
        <v>1017</v>
      </c>
      <c r="V668" t="s">
        <v>1017</v>
      </c>
      <c r="W668" s="65"/>
      <c r="X668" s="65"/>
      <c r="Z668" s="65"/>
      <c r="AC668" s="65"/>
      <c r="AD668" s="92"/>
      <c r="AE668" s="124"/>
      <c r="AF668" s="65"/>
      <c r="AG668" s="91"/>
      <c r="AH668" s="212" t="str">
        <f t="shared" ref="AH668:AH673" si="317">IF(ISERROR(SEARCH("K erstmals 201",D668)),"",RIGHT(D668,4))</f>
        <v/>
      </c>
      <c r="AI668" s="214" t="str">
        <f t="shared" si="312"/>
        <v/>
      </c>
      <c r="AJ668" s="214" t="str">
        <f t="shared" si="313"/>
        <v/>
      </c>
      <c r="AK668" s="214" t="str">
        <f t="shared" si="314"/>
        <v/>
      </c>
      <c r="AL668" s="214" t="str">
        <f t="shared" si="315"/>
        <v/>
      </c>
      <c r="AM668" s="214" t="str">
        <f t="shared" si="316"/>
        <v/>
      </c>
      <c r="AN668" s="213" t="str">
        <f t="shared" si="299"/>
        <v/>
      </c>
      <c r="AO668" s="213" t="str">
        <f t="shared" si="300"/>
        <v/>
      </c>
      <c r="AP668" s="213" t="str">
        <f t="shared" si="301"/>
        <v/>
      </c>
      <c r="AQ668" s="215" t="str">
        <f t="shared" si="302"/>
        <v/>
      </c>
      <c r="AR668" s="216" t="str">
        <f t="shared" si="303"/>
        <v>BiK82a1y----04</v>
      </c>
      <c r="AS668" s="215" t="str">
        <f t="shared" si="304"/>
        <v/>
      </c>
      <c r="AT668">
        <f t="shared" si="305"/>
        <v>14</v>
      </c>
      <c r="AU668" s="216" t="str">
        <f t="shared" si="306"/>
        <v>0,15-0,5 MW, Bonusregeln a1, y</v>
      </c>
      <c r="AV668" s="215" t="str">
        <f t="shared" si="307"/>
        <v/>
      </c>
      <c r="AW668" s="216" t="str">
        <f t="shared" si="308"/>
        <v>Anteil Nicht-KWK</v>
      </c>
      <c r="AX668" s="215" t="str">
        <f t="shared" si="309"/>
        <v/>
      </c>
      <c r="AY668" t="str">
        <f t="shared" si="310"/>
        <v/>
      </c>
      <c r="AZ668" t="str">
        <f t="shared" si="311"/>
        <v/>
      </c>
    </row>
    <row r="669" spans="1:52" x14ac:dyDescent="0.25">
      <c r="A669" s="610" t="s">
        <v>1362</v>
      </c>
      <c r="B669" s="17" t="s">
        <v>5548</v>
      </c>
      <c r="C669" s="17" t="s">
        <v>4809</v>
      </c>
      <c r="D669" s="30" t="s">
        <v>7112</v>
      </c>
      <c r="E669" s="17" t="s">
        <v>4812</v>
      </c>
      <c r="F669" s="454">
        <f t="shared" si="288"/>
        <v>18.899999999999999</v>
      </c>
      <c r="G669" s="529">
        <v>18.899999999999999</v>
      </c>
      <c r="H669" s="487">
        <f t="shared" si="289"/>
        <v>15.12</v>
      </c>
      <c r="I669" s="706"/>
      <c r="J669" s="669" t="s">
        <v>5805</v>
      </c>
      <c r="K669" s="15"/>
      <c r="M669" s="49">
        <f t="shared" si="290"/>
        <v>18.899999999999999</v>
      </c>
      <c r="N669" s="41">
        <v>9.9</v>
      </c>
      <c r="O669" s="54" t="s">
        <v>1017</v>
      </c>
      <c r="P669" s="15"/>
      <c r="S669" t="s">
        <v>4180</v>
      </c>
      <c r="T669" t="s">
        <v>4180</v>
      </c>
      <c r="U669" s="55" t="s">
        <v>1017</v>
      </c>
      <c r="V669" t="s">
        <v>1017</v>
      </c>
      <c r="W669" s="65"/>
      <c r="X669" s="65"/>
      <c r="Z669" s="65"/>
      <c r="AC669" s="65"/>
      <c r="AD669" s="92"/>
      <c r="AE669" s="124"/>
      <c r="AF669" s="65"/>
      <c r="AG669" s="91"/>
      <c r="AH669" s="212" t="str">
        <f t="shared" si="317"/>
        <v/>
      </c>
      <c r="AI669" s="214" t="str">
        <f t="shared" si="312"/>
        <v/>
      </c>
      <c r="AJ669" s="214" t="str">
        <f t="shared" si="313"/>
        <v/>
      </c>
      <c r="AK669" s="214" t="str">
        <f t="shared" si="314"/>
        <v/>
      </c>
      <c r="AL669" s="214" t="str">
        <f t="shared" si="315"/>
        <v/>
      </c>
      <c r="AM669" s="214" t="str">
        <f t="shared" si="316"/>
        <v/>
      </c>
      <c r="AN669" s="213" t="str">
        <f t="shared" si="299"/>
        <v/>
      </c>
      <c r="AO669" s="213" t="str">
        <f t="shared" si="300"/>
        <v/>
      </c>
      <c r="AP669" s="213" t="str">
        <f t="shared" si="301"/>
        <v/>
      </c>
      <c r="AQ669" s="215" t="str">
        <f t="shared" si="302"/>
        <v/>
      </c>
      <c r="AR669" s="216" t="str">
        <f t="shared" si="303"/>
        <v>BiK82a1KWKy-04</v>
      </c>
      <c r="AS669" s="215" t="str">
        <f t="shared" si="304"/>
        <v/>
      </c>
      <c r="AT669">
        <f t="shared" si="305"/>
        <v>14</v>
      </c>
      <c r="AU669" s="216" t="str">
        <f t="shared" si="306"/>
        <v>0,15-0,5 MW, Bonusregeln a1, y und KWK</v>
      </c>
      <c r="AV669" s="215" t="str">
        <f t="shared" si="307"/>
        <v/>
      </c>
      <c r="AW669" s="216" t="str">
        <f t="shared" si="308"/>
        <v>Anteil KWK</v>
      </c>
      <c r="AX669" s="215" t="str">
        <f t="shared" si="309"/>
        <v/>
      </c>
      <c r="AY669" t="str">
        <f t="shared" si="310"/>
        <v/>
      </c>
      <c r="AZ669" t="str">
        <f t="shared" si="311"/>
        <v/>
      </c>
    </row>
    <row r="670" spans="1:52" x14ac:dyDescent="0.25">
      <c r="A670" s="610" t="s">
        <v>1363</v>
      </c>
      <c r="B670" s="17" t="s">
        <v>5548</v>
      </c>
      <c r="C670" s="17" t="s">
        <v>4809</v>
      </c>
      <c r="D670" s="30" t="s">
        <v>7113</v>
      </c>
      <c r="E670" s="30" t="s">
        <v>4331</v>
      </c>
      <c r="F670" s="454">
        <f t="shared" si="288"/>
        <v>19.899999999999999</v>
      </c>
      <c r="G670" s="529">
        <v>19.899999999999999</v>
      </c>
      <c r="H670" s="487">
        <f t="shared" si="289"/>
        <v>15.92</v>
      </c>
      <c r="I670" s="706"/>
      <c r="J670" s="669" t="s">
        <v>5805</v>
      </c>
      <c r="K670" s="15"/>
      <c r="M670" s="49">
        <f t="shared" si="290"/>
        <v>19.899999999999999</v>
      </c>
      <c r="N670" s="41">
        <v>9.9</v>
      </c>
      <c r="O670" s="54"/>
      <c r="P670" t="s">
        <v>1017</v>
      </c>
      <c r="S670" t="s">
        <v>4180</v>
      </c>
      <c r="T670" t="s">
        <v>4180</v>
      </c>
      <c r="U670" s="55" t="s">
        <v>1017</v>
      </c>
      <c r="V670" t="s">
        <v>1017</v>
      </c>
      <c r="W670" s="65"/>
      <c r="X670" s="65"/>
      <c r="Z670" s="65"/>
      <c r="AC670" s="65"/>
      <c r="AD670" s="92"/>
      <c r="AE670" s="124"/>
      <c r="AF670" s="65"/>
      <c r="AG670" s="91"/>
      <c r="AH670" s="212" t="str">
        <f t="shared" si="317"/>
        <v/>
      </c>
      <c r="AI670" s="214" t="str">
        <f t="shared" si="312"/>
        <v/>
      </c>
      <c r="AJ670" s="214" t="str">
        <f t="shared" si="313"/>
        <v/>
      </c>
      <c r="AK670" s="214" t="str">
        <f t="shared" si="314"/>
        <v/>
      </c>
      <c r="AL670" s="214" t="str">
        <f t="shared" si="315"/>
        <v/>
      </c>
      <c r="AM670" s="214" t="str">
        <f t="shared" si="316"/>
        <v/>
      </c>
      <c r="AN670" s="213" t="str">
        <f t="shared" si="299"/>
        <v/>
      </c>
      <c r="AO670" s="213" t="str">
        <f t="shared" si="300"/>
        <v/>
      </c>
      <c r="AP670" s="213" t="str">
        <f t="shared" si="301"/>
        <v/>
      </c>
      <c r="AQ670" s="215" t="str">
        <f t="shared" si="302"/>
        <v/>
      </c>
      <c r="AR670" s="216" t="str">
        <f t="shared" si="303"/>
        <v>BiK82a1KA3y-04</v>
      </c>
      <c r="AS670" s="215" t="str">
        <f t="shared" si="304"/>
        <v/>
      </c>
      <c r="AT670">
        <f t="shared" si="305"/>
        <v>14</v>
      </c>
      <c r="AU670" s="216" t="str">
        <f t="shared" si="306"/>
        <v>0,15-0,5 MW, Bonusregeln a1, y und K wenn Anlage 3 erfüllt</v>
      </c>
      <c r="AV670" s="215" t="str">
        <f t="shared" si="307"/>
        <v/>
      </c>
      <c r="AW670" s="216" t="str">
        <f t="shared" si="308"/>
        <v>Anteil KWK gemäß Anlage 3</v>
      </c>
      <c r="AX670" s="215" t="str">
        <f t="shared" si="309"/>
        <v/>
      </c>
      <c r="AY670" t="str">
        <f t="shared" si="310"/>
        <v/>
      </c>
      <c r="AZ670" t="str">
        <f t="shared" si="311"/>
        <v/>
      </c>
    </row>
    <row r="671" spans="1:52" x14ac:dyDescent="0.25">
      <c r="A671" s="610" t="s">
        <v>1364</v>
      </c>
      <c r="B671" s="17" t="s">
        <v>5548</v>
      </c>
      <c r="C671" s="17" t="s">
        <v>4809</v>
      </c>
      <c r="D671" s="30" t="s">
        <v>7114</v>
      </c>
      <c r="E671" s="17" t="s">
        <v>674</v>
      </c>
      <c r="F671" s="454">
        <f t="shared" ref="F671:F734" si="318">M671</f>
        <v>19.899999999999999</v>
      </c>
      <c r="G671" s="529">
        <v>19.899999999999999</v>
      </c>
      <c r="H671" s="487">
        <f t="shared" ref="H671:H734" si="319">IF(ISNUMBER(G671),ROUND(0.8*G671,2),"")</f>
        <v>15.92</v>
      </c>
      <c r="I671" s="706"/>
      <c r="J671" s="669" t="s">
        <v>5805</v>
      </c>
      <c r="K671" s="15"/>
      <c r="M671" s="49">
        <f t="shared" ref="M671:M734" si="320">N671+SUMIF(O671:AG671,"x",O$478:AG$478)</f>
        <v>19.899999999999999</v>
      </c>
      <c r="N671" s="41">
        <v>9.9</v>
      </c>
      <c r="O671" s="54"/>
      <c r="P671" s="15"/>
      <c r="Q671" t="s">
        <v>1017</v>
      </c>
      <c r="S671" t="s">
        <v>4180</v>
      </c>
      <c r="T671" t="s">
        <v>4180</v>
      </c>
      <c r="U671" s="55" t="s">
        <v>1017</v>
      </c>
      <c r="V671" t="s">
        <v>1017</v>
      </c>
      <c r="W671" s="65"/>
      <c r="X671" s="65"/>
      <c r="Z671" s="65"/>
      <c r="AC671" s="65"/>
      <c r="AD671" s="92"/>
      <c r="AE671" s="124"/>
      <c r="AF671" s="65"/>
      <c r="AG671" s="91"/>
      <c r="AH671" s="212" t="str">
        <f t="shared" si="317"/>
        <v/>
      </c>
      <c r="AI671" s="214" t="str">
        <f t="shared" si="312"/>
        <v/>
      </c>
      <c r="AJ671" s="214" t="str">
        <f t="shared" si="313"/>
        <v/>
      </c>
      <c r="AK671" s="214" t="str">
        <f t="shared" si="314"/>
        <v/>
      </c>
      <c r="AL671" s="214" t="str">
        <f t="shared" si="315"/>
        <v/>
      </c>
      <c r="AM671" s="214" t="str">
        <f t="shared" si="316"/>
        <v/>
      </c>
      <c r="AN671" s="213" t="str">
        <f t="shared" si="299"/>
        <v/>
      </c>
      <c r="AO671" s="213" t="str">
        <f t="shared" si="300"/>
        <v/>
      </c>
      <c r="AP671" s="213" t="str">
        <f t="shared" si="301"/>
        <v/>
      </c>
      <c r="AQ671" s="215" t="str">
        <f t="shared" si="302"/>
        <v/>
      </c>
      <c r="AR671" s="216" t="str">
        <f t="shared" si="303"/>
        <v>BiK82a1K09y-04</v>
      </c>
      <c r="AS671" s="215" t="str">
        <f t="shared" si="304"/>
        <v/>
      </c>
      <c r="AT671">
        <f t="shared" si="305"/>
        <v>14</v>
      </c>
      <c r="AU671" s="216" t="str">
        <f t="shared" si="306"/>
        <v>0,15-0,5 MW, Bonusregeln a1, y und K erstmals 2009</v>
      </c>
      <c r="AV671" s="215" t="str">
        <f t="shared" si="307"/>
        <v/>
      </c>
      <c r="AW671" s="216" t="str">
        <f t="shared" si="308"/>
        <v>Anteil KWK, erstmals 2009</v>
      </c>
      <c r="AX671" s="215" t="str">
        <f t="shared" si="309"/>
        <v/>
      </c>
      <c r="AY671" t="str">
        <f t="shared" si="310"/>
        <v/>
      </c>
      <c r="AZ671" t="str">
        <f t="shared" si="311"/>
        <v/>
      </c>
    </row>
    <row r="672" spans="1:52" x14ac:dyDescent="0.25">
      <c r="A672" s="610" t="s">
        <v>1448</v>
      </c>
      <c r="B672" s="17" t="s">
        <v>5548</v>
      </c>
      <c r="C672" s="17" t="s">
        <v>4809</v>
      </c>
      <c r="D672" s="30" t="s">
        <v>7115</v>
      </c>
      <c r="E672" s="30" t="s">
        <v>3567</v>
      </c>
      <c r="F672" s="454">
        <f t="shared" si="318"/>
        <v>19.87</v>
      </c>
      <c r="G672" s="529">
        <v>19.87</v>
      </c>
      <c r="H672" s="487">
        <f t="shared" si="319"/>
        <v>15.9</v>
      </c>
      <c r="I672" s="706"/>
      <c r="J672" s="669" t="s">
        <v>5805</v>
      </c>
      <c r="K672" s="15"/>
      <c r="M672" s="49">
        <f t="shared" si="320"/>
        <v>19.87</v>
      </c>
      <c r="N672" s="41">
        <v>9.9</v>
      </c>
      <c r="O672" s="54"/>
      <c r="P672" s="15"/>
      <c r="R672" t="s">
        <v>1017</v>
      </c>
      <c r="S672" t="s">
        <v>4180</v>
      </c>
      <c r="T672" t="s">
        <v>4180</v>
      </c>
      <c r="U672" s="55" t="s">
        <v>1017</v>
      </c>
      <c r="V672" t="s">
        <v>1017</v>
      </c>
      <c r="W672" s="65"/>
      <c r="X672" s="65"/>
      <c r="Z672" s="65"/>
      <c r="AC672" s="65"/>
      <c r="AD672" s="92"/>
      <c r="AE672" s="124"/>
      <c r="AF672" s="65"/>
      <c r="AG672" s="91"/>
      <c r="AH672" s="212" t="str">
        <f t="shared" si="317"/>
        <v>2010</v>
      </c>
      <c r="AI672" s="214" t="str">
        <f t="shared" si="312"/>
        <v/>
      </c>
      <c r="AJ672" s="214" t="str">
        <f t="shared" si="313"/>
        <v/>
      </c>
      <c r="AK672" s="214" t="str">
        <f t="shared" si="314"/>
        <v/>
      </c>
      <c r="AL672" s="214" t="str">
        <f t="shared" si="315"/>
        <v/>
      </c>
      <c r="AM672" s="214" t="str">
        <f t="shared" si="316"/>
        <v/>
      </c>
      <c r="AN672" s="213" t="str">
        <f t="shared" si="299"/>
        <v>2010</v>
      </c>
      <c r="AO672" s="213" t="str">
        <f t="shared" si="300"/>
        <v>2010</v>
      </c>
      <c r="AP672" s="213" t="str">
        <f t="shared" si="301"/>
        <v>2010</v>
      </c>
      <c r="AQ672" s="215" t="str">
        <f t="shared" si="302"/>
        <v/>
      </c>
      <c r="AR672" s="216" t="str">
        <f t="shared" si="303"/>
        <v>BiK82a1K10y-04</v>
      </c>
      <c r="AS672" s="215" t="str">
        <f t="shared" si="304"/>
        <v/>
      </c>
      <c r="AT672">
        <f t="shared" si="305"/>
        <v>14</v>
      </c>
      <c r="AU672" s="216" t="str">
        <f t="shared" si="306"/>
        <v>0,15-0,5 MW, Bonusregeln a1, y und K erstmals 2010</v>
      </c>
      <c r="AV672" s="215" t="str">
        <f t="shared" si="307"/>
        <v/>
      </c>
      <c r="AW672" s="216" t="str">
        <f t="shared" si="308"/>
        <v>Anteil KWK, erstmals 2010</v>
      </c>
      <c r="AX672" s="215" t="str">
        <f t="shared" si="309"/>
        <v/>
      </c>
      <c r="AY672" t="str">
        <f t="shared" si="310"/>
        <v/>
      </c>
      <c r="AZ672" t="str">
        <f t="shared" si="311"/>
        <v/>
      </c>
    </row>
    <row r="673" spans="1:52" x14ac:dyDescent="0.25">
      <c r="A673" s="610" t="s">
        <v>5270</v>
      </c>
      <c r="B673" s="17" t="s">
        <v>5548</v>
      </c>
      <c r="C673" s="17" t="s">
        <v>4809</v>
      </c>
      <c r="D673" s="30" t="s">
        <v>7116</v>
      </c>
      <c r="E673" s="30" t="s">
        <v>3055</v>
      </c>
      <c r="F673" s="454">
        <f t="shared" si="318"/>
        <v>19.84</v>
      </c>
      <c r="G673" s="529">
        <v>19.84</v>
      </c>
      <c r="H673" s="487">
        <f t="shared" si="319"/>
        <v>15.87</v>
      </c>
      <c r="I673" s="706"/>
      <c r="J673" s="669" t="s">
        <v>5805</v>
      </c>
      <c r="K673" s="15"/>
      <c r="M673" s="49">
        <f t="shared" si="320"/>
        <v>19.84</v>
      </c>
      <c r="N673" s="41">
        <v>9.9</v>
      </c>
      <c r="O673" s="54"/>
      <c r="P673" s="15"/>
      <c r="S673" t="s">
        <v>1017</v>
      </c>
      <c r="T673" t="s">
        <v>4180</v>
      </c>
      <c r="U673" s="55" t="s">
        <v>1017</v>
      </c>
      <c r="V673" t="s">
        <v>1017</v>
      </c>
      <c r="W673" s="65"/>
      <c r="X673" s="65"/>
      <c r="Z673" s="65"/>
      <c r="AC673" s="65"/>
      <c r="AD673" s="92"/>
      <c r="AE673" s="124"/>
      <c r="AF673" s="65"/>
      <c r="AG673" s="91"/>
      <c r="AH673" s="212" t="str">
        <f t="shared" si="317"/>
        <v>2011</v>
      </c>
      <c r="AI673" s="214" t="str">
        <f t="shared" si="312"/>
        <v/>
      </c>
      <c r="AJ673" s="214" t="str">
        <f t="shared" si="313"/>
        <v/>
      </c>
      <c r="AK673" s="214" t="str">
        <f t="shared" si="314"/>
        <v/>
      </c>
      <c r="AL673" s="214" t="str">
        <f t="shared" si="315"/>
        <v/>
      </c>
      <c r="AM673" s="214" t="str">
        <f t="shared" si="316"/>
        <v/>
      </c>
      <c r="AN673" s="213" t="str">
        <f t="shared" si="299"/>
        <v>2011</v>
      </c>
      <c r="AO673" s="213" t="str">
        <f t="shared" si="300"/>
        <v>2011</v>
      </c>
      <c r="AP673" s="213" t="str">
        <f t="shared" si="301"/>
        <v>2011</v>
      </c>
      <c r="AQ673" s="215" t="str">
        <f t="shared" si="302"/>
        <v/>
      </c>
      <c r="AR673" s="216" t="str">
        <f t="shared" si="303"/>
        <v>BiK82a1K11y-04</v>
      </c>
      <c r="AS673" s="215" t="str">
        <f t="shared" si="304"/>
        <v/>
      </c>
      <c r="AT673">
        <f t="shared" si="305"/>
        <v>14</v>
      </c>
      <c r="AU673" s="216" t="str">
        <f t="shared" si="306"/>
        <v>0,15-0,5 MW, Bonusregeln a1, y und K erstmals 2011</v>
      </c>
      <c r="AV673" s="215" t="str">
        <f t="shared" si="307"/>
        <v/>
      </c>
      <c r="AW673" s="216" t="str">
        <f t="shared" si="308"/>
        <v>Anteil KWK, erstmals 2011</v>
      </c>
      <c r="AX673" s="215" t="str">
        <f t="shared" si="309"/>
        <v/>
      </c>
      <c r="AY673" t="str">
        <f t="shared" si="310"/>
        <v>x</v>
      </c>
      <c r="AZ673" t="str">
        <f t="shared" si="311"/>
        <v/>
      </c>
    </row>
    <row r="674" spans="1:52" x14ac:dyDescent="0.25">
      <c r="A674" s="625" t="s">
        <v>1520</v>
      </c>
      <c r="B674" s="221" t="s">
        <v>5548</v>
      </c>
      <c r="C674" s="221" t="s">
        <v>4809</v>
      </c>
      <c r="D674" s="219" t="s">
        <v>7117</v>
      </c>
      <c r="E674" s="219" t="s">
        <v>1980</v>
      </c>
      <c r="F674" s="455">
        <f t="shared" si="318"/>
        <v>19.810000000000002</v>
      </c>
      <c r="G674" s="530">
        <v>19.810000000000002</v>
      </c>
      <c r="H674" s="488">
        <f t="shared" si="319"/>
        <v>15.85</v>
      </c>
      <c r="I674" s="707"/>
      <c r="J674" s="669" t="s">
        <v>5805</v>
      </c>
      <c r="K674" s="15"/>
      <c r="M674" s="49">
        <f t="shared" si="320"/>
        <v>19.810000000000002</v>
      </c>
      <c r="N674" s="41">
        <v>9.9</v>
      </c>
      <c r="O674" s="54"/>
      <c r="P674" s="15"/>
      <c r="S674" t="s">
        <v>4180</v>
      </c>
      <c r="T674" t="s">
        <v>1017</v>
      </c>
      <c r="U674" s="55" t="s">
        <v>1017</v>
      </c>
      <c r="V674" t="s">
        <v>1017</v>
      </c>
      <c r="W674" s="65"/>
      <c r="X674" s="65"/>
      <c r="Z674" s="65"/>
      <c r="AC674" s="65"/>
      <c r="AD674" s="92"/>
      <c r="AE674" s="124"/>
      <c r="AF674" s="65"/>
      <c r="AG674" s="91"/>
      <c r="AH674" s="217" t="s">
        <v>4179</v>
      </c>
      <c r="AI674" s="214" t="str">
        <f t="shared" si="312"/>
        <v/>
      </c>
      <c r="AJ674" s="214" t="str">
        <f t="shared" si="313"/>
        <v/>
      </c>
      <c r="AK674" s="214" t="str">
        <f t="shared" si="314"/>
        <v/>
      </c>
      <c r="AL674" s="214" t="str">
        <f t="shared" si="315"/>
        <v/>
      </c>
      <c r="AM674" s="214" t="str">
        <f t="shared" si="316"/>
        <v/>
      </c>
      <c r="AN674" s="213" t="str">
        <f t="shared" si="299"/>
        <v>2012</v>
      </c>
      <c r="AO674" s="213" t="str">
        <f t="shared" si="300"/>
        <v>2012</v>
      </c>
      <c r="AP674" s="213" t="str">
        <f t="shared" si="301"/>
        <v>2012</v>
      </c>
      <c r="AQ674" s="215" t="str">
        <f t="shared" si="302"/>
        <v/>
      </c>
      <c r="AR674" s="216" t="str">
        <f t="shared" si="303"/>
        <v>BiK82a1K12y-04</v>
      </c>
      <c r="AS674" s="215" t="str">
        <f t="shared" si="304"/>
        <v/>
      </c>
      <c r="AT674">
        <f t="shared" si="305"/>
        <v>14</v>
      </c>
      <c r="AU674" s="216" t="str">
        <f t="shared" si="306"/>
        <v>0,15-0,5 MW, Bonusregeln a1, y und K erstmals 2012</v>
      </c>
      <c r="AV674" s="215" t="str">
        <f t="shared" si="307"/>
        <v/>
      </c>
      <c r="AW674" s="216" t="str">
        <f t="shared" si="308"/>
        <v>Anteil KWK, erstmals 2012</v>
      </c>
      <c r="AX674" s="215" t="str">
        <f t="shared" si="309"/>
        <v/>
      </c>
      <c r="AY674" t="str">
        <f t="shared" si="310"/>
        <v/>
      </c>
      <c r="AZ674" t="str">
        <f t="shared" si="311"/>
        <v>x</v>
      </c>
    </row>
    <row r="675" spans="1:52" x14ac:dyDescent="0.25">
      <c r="A675" s="610" t="s">
        <v>2377</v>
      </c>
      <c r="B675" s="30" t="s">
        <v>5548</v>
      </c>
      <c r="C675" s="30" t="s">
        <v>4809</v>
      </c>
      <c r="D675" s="30" t="s">
        <v>7034</v>
      </c>
      <c r="E675" s="30" t="s">
        <v>4810</v>
      </c>
      <c r="F675" s="454">
        <f t="shared" si="318"/>
        <v>16.899999999999999</v>
      </c>
      <c r="G675" s="529">
        <v>16.899999999999999</v>
      </c>
      <c r="H675" s="487">
        <f t="shared" si="319"/>
        <v>13.52</v>
      </c>
      <c r="I675" s="706"/>
      <c r="J675" s="669" t="s">
        <v>5805</v>
      </c>
      <c r="K675" s="15"/>
      <c r="M675" s="49">
        <f t="shared" si="320"/>
        <v>16.899999999999999</v>
      </c>
      <c r="N675" s="41">
        <v>9.9</v>
      </c>
      <c r="O675" s="186"/>
      <c r="P675" s="177"/>
      <c r="Q675" s="178"/>
      <c r="R675" s="178"/>
      <c r="S675" s="178" t="s">
        <v>4180</v>
      </c>
      <c r="T675" t="s">
        <v>4180</v>
      </c>
      <c r="U675" s="179"/>
      <c r="V675" s="178"/>
      <c r="W675" s="180"/>
      <c r="X675" s="180"/>
      <c r="Y675" s="178" t="s">
        <v>1017</v>
      </c>
      <c r="Z675" s="180"/>
      <c r="AA675" s="178"/>
      <c r="AB675" s="178"/>
      <c r="AC675" s="180"/>
      <c r="AD675" s="182"/>
      <c r="AE675" s="200"/>
      <c r="AF675" s="180"/>
      <c r="AG675" s="201"/>
      <c r="AH675" s="212" t="str">
        <f t="shared" ref="AH675:AH680" si="321">IF(ISERROR(SEARCH("K erstmals 201",D675)),"",RIGHT(D675,4))</f>
        <v/>
      </c>
      <c r="AI675" s="214" t="str">
        <f t="shared" si="312"/>
        <v/>
      </c>
      <c r="AJ675" s="214" t="str">
        <f t="shared" si="313"/>
        <v/>
      </c>
      <c r="AK675" s="214" t="str">
        <f t="shared" si="314"/>
        <v/>
      </c>
      <c r="AL675" s="214" t="str">
        <f t="shared" si="315"/>
        <v/>
      </c>
      <c r="AM675" s="214" t="str">
        <f t="shared" si="316"/>
        <v/>
      </c>
      <c r="AN675" s="213" t="str">
        <f t="shared" si="299"/>
        <v/>
      </c>
      <c r="AO675" s="213" t="str">
        <f t="shared" si="300"/>
        <v/>
      </c>
      <c r="AP675" s="213" t="str">
        <f t="shared" si="301"/>
        <v/>
      </c>
      <c r="AQ675" s="215" t="str">
        <f t="shared" si="302"/>
        <v/>
      </c>
      <c r="AR675" s="216" t="str">
        <f t="shared" si="303"/>
        <v>BiK82G------04</v>
      </c>
      <c r="AS675" s="215" t="str">
        <f t="shared" si="304"/>
        <v/>
      </c>
      <c r="AT675">
        <f t="shared" si="305"/>
        <v>14</v>
      </c>
      <c r="AU675" s="216" t="str">
        <f t="shared" si="306"/>
        <v>0,15-0,5 MW, Bonusregel G</v>
      </c>
      <c r="AV675" s="215" t="str">
        <f t="shared" si="307"/>
        <v/>
      </c>
      <c r="AW675" s="216" t="str">
        <f t="shared" si="308"/>
        <v>Anteil Nicht-KWK</v>
      </c>
      <c r="AX675" s="215" t="str">
        <f t="shared" si="309"/>
        <v/>
      </c>
      <c r="AY675" t="str">
        <f t="shared" si="310"/>
        <v/>
      </c>
      <c r="AZ675" t="str">
        <f t="shared" si="311"/>
        <v/>
      </c>
    </row>
    <row r="676" spans="1:52" x14ac:dyDescent="0.25">
      <c r="A676" s="610" t="s">
        <v>4276</v>
      </c>
      <c r="B676" s="30" t="s">
        <v>5548</v>
      </c>
      <c r="C676" s="30" t="s">
        <v>4809</v>
      </c>
      <c r="D676" s="30" t="s">
        <v>7118</v>
      </c>
      <c r="E676" s="30" t="s">
        <v>4812</v>
      </c>
      <c r="F676" s="454">
        <f t="shared" si="318"/>
        <v>18.899999999999999</v>
      </c>
      <c r="G676" s="529">
        <v>18.899999999999999</v>
      </c>
      <c r="H676" s="487">
        <f t="shared" si="319"/>
        <v>15.12</v>
      </c>
      <c r="I676" s="706"/>
      <c r="J676" s="669" t="s">
        <v>5805</v>
      </c>
      <c r="K676" s="15"/>
      <c r="M676" s="49">
        <f t="shared" si="320"/>
        <v>18.899999999999999</v>
      </c>
      <c r="N676" s="41">
        <v>9.9</v>
      </c>
      <c r="O676" s="186" t="s">
        <v>1017</v>
      </c>
      <c r="P676" s="177"/>
      <c r="Q676" s="178"/>
      <c r="R676" s="178"/>
      <c r="S676" s="178" t="s">
        <v>4180</v>
      </c>
      <c r="T676" t="s">
        <v>4180</v>
      </c>
      <c r="U676" s="179"/>
      <c r="V676" s="178"/>
      <c r="W676" s="180"/>
      <c r="X676" s="180"/>
      <c r="Y676" s="178" t="s">
        <v>1017</v>
      </c>
      <c r="Z676" s="180"/>
      <c r="AA676" s="178"/>
      <c r="AB676" s="178"/>
      <c r="AC676" s="180"/>
      <c r="AD676" s="182"/>
      <c r="AE676" s="200"/>
      <c r="AF676" s="180"/>
      <c r="AG676" s="201"/>
      <c r="AH676" s="212" t="str">
        <f t="shared" si="321"/>
        <v/>
      </c>
      <c r="AI676" s="214" t="str">
        <f t="shared" si="312"/>
        <v/>
      </c>
      <c r="AJ676" s="214" t="str">
        <f t="shared" si="313"/>
        <v/>
      </c>
      <c r="AK676" s="214" t="str">
        <f t="shared" si="314"/>
        <v/>
      </c>
      <c r="AL676" s="214" t="str">
        <f t="shared" si="315"/>
        <v/>
      </c>
      <c r="AM676" s="214" t="str">
        <f t="shared" si="316"/>
        <v/>
      </c>
      <c r="AN676" s="213" t="str">
        <f t="shared" si="299"/>
        <v/>
      </c>
      <c r="AO676" s="213" t="str">
        <f t="shared" si="300"/>
        <v/>
      </c>
      <c r="AP676" s="213" t="str">
        <f t="shared" si="301"/>
        <v/>
      </c>
      <c r="AQ676" s="215" t="str">
        <f t="shared" si="302"/>
        <v/>
      </c>
      <c r="AR676" s="216" t="str">
        <f t="shared" si="303"/>
        <v>BiK82GKWK---04</v>
      </c>
      <c r="AS676" s="215" t="str">
        <f t="shared" si="304"/>
        <v/>
      </c>
      <c r="AT676">
        <f t="shared" si="305"/>
        <v>14</v>
      </c>
      <c r="AU676" s="216" t="str">
        <f t="shared" si="306"/>
        <v>0,15-0,5 MW, Bonusregeln G und KWK</v>
      </c>
      <c r="AV676" s="215" t="str">
        <f t="shared" si="307"/>
        <v/>
      </c>
      <c r="AW676" s="216" t="str">
        <f t="shared" si="308"/>
        <v>Anteil KWK</v>
      </c>
      <c r="AX676" s="215" t="str">
        <f t="shared" si="309"/>
        <v/>
      </c>
      <c r="AY676" t="str">
        <f t="shared" si="310"/>
        <v/>
      </c>
      <c r="AZ676" t="str">
        <f t="shared" si="311"/>
        <v/>
      </c>
    </row>
    <row r="677" spans="1:52" x14ac:dyDescent="0.25">
      <c r="A677" s="610" t="s">
        <v>4277</v>
      </c>
      <c r="B677" s="30" t="s">
        <v>5548</v>
      </c>
      <c r="C677" s="30" t="s">
        <v>4809</v>
      </c>
      <c r="D677" s="30" t="s">
        <v>7035</v>
      </c>
      <c r="E677" s="30" t="s">
        <v>4331</v>
      </c>
      <c r="F677" s="454">
        <f t="shared" si="318"/>
        <v>19.899999999999999</v>
      </c>
      <c r="G677" s="529">
        <v>19.899999999999999</v>
      </c>
      <c r="H677" s="487">
        <f t="shared" si="319"/>
        <v>15.92</v>
      </c>
      <c r="I677" s="706"/>
      <c r="J677" s="669" t="s">
        <v>5805</v>
      </c>
      <c r="K677" s="15"/>
      <c r="M677" s="49">
        <f t="shared" si="320"/>
        <v>19.899999999999999</v>
      </c>
      <c r="N677" s="41">
        <v>9.9</v>
      </c>
      <c r="O677" s="186"/>
      <c r="P677" s="178" t="s">
        <v>1017</v>
      </c>
      <c r="Q677" s="178"/>
      <c r="R677" s="178"/>
      <c r="S677" s="178" t="s">
        <v>4180</v>
      </c>
      <c r="T677" t="s">
        <v>4180</v>
      </c>
      <c r="U677" s="179"/>
      <c r="V677" s="178"/>
      <c r="W677" s="180"/>
      <c r="X677" s="180"/>
      <c r="Y677" s="178" t="s">
        <v>1017</v>
      </c>
      <c r="Z677" s="180"/>
      <c r="AA677" s="178"/>
      <c r="AB677" s="178"/>
      <c r="AC677" s="180"/>
      <c r="AD677" s="182"/>
      <c r="AE677" s="200"/>
      <c r="AF677" s="180"/>
      <c r="AG677" s="201"/>
      <c r="AH677" s="212" t="str">
        <f t="shared" si="321"/>
        <v/>
      </c>
      <c r="AI677" s="214" t="str">
        <f t="shared" si="312"/>
        <v/>
      </c>
      <c r="AJ677" s="214" t="str">
        <f t="shared" si="313"/>
        <v/>
      </c>
      <c r="AK677" s="214" t="str">
        <f t="shared" si="314"/>
        <v/>
      </c>
      <c r="AL677" s="214" t="str">
        <f t="shared" si="315"/>
        <v/>
      </c>
      <c r="AM677" s="214" t="str">
        <f t="shared" si="316"/>
        <v/>
      </c>
      <c r="AN677" s="213" t="str">
        <f t="shared" si="299"/>
        <v/>
      </c>
      <c r="AO677" s="213" t="str">
        <f t="shared" si="300"/>
        <v/>
      </c>
      <c r="AP677" s="213" t="str">
        <f t="shared" si="301"/>
        <v/>
      </c>
      <c r="AQ677" s="215" t="str">
        <f t="shared" si="302"/>
        <v/>
      </c>
      <c r="AR677" s="216" t="str">
        <f t="shared" si="303"/>
        <v>BiK82GKA3---04</v>
      </c>
      <c r="AS677" s="215" t="str">
        <f t="shared" si="304"/>
        <v/>
      </c>
      <c r="AT677">
        <f t="shared" si="305"/>
        <v>14</v>
      </c>
      <c r="AU677" s="216" t="str">
        <f t="shared" si="306"/>
        <v>0,15-0,5 MW, Bonusregeln G und K wenn Anlage 3 erfüllt</v>
      </c>
      <c r="AV677" s="215" t="str">
        <f t="shared" si="307"/>
        <v/>
      </c>
      <c r="AW677" s="216" t="str">
        <f t="shared" si="308"/>
        <v>Anteil KWK gemäß Anlage 3</v>
      </c>
      <c r="AX677" s="215" t="str">
        <f t="shared" si="309"/>
        <v/>
      </c>
      <c r="AY677" t="str">
        <f t="shared" si="310"/>
        <v/>
      </c>
      <c r="AZ677" t="str">
        <f t="shared" si="311"/>
        <v/>
      </c>
    </row>
    <row r="678" spans="1:52" x14ac:dyDescent="0.25">
      <c r="A678" s="610" t="s">
        <v>4278</v>
      </c>
      <c r="B678" s="30" t="s">
        <v>5548</v>
      </c>
      <c r="C678" s="30" t="s">
        <v>4809</v>
      </c>
      <c r="D678" s="30" t="s">
        <v>7036</v>
      </c>
      <c r="E678" s="30" t="s">
        <v>674</v>
      </c>
      <c r="F678" s="454">
        <f t="shared" si="318"/>
        <v>19.899999999999999</v>
      </c>
      <c r="G678" s="529">
        <v>19.899999999999999</v>
      </c>
      <c r="H678" s="487">
        <f t="shared" si="319"/>
        <v>15.92</v>
      </c>
      <c r="I678" s="706"/>
      <c r="J678" s="669" t="s">
        <v>5805</v>
      </c>
      <c r="K678" s="15"/>
      <c r="M678" s="49">
        <f t="shared" si="320"/>
        <v>19.899999999999999</v>
      </c>
      <c r="N678" s="41">
        <v>9.9</v>
      </c>
      <c r="O678" s="186"/>
      <c r="P678" s="177"/>
      <c r="Q678" s="178" t="s">
        <v>1017</v>
      </c>
      <c r="R678" s="178"/>
      <c r="S678" s="178" t="s">
        <v>4180</v>
      </c>
      <c r="T678" t="s">
        <v>4180</v>
      </c>
      <c r="U678" s="179"/>
      <c r="V678" s="178"/>
      <c r="W678" s="180"/>
      <c r="X678" s="180"/>
      <c r="Y678" s="178" t="s">
        <v>1017</v>
      </c>
      <c r="Z678" s="180"/>
      <c r="AA678" s="178"/>
      <c r="AB678" s="178"/>
      <c r="AC678" s="180"/>
      <c r="AD678" s="182"/>
      <c r="AE678" s="200"/>
      <c r="AF678" s="180"/>
      <c r="AG678" s="201"/>
      <c r="AH678" s="212" t="str">
        <f t="shared" si="321"/>
        <v/>
      </c>
      <c r="AI678" s="214" t="str">
        <f t="shared" si="312"/>
        <v/>
      </c>
      <c r="AJ678" s="214" t="str">
        <f t="shared" si="313"/>
        <v/>
      </c>
      <c r="AK678" s="214" t="str">
        <f t="shared" si="314"/>
        <v/>
      </c>
      <c r="AL678" s="214" t="str">
        <f t="shared" si="315"/>
        <v/>
      </c>
      <c r="AM678" s="214" t="str">
        <f t="shared" si="316"/>
        <v/>
      </c>
      <c r="AN678" s="213" t="str">
        <f t="shared" si="299"/>
        <v/>
      </c>
      <c r="AO678" s="213" t="str">
        <f t="shared" si="300"/>
        <v/>
      </c>
      <c r="AP678" s="213" t="str">
        <f t="shared" si="301"/>
        <v/>
      </c>
      <c r="AQ678" s="215" t="str">
        <f t="shared" si="302"/>
        <v/>
      </c>
      <c r="AR678" s="216" t="str">
        <f t="shared" si="303"/>
        <v>BiK82GK09---04</v>
      </c>
      <c r="AS678" s="215" t="str">
        <f t="shared" si="304"/>
        <v/>
      </c>
      <c r="AT678">
        <f t="shared" si="305"/>
        <v>14</v>
      </c>
      <c r="AU678" s="216" t="str">
        <f t="shared" si="306"/>
        <v>0,15-0,5 MW, Bonusregeln G und K erstmals 2009</v>
      </c>
      <c r="AV678" s="215" t="str">
        <f t="shared" si="307"/>
        <v/>
      </c>
      <c r="AW678" s="216" t="str">
        <f t="shared" si="308"/>
        <v>Anteil KWK, erstmals 2009</v>
      </c>
      <c r="AX678" s="215" t="str">
        <f t="shared" si="309"/>
        <v/>
      </c>
      <c r="AY678" t="str">
        <f t="shared" si="310"/>
        <v/>
      </c>
      <c r="AZ678" t="str">
        <f t="shared" si="311"/>
        <v/>
      </c>
    </row>
    <row r="679" spans="1:52" x14ac:dyDescent="0.25">
      <c r="A679" s="610" t="s">
        <v>1449</v>
      </c>
      <c r="B679" s="30" t="s">
        <v>5548</v>
      </c>
      <c r="C679" s="30" t="s">
        <v>4809</v>
      </c>
      <c r="D679" s="30" t="s">
        <v>7037</v>
      </c>
      <c r="E679" s="30" t="s">
        <v>3567</v>
      </c>
      <c r="F679" s="454">
        <f t="shared" si="318"/>
        <v>19.87</v>
      </c>
      <c r="G679" s="529">
        <v>19.87</v>
      </c>
      <c r="H679" s="487">
        <f t="shared" si="319"/>
        <v>15.9</v>
      </c>
      <c r="I679" s="706"/>
      <c r="J679" s="669" t="s">
        <v>5805</v>
      </c>
      <c r="K679" s="15"/>
      <c r="M679" s="49">
        <f t="shared" si="320"/>
        <v>19.87</v>
      </c>
      <c r="N679" s="41">
        <v>9.9</v>
      </c>
      <c r="O679" s="186"/>
      <c r="P679" s="177"/>
      <c r="Q679" s="178"/>
      <c r="R679" s="178" t="s">
        <v>1017</v>
      </c>
      <c r="S679" s="178" t="s">
        <v>4180</v>
      </c>
      <c r="T679" t="s">
        <v>4180</v>
      </c>
      <c r="U679" s="179"/>
      <c r="V679" s="178"/>
      <c r="W679" s="180"/>
      <c r="X679" s="180"/>
      <c r="Y679" s="178" t="s">
        <v>1017</v>
      </c>
      <c r="Z679" s="180"/>
      <c r="AA679" s="178"/>
      <c r="AB679" s="178"/>
      <c r="AC679" s="180"/>
      <c r="AD679" s="182"/>
      <c r="AE679" s="200"/>
      <c r="AF679" s="180"/>
      <c r="AG679" s="201"/>
      <c r="AH679" s="212" t="str">
        <f t="shared" si="321"/>
        <v>2010</v>
      </c>
      <c r="AI679" s="214" t="str">
        <f t="shared" si="312"/>
        <v/>
      </c>
      <c r="AJ679" s="214" t="str">
        <f t="shared" si="313"/>
        <v/>
      </c>
      <c r="AK679" s="214" t="str">
        <f t="shared" si="314"/>
        <v/>
      </c>
      <c r="AL679" s="214" t="str">
        <f t="shared" si="315"/>
        <v/>
      </c>
      <c r="AM679" s="214" t="str">
        <f t="shared" si="316"/>
        <v/>
      </c>
      <c r="AN679" s="213" t="str">
        <f t="shared" si="299"/>
        <v>2010</v>
      </c>
      <c r="AO679" s="213" t="str">
        <f t="shared" si="300"/>
        <v>2010</v>
      </c>
      <c r="AP679" s="213" t="str">
        <f t="shared" si="301"/>
        <v>2010</v>
      </c>
      <c r="AQ679" s="215" t="str">
        <f t="shared" si="302"/>
        <v/>
      </c>
      <c r="AR679" s="216" t="str">
        <f t="shared" si="303"/>
        <v>BiK82GK10---04</v>
      </c>
      <c r="AS679" s="215" t="str">
        <f t="shared" si="304"/>
        <v/>
      </c>
      <c r="AT679">
        <f t="shared" si="305"/>
        <v>14</v>
      </c>
      <c r="AU679" s="216" t="str">
        <f t="shared" si="306"/>
        <v>0,15-0,5 MW, Bonusregeln G und K erstmals 2010</v>
      </c>
      <c r="AV679" s="215" t="str">
        <f t="shared" si="307"/>
        <v/>
      </c>
      <c r="AW679" s="216" t="str">
        <f t="shared" si="308"/>
        <v>Anteil KWK, erstmals 2010</v>
      </c>
      <c r="AX679" s="215" t="str">
        <f t="shared" si="309"/>
        <v/>
      </c>
      <c r="AY679" t="str">
        <f t="shared" si="310"/>
        <v/>
      </c>
      <c r="AZ679" t="str">
        <f t="shared" si="311"/>
        <v/>
      </c>
    </row>
    <row r="680" spans="1:52" x14ac:dyDescent="0.25">
      <c r="A680" s="610" t="s">
        <v>5271</v>
      </c>
      <c r="B680" s="30" t="s">
        <v>5548</v>
      </c>
      <c r="C680" s="30" t="s">
        <v>4809</v>
      </c>
      <c r="D680" s="30" t="s">
        <v>7038</v>
      </c>
      <c r="E680" s="30" t="s">
        <v>3055</v>
      </c>
      <c r="F680" s="454">
        <f t="shared" si="318"/>
        <v>19.84</v>
      </c>
      <c r="G680" s="529">
        <v>19.84</v>
      </c>
      <c r="H680" s="487">
        <f t="shared" si="319"/>
        <v>15.87</v>
      </c>
      <c r="I680" s="706"/>
      <c r="J680" s="669" t="s">
        <v>5805</v>
      </c>
      <c r="K680" s="15"/>
      <c r="M680" s="49">
        <f t="shared" si="320"/>
        <v>19.84</v>
      </c>
      <c r="N680" s="41">
        <v>9.9</v>
      </c>
      <c r="O680" s="186"/>
      <c r="P680" s="177"/>
      <c r="Q680" s="178"/>
      <c r="R680" s="178"/>
      <c r="S680" s="178" t="s">
        <v>1017</v>
      </c>
      <c r="T680" t="s">
        <v>4180</v>
      </c>
      <c r="U680" s="179"/>
      <c r="V680" s="178"/>
      <c r="W680" s="180"/>
      <c r="X680" s="180"/>
      <c r="Y680" s="178" t="s">
        <v>1017</v>
      </c>
      <c r="Z680" s="180"/>
      <c r="AA680" s="178"/>
      <c r="AB680" s="178"/>
      <c r="AC680" s="180"/>
      <c r="AD680" s="182"/>
      <c r="AE680" s="200"/>
      <c r="AF680" s="180"/>
      <c r="AG680" s="201"/>
      <c r="AH680" s="212" t="str">
        <f t="shared" si="321"/>
        <v>2011</v>
      </c>
      <c r="AI680" s="214" t="str">
        <f t="shared" si="312"/>
        <v/>
      </c>
      <c r="AJ680" s="214" t="str">
        <f t="shared" si="313"/>
        <v/>
      </c>
      <c r="AK680" s="214" t="str">
        <f t="shared" si="314"/>
        <v/>
      </c>
      <c r="AL680" s="214" t="str">
        <f t="shared" si="315"/>
        <v/>
      </c>
      <c r="AM680" s="214" t="str">
        <f t="shared" si="316"/>
        <v/>
      </c>
      <c r="AN680" s="213" t="str">
        <f t="shared" si="299"/>
        <v>2011</v>
      </c>
      <c r="AO680" s="213" t="str">
        <f t="shared" si="300"/>
        <v>2011</v>
      </c>
      <c r="AP680" s="213" t="str">
        <f t="shared" si="301"/>
        <v>2011</v>
      </c>
      <c r="AQ680" s="215" t="str">
        <f t="shared" si="302"/>
        <v/>
      </c>
      <c r="AR680" s="216" t="str">
        <f t="shared" si="303"/>
        <v>BiK82GK11---04</v>
      </c>
      <c r="AS680" s="215" t="str">
        <f t="shared" si="304"/>
        <v/>
      </c>
      <c r="AT680">
        <f t="shared" si="305"/>
        <v>14</v>
      </c>
      <c r="AU680" s="216" t="str">
        <f t="shared" si="306"/>
        <v>0,15-0,5 MW, Bonusregeln G und K erstmals 2011</v>
      </c>
      <c r="AV680" s="215" t="str">
        <f t="shared" si="307"/>
        <v/>
      </c>
      <c r="AW680" s="216" t="str">
        <f t="shared" si="308"/>
        <v>Anteil KWK, erstmals 2011</v>
      </c>
      <c r="AX680" s="215" t="str">
        <f t="shared" si="309"/>
        <v/>
      </c>
      <c r="AY680" t="str">
        <f t="shared" si="310"/>
        <v>x</v>
      </c>
      <c r="AZ680" t="str">
        <f t="shared" si="311"/>
        <v/>
      </c>
    </row>
    <row r="681" spans="1:52" x14ac:dyDescent="0.25">
      <c r="A681" s="625" t="s">
        <v>1521</v>
      </c>
      <c r="B681" s="219" t="s">
        <v>5548</v>
      </c>
      <c r="C681" s="219" t="s">
        <v>4809</v>
      </c>
      <c r="D681" s="219" t="s">
        <v>7039</v>
      </c>
      <c r="E681" s="219" t="s">
        <v>1980</v>
      </c>
      <c r="F681" s="455">
        <f t="shared" si="318"/>
        <v>19.810000000000002</v>
      </c>
      <c r="G681" s="530">
        <v>19.810000000000002</v>
      </c>
      <c r="H681" s="488">
        <f t="shared" si="319"/>
        <v>15.85</v>
      </c>
      <c r="I681" s="707"/>
      <c r="J681" s="669" t="s">
        <v>5805</v>
      </c>
      <c r="K681" s="15"/>
      <c r="M681" s="49">
        <f t="shared" si="320"/>
        <v>19.810000000000002</v>
      </c>
      <c r="N681" s="41">
        <v>9.9</v>
      </c>
      <c r="O681" s="186"/>
      <c r="P681" s="177"/>
      <c r="Q681" s="178"/>
      <c r="R681" s="178"/>
      <c r="S681" s="178" t="s">
        <v>4180</v>
      </c>
      <c r="T681" t="s">
        <v>1017</v>
      </c>
      <c r="U681" s="179"/>
      <c r="V681" s="178"/>
      <c r="W681" s="180"/>
      <c r="X681" s="180"/>
      <c r="Y681" s="178" t="s">
        <v>1017</v>
      </c>
      <c r="Z681" s="180"/>
      <c r="AA681" s="178"/>
      <c r="AB681" s="178"/>
      <c r="AC681" s="180"/>
      <c r="AD681" s="182"/>
      <c r="AE681" s="200"/>
      <c r="AF681" s="180"/>
      <c r="AG681" s="201"/>
      <c r="AH681" s="217" t="s">
        <v>4179</v>
      </c>
      <c r="AI681" s="214" t="str">
        <f t="shared" si="312"/>
        <v/>
      </c>
      <c r="AJ681" s="214" t="str">
        <f t="shared" si="313"/>
        <v/>
      </c>
      <c r="AK681" s="214" t="str">
        <f t="shared" si="314"/>
        <v/>
      </c>
      <c r="AL681" s="214" t="str">
        <f t="shared" si="315"/>
        <v/>
      </c>
      <c r="AM681" s="214" t="str">
        <f t="shared" si="316"/>
        <v/>
      </c>
      <c r="AN681" s="213" t="str">
        <f t="shared" si="299"/>
        <v>2012</v>
      </c>
      <c r="AO681" s="213" t="str">
        <f t="shared" si="300"/>
        <v>2012</v>
      </c>
      <c r="AP681" s="213" t="str">
        <f t="shared" si="301"/>
        <v>2012</v>
      </c>
      <c r="AQ681" s="215" t="str">
        <f t="shared" si="302"/>
        <v/>
      </c>
      <c r="AR681" s="216" t="str">
        <f t="shared" si="303"/>
        <v>BiK82GK12---04</v>
      </c>
      <c r="AS681" s="215" t="str">
        <f t="shared" si="304"/>
        <v/>
      </c>
      <c r="AT681">
        <f t="shared" si="305"/>
        <v>14</v>
      </c>
      <c r="AU681" s="216" t="str">
        <f t="shared" si="306"/>
        <v>0,15-0,5 MW, Bonusregeln G und K erstmals 2012</v>
      </c>
      <c r="AV681" s="215" t="str">
        <f t="shared" si="307"/>
        <v/>
      </c>
      <c r="AW681" s="216" t="str">
        <f t="shared" si="308"/>
        <v>Anteil KWK, erstmals 2012</v>
      </c>
      <c r="AX681" s="215" t="str">
        <f t="shared" si="309"/>
        <v/>
      </c>
      <c r="AY681" t="str">
        <f t="shared" si="310"/>
        <v/>
      </c>
      <c r="AZ681" t="str">
        <f t="shared" si="311"/>
        <v>x</v>
      </c>
    </row>
    <row r="682" spans="1:52" x14ac:dyDescent="0.25">
      <c r="A682" s="610" t="s">
        <v>1959</v>
      </c>
      <c r="B682" s="30" t="s">
        <v>5548</v>
      </c>
      <c r="C682" s="30" t="s">
        <v>4809</v>
      </c>
      <c r="D682" s="30" t="s">
        <v>7040</v>
      </c>
      <c r="E682" s="30" t="s">
        <v>4810</v>
      </c>
      <c r="F682" s="454">
        <f t="shared" si="318"/>
        <v>17.899999999999999</v>
      </c>
      <c r="G682" s="529">
        <v>17.899999999999999</v>
      </c>
      <c r="H682" s="487">
        <f t="shared" si="319"/>
        <v>14.32</v>
      </c>
      <c r="I682" s="706"/>
      <c r="J682" s="669" t="s">
        <v>5805</v>
      </c>
      <c r="K682" s="15"/>
      <c r="M682" s="49">
        <f t="shared" si="320"/>
        <v>17.899999999999999</v>
      </c>
      <c r="N682" s="41">
        <v>9.9</v>
      </c>
      <c r="O682" s="187"/>
      <c r="P682" s="183"/>
      <c r="Q682" s="184"/>
      <c r="R682" s="184"/>
      <c r="S682" s="184" t="s">
        <v>4180</v>
      </c>
      <c r="T682" t="s">
        <v>4180</v>
      </c>
      <c r="U682" s="185" t="s">
        <v>1017</v>
      </c>
      <c r="V682" s="184"/>
      <c r="W682" s="180"/>
      <c r="X682" s="180"/>
      <c r="Y682" s="184" t="s">
        <v>1017</v>
      </c>
      <c r="Z682" s="180"/>
      <c r="AA682" s="184"/>
      <c r="AB682" s="184"/>
      <c r="AC682" s="180"/>
      <c r="AD682" s="182"/>
      <c r="AE682" s="181"/>
      <c r="AF682" s="180"/>
      <c r="AG682" s="201"/>
      <c r="AH682" s="212" t="str">
        <f t="shared" ref="AH682:AH687" si="322">IF(ISERROR(SEARCH("K erstmals 201",D682)),"",RIGHT(D682,4))</f>
        <v/>
      </c>
      <c r="AI682" s="214" t="str">
        <f t="shared" si="312"/>
        <v/>
      </c>
      <c r="AJ682" s="214" t="str">
        <f t="shared" si="313"/>
        <v/>
      </c>
      <c r="AK682" s="214" t="str">
        <f t="shared" si="314"/>
        <v/>
      </c>
      <c r="AL682" s="214" t="str">
        <f t="shared" si="315"/>
        <v/>
      </c>
      <c r="AM682" s="214" t="str">
        <f t="shared" si="316"/>
        <v/>
      </c>
      <c r="AN682" s="213" t="str">
        <f t="shared" si="299"/>
        <v/>
      </c>
      <c r="AO682" s="213" t="str">
        <f t="shared" si="300"/>
        <v/>
      </c>
      <c r="AP682" s="213" t="str">
        <f t="shared" si="301"/>
        <v/>
      </c>
      <c r="AQ682" s="215" t="str">
        <f t="shared" si="302"/>
        <v/>
      </c>
      <c r="AR682" s="216" t="str">
        <f t="shared" si="303"/>
        <v>BiK82Gy-----04</v>
      </c>
      <c r="AS682" s="215" t="str">
        <f t="shared" si="304"/>
        <v/>
      </c>
      <c r="AT682">
        <f t="shared" si="305"/>
        <v>14</v>
      </c>
      <c r="AU682" s="216" t="str">
        <f t="shared" si="306"/>
        <v>0,15-0,5 MW, Bonusregel G, y</v>
      </c>
      <c r="AV682" s="215" t="str">
        <f t="shared" si="307"/>
        <v/>
      </c>
      <c r="AW682" s="216" t="str">
        <f t="shared" si="308"/>
        <v>Anteil Nicht-KWK</v>
      </c>
      <c r="AX682" s="215" t="str">
        <f t="shared" si="309"/>
        <v/>
      </c>
      <c r="AY682" t="str">
        <f t="shared" si="310"/>
        <v/>
      </c>
      <c r="AZ682" t="str">
        <f t="shared" si="311"/>
        <v/>
      </c>
    </row>
    <row r="683" spans="1:52" x14ac:dyDescent="0.25">
      <c r="A683" s="610" t="s">
        <v>1960</v>
      </c>
      <c r="B683" s="30" t="s">
        <v>5548</v>
      </c>
      <c r="C683" s="30" t="s">
        <v>4809</v>
      </c>
      <c r="D683" s="30" t="s">
        <v>7119</v>
      </c>
      <c r="E683" s="30" t="s">
        <v>4812</v>
      </c>
      <c r="F683" s="454">
        <f t="shared" si="318"/>
        <v>19.899999999999999</v>
      </c>
      <c r="G683" s="529">
        <v>19.899999999999999</v>
      </c>
      <c r="H683" s="487">
        <f t="shared" si="319"/>
        <v>15.92</v>
      </c>
      <c r="I683" s="706"/>
      <c r="J683" s="669" t="s">
        <v>5805</v>
      </c>
      <c r="K683" s="15"/>
      <c r="M683" s="49">
        <f t="shared" si="320"/>
        <v>19.899999999999999</v>
      </c>
      <c r="N683" s="41">
        <v>9.9</v>
      </c>
      <c r="O683" s="187" t="s">
        <v>1017</v>
      </c>
      <c r="P683" s="183"/>
      <c r="Q683" s="184"/>
      <c r="R683" s="184"/>
      <c r="S683" s="184" t="s">
        <v>4180</v>
      </c>
      <c r="T683" t="s">
        <v>4180</v>
      </c>
      <c r="U683" s="185" t="s">
        <v>1017</v>
      </c>
      <c r="V683" s="184"/>
      <c r="W683" s="180"/>
      <c r="X683" s="180"/>
      <c r="Y683" s="184" t="s">
        <v>1017</v>
      </c>
      <c r="Z683" s="180"/>
      <c r="AA683" s="184"/>
      <c r="AB683" s="184"/>
      <c r="AC683" s="180"/>
      <c r="AD683" s="182"/>
      <c r="AE683" s="181"/>
      <c r="AF683" s="180"/>
      <c r="AG683" s="201"/>
      <c r="AH683" s="212" t="str">
        <f t="shared" si="322"/>
        <v/>
      </c>
      <c r="AI683" s="214" t="str">
        <f t="shared" si="312"/>
        <v/>
      </c>
      <c r="AJ683" s="214" t="str">
        <f t="shared" si="313"/>
        <v/>
      </c>
      <c r="AK683" s="214" t="str">
        <f t="shared" si="314"/>
        <v/>
      </c>
      <c r="AL683" s="214" t="str">
        <f t="shared" si="315"/>
        <v/>
      </c>
      <c r="AM683" s="214" t="str">
        <f t="shared" si="316"/>
        <v/>
      </c>
      <c r="AN683" s="213" t="str">
        <f t="shared" si="299"/>
        <v/>
      </c>
      <c r="AO683" s="213" t="str">
        <f t="shared" si="300"/>
        <v/>
      </c>
      <c r="AP683" s="213" t="str">
        <f t="shared" si="301"/>
        <v/>
      </c>
      <c r="AQ683" s="215" t="str">
        <f t="shared" si="302"/>
        <v/>
      </c>
      <c r="AR683" s="216" t="str">
        <f t="shared" si="303"/>
        <v>BiK82GKWKy--04</v>
      </c>
      <c r="AS683" s="215" t="str">
        <f t="shared" si="304"/>
        <v/>
      </c>
      <c r="AT683">
        <f t="shared" si="305"/>
        <v>14</v>
      </c>
      <c r="AU683" s="216" t="str">
        <f t="shared" si="306"/>
        <v>0,15-0,5 MW, Bonusregeln G, y und KWK</v>
      </c>
      <c r="AV683" s="215" t="str">
        <f t="shared" si="307"/>
        <v/>
      </c>
      <c r="AW683" s="216" t="str">
        <f t="shared" si="308"/>
        <v>Anteil KWK</v>
      </c>
      <c r="AX683" s="215" t="str">
        <f t="shared" si="309"/>
        <v/>
      </c>
      <c r="AY683" t="str">
        <f t="shared" si="310"/>
        <v/>
      </c>
      <c r="AZ683" t="str">
        <f t="shared" si="311"/>
        <v/>
      </c>
    </row>
    <row r="684" spans="1:52" x14ac:dyDescent="0.25">
      <c r="A684" s="610" t="s">
        <v>1961</v>
      </c>
      <c r="B684" s="30" t="s">
        <v>5548</v>
      </c>
      <c r="C684" s="30" t="s">
        <v>4809</v>
      </c>
      <c r="D684" s="109" t="s">
        <v>7041</v>
      </c>
      <c r="E684" s="30" t="s">
        <v>4331</v>
      </c>
      <c r="F684" s="454">
        <f t="shared" si="318"/>
        <v>20.9</v>
      </c>
      <c r="G684" s="529">
        <v>20.9</v>
      </c>
      <c r="H684" s="487">
        <f t="shared" si="319"/>
        <v>16.72</v>
      </c>
      <c r="I684" s="706"/>
      <c r="J684" s="669" t="s">
        <v>5805</v>
      </c>
      <c r="K684" s="15"/>
      <c r="M684" s="49">
        <f t="shared" si="320"/>
        <v>20.9</v>
      </c>
      <c r="N684" s="41">
        <v>9.9</v>
      </c>
      <c r="O684" s="187"/>
      <c r="P684" s="184" t="s">
        <v>1017</v>
      </c>
      <c r="Q684" s="184"/>
      <c r="R684" s="184"/>
      <c r="S684" s="184" t="s">
        <v>4180</v>
      </c>
      <c r="T684" t="s">
        <v>4180</v>
      </c>
      <c r="U684" s="185" t="s">
        <v>1017</v>
      </c>
      <c r="V684" s="184"/>
      <c r="W684" s="180"/>
      <c r="X684" s="180"/>
      <c r="Y684" s="184" t="s">
        <v>1017</v>
      </c>
      <c r="Z684" s="180"/>
      <c r="AA684" s="184"/>
      <c r="AB684" s="184"/>
      <c r="AC684" s="180"/>
      <c r="AD684" s="182"/>
      <c r="AE684" s="181"/>
      <c r="AF684" s="180"/>
      <c r="AG684" s="201"/>
      <c r="AH684" s="212" t="str">
        <f t="shared" si="322"/>
        <v/>
      </c>
      <c r="AI684" s="214" t="str">
        <f t="shared" si="312"/>
        <v/>
      </c>
      <c r="AJ684" s="214" t="str">
        <f t="shared" si="313"/>
        <v/>
      </c>
      <c r="AK684" s="214" t="str">
        <f t="shared" si="314"/>
        <v/>
      </c>
      <c r="AL684" s="214" t="str">
        <f t="shared" si="315"/>
        <v/>
      </c>
      <c r="AM684" s="214" t="str">
        <f t="shared" si="316"/>
        <v/>
      </c>
      <c r="AN684" s="213" t="str">
        <f t="shared" si="299"/>
        <v/>
      </c>
      <c r="AO684" s="213" t="str">
        <f t="shared" si="300"/>
        <v/>
      </c>
      <c r="AP684" s="213" t="str">
        <f t="shared" si="301"/>
        <v/>
      </c>
      <c r="AQ684" s="215" t="str">
        <f t="shared" si="302"/>
        <v/>
      </c>
      <c r="AR684" s="216" t="str">
        <f t="shared" si="303"/>
        <v>BiK82GKA3y--04</v>
      </c>
      <c r="AS684" s="215" t="str">
        <f t="shared" si="304"/>
        <v/>
      </c>
      <c r="AT684">
        <f t="shared" si="305"/>
        <v>14</v>
      </c>
      <c r="AU684" s="216" t="str">
        <f t="shared" si="306"/>
        <v>0,15-0,5 MW, Bonusregeln G, y und K wenn Anlage 3 erfüllt</v>
      </c>
      <c r="AV684" s="215" t="str">
        <f t="shared" si="307"/>
        <v/>
      </c>
      <c r="AW684" s="216" t="str">
        <f t="shared" si="308"/>
        <v>Anteil KWK gemäß Anlage 3</v>
      </c>
      <c r="AX684" s="215" t="str">
        <f t="shared" si="309"/>
        <v/>
      </c>
      <c r="AY684" t="str">
        <f t="shared" si="310"/>
        <v/>
      </c>
      <c r="AZ684" t="str">
        <f t="shared" si="311"/>
        <v/>
      </c>
    </row>
    <row r="685" spans="1:52" x14ac:dyDescent="0.25">
      <c r="A685" s="610" t="s">
        <v>1962</v>
      </c>
      <c r="B685" s="30" t="s">
        <v>5548</v>
      </c>
      <c r="C685" s="30" t="s">
        <v>4809</v>
      </c>
      <c r="D685" s="30" t="s">
        <v>7042</v>
      </c>
      <c r="E685" s="30" t="s">
        <v>674</v>
      </c>
      <c r="F685" s="454">
        <f t="shared" si="318"/>
        <v>20.9</v>
      </c>
      <c r="G685" s="529">
        <v>20.9</v>
      </c>
      <c r="H685" s="487">
        <f t="shared" si="319"/>
        <v>16.72</v>
      </c>
      <c r="I685" s="706"/>
      <c r="J685" s="669" t="s">
        <v>5805</v>
      </c>
      <c r="K685" s="15"/>
      <c r="M685" s="49">
        <f t="shared" si="320"/>
        <v>20.9</v>
      </c>
      <c r="N685" s="41">
        <v>9.9</v>
      </c>
      <c r="O685" s="187"/>
      <c r="P685" s="183"/>
      <c r="Q685" s="184" t="s">
        <v>1017</v>
      </c>
      <c r="R685" s="184"/>
      <c r="S685" s="184" t="s">
        <v>4180</v>
      </c>
      <c r="T685" t="s">
        <v>4180</v>
      </c>
      <c r="U685" s="185" t="s">
        <v>1017</v>
      </c>
      <c r="V685" s="184"/>
      <c r="W685" s="180"/>
      <c r="X685" s="180"/>
      <c r="Y685" s="184" t="s">
        <v>1017</v>
      </c>
      <c r="Z685" s="180"/>
      <c r="AA685" s="184"/>
      <c r="AB685" s="184"/>
      <c r="AC685" s="180"/>
      <c r="AD685" s="182"/>
      <c r="AE685" s="181"/>
      <c r="AF685" s="180"/>
      <c r="AG685" s="201"/>
      <c r="AH685" s="212" t="str">
        <f t="shared" si="322"/>
        <v/>
      </c>
      <c r="AI685" s="214" t="str">
        <f t="shared" si="312"/>
        <v/>
      </c>
      <c r="AJ685" s="214" t="str">
        <f t="shared" si="313"/>
        <v/>
      </c>
      <c r="AK685" s="214" t="str">
        <f t="shared" si="314"/>
        <v/>
      </c>
      <c r="AL685" s="214" t="str">
        <f t="shared" si="315"/>
        <v/>
      </c>
      <c r="AM685" s="214" t="str">
        <f t="shared" si="316"/>
        <v/>
      </c>
      <c r="AN685" s="213" t="str">
        <f t="shared" si="299"/>
        <v/>
      </c>
      <c r="AO685" s="213" t="str">
        <f t="shared" si="300"/>
        <v/>
      </c>
      <c r="AP685" s="213" t="str">
        <f t="shared" si="301"/>
        <v/>
      </c>
      <c r="AQ685" s="215" t="str">
        <f t="shared" si="302"/>
        <v/>
      </c>
      <c r="AR685" s="216" t="str">
        <f t="shared" si="303"/>
        <v>BiK82GK09y--04</v>
      </c>
      <c r="AS685" s="215" t="str">
        <f t="shared" si="304"/>
        <v/>
      </c>
      <c r="AT685">
        <f t="shared" si="305"/>
        <v>14</v>
      </c>
      <c r="AU685" s="216" t="str">
        <f t="shared" si="306"/>
        <v>0,15-0,5 MW, Bonusregeln G, y und K erstmals 2009</v>
      </c>
      <c r="AV685" s="215" t="str">
        <f t="shared" si="307"/>
        <v/>
      </c>
      <c r="AW685" s="216" t="str">
        <f t="shared" si="308"/>
        <v>Anteil KWK, erstmals 2009</v>
      </c>
      <c r="AX685" s="215" t="str">
        <f t="shared" si="309"/>
        <v/>
      </c>
      <c r="AY685" t="str">
        <f t="shared" si="310"/>
        <v/>
      </c>
      <c r="AZ685" t="str">
        <f t="shared" si="311"/>
        <v/>
      </c>
    </row>
    <row r="686" spans="1:52" x14ac:dyDescent="0.25">
      <c r="A686" s="610" t="s">
        <v>1450</v>
      </c>
      <c r="B686" s="30" t="s">
        <v>5548</v>
      </c>
      <c r="C686" s="30" t="s">
        <v>4809</v>
      </c>
      <c r="D686" s="30" t="s">
        <v>7043</v>
      </c>
      <c r="E686" s="30" t="s">
        <v>3567</v>
      </c>
      <c r="F686" s="454">
        <f t="shared" si="318"/>
        <v>20.87</v>
      </c>
      <c r="G686" s="529">
        <v>20.87</v>
      </c>
      <c r="H686" s="487">
        <f t="shared" si="319"/>
        <v>16.7</v>
      </c>
      <c r="I686" s="706"/>
      <c r="J686" s="669" t="s">
        <v>5805</v>
      </c>
      <c r="K686" s="15"/>
      <c r="M686" s="49">
        <f t="shared" si="320"/>
        <v>20.87</v>
      </c>
      <c r="N686" s="41">
        <v>9.9</v>
      </c>
      <c r="O686" s="187"/>
      <c r="P686" s="183"/>
      <c r="Q686" s="184"/>
      <c r="R686" s="184" t="s">
        <v>1017</v>
      </c>
      <c r="S686" s="184" t="s">
        <v>4180</v>
      </c>
      <c r="T686" t="s">
        <v>4180</v>
      </c>
      <c r="U686" s="185" t="s">
        <v>1017</v>
      </c>
      <c r="V686" s="184"/>
      <c r="W686" s="180"/>
      <c r="X686" s="180"/>
      <c r="Y686" s="184" t="s">
        <v>1017</v>
      </c>
      <c r="Z686" s="180"/>
      <c r="AA686" s="184"/>
      <c r="AB686" s="184"/>
      <c r="AC686" s="180"/>
      <c r="AD686" s="182"/>
      <c r="AE686" s="181"/>
      <c r="AF686" s="180"/>
      <c r="AG686" s="201"/>
      <c r="AH686" s="212" t="str">
        <f t="shared" si="322"/>
        <v>2010</v>
      </c>
      <c r="AI686" s="214" t="str">
        <f t="shared" si="312"/>
        <v/>
      </c>
      <c r="AJ686" s="214" t="str">
        <f t="shared" si="313"/>
        <v/>
      </c>
      <c r="AK686" s="214" t="str">
        <f t="shared" si="314"/>
        <v/>
      </c>
      <c r="AL686" s="214" t="str">
        <f t="shared" si="315"/>
        <v/>
      </c>
      <c r="AM686" s="214" t="str">
        <f t="shared" si="316"/>
        <v/>
      </c>
      <c r="AN686" s="213" t="str">
        <f t="shared" si="299"/>
        <v>2010</v>
      </c>
      <c r="AO686" s="213" t="str">
        <f t="shared" si="300"/>
        <v>2010</v>
      </c>
      <c r="AP686" s="213" t="str">
        <f t="shared" si="301"/>
        <v>2010</v>
      </c>
      <c r="AQ686" s="215" t="str">
        <f t="shared" si="302"/>
        <v/>
      </c>
      <c r="AR686" s="216" t="str">
        <f t="shared" si="303"/>
        <v>BiK82GK10y--04</v>
      </c>
      <c r="AS686" s="215" t="str">
        <f t="shared" si="304"/>
        <v/>
      </c>
      <c r="AT686">
        <f t="shared" si="305"/>
        <v>14</v>
      </c>
      <c r="AU686" s="216" t="str">
        <f t="shared" si="306"/>
        <v>0,15-0,5 MW, Bonusregeln G, y und K erstmals 2010</v>
      </c>
      <c r="AV686" s="215" t="str">
        <f t="shared" si="307"/>
        <v/>
      </c>
      <c r="AW686" s="216" t="str">
        <f t="shared" si="308"/>
        <v>Anteil KWK, erstmals 2010</v>
      </c>
      <c r="AX686" s="215" t="str">
        <f t="shared" si="309"/>
        <v/>
      </c>
      <c r="AY686" t="str">
        <f t="shared" si="310"/>
        <v/>
      </c>
      <c r="AZ686" t="str">
        <f t="shared" si="311"/>
        <v/>
      </c>
    </row>
    <row r="687" spans="1:52" x14ac:dyDescent="0.25">
      <c r="A687" s="610" t="s">
        <v>5272</v>
      </c>
      <c r="B687" s="30" t="s">
        <v>5548</v>
      </c>
      <c r="C687" s="30" t="s">
        <v>4809</v>
      </c>
      <c r="D687" s="30" t="s">
        <v>7044</v>
      </c>
      <c r="E687" s="30" t="s">
        <v>3055</v>
      </c>
      <c r="F687" s="454">
        <f t="shared" si="318"/>
        <v>20.84</v>
      </c>
      <c r="G687" s="529">
        <v>20.84</v>
      </c>
      <c r="H687" s="487">
        <f t="shared" si="319"/>
        <v>16.670000000000002</v>
      </c>
      <c r="I687" s="706"/>
      <c r="J687" s="669" t="s">
        <v>5805</v>
      </c>
      <c r="K687" s="15"/>
      <c r="M687" s="49">
        <f t="shared" si="320"/>
        <v>20.84</v>
      </c>
      <c r="N687" s="41">
        <v>9.9</v>
      </c>
      <c r="O687" s="187"/>
      <c r="P687" s="183"/>
      <c r="Q687" s="184"/>
      <c r="R687" s="178"/>
      <c r="S687" s="184" t="s">
        <v>1017</v>
      </c>
      <c r="T687" t="s">
        <v>4180</v>
      </c>
      <c r="U687" s="185" t="s">
        <v>1017</v>
      </c>
      <c r="V687" s="184"/>
      <c r="W687" s="180"/>
      <c r="X687" s="180"/>
      <c r="Y687" s="184" t="s">
        <v>1017</v>
      </c>
      <c r="Z687" s="180"/>
      <c r="AA687" s="184"/>
      <c r="AB687" s="184"/>
      <c r="AC687" s="180"/>
      <c r="AD687" s="182"/>
      <c r="AE687" s="181"/>
      <c r="AF687" s="180"/>
      <c r="AG687" s="201"/>
      <c r="AH687" s="212" t="str">
        <f t="shared" si="322"/>
        <v>2011</v>
      </c>
      <c r="AI687" s="214" t="str">
        <f t="shared" si="312"/>
        <v/>
      </c>
      <c r="AJ687" s="214" t="str">
        <f t="shared" si="313"/>
        <v/>
      </c>
      <c r="AK687" s="214" t="str">
        <f t="shared" si="314"/>
        <v/>
      </c>
      <c r="AL687" s="214" t="str">
        <f t="shared" si="315"/>
        <v/>
      </c>
      <c r="AM687" s="214" t="str">
        <f t="shared" si="316"/>
        <v/>
      </c>
      <c r="AN687" s="213" t="str">
        <f t="shared" si="299"/>
        <v>2011</v>
      </c>
      <c r="AO687" s="213" t="str">
        <f t="shared" si="300"/>
        <v>2011</v>
      </c>
      <c r="AP687" s="213" t="str">
        <f t="shared" si="301"/>
        <v>2011</v>
      </c>
      <c r="AQ687" s="215" t="str">
        <f t="shared" si="302"/>
        <v/>
      </c>
      <c r="AR687" s="216" t="str">
        <f t="shared" si="303"/>
        <v>BiK82GK11y--04</v>
      </c>
      <c r="AS687" s="215" t="str">
        <f t="shared" si="304"/>
        <v/>
      </c>
      <c r="AT687">
        <f t="shared" si="305"/>
        <v>14</v>
      </c>
      <c r="AU687" s="216" t="str">
        <f t="shared" si="306"/>
        <v>0,15-0,5 MW, Bonusregeln G, y und K erstmals 2011</v>
      </c>
      <c r="AV687" s="215" t="str">
        <f t="shared" si="307"/>
        <v/>
      </c>
      <c r="AW687" s="216" t="str">
        <f t="shared" si="308"/>
        <v>Anteil KWK, erstmals 2011</v>
      </c>
      <c r="AX687" s="215" t="str">
        <f t="shared" si="309"/>
        <v/>
      </c>
      <c r="AY687" t="str">
        <f t="shared" si="310"/>
        <v>x</v>
      </c>
      <c r="AZ687" t="str">
        <f t="shared" si="311"/>
        <v/>
      </c>
    </row>
    <row r="688" spans="1:52" x14ac:dyDescent="0.25">
      <c r="A688" s="625" t="s">
        <v>1522</v>
      </c>
      <c r="B688" s="219" t="s">
        <v>5548</v>
      </c>
      <c r="C688" s="219" t="s">
        <v>4809</v>
      </c>
      <c r="D688" s="219" t="s">
        <v>7045</v>
      </c>
      <c r="E688" s="219" t="s">
        <v>1980</v>
      </c>
      <c r="F688" s="455">
        <f t="shared" si="318"/>
        <v>20.810000000000002</v>
      </c>
      <c r="G688" s="530">
        <v>20.810000000000002</v>
      </c>
      <c r="H688" s="488">
        <f t="shared" si="319"/>
        <v>16.649999999999999</v>
      </c>
      <c r="I688" s="707"/>
      <c r="J688" s="669" t="s">
        <v>5805</v>
      </c>
      <c r="K688" s="15"/>
      <c r="M688" s="49">
        <f t="shared" si="320"/>
        <v>20.810000000000002</v>
      </c>
      <c r="N688" s="41">
        <v>9.9</v>
      </c>
      <c r="O688" s="187"/>
      <c r="P688" s="183"/>
      <c r="Q688" s="184"/>
      <c r="R688" s="178"/>
      <c r="S688" s="184" t="s">
        <v>4180</v>
      </c>
      <c r="T688" t="s">
        <v>1017</v>
      </c>
      <c r="U688" s="185" t="s">
        <v>1017</v>
      </c>
      <c r="V688" s="184"/>
      <c r="W688" s="180"/>
      <c r="X688" s="180"/>
      <c r="Y688" s="184" t="s">
        <v>1017</v>
      </c>
      <c r="Z688" s="180"/>
      <c r="AA688" s="184"/>
      <c r="AB688" s="184"/>
      <c r="AC688" s="180"/>
      <c r="AD688" s="182"/>
      <c r="AE688" s="181"/>
      <c r="AF688" s="180"/>
      <c r="AG688" s="201"/>
      <c r="AH688" s="217" t="s">
        <v>4179</v>
      </c>
      <c r="AI688" s="214" t="str">
        <f t="shared" si="312"/>
        <v/>
      </c>
      <c r="AJ688" s="214" t="str">
        <f t="shared" si="313"/>
        <v/>
      </c>
      <c r="AK688" s="214" t="str">
        <f t="shared" si="314"/>
        <v/>
      </c>
      <c r="AL688" s="214" t="str">
        <f t="shared" si="315"/>
        <v/>
      </c>
      <c r="AM688" s="214" t="str">
        <f t="shared" si="316"/>
        <v/>
      </c>
      <c r="AN688" s="213" t="str">
        <f t="shared" si="299"/>
        <v>2012</v>
      </c>
      <c r="AO688" s="213" t="str">
        <f t="shared" si="300"/>
        <v>2012</v>
      </c>
      <c r="AP688" s="213" t="str">
        <f t="shared" si="301"/>
        <v>2012</v>
      </c>
      <c r="AQ688" s="215" t="str">
        <f t="shared" si="302"/>
        <v/>
      </c>
      <c r="AR688" s="216" t="str">
        <f t="shared" si="303"/>
        <v>BiK82GK12y--04</v>
      </c>
      <c r="AS688" s="215" t="str">
        <f t="shared" si="304"/>
        <v/>
      </c>
      <c r="AT688">
        <f t="shared" si="305"/>
        <v>14</v>
      </c>
      <c r="AU688" s="216" t="str">
        <f t="shared" si="306"/>
        <v>0,15-0,5 MW, Bonusregeln G, y und K erstmals 2012</v>
      </c>
      <c r="AV688" s="215" t="str">
        <f t="shared" si="307"/>
        <v/>
      </c>
      <c r="AW688" s="216" t="str">
        <f t="shared" si="308"/>
        <v>Anteil KWK, erstmals 2012</v>
      </c>
      <c r="AX688" s="215" t="str">
        <f t="shared" si="309"/>
        <v/>
      </c>
      <c r="AY688" t="str">
        <f t="shared" si="310"/>
        <v/>
      </c>
      <c r="AZ688" t="str">
        <f t="shared" si="311"/>
        <v>x</v>
      </c>
    </row>
    <row r="689" spans="1:52" x14ac:dyDescent="0.25">
      <c r="A689" s="610" t="s">
        <v>1963</v>
      </c>
      <c r="B689" s="30" t="s">
        <v>5548</v>
      </c>
      <c r="C689" s="30" t="s">
        <v>4809</v>
      </c>
      <c r="D689" s="30" t="s">
        <v>7046</v>
      </c>
      <c r="E689" s="30" t="s">
        <v>4810</v>
      </c>
      <c r="F689" s="454">
        <f t="shared" si="318"/>
        <v>17.899999999999999</v>
      </c>
      <c r="G689" s="529">
        <v>17.899999999999999</v>
      </c>
      <c r="H689" s="487">
        <f t="shared" si="319"/>
        <v>14.32</v>
      </c>
      <c r="I689" s="706"/>
      <c r="J689" s="669" t="s">
        <v>5805</v>
      </c>
      <c r="K689" s="15"/>
      <c r="M689" s="49">
        <f t="shared" si="320"/>
        <v>17.899999999999999</v>
      </c>
      <c r="N689" s="41">
        <v>9.9</v>
      </c>
      <c r="O689" s="186"/>
      <c r="P689" s="177"/>
      <c r="Q689" s="178"/>
      <c r="R689" s="178"/>
      <c r="S689" s="178" t="s">
        <v>4180</v>
      </c>
      <c r="T689" t="s">
        <v>4180</v>
      </c>
      <c r="U689" s="179"/>
      <c r="V689" s="178"/>
      <c r="W689" s="180"/>
      <c r="X689" s="180"/>
      <c r="Y689" s="178"/>
      <c r="Z689" s="180"/>
      <c r="AA689" s="178" t="s">
        <v>1017</v>
      </c>
      <c r="AB689" s="178"/>
      <c r="AC689" s="180"/>
      <c r="AD689" s="182"/>
      <c r="AE689" s="200"/>
      <c r="AF689" s="180"/>
      <c r="AG689" s="201"/>
      <c r="AH689" s="212" t="str">
        <f t="shared" ref="AH689:AH694" si="323">IF(ISERROR(SEARCH("K erstmals 201",D689)),"",RIGHT(D689,4))</f>
        <v/>
      </c>
      <c r="AI689" s="214" t="str">
        <f t="shared" si="312"/>
        <v/>
      </c>
      <c r="AJ689" s="214" t="str">
        <f t="shared" si="313"/>
        <v/>
      </c>
      <c r="AK689" s="214" t="str">
        <f t="shared" si="314"/>
        <v/>
      </c>
      <c r="AL689" s="214" t="str">
        <f t="shared" si="315"/>
        <v/>
      </c>
      <c r="AM689" s="214" t="str">
        <f t="shared" si="316"/>
        <v/>
      </c>
      <c r="AN689" s="213" t="str">
        <f t="shared" si="299"/>
        <v/>
      </c>
      <c r="AO689" s="213" t="str">
        <f t="shared" si="300"/>
        <v/>
      </c>
      <c r="AP689" s="213" t="str">
        <f t="shared" si="301"/>
        <v/>
      </c>
      <c r="AQ689" s="215" t="str">
        <f t="shared" si="302"/>
        <v/>
      </c>
      <c r="AR689" s="216" t="str">
        <f t="shared" si="303"/>
        <v>BiK82M2-----04</v>
      </c>
      <c r="AS689" s="215" t="str">
        <f t="shared" si="304"/>
        <v/>
      </c>
      <c r="AT689">
        <f t="shared" si="305"/>
        <v>14</v>
      </c>
      <c r="AU689" s="216" t="str">
        <f t="shared" si="306"/>
        <v>0,15-0,5 MW, Bonusregel M2</v>
      </c>
      <c r="AV689" s="215" t="str">
        <f t="shared" si="307"/>
        <v/>
      </c>
      <c r="AW689" s="216" t="str">
        <f t="shared" si="308"/>
        <v>Anteil Nicht-KWK</v>
      </c>
      <c r="AX689" s="215" t="str">
        <f t="shared" si="309"/>
        <v/>
      </c>
      <c r="AY689" t="str">
        <f t="shared" si="310"/>
        <v/>
      </c>
      <c r="AZ689" t="str">
        <f t="shared" si="311"/>
        <v/>
      </c>
    </row>
    <row r="690" spans="1:52" x14ac:dyDescent="0.25">
      <c r="A690" s="610" t="s">
        <v>1964</v>
      </c>
      <c r="B690" s="30" t="s">
        <v>5548</v>
      </c>
      <c r="C690" s="30" t="s">
        <v>4809</v>
      </c>
      <c r="D690" s="30" t="s">
        <v>7120</v>
      </c>
      <c r="E690" s="30" t="s">
        <v>4812</v>
      </c>
      <c r="F690" s="454">
        <f t="shared" si="318"/>
        <v>19.899999999999999</v>
      </c>
      <c r="G690" s="529">
        <v>19.899999999999999</v>
      </c>
      <c r="H690" s="487">
        <f t="shared" si="319"/>
        <v>15.92</v>
      </c>
      <c r="I690" s="706"/>
      <c r="J690" s="669" t="s">
        <v>5805</v>
      </c>
      <c r="K690" s="15"/>
      <c r="M690" s="49">
        <f t="shared" si="320"/>
        <v>19.899999999999999</v>
      </c>
      <c r="N690" s="41">
        <v>9.9</v>
      </c>
      <c r="O690" s="186" t="s">
        <v>1017</v>
      </c>
      <c r="P690" s="177"/>
      <c r="Q690" s="178"/>
      <c r="R690" s="178"/>
      <c r="S690" s="178" t="s">
        <v>4180</v>
      </c>
      <c r="T690" t="s">
        <v>4180</v>
      </c>
      <c r="U690" s="179"/>
      <c r="V690" s="178"/>
      <c r="W690" s="180"/>
      <c r="X690" s="180"/>
      <c r="Y690" s="178"/>
      <c r="Z690" s="180"/>
      <c r="AA690" s="178" t="s">
        <v>1017</v>
      </c>
      <c r="AB690" s="178"/>
      <c r="AC690" s="180"/>
      <c r="AD690" s="182"/>
      <c r="AE690" s="200"/>
      <c r="AF690" s="180"/>
      <c r="AG690" s="201"/>
      <c r="AH690" s="212" t="str">
        <f t="shared" si="323"/>
        <v/>
      </c>
      <c r="AI690" s="214" t="str">
        <f t="shared" si="312"/>
        <v/>
      </c>
      <c r="AJ690" s="214" t="str">
        <f t="shared" si="313"/>
        <v/>
      </c>
      <c r="AK690" s="214" t="str">
        <f t="shared" si="314"/>
        <v/>
      </c>
      <c r="AL690" s="214" t="str">
        <f t="shared" si="315"/>
        <v/>
      </c>
      <c r="AM690" s="214" t="str">
        <f t="shared" si="316"/>
        <v/>
      </c>
      <c r="AN690" s="213" t="str">
        <f t="shared" si="299"/>
        <v/>
      </c>
      <c r="AO690" s="213" t="str">
        <f t="shared" si="300"/>
        <v/>
      </c>
      <c r="AP690" s="213" t="str">
        <f t="shared" si="301"/>
        <v/>
      </c>
      <c r="AQ690" s="215" t="str">
        <f t="shared" si="302"/>
        <v/>
      </c>
      <c r="AR690" s="216" t="str">
        <f t="shared" si="303"/>
        <v>BiK82M2KWK--04</v>
      </c>
      <c r="AS690" s="215" t="str">
        <f t="shared" si="304"/>
        <v/>
      </c>
      <c r="AT690">
        <f t="shared" si="305"/>
        <v>14</v>
      </c>
      <c r="AU690" s="216" t="str">
        <f t="shared" si="306"/>
        <v>0,15-0,5 MW, Bonusregeln M2 und KWK</v>
      </c>
      <c r="AV690" s="215" t="str">
        <f t="shared" si="307"/>
        <v/>
      </c>
      <c r="AW690" s="216" t="str">
        <f t="shared" si="308"/>
        <v>Anteil KWK</v>
      </c>
      <c r="AX690" s="215" t="str">
        <f t="shared" si="309"/>
        <v/>
      </c>
      <c r="AY690" t="str">
        <f t="shared" si="310"/>
        <v/>
      </c>
      <c r="AZ690" t="str">
        <f t="shared" si="311"/>
        <v/>
      </c>
    </row>
    <row r="691" spans="1:52" x14ac:dyDescent="0.25">
      <c r="A691" s="610" t="s">
        <v>1965</v>
      </c>
      <c r="B691" s="30" t="s">
        <v>5548</v>
      </c>
      <c r="C691" s="30" t="s">
        <v>4809</v>
      </c>
      <c r="D691" s="30" t="s">
        <v>7047</v>
      </c>
      <c r="E691" s="30" t="s">
        <v>4331</v>
      </c>
      <c r="F691" s="454">
        <f t="shared" si="318"/>
        <v>20.9</v>
      </c>
      <c r="G691" s="529">
        <v>20.9</v>
      </c>
      <c r="H691" s="487">
        <f t="shared" si="319"/>
        <v>16.72</v>
      </c>
      <c r="I691" s="706"/>
      <c r="J691" s="669" t="s">
        <v>5805</v>
      </c>
      <c r="K691" s="15"/>
      <c r="M691" s="49">
        <f t="shared" si="320"/>
        <v>20.9</v>
      </c>
      <c r="N691" s="41">
        <v>9.9</v>
      </c>
      <c r="O691" s="186"/>
      <c r="P691" s="178" t="s">
        <v>1017</v>
      </c>
      <c r="Q691" s="178"/>
      <c r="R691" s="178"/>
      <c r="S691" s="178" t="s">
        <v>4180</v>
      </c>
      <c r="T691" t="s">
        <v>4180</v>
      </c>
      <c r="U691" s="179"/>
      <c r="V691" s="178"/>
      <c r="W691" s="180"/>
      <c r="X691" s="180"/>
      <c r="Y691" s="178"/>
      <c r="Z691" s="180"/>
      <c r="AA691" s="178" t="s">
        <v>1017</v>
      </c>
      <c r="AB691" s="178"/>
      <c r="AC691" s="180"/>
      <c r="AD691" s="182"/>
      <c r="AE691" s="200"/>
      <c r="AF691" s="180"/>
      <c r="AG691" s="201"/>
      <c r="AH691" s="212" t="str">
        <f t="shared" si="323"/>
        <v/>
      </c>
      <c r="AI691" s="214" t="str">
        <f t="shared" si="312"/>
        <v/>
      </c>
      <c r="AJ691" s="214" t="str">
        <f t="shared" si="313"/>
        <v/>
      </c>
      <c r="AK691" s="214" t="str">
        <f t="shared" si="314"/>
        <v/>
      </c>
      <c r="AL691" s="214" t="str">
        <f t="shared" si="315"/>
        <v/>
      </c>
      <c r="AM691" s="214" t="str">
        <f t="shared" si="316"/>
        <v/>
      </c>
      <c r="AN691" s="213" t="str">
        <f t="shared" si="299"/>
        <v/>
      </c>
      <c r="AO691" s="213" t="str">
        <f t="shared" si="300"/>
        <v/>
      </c>
      <c r="AP691" s="213" t="str">
        <f t="shared" si="301"/>
        <v/>
      </c>
      <c r="AQ691" s="215" t="str">
        <f t="shared" si="302"/>
        <v/>
      </c>
      <c r="AR691" s="216" t="str">
        <f t="shared" si="303"/>
        <v>BiK82M2KA3--04</v>
      </c>
      <c r="AS691" s="215" t="str">
        <f t="shared" si="304"/>
        <v/>
      </c>
      <c r="AT691">
        <f t="shared" si="305"/>
        <v>14</v>
      </c>
      <c r="AU691" s="216" t="str">
        <f t="shared" si="306"/>
        <v>0,15-0,5 MW, Bonusregeln M2 und K wenn Anlage 3 erfüllt</v>
      </c>
      <c r="AV691" s="215" t="str">
        <f t="shared" si="307"/>
        <v/>
      </c>
      <c r="AW691" s="216" t="str">
        <f t="shared" si="308"/>
        <v>Anteil KWK gemäß Anlage 3</v>
      </c>
      <c r="AX691" s="215" t="str">
        <f t="shared" si="309"/>
        <v/>
      </c>
      <c r="AY691" t="str">
        <f t="shared" si="310"/>
        <v/>
      </c>
      <c r="AZ691" t="str">
        <f t="shared" si="311"/>
        <v/>
      </c>
    </row>
    <row r="692" spans="1:52" x14ac:dyDescent="0.25">
      <c r="A692" s="610" t="s">
        <v>1966</v>
      </c>
      <c r="B692" s="30" t="s">
        <v>5548</v>
      </c>
      <c r="C692" s="30" t="s">
        <v>4809</v>
      </c>
      <c r="D692" s="30" t="s">
        <v>7121</v>
      </c>
      <c r="E692" s="30" t="s">
        <v>674</v>
      </c>
      <c r="F692" s="454">
        <f t="shared" si="318"/>
        <v>20.9</v>
      </c>
      <c r="G692" s="529">
        <v>20.9</v>
      </c>
      <c r="H692" s="487">
        <f t="shared" si="319"/>
        <v>16.72</v>
      </c>
      <c r="I692" s="706"/>
      <c r="J692" s="669" t="s">
        <v>5805</v>
      </c>
      <c r="K692" s="15"/>
      <c r="M692" s="49">
        <f t="shared" si="320"/>
        <v>20.9</v>
      </c>
      <c r="N692" s="41">
        <v>9.9</v>
      </c>
      <c r="O692" s="186"/>
      <c r="P692" s="177"/>
      <c r="Q692" s="178" t="s">
        <v>1017</v>
      </c>
      <c r="R692" s="178"/>
      <c r="S692" s="178" t="s">
        <v>4180</v>
      </c>
      <c r="T692" t="s">
        <v>4180</v>
      </c>
      <c r="U692" s="179"/>
      <c r="V692" s="178"/>
      <c r="W692" s="180"/>
      <c r="X692" s="180"/>
      <c r="Y692" s="178"/>
      <c r="Z692" s="180"/>
      <c r="AA692" s="178" t="s">
        <v>1017</v>
      </c>
      <c r="AB692" s="178"/>
      <c r="AC692" s="180"/>
      <c r="AD692" s="182"/>
      <c r="AE692" s="200"/>
      <c r="AF692" s="180"/>
      <c r="AG692" s="201"/>
      <c r="AH692" s="212" t="str">
        <f t="shared" si="323"/>
        <v/>
      </c>
      <c r="AI692" s="214" t="str">
        <f t="shared" si="312"/>
        <v/>
      </c>
      <c r="AJ692" s="214" t="str">
        <f t="shared" si="313"/>
        <v/>
      </c>
      <c r="AK692" s="214" t="str">
        <f t="shared" si="314"/>
        <v/>
      </c>
      <c r="AL692" s="214" t="str">
        <f t="shared" si="315"/>
        <v/>
      </c>
      <c r="AM692" s="214" t="str">
        <f t="shared" si="316"/>
        <v/>
      </c>
      <c r="AN692" s="213" t="str">
        <f t="shared" si="299"/>
        <v/>
      </c>
      <c r="AO692" s="213" t="str">
        <f t="shared" si="300"/>
        <v/>
      </c>
      <c r="AP692" s="213" t="str">
        <f t="shared" si="301"/>
        <v/>
      </c>
      <c r="AQ692" s="215" t="str">
        <f t="shared" si="302"/>
        <v/>
      </c>
      <c r="AR692" s="216" t="str">
        <f t="shared" si="303"/>
        <v>BiK82M2K09--04</v>
      </c>
      <c r="AS692" s="215" t="str">
        <f t="shared" si="304"/>
        <v/>
      </c>
      <c r="AT692">
        <f t="shared" si="305"/>
        <v>14</v>
      </c>
      <c r="AU692" s="216" t="str">
        <f t="shared" si="306"/>
        <v>0,15-0,5 MW, Bonusregeln M2, K erstmals 2009</v>
      </c>
      <c r="AV692" s="215" t="str">
        <f t="shared" si="307"/>
        <v/>
      </c>
      <c r="AW692" s="216" t="str">
        <f t="shared" si="308"/>
        <v>Anteil KWK, erstmals 2009</v>
      </c>
      <c r="AX692" s="215" t="str">
        <f t="shared" si="309"/>
        <v/>
      </c>
      <c r="AY692" t="str">
        <f t="shared" si="310"/>
        <v/>
      </c>
      <c r="AZ692" t="str">
        <f t="shared" si="311"/>
        <v/>
      </c>
    </row>
    <row r="693" spans="1:52" x14ac:dyDescent="0.25">
      <c r="A693" s="610" t="s">
        <v>1451</v>
      </c>
      <c r="B693" s="30" t="s">
        <v>5548</v>
      </c>
      <c r="C693" s="30" t="s">
        <v>4809</v>
      </c>
      <c r="D693" s="30" t="s">
        <v>7122</v>
      </c>
      <c r="E693" s="30" t="s">
        <v>3567</v>
      </c>
      <c r="F693" s="454">
        <f t="shared" si="318"/>
        <v>20.87</v>
      </c>
      <c r="G693" s="529">
        <v>20.87</v>
      </c>
      <c r="H693" s="487">
        <f t="shared" si="319"/>
        <v>16.7</v>
      </c>
      <c r="I693" s="706"/>
      <c r="J693" s="669" t="s">
        <v>5805</v>
      </c>
      <c r="K693" s="15"/>
      <c r="M693" s="49">
        <f t="shared" si="320"/>
        <v>20.87</v>
      </c>
      <c r="N693" s="41">
        <v>9.9</v>
      </c>
      <c r="O693" s="186"/>
      <c r="P693" s="177"/>
      <c r="Q693" s="178"/>
      <c r="R693" s="178" t="s">
        <v>1017</v>
      </c>
      <c r="S693" s="178" t="s">
        <v>4180</v>
      </c>
      <c r="T693" t="s">
        <v>4180</v>
      </c>
      <c r="U693" s="179"/>
      <c r="V693" s="178"/>
      <c r="W693" s="180"/>
      <c r="X693" s="180"/>
      <c r="Y693" s="178"/>
      <c r="Z693" s="180"/>
      <c r="AA693" s="178" t="s">
        <v>1017</v>
      </c>
      <c r="AB693" s="178"/>
      <c r="AC693" s="180"/>
      <c r="AD693" s="182"/>
      <c r="AE693" s="200"/>
      <c r="AF693" s="180"/>
      <c r="AG693" s="201"/>
      <c r="AH693" s="212" t="str">
        <f t="shared" si="323"/>
        <v>2010</v>
      </c>
      <c r="AI693" s="214" t="str">
        <f t="shared" si="312"/>
        <v/>
      </c>
      <c r="AJ693" s="214" t="str">
        <f t="shared" si="313"/>
        <v/>
      </c>
      <c r="AK693" s="214" t="str">
        <f t="shared" si="314"/>
        <v/>
      </c>
      <c r="AL693" s="214" t="str">
        <f t="shared" si="315"/>
        <v/>
      </c>
      <c r="AM693" s="214" t="str">
        <f t="shared" si="316"/>
        <v/>
      </c>
      <c r="AN693" s="213" t="str">
        <f t="shared" si="299"/>
        <v>2010</v>
      </c>
      <c r="AO693" s="213" t="str">
        <f t="shared" si="300"/>
        <v>2010</v>
      </c>
      <c r="AP693" s="213" t="str">
        <f t="shared" si="301"/>
        <v>2010</v>
      </c>
      <c r="AQ693" s="215" t="str">
        <f t="shared" si="302"/>
        <v/>
      </c>
      <c r="AR693" s="216" t="str">
        <f t="shared" si="303"/>
        <v>BiK82M2K10--04</v>
      </c>
      <c r="AS693" s="215" t="str">
        <f t="shared" si="304"/>
        <v/>
      </c>
      <c r="AT693">
        <f t="shared" si="305"/>
        <v>14</v>
      </c>
      <c r="AU693" s="216" t="str">
        <f t="shared" si="306"/>
        <v>0,15-0,5 MW, Bonusregeln M2, K erstmals 2010</v>
      </c>
      <c r="AV693" s="215" t="str">
        <f t="shared" si="307"/>
        <v/>
      </c>
      <c r="AW693" s="216" t="str">
        <f t="shared" si="308"/>
        <v>Anteil KWK, erstmals 2010</v>
      </c>
      <c r="AX693" s="215" t="str">
        <f t="shared" si="309"/>
        <v/>
      </c>
      <c r="AY693" t="str">
        <f t="shared" si="310"/>
        <v/>
      </c>
      <c r="AZ693" t="str">
        <f t="shared" si="311"/>
        <v/>
      </c>
    </row>
    <row r="694" spans="1:52" x14ac:dyDescent="0.25">
      <c r="A694" s="610" t="s">
        <v>5273</v>
      </c>
      <c r="B694" s="30" t="s">
        <v>5548</v>
      </c>
      <c r="C694" s="30" t="s">
        <v>4809</v>
      </c>
      <c r="D694" s="30" t="s">
        <v>7123</v>
      </c>
      <c r="E694" s="30" t="s">
        <v>3055</v>
      </c>
      <c r="F694" s="454">
        <f t="shared" si="318"/>
        <v>20.84</v>
      </c>
      <c r="G694" s="529">
        <v>20.84</v>
      </c>
      <c r="H694" s="487">
        <f t="shared" si="319"/>
        <v>16.670000000000002</v>
      </c>
      <c r="I694" s="706"/>
      <c r="J694" s="669" t="s">
        <v>5805</v>
      </c>
      <c r="K694" s="15"/>
      <c r="M694" s="49">
        <f t="shared" si="320"/>
        <v>20.84</v>
      </c>
      <c r="N694" s="41">
        <v>9.9</v>
      </c>
      <c r="O694" s="186"/>
      <c r="P694" s="177"/>
      <c r="Q694" s="178"/>
      <c r="R694" s="178"/>
      <c r="S694" s="178" t="s">
        <v>1017</v>
      </c>
      <c r="T694" t="s">
        <v>4180</v>
      </c>
      <c r="U694" s="179"/>
      <c r="V694" s="178"/>
      <c r="W694" s="180"/>
      <c r="X694" s="180"/>
      <c r="Y694" s="178"/>
      <c r="Z694" s="180"/>
      <c r="AA694" s="178" t="s">
        <v>1017</v>
      </c>
      <c r="AB694" s="178"/>
      <c r="AC694" s="180"/>
      <c r="AD694" s="182"/>
      <c r="AE694" s="200"/>
      <c r="AF694" s="180"/>
      <c r="AG694" s="201"/>
      <c r="AH694" s="212" t="str">
        <f t="shared" si="323"/>
        <v>2011</v>
      </c>
      <c r="AI694" s="214" t="str">
        <f t="shared" si="312"/>
        <v/>
      </c>
      <c r="AJ694" s="214" t="str">
        <f t="shared" si="313"/>
        <v/>
      </c>
      <c r="AK694" s="214" t="str">
        <f t="shared" si="314"/>
        <v/>
      </c>
      <c r="AL694" s="214" t="str">
        <f t="shared" si="315"/>
        <v/>
      </c>
      <c r="AM694" s="214" t="str">
        <f t="shared" si="316"/>
        <v/>
      </c>
      <c r="AN694" s="213" t="str">
        <f t="shared" si="299"/>
        <v>2011</v>
      </c>
      <c r="AO694" s="213" t="str">
        <f t="shared" si="300"/>
        <v>2011</v>
      </c>
      <c r="AP694" s="213" t="str">
        <f t="shared" si="301"/>
        <v>2011</v>
      </c>
      <c r="AQ694" s="215" t="str">
        <f t="shared" si="302"/>
        <v/>
      </c>
      <c r="AR694" s="216" t="str">
        <f t="shared" si="303"/>
        <v>BiK82M2K11--04</v>
      </c>
      <c r="AS694" s="215" t="str">
        <f t="shared" si="304"/>
        <v/>
      </c>
      <c r="AT694">
        <f t="shared" si="305"/>
        <v>14</v>
      </c>
      <c r="AU694" s="216" t="str">
        <f t="shared" si="306"/>
        <v>0,15-0,5 MW, Bonusregeln M2, K erstmals 2011</v>
      </c>
      <c r="AV694" s="215" t="str">
        <f t="shared" si="307"/>
        <v/>
      </c>
      <c r="AW694" s="216" t="str">
        <f t="shared" si="308"/>
        <v>Anteil KWK, erstmals 2011</v>
      </c>
      <c r="AX694" s="215" t="str">
        <f t="shared" si="309"/>
        <v/>
      </c>
      <c r="AY694" t="str">
        <f t="shared" si="310"/>
        <v>x</v>
      </c>
      <c r="AZ694" t="str">
        <f t="shared" si="311"/>
        <v/>
      </c>
    </row>
    <row r="695" spans="1:52" x14ac:dyDescent="0.25">
      <c r="A695" s="625" t="s">
        <v>1523</v>
      </c>
      <c r="B695" s="219" t="s">
        <v>5548</v>
      </c>
      <c r="C695" s="219" t="s">
        <v>4809</v>
      </c>
      <c r="D695" s="219" t="s">
        <v>7124</v>
      </c>
      <c r="E695" s="219" t="s">
        <v>1980</v>
      </c>
      <c r="F695" s="455">
        <f t="shared" si="318"/>
        <v>20.810000000000002</v>
      </c>
      <c r="G695" s="530">
        <v>20.810000000000002</v>
      </c>
      <c r="H695" s="488">
        <f t="shared" si="319"/>
        <v>16.649999999999999</v>
      </c>
      <c r="I695" s="707"/>
      <c r="J695" s="669" t="s">
        <v>5805</v>
      </c>
      <c r="K695" s="15"/>
      <c r="M695" s="49">
        <f t="shared" si="320"/>
        <v>20.810000000000002</v>
      </c>
      <c r="N695" s="41">
        <v>9.9</v>
      </c>
      <c r="O695" s="186"/>
      <c r="P695" s="177"/>
      <c r="Q695" s="178"/>
      <c r="R695" s="178"/>
      <c r="S695" s="178" t="s">
        <v>4180</v>
      </c>
      <c r="T695" t="s">
        <v>1017</v>
      </c>
      <c r="U695" s="179"/>
      <c r="V695" s="178"/>
      <c r="W695" s="180"/>
      <c r="X695" s="180"/>
      <c r="Y695" s="178"/>
      <c r="Z695" s="180"/>
      <c r="AA695" s="178" t="s">
        <v>1017</v>
      </c>
      <c r="AB695" s="178"/>
      <c r="AC695" s="180"/>
      <c r="AD695" s="182"/>
      <c r="AE695" s="200"/>
      <c r="AF695" s="180"/>
      <c r="AG695" s="201"/>
      <c r="AH695" s="217" t="s">
        <v>4179</v>
      </c>
      <c r="AI695" s="214" t="str">
        <f t="shared" si="312"/>
        <v/>
      </c>
      <c r="AJ695" s="214" t="str">
        <f t="shared" si="313"/>
        <v/>
      </c>
      <c r="AK695" s="214" t="str">
        <f t="shared" si="314"/>
        <v/>
      </c>
      <c r="AL695" s="214" t="str">
        <f t="shared" si="315"/>
        <v/>
      </c>
      <c r="AM695" s="214" t="str">
        <f t="shared" si="316"/>
        <v/>
      </c>
      <c r="AN695" s="213" t="str">
        <f t="shared" si="299"/>
        <v>2012</v>
      </c>
      <c r="AO695" s="213" t="str">
        <f t="shared" si="300"/>
        <v>2012</v>
      </c>
      <c r="AP695" s="213" t="str">
        <f t="shared" si="301"/>
        <v>2012</v>
      </c>
      <c r="AQ695" s="215" t="str">
        <f t="shared" si="302"/>
        <v/>
      </c>
      <c r="AR695" s="216" t="str">
        <f t="shared" si="303"/>
        <v>BiK82M2K12--04</v>
      </c>
      <c r="AS695" s="215" t="str">
        <f t="shared" si="304"/>
        <v/>
      </c>
      <c r="AT695">
        <f t="shared" si="305"/>
        <v>14</v>
      </c>
      <c r="AU695" s="216" t="str">
        <f t="shared" si="306"/>
        <v>0,15-0,5 MW, Bonusregeln M2, K erstmals 2012</v>
      </c>
      <c r="AV695" s="215" t="str">
        <f t="shared" si="307"/>
        <v/>
      </c>
      <c r="AW695" s="216" t="str">
        <f t="shared" si="308"/>
        <v>Anteil KWK, erstmals 2012</v>
      </c>
      <c r="AX695" s="215" t="str">
        <f t="shared" si="309"/>
        <v/>
      </c>
      <c r="AY695" t="str">
        <f t="shared" si="310"/>
        <v/>
      </c>
      <c r="AZ695" t="str">
        <f t="shared" si="311"/>
        <v>x</v>
      </c>
    </row>
    <row r="696" spans="1:52" x14ac:dyDescent="0.25">
      <c r="A696" s="610" t="s">
        <v>1967</v>
      </c>
      <c r="B696" s="30" t="s">
        <v>5548</v>
      </c>
      <c r="C696" s="30" t="s">
        <v>4809</v>
      </c>
      <c r="D696" s="30" t="s">
        <v>7052</v>
      </c>
      <c r="E696" s="30" t="s">
        <v>4810</v>
      </c>
      <c r="F696" s="454">
        <f t="shared" si="318"/>
        <v>18.899999999999999</v>
      </c>
      <c r="G696" s="529">
        <v>18.899999999999999</v>
      </c>
      <c r="H696" s="487">
        <f t="shared" si="319"/>
        <v>15.12</v>
      </c>
      <c r="I696" s="706"/>
      <c r="J696" s="669" t="s">
        <v>5805</v>
      </c>
      <c r="K696" s="15"/>
      <c r="M696" s="49">
        <f t="shared" si="320"/>
        <v>18.899999999999999</v>
      </c>
      <c r="N696" s="41">
        <v>9.9</v>
      </c>
      <c r="O696" s="187"/>
      <c r="P696" s="183"/>
      <c r="Q696" s="184"/>
      <c r="R696" s="184"/>
      <c r="S696" s="184" t="s">
        <v>4180</v>
      </c>
      <c r="T696" t="s">
        <v>4180</v>
      </c>
      <c r="U696" s="185" t="s">
        <v>1017</v>
      </c>
      <c r="V696" s="184"/>
      <c r="W696" s="180"/>
      <c r="X696" s="180"/>
      <c r="Y696" s="178"/>
      <c r="Z696" s="180"/>
      <c r="AA696" s="184" t="s">
        <v>1017</v>
      </c>
      <c r="AB696" s="184"/>
      <c r="AC696" s="180"/>
      <c r="AD696" s="182"/>
      <c r="AE696" s="181"/>
      <c r="AF696" s="201"/>
      <c r="AG696" s="201"/>
      <c r="AH696" s="212" t="str">
        <f t="shared" ref="AH696:AH701" si="324">IF(ISERROR(SEARCH("K erstmals 201",D696)),"",RIGHT(D696,4))</f>
        <v/>
      </c>
      <c r="AI696" s="214" t="str">
        <f t="shared" si="312"/>
        <v/>
      </c>
      <c r="AJ696" s="214" t="str">
        <f t="shared" si="313"/>
        <v/>
      </c>
      <c r="AK696" s="214" t="str">
        <f t="shared" si="314"/>
        <v/>
      </c>
      <c r="AL696" s="214" t="str">
        <f t="shared" si="315"/>
        <v/>
      </c>
      <c r="AM696" s="214" t="str">
        <f t="shared" si="316"/>
        <v/>
      </c>
      <c r="AN696" s="213" t="str">
        <f t="shared" si="299"/>
        <v/>
      </c>
      <c r="AO696" s="213" t="str">
        <f t="shared" si="300"/>
        <v/>
      </c>
      <c r="AP696" s="213" t="str">
        <f t="shared" si="301"/>
        <v/>
      </c>
      <c r="AQ696" s="215" t="str">
        <f t="shared" si="302"/>
        <v/>
      </c>
      <c r="AR696" s="216" t="str">
        <f t="shared" si="303"/>
        <v>BiK82M2y----04</v>
      </c>
      <c r="AS696" s="215" t="str">
        <f t="shared" si="304"/>
        <v/>
      </c>
      <c r="AT696">
        <f t="shared" si="305"/>
        <v>14</v>
      </c>
      <c r="AU696" s="216" t="str">
        <f t="shared" si="306"/>
        <v>0,15-0,5 MW, Bonusregeln M2, y</v>
      </c>
      <c r="AV696" s="215" t="str">
        <f t="shared" si="307"/>
        <v/>
      </c>
      <c r="AW696" s="216" t="str">
        <f t="shared" si="308"/>
        <v>Anteil Nicht-KWK</v>
      </c>
      <c r="AX696" s="215" t="str">
        <f t="shared" si="309"/>
        <v/>
      </c>
      <c r="AY696" t="str">
        <f t="shared" si="310"/>
        <v/>
      </c>
      <c r="AZ696" t="str">
        <f t="shared" si="311"/>
        <v/>
      </c>
    </row>
    <row r="697" spans="1:52" x14ac:dyDescent="0.25">
      <c r="A697" s="610" t="s">
        <v>1968</v>
      </c>
      <c r="B697" s="30" t="s">
        <v>5548</v>
      </c>
      <c r="C697" s="30" t="s">
        <v>4809</v>
      </c>
      <c r="D697" s="30" t="s">
        <v>7125</v>
      </c>
      <c r="E697" s="30" t="s">
        <v>4812</v>
      </c>
      <c r="F697" s="454">
        <f t="shared" si="318"/>
        <v>20.9</v>
      </c>
      <c r="G697" s="529">
        <v>20.9</v>
      </c>
      <c r="H697" s="487">
        <f t="shared" si="319"/>
        <v>16.72</v>
      </c>
      <c r="I697" s="706"/>
      <c r="J697" s="669" t="s">
        <v>5805</v>
      </c>
      <c r="K697" s="15"/>
      <c r="M697" s="49">
        <f t="shared" si="320"/>
        <v>20.9</v>
      </c>
      <c r="N697" s="41">
        <v>9.9</v>
      </c>
      <c r="O697" s="187" t="s">
        <v>1017</v>
      </c>
      <c r="P697" s="197"/>
      <c r="Q697" s="182"/>
      <c r="R697" s="182"/>
      <c r="S697" s="182" t="s">
        <v>4180</v>
      </c>
      <c r="T697" s="92" t="s">
        <v>4180</v>
      </c>
      <c r="U697" s="185" t="s">
        <v>1017</v>
      </c>
      <c r="V697" s="182"/>
      <c r="W697" s="201"/>
      <c r="X697" s="201"/>
      <c r="Y697" s="199"/>
      <c r="Z697" s="201"/>
      <c r="AA697" s="182" t="s">
        <v>1017</v>
      </c>
      <c r="AB697" s="182"/>
      <c r="AC697" s="201"/>
      <c r="AD697" s="182"/>
      <c r="AE697" s="181"/>
      <c r="AF697" s="201"/>
      <c r="AG697" s="201"/>
      <c r="AH697" s="212" t="str">
        <f t="shared" si="324"/>
        <v/>
      </c>
      <c r="AI697" s="214" t="str">
        <f t="shared" si="312"/>
        <v/>
      </c>
      <c r="AJ697" s="214" t="str">
        <f t="shared" si="313"/>
        <v/>
      </c>
      <c r="AK697" s="214" t="str">
        <f t="shared" si="314"/>
        <v/>
      </c>
      <c r="AL697" s="214" t="str">
        <f t="shared" si="315"/>
        <v/>
      </c>
      <c r="AM697" s="214" t="str">
        <f t="shared" si="316"/>
        <v/>
      </c>
      <c r="AN697" s="213" t="str">
        <f t="shared" si="299"/>
        <v/>
      </c>
      <c r="AO697" s="213" t="str">
        <f t="shared" si="300"/>
        <v/>
      </c>
      <c r="AP697" s="213" t="str">
        <f t="shared" si="301"/>
        <v/>
      </c>
      <c r="AQ697" s="215" t="str">
        <f t="shared" si="302"/>
        <v/>
      </c>
      <c r="AR697" s="216" t="str">
        <f t="shared" si="303"/>
        <v>BiK82M2KWKy-04</v>
      </c>
      <c r="AS697" s="215" t="str">
        <f t="shared" si="304"/>
        <v/>
      </c>
      <c r="AT697">
        <f t="shared" si="305"/>
        <v>14</v>
      </c>
      <c r="AU697" s="216" t="str">
        <f t="shared" si="306"/>
        <v>0,15-0,5 MW, Bonusregeln M2, y und KWK</v>
      </c>
      <c r="AV697" s="215" t="str">
        <f t="shared" si="307"/>
        <v/>
      </c>
      <c r="AW697" s="216" t="str">
        <f t="shared" si="308"/>
        <v>Anteil KWK</v>
      </c>
      <c r="AX697" s="215" t="str">
        <f t="shared" si="309"/>
        <v/>
      </c>
      <c r="AY697" t="str">
        <f t="shared" si="310"/>
        <v/>
      </c>
      <c r="AZ697" t="str">
        <f t="shared" si="311"/>
        <v/>
      </c>
    </row>
    <row r="698" spans="1:52" x14ac:dyDescent="0.25">
      <c r="A698" s="610" t="s">
        <v>1969</v>
      </c>
      <c r="B698" s="30" t="s">
        <v>5548</v>
      </c>
      <c r="C698" s="30" t="s">
        <v>4809</v>
      </c>
      <c r="D698" s="109" t="s">
        <v>7053</v>
      </c>
      <c r="E698" s="30" t="s">
        <v>4331</v>
      </c>
      <c r="F698" s="454">
        <f t="shared" si="318"/>
        <v>21.9</v>
      </c>
      <c r="G698" s="529">
        <v>21.9</v>
      </c>
      <c r="H698" s="487">
        <f t="shared" si="319"/>
        <v>17.52</v>
      </c>
      <c r="I698" s="706"/>
      <c r="J698" s="669" t="s">
        <v>5805</v>
      </c>
      <c r="K698" s="15"/>
      <c r="M698" s="49">
        <f t="shared" si="320"/>
        <v>21.9</v>
      </c>
      <c r="N698" s="41">
        <v>9.9</v>
      </c>
      <c r="O698" s="187"/>
      <c r="P698" s="182" t="s">
        <v>1017</v>
      </c>
      <c r="Q698" s="182"/>
      <c r="R698" s="182"/>
      <c r="S698" s="182" t="s">
        <v>4180</v>
      </c>
      <c r="T698" t="s">
        <v>4180</v>
      </c>
      <c r="U698" s="185" t="s">
        <v>1017</v>
      </c>
      <c r="V698" s="182"/>
      <c r="W698" s="201"/>
      <c r="X698" s="201"/>
      <c r="Y698" s="199"/>
      <c r="Z698" s="201"/>
      <c r="AA698" s="182" t="s">
        <v>1017</v>
      </c>
      <c r="AB698" s="182"/>
      <c r="AC698" s="201"/>
      <c r="AD698" s="182"/>
      <c r="AE698" s="181"/>
      <c r="AF698" s="180"/>
      <c r="AG698" s="201"/>
      <c r="AH698" s="212" t="str">
        <f t="shared" si="324"/>
        <v/>
      </c>
      <c r="AI698" s="214" t="str">
        <f t="shared" si="312"/>
        <v/>
      </c>
      <c r="AJ698" s="214" t="str">
        <f t="shared" si="313"/>
        <v/>
      </c>
      <c r="AK698" s="214" t="str">
        <f t="shared" si="314"/>
        <v/>
      </c>
      <c r="AL698" s="214" t="str">
        <f t="shared" si="315"/>
        <v/>
      </c>
      <c r="AM698" s="214" t="str">
        <f t="shared" si="316"/>
        <v/>
      </c>
      <c r="AN698" s="213" t="str">
        <f t="shared" si="299"/>
        <v/>
      </c>
      <c r="AO698" s="213" t="str">
        <f t="shared" si="300"/>
        <v/>
      </c>
      <c r="AP698" s="213" t="str">
        <f t="shared" si="301"/>
        <v/>
      </c>
      <c r="AQ698" s="215" t="str">
        <f t="shared" si="302"/>
        <v/>
      </c>
      <c r="AR698" s="216" t="str">
        <f t="shared" si="303"/>
        <v>BiK82M2KA3y-04</v>
      </c>
      <c r="AS698" s="215" t="str">
        <f t="shared" si="304"/>
        <v/>
      </c>
      <c r="AT698">
        <f t="shared" si="305"/>
        <v>14</v>
      </c>
      <c r="AU698" s="216" t="str">
        <f t="shared" si="306"/>
        <v>0,15-0,5 MW, Bonusregeln M2, y und K wenn Anlage 3 erfüllt</v>
      </c>
      <c r="AV698" s="215" t="str">
        <f t="shared" si="307"/>
        <v/>
      </c>
      <c r="AW698" s="216" t="str">
        <f t="shared" si="308"/>
        <v>Anteil KWK gemäß Anlage 3</v>
      </c>
      <c r="AX698" s="215" t="str">
        <f t="shared" si="309"/>
        <v/>
      </c>
      <c r="AY698" t="str">
        <f t="shared" si="310"/>
        <v/>
      </c>
      <c r="AZ698" t="str">
        <f t="shared" si="311"/>
        <v/>
      </c>
    </row>
    <row r="699" spans="1:52" x14ac:dyDescent="0.25">
      <c r="A699" s="610" t="s">
        <v>1970</v>
      </c>
      <c r="B699" s="30" t="s">
        <v>5548</v>
      </c>
      <c r="C699" s="30" t="s">
        <v>4809</v>
      </c>
      <c r="D699" s="30" t="s">
        <v>7054</v>
      </c>
      <c r="E699" s="30" t="s">
        <v>674</v>
      </c>
      <c r="F699" s="454">
        <f t="shared" si="318"/>
        <v>21.9</v>
      </c>
      <c r="G699" s="529">
        <v>21.9</v>
      </c>
      <c r="H699" s="487">
        <f t="shared" si="319"/>
        <v>17.52</v>
      </c>
      <c r="I699" s="706"/>
      <c r="J699" s="669" t="s">
        <v>5805</v>
      </c>
      <c r="K699" s="15"/>
      <c r="M699" s="49">
        <f t="shared" si="320"/>
        <v>21.9</v>
      </c>
      <c r="N699" s="41">
        <v>9.9</v>
      </c>
      <c r="O699" s="187"/>
      <c r="P699" s="183"/>
      <c r="Q699" s="184" t="s">
        <v>1017</v>
      </c>
      <c r="R699" s="184"/>
      <c r="S699" s="184" t="s">
        <v>4180</v>
      </c>
      <c r="T699" t="s">
        <v>4180</v>
      </c>
      <c r="U699" s="185" t="s">
        <v>1017</v>
      </c>
      <c r="V699" s="184"/>
      <c r="W699" s="180"/>
      <c r="X699" s="180"/>
      <c r="Y699" s="178"/>
      <c r="Z699" s="180"/>
      <c r="AA699" s="184" t="s">
        <v>1017</v>
      </c>
      <c r="AB699" s="184"/>
      <c r="AC699" s="180"/>
      <c r="AD699" s="182"/>
      <c r="AE699" s="181"/>
      <c r="AF699" s="180"/>
      <c r="AG699" s="201"/>
      <c r="AH699" s="212" t="str">
        <f t="shared" si="324"/>
        <v/>
      </c>
      <c r="AI699" s="214" t="str">
        <f t="shared" si="312"/>
        <v/>
      </c>
      <c r="AJ699" s="214" t="str">
        <f t="shared" si="313"/>
        <v/>
      </c>
      <c r="AK699" s="214" t="str">
        <f t="shared" si="314"/>
        <v/>
      </c>
      <c r="AL699" s="214" t="str">
        <f t="shared" si="315"/>
        <v/>
      </c>
      <c r="AM699" s="214" t="str">
        <f t="shared" si="316"/>
        <v/>
      </c>
      <c r="AN699" s="213" t="str">
        <f t="shared" si="299"/>
        <v/>
      </c>
      <c r="AO699" s="213" t="str">
        <f t="shared" si="300"/>
        <v/>
      </c>
      <c r="AP699" s="213" t="str">
        <f t="shared" si="301"/>
        <v/>
      </c>
      <c r="AQ699" s="215" t="str">
        <f t="shared" si="302"/>
        <v/>
      </c>
      <c r="AR699" s="216" t="str">
        <f t="shared" si="303"/>
        <v>BiK82M2K09y-04</v>
      </c>
      <c r="AS699" s="215" t="str">
        <f t="shared" si="304"/>
        <v/>
      </c>
      <c r="AT699">
        <f t="shared" si="305"/>
        <v>14</v>
      </c>
      <c r="AU699" s="216" t="str">
        <f t="shared" si="306"/>
        <v>0,15-0,5 MW, Bonusregeln M2, y und K erstmals 2009</v>
      </c>
      <c r="AV699" s="215" t="str">
        <f t="shared" si="307"/>
        <v/>
      </c>
      <c r="AW699" s="216" t="str">
        <f t="shared" si="308"/>
        <v>Anteil KWK, erstmals 2009</v>
      </c>
      <c r="AX699" s="215" t="str">
        <f t="shared" si="309"/>
        <v/>
      </c>
      <c r="AY699" t="str">
        <f t="shared" si="310"/>
        <v/>
      </c>
      <c r="AZ699" t="str">
        <f t="shared" si="311"/>
        <v/>
      </c>
    </row>
    <row r="700" spans="1:52" x14ac:dyDescent="0.25">
      <c r="A700" s="610" t="s">
        <v>1452</v>
      </c>
      <c r="B700" s="30" t="s">
        <v>5548</v>
      </c>
      <c r="C700" s="30" t="s">
        <v>4809</v>
      </c>
      <c r="D700" s="30" t="s">
        <v>7055</v>
      </c>
      <c r="E700" s="30" t="s">
        <v>3567</v>
      </c>
      <c r="F700" s="454">
        <f t="shared" si="318"/>
        <v>21.87</v>
      </c>
      <c r="G700" s="529">
        <v>21.87</v>
      </c>
      <c r="H700" s="487">
        <f t="shared" si="319"/>
        <v>17.5</v>
      </c>
      <c r="I700" s="706"/>
      <c r="J700" s="669" t="s">
        <v>5805</v>
      </c>
      <c r="K700" s="15"/>
      <c r="M700" s="49">
        <f t="shared" si="320"/>
        <v>21.87</v>
      </c>
      <c r="N700" s="41">
        <v>9.9</v>
      </c>
      <c r="O700" s="187"/>
      <c r="P700" s="183"/>
      <c r="Q700" s="184"/>
      <c r="R700" s="184" t="s">
        <v>1017</v>
      </c>
      <c r="S700" s="184" t="s">
        <v>4180</v>
      </c>
      <c r="T700" t="s">
        <v>4180</v>
      </c>
      <c r="U700" s="185" t="s">
        <v>1017</v>
      </c>
      <c r="V700" s="184"/>
      <c r="W700" s="180"/>
      <c r="X700" s="180"/>
      <c r="Y700" s="178"/>
      <c r="Z700" s="180"/>
      <c r="AA700" s="184" t="s">
        <v>1017</v>
      </c>
      <c r="AB700" s="184"/>
      <c r="AC700" s="180"/>
      <c r="AD700" s="182"/>
      <c r="AE700" s="181"/>
      <c r="AF700" s="180"/>
      <c r="AG700" s="201"/>
      <c r="AH700" s="212" t="str">
        <f t="shared" si="324"/>
        <v>2010</v>
      </c>
      <c r="AI700" s="214" t="str">
        <f t="shared" si="312"/>
        <v/>
      </c>
      <c r="AJ700" s="214" t="str">
        <f t="shared" si="313"/>
        <v/>
      </c>
      <c r="AK700" s="214" t="str">
        <f t="shared" si="314"/>
        <v/>
      </c>
      <c r="AL700" s="214" t="str">
        <f t="shared" si="315"/>
        <v/>
      </c>
      <c r="AM700" s="214" t="str">
        <f t="shared" si="316"/>
        <v/>
      </c>
      <c r="AN700" s="213" t="str">
        <f t="shared" si="299"/>
        <v>2010</v>
      </c>
      <c r="AO700" s="213" t="str">
        <f t="shared" si="300"/>
        <v>2010</v>
      </c>
      <c r="AP700" s="213" t="str">
        <f t="shared" si="301"/>
        <v>2010</v>
      </c>
      <c r="AQ700" s="215" t="str">
        <f t="shared" si="302"/>
        <v/>
      </c>
      <c r="AR700" s="216" t="str">
        <f t="shared" si="303"/>
        <v>BiK82M2K10y-04</v>
      </c>
      <c r="AS700" s="215" t="str">
        <f t="shared" si="304"/>
        <v/>
      </c>
      <c r="AT700">
        <f t="shared" si="305"/>
        <v>14</v>
      </c>
      <c r="AU700" s="216" t="str">
        <f t="shared" si="306"/>
        <v>0,15-0,5 MW, Bonusregeln M2, y und K erstmals 2010</v>
      </c>
      <c r="AV700" s="215" t="str">
        <f t="shared" si="307"/>
        <v/>
      </c>
      <c r="AW700" s="216" t="str">
        <f t="shared" si="308"/>
        <v>Anteil KWK, erstmals 2010</v>
      </c>
      <c r="AX700" s="215" t="str">
        <f t="shared" si="309"/>
        <v/>
      </c>
      <c r="AY700" t="str">
        <f t="shared" si="310"/>
        <v/>
      </c>
      <c r="AZ700" t="str">
        <f t="shared" si="311"/>
        <v/>
      </c>
    </row>
    <row r="701" spans="1:52" x14ac:dyDescent="0.25">
      <c r="A701" s="610" t="s">
        <v>5274</v>
      </c>
      <c r="B701" s="30" t="s">
        <v>5548</v>
      </c>
      <c r="C701" s="30" t="s">
        <v>4809</v>
      </c>
      <c r="D701" s="30" t="s">
        <v>7056</v>
      </c>
      <c r="E701" s="30" t="s">
        <v>3055</v>
      </c>
      <c r="F701" s="454">
        <f t="shared" si="318"/>
        <v>21.84</v>
      </c>
      <c r="G701" s="529">
        <v>21.84</v>
      </c>
      <c r="H701" s="487">
        <f t="shared" si="319"/>
        <v>17.47</v>
      </c>
      <c r="I701" s="706"/>
      <c r="J701" s="669" t="s">
        <v>5805</v>
      </c>
      <c r="K701" s="15"/>
      <c r="M701" s="49">
        <f t="shared" si="320"/>
        <v>21.84</v>
      </c>
      <c r="N701" s="41">
        <v>9.9</v>
      </c>
      <c r="O701" s="187"/>
      <c r="P701" s="183"/>
      <c r="Q701" s="184"/>
      <c r="R701" s="178"/>
      <c r="S701" s="184" t="s">
        <v>1017</v>
      </c>
      <c r="T701" t="s">
        <v>4180</v>
      </c>
      <c r="U701" s="185" t="s">
        <v>1017</v>
      </c>
      <c r="V701" s="184"/>
      <c r="W701" s="180"/>
      <c r="X701" s="180"/>
      <c r="Y701" s="178"/>
      <c r="Z701" s="180"/>
      <c r="AA701" s="184" t="s">
        <v>1017</v>
      </c>
      <c r="AB701" s="184"/>
      <c r="AC701" s="180"/>
      <c r="AD701" s="182"/>
      <c r="AE701" s="181"/>
      <c r="AF701" s="180"/>
      <c r="AG701" s="201"/>
      <c r="AH701" s="212" t="str">
        <f t="shared" si="324"/>
        <v>2011</v>
      </c>
      <c r="AI701" s="214" t="str">
        <f t="shared" si="312"/>
        <v/>
      </c>
      <c r="AJ701" s="214" t="str">
        <f t="shared" si="313"/>
        <v/>
      </c>
      <c r="AK701" s="214" t="str">
        <f t="shared" si="314"/>
        <v/>
      </c>
      <c r="AL701" s="214" t="str">
        <f t="shared" si="315"/>
        <v/>
      </c>
      <c r="AM701" s="214" t="str">
        <f t="shared" si="316"/>
        <v/>
      </c>
      <c r="AN701" s="213" t="str">
        <f t="shared" si="299"/>
        <v>2011</v>
      </c>
      <c r="AO701" s="213" t="str">
        <f t="shared" si="300"/>
        <v>2011</v>
      </c>
      <c r="AP701" s="213" t="str">
        <f t="shared" si="301"/>
        <v>2011</v>
      </c>
      <c r="AQ701" s="215" t="str">
        <f t="shared" si="302"/>
        <v/>
      </c>
      <c r="AR701" s="216" t="str">
        <f t="shared" si="303"/>
        <v>BiK82M2K11y-04</v>
      </c>
      <c r="AS701" s="215" t="str">
        <f t="shared" si="304"/>
        <v/>
      </c>
      <c r="AT701">
        <f t="shared" si="305"/>
        <v>14</v>
      </c>
      <c r="AU701" s="216" t="str">
        <f t="shared" si="306"/>
        <v>0,15-0,5 MW, Bonusregeln M2, y und K erstmals 2011</v>
      </c>
      <c r="AV701" s="215" t="str">
        <f t="shared" si="307"/>
        <v/>
      </c>
      <c r="AW701" s="216" t="str">
        <f t="shared" si="308"/>
        <v>Anteil KWK, erstmals 2011</v>
      </c>
      <c r="AX701" s="215" t="str">
        <f t="shared" si="309"/>
        <v/>
      </c>
      <c r="AY701" t="str">
        <f t="shared" si="310"/>
        <v>x</v>
      </c>
      <c r="AZ701" t="str">
        <f t="shared" si="311"/>
        <v/>
      </c>
    </row>
    <row r="702" spans="1:52" x14ac:dyDescent="0.25">
      <c r="A702" s="625" t="s">
        <v>1524</v>
      </c>
      <c r="B702" s="219" t="s">
        <v>5548</v>
      </c>
      <c r="C702" s="219" t="s">
        <v>4809</v>
      </c>
      <c r="D702" s="219" t="s">
        <v>7057</v>
      </c>
      <c r="E702" s="219" t="s">
        <v>1980</v>
      </c>
      <c r="F702" s="455">
        <f t="shared" si="318"/>
        <v>21.810000000000002</v>
      </c>
      <c r="G702" s="530">
        <v>21.810000000000002</v>
      </c>
      <c r="H702" s="488">
        <f t="shared" si="319"/>
        <v>17.45</v>
      </c>
      <c r="I702" s="707"/>
      <c r="J702" s="669" t="s">
        <v>5805</v>
      </c>
      <c r="K702" s="15"/>
      <c r="M702" s="49">
        <f t="shared" si="320"/>
        <v>21.810000000000002</v>
      </c>
      <c r="N702" s="41">
        <v>9.9</v>
      </c>
      <c r="O702" s="187"/>
      <c r="P702" s="183"/>
      <c r="Q702" s="184"/>
      <c r="R702" s="178"/>
      <c r="S702" s="184" t="s">
        <v>4180</v>
      </c>
      <c r="T702" t="s">
        <v>1017</v>
      </c>
      <c r="U702" s="185" t="s">
        <v>1017</v>
      </c>
      <c r="V702" s="184"/>
      <c r="W702" s="180"/>
      <c r="X702" s="180"/>
      <c r="Y702" s="178"/>
      <c r="Z702" s="180"/>
      <c r="AA702" s="184" t="s">
        <v>1017</v>
      </c>
      <c r="AB702" s="184"/>
      <c r="AC702" s="180"/>
      <c r="AD702" s="182"/>
      <c r="AE702" s="181"/>
      <c r="AF702" s="180"/>
      <c r="AG702" s="201"/>
      <c r="AH702" s="217" t="s">
        <v>4179</v>
      </c>
      <c r="AI702" s="214" t="str">
        <f t="shared" si="312"/>
        <v/>
      </c>
      <c r="AJ702" s="214" t="str">
        <f t="shared" si="313"/>
        <v/>
      </c>
      <c r="AK702" s="214" t="str">
        <f t="shared" si="314"/>
        <v/>
      </c>
      <c r="AL702" s="214" t="str">
        <f t="shared" si="315"/>
        <v/>
      </c>
      <c r="AM702" s="214" t="str">
        <f t="shared" si="316"/>
        <v/>
      </c>
      <c r="AN702" s="213" t="str">
        <f t="shared" si="299"/>
        <v>2012</v>
      </c>
      <c r="AO702" s="213" t="str">
        <f t="shared" si="300"/>
        <v>2012</v>
      </c>
      <c r="AP702" s="213" t="str">
        <f t="shared" si="301"/>
        <v>2012</v>
      </c>
      <c r="AQ702" s="215" t="str">
        <f t="shared" si="302"/>
        <v/>
      </c>
      <c r="AR702" s="216" t="str">
        <f t="shared" si="303"/>
        <v>BiK82M2K12y-04</v>
      </c>
      <c r="AS702" s="215" t="str">
        <f t="shared" si="304"/>
        <v/>
      </c>
      <c r="AT702">
        <f t="shared" si="305"/>
        <v>14</v>
      </c>
      <c r="AU702" s="216" t="str">
        <f t="shared" si="306"/>
        <v>0,15-0,5 MW, Bonusregeln M2, y und K erstmals 2012</v>
      </c>
      <c r="AV702" s="215" t="str">
        <f t="shared" si="307"/>
        <v/>
      </c>
      <c r="AW702" s="216" t="str">
        <f t="shared" si="308"/>
        <v>Anteil KWK, erstmals 2012</v>
      </c>
      <c r="AX702" s="215" t="str">
        <f t="shared" si="309"/>
        <v/>
      </c>
      <c r="AY702" t="str">
        <f t="shared" si="310"/>
        <v/>
      </c>
      <c r="AZ702" t="str">
        <f t="shared" si="311"/>
        <v>x</v>
      </c>
    </row>
    <row r="703" spans="1:52" ht="17.25" customHeight="1" x14ac:dyDescent="0.25">
      <c r="A703" s="610" t="s">
        <v>994</v>
      </c>
      <c r="B703" s="30" t="s">
        <v>5548</v>
      </c>
      <c r="C703" s="30" t="s">
        <v>4809</v>
      </c>
      <c r="D703" s="30" t="s">
        <v>7058</v>
      </c>
      <c r="E703" s="30" t="s">
        <v>4810</v>
      </c>
      <c r="F703" s="454">
        <f t="shared" si="318"/>
        <v>18.899999999999999</v>
      </c>
      <c r="G703" s="529">
        <v>18.899999999999999</v>
      </c>
      <c r="H703" s="487">
        <f t="shared" si="319"/>
        <v>15.12</v>
      </c>
      <c r="I703" s="706"/>
      <c r="J703" s="669" t="s">
        <v>5805</v>
      </c>
      <c r="K703" s="15"/>
      <c r="M703" s="49">
        <f t="shared" si="320"/>
        <v>18.899999999999999</v>
      </c>
      <c r="N703" s="41">
        <v>9.9</v>
      </c>
      <c r="O703" s="186"/>
      <c r="P703" s="177"/>
      <c r="Q703" s="178"/>
      <c r="R703" s="178"/>
      <c r="S703" s="178" t="s">
        <v>4180</v>
      </c>
      <c r="T703" t="s">
        <v>4180</v>
      </c>
      <c r="U703" s="179"/>
      <c r="V703" s="178"/>
      <c r="W703" s="180"/>
      <c r="X703" s="180"/>
      <c r="Y703" s="178"/>
      <c r="Z703" s="180"/>
      <c r="AA703" s="184"/>
      <c r="AB703" s="178" t="s">
        <v>1017</v>
      </c>
      <c r="AC703" s="180"/>
      <c r="AD703" s="182"/>
      <c r="AE703" s="200"/>
      <c r="AF703" s="180"/>
      <c r="AG703" s="201"/>
      <c r="AH703" s="212" t="str">
        <f t="shared" ref="AH703:AH708" si="325">IF(ISERROR(SEARCH("K erstmals 201",D703)),"",RIGHT(D703,4))</f>
        <v/>
      </c>
      <c r="AI703" s="214" t="str">
        <f t="shared" si="312"/>
        <v/>
      </c>
      <c r="AJ703" s="214" t="str">
        <f t="shared" si="313"/>
        <v/>
      </c>
      <c r="AK703" s="214" t="str">
        <f t="shared" si="314"/>
        <v/>
      </c>
      <c r="AL703" s="214" t="str">
        <f t="shared" si="315"/>
        <v/>
      </c>
      <c r="AM703" s="214" t="str">
        <f t="shared" si="316"/>
        <v/>
      </c>
      <c r="AN703" s="213" t="str">
        <f t="shared" si="299"/>
        <v/>
      </c>
      <c r="AO703" s="213" t="str">
        <f t="shared" si="300"/>
        <v/>
      </c>
      <c r="AP703" s="213" t="str">
        <f t="shared" si="301"/>
        <v/>
      </c>
      <c r="AQ703" s="215" t="str">
        <f t="shared" si="302"/>
        <v/>
      </c>
      <c r="AR703" s="216" t="str">
        <f t="shared" si="303"/>
        <v>BiK82L------04</v>
      </c>
      <c r="AS703" s="215" t="str">
        <f t="shared" si="304"/>
        <v/>
      </c>
      <c r="AT703">
        <f t="shared" si="305"/>
        <v>14</v>
      </c>
      <c r="AU703" s="216" t="str">
        <f t="shared" si="306"/>
        <v>0,15-0,5 MW, Bonusregel L</v>
      </c>
      <c r="AV703" s="215" t="str">
        <f t="shared" si="307"/>
        <v/>
      </c>
      <c r="AW703" s="216" t="str">
        <f t="shared" si="308"/>
        <v>Anteil Nicht-KWK</v>
      </c>
      <c r="AX703" s="215" t="str">
        <f t="shared" si="309"/>
        <v/>
      </c>
      <c r="AY703" t="str">
        <f t="shared" si="310"/>
        <v/>
      </c>
      <c r="AZ703" t="str">
        <f t="shared" si="311"/>
        <v/>
      </c>
    </row>
    <row r="704" spans="1:52" x14ac:dyDescent="0.25">
      <c r="A704" s="610" t="s">
        <v>995</v>
      </c>
      <c r="B704" s="30" t="s">
        <v>5548</v>
      </c>
      <c r="C704" s="30" t="s">
        <v>4809</v>
      </c>
      <c r="D704" s="30" t="s">
        <v>7126</v>
      </c>
      <c r="E704" s="30" t="s">
        <v>4812</v>
      </c>
      <c r="F704" s="454">
        <f t="shared" si="318"/>
        <v>20.9</v>
      </c>
      <c r="G704" s="529">
        <v>20.9</v>
      </c>
      <c r="H704" s="487">
        <f t="shared" si="319"/>
        <v>16.72</v>
      </c>
      <c r="I704" s="706"/>
      <c r="J704" s="669" t="s">
        <v>5805</v>
      </c>
      <c r="K704" s="15"/>
      <c r="M704" s="49">
        <f t="shared" si="320"/>
        <v>20.9</v>
      </c>
      <c r="N704" s="41">
        <v>9.9</v>
      </c>
      <c r="O704" s="186" t="s">
        <v>1017</v>
      </c>
      <c r="P704" s="177"/>
      <c r="Q704" s="178"/>
      <c r="R704" s="178"/>
      <c r="S704" s="178" t="s">
        <v>4180</v>
      </c>
      <c r="T704" t="s">
        <v>4180</v>
      </c>
      <c r="U704" s="179"/>
      <c r="V704" s="199"/>
      <c r="W704" s="180"/>
      <c r="X704" s="180"/>
      <c r="Y704" s="178"/>
      <c r="Z704" s="180"/>
      <c r="AA704" s="184"/>
      <c r="AB704" s="178" t="s">
        <v>1017</v>
      </c>
      <c r="AC704" s="180"/>
      <c r="AD704" s="182"/>
      <c r="AE704" s="200"/>
      <c r="AF704" s="180"/>
      <c r="AG704" s="201"/>
      <c r="AH704" s="212" t="str">
        <f t="shared" si="325"/>
        <v/>
      </c>
      <c r="AI704" s="214" t="str">
        <f t="shared" si="312"/>
        <v/>
      </c>
      <c r="AJ704" s="214" t="str">
        <f t="shared" si="313"/>
        <v/>
      </c>
      <c r="AK704" s="214" t="str">
        <f t="shared" si="314"/>
        <v/>
      </c>
      <c r="AL704" s="214" t="str">
        <f t="shared" si="315"/>
        <v/>
      </c>
      <c r="AM704" s="214" t="str">
        <f t="shared" si="316"/>
        <v/>
      </c>
      <c r="AN704" s="213" t="str">
        <f t="shared" si="299"/>
        <v/>
      </c>
      <c r="AO704" s="213" t="str">
        <f t="shared" si="300"/>
        <v/>
      </c>
      <c r="AP704" s="213" t="str">
        <f t="shared" si="301"/>
        <v/>
      </c>
      <c r="AQ704" s="215" t="str">
        <f t="shared" si="302"/>
        <v/>
      </c>
      <c r="AR704" s="216" t="str">
        <f t="shared" si="303"/>
        <v>BiK82LKWK---04</v>
      </c>
      <c r="AS704" s="215" t="str">
        <f t="shared" si="304"/>
        <v/>
      </c>
      <c r="AT704">
        <f t="shared" si="305"/>
        <v>14</v>
      </c>
      <c r="AU704" s="216" t="str">
        <f t="shared" si="306"/>
        <v>0,15-0,5 MW, Bonusregeln L und KWK</v>
      </c>
      <c r="AV704" s="215" t="str">
        <f t="shared" si="307"/>
        <v/>
      </c>
      <c r="AW704" s="216" t="str">
        <f t="shared" si="308"/>
        <v>Anteil KWK</v>
      </c>
      <c r="AX704" s="215" t="str">
        <f t="shared" si="309"/>
        <v/>
      </c>
      <c r="AY704" t="str">
        <f t="shared" si="310"/>
        <v/>
      </c>
      <c r="AZ704" t="str">
        <f t="shared" si="311"/>
        <v/>
      </c>
    </row>
    <row r="705" spans="1:52" x14ac:dyDescent="0.25">
      <c r="A705" s="610" t="s">
        <v>996</v>
      </c>
      <c r="B705" s="30" t="s">
        <v>5548</v>
      </c>
      <c r="C705" s="30" t="s">
        <v>4809</v>
      </c>
      <c r="D705" s="30" t="s">
        <v>7059</v>
      </c>
      <c r="E705" s="30" t="s">
        <v>4331</v>
      </c>
      <c r="F705" s="454">
        <f t="shared" si="318"/>
        <v>21.9</v>
      </c>
      <c r="G705" s="529">
        <v>21.9</v>
      </c>
      <c r="H705" s="487">
        <f t="shared" si="319"/>
        <v>17.52</v>
      </c>
      <c r="I705" s="706"/>
      <c r="J705" s="669" t="s">
        <v>5805</v>
      </c>
      <c r="K705" s="15"/>
      <c r="M705" s="49">
        <f t="shared" si="320"/>
        <v>21.9</v>
      </c>
      <c r="N705" s="41">
        <v>9.9</v>
      </c>
      <c r="O705" s="186"/>
      <c r="P705" s="178" t="s">
        <v>1017</v>
      </c>
      <c r="Q705" s="178"/>
      <c r="R705" s="178"/>
      <c r="S705" s="178" t="s">
        <v>4180</v>
      </c>
      <c r="T705" t="s">
        <v>4180</v>
      </c>
      <c r="U705" s="179"/>
      <c r="V705" s="178"/>
      <c r="W705" s="180"/>
      <c r="X705" s="180"/>
      <c r="Y705" s="178"/>
      <c r="Z705" s="180"/>
      <c r="AA705" s="184"/>
      <c r="AB705" s="178" t="s">
        <v>1017</v>
      </c>
      <c r="AC705" s="180"/>
      <c r="AD705" s="182"/>
      <c r="AE705" s="200"/>
      <c r="AF705" s="180"/>
      <c r="AG705" s="201"/>
      <c r="AH705" s="212" t="str">
        <f t="shared" si="325"/>
        <v/>
      </c>
      <c r="AI705" s="214" t="str">
        <f t="shared" si="312"/>
        <v/>
      </c>
      <c r="AJ705" s="214" t="str">
        <f t="shared" si="313"/>
        <v/>
      </c>
      <c r="AK705" s="214" t="str">
        <f t="shared" si="314"/>
        <v/>
      </c>
      <c r="AL705" s="214" t="str">
        <f t="shared" si="315"/>
        <v/>
      </c>
      <c r="AM705" s="214" t="str">
        <f t="shared" si="316"/>
        <v/>
      </c>
      <c r="AN705" s="213" t="str">
        <f t="shared" si="299"/>
        <v/>
      </c>
      <c r="AO705" s="213" t="str">
        <f t="shared" si="300"/>
        <v/>
      </c>
      <c r="AP705" s="213" t="str">
        <f t="shared" si="301"/>
        <v/>
      </c>
      <c r="AQ705" s="215" t="str">
        <f t="shared" si="302"/>
        <v/>
      </c>
      <c r="AR705" s="216" t="str">
        <f t="shared" si="303"/>
        <v>BiK82LKA3---04</v>
      </c>
      <c r="AS705" s="215" t="str">
        <f t="shared" si="304"/>
        <v/>
      </c>
      <c r="AT705">
        <f t="shared" si="305"/>
        <v>14</v>
      </c>
      <c r="AU705" s="216" t="str">
        <f t="shared" si="306"/>
        <v>0,15-0,5 MW, Bonusregeln L und K wenn Anlage 3 erfüllt</v>
      </c>
      <c r="AV705" s="215" t="str">
        <f t="shared" si="307"/>
        <v/>
      </c>
      <c r="AW705" s="216" t="str">
        <f t="shared" si="308"/>
        <v>Anteil KWK gemäß Anlage 3</v>
      </c>
      <c r="AX705" s="215" t="str">
        <f t="shared" si="309"/>
        <v/>
      </c>
      <c r="AY705" t="str">
        <f t="shared" si="310"/>
        <v/>
      </c>
      <c r="AZ705" t="str">
        <f t="shared" si="311"/>
        <v/>
      </c>
    </row>
    <row r="706" spans="1:52" x14ac:dyDescent="0.25">
      <c r="A706" s="610" t="s">
        <v>997</v>
      </c>
      <c r="B706" s="30" t="s">
        <v>5548</v>
      </c>
      <c r="C706" s="30" t="s">
        <v>4809</v>
      </c>
      <c r="D706" s="30" t="s">
        <v>7060</v>
      </c>
      <c r="E706" s="30" t="s">
        <v>674</v>
      </c>
      <c r="F706" s="454">
        <f t="shared" si="318"/>
        <v>21.9</v>
      </c>
      <c r="G706" s="529">
        <v>21.9</v>
      </c>
      <c r="H706" s="487">
        <f t="shared" si="319"/>
        <v>17.52</v>
      </c>
      <c r="I706" s="706"/>
      <c r="J706" s="669" t="s">
        <v>5805</v>
      </c>
      <c r="K706" s="15"/>
      <c r="M706" s="49">
        <f t="shared" si="320"/>
        <v>21.9</v>
      </c>
      <c r="N706" s="41">
        <v>9.9</v>
      </c>
      <c r="O706" s="186"/>
      <c r="P706" s="177"/>
      <c r="Q706" s="178" t="s">
        <v>1017</v>
      </c>
      <c r="R706" s="178"/>
      <c r="S706" s="178" t="s">
        <v>4180</v>
      </c>
      <c r="T706" t="s">
        <v>4180</v>
      </c>
      <c r="U706" s="179"/>
      <c r="V706" s="199"/>
      <c r="W706" s="180"/>
      <c r="X706" s="180"/>
      <c r="Y706" s="178"/>
      <c r="Z706" s="180"/>
      <c r="AA706" s="184"/>
      <c r="AB706" s="178" t="s">
        <v>1017</v>
      </c>
      <c r="AC706" s="180"/>
      <c r="AD706" s="182"/>
      <c r="AE706" s="200"/>
      <c r="AF706" s="180"/>
      <c r="AG706" s="201"/>
      <c r="AH706" s="212" t="str">
        <f t="shared" si="325"/>
        <v/>
      </c>
      <c r="AI706" s="214" t="str">
        <f t="shared" si="312"/>
        <v/>
      </c>
      <c r="AJ706" s="214" t="str">
        <f t="shared" si="313"/>
        <v/>
      </c>
      <c r="AK706" s="214" t="str">
        <f t="shared" si="314"/>
        <v/>
      </c>
      <c r="AL706" s="214" t="str">
        <f t="shared" si="315"/>
        <v/>
      </c>
      <c r="AM706" s="214" t="str">
        <f t="shared" si="316"/>
        <v/>
      </c>
      <c r="AN706" s="213" t="str">
        <f t="shared" si="299"/>
        <v/>
      </c>
      <c r="AO706" s="213" t="str">
        <f t="shared" si="300"/>
        <v/>
      </c>
      <c r="AP706" s="213" t="str">
        <f t="shared" si="301"/>
        <v/>
      </c>
      <c r="AQ706" s="215" t="str">
        <f t="shared" si="302"/>
        <v/>
      </c>
      <c r="AR706" s="216" t="str">
        <f t="shared" si="303"/>
        <v>BiK82LK09---04</v>
      </c>
      <c r="AS706" s="215" t="str">
        <f t="shared" si="304"/>
        <v/>
      </c>
      <c r="AT706">
        <f t="shared" si="305"/>
        <v>14</v>
      </c>
      <c r="AU706" s="216" t="str">
        <f t="shared" si="306"/>
        <v>0,15-0,5 MW, Bonusregeln L und K erstmals 2009</v>
      </c>
      <c r="AV706" s="215" t="str">
        <f t="shared" si="307"/>
        <v/>
      </c>
      <c r="AW706" s="216" t="str">
        <f t="shared" si="308"/>
        <v>Anteil KWK, erstmals 2009</v>
      </c>
      <c r="AX706" s="215" t="str">
        <f t="shared" si="309"/>
        <v/>
      </c>
      <c r="AY706" t="str">
        <f t="shared" si="310"/>
        <v/>
      </c>
      <c r="AZ706" t="str">
        <f t="shared" si="311"/>
        <v/>
      </c>
    </row>
    <row r="707" spans="1:52" x14ac:dyDescent="0.25">
      <c r="A707" s="610" t="s">
        <v>1453</v>
      </c>
      <c r="B707" s="30" t="s">
        <v>5548</v>
      </c>
      <c r="C707" s="30" t="s">
        <v>4809</v>
      </c>
      <c r="D707" s="30" t="s">
        <v>7061</v>
      </c>
      <c r="E707" s="30" t="s">
        <v>3567</v>
      </c>
      <c r="F707" s="454">
        <f t="shared" si="318"/>
        <v>21.87</v>
      </c>
      <c r="G707" s="529">
        <v>21.87</v>
      </c>
      <c r="H707" s="487">
        <f t="shared" si="319"/>
        <v>17.5</v>
      </c>
      <c r="I707" s="706"/>
      <c r="J707" s="669" t="s">
        <v>5805</v>
      </c>
      <c r="K707" s="15"/>
      <c r="M707" s="49">
        <f t="shared" si="320"/>
        <v>21.87</v>
      </c>
      <c r="N707" s="41">
        <v>9.9</v>
      </c>
      <c r="O707" s="186"/>
      <c r="P707" s="195"/>
      <c r="Q707" s="199"/>
      <c r="R707" s="199" t="s">
        <v>1017</v>
      </c>
      <c r="S707" s="199" t="s">
        <v>4180</v>
      </c>
      <c r="T707" s="92" t="s">
        <v>4180</v>
      </c>
      <c r="U707" s="179"/>
      <c r="V707" s="199"/>
      <c r="W707" s="201"/>
      <c r="X707" s="201"/>
      <c r="Y707" s="199"/>
      <c r="Z707" s="201"/>
      <c r="AA707" s="182"/>
      <c r="AB707" s="199" t="s">
        <v>1017</v>
      </c>
      <c r="AC707" s="201"/>
      <c r="AD707" s="182"/>
      <c r="AE707" s="200"/>
      <c r="AF707" s="201"/>
      <c r="AG707" s="201"/>
      <c r="AH707" s="212" t="str">
        <f t="shared" si="325"/>
        <v>2010</v>
      </c>
      <c r="AI707" s="214" t="str">
        <f t="shared" si="312"/>
        <v/>
      </c>
      <c r="AJ707" s="214" t="str">
        <f t="shared" si="313"/>
        <v/>
      </c>
      <c r="AK707" s="214" t="str">
        <f t="shared" si="314"/>
        <v/>
      </c>
      <c r="AL707" s="214" t="str">
        <f t="shared" si="315"/>
        <v/>
      </c>
      <c r="AM707" s="214" t="str">
        <f t="shared" si="316"/>
        <v/>
      </c>
      <c r="AN707" s="213" t="str">
        <f t="shared" si="299"/>
        <v>2010</v>
      </c>
      <c r="AO707" s="213" t="str">
        <f t="shared" si="300"/>
        <v>2010</v>
      </c>
      <c r="AP707" s="213" t="str">
        <f t="shared" si="301"/>
        <v>2010</v>
      </c>
      <c r="AQ707" s="215" t="str">
        <f t="shared" si="302"/>
        <v/>
      </c>
      <c r="AR707" s="216" t="str">
        <f t="shared" si="303"/>
        <v>BiK82LK10---04</v>
      </c>
      <c r="AS707" s="215" t="str">
        <f t="shared" si="304"/>
        <v/>
      </c>
      <c r="AT707">
        <f t="shared" si="305"/>
        <v>14</v>
      </c>
      <c r="AU707" s="216" t="str">
        <f t="shared" si="306"/>
        <v>0,15-0,5 MW, Bonusregeln L und K erstmals 2010</v>
      </c>
      <c r="AV707" s="215" t="str">
        <f t="shared" si="307"/>
        <v/>
      </c>
      <c r="AW707" s="216" t="str">
        <f t="shared" si="308"/>
        <v>Anteil KWK, erstmals 2010</v>
      </c>
      <c r="AX707" s="215" t="str">
        <f t="shared" si="309"/>
        <v/>
      </c>
      <c r="AY707" t="str">
        <f t="shared" si="310"/>
        <v/>
      </c>
      <c r="AZ707" t="str">
        <f t="shared" si="311"/>
        <v/>
      </c>
    </row>
    <row r="708" spans="1:52" x14ac:dyDescent="0.25">
      <c r="A708" s="610" t="s">
        <v>5275</v>
      </c>
      <c r="B708" s="30" t="s">
        <v>5548</v>
      </c>
      <c r="C708" s="30" t="s">
        <v>4809</v>
      </c>
      <c r="D708" s="30" t="s">
        <v>7062</v>
      </c>
      <c r="E708" s="30" t="s">
        <v>3055</v>
      </c>
      <c r="F708" s="454">
        <f t="shared" si="318"/>
        <v>21.84</v>
      </c>
      <c r="G708" s="529">
        <v>21.84</v>
      </c>
      <c r="H708" s="487">
        <f t="shared" si="319"/>
        <v>17.47</v>
      </c>
      <c r="I708" s="706"/>
      <c r="J708" s="669" t="s">
        <v>5805</v>
      </c>
      <c r="K708" s="15"/>
      <c r="M708" s="49">
        <f t="shared" si="320"/>
        <v>21.84</v>
      </c>
      <c r="N708" s="41">
        <v>9.9</v>
      </c>
      <c r="O708" s="186"/>
      <c r="P708" s="177"/>
      <c r="Q708" s="178"/>
      <c r="R708" s="178"/>
      <c r="S708" s="178" t="s">
        <v>1017</v>
      </c>
      <c r="T708" t="s">
        <v>4180</v>
      </c>
      <c r="U708" s="179"/>
      <c r="V708" s="178"/>
      <c r="W708" s="180"/>
      <c r="X708" s="180"/>
      <c r="Y708" s="178"/>
      <c r="Z708" s="180"/>
      <c r="AA708" s="184"/>
      <c r="AB708" s="178" t="s">
        <v>1017</v>
      </c>
      <c r="AC708" s="180"/>
      <c r="AD708" s="182"/>
      <c r="AE708" s="200"/>
      <c r="AF708" s="180"/>
      <c r="AG708" s="201"/>
      <c r="AH708" s="212" t="str">
        <f t="shared" si="325"/>
        <v>2011</v>
      </c>
      <c r="AI708" s="214" t="str">
        <f t="shared" si="312"/>
        <v/>
      </c>
      <c r="AJ708" s="214" t="str">
        <f t="shared" si="313"/>
        <v/>
      </c>
      <c r="AK708" s="214" t="str">
        <f t="shared" si="314"/>
        <v/>
      </c>
      <c r="AL708" s="214" t="str">
        <f t="shared" si="315"/>
        <v/>
      </c>
      <c r="AM708" s="214" t="str">
        <f t="shared" si="316"/>
        <v/>
      </c>
      <c r="AN708" s="213" t="str">
        <f t="shared" si="299"/>
        <v>2011</v>
      </c>
      <c r="AO708" s="213" t="str">
        <f t="shared" si="300"/>
        <v>2011</v>
      </c>
      <c r="AP708" s="213" t="str">
        <f t="shared" si="301"/>
        <v>2011</v>
      </c>
      <c r="AQ708" s="215" t="str">
        <f t="shared" si="302"/>
        <v/>
      </c>
      <c r="AR708" s="216" t="str">
        <f t="shared" si="303"/>
        <v>BiK82LK11---04</v>
      </c>
      <c r="AS708" s="215" t="str">
        <f t="shared" si="304"/>
        <v/>
      </c>
      <c r="AT708">
        <f t="shared" si="305"/>
        <v>14</v>
      </c>
      <c r="AU708" s="216" t="str">
        <f t="shared" si="306"/>
        <v>0,15-0,5 MW, Bonusregeln L und K erstmals 2011</v>
      </c>
      <c r="AV708" s="215" t="str">
        <f t="shared" si="307"/>
        <v/>
      </c>
      <c r="AW708" s="216" t="str">
        <f t="shared" si="308"/>
        <v>Anteil KWK, erstmals 2011</v>
      </c>
      <c r="AX708" s="215" t="str">
        <f t="shared" si="309"/>
        <v/>
      </c>
      <c r="AY708" t="str">
        <f t="shared" si="310"/>
        <v>x</v>
      </c>
      <c r="AZ708" t="str">
        <f t="shared" si="311"/>
        <v/>
      </c>
    </row>
    <row r="709" spans="1:52" x14ac:dyDescent="0.25">
      <c r="A709" s="625" t="s">
        <v>1525</v>
      </c>
      <c r="B709" s="219" t="s">
        <v>5548</v>
      </c>
      <c r="C709" s="219" t="s">
        <v>4809</v>
      </c>
      <c r="D709" s="219" t="s">
        <v>7063</v>
      </c>
      <c r="E709" s="219" t="s">
        <v>1980</v>
      </c>
      <c r="F709" s="455">
        <f t="shared" si="318"/>
        <v>21.810000000000002</v>
      </c>
      <c r="G709" s="530">
        <v>21.810000000000002</v>
      </c>
      <c r="H709" s="488">
        <f t="shared" si="319"/>
        <v>17.45</v>
      </c>
      <c r="I709" s="707"/>
      <c r="J709" s="669" t="s">
        <v>5805</v>
      </c>
      <c r="K709" s="15"/>
      <c r="M709" s="49">
        <f t="shared" si="320"/>
        <v>21.810000000000002</v>
      </c>
      <c r="N709" s="41">
        <v>9.9</v>
      </c>
      <c r="O709" s="186"/>
      <c r="P709" s="177"/>
      <c r="Q709" s="178"/>
      <c r="R709" s="178"/>
      <c r="S709" s="178" t="s">
        <v>4180</v>
      </c>
      <c r="T709" t="s">
        <v>1017</v>
      </c>
      <c r="U709" s="179"/>
      <c r="V709" s="178"/>
      <c r="W709" s="180"/>
      <c r="X709" s="180"/>
      <c r="Y709" s="178"/>
      <c r="Z709" s="180"/>
      <c r="AA709" s="184"/>
      <c r="AB709" s="178" t="s">
        <v>1017</v>
      </c>
      <c r="AC709" s="180"/>
      <c r="AD709" s="182"/>
      <c r="AE709" s="200"/>
      <c r="AF709" s="180"/>
      <c r="AG709" s="201"/>
      <c r="AH709" s="217" t="s">
        <v>4179</v>
      </c>
      <c r="AI709" s="214" t="str">
        <f t="shared" si="312"/>
        <v/>
      </c>
      <c r="AJ709" s="214" t="str">
        <f t="shared" si="313"/>
        <v/>
      </c>
      <c r="AK709" s="214" t="str">
        <f t="shared" si="314"/>
        <v/>
      </c>
      <c r="AL709" s="214" t="str">
        <f t="shared" si="315"/>
        <v/>
      </c>
      <c r="AM709" s="214" t="str">
        <f t="shared" si="316"/>
        <v/>
      </c>
      <c r="AN709" s="213" t="str">
        <f t="shared" si="299"/>
        <v>2012</v>
      </c>
      <c r="AO709" s="213" t="str">
        <f t="shared" si="300"/>
        <v>2012</v>
      </c>
      <c r="AP709" s="213" t="str">
        <f t="shared" si="301"/>
        <v>2012</v>
      </c>
      <c r="AQ709" s="215" t="str">
        <f t="shared" si="302"/>
        <v/>
      </c>
      <c r="AR709" s="216" t="str">
        <f t="shared" si="303"/>
        <v>BiK82LK12---04</v>
      </c>
      <c r="AS709" s="215" t="str">
        <f t="shared" si="304"/>
        <v/>
      </c>
      <c r="AT709">
        <f t="shared" si="305"/>
        <v>14</v>
      </c>
      <c r="AU709" s="216" t="str">
        <f t="shared" si="306"/>
        <v>0,15-0,5 MW, Bonusregeln L und K erstmals 2012</v>
      </c>
      <c r="AV709" s="215" t="str">
        <f t="shared" si="307"/>
        <v/>
      </c>
      <c r="AW709" s="216" t="str">
        <f t="shared" si="308"/>
        <v>Anteil KWK, erstmals 2012</v>
      </c>
      <c r="AX709" s="215" t="str">
        <f t="shared" si="309"/>
        <v/>
      </c>
      <c r="AY709" t="str">
        <f t="shared" si="310"/>
        <v/>
      </c>
      <c r="AZ709" t="str">
        <f t="shared" si="311"/>
        <v>x</v>
      </c>
    </row>
    <row r="710" spans="1:52" x14ac:dyDescent="0.25">
      <c r="A710" s="610" t="s">
        <v>998</v>
      </c>
      <c r="B710" s="30" t="s">
        <v>5548</v>
      </c>
      <c r="C710" s="30" t="s">
        <v>4809</v>
      </c>
      <c r="D710" s="30" t="s">
        <v>7064</v>
      </c>
      <c r="E710" s="30" t="s">
        <v>4810</v>
      </c>
      <c r="F710" s="454">
        <f t="shared" si="318"/>
        <v>19.899999999999999</v>
      </c>
      <c r="G710" s="529">
        <v>19.899999999999999</v>
      </c>
      <c r="H710" s="487">
        <f t="shared" si="319"/>
        <v>15.92</v>
      </c>
      <c r="I710" s="706"/>
      <c r="J710" s="669" t="s">
        <v>5805</v>
      </c>
      <c r="K710" s="15"/>
      <c r="M710" s="49">
        <f t="shared" si="320"/>
        <v>19.899999999999999</v>
      </c>
      <c r="N710" s="41">
        <v>9.9</v>
      </c>
      <c r="O710" s="187"/>
      <c r="P710" s="183"/>
      <c r="Q710" s="184"/>
      <c r="R710" s="184"/>
      <c r="S710" s="184" t="s">
        <v>4180</v>
      </c>
      <c r="T710" t="s">
        <v>4180</v>
      </c>
      <c r="U710" s="185" t="s">
        <v>1017</v>
      </c>
      <c r="V710" s="184"/>
      <c r="W710" s="180"/>
      <c r="X710" s="180"/>
      <c r="Y710" s="178"/>
      <c r="Z710" s="180"/>
      <c r="AA710" s="184"/>
      <c r="AB710" s="184" t="s">
        <v>1017</v>
      </c>
      <c r="AC710" s="180"/>
      <c r="AD710" s="182"/>
      <c r="AE710" s="181"/>
      <c r="AF710" s="180"/>
      <c r="AG710" s="201"/>
      <c r="AH710" s="212" t="str">
        <f t="shared" ref="AH710:AH715" si="326">IF(ISERROR(SEARCH("K erstmals 201",D710)),"",RIGHT(D710,4))</f>
        <v/>
      </c>
      <c r="AI710" s="214" t="str">
        <f t="shared" si="312"/>
        <v/>
      </c>
      <c r="AJ710" s="214" t="str">
        <f t="shared" si="313"/>
        <v/>
      </c>
      <c r="AK710" s="214" t="str">
        <f t="shared" si="314"/>
        <v/>
      </c>
      <c r="AL710" s="214" t="str">
        <f t="shared" si="315"/>
        <v/>
      </c>
      <c r="AM710" s="214" t="str">
        <f t="shared" si="316"/>
        <v/>
      </c>
      <c r="AN710" s="213" t="str">
        <f t="shared" si="299"/>
        <v/>
      </c>
      <c r="AO710" s="213" t="str">
        <f t="shared" si="300"/>
        <v/>
      </c>
      <c r="AP710" s="213" t="str">
        <f t="shared" si="301"/>
        <v/>
      </c>
      <c r="AQ710" s="215" t="str">
        <f t="shared" si="302"/>
        <v/>
      </c>
      <c r="AR710" s="216" t="str">
        <f t="shared" si="303"/>
        <v>BiK82Ly-----04</v>
      </c>
      <c r="AS710" s="215" t="str">
        <f t="shared" si="304"/>
        <v/>
      </c>
      <c r="AT710">
        <f t="shared" si="305"/>
        <v>14</v>
      </c>
      <c r="AU710" s="216" t="str">
        <f t="shared" si="306"/>
        <v>0,15-0,5 MW, Bonusregeln L, y</v>
      </c>
      <c r="AV710" s="215" t="str">
        <f t="shared" si="307"/>
        <v/>
      </c>
      <c r="AW710" s="216" t="str">
        <f t="shared" si="308"/>
        <v>Anteil Nicht-KWK</v>
      </c>
      <c r="AX710" s="215" t="str">
        <f t="shared" si="309"/>
        <v/>
      </c>
      <c r="AY710" t="str">
        <f t="shared" si="310"/>
        <v/>
      </c>
      <c r="AZ710" t="str">
        <f t="shared" si="311"/>
        <v/>
      </c>
    </row>
    <row r="711" spans="1:52" x14ac:dyDescent="0.25">
      <c r="A711" s="610" t="s">
        <v>999</v>
      </c>
      <c r="B711" s="30" t="s">
        <v>5548</v>
      </c>
      <c r="C711" s="30" t="s">
        <v>4809</v>
      </c>
      <c r="D711" s="30" t="s">
        <v>7127</v>
      </c>
      <c r="E711" s="30" t="s">
        <v>4812</v>
      </c>
      <c r="F711" s="454">
        <f t="shared" si="318"/>
        <v>21.9</v>
      </c>
      <c r="G711" s="529">
        <v>21.9</v>
      </c>
      <c r="H711" s="487">
        <f t="shared" si="319"/>
        <v>17.52</v>
      </c>
      <c r="I711" s="706"/>
      <c r="J711" s="669" t="s">
        <v>5805</v>
      </c>
      <c r="K711" s="15"/>
      <c r="M711" s="49">
        <f t="shared" si="320"/>
        <v>21.9</v>
      </c>
      <c r="N711" s="41">
        <v>9.9</v>
      </c>
      <c r="O711" s="187" t="s">
        <v>1017</v>
      </c>
      <c r="P711" s="183"/>
      <c r="Q711" s="184"/>
      <c r="R711" s="184"/>
      <c r="S711" s="184" t="s">
        <v>4180</v>
      </c>
      <c r="T711" t="s">
        <v>4180</v>
      </c>
      <c r="U711" s="185" t="s">
        <v>1017</v>
      </c>
      <c r="V711" s="184"/>
      <c r="W711" s="180"/>
      <c r="X711" s="180"/>
      <c r="Y711" s="178"/>
      <c r="Z711" s="180"/>
      <c r="AA711" s="184"/>
      <c r="AB711" s="184" t="s">
        <v>1017</v>
      </c>
      <c r="AC711" s="180"/>
      <c r="AD711" s="182"/>
      <c r="AE711" s="181"/>
      <c r="AF711" s="180"/>
      <c r="AG711" s="201"/>
      <c r="AH711" s="212" t="str">
        <f t="shared" si="326"/>
        <v/>
      </c>
      <c r="AI711" s="214" t="str">
        <f t="shared" si="312"/>
        <v/>
      </c>
      <c r="AJ711" s="214" t="str">
        <f t="shared" si="313"/>
        <v/>
      </c>
      <c r="AK711" s="214" t="str">
        <f t="shared" si="314"/>
        <v/>
      </c>
      <c r="AL711" s="214" t="str">
        <f t="shared" si="315"/>
        <v/>
      </c>
      <c r="AM711" s="214" t="str">
        <f t="shared" si="316"/>
        <v/>
      </c>
      <c r="AN711" s="213" t="str">
        <f t="shared" si="299"/>
        <v/>
      </c>
      <c r="AO711" s="213" t="str">
        <f t="shared" si="300"/>
        <v/>
      </c>
      <c r="AP711" s="213" t="str">
        <f t="shared" si="301"/>
        <v/>
      </c>
      <c r="AQ711" s="215" t="str">
        <f t="shared" si="302"/>
        <v/>
      </c>
      <c r="AR711" s="216" t="str">
        <f t="shared" si="303"/>
        <v>BiK82LKWKy--04</v>
      </c>
      <c r="AS711" s="215" t="str">
        <f t="shared" si="304"/>
        <v/>
      </c>
      <c r="AT711">
        <f t="shared" si="305"/>
        <v>14</v>
      </c>
      <c r="AU711" s="216" t="str">
        <f t="shared" si="306"/>
        <v>0,15-0,5 MW, Bonusregeln L, y und KWK</v>
      </c>
      <c r="AV711" s="215" t="str">
        <f t="shared" si="307"/>
        <v/>
      </c>
      <c r="AW711" s="216" t="str">
        <f t="shared" si="308"/>
        <v>Anteil KWK</v>
      </c>
      <c r="AX711" s="215" t="str">
        <f t="shared" si="309"/>
        <v/>
      </c>
      <c r="AY711" t="str">
        <f t="shared" si="310"/>
        <v/>
      </c>
      <c r="AZ711" t="str">
        <f t="shared" si="311"/>
        <v/>
      </c>
    </row>
    <row r="712" spans="1:52" x14ac:dyDescent="0.25">
      <c r="A712" s="610" t="s">
        <v>1000</v>
      </c>
      <c r="B712" s="30" t="s">
        <v>5548</v>
      </c>
      <c r="C712" s="30" t="s">
        <v>4809</v>
      </c>
      <c r="D712" s="109" t="s">
        <v>7065</v>
      </c>
      <c r="E712" s="30" t="s">
        <v>4331</v>
      </c>
      <c r="F712" s="454">
        <f t="shared" si="318"/>
        <v>22.9</v>
      </c>
      <c r="G712" s="529">
        <v>22.9</v>
      </c>
      <c r="H712" s="487">
        <f t="shared" si="319"/>
        <v>18.32</v>
      </c>
      <c r="I712" s="706"/>
      <c r="J712" s="669" t="s">
        <v>5805</v>
      </c>
      <c r="K712" s="15"/>
      <c r="M712" s="49">
        <f t="shared" si="320"/>
        <v>22.9</v>
      </c>
      <c r="N712" s="41">
        <v>9.9</v>
      </c>
      <c r="O712" s="187"/>
      <c r="P712" s="184" t="s">
        <v>1017</v>
      </c>
      <c r="Q712" s="184"/>
      <c r="R712" s="184"/>
      <c r="S712" s="184" t="s">
        <v>4180</v>
      </c>
      <c r="T712" t="s">
        <v>4180</v>
      </c>
      <c r="U712" s="185" t="s">
        <v>1017</v>
      </c>
      <c r="V712" s="184"/>
      <c r="W712" s="180"/>
      <c r="X712" s="180"/>
      <c r="Y712" s="178"/>
      <c r="Z712" s="180"/>
      <c r="AA712" s="184"/>
      <c r="AB712" s="184" t="s">
        <v>1017</v>
      </c>
      <c r="AC712" s="180"/>
      <c r="AD712" s="182"/>
      <c r="AE712" s="181"/>
      <c r="AF712" s="180"/>
      <c r="AG712" s="201"/>
      <c r="AH712" s="212" t="str">
        <f t="shared" si="326"/>
        <v/>
      </c>
      <c r="AI712" s="214" t="str">
        <f t="shared" si="312"/>
        <v/>
      </c>
      <c r="AJ712" s="214" t="str">
        <f t="shared" si="313"/>
        <v/>
      </c>
      <c r="AK712" s="214" t="str">
        <f t="shared" si="314"/>
        <v/>
      </c>
      <c r="AL712" s="214" t="str">
        <f t="shared" si="315"/>
        <v/>
      </c>
      <c r="AM712" s="214" t="str">
        <f t="shared" si="316"/>
        <v/>
      </c>
      <c r="AN712" s="213" t="str">
        <f t="shared" si="299"/>
        <v/>
      </c>
      <c r="AO712" s="213" t="str">
        <f t="shared" si="300"/>
        <v/>
      </c>
      <c r="AP712" s="213" t="str">
        <f t="shared" si="301"/>
        <v/>
      </c>
      <c r="AQ712" s="215" t="str">
        <f t="shared" si="302"/>
        <v/>
      </c>
      <c r="AR712" s="216" t="str">
        <f t="shared" si="303"/>
        <v>BiK82LKA3y--04</v>
      </c>
      <c r="AS712" s="215" t="str">
        <f t="shared" si="304"/>
        <v/>
      </c>
      <c r="AT712">
        <f t="shared" si="305"/>
        <v>14</v>
      </c>
      <c r="AU712" s="216" t="str">
        <f t="shared" si="306"/>
        <v>0,15-0,5 MW, Bonusregeln L, y und K wenn Anlage 3 erfüllt</v>
      </c>
      <c r="AV712" s="215" t="str">
        <f t="shared" si="307"/>
        <v/>
      </c>
      <c r="AW712" s="216" t="str">
        <f t="shared" si="308"/>
        <v>Anteil KWK gemäß Anlage 3</v>
      </c>
      <c r="AX712" s="215" t="str">
        <f t="shared" si="309"/>
        <v/>
      </c>
      <c r="AY712" t="str">
        <f t="shared" si="310"/>
        <v/>
      </c>
      <c r="AZ712" t="str">
        <f t="shared" si="311"/>
        <v/>
      </c>
    </row>
    <row r="713" spans="1:52" x14ac:dyDescent="0.25">
      <c r="A713" s="610" t="s">
        <v>1001</v>
      </c>
      <c r="B713" s="30" t="s">
        <v>5548</v>
      </c>
      <c r="C713" s="30" t="s">
        <v>4809</v>
      </c>
      <c r="D713" s="30" t="s">
        <v>7066</v>
      </c>
      <c r="E713" s="30" t="s">
        <v>674</v>
      </c>
      <c r="F713" s="454">
        <f t="shared" si="318"/>
        <v>22.9</v>
      </c>
      <c r="G713" s="529">
        <v>22.9</v>
      </c>
      <c r="H713" s="487">
        <f t="shared" si="319"/>
        <v>18.32</v>
      </c>
      <c r="I713" s="706"/>
      <c r="J713" s="669" t="s">
        <v>5805</v>
      </c>
      <c r="K713" s="15"/>
      <c r="M713" s="49">
        <f t="shared" si="320"/>
        <v>22.9</v>
      </c>
      <c r="N713" s="41">
        <v>9.9</v>
      </c>
      <c r="O713" s="187"/>
      <c r="P713" s="183"/>
      <c r="Q713" s="184" t="s">
        <v>1017</v>
      </c>
      <c r="R713" s="184"/>
      <c r="S713" s="184" t="s">
        <v>4180</v>
      </c>
      <c r="T713" t="s">
        <v>4180</v>
      </c>
      <c r="U713" s="185" t="s">
        <v>1017</v>
      </c>
      <c r="V713" s="184"/>
      <c r="W713" s="180"/>
      <c r="X713" s="180"/>
      <c r="Y713" s="178"/>
      <c r="Z713" s="180"/>
      <c r="AA713" s="184"/>
      <c r="AB713" s="184" t="s">
        <v>1017</v>
      </c>
      <c r="AC713" s="180"/>
      <c r="AD713" s="182"/>
      <c r="AE713" s="181"/>
      <c r="AF713" s="180"/>
      <c r="AG713" s="201"/>
      <c r="AH713" s="212" t="str">
        <f t="shared" si="326"/>
        <v/>
      </c>
      <c r="AI713" s="214" t="str">
        <f t="shared" si="312"/>
        <v/>
      </c>
      <c r="AJ713" s="214" t="str">
        <f t="shared" si="313"/>
        <v/>
      </c>
      <c r="AK713" s="214" t="str">
        <f t="shared" si="314"/>
        <v/>
      </c>
      <c r="AL713" s="214" t="str">
        <f t="shared" si="315"/>
        <v/>
      </c>
      <c r="AM713" s="214" t="str">
        <f t="shared" si="316"/>
        <v/>
      </c>
      <c r="AN713" s="213" t="str">
        <f t="shared" si="299"/>
        <v/>
      </c>
      <c r="AO713" s="213" t="str">
        <f t="shared" si="300"/>
        <v/>
      </c>
      <c r="AP713" s="213" t="str">
        <f t="shared" si="301"/>
        <v/>
      </c>
      <c r="AQ713" s="215" t="str">
        <f t="shared" si="302"/>
        <v/>
      </c>
      <c r="AR713" s="216" t="str">
        <f t="shared" si="303"/>
        <v>BiK82LK09y--04</v>
      </c>
      <c r="AS713" s="215" t="str">
        <f t="shared" si="304"/>
        <v/>
      </c>
      <c r="AT713">
        <f t="shared" si="305"/>
        <v>14</v>
      </c>
      <c r="AU713" s="216" t="str">
        <f t="shared" si="306"/>
        <v>0,15-0,5 MW, Bonusregeln L, y und K erstmals 2009</v>
      </c>
      <c r="AV713" s="215" t="str">
        <f t="shared" si="307"/>
        <v/>
      </c>
      <c r="AW713" s="216" t="str">
        <f t="shared" si="308"/>
        <v>Anteil KWK, erstmals 2009</v>
      </c>
      <c r="AX713" s="215" t="str">
        <f t="shared" si="309"/>
        <v/>
      </c>
      <c r="AY713" t="str">
        <f t="shared" si="310"/>
        <v/>
      </c>
      <c r="AZ713" t="str">
        <f t="shared" si="311"/>
        <v/>
      </c>
    </row>
    <row r="714" spans="1:52" x14ac:dyDescent="0.25">
      <c r="A714" s="610" t="s">
        <v>1454</v>
      </c>
      <c r="B714" s="30" t="s">
        <v>5548</v>
      </c>
      <c r="C714" s="30" t="s">
        <v>4809</v>
      </c>
      <c r="D714" s="30" t="s">
        <v>7067</v>
      </c>
      <c r="E714" s="30" t="s">
        <v>3567</v>
      </c>
      <c r="F714" s="454">
        <f t="shared" si="318"/>
        <v>22.87</v>
      </c>
      <c r="G714" s="529">
        <v>22.87</v>
      </c>
      <c r="H714" s="487">
        <f t="shared" si="319"/>
        <v>18.3</v>
      </c>
      <c r="I714" s="706"/>
      <c r="J714" s="669" t="s">
        <v>5805</v>
      </c>
      <c r="K714" s="15"/>
      <c r="M714" s="49">
        <f t="shared" si="320"/>
        <v>22.87</v>
      </c>
      <c r="N714" s="41">
        <v>9.9</v>
      </c>
      <c r="O714" s="187"/>
      <c r="P714" s="183"/>
      <c r="Q714" s="184"/>
      <c r="R714" s="184" t="s">
        <v>1017</v>
      </c>
      <c r="S714" s="184" t="s">
        <v>4180</v>
      </c>
      <c r="T714" t="s">
        <v>4180</v>
      </c>
      <c r="U714" s="185" t="s">
        <v>1017</v>
      </c>
      <c r="V714" s="184"/>
      <c r="W714" s="180"/>
      <c r="X714" s="180"/>
      <c r="Y714" s="178"/>
      <c r="Z714" s="180"/>
      <c r="AA714" s="184"/>
      <c r="AB714" s="184" t="s">
        <v>1017</v>
      </c>
      <c r="AC714" s="180"/>
      <c r="AD714" s="182"/>
      <c r="AE714" s="181"/>
      <c r="AF714" s="180"/>
      <c r="AG714" s="201"/>
      <c r="AH714" s="212" t="str">
        <f t="shared" si="326"/>
        <v>2010</v>
      </c>
      <c r="AI714" s="214" t="str">
        <f t="shared" si="312"/>
        <v/>
      </c>
      <c r="AJ714" s="214" t="str">
        <f t="shared" si="313"/>
        <v/>
      </c>
      <c r="AK714" s="214" t="str">
        <f t="shared" si="314"/>
        <v/>
      </c>
      <c r="AL714" s="214" t="str">
        <f t="shared" si="315"/>
        <v/>
      </c>
      <c r="AM714" s="214" t="str">
        <f t="shared" si="316"/>
        <v/>
      </c>
      <c r="AN714" s="213" t="str">
        <f t="shared" si="299"/>
        <v>2010</v>
      </c>
      <c r="AO714" s="213" t="str">
        <f t="shared" si="300"/>
        <v>2010</v>
      </c>
      <c r="AP714" s="213" t="str">
        <f t="shared" si="301"/>
        <v>2010</v>
      </c>
      <c r="AQ714" s="215" t="str">
        <f t="shared" si="302"/>
        <v/>
      </c>
      <c r="AR714" s="216" t="str">
        <f t="shared" si="303"/>
        <v>BiK82LK10y--04</v>
      </c>
      <c r="AS714" s="215" t="str">
        <f t="shared" si="304"/>
        <v/>
      </c>
      <c r="AT714">
        <f t="shared" si="305"/>
        <v>14</v>
      </c>
      <c r="AU714" s="216" t="str">
        <f t="shared" si="306"/>
        <v>0,15-0,5 MW, Bonusregeln L, y und K erstmals 2010</v>
      </c>
      <c r="AV714" s="215" t="str">
        <f t="shared" si="307"/>
        <v/>
      </c>
      <c r="AW714" s="216" t="str">
        <f t="shared" si="308"/>
        <v>Anteil KWK, erstmals 2010</v>
      </c>
      <c r="AX714" s="215" t="str">
        <f t="shared" si="309"/>
        <v/>
      </c>
      <c r="AY714" t="str">
        <f t="shared" si="310"/>
        <v/>
      </c>
      <c r="AZ714" t="str">
        <f t="shared" si="311"/>
        <v/>
      </c>
    </row>
    <row r="715" spans="1:52" x14ac:dyDescent="0.25">
      <c r="A715" s="610" t="s">
        <v>5276</v>
      </c>
      <c r="B715" s="30" t="s">
        <v>5548</v>
      </c>
      <c r="C715" s="30" t="s">
        <v>4809</v>
      </c>
      <c r="D715" s="30" t="s">
        <v>7068</v>
      </c>
      <c r="E715" s="30" t="s">
        <v>3055</v>
      </c>
      <c r="F715" s="454">
        <f t="shared" si="318"/>
        <v>22.84</v>
      </c>
      <c r="G715" s="529">
        <v>22.84</v>
      </c>
      <c r="H715" s="487">
        <f t="shared" si="319"/>
        <v>18.27</v>
      </c>
      <c r="I715" s="706"/>
      <c r="J715" s="669" t="s">
        <v>5805</v>
      </c>
      <c r="K715" s="15"/>
      <c r="M715" s="49">
        <f t="shared" si="320"/>
        <v>22.84</v>
      </c>
      <c r="N715" s="41">
        <v>9.9</v>
      </c>
      <c r="O715" s="187"/>
      <c r="P715" s="183"/>
      <c r="Q715" s="184"/>
      <c r="R715" s="178"/>
      <c r="S715" s="184" t="s">
        <v>1017</v>
      </c>
      <c r="T715" t="s">
        <v>4180</v>
      </c>
      <c r="U715" s="185" t="s">
        <v>1017</v>
      </c>
      <c r="V715" s="184"/>
      <c r="W715" s="180"/>
      <c r="X715" s="180"/>
      <c r="Y715" s="178"/>
      <c r="Z715" s="180"/>
      <c r="AA715" s="184"/>
      <c r="AB715" s="184" t="s">
        <v>1017</v>
      </c>
      <c r="AC715" s="180"/>
      <c r="AD715" s="182"/>
      <c r="AE715" s="181"/>
      <c r="AF715" s="180"/>
      <c r="AG715" s="201"/>
      <c r="AH715" s="212" t="str">
        <f t="shared" si="326"/>
        <v>2011</v>
      </c>
      <c r="AI715" s="214" t="str">
        <f t="shared" si="312"/>
        <v/>
      </c>
      <c r="AJ715" s="214" t="str">
        <f t="shared" si="313"/>
        <v/>
      </c>
      <c r="AK715" s="214" t="str">
        <f t="shared" si="314"/>
        <v/>
      </c>
      <c r="AL715" s="214" t="str">
        <f t="shared" si="315"/>
        <v/>
      </c>
      <c r="AM715" s="214" t="str">
        <f t="shared" si="316"/>
        <v/>
      </c>
      <c r="AN715" s="213" t="str">
        <f t="shared" si="299"/>
        <v>2011</v>
      </c>
      <c r="AO715" s="213" t="str">
        <f t="shared" si="300"/>
        <v>2011</v>
      </c>
      <c r="AP715" s="213" t="str">
        <f t="shared" si="301"/>
        <v>2011</v>
      </c>
      <c r="AQ715" s="215" t="str">
        <f t="shared" si="302"/>
        <v/>
      </c>
      <c r="AR715" s="216" t="str">
        <f t="shared" si="303"/>
        <v>BiK82LK11y--04</v>
      </c>
      <c r="AS715" s="215" t="str">
        <f t="shared" si="304"/>
        <v/>
      </c>
      <c r="AT715">
        <f t="shared" si="305"/>
        <v>14</v>
      </c>
      <c r="AU715" s="216" t="str">
        <f t="shared" si="306"/>
        <v>0,15-0,5 MW, Bonusregeln L, y und K erstmals 2011</v>
      </c>
      <c r="AV715" s="215" t="str">
        <f t="shared" si="307"/>
        <v/>
      </c>
      <c r="AW715" s="216" t="str">
        <f t="shared" si="308"/>
        <v>Anteil KWK, erstmals 2011</v>
      </c>
      <c r="AX715" s="215" t="str">
        <f t="shared" si="309"/>
        <v/>
      </c>
      <c r="AY715" t="str">
        <f t="shared" si="310"/>
        <v>x</v>
      </c>
      <c r="AZ715" t="str">
        <f t="shared" si="311"/>
        <v/>
      </c>
    </row>
    <row r="716" spans="1:52" x14ac:dyDescent="0.25">
      <c r="A716" s="625" t="s">
        <v>1526</v>
      </c>
      <c r="B716" s="219" t="s">
        <v>5548</v>
      </c>
      <c r="C716" s="219" t="s">
        <v>4809</v>
      </c>
      <c r="D716" s="219" t="s">
        <v>7069</v>
      </c>
      <c r="E716" s="219" t="s">
        <v>1980</v>
      </c>
      <c r="F716" s="455">
        <f t="shared" si="318"/>
        <v>22.810000000000002</v>
      </c>
      <c r="G716" s="530">
        <v>22.810000000000002</v>
      </c>
      <c r="H716" s="488">
        <f t="shared" si="319"/>
        <v>18.25</v>
      </c>
      <c r="I716" s="707"/>
      <c r="J716" s="669" t="s">
        <v>5805</v>
      </c>
      <c r="K716" s="15"/>
      <c r="M716" s="49">
        <f t="shared" si="320"/>
        <v>22.810000000000002</v>
      </c>
      <c r="N716" s="41">
        <v>9.9</v>
      </c>
      <c r="O716" s="187"/>
      <c r="P716" s="183"/>
      <c r="Q716" s="184"/>
      <c r="R716" s="178"/>
      <c r="S716" s="184" t="s">
        <v>4180</v>
      </c>
      <c r="T716" t="s">
        <v>1017</v>
      </c>
      <c r="U716" s="185" t="s">
        <v>1017</v>
      </c>
      <c r="V716" s="184"/>
      <c r="W716" s="180"/>
      <c r="X716" s="180"/>
      <c r="Y716" s="178"/>
      <c r="Z716" s="180"/>
      <c r="AA716" s="184"/>
      <c r="AB716" s="184" t="s">
        <v>1017</v>
      </c>
      <c r="AC716" s="180"/>
      <c r="AD716" s="182"/>
      <c r="AE716" s="181"/>
      <c r="AF716" s="180"/>
      <c r="AG716" s="201"/>
      <c r="AH716" s="217" t="s">
        <v>4179</v>
      </c>
      <c r="AI716" s="214" t="str">
        <f t="shared" si="312"/>
        <v/>
      </c>
      <c r="AJ716" s="214" t="str">
        <f t="shared" si="313"/>
        <v/>
      </c>
      <c r="AK716" s="214" t="str">
        <f t="shared" si="314"/>
        <v/>
      </c>
      <c r="AL716" s="214" t="str">
        <f t="shared" si="315"/>
        <v/>
      </c>
      <c r="AM716" s="214" t="str">
        <f t="shared" si="316"/>
        <v/>
      </c>
      <c r="AN716" s="213" t="str">
        <f t="shared" si="299"/>
        <v>2012</v>
      </c>
      <c r="AO716" s="213" t="str">
        <f t="shared" si="300"/>
        <v>2012</v>
      </c>
      <c r="AP716" s="213" t="str">
        <f t="shared" si="301"/>
        <v>2012</v>
      </c>
      <c r="AQ716" s="215" t="str">
        <f t="shared" si="302"/>
        <v/>
      </c>
      <c r="AR716" s="216" t="str">
        <f t="shared" si="303"/>
        <v>BiK82LK12y--04</v>
      </c>
      <c r="AS716" s="215" t="str">
        <f t="shared" si="304"/>
        <v/>
      </c>
      <c r="AT716">
        <f t="shared" si="305"/>
        <v>14</v>
      </c>
      <c r="AU716" s="216" t="str">
        <f t="shared" si="306"/>
        <v>0,15-0,5 MW, Bonusregeln L, y und K erstmals 2012</v>
      </c>
      <c r="AV716" s="215" t="str">
        <f t="shared" si="307"/>
        <v/>
      </c>
      <c r="AW716" s="216" t="str">
        <f t="shared" si="308"/>
        <v>Anteil KWK, erstmals 2012</v>
      </c>
      <c r="AX716" s="215" t="str">
        <f t="shared" si="309"/>
        <v/>
      </c>
      <c r="AY716" t="str">
        <f t="shared" si="310"/>
        <v/>
      </c>
      <c r="AZ716" t="str">
        <f t="shared" si="311"/>
        <v>x</v>
      </c>
    </row>
    <row r="717" spans="1:52" x14ac:dyDescent="0.25">
      <c r="A717" s="610" t="s">
        <v>1002</v>
      </c>
      <c r="B717" s="30" t="s">
        <v>5548</v>
      </c>
      <c r="C717" s="30" t="s">
        <v>4809</v>
      </c>
      <c r="D717" s="30" t="s">
        <v>7070</v>
      </c>
      <c r="E717" s="30" t="s">
        <v>4810</v>
      </c>
      <c r="F717" s="454">
        <f t="shared" si="318"/>
        <v>19.899999999999999</v>
      </c>
      <c r="G717" s="529">
        <v>19.899999999999999</v>
      </c>
      <c r="H717" s="487">
        <f t="shared" si="319"/>
        <v>15.92</v>
      </c>
      <c r="I717" s="706"/>
      <c r="J717" s="669" t="s">
        <v>5805</v>
      </c>
      <c r="K717" s="15"/>
      <c r="M717" s="49">
        <f t="shared" si="320"/>
        <v>19.899999999999999</v>
      </c>
      <c r="N717" s="41">
        <v>9.9</v>
      </c>
      <c r="O717" s="186"/>
      <c r="P717" s="177"/>
      <c r="Q717" s="178"/>
      <c r="R717" s="178"/>
      <c r="S717" s="178" t="s">
        <v>4180</v>
      </c>
      <c r="T717" t="s">
        <v>4180</v>
      </c>
      <c r="U717" s="179"/>
      <c r="V717" s="178"/>
      <c r="W717" s="180"/>
      <c r="X717" s="180"/>
      <c r="Y717" s="178"/>
      <c r="Z717" s="180"/>
      <c r="AA717" s="184"/>
      <c r="AB717" s="178"/>
      <c r="AC717" s="180"/>
      <c r="AD717" s="199" t="s">
        <v>1017</v>
      </c>
      <c r="AE717" s="200"/>
      <c r="AF717" s="180"/>
      <c r="AG717" s="201"/>
      <c r="AH717" s="212" t="str">
        <f t="shared" ref="AH717:AH722" si="327">IF(ISERROR(SEARCH("K erstmals 201",D717)),"",RIGHT(D717,4))</f>
        <v/>
      </c>
      <c r="AI717" s="214" t="str">
        <f t="shared" si="312"/>
        <v/>
      </c>
      <c r="AJ717" s="214" t="str">
        <f t="shared" si="313"/>
        <v/>
      </c>
      <c r="AK717" s="214" t="str">
        <f t="shared" si="314"/>
        <v/>
      </c>
      <c r="AL717" s="214" t="str">
        <f t="shared" si="315"/>
        <v/>
      </c>
      <c r="AM717" s="214" t="str">
        <f t="shared" si="316"/>
        <v/>
      </c>
      <c r="AN717" s="213" t="str">
        <f t="shared" si="299"/>
        <v/>
      </c>
      <c r="AO717" s="213" t="str">
        <f t="shared" si="300"/>
        <v/>
      </c>
      <c r="AP717" s="213" t="str">
        <f t="shared" si="301"/>
        <v/>
      </c>
      <c r="AQ717" s="215" t="str">
        <f t="shared" si="302"/>
        <v/>
      </c>
      <c r="AR717" s="216" t="str">
        <f t="shared" si="303"/>
        <v>BiK82X2-----04</v>
      </c>
      <c r="AS717" s="215" t="str">
        <f t="shared" si="304"/>
        <v/>
      </c>
      <c r="AT717">
        <f t="shared" si="305"/>
        <v>14</v>
      </c>
      <c r="AU717" s="216" t="str">
        <f t="shared" si="306"/>
        <v>0,15-0,5 MW, Bonusregel X2</v>
      </c>
      <c r="AV717" s="215" t="str">
        <f t="shared" si="307"/>
        <v/>
      </c>
      <c r="AW717" s="216" t="str">
        <f t="shared" si="308"/>
        <v>Anteil Nicht-KWK</v>
      </c>
      <c r="AX717" s="215" t="str">
        <f t="shared" si="309"/>
        <v/>
      </c>
      <c r="AY717" t="str">
        <f t="shared" si="310"/>
        <v/>
      </c>
      <c r="AZ717" t="str">
        <f t="shared" si="311"/>
        <v/>
      </c>
    </row>
    <row r="718" spans="1:52" x14ac:dyDescent="0.25">
      <c r="A718" s="610" t="s">
        <v>1003</v>
      </c>
      <c r="B718" s="30" t="s">
        <v>5548</v>
      </c>
      <c r="C718" s="30" t="s">
        <v>4809</v>
      </c>
      <c r="D718" s="30" t="s">
        <v>7128</v>
      </c>
      <c r="E718" s="30" t="s">
        <v>4812</v>
      </c>
      <c r="F718" s="454">
        <f t="shared" si="318"/>
        <v>21.9</v>
      </c>
      <c r="G718" s="529">
        <v>21.9</v>
      </c>
      <c r="H718" s="487">
        <f t="shared" si="319"/>
        <v>17.52</v>
      </c>
      <c r="I718" s="706"/>
      <c r="J718" s="669" t="s">
        <v>5805</v>
      </c>
      <c r="K718" s="15"/>
      <c r="M718" s="49">
        <f t="shared" si="320"/>
        <v>21.9</v>
      </c>
      <c r="N718" s="41">
        <v>9.9</v>
      </c>
      <c r="O718" s="186" t="s">
        <v>1017</v>
      </c>
      <c r="P718" s="177"/>
      <c r="Q718" s="178"/>
      <c r="R718" s="178"/>
      <c r="S718" s="178" t="s">
        <v>4180</v>
      </c>
      <c r="T718" t="s">
        <v>4180</v>
      </c>
      <c r="U718" s="179"/>
      <c r="V718" s="178"/>
      <c r="W718" s="180"/>
      <c r="X718" s="180"/>
      <c r="Y718" s="178"/>
      <c r="Z718" s="180"/>
      <c r="AA718" s="184"/>
      <c r="AB718" s="178"/>
      <c r="AC718" s="180"/>
      <c r="AD718" s="199" t="s">
        <v>1017</v>
      </c>
      <c r="AE718" s="200"/>
      <c r="AF718" s="180"/>
      <c r="AG718" s="201"/>
      <c r="AH718" s="212" t="str">
        <f t="shared" si="327"/>
        <v/>
      </c>
      <c r="AI718" s="214" t="str">
        <f t="shared" si="312"/>
        <v/>
      </c>
      <c r="AJ718" s="214" t="str">
        <f t="shared" si="313"/>
        <v/>
      </c>
      <c r="AK718" s="214" t="str">
        <f t="shared" si="314"/>
        <v/>
      </c>
      <c r="AL718" s="214" t="str">
        <f t="shared" si="315"/>
        <v/>
      </c>
      <c r="AM718" s="214" t="str">
        <f t="shared" si="316"/>
        <v/>
      </c>
      <c r="AN718" s="213" t="str">
        <f t="shared" si="299"/>
        <v/>
      </c>
      <c r="AO718" s="213" t="str">
        <f t="shared" si="300"/>
        <v/>
      </c>
      <c r="AP718" s="213" t="str">
        <f t="shared" si="301"/>
        <v/>
      </c>
      <c r="AQ718" s="215" t="str">
        <f t="shared" si="302"/>
        <v/>
      </c>
      <c r="AR718" s="216" t="str">
        <f t="shared" si="303"/>
        <v>BiK82X2KWK--04</v>
      </c>
      <c r="AS718" s="215" t="str">
        <f t="shared" si="304"/>
        <v/>
      </c>
      <c r="AT718">
        <f t="shared" si="305"/>
        <v>14</v>
      </c>
      <c r="AU718" s="216" t="str">
        <f t="shared" si="306"/>
        <v>0,15-0,5 MW, Bonusregeln X2 und KWK</v>
      </c>
      <c r="AV718" s="215" t="str">
        <f t="shared" si="307"/>
        <v/>
      </c>
      <c r="AW718" s="216" t="str">
        <f t="shared" si="308"/>
        <v>Anteil KWK</v>
      </c>
      <c r="AX718" s="215" t="str">
        <f t="shared" si="309"/>
        <v/>
      </c>
      <c r="AY718" t="str">
        <f t="shared" si="310"/>
        <v/>
      </c>
      <c r="AZ718" t="str">
        <f t="shared" si="311"/>
        <v/>
      </c>
    </row>
    <row r="719" spans="1:52" x14ac:dyDescent="0.25">
      <c r="A719" s="610" t="s">
        <v>1004</v>
      </c>
      <c r="B719" s="30" t="s">
        <v>5548</v>
      </c>
      <c r="C719" s="30" t="s">
        <v>4809</v>
      </c>
      <c r="D719" s="30" t="s">
        <v>7071</v>
      </c>
      <c r="E719" s="30" t="s">
        <v>4331</v>
      </c>
      <c r="F719" s="454">
        <f t="shared" si="318"/>
        <v>22.9</v>
      </c>
      <c r="G719" s="529">
        <v>22.9</v>
      </c>
      <c r="H719" s="487">
        <f t="shared" si="319"/>
        <v>18.32</v>
      </c>
      <c r="I719" s="706"/>
      <c r="J719" s="669" t="s">
        <v>5805</v>
      </c>
      <c r="K719" s="15"/>
      <c r="M719" s="49">
        <f t="shared" si="320"/>
        <v>22.9</v>
      </c>
      <c r="N719" s="41">
        <v>9.9</v>
      </c>
      <c r="O719" s="186"/>
      <c r="P719" s="178" t="s">
        <v>1017</v>
      </c>
      <c r="Q719" s="178"/>
      <c r="R719" s="178"/>
      <c r="S719" s="178" t="s">
        <v>4180</v>
      </c>
      <c r="T719" t="s">
        <v>4180</v>
      </c>
      <c r="U719" s="179"/>
      <c r="V719" s="178"/>
      <c r="W719" s="180"/>
      <c r="X719" s="180"/>
      <c r="Y719" s="178"/>
      <c r="Z719" s="180"/>
      <c r="AA719" s="184"/>
      <c r="AB719" s="178"/>
      <c r="AC719" s="180"/>
      <c r="AD719" s="199" t="s">
        <v>1017</v>
      </c>
      <c r="AE719" s="200"/>
      <c r="AF719" s="180"/>
      <c r="AG719" s="201"/>
      <c r="AH719" s="212" t="str">
        <f t="shared" si="327"/>
        <v/>
      </c>
      <c r="AI719" s="214" t="str">
        <f t="shared" si="312"/>
        <v/>
      </c>
      <c r="AJ719" s="214" t="str">
        <f t="shared" si="313"/>
        <v/>
      </c>
      <c r="AK719" s="214" t="str">
        <f t="shared" si="314"/>
        <v/>
      </c>
      <c r="AL719" s="214" t="str">
        <f t="shared" si="315"/>
        <v/>
      </c>
      <c r="AM719" s="214" t="str">
        <f t="shared" si="316"/>
        <v/>
      </c>
      <c r="AN719" s="213" t="str">
        <f t="shared" si="299"/>
        <v/>
      </c>
      <c r="AO719" s="213" t="str">
        <f t="shared" si="300"/>
        <v/>
      </c>
      <c r="AP719" s="213" t="str">
        <f t="shared" si="301"/>
        <v/>
      </c>
      <c r="AQ719" s="215" t="str">
        <f t="shared" si="302"/>
        <v/>
      </c>
      <c r="AR719" s="216" t="str">
        <f t="shared" si="303"/>
        <v>BiK82X2KA3--04</v>
      </c>
      <c r="AS719" s="215" t="str">
        <f t="shared" si="304"/>
        <v/>
      </c>
      <c r="AT719">
        <f t="shared" si="305"/>
        <v>14</v>
      </c>
      <c r="AU719" s="216" t="str">
        <f t="shared" si="306"/>
        <v>0,15-0,5 MW, Bonusregeln X2 und K wenn Anlage 3 erfüllt</v>
      </c>
      <c r="AV719" s="215" t="str">
        <f t="shared" si="307"/>
        <v/>
      </c>
      <c r="AW719" s="216" t="str">
        <f t="shared" si="308"/>
        <v>Anteil KWK gemäß Anlage 3</v>
      </c>
      <c r="AX719" s="215" t="str">
        <f t="shared" si="309"/>
        <v/>
      </c>
      <c r="AY719" t="str">
        <f t="shared" si="310"/>
        <v/>
      </c>
      <c r="AZ719" t="str">
        <f t="shared" si="311"/>
        <v/>
      </c>
    </row>
    <row r="720" spans="1:52" x14ac:dyDescent="0.25">
      <c r="A720" s="610" t="s">
        <v>1005</v>
      </c>
      <c r="B720" s="30" t="s">
        <v>5548</v>
      </c>
      <c r="C720" s="30" t="s">
        <v>4809</v>
      </c>
      <c r="D720" s="30" t="s">
        <v>7072</v>
      </c>
      <c r="E720" s="30" t="s">
        <v>674</v>
      </c>
      <c r="F720" s="454">
        <f t="shared" si="318"/>
        <v>22.9</v>
      </c>
      <c r="G720" s="529">
        <v>22.9</v>
      </c>
      <c r="H720" s="487">
        <f t="shared" si="319"/>
        <v>18.32</v>
      </c>
      <c r="I720" s="706"/>
      <c r="J720" s="669" t="s">
        <v>5805</v>
      </c>
      <c r="K720" s="15"/>
      <c r="M720" s="49">
        <f t="shared" si="320"/>
        <v>22.9</v>
      </c>
      <c r="N720" s="41">
        <v>9.9</v>
      </c>
      <c r="O720" s="186"/>
      <c r="P720" s="177"/>
      <c r="Q720" s="178" t="s">
        <v>1017</v>
      </c>
      <c r="R720" s="178"/>
      <c r="S720" s="178" t="s">
        <v>4180</v>
      </c>
      <c r="T720" t="s">
        <v>4180</v>
      </c>
      <c r="U720" s="179"/>
      <c r="V720" s="178"/>
      <c r="W720" s="180"/>
      <c r="X720" s="180"/>
      <c r="Y720" s="178"/>
      <c r="Z720" s="180"/>
      <c r="AA720" s="184"/>
      <c r="AB720" s="178"/>
      <c r="AC720" s="180"/>
      <c r="AD720" s="199" t="s">
        <v>1017</v>
      </c>
      <c r="AE720" s="200"/>
      <c r="AF720" s="180"/>
      <c r="AG720" s="201"/>
      <c r="AH720" s="212" t="str">
        <f t="shared" si="327"/>
        <v/>
      </c>
      <c r="AI720" s="214" t="str">
        <f t="shared" si="312"/>
        <v/>
      </c>
      <c r="AJ720" s="214" t="str">
        <f t="shared" si="313"/>
        <v/>
      </c>
      <c r="AK720" s="214" t="str">
        <f t="shared" si="314"/>
        <v/>
      </c>
      <c r="AL720" s="214" t="str">
        <f t="shared" si="315"/>
        <v/>
      </c>
      <c r="AM720" s="214" t="str">
        <f t="shared" si="316"/>
        <v/>
      </c>
      <c r="AN720" s="213" t="str">
        <f t="shared" si="299"/>
        <v/>
      </c>
      <c r="AO720" s="213" t="str">
        <f t="shared" si="300"/>
        <v/>
      </c>
      <c r="AP720" s="213" t="str">
        <f t="shared" si="301"/>
        <v/>
      </c>
      <c r="AQ720" s="215" t="str">
        <f t="shared" si="302"/>
        <v/>
      </c>
      <c r="AR720" s="216" t="str">
        <f t="shared" si="303"/>
        <v>BiK82X2K09--04</v>
      </c>
      <c r="AS720" s="215" t="str">
        <f t="shared" si="304"/>
        <v/>
      </c>
      <c r="AT720">
        <f t="shared" si="305"/>
        <v>14</v>
      </c>
      <c r="AU720" s="216" t="str">
        <f t="shared" si="306"/>
        <v>0,15-0,5 MW, Bonusregeln X2 und K erstmals 2009</v>
      </c>
      <c r="AV720" s="215" t="str">
        <f t="shared" si="307"/>
        <v/>
      </c>
      <c r="AW720" s="216" t="str">
        <f t="shared" si="308"/>
        <v>Anteil KWK, erstmals 2009</v>
      </c>
      <c r="AX720" s="215" t="str">
        <f t="shared" si="309"/>
        <v/>
      </c>
      <c r="AY720" t="str">
        <f t="shared" si="310"/>
        <v/>
      </c>
      <c r="AZ720" t="str">
        <f t="shared" si="311"/>
        <v/>
      </c>
    </row>
    <row r="721" spans="1:52" x14ac:dyDescent="0.25">
      <c r="A721" s="610" t="s">
        <v>1455</v>
      </c>
      <c r="B721" s="30" t="s">
        <v>5548</v>
      </c>
      <c r="C721" s="30" t="s">
        <v>4809</v>
      </c>
      <c r="D721" s="30" t="s">
        <v>7073</v>
      </c>
      <c r="E721" s="30" t="s">
        <v>3567</v>
      </c>
      <c r="F721" s="454">
        <f t="shared" si="318"/>
        <v>22.87</v>
      </c>
      <c r="G721" s="529">
        <v>22.87</v>
      </c>
      <c r="H721" s="487">
        <f t="shared" si="319"/>
        <v>18.3</v>
      </c>
      <c r="I721" s="706"/>
      <c r="J721" s="669" t="s">
        <v>5805</v>
      </c>
      <c r="K721" s="15"/>
      <c r="M721" s="49">
        <f t="shared" si="320"/>
        <v>22.87</v>
      </c>
      <c r="N721" s="41">
        <v>9.9</v>
      </c>
      <c r="O721" s="186"/>
      <c r="P721" s="177"/>
      <c r="Q721" s="178"/>
      <c r="R721" s="178" t="s">
        <v>1017</v>
      </c>
      <c r="S721" s="178" t="s">
        <v>4180</v>
      </c>
      <c r="T721" t="s">
        <v>4180</v>
      </c>
      <c r="U721" s="179"/>
      <c r="V721" s="178"/>
      <c r="W721" s="180"/>
      <c r="X721" s="180"/>
      <c r="Y721" s="178"/>
      <c r="Z721" s="180"/>
      <c r="AA721" s="184"/>
      <c r="AB721" s="178"/>
      <c r="AC721" s="180"/>
      <c r="AD721" s="199" t="s">
        <v>1017</v>
      </c>
      <c r="AE721" s="200"/>
      <c r="AF721" s="180"/>
      <c r="AG721" s="201"/>
      <c r="AH721" s="212" t="str">
        <f t="shared" si="327"/>
        <v>2010</v>
      </c>
      <c r="AI721" s="214" t="str">
        <f t="shared" si="312"/>
        <v/>
      </c>
      <c r="AJ721" s="214" t="str">
        <f t="shared" si="313"/>
        <v/>
      </c>
      <c r="AK721" s="214" t="str">
        <f t="shared" si="314"/>
        <v/>
      </c>
      <c r="AL721" s="214" t="str">
        <f t="shared" si="315"/>
        <v/>
      </c>
      <c r="AM721" s="214" t="str">
        <f t="shared" si="316"/>
        <v/>
      </c>
      <c r="AN721" s="213" t="str">
        <f t="shared" si="299"/>
        <v>2010</v>
      </c>
      <c r="AO721" s="213" t="str">
        <f t="shared" si="300"/>
        <v>2010</v>
      </c>
      <c r="AP721" s="213" t="str">
        <f t="shared" si="301"/>
        <v>2010</v>
      </c>
      <c r="AQ721" s="215" t="str">
        <f t="shared" si="302"/>
        <v/>
      </c>
      <c r="AR721" s="216" t="str">
        <f t="shared" si="303"/>
        <v>BiK82X2K10--04</v>
      </c>
      <c r="AS721" s="215" t="str">
        <f t="shared" si="304"/>
        <v/>
      </c>
      <c r="AT721">
        <f t="shared" si="305"/>
        <v>14</v>
      </c>
      <c r="AU721" s="216" t="str">
        <f t="shared" si="306"/>
        <v>0,15-0,5 MW, Bonusregeln X2 und K erstmals 2010</v>
      </c>
      <c r="AV721" s="215" t="str">
        <f t="shared" si="307"/>
        <v/>
      </c>
      <c r="AW721" s="216" t="str">
        <f t="shared" si="308"/>
        <v>Anteil KWK, erstmals 2010</v>
      </c>
      <c r="AX721" s="215" t="str">
        <f t="shared" si="309"/>
        <v/>
      </c>
      <c r="AY721" t="str">
        <f t="shared" si="310"/>
        <v/>
      </c>
      <c r="AZ721" t="str">
        <f t="shared" si="311"/>
        <v/>
      </c>
    </row>
    <row r="722" spans="1:52" x14ac:dyDescent="0.25">
      <c r="A722" s="610" t="s">
        <v>5277</v>
      </c>
      <c r="B722" s="30" t="s">
        <v>5548</v>
      </c>
      <c r="C722" s="30" t="s">
        <v>4809</v>
      </c>
      <c r="D722" s="30" t="s">
        <v>7074</v>
      </c>
      <c r="E722" s="30" t="s">
        <v>3055</v>
      </c>
      <c r="F722" s="454">
        <f t="shared" si="318"/>
        <v>22.84</v>
      </c>
      <c r="G722" s="529">
        <v>22.84</v>
      </c>
      <c r="H722" s="487">
        <f t="shared" si="319"/>
        <v>18.27</v>
      </c>
      <c r="I722" s="706"/>
      <c r="J722" s="669" t="s">
        <v>5805</v>
      </c>
      <c r="K722" s="15"/>
      <c r="M722" s="49">
        <f t="shared" si="320"/>
        <v>22.84</v>
      </c>
      <c r="N722" s="41">
        <v>9.9</v>
      </c>
      <c r="O722" s="186"/>
      <c r="P722" s="177"/>
      <c r="Q722" s="178"/>
      <c r="R722" s="178"/>
      <c r="S722" s="178" t="s">
        <v>1017</v>
      </c>
      <c r="T722" t="s">
        <v>4180</v>
      </c>
      <c r="U722" s="179"/>
      <c r="V722" s="178"/>
      <c r="W722" s="180"/>
      <c r="X722" s="180"/>
      <c r="Y722" s="178"/>
      <c r="Z722" s="180"/>
      <c r="AA722" s="184"/>
      <c r="AB722" s="178"/>
      <c r="AC722" s="180"/>
      <c r="AD722" s="199" t="s">
        <v>1017</v>
      </c>
      <c r="AE722" s="200"/>
      <c r="AF722" s="180"/>
      <c r="AG722" s="201"/>
      <c r="AH722" s="212" t="str">
        <f t="shared" si="327"/>
        <v>2011</v>
      </c>
      <c r="AI722" s="214" t="str">
        <f t="shared" si="312"/>
        <v/>
      </c>
      <c r="AJ722" s="214" t="str">
        <f t="shared" si="313"/>
        <v/>
      </c>
      <c r="AK722" s="214" t="str">
        <f t="shared" si="314"/>
        <v/>
      </c>
      <c r="AL722" s="214" t="str">
        <f t="shared" si="315"/>
        <v/>
      </c>
      <c r="AM722" s="214" t="str">
        <f t="shared" si="316"/>
        <v/>
      </c>
      <c r="AN722" s="213" t="str">
        <f t="shared" si="299"/>
        <v>2011</v>
      </c>
      <c r="AO722" s="213" t="str">
        <f t="shared" si="300"/>
        <v>2011</v>
      </c>
      <c r="AP722" s="213" t="str">
        <f t="shared" si="301"/>
        <v>2011</v>
      </c>
      <c r="AQ722" s="215" t="str">
        <f t="shared" si="302"/>
        <v/>
      </c>
      <c r="AR722" s="216" t="str">
        <f t="shared" si="303"/>
        <v>BiK82X2K11--04</v>
      </c>
      <c r="AS722" s="215" t="str">
        <f t="shared" si="304"/>
        <v/>
      </c>
      <c r="AT722">
        <f t="shared" si="305"/>
        <v>14</v>
      </c>
      <c r="AU722" s="216" t="str">
        <f t="shared" si="306"/>
        <v>0,15-0,5 MW, Bonusregeln X2 und K erstmals 2011</v>
      </c>
      <c r="AV722" s="215" t="str">
        <f t="shared" si="307"/>
        <v/>
      </c>
      <c r="AW722" s="216" t="str">
        <f t="shared" si="308"/>
        <v>Anteil KWK, erstmals 2011</v>
      </c>
      <c r="AX722" s="215" t="str">
        <f t="shared" si="309"/>
        <v/>
      </c>
      <c r="AY722" t="str">
        <f t="shared" si="310"/>
        <v>x</v>
      </c>
      <c r="AZ722" t="str">
        <f t="shared" si="311"/>
        <v/>
      </c>
    </row>
    <row r="723" spans="1:52" x14ac:dyDescent="0.25">
      <c r="A723" s="625" t="s">
        <v>1527</v>
      </c>
      <c r="B723" s="219" t="s">
        <v>5548</v>
      </c>
      <c r="C723" s="219" t="s">
        <v>4809</v>
      </c>
      <c r="D723" s="219" t="s">
        <v>7075</v>
      </c>
      <c r="E723" s="219" t="s">
        <v>1980</v>
      </c>
      <c r="F723" s="455">
        <f t="shared" si="318"/>
        <v>22.810000000000002</v>
      </c>
      <c r="G723" s="530">
        <v>22.810000000000002</v>
      </c>
      <c r="H723" s="488">
        <f t="shared" si="319"/>
        <v>18.25</v>
      </c>
      <c r="I723" s="707"/>
      <c r="J723" s="669" t="s">
        <v>5805</v>
      </c>
      <c r="K723" s="15"/>
      <c r="M723" s="49">
        <f t="shared" si="320"/>
        <v>22.810000000000002</v>
      </c>
      <c r="N723" s="41">
        <v>9.9</v>
      </c>
      <c r="O723" s="186"/>
      <c r="P723" s="177"/>
      <c r="Q723" s="178"/>
      <c r="R723" s="178"/>
      <c r="S723" s="178" t="s">
        <v>4180</v>
      </c>
      <c r="T723" t="s">
        <v>1017</v>
      </c>
      <c r="U723" s="179"/>
      <c r="V723" s="178"/>
      <c r="W723" s="180"/>
      <c r="X723" s="180"/>
      <c r="Y723" s="178"/>
      <c r="Z723" s="180"/>
      <c r="AA723" s="184"/>
      <c r="AB723" s="178"/>
      <c r="AC723" s="180"/>
      <c r="AD723" s="199" t="s">
        <v>1017</v>
      </c>
      <c r="AE723" s="200"/>
      <c r="AF723" s="180"/>
      <c r="AG723" s="201"/>
      <c r="AH723" s="217" t="s">
        <v>4179</v>
      </c>
      <c r="AI723" s="214" t="str">
        <f t="shared" si="312"/>
        <v/>
      </c>
      <c r="AJ723" s="214" t="str">
        <f t="shared" si="313"/>
        <v/>
      </c>
      <c r="AK723" s="214" t="str">
        <f t="shared" si="314"/>
        <v/>
      </c>
      <c r="AL723" s="214" t="str">
        <f t="shared" si="315"/>
        <v/>
      </c>
      <c r="AM723" s="214" t="str">
        <f t="shared" si="316"/>
        <v/>
      </c>
      <c r="AN723" s="213" t="str">
        <f t="shared" si="299"/>
        <v>2012</v>
      </c>
      <c r="AO723" s="213" t="str">
        <f t="shared" si="300"/>
        <v>2012</v>
      </c>
      <c r="AP723" s="213" t="str">
        <f t="shared" si="301"/>
        <v>2012</v>
      </c>
      <c r="AQ723" s="215" t="str">
        <f t="shared" si="302"/>
        <v/>
      </c>
      <c r="AR723" s="216" t="str">
        <f t="shared" si="303"/>
        <v>BiK82X2K12--04</v>
      </c>
      <c r="AS723" s="215" t="str">
        <f t="shared" si="304"/>
        <v/>
      </c>
      <c r="AT723">
        <f t="shared" si="305"/>
        <v>14</v>
      </c>
      <c r="AU723" s="216" t="str">
        <f t="shared" si="306"/>
        <v>0,15-0,5 MW, Bonusregeln X2 und K erstmals 2012</v>
      </c>
      <c r="AV723" s="215" t="str">
        <f t="shared" si="307"/>
        <v/>
      </c>
      <c r="AW723" s="216" t="str">
        <f t="shared" si="308"/>
        <v>Anteil KWK, erstmals 2012</v>
      </c>
      <c r="AX723" s="215" t="str">
        <f t="shared" si="309"/>
        <v/>
      </c>
      <c r="AY723" t="str">
        <f t="shared" si="310"/>
        <v/>
      </c>
      <c r="AZ723" t="str">
        <f t="shared" si="311"/>
        <v>x</v>
      </c>
    </row>
    <row r="724" spans="1:52" x14ac:dyDescent="0.25">
      <c r="A724" s="610" t="s">
        <v>3688</v>
      </c>
      <c r="B724" s="30" t="s">
        <v>5548</v>
      </c>
      <c r="C724" s="30" t="s">
        <v>4809</v>
      </c>
      <c r="D724" s="30" t="s">
        <v>7076</v>
      </c>
      <c r="E724" s="30" t="s">
        <v>4810</v>
      </c>
      <c r="F724" s="454">
        <f t="shared" si="318"/>
        <v>20.9</v>
      </c>
      <c r="G724" s="529">
        <v>20.9</v>
      </c>
      <c r="H724" s="487">
        <f t="shared" si="319"/>
        <v>16.72</v>
      </c>
      <c r="I724" s="706"/>
      <c r="J724" s="669" t="s">
        <v>5805</v>
      </c>
      <c r="K724" s="15"/>
      <c r="M724" s="49">
        <f t="shared" si="320"/>
        <v>20.9</v>
      </c>
      <c r="N724" s="41">
        <v>9.9</v>
      </c>
      <c r="O724" s="187"/>
      <c r="P724" s="183"/>
      <c r="Q724" s="184"/>
      <c r="R724" s="184"/>
      <c r="S724" s="184" t="s">
        <v>4180</v>
      </c>
      <c r="T724" t="s">
        <v>4180</v>
      </c>
      <c r="U724" s="185" t="s">
        <v>1017</v>
      </c>
      <c r="V724" s="184"/>
      <c r="W724" s="180"/>
      <c r="X724" s="180"/>
      <c r="Y724" s="178"/>
      <c r="Z724" s="180"/>
      <c r="AA724" s="184"/>
      <c r="AB724" s="178"/>
      <c r="AC724" s="180"/>
      <c r="AD724" s="182" t="s">
        <v>1017</v>
      </c>
      <c r="AE724" s="181"/>
      <c r="AF724" s="180"/>
      <c r="AG724" s="201"/>
      <c r="AH724" s="212" t="str">
        <f t="shared" ref="AH724:AH729" si="328">IF(ISERROR(SEARCH("K erstmals 201",D724)),"",RIGHT(D724,4))</f>
        <v/>
      </c>
      <c r="AI724" s="214" t="str">
        <f t="shared" si="312"/>
        <v/>
      </c>
      <c r="AJ724" s="214" t="str">
        <f t="shared" si="313"/>
        <v/>
      </c>
      <c r="AK724" s="214" t="str">
        <f t="shared" si="314"/>
        <v/>
      </c>
      <c r="AL724" s="214" t="str">
        <f t="shared" si="315"/>
        <v/>
      </c>
      <c r="AM724" s="214" t="str">
        <f t="shared" si="316"/>
        <v/>
      </c>
      <c r="AN724" s="213" t="str">
        <f t="shared" si="299"/>
        <v/>
      </c>
      <c r="AO724" s="213" t="str">
        <f t="shared" si="300"/>
        <v/>
      </c>
      <c r="AP724" s="213" t="str">
        <f t="shared" si="301"/>
        <v/>
      </c>
      <c r="AQ724" s="215" t="str">
        <f t="shared" si="302"/>
        <v/>
      </c>
      <c r="AR724" s="216" t="str">
        <f t="shared" si="303"/>
        <v>BiK82X2y----04</v>
      </c>
      <c r="AS724" s="215" t="str">
        <f t="shared" si="304"/>
        <v/>
      </c>
      <c r="AT724">
        <f t="shared" si="305"/>
        <v>14</v>
      </c>
      <c r="AU724" s="216" t="str">
        <f t="shared" si="306"/>
        <v>0,15-0,5 MW, Bonusregeln X2, y</v>
      </c>
      <c r="AV724" s="215" t="str">
        <f t="shared" si="307"/>
        <v/>
      </c>
      <c r="AW724" s="216" t="str">
        <f t="shared" si="308"/>
        <v>Anteil Nicht-KWK</v>
      </c>
      <c r="AX724" s="215" t="str">
        <f t="shared" si="309"/>
        <v/>
      </c>
      <c r="AY724" t="str">
        <f t="shared" si="310"/>
        <v/>
      </c>
      <c r="AZ724" t="str">
        <f t="shared" si="311"/>
        <v/>
      </c>
    </row>
    <row r="725" spans="1:52" x14ac:dyDescent="0.25">
      <c r="A725" s="610" t="s">
        <v>4554</v>
      </c>
      <c r="B725" s="30" t="s">
        <v>5548</v>
      </c>
      <c r="C725" s="30" t="s">
        <v>4809</v>
      </c>
      <c r="D725" s="30" t="s">
        <v>7129</v>
      </c>
      <c r="E725" s="30" t="s">
        <v>4812</v>
      </c>
      <c r="F725" s="454">
        <f t="shared" si="318"/>
        <v>22.9</v>
      </c>
      <c r="G725" s="529">
        <v>22.9</v>
      </c>
      <c r="H725" s="487">
        <f t="shared" si="319"/>
        <v>18.32</v>
      </c>
      <c r="I725" s="706"/>
      <c r="J725" s="669" t="s">
        <v>5805</v>
      </c>
      <c r="K725" s="15"/>
      <c r="M725" s="49">
        <f t="shared" si="320"/>
        <v>22.9</v>
      </c>
      <c r="N725" s="41">
        <v>9.9</v>
      </c>
      <c r="O725" s="187" t="s">
        <v>1017</v>
      </c>
      <c r="P725" s="183"/>
      <c r="Q725" s="184"/>
      <c r="R725" s="184"/>
      <c r="S725" s="184" t="s">
        <v>4180</v>
      </c>
      <c r="T725" t="s">
        <v>4180</v>
      </c>
      <c r="U725" s="185" t="s">
        <v>1017</v>
      </c>
      <c r="V725" s="184"/>
      <c r="W725" s="180"/>
      <c r="X725" s="180"/>
      <c r="Y725" s="178"/>
      <c r="Z725" s="180"/>
      <c r="AA725" s="184"/>
      <c r="AB725" s="178"/>
      <c r="AC725" s="180"/>
      <c r="AD725" s="182" t="s">
        <v>1017</v>
      </c>
      <c r="AE725" s="181"/>
      <c r="AF725" s="180"/>
      <c r="AG725" s="201"/>
      <c r="AH725" s="212" t="str">
        <f t="shared" si="328"/>
        <v/>
      </c>
      <c r="AI725" s="214" t="str">
        <f t="shared" si="312"/>
        <v/>
      </c>
      <c r="AJ725" s="214" t="str">
        <f t="shared" si="313"/>
        <v/>
      </c>
      <c r="AK725" s="214" t="str">
        <f t="shared" si="314"/>
        <v/>
      </c>
      <c r="AL725" s="214" t="str">
        <f t="shared" si="315"/>
        <v/>
      </c>
      <c r="AM725" s="214" t="str">
        <f t="shared" si="316"/>
        <v/>
      </c>
      <c r="AN725" s="213" t="str">
        <f t="shared" si="299"/>
        <v/>
      </c>
      <c r="AO725" s="213" t="str">
        <f t="shared" si="300"/>
        <v/>
      </c>
      <c r="AP725" s="213" t="str">
        <f t="shared" si="301"/>
        <v/>
      </c>
      <c r="AQ725" s="215" t="str">
        <f t="shared" si="302"/>
        <v/>
      </c>
      <c r="AR725" s="216" t="str">
        <f t="shared" si="303"/>
        <v>BiK82X2KWKy-04</v>
      </c>
      <c r="AS725" s="215" t="str">
        <f t="shared" si="304"/>
        <v/>
      </c>
      <c r="AT725">
        <f t="shared" si="305"/>
        <v>14</v>
      </c>
      <c r="AU725" s="216" t="str">
        <f t="shared" si="306"/>
        <v>0,15-0,5 MW, Bonusregeln X2, y und KWK</v>
      </c>
      <c r="AV725" s="215" t="str">
        <f t="shared" si="307"/>
        <v/>
      </c>
      <c r="AW725" s="216" t="str">
        <f t="shared" si="308"/>
        <v>Anteil KWK</v>
      </c>
      <c r="AX725" s="215" t="str">
        <f t="shared" si="309"/>
        <v/>
      </c>
      <c r="AY725" t="str">
        <f t="shared" si="310"/>
        <v/>
      </c>
      <c r="AZ725" t="str">
        <f t="shared" si="311"/>
        <v/>
      </c>
    </row>
    <row r="726" spans="1:52" x14ac:dyDescent="0.25">
      <c r="A726" s="610" t="s">
        <v>4555</v>
      </c>
      <c r="B726" s="30" t="s">
        <v>5548</v>
      </c>
      <c r="C726" s="30" t="s">
        <v>4809</v>
      </c>
      <c r="D726" s="109" t="s">
        <v>7077</v>
      </c>
      <c r="E726" s="30" t="s">
        <v>4331</v>
      </c>
      <c r="F726" s="454">
        <f t="shared" si="318"/>
        <v>23.9</v>
      </c>
      <c r="G726" s="529">
        <v>23.9</v>
      </c>
      <c r="H726" s="487">
        <f t="shared" si="319"/>
        <v>19.12</v>
      </c>
      <c r="I726" s="706"/>
      <c r="J726" s="669" t="s">
        <v>5805</v>
      </c>
      <c r="K726" s="15"/>
      <c r="M726" s="49">
        <f t="shared" si="320"/>
        <v>23.9</v>
      </c>
      <c r="N726" s="41">
        <v>9.9</v>
      </c>
      <c r="O726" s="187"/>
      <c r="P726" s="184" t="s">
        <v>1017</v>
      </c>
      <c r="Q726" s="184"/>
      <c r="R726" s="184"/>
      <c r="S726" s="184" t="s">
        <v>4180</v>
      </c>
      <c r="T726" t="s">
        <v>4180</v>
      </c>
      <c r="U726" s="185" t="s">
        <v>1017</v>
      </c>
      <c r="V726" s="184"/>
      <c r="W726" s="180"/>
      <c r="X726" s="180"/>
      <c r="Y726" s="178"/>
      <c r="Z726" s="180"/>
      <c r="AA726" s="184"/>
      <c r="AB726" s="178"/>
      <c r="AC726" s="180"/>
      <c r="AD726" s="182" t="s">
        <v>1017</v>
      </c>
      <c r="AE726" s="181"/>
      <c r="AF726" s="180"/>
      <c r="AG726" s="201"/>
      <c r="AH726" s="212" t="str">
        <f t="shared" si="328"/>
        <v/>
      </c>
      <c r="AI726" s="214" t="str">
        <f t="shared" si="312"/>
        <v/>
      </c>
      <c r="AJ726" s="214" t="str">
        <f t="shared" si="313"/>
        <v/>
      </c>
      <c r="AK726" s="214" t="str">
        <f t="shared" si="314"/>
        <v/>
      </c>
      <c r="AL726" s="214" t="str">
        <f t="shared" si="315"/>
        <v/>
      </c>
      <c r="AM726" s="214" t="str">
        <f t="shared" si="316"/>
        <v/>
      </c>
      <c r="AN726" s="213" t="str">
        <f t="shared" si="299"/>
        <v/>
      </c>
      <c r="AO726" s="213" t="str">
        <f t="shared" si="300"/>
        <v/>
      </c>
      <c r="AP726" s="213" t="str">
        <f t="shared" si="301"/>
        <v/>
      </c>
      <c r="AQ726" s="215" t="str">
        <f t="shared" si="302"/>
        <v/>
      </c>
      <c r="AR726" s="216" t="str">
        <f t="shared" si="303"/>
        <v>BiK82X2KA3y-04</v>
      </c>
      <c r="AS726" s="215" t="str">
        <f t="shared" si="304"/>
        <v/>
      </c>
      <c r="AT726">
        <f t="shared" si="305"/>
        <v>14</v>
      </c>
      <c r="AU726" s="216" t="str">
        <f t="shared" si="306"/>
        <v>0,15-0,5 MW, Bonusregeln X2, y und K wenn Anlage 3 erfüllt</v>
      </c>
      <c r="AV726" s="215" t="str">
        <f t="shared" si="307"/>
        <v/>
      </c>
      <c r="AW726" s="216" t="str">
        <f t="shared" si="308"/>
        <v>Anteil KWK gemäß Anlage 3</v>
      </c>
      <c r="AX726" s="215" t="str">
        <f t="shared" si="309"/>
        <v/>
      </c>
      <c r="AY726" t="str">
        <f t="shared" si="310"/>
        <v/>
      </c>
      <c r="AZ726" t="str">
        <f t="shared" si="311"/>
        <v/>
      </c>
    </row>
    <row r="727" spans="1:52" x14ac:dyDescent="0.25">
      <c r="A727" s="610" t="s">
        <v>4556</v>
      </c>
      <c r="B727" s="30" t="s">
        <v>5548</v>
      </c>
      <c r="C727" s="30" t="s">
        <v>4809</v>
      </c>
      <c r="D727" s="30" t="s">
        <v>7078</v>
      </c>
      <c r="E727" s="30" t="s">
        <v>674</v>
      </c>
      <c r="F727" s="454">
        <f t="shared" si="318"/>
        <v>23.9</v>
      </c>
      <c r="G727" s="529">
        <v>23.9</v>
      </c>
      <c r="H727" s="487">
        <f t="shared" si="319"/>
        <v>19.12</v>
      </c>
      <c r="I727" s="706"/>
      <c r="J727" s="669" t="s">
        <v>5805</v>
      </c>
      <c r="K727" s="15"/>
      <c r="M727" s="49">
        <f t="shared" si="320"/>
        <v>23.9</v>
      </c>
      <c r="N727" s="41">
        <v>9.9</v>
      </c>
      <c r="O727" s="187"/>
      <c r="P727" s="183"/>
      <c r="Q727" s="184" t="s">
        <v>1017</v>
      </c>
      <c r="R727" s="184"/>
      <c r="S727" s="184" t="s">
        <v>4180</v>
      </c>
      <c r="T727" t="s">
        <v>4180</v>
      </c>
      <c r="U727" s="185" t="s">
        <v>1017</v>
      </c>
      <c r="V727" s="184"/>
      <c r="W727" s="180"/>
      <c r="X727" s="180"/>
      <c r="Y727" s="178"/>
      <c r="Z727" s="180"/>
      <c r="AA727" s="184"/>
      <c r="AB727" s="178"/>
      <c r="AC727" s="180"/>
      <c r="AD727" s="182" t="s">
        <v>1017</v>
      </c>
      <c r="AE727" s="181"/>
      <c r="AF727" s="180"/>
      <c r="AG727" s="201"/>
      <c r="AH727" s="212" t="str">
        <f t="shared" si="328"/>
        <v/>
      </c>
      <c r="AI727" s="214" t="str">
        <f t="shared" si="312"/>
        <v/>
      </c>
      <c r="AJ727" s="214" t="str">
        <f t="shared" si="313"/>
        <v/>
      </c>
      <c r="AK727" s="214" t="str">
        <f t="shared" si="314"/>
        <v/>
      </c>
      <c r="AL727" s="214" t="str">
        <f t="shared" si="315"/>
        <v/>
      </c>
      <c r="AM727" s="214" t="str">
        <f t="shared" si="316"/>
        <v/>
      </c>
      <c r="AN727" s="213" t="str">
        <f t="shared" ref="AN727:AN790" si="329">IF(ISERROR(SEARCH("K1",A727)),"","20"&amp;MID(A727,SEARCH("K1",A727)+1,2))</f>
        <v/>
      </c>
      <c r="AO727" s="213" t="str">
        <f t="shared" ref="AO727:AO790" si="330">IF(ISERROR(SEARCH("erstmals 201",E727)),"",MID(E727,SEARCH("erstmals ",E727)+9,4))</f>
        <v/>
      </c>
      <c r="AP727" s="213" t="str">
        <f t="shared" ref="AP727:AP790" si="331">IF(R727="x","2010",IF(S727="x","2011",IF(T727="x","2012","")))</f>
        <v/>
      </c>
      <c r="AQ727" s="215" t="str">
        <f t="shared" ref="AQ727:AQ790" si="332">IF(OR(AH727&lt;&gt;AN727,AH727&lt;&gt;AO727,AH727&lt;&gt;AP727),"DIFF","")</f>
        <v/>
      </c>
      <c r="AR727" s="216" t="str">
        <f t="shared" ref="AR727:AR790" si="333">IF(A727="","",IF(ISERROR(SEARCH("K1",A727)),A727,LEFT(A727,SEARCH("K1",A727)+1)&amp;RIGHT(AH727,1)&amp;MID(A727,SEARCH("K1",A727)+3,14)))</f>
        <v>BiK82X2K09y-04</v>
      </c>
      <c r="AS727" s="215" t="str">
        <f t="shared" ref="AS727:AS790" si="334">IF(OR(A727&lt;&gt;AR727),"DIFF","")</f>
        <v/>
      </c>
      <c r="AT727">
        <f t="shared" ref="AT727:AT790" si="335">LEN(AR727)</f>
        <v>14</v>
      </c>
      <c r="AU727" s="216" t="str">
        <f t="shared" ref="AU727:AU790" si="336">IF(D727="","",IF(OR(A727="",ISERROR(SEARCH("erstmals 201",D727))),D727,LEFT(D727,SEARCH("erstmals 201",D727)+8) &amp; AH727 &amp; MID(D727,SEARCH("erstmals 201",D727)+13,255)))</f>
        <v>0,15-0,5 MW, Bonusregeln X2, y und K erstmals 2009</v>
      </c>
      <c r="AV727" s="215" t="str">
        <f t="shared" ref="AV727:AV790" si="337">IF(OR(D727&lt;&gt;AU727),"DIFF","")</f>
        <v/>
      </c>
      <c r="AW727" s="216" t="str">
        <f t="shared" ref="AW727:AW790" si="338">IF(E727="","",IF(OR(E727="",ISERROR(SEARCH("erstmals 201",E727))),E727,LEFT(E727,SEARCH("erstmals 201",E727)+8) &amp; AH727 &amp; MID(E727,SEARCH("erstmals 201",E727)+13,255)))</f>
        <v>Anteil KWK, erstmals 2009</v>
      </c>
      <c r="AX727" s="215" t="str">
        <f t="shared" ref="AX727:AX790" si="339">IF(OR(E727&lt;&gt;AW727),"DIFF","")</f>
        <v/>
      </c>
      <c r="AY727" t="str">
        <f t="shared" ref="AY727:AY790" si="340">IF(AH727="2011","x",IF(AH727="2012","","" &amp; S727))</f>
        <v/>
      </c>
      <c r="AZ727" t="str">
        <f t="shared" ref="AZ727:AZ790" si="341">IF(AH727="2012","x",IF(AH727="2011","","" &amp; T727))</f>
        <v/>
      </c>
    </row>
    <row r="728" spans="1:52" x14ac:dyDescent="0.25">
      <c r="A728" s="610" t="s">
        <v>1456</v>
      </c>
      <c r="B728" s="30" t="s">
        <v>5548</v>
      </c>
      <c r="C728" s="30" t="s">
        <v>4809</v>
      </c>
      <c r="D728" s="30" t="s">
        <v>7079</v>
      </c>
      <c r="E728" s="30" t="s">
        <v>3567</v>
      </c>
      <c r="F728" s="454">
        <f t="shared" si="318"/>
        <v>23.87</v>
      </c>
      <c r="G728" s="529">
        <v>23.87</v>
      </c>
      <c r="H728" s="487">
        <f t="shared" si="319"/>
        <v>19.100000000000001</v>
      </c>
      <c r="I728" s="706"/>
      <c r="J728" s="669" t="s">
        <v>5805</v>
      </c>
      <c r="K728" s="15"/>
      <c r="M728" s="49">
        <f t="shared" si="320"/>
        <v>23.87</v>
      </c>
      <c r="N728" s="41">
        <v>9.9</v>
      </c>
      <c r="O728" s="187"/>
      <c r="P728" s="183"/>
      <c r="Q728" s="184"/>
      <c r="R728" s="184" t="s">
        <v>1017</v>
      </c>
      <c r="S728" s="184" t="s">
        <v>4180</v>
      </c>
      <c r="T728" t="s">
        <v>4180</v>
      </c>
      <c r="U728" s="185" t="s">
        <v>1017</v>
      </c>
      <c r="V728" s="184"/>
      <c r="W728" s="180"/>
      <c r="X728" s="180"/>
      <c r="Y728" s="178"/>
      <c r="Z728" s="180"/>
      <c r="AA728" s="184"/>
      <c r="AB728" s="178"/>
      <c r="AC728" s="180"/>
      <c r="AD728" s="182" t="s">
        <v>1017</v>
      </c>
      <c r="AE728" s="181"/>
      <c r="AF728" s="180"/>
      <c r="AG728" s="201"/>
      <c r="AH728" s="212" t="str">
        <f t="shared" si="328"/>
        <v>2010</v>
      </c>
      <c r="AI728" s="214" t="str">
        <f t="shared" si="312"/>
        <v/>
      </c>
      <c r="AJ728" s="214" t="str">
        <f t="shared" si="313"/>
        <v/>
      </c>
      <c r="AK728" s="214" t="str">
        <f t="shared" si="314"/>
        <v/>
      </c>
      <c r="AL728" s="214" t="str">
        <f t="shared" si="315"/>
        <v/>
      </c>
      <c r="AM728" s="214" t="str">
        <f t="shared" si="316"/>
        <v/>
      </c>
      <c r="AN728" s="213" t="str">
        <f t="shared" si="329"/>
        <v>2010</v>
      </c>
      <c r="AO728" s="213" t="str">
        <f t="shared" si="330"/>
        <v>2010</v>
      </c>
      <c r="AP728" s="213" t="str">
        <f t="shared" si="331"/>
        <v>2010</v>
      </c>
      <c r="AQ728" s="215" t="str">
        <f t="shared" si="332"/>
        <v/>
      </c>
      <c r="AR728" s="216" t="str">
        <f t="shared" si="333"/>
        <v>BiK82X2K10y-04</v>
      </c>
      <c r="AS728" s="215" t="str">
        <f t="shared" si="334"/>
        <v/>
      </c>
      <c r="AT728">
        <f t="shared" si="335"/>
        <v>14</v>
      </c>
      <c r="AU728" s="216" t="str">
        <f t="shared" si="336"/>
        <v>0,15-0,5 MW, Bonusregeln X2, y und K erstmals 2010</v>
      </c>
      <c r="AV728" s="215" t="str">
        <f t="shared" si="337"/>
        <v/>
      </c>
      <c r="AW728" s="216" t="str">
        <f t="shared" si="338"/>
        <v>Anteil KWK, erstmals 2010</v>
      </c>
      <c r="AX728" s="215" t="str">
        <f t="shared" si="339"/>
        <v/>
      </c>
      <c r="AY728" t="str">
        <f t="shared" si="340"/>
        <v/>
      </c>
      <c r="AZ728" t="str">
        <f t="shared" si="341"/>
        <v/>
      </c>
    </row>
    <row r="729" spans="1:52" x14ac:dyDescent="0.25">
      <c r="A729" s="610" t="s">
        <v>5278</v>
      </c>
      <c r="B729" s="30" t="s">
        <v>5548</v>
      </c>
      <c r="C729" s="30" t="s">
        <v>4809</v>
      </c>
      <c r="D729" s="30" t="s">
        <v>7080</v>
      </c>
      <c r="E729" s="30" t="s">
        <v>3055</v>
      </c>
      <c r="F729" s="454">
        <f t="shared" si="318"/>
        <v>23.84</v>
      </c>
      <c r="G729" s="529">
        <v>23.84</v>
      </c>
      <c r="H729" s="487">
        <f t="shared" si="319"/>
        <v>19.07</v>
      </c>
      <c r="I729" s="706"/>
      <c r="J729" s="669" t="s">
        <v>5805</v>
      </c>
      <c r="K729" s="15"/>
      <c r="M729" s="49">
        <f t="shared" si="320"/>
        <v>23.84</v>
      </c>
      <c r="N729" s="41">
        <v>9.9</v>
      </c>
      <c r="O729" s="187"/>
      <c r="P729" s="183"/>
      <c r="Q729" s="184"/>
      <c r="R729" s="178"/>
      <c r="S729" s="184" t="s">
        <v>1017</v>
      </c>
      <c r="T729" t="s">
        <v>4180</v>
      </c>
      <c r="U729" s="185" t="s">
        <v>1017</v>
      </c>
      <c r="V729" s="184"/>
      <c r="W729" s="180"/>
      <c r="X729" s="180"/>
      <c r="Y729" s="178"/>
      <c r="Z729" s="180"/>
      <c r="AA729" s="184"/>
      <c r="AB729" s="178"/>
      <c r="AC729" s="180"/>
      <c r="AD729" s="182" t="s">
        <v>1017</v>
      </c>
      <c r="AE729" s="181"/>
      <c r="AF729" s="180"/>
      <c r="AG729" s="201"/>
      <c r="AH729" s="212" t="str">
        <f t="shared" si="328"/>
        <v>2011</v>
      </c>
      <c r="AI729" s="214" t="str">
        <f t="shared" si="312"/>
        <v/>
      </c>
      <c r="AJ729" s="214" t="str">
        <f t="shared" si="313"/>
        <v/>
      </c>
      <c r="AK729" s="214" t="str">
        <f t="shared" si="314"/>
        <v/>
      </c>
      <c r="AL729" s="214" t="str">
        <f t="shared" si="315"/>
        <v/>
      </c>
      <c r="AM729" s="214" t="str">
        <f t="shared" si="316"/>
        <v/>
      </c>
      <c r="AN729" s="213" t="str">
        <f t="shared" si="329"/>
        <v>2011</v>
      </c>
      <c r="AO729" s="213" t="str">
        <f t="shared" si="330"/>
        <v>2011</v>
      </c>
      <c r="AP729" s="213" t="str">
        <f t="shared" si="331"/>
        <v>2011</v>
      </c>
      <c r="AQ729" s="215" t="str">
        <f t="shared" si="332"/>
        <v/>
      </c>
      <c r="AR729" s="216" t="str">
        <f t="shared" si="333"/>
        <v>BiK82X2K11y-04</v>
      </c>
      <c r="AS729" s="215" t="str">
        <f t="shared" si="334"/>
        <v/>
      </c>
      <c r="AT729">
        <f t="shared" si="335"/>
        <v>14</v>
      </c>
      <c r="AU729" s="216" t="str">
        <f t="shared" si="336"/>
        <v>0,15-0,5 MW, Bonusregeln X2, y und K erstmals 2011</v>
      </c>
      <c r="AV729" s="215" t="str">
        <f t="shared" si="337"/>
        <v/>
      </c>
      <c r="AW729" s="216" t="str">
        <f t="shared" si="338"/>
        <v>Anteil KWK, erstmals 2011</v>
      </c>
      <c r="AX729" s="215" t="str">
        <f t="shared" si="339"/>
        <v/>
      </c>
      <c r="AY729" t="str">
        <f t="shared" si="340"/>
        <v>x</v>
      </c>
      <c r="AZ729" t="str">
        <f t="shared" si="341"/>
        <v/>
      </c>
    </row>
    <row r="730" spans="1:52" x14ac:dyDescent="0.25">
      <c r="A730" s="625" t="s">
        <v>1528</v>
      </c>
      <c r="B730" s="219" t="s">
        <v>5548</v>
      </c>
      <c r="C730" s="219" t="s">
        <v>4809</v>
      </c>
      <c r="D730" s="219" t="s">
        <v>7081</v>
      </c>
      <c r="E730" s="219" t="s">
        <v>1980</v>
      </c>
      <c r="F730" s="455">
        <f t="shared" si="318"/>
        <v>23.810000000000002</v>
      </c>
      <c r="G730" s="530">
        <v>23.810000000000002</v>
      </c>
      <c r="H730" s="488">
        <f t="shared" si="319"/>
        <v>19.05</v>
      </c>
      <c r="I730" s="707"/>
      <c r="J730" s="669" t="s">
        <v>5805</v>
      </c>
      <c r="K730" s="15"/>
      <c r="M730" s="49">
        <f t="shared" si="320"/>
        <v>23.810000000000002</v>
      </c>
      <c r="N730" s="41">
        <v>9.9</v>
      </c>
      <c r="O730" s="187"/>
      <c r="P730" s="183"/>
      <c r="Q730" s="184"/>
      <c r="R730" s="178"/>
      <c r="S730" s="184" t="s">
        <v>4180</v>
      </c>
      <c r="T730" t="s">
        <v>1017</v>
      </c>
      <c r="U730" s="185" t="s">
        <v>1017</v>
      </c>
      <c r="V730" s="184"/>
      <c r="W730" s="180"/>
      <c r="X730" s="180"/>
      <c r="Y730" s="178"/>
      <c r="Z730" s="180"/>
      <c r="AA730" s="184"/>
      <c r="AB730" s="178"/>
      <c r="AC730" s="180"/>
      <c r="AD730" s="182" t="s">
        <v>1017</v>
      </c>
      <c r="AE730" s="181"/>
      <c r="AF730" s="180"/>
      <c r="AG730" s="201"/>
      <c r="AH730" s="217" t="s">
        <v>4179</v>
      </c>
      <c r="AI730" s="214" t="str">
        <f t="shared" ref="AI730:AI793" si="342">IF(AND($AH730&lt;&gt;"",AH730 =AH729),"Gleich","")</f>
        <v/>
      </c>
      <c r="AJ730" s="214" t="str">
        <f t="shared" ref="AJ730:AJ793" si="343">IF(AND($AH730&lt;&gt;"",A730 =A729),"Gleich","")</f>
        <v/>
      </c>
      <c r="AK730" s="214" t="str">
        <f t="shared" ref="AK730:AK793" si="344">IF(AND($AH730&lt;&gt;"",D730 =D729),"Gleich","")</f>
        <v/>
      </c>
      <c r="AL730" s="214" t="str">
        <f t="shared" ref="AL730:AL793" si="345">IF(AND($AH730&lt;&gt;"",E730 =E729),"Gleich","")</f>
        <v/>
      </c>
      <c r="AM730" s="214" t="str">
        <f t="shared" ref="AM730:AM793" si="346">IF(AND($AH730&lt;&gt;"",F730 =F729),"Gleich","")</f>
        <v/>
      </c>
      <c r="AN730" s="213" t="str">
        <f t="shared" si="329"/>
        <v>2012</v>
      </c>
      <c r="AO730" s="213" t="str">
        <f t="shared" si="330"/>
        <v>2012</v>
      </c>
      <c r="AP730" s="213" t="str">
        <f t="shared" si="331"/>
        <v>2012</v>
      </c>
      <c r="AQ730" s="215" t="str">
        <f t="shared" si="332"/>
        <v/>
      </c>
      <c r="AR730" s="216" t="str">
        <f t="shared" si="333"/>
        <v>BiK82X2K12y-04</v>
      </c>
      <c r="AS730" s="215" t="str">
        <f t="shared" si="334"/>
        <v/>
      </c>
      <c r="AT730">
        <f t="shared" si="335"/>
        <v>14</v>
      </c>
      <c r="AU730" s="216" t="str">
        <f t="shared" si="336"/>
        <v>0,15-0,5 MW, Bonusregeln X2, y und K erstmals 2012</v>
      </c>
      <c r="AV730" s="215" t="str">
        <f t="shared" si="337"/>
        <v/>
      </c>
      <c r="AW730" s="216" t="str">
        <f t="shared" si="338"/>
        <v>Anteil KWK, erstmals 2012</v>
      </c>
      <c r="AX730" s="215" t="str">
        <f t="shared" si="339"/>
        <v/>
      </c>
      <c r="AY730" t="str">
        <f t="shared" si="340"/>
        <v/>
      </c>
      <c r="AZ730" t="str">
        <f t="shared" si="341"/>
        <v>x</v>
      </c>
    </row>
    <row r="731" spans="1:52" x14ac:dyDescent="0.25">
      <c r="A731" s="609" t="s">
        <v>4130</v>
      </c>
      <c r="B731" s="36" t="s">
        <v>5548</v>
      </c>
      <c r="C731" s="2" t="s">
        <v>4809</v>
      </c>
      <c r="D731" s="1" t="s">
        <v>7130</v>
      </c>
      <c r="E731" s="1" t="s">
        <v>4810</v>
      </c>
      <c r="F731" s="456">
        <f t="shared" si="318"/>
        <v>11.9</v>
      </c>
      <c r="G731" s="531">
        <v>11.9</v>
      </c>
      <c r="H731" s="489">
        <f t="shared" si="319"/>
        <v>9.52</v>
      </c>
      <c r="I731" s="708"/>
      <c r="J731" s="669" t="s">
        <v>5805</v>
      </c>
      <c r="K731" s="15"/>
      <c r="M731" s="49">
        <f t="shared" si="320"/>
        <v>11.9</v>
      </c>
      <c r="N731" s="41">
        <v>9.9</v>
      </c>
      <c r="O731" s="54"/>
      <c r="P731" s="15"/>
      <c r="S731" t="s">
        <v>4180</v>
      </c>
      <c r="T731" t="s">
        <v>4180</v>
      </c>
      <c r="U731" s="55"/>
      <c r="W731" s="65"/>
      <c r="X731" s="65"/>
      <c r="Z731" s="65"/>
      <c r="AC731" s="65"/>
      <c r="AD731" s="92"/>
      <c r="AE731" s="124" t="s">
        <v>1017</v>
      </c>
      <c r="AF731" s="65"/>
      <c r="AG731" s="91"/>
      <c r="AH731" s="212" t="str">
        <f t="shared" ref="AH731:AH736" si="347">IF(ISERROR(SEARCH("K erstmals 201",D731)),"",RIGHT(D731,4))</f>
        <v/>
      </c>
      <c r="AI731" s="214" t="str">
        <f t="shared" si="342"/>
        <v/>
      </c>
      <c r="AJ731" s="214" t="str">
        <f t="shared" si="343"/>
        <v/>
      </c>
      <c r="AK731" s="214" t="str">
        <f t="shared" si="344"/>
        <v/>
      </c>
      <c r="AL731" s="214" t="str">
        <f t="shared" si="345"/>
        <v/>
      </c>
      <c r="AM731" s="214" t="str">
        <f t="shared" si="346"/>
        <v/>
      </c>
      <c r="AN731" s="213" t="str">
        <f t="shared" si="329"/>
        <v/>
      </c>
      <c r="AO731" s="213" t="str">
        <f t="shared" si="330"/>
        <v/>
      </c>
      <c r="AP731" s="213" t="str">
        <f t="shared" si="331"/>
        <v/>
      </c>
      <c r="AQ731" s="215" t="str">
        <f t="shared" si="332"/>
        <v/>
      </c>
      <c r="AR731" s="216" t="str">
        <f t="shared" si="333"/>
        <v>BiK82b------04</v>
      </c>
      <c r="AS731" s="215" t="str">
        <f t="shared" si="334"/>
        <v/>
      </c>
      <c r="AT731">
        <f t="shared" si="335"/>
        <v>14</v>
      </c>
      <c r="AU731" s="216" t="str">
        <f t="shared" si="336"/>
        <v>0,15-0,5 MW, Bonusregel b</v>
      </c>
      <c r="AV731" s="215" t="str">
        <f t="shared" si="337"/>
        <v/>
      </c>
      <c r="AW731" s="216" t="str">
        <f t="shared" si="338"/>
        <v>Anteil Nicht-KWK</v>
      </c>
      <c r="AX731" s="215" t="str">
        <f t="shared" si="339"/>
        <v/>
      </c>
      <c r="AY731" t="str">
        <f t="shared" si="340"/>
        <v/>
      </c>
      <c r="AZ731" t="str">
        <f t="shared" si="341"/>
        <v/>
      </c>
    </row>
    <row r="732" spans="1:52" s="178" customFormat="1" x14ac:dyDescent="0.25">
      <c r="A732" s="608" t="s">
        <v>4131</v>
      </c>
      <c r="B732" s="2" t="s">
        <v>5548</v>
      </c>
      <c r="C732" s="2" t="s">
        <v>4809</v>
      </c>
      <c r="D732" s="34" t="s">
        <v>7131</v>
      </c>
      <c r="E732" s="2" t="s">
        <v>4812</v>
      </c>
      <c r="F732" s="456">
        <f t="shared" si="318"/>
        <v>13.9</v>
      </c>
      <c r="G732" s="531">
        <v>13.9</v>
      </c>
      <c r="H732" s="489">
        <f t="shared" si="319"/>
        <v>11.12</v>
      </c>
      <c r="I732" s="708"/>
      <c r="J732" s="669" t="s">
        <v>5805</v>
      </c>
      <c r="K732" s="15"/>
      <c r="L732"/>
      <c r="M732" s="49">
        <f t="shared" si="320"/>
        <v>13.9</v>
      </c>
      <c r="N732" s="41">
        <v>9.9</v>
      </c>
      <c r="O732" s="54" t="s">
        <v>1017</v>
      </c>
      <c r="P732" s="15"/>
      <c r="Q732"/>
      <c r="R732"/>
      <c r="S732" t="s">
        <v>4180</v>
      </c>
      <c r="T732" s="178" t="s">
        <v>4180</v>
      </c>
      <c r="U732" s="55"/>
      <c r="V732"/>
      <c r="W732" s="65"/>
      <c r="X732" s="65"/>
      <c r="Y732"/>
      <c r="Z732" s="65"/>
      <c r="AA732"/>
      <c r="AB732"/>
      <c r="AC732" s="65"/>
      <c r="AD732" s="92"/>
      <c r="AE732" s="124" t="s">
        <v>1017</v>
      </c>
      <c r="AF732" s="65"/>
      <c r="AG732" s="91"/>
      <c r="AH732" s="212" t="str">
        <f t="shared" si="347"/>
        <v/>
      </c>
      <c r="AI732" s="214" t="str">
        <f t="shared" si="342"/>
        <v/>
      </c>
      <c r="AJ732" s="214" t="str">
        <f t="shared" si="343"/>
        <v/>
      </c>
      <c r="AK732" s="214" t="str">
        <f t="shared" si="344"/>
        <v/>
      </c>
      <c r="AL732" s="214" t="str">
        <f t="shared" si="345"/>
        <v/>
      </c>
      <c r="AM732" s="214" t="str">
        <f t="shared" si="346"/>
        <v/>
      </c>
      <c r="AN732" s="213" t="str">
        <f t="shared" si="329"/>
        <v/>
      </c>
      <c r="AO732" s="213" t="str">
        <f t="shared" si="330"/>
        <v/>
      </c>
      <c r="AP732" s="213" t="str">
        <f t="shared" si="331"/>
        <v/>
      </c>
      <c r="AQ732" s="215" t="str">
        <f t="shared" si="332"/>
        <v/>
      </c>
      <c r="AR732" s="216" t="str">
        <f t="shared" si="333"/>
        <v>BiK82bKWK---04</v>
      </c>
      <c r="AS732" s="215" t="str">
        <f t="shared" si="334"/>
        <v/>
      </c>
      <c r="AT732">
        <f t="shared" si="335"/>
        <v>14</v>
      </c>
      <c r="AU732" s="216" t="str">
        <f t="shared" si="336"/>
        <v>0,15-0,5 MW, Bonusregeln b und KWK</v>
      </c>
      <c r="AV732" s="215" t="str">
        <f t="shared" si="337"/>
        <v/>
      </c>
      <c r="AW732" s="216" t="str">
        <f t="shared" si="338"/>
        <v>Anteil KWK</v>
      </c>
      <c r="AX732" s="215" t="str">
        <f t="shared" si="339"/>
        <v/>
      </c>
      <c r="AY732" t="str">
        <f t="shared" si="340"/>
        <v/>
      </c>
      <c r="AZ732" t="str">
        <f t="shared" si="341"/>
        <v/>
      </c>
    </row>
    <row r="733" spans="1:52" s="178" customFormat="1" x14ac:dyDescent="0.25">
      <c r="A733" s="610" t="s">
        <v>4341</v>
      </c>
      <c r="B733" s="17" t="s">
        <v>5548</v>
      </c>
      <c r="C733" s="17" t="s">
        <v>4809</v>
      </c>
      <c r="D733" s="30" t="s">
        <v>7132</v>
      </c>
      <c r="E733" s="30" t="s">
        <v>4331</v>
      </c>
      <c r="F733" s="454">
        <f t="shared" si="318"/>
        <v>14.9</v>
      </c>
      <c r="G733" s="529">
        <v>14.9</v>
      </c>
      <c r="H733" s="487">
        <f t="shared" si="319"/>
        <v>11.92</v>
      </c>
      <c r="I733" s="706"/>
      <c r="J733" s="669" t="s">
        <v>5805</v>
      </c>
      <c r="K733" s="15"/>
      <c r="L733"/>
      <c r="M733" s="49">
        <f t="shared" si="320"/>
        <v>14.9</v>
      </c>
      <c r="N733" s="41">
        <v>9.9</v>
      </c>
      <c r="O733" s="54"/>
      <c r="P733" t="s">
        <v>1017</v>
      </c>
      <c r="Q733"/>
      <c r="R733"/>
      <c r="S733" t="s">
        <v>4180</v>
      </c>
      <c r="T733" s="178" t="s">
        <v>4180</v>
      </c>
      <c r="U733" s="55"/>
      <c r="V733"/>
      <c r="W733" s="65"/>
      <c r="X733" s="65"/>
      <c r="Y733"/>
      <c r="Z733" s="65"/>
      <c r="AA733"/>
      <c r="AB733"/>
      <c r="AC733" s="65"/>
      <c r="AD733" s="92"/>
      <c r="AE733" s="124" t="s">
        <v>1017</v>
      </c>
      <c r="AF733" s="65"/>
      <c r="AG733" s="91"/>
      <c r="AH733" s="212" t="str">
        <f t="shared" si="347"/>
        <v/>
      </c>
      <c r="AI733" s="214" t="str">
        <f t="shared" si="342"/>
        <v/>
      </c>
      <c r="AJ733" s="214" t="str">
        <f t="shared" si="343"/>
        <v/>
      </c>
      <c r="AK733" s="214" t="str">
        <f t="shared" si="344"/>
        <v/>
      </c>
      <c r="AL733" s="214" t="str">
        <f t="shared" si="345"/>
        <v/>
      </c>
      <c r="AM733" s="214" t="str">
        <f t="shared" si="346"/>
        <v/>
      </c>
      <c r="AN733" s="213" t="str">
        <f t="shared" si="329"/>
        <v/>
      </c>
      <c r="AO733" s="213" t="str">
        <f t="shared" si="330"/>
        <v/>
      </c>
      <c r="AP733" s="213" t="str">
        <f t="shared" si="331"/>
        <v/>
      </c>
      <c r="AQ733" s="215" t="str">
        <f t="shared" si="332"/>
        <v/>
      </c>
      <c r="AR733" s="216" t="str">
        <f t="shared" si="333"/>
        <v>BiK82bKA3---04</v>
      </c>
      <c r="AS733" s="215" t="str">
        <f t="shared" si="334"/>
        <v/>
      </c>
      <c r="AT733">
        <f t="shared" si="335"/>
        <v>14</v>
      </c>
      <c r="AU733" s="216" t="str">
        <f t="shared" si="336"/>
        <v>0,15-0,5 MW, Bonusregeln b und K wenn Anlage 3 erfüllt</v>
      </c>
      <c r="AV733" s="215" t="str">
        <f t="shared" si="337"/>
        <v/>
      </c>
      <c r="AW733" s="216" t="str">
        <f t="shared" si="338"/>
        <v>Anteil KWK gemäß Anlage 3</v>
      </c>
      <c r="AX733" s="215" t="str">
        <f t="shared" si="339"/>
        <v/>
      </c>
      <c r="AY733" t="str">
        <f t="shared" si="340"/>
        <v/>
      </c>
      <c r="AZ733" t="str">
        <f t="shared" si="341"/>
        <v/>
      </c>
    </row>
    <row r="734" spans="1:52" s="178" customFormat="1" x14ac:dyDescent="0.25">
      <c r="A734" s="610" t="s">
        <v>5041</v>
      </c>
      <c r="B734" s="17" t="s">
        <v>5548</v>
      </c>
      <c r="C734" s="17" t="s">
        <v>4809</v>
      </c>
      <c r="D734" s="30" t="s">
        <v>7133</v>
      </c>
      <c r="E734" s="30" t="s">
        <v>674</v>
      </c>
      <c r="F734" s="454">
        <f t="shared" si="318"/>
        <v>14.9</v>
      </c>
      <c r="G734" s="529">
        <v>14.9</v>
      </c>
      <c r="H734" s="487">
        <f t="shared" si="319"/>
        <v>11.92</v>
      </c>
      <c r="I734" s="706"/>
      <c r="J734" s="669" t="s">
        <v>5805</v>
      </c>
      <c r="K734" s="15"/>
      <c r="L734"/>
      <c r="M734" s="49">
        <f t="shared" si="320"/>
        <v>14.9</v>
      </c>
      <c r="N734" s="41">
        <v>9.9</v>
      </c>
      <c r="O734" s="54"/>
      <c r="P734" s="15"/>
      <c r="Q734" t="s">
        <v>1017</v>
      </c>
      <c r="R734"/>
      <c r="S734" t="s">
        <v>4180</v>
      </c>
      <c r="T734" s="178" t="s">
        <v>4180</v>
      </c>
      <c r="U734" s="55"/>
      <c r="V734"/>
      <c r="W734" s="65"/>
      <c r="X734" s="65"/>
      <c r="Y734"/>
      <c r="Z734" s="65"/>
      <c r="AA734"/>
      <c r="AB734"/>
      <c r="AC734" s="65"/>
      <c r="AD734" s="92"/>
      <c r="AE734" s="124" t="s">
        <v>1017</v>
      </c>
      <c r="AF734" s="65"/>
      <c r="AG734" s="91"/>
      <c r="AH734" s="212" t="str">
        <f t="shared" si="347"/>
        <v/>
      </c>
      <c r="AI734" s="214" t="str">
        <f t="shared" si="342"/>
        <v/>
      </c>
      <c r="AJ734" s="214" t="str">
        <f t="shared" si="343"/>
        <v/>
      </c>
      <c r="AK734" s="214" t="str">
        <f t="shared" si="344"/>
        <v/>
      </c>
      <c r="AL734" s="214" t="str">
        <f t="shared" si="345"/>
        <v/>
      </c>
      <c r="AM734" s="214" t="str">
        <f t="shared" si="346"/>
        <v/>
      </c>
      <c r="AN734" s="213" t="str">
        <f t="shared" si="329"/>
        <v/>
      </c>
      <c r="AO734" s="213" t="str">
        <f t="shared" si="330"/>
        <v/>
      </c>
      <c r="AP734" s="213" t="str">
        <f t="shared" si="331"/>
        <v/>
      </c>
      <c r="AQ734" s="215" t="str">
        <f t="shared" si="332"/>
        <v/>
      </c>
      <c r="AR734" s="216" t="str">
        <f t="shared" si="333"/>
        <v>BiK82bK09---04</v>
      </c>
      <c r="AS734" s="215" t="str">
        <f t="shared" si="334"/>
        <v/>
      </c>
      <c r="AT734">
        <f t="shared" si="335"/>
        <v>14</v>
      </c>
      <c r="AU734" s="216" t="str">
        <f t="shared" si="336"/>
        <v>0,15-0,5 MW, Bonusregeln b und K erstmals 2009</v>
      </c>
      <c r="AV734" s="215" t="str">
        <f t="shared" si="337"/>
        <v/>
      </c>
      <c r="AW734" s="216" t="str">
        <f t="shared" si="338"/>
        <v>Anteil KWK, erstmals 2009</v>
      </c>
      <c r="AX734" s="215" t="str">
        <f t="shared" si="339"/>
        <v/>
      </c>
      <c r="AY734" t="str">
        <f t="shared" si="340"/>
        <v/>
      </c>
      <c r="AZ734" t="str">
        <f t="shared" si="341"/>
        <v/>
      </c>
    </row>
    <row r="735" spans="1:52" s="178" customFormat="1" x14ac:dyDescent="0.25">
      <c r="A735" s="610" t="s">
        <v>1457</v>
      </c>
      <c r="B735" s="17" t="s">
        <v>5548</v>
      </c>
      <c r="C735" s="17" t="s">
        <v>4809</v>
      </c>
      <c r="D735" s="30" t="s">
        <v>7134</v>
      </c>
      <c r="E735" s="30" t="s">
        <v>3567</v>
      </c>
      <c r="F735" s="454">
        <f t="shared" ref="F735:F798" si="348">M735</f>
        <v>14.870000000000001</v>
      </c>
      <c r="G735" s="529">
        <v>14.870000000000001</v>
      </c>
      <c r="H735" s="487">
        <f t="shared" ref="H735:H798" si="349">IF(ISNUMBER(G735),ROUND(0.8*G735,2),"")</f>
        <v>11.9</v>
      </c>
      <c r="I735" s="706"/>
      <c r="J735" s="669" t="s">
        <v>5805</v>
      </c>
      <c r="K735" s="15"/>
      <c r="L735"/>
      <c r="M735" s="49">
        <f t="shared" ref="M735:M798" si="350">N735+SUMIF(O735:AG735,"x",O$478:AG$478)</f>
        <v>14.870000000000001</v>
      </c>
      <c r="N735" s="41">
        <v>9.9</v>
      </c>
      <c r="O735" s="54"/>
      <c r="P735" s="15"/>
      <c r="Q735"/>
      <c r="R735" t="s">
        <v>1017</v>
      </c>
      <c r="S735" t="s">
        <v>4180</v>
      </c>
      <c r="T735" s="178" t="s">
        <v>4180</v>
      </c>
      <c r="U735" s="55"/>
      <c r="V735"/>
      <c r="W735" s="65"/>
      <c r="X735" s="65"/>
      <c r="Y735"/>
      <c r="Z735" s="65"/>
      <c r="AA735"/>
      <c r="AB735"/>
      <c r="AC735" s="65"/>
      <c r="AD735" s="92"/>
      <c r="AE735" s="124" t="s">
        <v>1017</v>
      </c>
      <c r="AF735" s="65"/>
      <c r="AG735" s="91"/>
      <c r="AH735" s="212" t="str">
        <f t="shared" si="347"/>
        <v>2010</v>
      </c>
      <c r="AI735" s="214" t="str">
        <f t="shared" si="342"/>
        <v/>
      </c>
      <c r="AJ735" s="214" t="str">
        <f t="shared" si="343"/>
        <v/>
      </c>
      <c r="AK735" s="214" t="str">
        <f t="shared" si="344"/>
        <v/>
      </c>
      <c r="AL735" s="214" t="str">
        <f t="shared" si="345"/>
        <v/>
      </c>
      <c r="AM735" s="214" t="str">
        <f t="shared" si="346"/>
        <v/>
      </c>
      <c r="AN735" s="213" t="str">
        <f t="shared" si="329"/>
        <v>2010</v>
      </c>
      <c r="AO735" s="213" t="str">
        <f t="shared" si="330"/>
        <v>2010</v>
      </c>
      <c r="AP735" s="213" t="str">
        <f t="shared" si="331"/>
        <v>2010</v>
      </c>
      <c r="AQ735" s="215" t="str">
        <f t="shared" si="332"/>
        <v/>
      </c>
      <c r="AR735" s="216" t="str">
        <f t="shared" si="333"/>
        <v>BiK82bK10---04</v>
      </c>
      <c r="AS735" s="215" t="str">
        <f t="shared" si="334"/>
        <v/>
      </c>
      <c r="AT735">
        <f t="shared" si="335"/>
        <v>14</v>
      </c>
      <c r="AU735" s="216" t="str">
        <f t="shared" si="336"/>
        <v>0,15-0,5 MW, Bonusregeln b und K erstmals 2010</v>
      </c>
      <c r="AV735" s="215" t="str">
        <f t="shared" si="337"/>
        <v/>
      </c>
      <c r="AW735" s="216" t="str">
        <f t="shared" si="338"/>
        <v>Anteil KWK, erstmals 2010</v>
      </c>
      <c r="AX735" s="215" t="str">
        <f t="shared" si="339"/>
        <v/>
      </c>
      <c r="AY735" t="str">
        <f t="shared" si="340"/>
        <v/>
      </c>
      <c r="AZ735" t="str">
        <f t="shared" si="341"/>
        <v/>
      </c>
    </row>
    <row r="736" spans="1:52" s="178" customFormat="1" x14ac:dyDescent="0.25">
      <c r="A736" s="610" t="s">
        <v>5279</v>
      </c>
      <c r="B736" s="17" t="s">
        <v>5548</v>
      </c>
      <c r="C736" s="17" t="s">
        <v>4809</v>
      </c>
      <c r="D736" s="30" t="s">
        <v>7135</v>
      </c>
      <c r="E736" s="30" t="s">
        <v>3055</v>
      </c>
      <c r="F736" s="454">
        <f t="shared" si="348"/>
        <v>14.84</v>
      </c>
      <c r="G736" s="529">
        <v>14.84</v>
      </c>
      <c r="H736" s="487">
        <f t="shared" si="349"/>
        <v>11.87</v>
      </c>
      <c r="I736" s="706"/>
      <c r="J736" s="669" t="s">
        <v>5805</v>
      </c>
      <c r="K736" s="15"/>
      <c r="L736"/>
      <c r="M736" s="49">
        <f t="shared" si="350"/>
        <v>14.84</v>
      </c>
      <c r="N736" s="41">
        <v>9.9</v>
      </c>
      <c r="O736" s="54"/>
      <c r="P736" s="15"/>
      <c r="Q736"/>
      <c r="R736"/>
      <c r="S736" t="s">
        <v>1017</v>
      </c>
      <c r="T736" s="178" t="s">
        <v>4180</v>
      </c>
      <c r="U736" s="55"/>
      <c r="V736"/>
      <c r="W736" s="65"/>
      <c r="X736" s="65"/>
      <c r="Y736"/>
      <c r="Z736" s="65"/>
      <c r="AA736"/>
      <c r="AB736"/>
      <c r="AC736" s="65"/>
      <c r="AD736" s="92"/>
      <c r="AE736" s="124" t="s">
        <v>1017</v>
      </c>
      <c r="AF736" s="65"/>
      <c r="AG736" s="91"/>
      <c r="AH736" s="212" t="str">
        <f t="shared" si="347"/>
        <v>2011</v>
      </c>
      <c r="AI736" s="214" t="str">
        <f t="shared" si="342"/>
        <v/>
      </c>
      <c r="AJ736" s="214" t="str">
        <f t="shared" si="343"/>
        <v/>
      </c>
      <c r="AK736" s="214" t="str">
        <f t="shared" si="344"/>
        <v/>
      </c>
      <c r="AL736" s="214" t="str">
        <f t="shared" si="345"/>
        <v/>
      </c>
      <c r="AM736" s="214" t="str">
        <f t="shared" si="346"/>
        <v/>
      </c>
      <c r="AN736" s="213" t="str">
        <f t="shared" si="329"/>
        <v>2011</v>
      </c>
      <c r="AO736" s="213" t="str">
        <f t="shared" si="330"/>
        <v>2011</v>
      </c>
      <c r="AP736" s="213" t="str">
        <f t="shared" si="331"/>
        <v>2011</v>
      </c>
      <c r="AQ736" s="215" t="str">
        <f t="shared" si="332"/>
        <v/>
      </c>
      <c r="AR736" s="216" t="str">
        <f t="shared" si="333"/>
        <v>BiK82bK11---04</v>
      </c>
      <c r="AS736" s="215" t="str">
        <f t="shared" si="334"/>
        <v/>
      </c>
      <c r="AT736">
        <f t="shared" si="335"/>
        <v>14</v>
      </c>
      <c r="AU736" s="216" t="str">
        <f t="shared" si="336"/>
        <v>0,15-0,5 MW, Bonusregeln b und K erstmals 2011</v>
      </c>
      <c r="AV736" s="215" t="str">
        <f t="shared" si="337"/>
        <v/>
      </c>
      <c r="AW736" s="216" t="str">
        <f t="shared" si="338"/>
        <v>Anteil KWK, erstmals 2011</v>
      </c>
      <c r="AX736" s="215" t="str">
        <f t="shared" si="339"/>
        <v/>
      </c>
      <c r="AY736" t="str">
        <f t="shared" si="340"/>
        <v>x</v>
      </c>
      <c r="AZ736" t="str">
        <f t="shared" si="341"/>
        <v/>
      </c>
    </row>
    <row r="737" spans="1:52" s="178" customFormat="1" x14ac:dyDescent="0.25">
      <c r="A737" s="625" t="s">
        <v>1529</v>
      </c>
      <c r="B737" s="221" t="s">
        <v>5548</v>
      </c>
      <c r="C737" s="221" t="s">
        <v>4809</v>
      </c>
      <c r="D737" s="219" t="s">
        <v>7136</v>
      </c>
      <c r="E737" s="219" t="s">
        <v>1980</v>
      </c>
      <c r="F737" s="455">
        <f t="shared" si="348"/>
        <v>14.81</v>
      </c>
      <c r="G737" s="530">
        <v>14.81</v>
      </c>
      <c r="H737" s="488">
        <f t="shared" si="349"/>
        <v>11.85</v>
      </c>
      <c r="I737" s="707"/>
      <c r="J737" s="669" t="s">
        <v>5805</v>
      </c>
      <c r="K737" s="15"/>
      <c r="L737"/>
      <c r="M737" s="49">
        <f t="shared" si="350"/>
        <v>14.81</v>
      </c>
      <c r="N737" s="41">
        <v>9.9</v>
      </c>
      <c r="O737" s="54"/>
      <c r="P737" s="15"/>
      <c r="Q737"/>
      <c r="R737"/>
      <c r="S737" t="s">
        <v>4180</v>
      </c>
      <c r="T737" s="178" t="s">
        <v>1017</v>
      </c>
      <c r="U737" s="55"/>
      <c r="V737"/>
      <c r="W737" s="65"/>
      <c r="X737" s="65"/>
      <c r="Y737"/>
      <c r="Z737" s="65"/>
      <c r="AA737"/>
      <c r="AB737"/>
      <c r="AC737" s="65"/>
      <c r="AD737" s="92"/>
      <c r="AE737" s="124" t="s">
        <v>1017</v>
      </c>
      <c r="AF737" s="65"/>
      <c r="AG737" s="91"/>
      <c r="AH737" s="217" t="s">
        <v>4179</v>
      </c>
      <c r="AI737" s="214" t="str">
        <f t="shared" si="342"/>
        <v/>
      </c>
      <c r="AJ737" s="214" t="str">
        <f t="shared" si="343"/>
        <v/>
      </c>
      <c r="AK737" s="214" t="str">
        <f t="shared" si="344"/>
        <v/>
      </c>
      <c r="AL737" s="214" t="str">
        <f t="shared" si="345"/>
        <v/>
      </c>
      <c r="AM737" s="214" t="str">
        <f t="shared" si="346"/>
        <v/>
      </c>
      <c r="AN737" s="213" t="str">
        <f t="shared" si="329"/>
        <v>2012</v>
      </c>
      <c r="AO737" s="213" t="str">
        <f t="shared" si="330"/>
        <v>2012</v>
      </c>
      <c r="AP737" s="213" t="str">
        <f t="shared" si="331"/>
        <v>2012</v>
      </c>
      <c r="AQ737" s="215" t="str">
        <f t="shared" si="332"/>
        <v/>
      </c>
      <c r="AR737" s="216" t="str">
        <f t="shared" si="333"/>
        <v>BiK82bK12---04</v>
      </c>
      <c r="AS737" s="215" t="str">
        <f t="shared" si="334"/>
        <v/>
      </c>
      <c r="AT737">
        <f t="shared" si="335"/>
        <v>14</v>
      </c>
      <c r="AU737" s="216" t="str">
        <f t="shared" si="336"/>
        <v>0,15-0,5 MW, Bonusregeln b und K erstmals 2012</v>
      </c>
      <c r="AV737" s="215" t="str">
        <f t="shared" si="337"/>
        <v/>
      </c>
      <c r="AW737" s="216" t="str">
        <f t="shared" si="338"/>
        <v>Anteil KWK, erstmals 2012</v>
      </c>
      <c r="AX737" s="215" t="str">
        <f t="shared" si="339"/>
        <v/>
      </c>
      <c r="AY737" t="str">
        <f t="shared" si="340"/>
        <v/>
      </c>
      <c r="AZ737" t="str">
        <f t="shared" si="341"/>
        <v>x</v>
      </c>
    </row>
    <row r="738" spans="1:52" s="178" customFormat="1" x14ac:dyDescent="0.25">
      <c r="A738" s="610" t="s">
        <v>1365</v>
      </c>
      <c r="B738" s="30" t="s">
        <v>5548</v>
      </c>
      <c r="C738" s="17" t="s">
        <v>4809</v>
      </c>
      <c r="D738" s="30" t="s">
        <v>7137</v>
      </c>
      <c r="E738" s="17" t="s">
        <v>4810</v>
      </c>
      <c r="F738" s="454">
        <f t="shared" si="348"/>
        <v>12.9</v>
      </c>
      <c r="G738" s="529">
        <v>12.9</v>
      </c>
      <c r="H738" s="487">
        <f t="shared" si="349"/>
        <v>10.32</v>
      </c>
      <c r="I738" s="706"/>
      <c r="J738" s="669" t="s">
        <v>5805</v>
      </c>
      <c r="K738" s="15"/>
      <c r="L738"/>
      <c r="M738" s="49">
        <f t="shared" si="350"/>
        <v>12.9</v>
      </c>
      <c r="N738" s="41">
        <v>9.9</v>
      </c>
      <c r="O738" s="54"/>
      <c r="P738" s="15"/>
      <c r="Q738"/>
      <c r="R738"/>
      <c r="S738" t="s">
        <v>4180</v>
      </c>
      <c r="T738" s="178" t="s">
        <v>4180</v>
      </c>
      <c r="U738" s="55" t="s">
        <v>1017</v>
      </c>
      <c r="V738"/>
      <c r="W738" s="65"/>
      <c r="X738" s="65"/>
      <c r="Y738"/>
      <c r="Z738" s="65"/>
      <c r="AA738"/>
      <c r="AB738"/>
      <c r="AC738" s="65"/>
      <c r="AD738" s="92"/>
      <c r="AE738" s="124" t="s">
        <v>1017</v>
      </c>
      <c r="AF738" s="65"/>
      <c r="AG738" s="91"/>
      <c r="AH738" s="212" t="str">
        <f t="shared" ref="AH738:AH743" si="351">IF(ISERROR(SEARCH("K erstmals 201",D738)),"",RIGHT(D738,4))</f>
        <v/>
      </c>
      <c r="AI738" s="214" t="str">
        <f t="shared" si="342"/>
        <v/>
      </c>
      <c r="AJ738" s="214" t="str">
        <f t="shared" si="343"/>
        <v/>
      </c>
      <c r="AK738" s="214" t="str">
        <f t="shared" si="344"/>
        <v/>
      </c>
      <c r="AL738" s="214" t="str">
        <f t="shared" si="345"/>
        <v/>
      </c>
      <c r="AM738" s="214" t="str">
        <f t="shared" si="346"/>
        <v/>
      </c>
      <c r="AN738" s="213" t="str">
        <f t="shared" si="329"/>
        <v/>
      </c>
      <c r="AO738" s="213" t="str">
        <f t="shared" si="330"/>
        <v/>
      </c>
      <c r="AP738" s="213" t="str">
        <f t="shared" si="331"/>
        <v/>
      </c>
      <c r="AQ738" s="215" t="str">
        <f t="shared" si="332"/>
        <v/>
      </c>
      <c r="AR738" s="216" t="str">
        <f t="shared" si="333"/>
        <v>BiK82by-----04</v>
      </c>
      <c r="AS738" s="215" t="str">
        <f t="shared" si="334"/>
        <v/>
      </c>
      <c r="AT738">
        <f t="shared" si="335"/>
        <v>14</v>
      </c>
      <c r="AU738" s="216" t="str">
        <f t="shared" si="336"/>
        <v>0,15-0,5 MW, Bonusregeln b, y</v>
      </c>
      <c r="AV738" s="215" t="str">
        <f t="shared" si="337"/>
        <v/>
      </c>
      <c r="AW738" s="216" t="str">
        <f t="shared" si="338"/>
        <v>Anteil Nicht-KWK</v>
      </c>
      <c r="AX738" s="215" t="str">
        <f t="shared" si="339"/>
        <v/>
      </c>
      <c r="AY738" t="str">
        <f t="shared" si="340"/>
        <v/>
      </c>
      <c r="AZ738" t="str">
        <f t="shared" si="341"/>
        <v/>
      </c>
    </row>
    <row r="739" spans="1:52" s="178" customFormat="1" x14ac:dyDescent="0.25">
      <c r="A739" s="610" t="s">
        <v>1366</v>
      </c>
      <c r="B739" s="17" t="s">
        <v>5548</v>
      </c>
      <c r="C739" s="17" t="s">
        <v>4809</v>
      </c>
      <c r="D739" s="30" t="s">
        <v>7138</v>
      </c>
      <c r="E739" s="17" t="s">
        <v>4812</v>
      </c>
      <c r="F739" s="454">
        <f t="shared" si="348"/>
        <v>14.9</v>
      </c>
      <c r="G739" s="529">
        <v>14.9</v>
      </c>
      <c r="H739" s="487">
        <f t="shared" si="349"/>
        <v>11.92</v>
      </c>
      <c r="I739" s="706"/>
      <c r="J739" s="669" t="s">
        <v>5805</v>
      </c>
      <c r="K739" s="15"/>
      <c r="L739"/>
      <c r="M739" s="49">
        <f t="shared" si="350"/>
        <v>14.9</v>
      </c>
      <c r="N739" s="41">
        <v>9.9</v>
      </c>
      <c r="O739" s="54" t="s">
        <v>1017</v>
      </c>
      <c r="P739" s="15"/>
      <c r="Q739"/>
      <c r="R739"/>
      <c r="S739" t="s">
        <v>4180</v>
      </c>
      <c r="T739" s="178" t="s">
        <v>4180</v>
      </c>
      <c r="U739" s="55" t="s">
        <v>1017</v>
      </c>
      <c r="V739"/>
      <c r="W739" s="65"/>
      <c r="X739" s="65"/>
      <c r="Y739"/>
      <c r="Z739" s="65"/>
      <c r="AA739"/>
      <c r="AB739"/>
      <c r="AC739" s="65"/>
      <c r="AD739" s="92"/>
      <c r="AE739" s="124" t="s">
        <v>1017</v>
      </c>
      <c r="AF739" s="65"/>
      <c r="AG739" s="91"/>
      <c r="AH739" s="212" t="str">
        <f t="shared" si="351"/>
        <v/>
      </c>
      <c r="AI739" s="214" t="str">
        <f t="shared" si="342"/>
        <v/>
      </c>
      <c r="AJ739" s="214" t="str">
        <f t="shared" si="343"/>
        <v/>
      </c>
      <c r="AK739" s="214" t="str">
        <f t="shared" si="344"/>
        <v/>
      </c>
      <c r="AL739" s="214" t="str">
        <f t="shared" si="345"/>
        <v/>
      </c>
      <c r="AM739" s="214" t="str">
        <f t="shared" si="346"/>
        <v/>
      </c>
      <c r="AN739" s="213" t="str">
        <f t="shared" si="329"/>
        <v/>
      </c>
      <c r="AO739" s="213" t="str">
        <f t="shared" si="330"/>
        <v/>
      </c>
      <c r="AP739" s="213" t="str">
        <f t="shared" si="331"/>
        <v/>
      </c>
      <c r="AQ739" s="215" t="str">
        <f t="shared" si="332"/>
        <v/>
      </c>
      <c r="AR739" s="216" t="str">
        <f t="shared" si="333"/>
        <v>BiK82bKWKy--04</v>
      </c>
      <c r="AS739" s="215" t="str">
        <f t="shared" si="334"/>
        <v/>
      </c>
      <c r="AT739">
        <f t="shared" si="335"/>
        <v>14</v>
      </c>
      <c r="AU739" s="216" t="str">
        <f t="shared" si="336"/>
        <v>0,15-0,5 MW, Bonusregeln b, y und KWK</v>
      </c>
      <c r="AV739" s="215" t="str">
        <f t="shared" si="337"/>
        <v/>
      </c>
      <c r="AW739" s="216" t="str">
        <f t="shared" si="338"/>
        <v>Anteil KWK</v>
      </c>
      <c r="AX739" s="215" t="str">
        <f t="shared" si="339"/>
        <v/>
      </c>
      <c r="AY739" t="str">
        <f t="shared" si="340"/>
        <v/>
      </c>
      <c r="AZ739" t="str">
        <f t="shared" si="341"/>
        <v/>
      </c>
    </row>
    <row r="740" spans="1:52" s="178" customFormat="1" x14ac:dyDescent="0.25">
      <c r="A740" s="610" t="s">
        <v>1367</v>
      </c>
      <c r="B740" s="17" t="s">
        <v>5548</v>
      </c>
      <c r="C740" s="17" t="s">
        <v>4809</v>
      </c>
      <c r="D740" s="30" t="s">
        <v>7139</v>
      </c>
      <c r="E740" s="30" t="s">
        <v>4331</v>
      </c>
      <c r="F740" s="454">
        <f t="shared" si="348"/>
        <v>15.9</v>
      </c>
      <c r="G740" s="529">
        <v>15.9</v>
      </c>
      <c r="H740" s="487">
        <f t="shared" si="349"/>
        <v>12.72</v>
      </c>
      <c r="I740" s="706"/>
      <c r="J740" s="669" t="s">
        <v>5805</v>
      </c>
      <c r="K740" s="15"/>
      <c r="L740"/>
      <c r="M740" s="49">
        <f t="shared" si="350"/>
        <v>15.9</v>
      </c>
      <c r="N740" s="41">
        <v>9.9</v>
      </c>
      <c r="O740" s="54"/>
      <c r="P740" t="s">
        <v>1017</v>
      </c>
      <c r="Q740"/>
      <c r="R740"/>
      <c r="S740" t="s">
        <v>4180</v>
      </c>
      <c r="T740" s="178" t="s">
        <v>4180</v>
      </c>
      <c r="U740" s="55" t="s">
        <v>1017</v>
      </c>
      <c r="V740"/>
      <c r="W740" s="65"/>
      <c r="X740" s="65"/>
      <c r="Y740"/>
      <c r="Z740" s="65"/>
      <c r="AA740"/>
      <c r="AB740"/>
      <c r="AC740" s="65"/>
      <c r="AD740" s="92"/>
      <c r="AE740" s="124" t="s">
        <v>1017</v>
      </c>
      <c r="AF740" s="65"/>
      <c r="AG740" s="91"/>
      <c r="AH740" s="212" t="str">
        <f t="shared" si="351"/>
        <v/>
      </c>
      <c r="AI740" s="214" t="str">
        <f t="shared" si="342"/>
        <v/>
      </c>
      <c r="AJ740" s="214" t="str">
        <f t="shared" si="343"/>
        <v/>
      </c>
      <c r="AK740" s="214" t="str">
        <f t="shared" si="344"/>
        <v/>
      </c>
      <c r="AL740" s="214" t="str">
        <f t="shared" si="345"/>
        <v/>
      </c>
      <c r="AM740" s="214" t="str">
        <f t="shared" si="346"/>
        <v/>
      </c>
      <c r="AN740" s="213" t="str">
        <f t="shared" si="329"/>
        <v/>
      </c>
      <c r="AO740" s="213" t="str">
        <f t="shared" si="330"/>
        <v/>
      </c>
      <c r="AP740" s="213" t="str">
        <f t="shared" si="331"/>
        <v/>
      </c>
      <c r="AQ740" s="215" t="str">
        <f t="shared" si="332"/>
        <v/>
      </c>
      <c r="AR740" s="216" t="str">
        <f t="shared" si="333"/>
        <v>BiK82bKA3y--04</v>
      </c>
      <c r="AS740" s="215" t="str">
        <f t="shared" si="334"/>
        <v/>
      </c>
      <c r="AT740">
        <f t="shared" si="335"/>
        <v>14</v>
      </c>
      <c r="AU740" s="216" t="str">
        <f t="shared" si="336"/>
        <v>0,15-0,5 MW, Bonusregeln b, y und K wenn Anlage 3 erfüllt</v>
      </c>
      <c r="AV740" s="215" t="str">
        <f t="shared" si="337"/>
        <v/>
      </c>
      <c r="AW740" s="216" t="str">
        <f t="shared" si="338"/>
        <v>Anteil KWK gemäß Anlage 3</v>
      </c>
      <c r="AX740" s="215" t="str">
        <f t="shared" si="339"/>
        <v/>
      </c>
      <c r="AY740" t="str">
        <f t="shared" si="340"/>
        <v/>
      </c>
      <c r="AZ740" t="str">
        <f t="shared" si="341"/>
        <v/>
      </c>
    </row>
    <row r="741" spans="1:52" s="178" customFormat="1" x14ac:dyDescent="0.25">
      <c r="A741" s="610" t="s">
        <v>1368</v>
      </c>
      <c r="B741" s="17" t="s">
        <v>5548</v>
      </c>
      <c r="C741" s="17" t="s">
        <v>4809</v>
      </c>
      <c r="D741" s="30" t="s">
        <v>7140</v>
      </c>
      <c r="E741" s="30" t="s">
        <v>674</v>
      </c>
      <c r="F741" s="454">
        <f t="shared" si="348"/>
        <v>15.9</v>
      </c>
      <c r="G741" s="529">
        <v>15.9</v>
      </c>
      <c r="H741" s="487">
        <f t="shared" si="349"/>
        <v>12.72</v>
      </c>
      <c r="I741" s="706"/>
      <c r="J741" s="669" t="s">
        <v>5805</v>
      </c>
      <c r="K741" s="15"/>
      <c r="L741"/>
      <c r="M741" s="49">
        <f t="shared" si="350"/>
        <v>15.9</v>
      </c>
      <c r="N741" s="41">
        <v>9.9</v>
      </c>
      <c r="O741" s="54"/>
      <c r="P741" s="15"/>
      <c r="Q741" t="s">
        <v>1017</v>
      </c>
      <c r="R741"/>
      <c r="S741" t="s">
        <v>4180</v>
      </c>
      <c r="T741" s="178" t="s">
        <v>4180</v>
      </c>
      <c r="U741" s="55" t="s">
        <v>1017</v>
      </c>
      <c r="V741"/>
      <c r="W741" s="65"/>
      <c r="X741" s="65"/>
      <c r="Y741"/>
      <c r="Z741" s="65"/>
      <c r="AA741"/>
      <c r="AB741"/>
      <c r="AC741" s="65"/>
      <c r="AD741" s="92"/>
      <c r="AE741" s="124" t="s">
        <v>1017</v>
      </c>
      <c r="AF741" s="65"/>
      <c r="AG741" s="91"/>
      <c r="AH741" s="212" t="str">
        <f t="shared" si="351"/>
        <v/>
      </c>
      <c r="AI741" s="214" t="str">
        <f t="shared" si="342"/>
        <v/>
      </c>
      <c r="AJ741" s="214" t="str">
        <f t="shared" si="343"/>
        <v/>
      </c>
      <c r="AK741" s="214" t="str">
        <f t="shared" si="344"/>
        <v/>
      </c>
      <c r="AL741" s="214" t="str">
        <f t="shared" si="345"/>
        <v/>
      </c>
      <c r="AM741" s="214" t="str">
        <f t="shared" si="346"/>
        <v/>
      </c>
      <c r="AN741" s="213" t="str">
        <f t="shared" si="329"/>
        <v/>
      </c>
      <c r="AO741" s="213" t="str">
        <f t="shared" si="330"/>
        <v/>
      </c>
      <c r="AP741" s="213" t="str">
        <f t="shared" si="331"/>
        <v/>
      </c>
      <c r="AQ741" s="215" t="str">
        <f t="shared" si="332"/>
        <v/>
      </c>
      <c r="AR741" s="216" t="str">
        <f t="shared" si="333"/>
        <v>BiK82bK09y--04</v>
      </c>
      <c r="AS741" s="215" t="str">
        <f t="shared" si="334"/>
        <v/>
      </c>
      <c r="AT741">
        <f t="shared" si="335"/>
        <v>14</v>
      </c>
      <c r="AU741" s="216" t="str">
        <f t="shared" si="336"/>
        <v>0,15-0,5 MW, Bonusregeln b, y und K erstmals 2009</v>
      </c>
      <c r="AV741" s="215" t="str">
        <f t="shared" si="337"/>
        <v/>
      </c>
      <c r="AW741" s="216" t="str">
        <f t="shared" si="338"/>
        <v>Anteil KWK, erstmals 2009</v>
      </c>
      <c r="AX741" s="215" t="str">
        <f t="shared" si="339"/>
        <v/>
      </c>
      <c r="AY741" t="str">
        <f t="shared" si="340"/>
        <v/>
      </c>
      <c r="AZ741" t="str">
        <f t="shared" si="341"/>
        <v/>
      </c>
    </row>
    <row r="742" spans="1:52" s="178" customFormat="1" x14ac:dyDescent="0.25">
      <c r="A742" s="610" t="s">
        <v>1458</v>
      </c>
      <c r="B742" s="17" t="s">
        <v>5548</v>
      </c>
      <c r="C742" s="17" t="s">
        <v>4809</v>
      </c>
      <c r="D742" s="30" t="s">
        <v>7141</v>
      </c>
      <c r="E742" s="30" t="s">
        <v>3567</v>
      </c>
      <c r="F742" s="454">
        <f t="shared" si="348"/>
        <v>15.870000000000001</v>
      </c>
      <c r="G742" s="529">
        <v>15.870000000000001</v>
      </c>
      <c r="H742" s="487">
        <f t="shared" si="349"/>
        <v>12.7</v>
      </c>
      <c r="I742" s="706"/>
      <c r="J742" s="669" t="s">
        <v>5805</v>
      </c>
      <c r="K742" s="15"/>
      <c r="L742"/>
      <c r="M742" s="49">
        <f t="shared" si="350"/>
        <v>15.870000000000001</v>
      </c>
      <c r="N742" s="41">
        <v>9.9</v>
      </c>
      <c r="O742" s="54"/>
      <c r="P742" s="15"/>
      <c r="Q742"/>
      <c r="R742" t="s">
        <v>1017</v>
      </c>
      <c r="S742" t="s">
        <v>4180</v>
      </c>
      <c r="T742" s="178" t="s">
        <v>4180</v>
      </c>
      <c r="U742" s="55" t="s">
        <v>1017</v>
      </c>
      <c r="V742"/>
      <c r="W742" s="65"/>
      <c r="X742" s="65"/>
      <c r="Y742"/>
      <c r="Z742" s="65"/>
      <c r="AA742"/>
      <c r="AB742"/>
      <c r="AC742" s="65"/>
      <c r="AD742" s="92"/>
      <c r="AE742" s="124" t="s">
        <v>1017</v>
      </c>
      <c r="AF742" s="65"/>
      <c r="AG742" s="91"/>
      <c r="AH742" s="212" t="str">
        <f t="shared" si="351"/>
        <v>2010</v>
      </c>
      <c r="AI742" s="214" t="str">
        <f t="shared" si="342"/>
        <v/>
      </c>
      <c r="AJ742" s="214" t="str">
        <f t="shared" si="343"/>
        <v/>
      </c>
      <c r="AK742" s="214" t="str">
        <f t="shared" si="344"/>
        <v/>
      </c>
      <c r="AL742" s="214" t="str">
        <f t="shared" si="345"/>
        <v/>
      </c>
      <c r="AM742" s="214" t="str">
        <f t="shared" si="346"/>
        <v/>
      </c>
      <c r="AN742" s="213" t="str">
        <f t="shared" si="329"/>
        <v>2010</v>
      </c>
      <c r="AO742" s="213" t="str">
        <f t="shared" si="330"/>
        <v>2010</v>
      </c>
      <c r="AP742" s="213" t="str">
        <f t="shared" si="331"/>
        <v>2010</v>
      </c>
      <c r="AQ742" s="215" t="str">
        <f t="shared" si="332"/>
        <v/>
      </c>
      <c r="AR742" s="216" t="str">
        <f t="shared" si="333"/>
        <v>BiK82bK10y--04</v>
      </c>
      <c r="AS742" s="215" t="str">
        <f t="shared" si="334"/>
        <v/>
      </c>
      <c r="AT742">
        <f t="shared" si="335"/>
        <v>14</v>
      </c>
      <c r="AU742" s="216" t="str">
        <f t="shared" si="336"/>
        <v>0,15-0,5 MW, Bonusregeln b, y und K erstmals 2010</v>
      </c>
      <c r="AV742" s="215" t="str">
        <f t="shared" si="337"/>
        <v/>
      </c>
      <c r="AW742" s="216" t="str">
        <f t="shared" si="338"/>
        <v>Anteil KWK, erstmals 2010</v>
      </c>
      <c r="AX742" s="215" t="str">
        <f t="shared" si="339"/>
        <v/>
      </c>
      <c r="AY742" t="str">
        <f t="shared" si="340"/>
        <v/>
      </c>
      <c r="AZ742" t="str">
        <f t="shared" si="341"/>
        <v/>
      </c>
    </row>
    <row r="743" spans="1:52" s="178" customFormat="1" x14ac:dyDescent="0.25">
      <c r="A743" s="610" t="s">
        <v>5280</v>
      </c>
      <c r="B743" s="17" t="s">
        <v>5548</v>
      </c>
      <c r="C743" s="17" t="s">
        <v>4809</v>
      </c>
      <c r="D743" s="30" t="s">
        <v>7142</v>
      </c>
      <c r="E743" s="30" t="s">
        <v>3055</v>
      </c>
      <c r="F743" s="454">
        <f t="shared" si="348"/>
        <v>15.84</v>
      </c>
      <c r="G743" s="529">
        <v>15.84</v>
      </c>
      <c r="H743" s="487">
        <f t="shared" si="349"/>
        <v>12.67</v>
      </c>
      <c r="I743" s="706"/>
      <c r="J743" s="669" t="s">
        <v>5805</v>
      </c>
      <c r="K743" s="15"/>
      <c r="L743"/>
      <c r="M743" s="49">
        <f t="shared" si="350"/>
        <v>15.84</v>
      </c>
      <c r="N743" s="41">
        <v>9.9</v>
      </c>
      <c r="O743" s="54"/>
      <c r="P743" s="15"/>
      <c r="Q743"/>
      <c r="R743"/>
      <c r="S743" t="s">
        <v>1017</v>
      </c>
      <c r="T743" s="178" t="s">
        <v>4180</v>
      </c>
      <c r="U743" s="55" t="s">
        <v>1017</v>
      </c>
      <c r="V743"/>
      <c r="W743" s="65"/>
      <c r="X743" s="65"/>
      <c r="Y743"/>
      <c r="Z743" s="65"/>
      <c r="AA743"/>
      <c r="AB743"/>
      <c r="AC743" s="65"/>
      <c r="AD743" s="92"/>
      <c r="AE743" s="124" t="s">
        <v>1017</v>
      </c>
      <c r="AF743" s="65"/>
      <c r="AG743" s="91"/>
      <c r="AH743" s="212" t="str">
        <f t="shared" si="351"/>
        <v>2011</v>
      </c>
      <c r="AI743" s="214" t="str">
        <f t="shared" si="342"/>
        <v/>
      </c>
      <c r="AJ743" s="214" t="str">
        <f t="shared" si="343"/>
        <v/>
      </c>
      <c r="AK743" s="214" t="str">
        <f t="shared" si="344"/>
        <v/>
      </c>
      <c r="AL743" s="214" t="str">
        <f t="shared" si="345"/>
        <v/>
      </c>
      <c r="AM743" s="214" t="str">
        <f t="shared" si="346"/>
        <v/>
      </c>
      <c r="AN743" s="213" t="str">
        <f t="shared" si="329"/>
        <v>2011</v>
      </c>
      <c r="AO743" s="213" t="str">
        <f t="shared" si="330"/>
        <v>2011</v>
      </c>
      <c r="AP743" s="213" t="str">
        <f t="shared" si="331"/>
        <v>2011</v>
      </c>
      <c r="AQ743" s="215" t="str">
        <f t="shared" si="332"/>
        <v/>
      </c>
      <c r="AR743" s="216" t="str">
        <f t="shared" si="333"/>
        <v>BiK82bK11y--04</v>
      </c>
      <c r="AS743" s="215" t="str">
        <f t="shared" si="334"/>
        <v/>
      </c>
      <c r="AT743">
        <f t="shared" si="335"/>
        <v>14</v>
      </c>
      <c r="AU743" s="216" t="str">
        <f t="shared" si="336"/>
        <v>0,15-0,5 MW, Bonusregeln b, y und K erstmals 2011</v>
      </c>
      <c r="AV743" s="215" t="str">
        <f t="shared" si="337"/>
        <v/>
      </c>
      <c r="AW743" s="216" t="str">
        <f t="shared" si="338"/>
        <v>Anteil KWK, erstmals 2011</v>
      </c>
      <c r="AX743" s="215" t="str">
        <f t="shared" si="339"/>
        <v/>
      </c>
      <c r="AY743" t="str">
        <f t="shared" si="340"/>
        <v>x</v>
      </c>
      <c r="AZ743" t="str">
        <f t="shared" si="341"/>
        <v/>
      </c>
    </row>
    <row r="744" spans="1:52" s="178" customFormat="1" x14ac:dyDescent="0.25">
      <c r="A744" s="625" t="s">
        <v>1530</v>
      </c>
      <c r="B744" s="221" t="s">
        <v>5548</v>
      </c>
      <c r="C744" s="221" t="s">
        <v>4809</v>
      </c>
      <c r="D744" s="219" t="s">
        <v>7143</v>
      </c>
      <c r="E744" s="219" t="s">
        <v>1980</v>
      </c>
      <c r="F744" s="455">
        <f t="shared" si="348"/>
        <v>15.81</v>
      </c>
      <c r="G744" s="530">
        <v>15.81</v>
      </c>
      <c r="H744" s="488">
        <f t="shared" si="349"/>
        <v>12.65</v>
      </c>
      <c r="I744" s="707"/>
      <c r="J744" s="669" t="s">
        <v>5805</v>
      </c>
      <c r="K744" s="15"/>
      <c r="L744"/>
      <c r="M744" s="49">
        <f t="shared" si="350"/>
        <v>15.81</v>
      </c>
      <c r="N744" s="41">
        <v>9.9</v>
      </c>
      <c r="O744" s="54"/>
      <c r="P744" s="15"/>
      <c r="Q744"/>
      <c r="R744"/>
      <c r="S744" t="s">
        <v>4180</v>
      </c>
      <c r="T744" s="178" t="s">
        <v>1017</v>
      </c>
      <c r="U744" s="55" t="s">
        <v>1017</v>
      </c>
      <c r="V744"/>
      <c r="W744" s="65"/>
      <c r="X744" s="65"/>
      <c r="Y744"/>
      <c r="Z744" s="65"/>
      <c r="AA744"/>
      <c r="AB744"/>
      <c r="AC744" s="65"/>
      <c r="AD744" s="92"/>
      <c r="AE744" s="124" t="s">
        <v>1017</v>
      </c>
      <c r="AF744" s="65"/>
      <c r="AG744" s="91"/>
      <c r="AH744" s="217" t="s">
        <v>4179</v>
      </c>
      <c r="AI744" s="214" t="str">
        <f t="shared" si="342"/>
        <v/>
      </c>
      <c r="AJ744" s="214" t="str">
        <f t="shared" si="343"/>
        <v/>
      </c>
      <c r="AK744" s="214" t="str">
        <f t="shared" si="344"/>
        <v/>
      </c>
      <c r="AL744" s="214" t="str">
        <f t="shared" si="345"/>
        <v/>
      </c>
      <c r="AM744" s="214" t="str">
        <f t="shared" si="346"/>
        <v/>
      </c>
      <c r="AN744" s="213" t="str">
        <f t="shared" si="329"/>
        <v>2012</v>
      </c>
      <c r="AO744" s="213" t="str">
        <f t="shared" si="330"/>
        <v>2012</v>
      </c>
      <c r="AP744" s="213" t="str">
        <f t="shared" si="331"/>
        <v>2012</v>
      </c>
      <c r="AQ744" s="215" t="str">
        <f t="shared" si="332"/>
        <v/>
      </c>
      <c r="AR744" s="216" t="str">
        <f t="shared" si="333"/>
        <v>BiK82bK12y--04</v>
      </c>
      <c r="AS744" s="215" t="str">
        <f t="shared" si="334"/>
        <v/>
      </c>
      <c r="AT744">
        <f t="shared" si="335"/>
        <v>14</v>
      </c>
      <c r="AU744" s="216" t="str">
        <f t="shared" si="336"/>
        <v>0,15-0,5 MW, Bonusregeln b, y und K erstmals 2012</v>
      </c>
      <c r="AV744" s="215" t="str">
        <f t="shared" si="337"/>
        <v/>
      </c>
      <c r="AW744" s="216" t="str">
        <f t="shared" si="338"/>
        <v>Anteil KWK, erstmals 2012</v>
      </c>
      <c r="AX744" s="215" t="str">
        <f t="shared" si="339"/>
        <v/>
      </c>
      <c r="AY744" t="str">
        <f t="shared" si="340"/>
        <v/>
      </c>
      <c r="AZ744" t="str">
        <f t="shared" si="341"/>
        <v>x</v>
      </c>
    </row>
    <row r="745" spans="1:52" s="178" customFormat="1" x14ac:dyDescent="0.25">
      <c r="A745" s="609" t="s">
        <v>4132</v>
      </c>
      <c r="B745" s="1" t="s">
        <v>5548</v>
      </c>
      <c r="C745" s="2" t="s">
        <v>4809</v>
      </c>
      <c r="D745" s="1" t="s">
        <v>7144</v>
      </c>
      <c r="E745" s="1" t="s">
        <v>4810</v>
      </c>
      <c r="F745" s="456">
        <f t="shared" si="348"/>
        <v>17.899999999999999</v>
      </c>
      <c r="G745" s="531">
        <v>17.899999999999999</v>
      </c>
      <c r="H745" s="489">
        <f t="shared" si="349"/>
        <v>14.32</v>
      </c>
      <c r="I745" s="708"/>
      <c r="J745" s="669" t="s">
        <v>5805</v>
      </c>
      <c r="K745" s="15"/>
      <c r="L745"/>
      <c r="M745" s="49">
        <f t="shared" si="350"/>
        <v>17.899999999999999</v>
      </c>
      <c r="N745" s="41">
        <v>9.9</v>
      </c>
      <c r="O745" s="54"/>
      <c r="P745" s="15"/>
      <c r="Q745"/>
      <c r="R745"/>
      <c r="S745" t="s">
        <v>4180</v>
      </c>
      <c r="T745" s="178" t="s">
        <v>4180</v>
      </c>
      <c r="U745" s="55"/>
      <c r="V745" t="s">
        <v>1017</v>
      </c>
      <c r="W745" s="65"/>
      <c r="X745" s="65"/>
      <c r="Y745"/>
      <c r="Z745" s="65"/>
      <c r="AA745" s="12"/>
      <c r="AB745"/>
      <c r="AC745" s="65"/>
      <c r="AD745" s="27"/>
      <c r="AE745" s="124" t="s">
        <v>1017</v>
      </c>
      <c r="AF745" s="65"/>
      <c r="AG745" s="91"/>
      <c r="AH745" s="212" t="str">
        <f t="shared" ref="AH745:AH750" si="352">IF(ISERROR(SEARCH("K erstmals 201",D745)),"",RIGHT(D745,4))</f>
        <v/>
      </c>
      <c r="AI745" s="214" t="str">
        <f t="shared" si="342"/>
        <v/>
      </c>
      <c r="AJ745" s="214" t="str">
        <f t="shared" si="343"/>
        <v/>
      </c>
      <c r="AK745" s="214" t="str">
        <f t="shared" si="344"/>
        <v/>
      </c>
      <c r="AL745" s="214" t="str">
        <f t="shared" si="345"/>
        <v/>
      </c>
      <c r="AM745" s="214" t="str">
        <f t="shared" si="346"/>
        <v/>
      </c>
      <c r="AN745" s="213" t="str">
        <f t="shared" si="329"/>
        <v/>
      </c>
      <c r="AO745" s="213" t="str">
        <f t="shared" si="330"/>
        <v/>
      </c>
      <c r="AP745" s="213" t="str">
        <f t="shared" si="331"/>
        <v/>
      </c>
      <c r="AQ745" s="215" t="str">
        <f t="shared" si="332"/>
        <v/>
      </c>
      <c r="AR745" s="216" t="str">
        <f t="shared" si="333"/>
        <v>BiK82a1b----04</v>
      </c>
      <c r="AS745" s="215" t="str">
        <f t="shared" si="334"/>
        <v/>
      </c>
      <c r="AT745">
        <f t="shared" si="335"/>
        <v>14</v>
      </c>
      <c r="AU745" s="216" t="str">
        <f t="shared" si="336"/>
        <v>0,15-0,5 MW, Bonusregeln a1 und b</v>
      </c>
      <c r="AV745" s="215" t="str">
        <f t="shared" si="337"/>
        <v/>
      </c>
      <c r="AW745" s="216" t="str">
        <f t="shared" si="338"/>
        <v>Anteil Nicht-KWK</v>
      </c>
      <c r="AX745" s="215" t="str">
        <f t="shared" si="339"/>
        <v/>
      </c>
      <c r="AY745" t="str">
        <f t="shared" si="340"/>
        <v/>
      </c>
      <c r="AZ745" t="str">
        <f t="shared" si="341"/>
        <v/>
      </c>
    </row>
    <row r="746" spans="1:52" s="178" customFormat="1" x14ac:dyDescent="0.25">
      <c r="A746" s="608" t="s">
        <v>4491</v>
      </c>
      <c r="B746" s="2" t="s">
        <v>5548</v>
      </c>
      <c r="C746" s="2" t="s">
        <v>4809</v>
      </c>
      <c r="D746" s="2" t="s">
        <v>7145</v>
      </c>
      <c r="E746" s="2" t="s">
        <v>4812</v>
      </c>
      <c r="F746" s="456">
        <f t="shared" si="348"/>
        <v>19.899999999999999</v>
      </c>
      <c r="G746" s="531">
        <v>19.899999999999999</v>
      </c>
      <c r="H746" s="489">
        <f t="shared" si="349"/>
        <v>15.92</v>
      </c>
      <c r="I746" s="708"/>
      <c r="J746" s="669" t="s">
        <v>5805</v>
      </c>
      <c r="K746" s="15"/>
      <c r="L746"/>
      <c r="M746" s="49">
        <f t="shared" si="350"/>
        <v>19.899999999999999</v>
      </c>
      <c r="N746" s="41">
        <v>9.9</v>
      </c>
      <c r="O746" s="54" t="s">
        <v>1017</v>
      </c>
      <c r="P746" s="15"/>
      <c r="Q746"/>
      <c r="R746"/>
      <c r="S746" t="s">
        <v>4180</v>
      </c>
      <c r="T746" s="178" t="s">
        <v>4180</v>
      </c>
      <c r="U746" s="55"/>
      <c r="V746" t="s">
        <v>1017</v>
      </c>
      <c r="W746" s="65"/>
      <c r="X746" s="65"/>
      <c r="Y746"/>
      <c r="Z746" s="65"/>
      <c r="AA746" s="12"/>
      <c r="AB746"/>
      <c r="AC746" s="65"/>
      <c r="AD746" s="27"/>
      <c r="AE746" s="124" t="s">
        <v>1017</v>
      </c>
      <c r="AF746" s="65"/>
      <c r="AG746" s="91"/>
      <c r="AH746" s="212" t="str">
        <f t="shared" si="352"/>
        <v/>
      </c>
      <c r="AI746" s="214" t="str">
        <f t="shared" si="342"/>
        <v/>
      </c>
      <c r="AJ746" s="214" t="str">
        <f t="shared" si="343"/>
        <v/>
      </c>
      <c r="AK746" s="214" t="str">
        <f t="shared" si="344"/>
        <v/>
      </c>
      <c r="AL746" s="214" t="str">
        <f t="shared" si="345"/>
        <v/>
      </c>
      <c r="AM746" s="214" t="str">
        <f t="shared" si="346"/>
        <v/>
      </c>
      <c r="AN746" s="213" t="str">
        <f t="shared" si="329"/>
        <v/>
      </c>
      <c r="AO746" s="213" t="str">
        <f t="shared" si="330"/>
        <v/>
      </c>
      <c r="AP746" s="213" t="str">
        <f t="shared" si="331"/>
        <v/>
      </c>
      <c r="AQ746" s="215" t="str">
        <f t="shared" si="332"/>
        <v/>
      </c>
      <c r="AR746" s="216" t="str">
        <f t="shared" si="333"/>
        <v>BiK82a1bKWK-04</v>
      </c>
      <c r="AS746" s="215" t="str">
        <f t="shared" si="334"/>
        <v/>
      </c>
      <c r="AT746">
        <f t="shared" si="335"/>
        <v>14</v>
      </c>
      <c r="AU746" s="216" t="str">
        <f t="shared" si="336"/>
        <v>0,15-0,5 MW, Bonusregeln a1, b und KWK</v>
      </c>
      <c r="AV746" s="215" t="str">
        <f t="shared" si="337"/>
        <v/>
      </c>
      <c r="AW746" s="216" t="str">
        <f t="shared" si="338"/>
        <v>Anteil KWK</v>
      </c>
      <c r="AX746" s="215" t="str">
        <f t="shared" si="339"/>
        <v/>
      </c>
      <c r="AY746" t="str">
        <f t="shared" si="340"/>
        <v/>
      </c>
      <c r="AZ746" t="str">
        <f t="shared" si="341"/>
        <v/>
      </c>
    </row>
    <row r="747" spans="1:52" s="178" customFormat="1" x14ac:dyDescent="0.25">
      <c r="A747" s="610" t="s">
        <v>4340</v>
      </c>
      <c r="B747" s="17" t="s">
        <v>5548</v>
      </c>
      <c r="C747" s="17" t="s">
        <v>4809</v>
      </c>
      <c r="D747" s="30" t="s">
        <v>7146</v>
      </c>
      <c r="E747" s="30" t="s">
        <v>4331</v>
      </c>
      <c r="F747" s="454">
        <f t="shared" si="348"/>
        <v>20.9</v>
      </c>
      <c r="G747" s="529">
        <v>20.9</v>
      </c>
      <c r="H747" s="487">
        <f t="shared" si="349"/>
        <v>16.72</v>
      </c>
      <c r="I747" s="706"/>
      <c r="J747" s="669" t="s">
        <v>5805</v>
      </c>
      <c r="K747" s="15"/>
      <c r="L747"/>
      <c r="M747" s="49">
        <f t="shared" si="350"/>
        <v>20.9</v>
      </c>
      <c r="N747" s="41">
        <v>9.9</v>
      </c>
      <c r="O747" s="54"/>
      <c r="P747" t="s">
        <v>1017</v>
      </c>
      <c r="Q747"/>
      <c r="R747"/>
      <c r="S747" t="s">
        <v>4180</v>
      </c>
      <c r="T747" s="178" t="s">
        <v>4180</v>
      </c>
      <c r="U747" s="55"/>
      <c r="V747" t="s">
        <v>1017</v>
      </c>
      <c r="W747" s="65"/>
      <c r="X747" s="65"/>
      <c r="Y747"/>
      <c r="Z747" s="65"/>
      <c r="AA747" s="12"/>
      <c r="AB747"/>
      <c r="AC747" s="65"/>
      <c r="AD747" s="27"/>
      <c r="AE747" s="124" t="s">
        <v>1017</v>
      </c>
      <c r="AF747" s="65"/>
      <c r="AG747" s="91"/>
      <c r="AH747" s="212" t="str">
        <f t="shared" si="352"/>
        <v/>
      </c>
      <c r="AI747" s="214" t="str">
        <f t="shared" si="342"/>
        <v/>
      </c>
      <c r="AJ747" s="214" t="str">
        <f t="shared" si="343"/>
        <v/>
      </c>
      <c r="AK747" s="214" t="str">
        <f t="shared" si="344"/>
        <v/>
      </c>
      <c r="AL747" s="214" t="str">
        <f t="shared" si="345"/>
        <v/>
      </c>
      <c r="AM747" s="214" t="str">
        <f t="shared" si="346"/>
        <v/>
      </c>
      <c r="AN747" s="213" t="str">
        <f t="shared" si="329"/>
        <v/>
      </c>
      <c r="AO747" s="213" t="str">
        <f t="shared" si="330"/>
        <v/>
      </c>
      <c r="AP747" s="213" t="str">
        <f t="shared" si="331"/>
        <v/>
      </c>
      <c r="AQ747" s="215" t="str">
        <f t="shared" si="332"/>
        <v/>
      </c>
      <c r="AR747" s="216" t="str">
        <f t="shared" si="333"/>
        <v>BiK82a1bKA3-04</v>
      </c>
      <c r="AS747" s="215" t="str">
        <f t="shared" si="334"/>
        <v/>
      </c>
      <c r="AT747">
        <f t="shared" si="335"/>
        <v>14</v>
      </c>
      <c r="AU747" s="216" t="str">
        <f t="shared" si="336"/>
        <v>0,15-0,5 MW, Bonusregeln a1, b und K wenn Anlage 3 erfüllt</v>
      </c>
      <c r="AV747" s="215" t="str">
        <f t="shared" si="337"/>
        <v/>
      </c>
      <c r="AW747" s="216" t="str">
        <f t="shared" si="338"/>
        <v>Anteil KWK gemäß Anlage 3</v>
      </c>
      <c r="AX747" s="215" t="str">
        <f t="shared" si="339"/>
        <v/>
      </c>
      <c r="AY747" t="str">
        <f t="shared" si="340"/>
        <v/>
      </c>
      <c r="AZ747" t="str">
        <f t="shared" si="341"/>
        <v/>
      </c>
    </row>
    <row r="748" spans="1:52" s="178" customFormat="1" x14ac:dyDescent="0.25">
      <c r="A748" s="610" t="s">
        <v>5043</v>
      </c>
      <c r="B748" s="17" t="s">
        <v>5548</v>
      </c>
      <c r="C748" s="17" t="s">
        <v>4809</v>
      </c>
      <c r="D748" s="30" t="s">
        <v>7147</v>
      </c>
      <c r="E748" s="30" t="s">
        <v>674</v>
      </c>
      <c r="F748" s="454">
        <f t="shared" si="348"/>
        <v>20.9</v>
      </c>
      <c r="G748" s="529">
        <v>20.9</v>
      </c>
      <c r="H748" s="487">
        <f t="shared" si="349"/>
        <v>16.72</v>
      </c>
      <c r="I748" s="706"/>
      <c r="J748" s="669" t="s">
        <v>5805</v>
      </c>
      <c r="K748" s="15"/>
      <c r="L748"/>
      <c r="M748" s="49">
        <f t="shared" si="350"/>
        <v>20.9</v>
      </c>
      <c r="N748" s="41">
        <v>9.9</v>
      </c>
      <c r="O748" s="54"/>
      <c r="P748" s="15"/>
      <c r="Q748" t="s">
        <v>1017</v>
      </c>
      <c r="R748"/>
      <c r="S748" t="s">
        <v>4180</v>
      </c>
      <c r="T748" s="178" t="s">
        <v>4180</v>
      </c>
      <c r="U748" s="55"/>
      <c r="V748" t="s">
        <v>1017</v>
      </c>
      <c r="W748" s="65"/>
      <c r="X748" s="65"/>
      <c r="Y748"/>
      <c r="Z748" s="65"/>
      <c r="AA748" s="12"/>
      <c r="AB748"/>
      <c r="AC748" s="65"/>
      <c r="AD748" s="27"/>
      <c r="AE748" s="124" t="s">
        <v>1017</v>
      </c>
      <c r="AF748" s="65"/>
      <c r="AG748" s="91"/>
      <c r="AH748" s="212" t="str">
        <f t="shared" si="352"/>
        <v/>
      </c>
      <c r="AI748" s="214" t="str">
        <f t="shared" si="342"/>
        <v/>
      </c>
      <c r="AJ748" s="214" t="str">
        <f t="shared" si="343"/>
        <v/>
      </c>
      <c r="AK748" s="214" t="str">
        <f t="shared" si="344"/>
        <v/>
      </c>
      <c r="AL748" s="214" t="str">
        <f t="shared" si="345"/>
        <v/>
      </c>
      <c r="AM748" s="214" t="str">
        <f t="shared" si="346"/>
        <v/>
      </c>
      <c r="AN748" s="213" t="str">
        <f t="shared" si="329"/>
        <v/>
      </c>
      <c r="AO748" s="213" t="str">
        <f t="shared" si="330"/>
        <v/>
      </c>
      <c r="AP748" s="213" t="str">
        <f t="shared" si="331"/>
        <v/>
      </c>
      <c r="AQ748" s="215" t="str">
        <f t="shared" si="332"/>
        <v/>
      </c>
      <c r="AR748" s="216" t="str">
        <f t="shared" si="333"/>
        <v>BiK82a1bK09-04</v>
      </c>
      <c r="AS748" s="215" t="str">
        <f t="shared" si="334"/>
        <v/>
      </c>
      <c r="AT748">
        <f t="shared" si="335"/>
        <v>14</v>
      </c>
      <c r="AU748" s="216" t="str">
        <f t="shared" si="336"/>
        <v>0,15-0,5 MW, Bonusregeln a1, b und K erstmals 2009</v>
      </c>
      <c r="AV748" s="215" t="str">
        <f t="shared" si="337"/>
        <v/>
      </c>
      <c r="AW748" s="216" t="str">
        <f t="shared" si="338"/>
        <v>Anteil KWK, erstmals 2009</v>
      </c>
      <c r="AX748" s="215" t="str">
        <f t="shared" si="339"/>
        <v/>
      </c>
      <c r="AY748" t="str">
        <f t="shared" si="340"/>
        <v/>
      </c>
      <c r="AZ748" t="str">
        <f t="shared" si="341"/>
        <v/>
      </c>
    </row>
    <row r="749" spans="1:52" s="178" customFormat="1" x14ac:dyDescent="0.25">
      <c r="A749" s="610" t="s">
        <v>1459</v>
      </c>
      <c r="B749" s="17" t="s">
        <v>5548</v>
      </c>
      <c r="C749" s="17" t="s">
        <v>4809</v>
      </c>
      <c r="D749" s="30" t="s">
        <v>7148</v>
      </c>
      <c r="E749" s="30" t="s">
        <v>3567</v>
      </c>
      <c r="F749" s="454">
        <f t="shared" si="348"/>
        <v>20.87</v>
      </c>
      <c r="G749" s="529">
        <v>20.87</v>
      </c>
      <c r="H749" s="487">
        <f t="shared" si="349"/>
        <v>16.7</v>
      </c>
      <c r="I749" s="706"/>
      <c r="J749" s="669" t="s">
        <v>5805</v>
      </c>
      <c r="K749" s="15"/>
      <c r="L749"/>
      <c r="M749" s="49">
        <f t="shared" si="350"/>
        <v>20.87</v>
      </c>
      <c r="N749" s="41">
        <v>9.9</v>
      </c>
      <c r="O749" s="54"/>
      <c r="P749" s="15"/>
      <c r="Q749"/>
      <c r="R749" t="s">
        <v>1017</v>
      </c>
      <c r="S749" t="s">
        <v>4180</v>
      </c>
      <c r="T749" s="178" t="s">
        <v>4180</v>
      </c>
      <c r="U749" s="55"/>
      <c r="V749" t="s">
        <v>1017</v>
      </c>
      <c r="W749" s="65"/>
      <c r="X749" s="65"/>
      <c r="Y749"/>
      <c r="Z749" s="65"/>
      <c r="AA749" s="12"/>
      <c r="AB749"/>
      <c r="AC749" s="65"/>
      <c r="AD749" s="27"/>
      <c r="AE749" s="124" t="s">
        <v>1017</v>
      </c>
      <c r="AF749" s="65"/>
      <c r="AG749" s="91"/>
      <c r="AH749" s="212" t="str">
        <f t="shared" si="352"/>
        <v>2010</v>
      </c>
      <c r="AI749" s="214" t="str">
        <f t="shared" si="342"/>
        <v/>
      </c>
      <c r="AJ749" s="214" t="str">
        <f t="shared" si="343"/>
        <v/>
      </c>
      <c r="AK749" s="214" t="str">
        <f t="shared" si="344"/>
        <v/>
      </c>
      <c r="AL749" s="214" t="str">
        <f t="shared" si="345"/>
        <v/>
      </c>
      <c r="AM749" s="214" t="str">
        <f t="shared" si="346"/>
        <v/>
      </c>
      <c r="AN749" s="213" t="str">
        <f t="shared" si="329"/>
        <v>2010</v>
      </c>
      <c r="AO749" s="213" t="str">
        <f t="shared" si="330"/>
        <v>2010</v>
      </c>
      <c r="AP749" s="213" t="str">
        <f t="shared" si="331"/>
        <v>2010</v>
      </c>
      <c r="AQ749" s="215" t="str">
        <f t="shared" si="332"/>
        <v/>
      </c>
      <c r="AR749" s="216" t="str">
        <f t="shared" si="333"/>
        <v>BiK82a1bK10-04</v>
      </c>
      <c r="AS749" s="215" t="str">
        <f t="shared" si="334"/>
        <v/>
      </c>
      <c r="AT749">
        <f t="shared" si="335"/>
        <v>14</v>
      </c>
      <c r="AU749" s="216" t="str">
        <f t="shared" si="336"/>
        <v>0,15-0,5 MW, Bonusregeln a1, b und K erstmals 2010</v>
      </c>
      <c r="AV749" s="215" t="str">
        <f t="shared" si="337"/>
        <v/>
      </c>
      <c r="AW749" s="216" t="str">
        <f t="shared" si="338"/>
        <v>Anteil KWK, erstmals 2010</v>
      </c>
      <c r="AX749" s="215" t="str">
        <f t="shared" si="339"/>
        <v/>
      </c>
      <c r="AY749" t="str">
        <f t="shared" si="340"/>
        <v/>
      </c>
      <c r="AZ749" t="str">
        <f t="shared" si="341"/>
        <v/>
      </c>
    </row>
    <row r="750" spans="1:52" s="178" customFormat="1" x14ac:dyDescent="0.25">
      <c r="A750" s="610" t="s">
        <v>5281</v>
      </c>
      <c r="B750" s="17" t="s">
        <v>5548</v>
      </c>
      <c r="C750" s="17" t="s">
        <v>4809</v>
      </c>
      <c r="D750" s="30" t="s">
        <v>7149</v>
      </c>
      <c r="E750" s="30" t="s">
        <v>3055</v>
      </c>
      <c r="F750" s="454">
        <f t="shared" si="348"/>
        <v>20.84</v>
      </c>
      <c r="G750" s="529">
        <v>20.84</v>
      </c>
      <c r="H750" s="487">
        <f t="shared" si="349"/>
        <v>16.670000000000002</v>
      </c>
      <c r="I750" s="706"/>
      <c r="J750" s="669" t="s">
        <v>5805</v>
      </c>
      <c r="K750" s="15"/>
      <c r="L750"/>
      <c r="M750" s="49">
        <f t="shared" si="350"/>
        <v>20.84</v>
      </c>
      <c r="N750" s="41">
        <v>9.9</v>
      </c>
      <c r="O750" s="54"/>
      <c r="P750" s="15"/>
      <c r="Q750"/>
      <c r="R750"/>
      <c r="S750" t="s">
        <v>1017</v>
      </c>
      <c r="T750" s="178" t="s">
        <v>4180</v>
      </c>
      <c r="U750" s="55"/>
      <c r="V750" t="s">
        <v>1017</v>
      </c>
      <c r="W750" s="65"/>
      <c r="X750" s="65"/>
      <c r="Y750"/>
      <c r="Z750" s="65"/>
      <c r="AA750" s="12"/>
      <c r="AB750"/>
      <c r="AC750" s="65"/>
      <c r="AD750" s="27"/>
      <c r="AE750" s="124" t="s">
        <v>1017</v>
      </c>
      <c r="AF750" s="65"/>
      <c r="AG750" s="91"/>
      <c r="AH750" s="212" t="str">
        <f t="shared" si="352"/>
        <v>2011</v>
      </c>
      <c r="AI750" s="214" t="str">
        <f t="shared" si="342"/>
        <v/>
      </c>
      <c r="AJ750" s="214" t="str">
        <f t="shared" si="343"/>
        <v/>
      </c>
      <c r="AK750" s="214" t="str">
        <f t="shared" si="344"/>
        <v/>
      </c>
      <c r="AL750" s="214" t="str">
        <f t="shared" si="345"/>
        <v/>
      </c>
      <c r="AM750" s="214" t="str">
        <f t="shared" si="346"/>
        <v/>
      </c>
      <c r="AN750" s="213" t="str">
        <f t="shared" si="329"/>
        <v>2011</v>
      </c>
      <c r="AO750" s="213" t="str">
        <f t="shared" si="330"/>
        <v>2011</v>
      </c>
      <c r="AP750" s="213" t="str">
        <f t="shared" si="331"/>
        <v>2011</v>
      </c>
      <c r="AQ750" s="215" t="str">
        <f t="shared" si="332"/>
        <v/>
      </c>
      <c r="AR750" s="216" t="str">
        <f t="shared" si="333"/>
        <v>BiK82a1bK11-04</v>
      </c>
      <c r="AS750" s="215" t="str">
        <f t="shared" si="334"/>
        <v/>
      </c>
      <c r="AT750">
        <f t="shared" si="335"/>
        <v>14</v>
      </c>
      <c r="AU750" s="216" t="str">
        <f t="shared" si="336"/>
        <v>0,15-0,5 MW, Bonusregeln a1, b und K erstmals 2011</v>
      </c>
      <c r="AV750" s="215" t="str">
        <f t="shared" si="337"/>
        <v/>
      </c>
      <c r="AW750" s="216" t="str">
        <f t="shared" si="338"/>
        <v>Anteil KWK, erstmals 2011</v>
      </c>
      <c r="AX750" s="215" t="str">
        <f t="shared" si="339"/>
        <v/>
      </c>
      <c r="AY750" t="str">
        <f t="shared" si="340"/>
        <v>x</v>
      </c>
      <c r="AZ750" t="str">
        <f t="shared" si="341"/>
        <v/>
      </c>
    </row>
    <row r="751" spans="1:52" s="178" customFormat="1" x14ac:dyDescent="0.25">
      <c r="A751" s="625" t="s">
        <v>1531</v>
      </c>
      <c r="B751" s="221" t="s">
        <v>5548</v>
      </c>
      <c r="C751" s="221" t="s">
        <v>4809</v>
      </c>
      <c r="D751" s="219" t="s">
        <v>7150</v>
      </c>
      <c r="E751" s="219" t="s">
        <v>1980</v>
      </c>
      <c r="F751" s="455">
        <f t="shared" si="348"/>
        <v>20.810000000000002</v>
      </c>
      <c r="G751" s="530">
        <v>20.810000000000002</v>
      </c>
      <c r="H751" s="488">
        <f t="shared" si="349"/>
        <v>16.649999999999999</v>
      </c>
      <c r="I751" s="707"/>
      <c r="J751" s="669" t="s">
        <v>5805</v>
      </c>
      <c r="K751" s="15"/>
      <c r="L751"/>
      <c r="M751" s="49">
        <f t="shared" si="350"/>
        <v>20.810000000000002</v>
      </c>
      <c r="N751" s="41">
        <v>9.9</v>
      </c>
      <c r="O751" s="54"/>
      <c r="P751" s="15"/>
      <c r="Q751"/>
      <c r="R751"/>
      <c r="S751" t="s">
        <v>4180</v>
      </c>
      <c r="T751" s="178" t="s">
        <v>1017</v>
      </c>
      <c r="U751" s="55"/>
      <c r="V751" t="s">
        <v>1017</v>
      </c>
      <c r="W751" s="65"/>
      <c r="X751" s="65"/>
      <c r="Y751"/>
      <c r="Z751" s="65"/>
      <c r="AA751" s="12"/>
      <c r="AB751"/>
      <c r="AC751" s="65"/>
      <c r="AD751" s="27"/>
      <c r="AE751" s="124" t="s">
        <v>1017</v>
      </c>
      <c r="AF751" s="65"/>
      <c r="AG751" s="91"/>
      <c r="AH751" s="217" t="s">
        <v>4179</v>
      </c>
      <c r="AI751" s="214" t="str">
        <f t="shared" si="342"/>
        <v/>
      </c>
      <c r="AJ751" s="214" t="str">
        <f t="shared" si="343"/>
        <v/>
      </c>
      <c r="AK751" s="214" t="str">
        <f t="shared" si="344"/>
        <v/>
      </c>
      <c r="AL751" s="214" t="str">
        <f t="shared" si="345"/>
        <v/>
      </c>
      <c r="AM751" s="214" t="str">
        <f t="shared" si="346"/>
        <v/>
      </c>
      <c r="AN751" s="213" t="str">
        <f t="shared" si="329"/>
        <v>2012</v>
      </c>
      <c r="AO751" s="213" t="str">
        <f t="shared" si="330"/>
        <v>2012</v>
      </c>
      <c r="AP751" s="213" t="str">
        <f t="shared" si="331"/>
        <v>2012</v>
      </c>
      <c r="AQ751" s="215" t="str">
        <f t="shared" si="332"/>
        <v/>
      </c>
      <c r="AR751" s="216" t="str">
        <f t="shared" si="333"/>
        <v>BiK82a1bK12-04</v>
      </c>
      <c r="AS751" s="215" t="str">
        <f t="shared" si="334"/>
        <v/>
      </c>
      <c r="AT751">
        <f t="shared" si="335"/>
        <v>14</v>
      </c>
      <c r="AU751" s="216" t="str">
        <f t="shared" si="336"/>
        <v>0,15-0,5 MW, Bonusregeln a1, b und K erstmals 2012</v>
      </c>
      <c r="AV751" s="215" t="str">
        <f t="shared" si="337"/>
        <v/>
      </c>
      <c r="AW751" s="216" t="str">
        <f t="shared" si="338"/>
        <v>Anteil KWK, erstmals 2012</v>
      </c>
      <c r="AX751" s="215" t="str">
        <f t="shared" si="339"/>
        <v/>
      </c>
      <c r="AY751" t="str">
        <f t="shared" si="340"/>
        <v/>
      </c>
      <c r="AZ751" t="str">
        <f t="shared" si="341"/>
        <v>x</v>
      </c>
    </row>
    <row r="752" spans="1:52" s="178" customFormat="1" x14ac:dyDescent="0.25">
      <c r="A752" s="610" t="s">
        <v>1369</v>
      </c>
      <c r="B752" s="17" t="s">
        <v>5548</v>
      </c>
      <c r="C752" s="17" t="s">
        <v>4809</v>
      </c>
      <c r="D752" s="30" t="s">
        <v>7151</v>
      </c>
      <c r="E752" s="17" t="s">
        <v>4810</v>
      </c>
      <c r="F752" s="454">
        <f t="shared" si="348"/>
        <v>18.899999999999999</v>
      </c>
      <c r="G752" s="529">
        <v>18.899999999999999</v>
      </c>
      <c r="H752" s="487">
        <f t="shared" si="349"/>
        <v>15.12</v>
      </c>
      <c r="I752" s="706"/>
      <c r="J752" s="669" t="s">
        <v>5805</v>
      </c>
      <c r="K752" s="15"/>
      <c r="L752"/>
      <c r="M752" s="49">
        <f t="shared" si="350"/>
        <v>18.899999999999999</v>
      </c>
      <c r="N752" s="41">
        <v>9.9</v>
      </c>
      <c r="O752" s="54"/>
      <c r="P752" s="15"/>
      <c r="Q752"/>
      <c r="R752"/>
      <c r="S752" t="s">
        <v>4180</v>
      </c>
      <c r="T752" s="178" t="s">
        <v>4180</v>
      </c>
      <c r="U752" s="55" t="s">
        <v>1017</v>
      </c>
      <c r="V752" t="s">
        <v>1017</v>
      </c>
      <c r="W752" s="65"/>
      <c r="X752" s="65"/>
      <c r="Y752"/>
      <c r="Z752" s="65"/>
      <c r="AA752" s="12"/>
      <c r="AB752"/>
      <c r="AC752" s="65"/>
      <c r="AD752" s="27"/>
      <c r="AE752" s="124" t="s">
        <v>1017</v>
      </c>
      <c r="AF752" s="65"/>
      <c r="AG752" s="91"/>
      <c r="AH752" s="212" t="str">
        <f t="shared" ref="AH752:AH757" si="353">IF(ISERROR(SEARCH("K erstmals 201",D752)),"",RIGHT(D752,4))</f>
        <v/>
      </c>
      <c r="AI752" s="214" t="str">
        <f t="shared" si="342"/>
        <v/>
      </c>
      <c r="AJ752" s="214" t="str">
        <f t="shared" si="343"/>
        <v/>
      </c>
      <c r="AK752" s="214" t="str">
        <f t="shared" si="344"/>
        <v/>
      </c>
      <c r="AL752" s="214" t="str">
        <f t="shared" si="345"/>
        <v/>
      </c>
      <c r="AM752" s="214" t="str">
        <f t="shared" si="346"/>
        <v/>
      </c>
      <c r="AN752" s="213" t="str">
        <f t="shared" si="329"/>
        <v/>
      </c>
      <c r="AO752" s="213" t="str">
        <f t="shared" si="330"/>
        <v/>
      </c>
      <c r="AP752" s="213" t="str">
        <f t="shared" si="331"/>
        <v/>
      </c>
      <c r="AQ752" s="215" t="str">
        <f t="shared" si="332"/>
        <v/>
      </c>
      <c r="AR752" s="216" t="str">
        <f t="shared" si="333"/>
        <v>BiK82a1by---04</v>
      </c>
      <c r="AS752" s="215" t="str">
        <f t="shared" si="334"/>
        <v/>
      </c>
      <c r="AT752">
        <f t="shared" si="335"/>
        <v>14</v>
      </c>
      <c r="AU752" s="216" t="str">
        <f t="shared" si="336"/>
        <v>0,15-0,5 MW, Bonusregeln a1, b, y</v>
      </c>
      <c r="AV752" s="215" t="str">
        <f t="shared" si="337"/>
        <v/>
      </c>
      <c r="AW752" s="216" t="str">
        <f t="shared" si="338"/>
        <v>Anteil Nicht-KWK</v>
      </c>
      <c r="AX752" s="215" t="str">
        <f t="shared" si="339"/>
        <v/>
      </c>
      <c r="AY752" t="str">
        <f t="shared" si="340"/>
        <v/>
      </c>
      <c r="AZ752" t="str">
        <f t="shared" si="341"/>
        <v/>
      </c>
    </row>
    <row r="753" spans="1:52" s="178" customFormat="1" x14ac:dyDescent="0.25">
      <c r="A753" s="610" t="s">
        <v>1370</v>
      </c>
      <c r="B753" s="17" t="s">
        <v>5548</v>
      </c>
      <c r="C753" s="17" t="s">
        <v>4809</v>
      </c>
      <c r="D753" s="30" t="s">
        <v>7152</v>
      </c>
      <c r="E753" s="17" t="s">
        <v>4812</v>
      </c>
      <c r="F753" s="454">
        <f t="shared" si="348"/>
        <v>20.9</v>
      </c>
      <c r="G753" s="529">
        <v>20.9</v>
      </c>
      <c r="H753" s="487">
        <f t="shared" si="349"/>
        <v>16.72</v>
      </c>
      <c r="I753" s="706"/>
      <c r="J753" s="669" t="s">
        <v>5805</v>
      </c>
      <c r="K753" s="15"/>
      <c r="L753"/>
      <c r="M753" s="49">
        <f t="shared" si="350"/>
        <v>20.9</v>
      </c>
      <c r="N753" s="41">
        <v>9.9</v>
      </c>
      <c r="O753" s="54" t="s">
        <v>1017</v>
      </c>
      <c r="P753" s="15"/>
      <c r="Q753"/>
      <c r="R753"/>
      <c r="S753" t="s">
        <v>4180</v>
      </c>
      <c r="T753" s="178" t="s">
        <v>4180</v>
      </c>
      <c r="U753" s="55" t="s">
        <v>1017</v>
      </c>
      <c r="V753" t="s">
        <v>1017</v>
      </c>
      <c r="W753" s="65"/>
      <c r="X753" s="65"/>
      <c r="Y753"/>
      <c r="Z753" s="65"/>
      <c r="AA753" s="12"/>
      <c r="AB753"/>
      <c r="AC753" s="65"/>
      <c r="AD753" s="27"/>
      <c r="AE753" s="124" t="s">
        <v>1017</v>
      </c>
      <c r="AF753" s="65"/>
      <c r="AG753" s="91"/>
      <c r="AH753" s="212" t="str">
        <f t="shared" si="353"/>
        <v/>
      </c>
      <c r="AI753" s="214" t="str">
        <f t="shared" si="342"/>
        <v/>
      </c>
      <c r="AJ753" s="214" t="str">
        <f t="shared" si="343"/>
        <v/>
      </c>
      <c r="AK753" s="214" t="str">
        <f t="shared" si="344"/>
        <v/>
      </c>
      <c r="AL753" s="214" t="str">
        <f t="shared" si="345"/>
        <v/>
      </c>
      <c r="AM753" s="214" t="str">
        <f t="shared" si="346"/>
        <v/>
      </c>
      <c r="AN753" s="213" t="str">
        <f t="shared" si="329"/>
        <v/>
      </c>
      <c r="AO753" s="213" t="str">
        <f t="shared" si="330"/>
        <v/>
      </c>
      <c r="AP753" s="213" t="str">
        <f t="shared" si="331"/>
        <v/>
      </c>
      <c r="AQ753" s="215" t="str">
        <f t="shared" si="332"/>
        <v/>
      </c>
      <c r="AR753" s="216" t="str">
        <f t="shared" si="333"/>
        <v>BiK82a1bKWKy04</v>
      </c>
      <c r="AS753" s="215" t="str">
        <f t="shared" si="334"/>
        <v/>
      </c>
      <c r="AT753">
        <f t="shared" si="335"/>
        <v>14</v>
      </c>
      <c r="AU753" s="216" t="str">
        <f t="shared" si="336"/>
        <v>0,15-0,5 MW, Bonusregeln a1, b, y und KWK</v>
      </c>
      <c r="AV753" s="215" t="str">
        <f t="shared" si="337"/>
        <v/>
      </c>
      <c r="AW753" s="216" t="str">
        <f t="shared" si="338"/>
        <v>Anteil KWK</v>
      </c>
      <c r="AX753" s="215" t="str">
        <f t="shared" si="339"/>
        <v/>
      </c>
      <c r="AY753" t="str">
        <f t="shared" si="340"/>
        <v/>
      </c>
      <c r="AZ753" t="str">
        <f t="shared" si="341"/>
        <v/>
      </c>
    </row>
    <row r="754" spans="1:52" s="178" customFormat="1" x14ac:dyDescent="0.25">
      <c r="A754" s="610" t="s">
        <v>1371</v>
      </c>
      <c r="B754" s="17" t="s">
        <v>5548</v>
      </c>
      <c r="C754" s="17" t="s">
        <v>4809</v>
      </c>
      <c r="D754" s="30" t="s">
        <v>7153</v>
      </c>
      <c r="E754" s="30" t="s">
        <v>4331</v>
      </c>
      <c r="F754" s="454">
        <f t="shared" si="348"/>
        <v>21.9</v>
      </c>
      <c r="G754" s="529">
        <v>21.9</v>
      </c>
      <c r="H754" s="487">
        <f t="shared" si="349"/>
        <v>17.52</v>
      </c>
      <c r="I754" s="706"/>
      <c r="J754" s="669" t="s">
        <v>5805</v>
      </c>
      <c r="K754" s="15"/>
      <c r="L754"/>
      <c r="M754" s="49">
        <f t="shared" si="350"/>
        <v>21.9</v>
      </c>
      <c r="N754" s="41">
        <v>9.9</v>
      </c>
      <c r="O754" s="54"/>
      <c r="P754" t="s">
        <v>1017</v>
      </c>
      <c r="Q754"/>
      <c r="R754"/>
      <c r="S754" t="s">
        <v>4180</v>
      </c>
      <c r="T754" s="178" t="s">
        <v>4180</v>
      </c>
      <c r="U754" s="55" t="s">
        <v>1017</v>
      </c>
      <c r="V754" t="s">
        <v>1017</v>
      </c>
      <c r="W754" s="65"/>
      <c r="X754" s="65"/>
      <c r="Y754"/>
      <c r="Z754" s="65"/>
      <c r="AA754" s="12"/>
      <c r="AB754"/>
      <c r="AC754" s="65"/>
      <c r="AD754" s="27"/>
      <c r="AE754" s="124" t="s">
        <v>1017</v>
      </c>
      <c r="AF754" s="65"/>
      <c r="AG754" s="91"/>
      <c r="AH754" s="212" t="str">
        <f t="shared" si="353"/>
        <v/>
      </c>
      <c r="AI754" s="214" t="str">
        <f t="shared" si="342"/>
        <v/>
      </c>
      <c r="AJ754" s="214" t="str">
        <f t="shared" si="343"/>
        <v/>
      </c>
      <c r="AK754" s="214" t="str">
        <f t="shared" si="344"/>
        <v/>
      </c>
      <c r="AL754" s="214" t="str">
        <f t="shared" si="345"/>
        <v/>
      </c>
      <c r="AM754" s="214" t="str">
        <f t="shared" si="346"/>
        <v/>
      </c>
      <c r="AN754" s="213" t="str">
        <f t="shared" si="329"/>
        <v/>
      </c>
      <c r="AO754" s="213" t="str">
        <f t="shared" si="330"/>
        <v/>
      </c>
      <c r="AP754" s="213" t="str">
        <f t="shared" si="331"/>
        <v/>
      </c>
      <c r="AQ754" s="215" t="str">
        <f t="shared" si="332"/>
        <v/>
      </c>
      <c r="AR754" s="216" t="str">
        <f t="shared" si="333"/>
        <v>BiK82a1bKA3y04</v>
      </c>
      <c r="AS754" s="215" t="str">
        <f t="shared" si="334"/>
        <v/>
      </c>
      <c r="AT754">
        <f t="shared" si="335"/>
        <v>14</v>
      </c>
      <c r="AU754" s="216" t="str">
        <f t="shared" si="336"/>
        <v>0,15-0,5 MW, Bonusregeln a1, b, y und K wenn Anlage 3 erfüllt</v>
      </c>
      <c r="AV754" s="215" t="str">
        <f t="shared" si="337"/>
        <v/>
      </c>
      <c r="AW754" s="216" t="str">
        <f t="shared" si="338"/>
        <v>Anteil KWK gemäß Anlage 3</v>
      </c>
      <c r="AX754" s="215" t="str">
        <f t="shared" si="339"/>
        <v/>
      </c>
      <c r="AY754" t="str">
        <f t="shared" si="340"/>
        <v/>
      </c>
      <c r="AZ754" t="str">
        <f t="shared" si="341"/>
        <v/>
      </c>
    </row>
    <row r="755" spans="1:52" s="178" customFormat="1" x14ac:dyDescent="0.25">
      <c r="A755" s="610" t="s">
        <v>1372</v>
      </c>
      <c r="B755" s="17" t="s">
        <v>5548</v>
      </c>
      <c r="C755" s="17" t="s">
        <v>4809</v>
      </c>
      <c r="D755" s="30" t="s">
        <v>7154</v>
      </c>
      <c r="E755" s="30" t="s">
        <v>674</v>
      </c>
      <c r="F755" s="454">
        <f t="shared" si="348"/>
        <v>21.9</v>
      </c>
      <c r="G755" s="529">
        <v>21.9</v>
      </c>
      <c r="H755" s="487">
        <f t="shared" si="349"/>
        <v>17.52</v>
      </c>
      <c r="I755" s="706"/>
      <c r="J755" s="669" t="s">
        <v>5805</v>
      </c>
      <c r="K755" s="15"/>
      <c r="L755"/>
      <c r="M755" s="49">
        <f t="shared" si="350"/>
        <v>21.9</v>
      </c>
      <c r="N755" s="41">
        <v>9.9</v>
      </c>
      <c r="O755" s="54"/>
      <c r="P755" s="15"/>
      <c r="Q755" t="s">
        <v>1017</v>
      </c>
      <c r="R755"/>
      <c r="S755" t="s">
        <v>4180</v>
      </c>
      <c r="T755" s="178" t="s">
        <v>4180</v>
      </c>
      <c r="U755" s="55" t="s">
        <v>1017</v>
      </c>
      <c r="V755" t="s">
        <v>1017</v>
      </c>
      <c r="W755" s="65"/>
      <c r="X755" s="65"/>
      <c r="Y755"/>
      <c r="Z755" s="65"/>
      <c r="AA755" s="12"/>
      <c r="AB755"/>
      <c r="AC755" s="65"/>
      <c r="AD755" s="27"/>
      <c r="AE755" s="124" t="s">
        <v>1017</v>
      </c>
      <c r="AF755" s="65"/>
      <c r="AG755" s="91"/>
      <c r="AH755" s="212" t="str">
        <f t="shared" si="353"/>
        <v/>
      </c>
      <c r="AI755" s="214" t="str">
        <f t="shared" si="342"/>
        <v/>
      </c>
      <c r="AJ755" s="214" t="str">
        <f t="shared" si="343"/>
        <v/>
      </c>
      <c r="AK755" s="214" t="str">
        <f t="shared" si="344"/>
        <v/>
      </c>
      <c r="AL755" s="214" t="str">
        <f t="shared" si="345"/>
        <v/>
      </c>
      <c r="AM755" s="214" t="str">
        <f t="shared" si="346"/>
        <v/>
      </c>
      <c r="AN755" s="213" t="str">
        <f t="shared" si="329"/>
        <v/>
      </c>
      <c r="AO755" s="213" t="str">
        <f t="shared" si="330"/>
        <v/>
      </c>
      <c r="AP755" s="213" t="str">
        <f t="shared" si="331"/>
        <v/>
      </c>
      <c r="AQ755" s="215" t="str">
        <f t="shared" si="332"/>
        <v/>
      </c>
      <c r="AR755" s="216" t="str">
        <f t="shared" si="333"/>
        <v>BiK82a1bK09y04</v>
      </c>
      <c r="AS755" s="215" t="str">
        <f t="shared" si="334"/>
        <v/>
      </c>
      <c r="AT755">
        <f t="shared" si="335"/>
        <v>14</v>
      </c>
      <c r="AU755" s="216" t="str">
        <f t="shared" si="336"/>
        <v>0,15-0,5 MW, Bonusregeln a1, b, y und K erstmals 2009</v>
      </c>
      <c r="AV755" s="215" t="str">
        <f t="shared" si="337"/>
        <v/>
      </c>
      <c r="AW755" s="216" t="str">
        <f t="shared" si="338"/>
        <v>Anteil KWK, erstmals 2009</v>
      </c>
      <c r="AX755" s="215" t="str">
        <f t="shared" si="339"/>
        <v/>
      </c>
      <c r="AY755" t="str">
        <f t="shared" si="340"/>
        <v/>
      </c>
      <c r="AZ755" t="str">
        <f t="shared" si="341"/>
        <v/>
      </c>
    </row>
    <row r="756" spans="1:52" s="178" customFormat="1" x14ac:dyDescent="0.25">
      <c r="A756" s="610" t="s">
        <v>1460</v>
      </c>
      <c r="B756" s="17" t="s">
        <v>5548</v>
      </c>
      <c r="C756" s="17" t="s">
        <v>4809</v>
      </c>
      <c r="D756" s="30" t="s">
        <v>7155</v>
      </c>
      <c r="E756" s="30" t="s">
        <v>3567</v>
      </c>
      <c r="F756" s="454">
        <f t="shared" si="348"/>
        <v>21.87</v>
      </c>
      <c r="G756" s="529">
        <v>21.87</v>
      </c>
      <c r="H756" s="487">
        <f t="shared" si="349"/>
        <v>17.5</v>
      </c>
      <c r="I756" s="706"/>
      <c r="J756" s="669" t="s">
        <v>5805</v>
      </c>
      <c r="K756" s="15"/>
      <c r="L756"/>
      <c r="M756" s="49">
        <f t="shared" si="350"/>
        <v>21.87</v>
      </c>
      <c r="N756" s="41">
        <v>9.9</v>
      </c>
      <c r="O756" s="54"/>
      <c r="P756" s="15"/>
      <c r="Q756"/>
      <c r="R756" t="s">
        <v>1017</v>
      </c>
      <c r="S756" t="s">
        <v>4180</v>
      </c>
      <c r="T756" s="178" t="s">
        <v>4180</v>
      </c>
      <c r="U756" s="55" t="s">
        <v>1017</v>
      </c>
      <c r="V756" t="s">
        <v>1017</v>
      </c>
      <c r="W756" s="65"/>
      <c r="X756" s="65"/>
      <c r="Y756"/>
      <c r="Z756" s="65"/>
      <c r="AA756" s="12"/>
      <c r="AB756"/>
      <c r="AC756" s="65"/>
      <c r="AD756" s="27"/>
      <c r="AE756" s="124" t="s">
        <v>1017</v>
      </c>
      <c r="AF756" s="65"/>
      <c r="AG756" s="91"/>
      <c r="AH756" s="212" t="str">
        <f t="shared" si="353"/>
        <v>2010</v>
      </c>
      <c r="AI756" s="214" t="str">
        <f t="shared" si="342"/>
        <v/>
      </c>
      <c r="AJ756" s="214" t="str">
        <f t="shared" si="343"/>
        <v/>
      </c>
      <c r="AK756" s="214" t="str">
        <f t="shared" si="344"/>
        <v/>
      </c>
      <c r="AL756" s="214" t="str">
        <f t="shared" si="345"/>
        <v/>
      </c>
      <c r="AM756" s="214" t="str">
        <f t="shared" si="346"/>
        <v/>
      </c>
      <c r="AN756" s="213" t="str">
        <f t="shared" si="329"/>
        <v>2010</v>
      </c>
      <c r="AO756" s="213" t="str">
        <f t="shared" si="330"/>
        <v>2010</v>
      </c>
      <c r="AP756" s="213" t="str">
        <f t="shared" si="331"/>
        <v>2010</v>
      </c>
      <c r="AQ756" s="215" t="str">
        <f t="shared" si="332"/>
        <v/>
      </c>
      <c r="AR756" s="216" t="str">
        <f t="shared" si="333"/>
        <v>BiK82a1bK10y04</v>
      </c>
      <c r="AS756" s="215" t="str">
        <f t="shared" si="334"/>
        <v/>
      </c>
      <c r="AT756">
        <f t="shared" si="335"/>
        <v>14</v>
      </c>
      <c r="AU756" s="216" t="str">
        <f t="shared" si="336"/>
        <v>0,15-0,5 MW, Bonusregeln a1, b, y und K erstmals 2010</v>
      </c>
      <c r="AV756" s="215" t="str">
        <f t="shared" si="337"/>
        <v/>
      </c>
      <c r="AW756" s="216" t="str">
        <f t="shared" si="338"/>
        <v>Anteil KWK, erstmals 2010</v>
      </c>
      <c r="AX756" s="215" t="str">
        <f t="shared" si="339"/>
        <v/>
      </c>
      <c r="AY756" t="str">
        <f t="shared" si="340"/>
        <v/>
      </c>
      <c r="AZ756" t="str">
        <f t="shared" si="341"/>
        <v/>
      </c>
    </row>
    <row r="757" spans="1:52" s="178" customFormat="1" x14ac:dyDescent="0.25">
      <c r="A757" s="610" t="s">
        <v>5282</v>
      </c>
      <c r="B757" s="17" t="s">
        <v>5548</v>
      </c>
      <c r="C757" s="17" t="s">
        <v>4809</v>
      </c>
      <c r="D757" s="30" t="s">
        <v>7156</v>
      </c>
      <c r="E757" s="30" t="s">
        <v>3055</v>
      </c>
      <c r="F757" s="454">
        <f t="shared" si="348"/>
        <v>21.84</v>
      </c>
      <c r="G757" s="529">
        <v>21.84</v>
      </c>
      <c r="H757" s="487">
        <f t="shared" si="349"/>
        <v>17.47</v>
      </c>
      <c r="I757" s="706"/>
      <c r="J757" s="669" t="s">
        <v>5805</v>
      </c>
      <c r="K757" s="15"/>
      <c r="L757"/>
      <c r="M757" s="49">
        <f t="shared" si="350"/>
        <v>21.84</v>
      </c>
      <c r="N757" s="41">
        <v>9.9</v>
      </c>
      <c r="O757" s="54"/>
      <c r="P757" s="15"/>
      <c r="Q757"/>
      <c r="R757"/>
      <c r="S757" t="s">
        <v>1017</v>
      </c>
      <c r="T757" s="178" t="s">
        <v>4180</v>
      </c>
      <c r="U757" s="55" t="s">
        <v>1017</v>
      </c>
      <c r="V757" t="s">
        <v>1017</v>
      </c>
      <c r="W757" s="65"/>
      <c r="X757" s="65"/>
      <c r="Y757"/>
      <c r="Z757" s="65"/>
      <c r="AA757" s="12"/>
      <c r="AB757"/>
      <c r="AC757" s="65"/>
      <c r="AD757" s="27"/>
      <c r="AE757" s="124" t="s">
        <v>1017</v>
      </c>
      <c r="AF757" s="65"/>
      <c r="AG757" s="91"/>
      <c r="AH757" s="212" t="str">
        <f t="shared" si="353"/>
        <v>2011</v>
      </c>
      <c r="AI757" s="214" t="str">
        <f t="shared" si="342"/>
        <v/>
      </c>
      <c r="AJ757" s="214" t="str">
        <f t="shared" si="343"/>
        <v/>
      </c>
      <c r="AK757" s="214" t="str">
        <f t="shared" si="344"/>
        <v/>
      </c>
      <c r="AL757" s="214" t="str">
        <f t="shared" si="345"/>
        <v/>
      </c>
      <c r="AM757" s="214" t="str">
        <f t="shared" si="346"/>
        <v/>
      </c>
      <c r="AN757" s="213" t="str">
        <f t="shared" si="329"/>
        <v>2011</v>
      </c>
      <c r="AO757" s="213" t="str">
        <f t="shared" si="330"/>
        <v>2011</v>
      </c>
      <c r="AP757" s="213" t="str">
        <f t="shared" si="331"/>
        <v>2011</v>
      </c>
      <c r="AQ757" s="215" t="str">
        <f t="shared" si="332"/>
        <v/>
      </c>
      <c r="AR757" s="216" t="str">
        <f t="shared" si="333"/>
        <v>BiK82a1bK11y04</v>
      </c>
      <c r="AS757" s="215" t="str">
        <f t="shared" si="334"/>
        <v/>
      </c>
      <c r="AT757">
        <f t="shared" si="335"/>
        <v>14</v>
      </c>
      <c r="AU757" s="216" t="str">
        <f t="shared" si="336"/>
        <v>0,15-0,5 MW, Bonusregeln a1, b, y und K erstmals 2011</v>
      </c>
      <c r="AV757" s="215" t="str">
        <f t="shared" si="337"/>
        <v/>
      </c>
      <c r="AW757" s="216" t="str">
        <f t="shared" si="338"/>
        <v>Anteil KWK, erstmals 2011</v>
      </c>
      <c r="AX757" s="215" t="str">
        <f t="shared" si="339"/>
        <v/>
      </c>
      <c r="AY757" t="str">
        <f t="shared" si="340"/>
        <v>x</v>
      </c>
      <c r="AZ757" t="str">
        <f t="shared" si="341"/>
        <v/>
      </c>
    </row>
    <row r="758" spans="1:52" s="178" customFormat="1" x14ac:dyDescent="0.25">
      <c r="A758" s="625" t="s">
        <v>1532</v>
      </c>
      <c r="B758" s="221" t="s">
        <v>5548</v>
      </c>
      <c r="C758" s="221" t="s">
        <v>4809</v>
      </c>
      <c r="D758" s="219" t="s">
        <v>7157</v>
      </c>
      <c r="E758" s="219" t="s">
        <v>1980</v>
      </c>
      <c r="F758" s="455">
        <f t="shared" si="348"/>
        <v>21.810000000000002</v>
      </c>
      <c r="G758" s="530">
        <v>21.810000000000002</v>
      </c>
      <c r="H758" s="488">
        <f t="shared" si="349"/>
        <v>17.45</v>
      </c>
      <c r="I758" s="707"/>
      <c r="J758" s="669" t="s">
        <v>5805</v>
      </c>
      <c r="K758" s="15"/>
      <c r="L758"/>
      <c r="M758" s="49">
        <f t="shared" si="350"/>
        <v>21.810000000000002</v>
      </c>
      <c r="N758" s="41">
        <v>9.9</v>
      </c>
      <c r="O758" s="54"/>
      <c r="P758" s="15"/>
      <c r="Q758"/>
      <c r="R758"/>
      <c r="S758" t="s">
        <v>4180</v>
      </c>
      <c r="T758" s="178" t="s">
        <v>1017</v>
      </c>
      <c r="U758" s="55" t="s">
        <v>1017</v>
      </c>
      <c r="V758" t="s">
        <v>1017</v>
      </c>
      <c r="W758" s="65"/>
      <c r="X758" s="65"/>
      <c r="Y758"/>
      <c r="Z758" s="65"/>
      <c r="AA758" s="12"/>
      <c r="AB758"/>
      <c r="AC758" s="65"/>
      <c r="AD758" s="27"/>
      <c r="AE758" s="124" t="s">
        <v>1017</v>
      </c>
      <c r="AF758" s="65"/>
      <c r="AG758" s="91"/>
      <c r="AH758" s="217" t="s">
        <v>4179</v>
      </c>
      <c r="AI758" s="214" t="str">
        <f t="shared" si="342"/>
        <v/>
      </c>
      <c r="AJ758" s="214" t="str">
        <f t="shared" si="343"/>
        <v/>
      </c>
      <c r="AK758" s="214" t="str">
        <f t="shared" si="344"/>
        <v/>
      </c>
      <c r="AL758" s="214" t="str">
        <f t="shared" si="345"/>
        <v/>
      </c>
      <c r="AM758" s="214" t="str">
        <f t="shared" si="346"/>
        <v/>
      </c>
      <c r="AN758" s="213" t="str">
        <f t="shared" si="329"/>
        <v>2012</v>
      </c>
      <c r="AO758" s="213" t="str">
        <f t="shared" si="330"/>
        <v>2012</v>
      </c>
      <c r="AP758" s="213" t="str">
        <f t="shared" si="331"/>
        <v>2012</v>
      </c>
      <c r="AQ758" s="215" t="str">
        <f t="shared" si="332"/>
        <v/>
      </c>
      <c r="AR758" s="216" t="str">
        <f t="shared" si="333"/>
        <v>BiK82a1bK12y04</v>
      </c>
      <c r="AS758" s="215" t="str">
        <f t="shared" si="334"/>
        <v/>
      </c>
      <c r="AT758">
        <f t="shared" si="335"/>
        <v>14</v>
      </c>
      <c r="AU758" s="216" t="str">
        <f t="shared" si="336"/>
        <v>0,15-0,5 MW, Bonusregeln a1, b, y und K erstmals 2012</v>
      </c>
      <c r="AV758" s="215" t="str">
        <f t="shared" si="337"/>
        <v/>
      </c>
      <c r="AW758" s="216" t="str">
        <f t="shared" si="338"/>
        <v>Anteil KWK, erstmals 2012</v>
      </c>
      <c r="AX758" s="215" t="str">
        <f t="shared" si="339"/>
        <v/>
      </c>
      <c r="AY758" t="str">
        <f t="shared" si="340"/>
        <v/>
      </c>
      <c r="AZ758" t="str">
        <f t="shared" si="341"/>
        <v>x</v>
      </c>
    </row>
    <row r="759" spans="1:52" s="178" customFormat="1" x14ac:dyDescent="0.25">
      <c r="A759" s="610" t="s">
        <v>4367</v>
      </c>
      <c r="B759" s="30" t="s">
        <v>5548</v>
      </c>
      <c r="C759" s="30" t="s">
        <v>4809</v>
      </c>
      <c r="D759" s="30" t="s">
        <v>7158</v>
      </c>
      <c r="E759" s="30" t="s">
        <v>4810</v>
      </c>
      <c r="F759" s="454">
        <f t="shared" si="348"/>
        <v>18.899999999999999</v>
      </c>
      <c r="G759" s="529">
        <v>18.899999999999999</v>
      </c>
      <c r="H759" s="487">
        <f t="shared" si="349"/>
        <v>15.12</v>
      </c>
      <c r="I759" s="706"/>
      <c r="J759" s="669" t="s">
        <v>5805</v>
      </c>
      <c r="K759" s="15"/>
      <c r="L759"/>
      <c r="M759" s="49">
        <f t="shared" si="350"/>
        <v>18.899999999999999</v>
      </c>
      <c r="N759" s="41">
        <v>9.9</v>
      </c>
      <c r="O759" s="186"/>
      <c r="P759" s="177"/>
      <c r="S759" s="178" t="s">
        <v>4180</v>
      </c>
      <c r="T759" s="178" t="s">
        <v>4180</v>
      </c>
      <c r="U759" s="179"/>
      <c r="W759" s="180"/>
      <c r="X759" s="180"/>
      <c r="Y759" s="178" t="s">
        <v>1017</v>
      </c>
      <c r="Z759" s="180"/>
      <c r="AA759" s="184"/>
      <c r="AC759" s="180"/>
      <c r="AD759" s="182"/>
      <c r="AE759" s="200" t="s">
        <v>1017</v>
      </c>
      <c r="AF759" s="180"/>
      <c r="AG759" s="201"/>
      <c r="AH759" s="212" t="str">
        <f t="shared" ref="AH759:AH764" si="354">IF(ISERROR(SEARCH("K erstmals 201",D759)),"",RIGHT(D759,4))</f>
        <v/>
      </c>
      <c r="AI759" s="214" t="str">
        <f t="shared" si="342"/>
        <v/>
      </c>
      <c r="AJ759" s="214" t="str">
        <f t="shared" si="343"/>
        <v/>
      </c>
      <c r="AK759" s="214" t="str">
        <f t="shared" si="344"/>
        <v/>
      </c>
      <c r="AL759" s="214" t="str">
        <f t="shared" si="345"/>
        <v/>
      </c>
      <c r="AM759" s="214" t="str">
        <f t="shared" si="346"/>
        <v/>
      </c>
      <c r="AN759" s="213" t="str">
        <f t="shared" si="329"/>
        <v/>
      </c>
      <c r="AO759" s="213" t="str">
        <f t="shared" si="330"/>
        <v/>
      </c>
      <c r="AP759" s="213" t="str">
        <f t="shared" si="331"/>
        <v/>
      </c>
      <c r="AQ759" s="215" t="str">
        <f t="shared" si="332"/>
        <v/>
      </c>
      <c r="AR759" s="216" t="str">
        <f t="shared" si="333"/>
        <v>BiK82Gb-----04</v>
      </c>
      <c r="AS759" s="215" t="str">
        <f t="shared" si="334"/>
        <v/>
      </c>
      <c r="AT759">
        <f t="shared" si="335"/>
        <v>14</v>
      </c>
      <c r="AU759" s="216" t="str">
        <f t="shared" si="336"/>
        <v>0,15-0,5 MW, Bonusregeln G, b</v>
      </c>
      <c r="AV759" s="215" t="str">
        <f t="shared" si="337"/>
        <v/>
      </c>
      <c r="AW759" s="216" t="str">
        <f t="shared" si="338"/>
        <v>Anteil Nicht-KWK</v>
      </c>
      <c r="AX759" s="215" t="str">
        <f t="shared" si="339"/>
        <v/>
      </c>
      <c r="AY759" t="str">
        <f t="shared" si="340"/>
        <v/>
      </c>
      <c r="AZ759" t="str">
        <f t="shared" si="341"/>
        <v/>
      </c>
    </row>
    <row r="760" spans="1:52" s="178" customFormat="1" x14ac:dyDescent="0.25">
      <c r="A760" s="610" t="s">
        <v>4368</v>
      </c>
      <c r="B760" s="30" t="s">
        <v>5548</v>
      </c>
      <c r="C760" s="30" t="s">
        <v>4809</v>
      </c>
      <c r="D760" s="30" t="s">
        <v>7159</v>
      </c>
      <c r="E760" s="30" t="s">
        <v>4812</v>
      </c>
      <c r="F760" s="454">
        <f t="shared" si="348"/>
        <v>20.9</v>
      </c>
      <c r="G760" s="529">
        <v>20.9</v>
      </c>
      <c r="H760" s="487">
        <f t="shared" si="349"/>
        <v>16.72</v>
      </c>
      <c r="I760" s="706"/>
      <c r="J760" s="669" t="s">
        <v>5805</v>
      </c>
      <c r="K760" s="15"/>
      <c r="L760"/>
      <c r="M760" s="49">
        <f t="shared" si="350"/>
        <v>20.9</v>
      </c>
      <c r="N760" s="41">
        <v>9.9</v>
      </c>
      <c r="O760" s="186" t="s">
        <v>1017</v>
      </c>
      <c r="P760" s="177"/>
      <c r="S760" s="178" t="s">
        <v>4180</v>
      </c>
      <c r="T760" s="178" t="s">
        <v>4180</v>
      </c>
      <c r="U760" s="179"/>
      <c r="W760" s="180"/>
      <c r="X760" s="180"/>
      <c r="Y760" s="178" t="s">
        <v>1017</v>
      </c>
      <c r="Z760" s="180"/>
      <c r="AA760" s="184"/>
      <c r="AC760" s="180"/>
      <c r="AD760" s="182"/>
      <c r="AE760" s="200" t="s">
        <v>1017</v>
      </c>
      <c r="AF760" s="180"/>
      <c r="AG760" s="201"/>
      <c r="AH760" s="212" t="str">
        <f t="shared" si="354"/>
        <v/>
      </c>
      <c r="AI760" s="214" t="str">
        <f t="shared" si="342"/>
        <v/>
      </c>
      <c r="AJ760" s="214" t="str">
        <f t="shared" si="343"/>
        <v/>
      </c>
      <c r="AK760" s="214" t="str">
        <f t="shared" si="344"/>
        <v/>
      </c>
      <c r="AL760" s="214" t="str">
        <f t="shared" si="345"/>
        <v/>
      </c>
      <c r="AM760" s="214" t="str">
        <f t="shared" si="346"/>
        <v/>
      </c>
      <c r="AN760" s="213" t="str">
        <f t="shared" si="329"/>
        <v/>
      </c>
      <c r="AO760" s="213" t="str">
        <f t="shared" si="330"/>
        <v/>
      </c>
      <c r="AP760" s="213" t="str">
        <f t="shared" si="331"/>
        <v/>
      </c>
      <c r="AQ760" s="215" t="str">
        <f t="shared" si="332"/>
        <v/>
      </c>
      <c r="AR760" s="216" t="str">
        <f t="shared" si="333"/>
        <v>BiK82GbKWK--04</v>
      </c>
      <c r="AS760" s="215" t="str">
        <f t="shared" si="334"/>
        <v/>
      </c>
      <c r="AT760">
        <f t="shared" si="335"/>
        <v>14</v>
      </c>
      <c r="AU760" s="216" t="str">
        <f t="shared" si="336"/>
        <v>0,15-0,5 MW, Bonusregeln G, b und KWK</v>
      </c>
      <c r="AV760" s="215" t="str">
        <f t="shared" si="337"/>
        <v/>
      </c>
      <c r="AW760" s="216" t="str">
        <f t="shared" si="338"/>
        <v>Anteil KWK</v>
      </c>
      <c r="AX760" s="215" t="str">
        <f t="shared" si="339"/>
        <v/>
      </c>
      <c r="AY760" t="str">
        <f t="shared" si="340"/>
        <v/>
      </c>
      <c r="AZ760" t="str">
        <f t="shared" si="341"/>
        <v/>
      </c>
    </row>
    <row r="761" spans="1:52" s="178" customFormat="1" x14ac:dyDescent="0.25">
      <c r="A761" s="610" t="s">
        <v>4369</v>
      </c>
      <c r="B761" s="30" t="s">
        <v>5548</v>
      </c>
      <c r="C761" s="30" t="s">
        <v>4809</v>
      </c>
      <c r="D761" s="30" t="s">
        <v>7160</v>
      </c>
      <c r="E761" s="30" t="s">
        <v>4331</v>
      </c>
      <c r="F761" s="454">
        <f t="shared" si="348"/>
        <v>21.9</v>
      </c>
      <c r="G761" s="529">
        <v>21.9</v>
      </c>
      <c r="H761" s="487">
        <f t="shared" si="349"/>
        <v>17.52</v>
      </c>
      <c r="I761" s="706"/>
      <c r="J761" s="669" t="s">
        <v>5805</v>
      </c>
      <c r="K761" s="15"/>
      <c r="L761"/>
      <c r="M761" s="49">
        <f t="shared" si="350"/>
        <v>21.9</v>
      </c>
      <c r="N761" s="41">
        <v>9.9</v>
      </c>
      <c r="O761" s="186"/>
      <c r="P761" s="178" t="s">
        <v>1017</v>
      </c>
      <c r="S761" s="178" t="s">
        <v>4180</v>
      </c>
      <c r="T761" s="178" t="s">
        <v>4180</v>
      </c>
      <c r="U761" s="179"/>
      <c r="W761" s="180"/>
      <c r="X761" s="180"/>
      <c r="Y761" s="178" t="s">
        <v>1017</v>
      </c>
      <c r="Z761" s="180"/>
      <c r="AA761" s="184"/>
      <c r="AC761" s="180"/>
      <c r="AD761" s="182"/>
      <c r="AE761" s="200" t="s">
        <v>1017</v>
      </c>
      <c r="AF761" s="180"/>
      <c r="AG761" s="201"/>
      <c r="AH761" s="212" t="str">
        <f t="shared" si="354"/>
        <v/>
      </c>
      <c r="AI761" s="214" t="str">
        <f t="shared" si="342"/>
        <v/>
      </c>
      <c r="AJ761" s="214" t="str">
        <f t="shared" si="343"/>
        <v/>
      </c>
      <c r="AK761" s="214" t="str">
        <f t="shared" si="344"/>
        <v/>
      </c>
      <c r="AL761" s="214" t="str">
        <f t="shared" si="345"/>
        <v/>
      </c>
      <c r="AM761" s="214" t="str">
        <f t="shared" si="346"/>
        <v/>
      </c>
      <c r="AN761" s="213" t="str">
        <f t="shared" si="329"/>
        <v/>
      </c>
      <c r="AO761" s="213" t="str">
        <f t="shared" si="330"/>
        <v/>
      </c>
      <c r="AP761" s="213" t="str">
        <f t="shared" si="331"/>
        <v/>
      </c>
      <c r="AQ761" s="215" t="str">
        <f t="shared" si="332"/>
        <v/>
      </c>
      <c r="AR761" s="216" t="str">
        <f t="shared" si="333"/>
        <v>BiK82GbKA3--04</v>
      </c>
      <c r="AS761" s="215" t="str">
        <f t="shared" si="334"/>
        <v/>
      </c>
      <c r="AT761">
        <f t="shared" si="335"/>
        <v>14</v>
      </c>
      <c r="AU761" s="216" t="str">
        <f t="shared" si="336"/>
        <v>0,15-0,5 MW, Bonusregeln G, b und K wenn Anlage 3 erfüllt</v>
      </c>
      <c r="AV761" s="215" t="str">
        <f t="shared" si="337"/>
        <v/>
      </c>
      <c r="AW761" s="216" t="str">
        <f t="shared" si="338"/>
        <v>Anteil KWK gemäß Anlage 3</v>
      </c>
      <c r="AX761" s="215" t="str">
        <f t="shared" si="339"/>
        <v/>
      </c>
      <c r="AY761" t="str">
        <f t="shared" si="340"/>
        <v/>
      </c>
      <c r="AZ761" t="str">
        <f t="shared" si="341"/>
        <v/>
      </c>
    </row>
    <row r="762" spans="1:52" s="178" customFormat="1" x14ac:dyDescent="0.25">
      <c r="A762" s="610" t="s">
        <v>4370</v>
      </c>
      <c r="B762" s="30" t="s">
        <v>5548</v>
      </c>
      <c r="C762" s="30" t="s">
        <v>4809</v>
      </c>
      <c r="D762" s="30" t="s">
        <v>7161</v>
      </c>
      <c r="E762" s="30" t="s">
        <v>674</v>
      </c>
      <c r="F762" s="454">
        <f t="shared" si="348"/>
        <v>21.9</v>
      </c>
      <c r="G762" s="529">
        <v>21.9</v>
      </c>
      <c r="H762" s="487">
        <f t="shared" si="349"/>
        <v>17.52</v>
      </c>
      <c r="I762" s="706"/>
      <c r="J762" s="669" t="s">
        <v>5805</v>
      </c>
      <c r="K762" s="15"/>
      <c r="L762"/>
      <c r="M762" s="49">
        <f t="shared" si="350"/>
        <v>21.9</v>
      </c>
      <c r="N762" s="41">
        <v>9.9</v>
      </c>
      <c r="O762" s="186"/>
      <c r="P762" s="177"/>
      <c r="Q762" s="178" t="s">
        <v>1017</v>
      </c>
      <c r="S762" s="178" t="s">
        <v>4180</v>
      </c>
      <c r="T762" s="178" t="s">
        <v>4180</v>
      </c>
      <c r="U762" s="179"/>
      <c r="W762" s="180"/>
      <c r="X762" s="180"/>
      <c r="Y762" s="178" t="s">
        <v>1017</v>
      </c>
      <c r="Z762" s="180"/>
      <c r="AA762" s="184"/>
      <c r="AC762" s="180"/>
      <c r="AD762" s="182"/>
      <c r="AE762" s="200" t="s">
        <v>1017</v>
      </c>
      <c r="AF762" s="180"/>
      <c r="AG762" s="201"/>
      <c r="AH762" s="212" t="str">
        <f t="shared" si="354"/>
        <v/>
      </c>
      <c r="AI762" s="214" t="str">
        <f t="shared" si="342"/>
        <v/>
      </c>
      <c r="AJ762" s="214" t="str">
        <f t="shared" si="343"/>
        <v/>
      </c>
      <c r="AK762" s="214" t="str">
        <f t="shared" si="344"/>
        <v/>
      </c>
      <c r="AL762" s="214" t="str">
        <f t="shared" si="345"/>
        <v/>
      </c>
      <c r="AM762" s="214" t="str">
        <f t="shared" si="346"/>
        <v/>
      </c>
      <c r="AN762" s="213" t="str">
        <f t="shared" si="329"/>
        <v/>
      </c>
      <c r="AO762" s="213" t="str">
        <f t="shared" si="330"/>
        <v/>
      </c>
      <c r="AP762" s="213" t="str">
        <f t="shared" si="331"/>
        <v/>
      </c>
      <c r="AQ762" s="215" t="str">
        <f t="shared" si="332"/>
        <v/>
      </c>
      <c r="AR762" s="216" t="str">
        <f t="shared" si="333"/>
        <v>BiK82GbK09--04</v>
      </c>
      <c r="AS762" s="215" t="str">
        <f t="shared" si="334"/>
        <v/>
      </c>
      <c r="AT762">
        <f t="shared" si="335"/>
        <v>14</v>
      </c>
      <c r="AU762" s="216" t="str">
        <f t="shared" si="336"/>
        <v>0,15-0,5 MW, Bonusregeln G, b und K erstmals 2009</v>
      </c>
      <c r="AV762" s="215" t="str">
        <f t="shared" si="337"/>
        <v/>
      </c>
      <c r="AW762" s="216" t="str">
        <f t="shared" si="338"/>
        <v>Anteil KWK, erstmals 2009</v>
      </c>
      <c r="AX762" s="215" t="str">
        <f t="shared" si="339"/>
        <v/>
      </c>
      <c r="AY762" t="str">
        <f t="shared" si="340"/>
        <v/>
      </c>
      <c r="AZ762" t="str">
        <f t="shared" si="341"/>
        <v/>
      </c>
    </row>
    <row r="763" spans="1:52" s="178" customFormat="1" x14ac:dyDescent="0.25">
      <c r="A763" s="610" t="s">
        <v>1461</v>
      </c>
      <c r="B763" s="30" t="s">
        <v>5548</v>
      </c>
      <c r="C763" s="30" t="s">
        <v>4809</v>
      </c>
      <c r="D763" s="30" t="s">
        <v>7162</v>
      </c>
      <c r="E763" s="30" t="s">
        <v>3567</v>
      </c>
      <c r="F763" s="454">
        <f t="shared" si="348"/>
        <v>21.87</v>
      </c>
      <c r="G763" s="529">
        <v>21.87</v>
      </c>
      <c r="H763" s="487">
        <f t="shared" si="349"/>
        <v>17.5</v>
      </c>
      <c r="I763" s="706"/>
      <c r="J763" s="669" t="s">
        <v>5805</v>
      </c>
      <c r="K763" s="15"/>
      <c r="L763"/>
      <c r="M763" s="49">
        <f t="shared" si="350"/>
        <v>21.87</v>
      </c>
      <c r="N763" s="41">
        <v>9.9</v>
      </c>
      <c r="O763" s="186"/>
      <c r="P763" s="177"/>
      <c r="R763" s="178" t="s">
        <v>1017</v>
      </c>
      <c r="S763" s="178" t="s">
        <v>4180</v>
      </c>
      <c r="T763" s="178" t="s">
        <v>4180</v>
      </c>
      <c r="U763" s="179"/>
      <c r="W763" s="180"/>
      <c r="X763" s="180"/>
      <c r="Y763" s="178" t="s">
        <v>1017</v>
      </c>
      <c r="Z763" s="180"/>
      <c r="AA763" s="184"/>
      <c r="AC763" s="180"/>
      <c r="AD763" s="182"/>
      <c r="AE763" s="200" t="s">
        <v>1017</v>
      </c>
      <c r="AF763" s="180"/>
      <c r="AG763" s="201"/>
      <c r="AH763" s="212" t="str">
        <f t="shared" si="354"/>
        <v>2010</v>
      </c>
      <c r="AI763" s="214" t="str">
        <f t="shared" si="342"/>
        <v/>
      </c>
      <c r="AJ763" s="214" t="str">
        <f t="shared" si="343"/>
        <v/>
      </c>
      <c r="AK763" s="214" t="str">
        <f t="shared" si="344"/>
        <v/>
      </c>
      <c r="AL763" s="214" t="str">
        <f t="shared" si="345"/>
        <v/>
      </c>
      <c r="AM763" s="214" t="str">
        <f t="shared" si="346"/>
        <v/>
      </c>
      <c r="AN763" s="213" t="str">
        <f t="shared" si="329"/>
        <v>2010</v>
      </c>
      <c r="AO763" s="213" t="str">
        <f t="shared" si="330"/>
        <v>2010</v>
      </c>
      <c r="AP763" s="213" t="str">
        <f t="shared" si="331"/>
        <v>2010</v>
      </c>
      <c r="AQ763" s="215" t="str">
        <f t="shared" si="332"/>
        <v/>
      </c>
      <c r="AR763" s="216" t="str">
        <f t="shared" si="333"/>
        <v>BiK82GbK10--04</v>
      </c>
      <c r="AS763" s="215" t="str">
        <f t="shared" si="334"/>
        <v/>
      </c>
      <c r="AT763">
        <f t="shared" si="335"/>
        <v>14</v>
      </c>
      <c r="AU763" s="216" t="str">
        <f t="shared" si="336"/>
        <v>0,15-0,5 MW, Bonusregeln G, b und K erstmals 2010</v>
      </c>
      <c r="AV763" s="215" t="str">
        <f t="shared" si="337"/>
        <v/>
      </c>
      <c r="AW763" s="216" t="str">
        <f t="shared" si="338"/>
        <v>Anteil KWK, erstmals 2010</v>
      </c>
      <c r="AX763" s="215" t="str">
        <f t="shared" si="339"/>
        <v/>
      </c>
      <c r="AY763" t="str">
        <f t="shared" si="340"/>
        <v/>
      </c>
      <c r="AZ763" t="str">
        <f t="shared" si="341"/>
        <v/>
      </c>
    </row>
    <row r="764" spans="1:52" s="178" customFormat="1" x14ac:dyDescent="0.25">
      <c r="A764" s="610" t="s">
        <v>5283</v>
      </c>
      <c r="B764" s="30" t="s">
        <v>5548</v>
      </c>
      <c r="C764" s="30" t="s">
        <v>4809</v>
      </c>
      <c r="D764" s="30" t="s">
        <v>7163</v>
      </c>
      <c r="E764" s="30" t="s">
        <v>3055</v>
      </c>
      <c r="F764" s="454">
        <f t="shared" si="348"/>
        <v>21.84</v>
      </c>
      <c r="G764" s="529">
        <v>21.84</v>
      </c>
      <c r="H764" s="487">
        <f t="shared" si="349"/>
        <v>17.47</v>
      </c>
      <c r="I764" s="706"/>
      <c r="J764" s="669" t="s">
        <v>5805</v>
      </c>
      <c r="K764" s="15"/>
      <c r="L764"/>
      <c r="M764" s="49">
        <f t="shared" si="350"/>
        <v>21.84</v>
      </c>
      <c r="N764" s="41">
        <v>9.9</v>
      </c>
      <c r="O764" s="186"/>
      <c r="P764" s="177"/>
      <c r="S764" s="178" t="s">
        <v>1017</v>
      </c>
      <c r="T764" s="178" t="s">
        <v>4180</v>
      </c>
      <c r="U764" s="179"/>
      <c r="W764" s="180"/>
      <c r="X764" s="180"/>
      <c r="Y764" s="178" t="s">
        <v>1017</v>
      </c>
      <c r="Z764" s="180"/>
      <c r="AA764" s="184"/>
      <c r="AC764" s="180"/>
      <c r="AD764" s="182"/>
      <c r="AE764" s="200" t="s">
        <v>1017</v>
      </c>
      <c r="AF764" s="180"/>
      <c r="AG764" s="201"/>
      <c r="AH764" s="212" t="str">
        <f t="shared" si="354"/>
        <v>2011</v>
      </c>
      <c r="AI764" s="214" t="str">
        <f t="shared" si="342"/>
        <v/>
      </c>
      <c r="AJ764" s="214" t="str">
        <f t="shared" si="343"/>
        <v/>
      </c>
      <c r="AK764" s="214" t="str">
        <f t="shared" si="344"/>
        <v/>
      </c>
      <c r="AL764" s="214" t="str">
        <f t="shared" si="345"/>
        <v/>
      </c>
      <c r="AM764" s="214" t="str">
        <f t="shared" si="346"/>
        <v/>
      </c>
      <c r="AN764" s="213" t="str">
        <f t="shared" si="329"/>
        <v>2011</v>
      </c>
      <c r="AO764" s="213" t="str">
        <f t="shared" si="330"/>
        <v>2011</v>
      </c>
      <c r="AP764" s="213" t="str">
        <f t="shared" si="331"/>
        <v>2011</v>
      </c>
      <c r="AQ764" s="215" t="str">
        <f t="shared" si="332"/>
        <v/>
      </c>
      <c r="AR764" s="216" t="str">
        <f t="shared" si="333"/>
        <v>BiK82GbK11--04</v>
      </c>
      <c r="AS764" s="215" t="str">
        <f t="shared" si="334"/>
        <v/>
      </c>
      <c r="AT764">
        <f t="shared" si="335"/>
        <v>14</v>
      </c>
      <c r="AU764" s="216" t="str">
        <f t="shared" si="336"/>
        <v>0,15-0,5 MW, Bonusregeln G, b und K erstmals 2011</v>
      </c>
      <c r="AV764" s="215" t="str">
        <f t="shared" si="337"/>
        <v/>
      </c>
      <c r="AW764" s="216" t="str">
        <f t="shared" si="338"/>
        <v>Anteil KWK, erstmals 2011</v>
      </c>
      <c r="AX764" s="215" t="str">
        <f t="shared" si="339"/>
        <v/>
      </c>
      <c r="AY764" t="str">
        <f t="shared" si="340"/>
        <v>x</v>
      </c>
      <c r="AZ764" t="str">
        <f t="shared" si="341"/>
        <v/>
      </c>
    </row>
    <row r="765" spans="1:52" s="178" customFormat="1" x14ac:dyDescent="0.25">
      <c r="A765" s="625" t="s">
        <v>1533</v>
      </c>
      <c r="B765" s="219" t="s">
        <v>5548</v>
      </c>
      <c r="C765" s="219" t="s">
        <v>4809</v>
      </c>
      <c r="D765" s="219" t="s">
        <v>7164</v>
      </c>
      <c r="E765" s="219" t="s">
        <v>1980</v>
      </c>
      <c r="F765" s="455">
        <f t="shared" si="348"/>
        <v>21.810000000000002</v>
      </c>
      <c r="G765" s="530">
        <v>21.810000000000002</v>
      </c>
      <c r="H765" s="488">
        <f t="shared" si="349"/>
        <v>17.45</v>
      </c>
      <c r="I765" s="707"/>
      <c r="J765" s="669" t="s">
        <v>5805</v>
      </c>
      <c r="K765" s="15"/>
      <c r="L765"/>
      <c r="M765" s="49">
        <f t="shared" si="350"/>
        <v>21.810000000000002</v>
      </c>
      <c r="N765" s="41">
        <v>9.9</v>
      </c>
      <c r="O765" s="186"/>
      <c r="P765" s="177"/>
      <c r="S765" s="178" t="s">
        <v>4180</v>
      </c>
      <c r="T765" s="178" t="s">
        <v>1017</v>
      </c>
      <c r="U765" s="179"/>
      <c r="W765" s="180"/>
      <c r="X765" s="180"/>
      <c r="Y765" s="178" t="s">
        <v>1017</v>
      </c>
      <c r="Z765" s="180"/>
      <c r="AA765" s="184"/>
      <c r="AC765" s="180"/>
      <c r="AD765" s="182"/>
      <c r="AE765" s="200" t="s">
        <v>1017</v>
      </c>
      <c r="AF765" s="180"/>
      <c r="AG765" s="201"/>
      <c r="AH765" s="217" t="s">
        <v>4179</v>
      </c>
      <c r="AI765" s="214" t="str">
        <f t="shared" si="342"/>
        <v/>
      </c>
      <c r="AJ765" s="214" t="str">
        <f t="shared" si="343"/>
        <v/>
      </c>
      <c r="AK765" s="214" t="str">
        <f t="shared" si="344"/>
        <v/>
      </c>
      <c r="AL765" s="214" t="str">
        <f t="shared" si="345"/>
        <v/>
      </c>
      <c r="AM765" s="214" t="str">
        <f t="shared" si="346"/>
        <v/>
      </c>
      <c r="AN765" s="213" t="str">
        <f t="shared" si="329"/>
        <v>2012</v>
      </c>
      <c r="AO765" s="213" t="str">
        <f t="shared" si="330"/>
        <v>2012</v>
      </c>
      <c r="AP765" s="213" t="str">
        <f t="shared" si="331"/>
        <v>2012</v>
      </c>
      <c r="AQ765" s="215" t="str">
        <f t="shared" si="332"/>
        <v/>
      </c>
      <c r="AR765" s="216" t="str">
        <f t="shared" si="333"/>
        <v>BiK82GbK12--04</v>
      </c>
      <c r="AS765" s="215" t="str">
        <f t="shared" si="334"/>
        <v/>
      </c>
      <c r="AT765">
        <f t="shared" si="335"/>
        <v>14</v>
      </c>
      <c r="AU765" s="216" t="str">
        <f t="shared" si="336"/>
        <v>0,15-0,5 MW, Bonusregeln G, b und K erstmals 2012</v>
      </c>
      <c r="AV765" s="215" t="str">
        <f t="shared" si="337"/>
        <v/>
      </c>
      <c r="AW765" s="216" t="str">
        <f t="shared" si="338"/>
        <v>Anteil KWK, erstmals 2012</v>
      </c>
      <c r="AX765" s="215" t="str">
        <f t="shared" si="339"/>
        <v/>
      </c>
      <c r="AY765" t="str">
        <f t="shared" si="340"/>
        <v/>
      </c>
      <c r="AZ765" t="str">
        <f t="shared" si="341"/>
        <v>x</v>
      </c>
    </row>
    <row r="766" spans="1:52" s="178" customFormat="1" x14ac:dyDescent="0.25">
      <c r="A766" s="610" t="s">
        <v>4371</v>
      </c>
      <c r="B766" s="30" t="s">
        <v>5548</v>
      </c>
      <c r="C766" s="30" t="s">
        <v>4809</v>
      </c>
      <c r="D766" s="30" t="s">
        <v>7165</v>
      </c>
      <c r="E766" s="30" t="s">
        <v>4810</v>
      </c>
      <c r="F766" s="454">
        <f t="shared" si="348"/>
        <v>19.899999999999999</v>
      </c>
      <c r="G766" s="529">
        <v>19.899999999999999</v>
      </c>
      <c r="H766" s="487">
        <f t="shared" si="349"/>
        <v>15.92</v>
      </c>
      <c r="I766" s="706"/>
      <c r="J766" s="669" t="s">
        <v>5805</v>
      </c>
      <c r="K766" s="15"/>
      <c r="L766"/>
      <c r="M766" s="49">
        <f t="shared" si="350"/>
        <v>19.899999999999999</v>
      </c>
      <c r="N766" s="41">
        <v>9.9</v>
      </c>
      <c r="O766" s="187"/>
      <c r="P766" s="183"/>
      <c r="Q766" s="184"/>
      <c r="R766" s="184"/>
      <c r="S766" s="184" t="s">
        <v>4180</v>
      </c>
      <c r="T766" s="178" t="s">
        <v>4180</v>
      </c>
      <c r="U766" s="185" t="s">
        <v>1017</v>
      </c>
      <c r="V766" s="184"/>
      <c r="W766" s="180"/>
      <c r="X766" s="180"/>
      <c r="Y766" s="184" t="s">
        <v>1017</v>
      </c>
      <c r="Z766" s="180"/>
      <c r="AA766" s="184"/>
      <c r="AB766" s="184"/>
      <c r="AC766" s="180"/>
      <c r="AD766" s="182"/>
      <c r="AE766" s="181" t="s">
        <v>1017</v>
      </c>
      <c r="AF766" s="180"/>
      <c r="AG766" s="201"/>
      <c r="AH766" s="212" t="str">
        <f t="shared" ref="AH766:AH771" si="355">IF(ISERROR(SEARCH("K erstmals 201",D766)),"",RIGHT(D766,4))</f>
        <v/>
      </c>
      <c r="AI766" s="214" t="str">
        <f t="shared" si="342"/>
        <v/>
      </c>
      <c r="AJ766" s="214" t="str">
        <f t="shared" si="343"/>
        <v/>
      </c>
      <c r="AK766" s="214" t="str">
        <f t="shared" si="344"/>
        <v/>
      </c>
      <c r="AL766" s="214" t="str">
        <f t="shared" si="345"/>
        <v/>
      </c>
      <c r="AM766" s="214" t="str">
        <f t="shared" si="346"/>
        <v/>
      </c>
      <c r="AN766" s="213" t="str">
        <f t="shared" si="329"/>
        <v/>
      </c>
      <c r="AO766" s="213" t="str">
        <f t="shared" si="330"/>
        <v/>
      </c>
      <c r="AP766" s="213" t="str">
        <f t="shared" si="331"/>
        <v/>
      </c>
      <c r="AQ766" s="215" t="str">
        <f t="shared" si="332"/>
        <v/>
      </c>
      <c r="AR766" s="216" t="str">
        <f t="shared" si="333"/>
        <v>BiK82Gby----04</v>
      </c>
      <c r="AS766" s="215" t="str">
        <f t="shared" si="334"/>
        <v/>
      </c>
      <c r="AT766">
        <f t="shared" si="335"/>
        <v>14</v>
      </c>
      <c r="AU766" s="216" t="str">
        <f t="shared" si="336"/>
        <v>0,15-0,5 MW, Bonusregeln G, y, b</v>
      </c>
      <c r="AV766" s="215" t="str">
        <f t="shared" si="337"/>
        <v/>
      </c>
      <c r="AW766" s="216" t="str">
        <f t="shared" si="338"/>
        <v>Anteil Nicht-KWK</v>
      </c>
      <c r="AX766" s="215" t="str">
        <f t="shared" si="339"/>
        <v/>
      </c>
      <c r="AY766" t="str">
        <f t="shared" si="340"/>
        <v/>
      </c>
      <c r="AZ766" t="str">
        <f t="shared" si="341"/>
        <v/>
      </c>
    </row>
    <row r="767" spans="1:52" s="178" customFormat="1" x14ac:dyDescent="0.25">
      <c r="A767" s="610" t="s">
        <v>4372</v>
      </c>
      <c r="B767" s="30" t="s">
        <v>5548</v>
      </c>
      <c r="C767" s="30" t="s">
        <v>4809</v>
      </c>
      <c r="D767" s="30" t="s">
        <v>7166</v>
      </c>
      <c r="E767" s="30" t="s">
        <v>4812</v>
      </c>
      <c r="F767" s="454">
        <f t="shared" si="348"/>
        <v>21.9</v>
      </c>
      <c r="G767" s="529">
        <v>21.9</v>
      </c>
      <c r="H767" s="487">
        <f t="shared" si="349"/>
        <v>17.52</v>
      </c>
      <c r="I767" s="706"/>
      <c r="J767" s="669" t="s">
        <v>5805</v>
      </c>
      <c r="K767" s="15"/>
      <c r="L767"/>
      <c r="M767" s="49">
        <f t="shared" si="350"/>
        <v>21.9</v>
      </c>
      <c r="N767" s="41">
        <v>9.9</v>
      </c>
      <c r="O767" s="187" t="s">
        <v>1017</v>
      </c>
      <c r="P767" s="183"/>
      <c r="Q767" s="184"/>
      <c r="R767" s="184"/>
      <c r="S767" s="184" t="s">
        <v>4180</v>
      </c>
      <c r="T767" s="178" t="s">
        <v>4180</v>
      </c>
      <c r="U767" s="185" t="s">
        <v>1017</v>
      </c>
      <c r="V767" s="184"/>
      <c r="W767" s="180"/>
      <c r="X767" s="180"/>
      <c r="Y767" s="184" t="s">
        <v>1017</v>
      </c>
      <c r="Z767" s="180"/>
      <c r="AA767" s="184"/>
      <c r="AB767" s="184"/>
      <c r="AC767" s="180"/>
      <c r="AD767" s="182"/>
      <c r="AE767" s="181" t="s">
        <v>1017</v>
      </c>
      <c r="AF767" s="180"/>
      <c r="AG767" s="201"/>
      <c r="AH767" s="212" t="str">
        <f t="shared" si="355"/>
        <v/>
      </c>
      <c r="AI767" s="214" t="str">
        <f t="shared" si="342"/>
        <v/>
      </c>
      <c r="AJ767" s="214" t="str">
        <f t="shared" si="343"/>
        <v/>
      </c>
      <c r="AK767" s="214" t="str">
        <f t="shared" si="344"/>
        <v/>
      </c>
      <c r="AL767" s="214" t="str">
        <f t="shared" si="345"/>
        <v/>
      </c>
      <c r="AM767" s="214" t="str">
        <f t="shared" si="346"/>
        <v/>
      </c>
      <c r="AN767" s="213" t="str">
        <f t="shared" si="329"/>
        <v/>
      </c>
      <c r="AO767" s="213" t="str">
        <f t="shared" si="330"/>
        <v/>
      </c>
      <c r="AP767" s="213" t="str">
        <f t="shared" si="331"/>
        <v/>
      </c>
      <c r="AQ767" s="215" t="str">
        <f t="shared" si="332"/>
        <v/>
      </c>
      <c r="AR767" s="216" t="str">
        <f t="shared" si="333"/>
        <v>BiK82GbKWKy-04</v>
      </c>
      <c r="AS767" s="215" t="str">
        <f t="shared" si="334"/>
        <v/>
      </c>
      <c r="AT767">
        <f t="shared" si="335"/>
        <v>14</v>
      </c>
      <c r="AU767" s="216" t="str">
        <f t="shared" si="336"/>
        <v>0,15-0,5 MW, Bonusregeln G, y, b und KWK</v>
      </c>
      <c r="AV767" s="215" t="str">
        <f t="shared" si="337"/>
        <v/>
      </c>
      <c r="AW767" s="216" t="str">
        <f t="shared" si="338"/>
        <v>Anteil KWK</v>
      </c>
      <c r="AX767" s="215" t="str">
        <f t="shared" si="339"/>
        <v/>
      </c>
      <c r="AY767" t="str">
        <f t="shared" si="340"/>
        <v/>
      </c>
      <c r="AZ767" t="str">
        <f t="shared" si="341"/>
        <v/>
      </c>
    </row>
    <row r="768" spans="1:52" s="178" customFormat="1" x14ac:dyDescent="0.25">
      <c r="A768" s="610" t="s">
        <v>4373</v>
      </c>
      <c r="B768" s="30" t="s">
        <v>5548</v>
      </c>
      <c r="C768" s="30" t="s">
        <v>4809</v>
      </c>
      <c r="D768" s="109" t="s">
        <v>7167</v>
      </c>
      <c r="E768" s="30" t="s">
        <v>4331</v>
      </c>
      <c r="F768" s="454">
        <f t="shared" si="348"/>
        <v>22.9</v>
      </c>
      <c r="G768" s="529">
        <v>22.9</v>
      </c>
      <c r="H768" s="487">
        <f t="shared" si="349"/>
        <v>18.32</v>
      </c>
      <c r="I768" s="706"/>
      <c r="J768" s="669" t="s">
        <v>5805</v>
      </c>
      <c r="K768" s="15"/>
      <c r="L768"/>
      <c r="M768" s="49">
        <f t="shared" si="350"/>
        <v>22.9</v>
      </c>
      <c r="N768" s="41">
        <v>9.9</v>
      </c>
      <c r="O768" s="187"/>
      <c r="P768" s="184" t="s">
        <v>1017</v>
      </c>
      <c r="Q768" s="184"/>
      <c r="R768" s="184"/>
      <c r="S768" s="184" t="s">
        <v>4180</v>
      </c>
      <c r="T768" s="178" t="s">
        <v>4180</v>
      </c>
      <c r="U768" s="185" t="s">
        <v>1017</v>
      </c>
      <c r="V768" s="184"/>
      <c r="W768" s="180"/>
      <c r="X768" s="180"/>
      <c r="Y768" s="184" t="s">
        <v>1017</v>
      </c>
      <c r="Z768" s="180"/>
      <c r="AA768" s="184"/>
      <c r="AB768" s="184"/>
      <c r="AC768" s="180"/>
      <c r="AD768" s="182"/>
      <c r="AE768" s="181" t="s">
        <v>1017</v>
      </c>
      <c r="AF768" s="180"/>
      <c r="AG768" s="201"/>
      <c r="AH768" s="212" t="str">
        <f t="shared" si="355"/>
        <v/>
      </c>
      <c r="AI768" s="214" t="str">
        <f t="shared" si="342"/>
        <v/>
      </c>
      <c r="AJ768" s="214" t="str">
        <f t="shared" si="343"/>
        <v/>
      </c>
      <c r="AK768" s="214" t="str">
        <f t="shared" si="344"/>
        <v/>
      </c>
      <c r="AL768" s="214" t="str">
        <f t="shared" si="345"/>
        <v/>
      </c>
      <c r="AM768" s="214" t="str">
        <f t="shared" si="346"/>
        <v/>
      </c>
      <c r="AN768" s="213" t="str">
        <f t="shared" si="329"/>
        <v/>
      </c>
      <c r="AO768" s="213" t="str">
        <f t="shared" si="330"/>
        <v/>
      </c>
      <c r="AP768" s="213" t="str">
        <f t="shared" si="331"/>
        <v/>
      </c>
      <c r="AQ768" s="215" t="str">
        <f t="shared" si="332"/>
        <v/>
      </c>
      <c r="AR768" s="216" t="str">
        <f t="shared" si="333"/>
        <v>BiK82GbKA3y-04</v>
      </c>
      <c r="AS768" s="215" t="str">
        <f t="shared" si="334"/>
        <v/>
      </c>
      <c r="AT768">
        <f t="shared" si="335"/>
        <v>14</v>
      </c>
      <c r="AU768" s="216" t="str">
        <f t="shared" si="336"/>
        <v>0,15-0,5 MW, Bonusregeln G, y, b und K wenn Anlage 3 erfüllt</v>
      </c>
      <c r="AV768" s="215" t="str">
        <f t="shared" si="337"/>
        <v/>
      </c>
      <c r="AW768" s="216" t="str">
        <f t="shared" si="338"/>
        <v>Anteil KWK gemäß Anlage 3</v>
      </c>
      <c r="AX768" s="215" t="str">
        <f t="shared" si="339"/>
        <v/>
      </c>
      <c r="AY768" t="str">
        <f t="shared" si="340"/>
        <v/>
      </c>
      <c r="AZ768" t="str">
        <f t="shared" si="341"/>
        <v/>
      </c>
    </row>
    <row r="769" spans="1:52" s="178" customFormat="1" x14ac:dyDescent="0.25">
      <c r="A769" s="610" t="s">
        <v>4374</v>
      </c>
      <c r="B769" s="30" t="s">
        <v>5548</v>
      </c>
      <c r="C769" s="30" t="s">
        <v>4809</v>
      </c>
      <c r="D769" s="30" t="s">
        <v>7168</v>
      </c>
      <c r="E769" s="30" t="s">
        <v>674</v>
      </c>
      <c r="F769" s="454">
        <f t="shared" si="348"/>
        <v>22.9</v>
      </c>
      <c r="G769" s="529">
        <v>22.9</v>
      </c>
      <c r="H769" s="487">
        <f t="shared" si="349"/>
        <v>18.32</v>
      </c>
      <c r="I769" s="706"/>
      <c r="J769" s="669" t="s">
        <v>5805</v>
      </c>
      <c r="K769" s="15"/>
      <c r="L769"/>
      <c r="M769" s="49">
        <f t="shared" si="350"/>
        <v>22.9</v>
      </c>
      <c r="N769" s="41">
        <v>9.9</v>
      </c>
      <c r="O769" s="187"/>
      <c r="P769" s="183"/>
      <c r="Q769" s="184" t="s">
        <v>1017</v>
      </c>
      <c r="R769" s="184"/>
      <c r="S769" s="184" t="s">
        <v>4180</v>
      </c>
      <c r="T769" s="178" t="s">
        <v>4180</v>
      </c>
      <c r="U769" s="185" t="s">
        <v>1017</v>
      </c>
      <c r="V769" s="184"/>
      <c r="W769" s="180"/>
      <c r="X769" s="180"/>
      <c r="Y769" s="184" t="s">
        <v>1017</v>
      </c>
      <c r="Z769" s="180"/>
      <c r="AA769" s="184"/>
      <c r="AB769" s="184"/>
      <c r="AC769" s="180"/>
      <c r="AD769" s="182"/>
      <c r="AE769" s="181" t="s">
        <v>1017</v>
      </c>
      <c r="AF769" s="180"/>
      <c r="AG769" s="201"/>
      <c r="AH769" s="212" t="str">
        <f t="shared" si="355"/>
        <v/>
      </c>
      <c r="AI769" s="214" t="str">
        <f t="shared" si="342"/>
        <v/>
      </c>
      <c r="AJ769" s="214" t="str">
        <f t="shared" si="343"/>
        <v/>
      </c>
      <c r="AK769" s="214" t="str">
        <f t="shared" si="344"/>
        <v/>
      </c>
      <c r="AL769" s="214" t="str">
        <f t="shared" si="345"/>
        <v/>
      </c>
      <c r="AM769" s="214" t="str">
        <f t="shared" si="346"/>
        <v/>
      </c>
      <c r="AN769" s="213" t="str">
        <f t="shared" si="329"/>
        <v/>
      </c>
      <c r="AO769" s="213" t="str">
        <f t="shared" si="330"/>
        <v/>
      </c>
      <c r="AP769" s="213" t="str">
        <f t="shared" si="331"/>
        <v/>
      </c>
      <c r="AQ769" s="215" t="str">
        <f t="shared" si="332"/>
        <v/>
      </c>
      <c r="AR769" s="216" t="str">
        <f t="shared" si="333"/>
        <v>BiK82GbK09y-04</v>
      </c>
      <c r="AS769" s="215" t="str">
        <f t="shared" si="334"/>
        <v/>
      </c>
      <c r="AT769">
        <f t="shared" si="335"/>
        <v>14</v>
      </c>
      <c r="AU769" s="216" t="str">
        <f t="shared" si="336"/>
        <v>0,15-0,5 MW, Bonusregeln G, y, b und K erstmals 2009</v>
      </c>
      <c r="AV769" s="215" t="str">
        <f t="shared" si="337"/>
        <v/>
      </c>
      <c r="AW769" s="216" t="str">
        <f t="shared" si="338"/>
        <v>Anteil KWK, erstmals 2009</v>
      </c>
      <c r="AX769" s="215" t="str">
        <f t="shared" si="339"/>
        <v/>
      </c>
      <c r="AY769" t="str">
        <f t="shared" si="340"/>
        <v/>
      </c>
      <c r="AZ769" t="str">
        <f t="shared" si="341"/>
        <v/>
      </c>
    </row>
    <row r="770" spans="1:52" s="178" customFormat="1" x14ac:dyDescent="0.25">
      <c r="A770" s="610" t="s">
        <v>1462</v>
      </c>
      <c r="B770" s="30" t="s">
        <v>5548</v>
      </c>
      <c r="C770" s="30" t="s">
        <v>4809</v>
      </c>
      <c r="D770" s="30" t="s">
        <v>7169</v>
      </c>
      <c r="E770" s="30" t="s">
        <v>3567</v>
      </c>
      <c r="F770" s="454">
        <f t="shared" si="348"/>
        <v>22.87</v>
      </c>
      <c r="G770" s="529">
        <v>22.87</v>
      </c>
      <c r="H770" s="487">
        <f t="shared" si="349"/>
        <v>18.3</v>
      </c>
      <c r="I770" s="706"/>
      <c r="J770" s="669" t="s">
        <v>5805</v>
      </c>
      <c r="K770" s="15"/>
      <c r="L770"/>
      <c r="M770" s="49">
        <f t="shared" si="350"/>
        <v>22.87</v>
      </c>
      <c r="N770" s="41">
        <v>9.9</v>
      </c>
      <c r="O770" s="187"/>
      <c r="P770" s="183"/>
      <c r="Q770" s="184"/>
      <c r="R770" s="184" t="s">
        <v>1017</v>
      </c>
      <c r="S770" s="184" t="s">
        <v>4180</v>
      </c>
      <c r="T770" s="178" t="s">
        <v>4180</v>
      </c>
      <c r="U770" s="185" t="s">
        <v>1017</v>
      </c>
      <c r="V770" s="184"/>
      <c r="W770" s="180"/>
      <c r="X770" s="180"/>
      <c r="Y770" s="184" t="s">
        <v>1017</v>
      </c>
      <c r="Z770" s="180"/>
      <c r="AA770" s="184"/>
      <c r="AB770" s="184"/>
      <c r="AC770" s="180"/>
      <c r="AD770" s="182"/>
      <c r="AE770" s="181" t="s">
        <v>1017</v>
      </c>
      <c r="AF770" s="180"/>
      <c r="AG770" s="201"/>
      <c r="AH770" s="212" t="str">
        <f t="shared" si="355"/>
        <v>2010</v>
      </c>
      <c r="AI770" s="214" t="str">
        <f t="shared" si="342"/>
        <v/>
      </c>
      <c r="AJ770" s="214" t="str">
        <f t="shared" si="343"/>
        <v/>
      </c>
      <c r="AK770" s="214" t="str">
        <f t="shared" si="344"/>
        <v/>
      </c>
      <c r="AL770" s="214" t="str">
        <f t="shared" si="345"/>
        <v/>
      </c>
      <c r="AM770" s="214" t="str">
        <f t="shared" si="346"/>
        <v/>
      </c>
      <c r="AN770" s="213" t="str">
        <f t="shared" si="329"/>
        <v>2010</v>
      </c>
      <c r="AO770" s="213" t="str">
        <f t="shared" si="330"/>
        <v>2010</v>
      </c>
      <c r="AP770" s="213" t="str">
        <f t="shared" si="331"/>
        <v>2010</v>
      </c>
      <c r="AQ770" s="215" t="str">
        <f t="shared" si="332"/>
        <v/>
      </c>
      <c r="AR770" s="216" t="str">
        <f t="shared" si="333"/>
        <v>BiK82GbK10y-04</v>
      </c>
      <c r="AS770" s="215" t="str">
        <f t="shared" si="334"/>
        <v/>
      </c>
      <c r="AT770">
        <f t="shared" si="335"/>
        <v>14</v>
      </c>
      <c r="AU770" s="216" t="str">
        <f t="shared" si="336"/>
        <v>0,15-0,5 MW, Bonusregeln G, y, b und K erstmals 2010</v>
      </c>
      <c r="AV770" s="215" t="str">
        <f t="shared" si="337"/>
        <v/>
      </c>
      <c r="AW770" s="216" t="str">
        <f t="shared" si="338"/>
        <v>Anteil KWK, erstmals 2010</v>
      </c>
      <c r="AX770" s="215" t="str">
        <f t="shared" si="339"/>
        <v/>
      </c>
      <c r="AY770" t="str">
        <f t="shared" si="340"/>
        <v/>
      </c>
      <c r="AZ770" t="str">
        <f t="shared" si="341"/>
        <v/>
      </c>
    </row>
    <row r="771" spans="1:52" s="178" customFormat="1" x14ac:dyDescent="0.25">
      <c r="A771" s="610" t="s">
        <v>5284</v>
      </c>
      <c r="B771" s="30" t="s">
        <v>5548</v>
      </c>
      <c r="C771" s="30" t="s">
        <v>4809</v>
      </c>
      <c r="D771" s="30" t="s">
        <v>7170</v>
      </c>
      <c r="E771" s="30" t="s">
        <v>3055</v>
      </c>
      <c r="F771" s="454">
        <f t="shared" si="348"/>
        <v>22.84</v>
      </c>
      <c r="G771" s="529">
        <v>22.84</v>
      </c>
      <c r="H771" s="487">
        <f t="shared" si="349"/>
        <v>18.27</v>
      </c>
      <c r="I771" s="706"/>
      <c r="J771" s="669" t="s">
        <v>5805</v>
      </c>
      <c r="K771" s="15"/>
      <c r="L771"/>
      <c r="M771" s="49">
        <f t="shared" si="350"/>
        <v>22.84</v>
      </c>
      <c r="N771" s="41">
        <v>9.9</v>
      </c>
      <c r="O771" s="187"/>
      <c r="P771" s="183"/>
      <c r="Q771" s="184"/>
      <c r="S771" s="184" t="s">
        <v>1017</v>
      </c>
      <c r="T771" s="178" t="s">
        <v>4180</v>
      </c>
      <c r="U771" s="185" t="s">
        <v>1017</v>
      </c>
      <c r="V771" s="184"/>
      <c r="W771" s="180"/>
      <c r="X771" s="180"/>
      <c r="Y771" s="184" t="s">
        <v>1017</v>
      </c>
      <c r="Z771" s="180"/>
      <c r="AA771" s="184"/>
      <c r="AB771" s="184"/>
      <c r="AC771" s="180"/>
      <c r="AD771" s="182"/>
      <c r="AE771" s="181" t="s">
        <v>1017</v>
      </c>
      <c r="AF771" s="180"/>
      <c r="AG771" s="201"/>
      <c r="AH771" s="212" t="str">
        <f t="shared" si="355"/>
        <v>2011</v>
      </c>
      <c r="AI771" s="214" t="str">
        <f t="shared" si="342"/>
        <v/>
      </c>
      <c r="AJ771" s="214" t="str">
        <f t="shared" si="343"/>
        <v/>
      </c>
      <c r="AK771" s="214" t="str">
        <f t="shared" si="344"/>
        <v/>
      </c>
      <c r="AL771" s="214" t="str">
        <f t="shared" si="345"/>
        <v/>
      </c>
      <c r="AM771" s="214" t="str">
        <f t="shared" si="346"/>
        <v/>
      </c>
      <c r="AN771" s="213" t="str">
        <f t="shared" si="329"/>
        <v>2011</v>
      </c>
      <c r="AO771" s="213" t="str">
        <f t="shared" si="330"/>
        <v>2011</v>
      </c>
      <c r="AP771" s="213" t="str">
        <f t="shared" si="331"/>
        <v>2011</v>
      </c>
      <c r="AQ771" s="215" t="str">
        <f t="shared" si="332"/>
        <v/>
      </c>
      <c r="AR771" s="216" t="str">
        <f t="shared" si="333"/>
        <v>BiK82GbK11y-04</v>
      </c>
      <c r="AS771" s="215" t="str">
        <f t="shared" si="334"/>
        <v/>
      </c>
      <c r="AT771">
        <f t="shared" si="335"/>
        <v>14</v>
      </c>
      <c r="AU771" s="216" t="str">
        <f t="shared" si="336"/>
        <v>0,15-0,5 MW, Bonusregeln G, y, b und K erstmals 2011</v>
      </c>
      <c r="AV771" s="215" t="str">
        <f t="shared" si="337"/>
        <v/>
      </c>
      <c r="AW771" s="216" t="str">
        <f t="shared" si="338"/>
        <v>Anteil KWK, erstmals 2011</v>
      </c>
      <c r="AX771" s="215" t="str">
        <f t="shared" si="339"/>
        <v/>
      </c>
      <c r="AY771" t="str">
        <f t="shared" si="340"/>
        <v>x</v>
      </c>
      <c r="AZ771" t="str">
        <f t="shared" si="341"/>
        <v/>
      </c>
    </row>
    <row r="772" spans="1:52" s="178" customFormat="1" x14ac:dyDescent="0.25">
      <c r="A772" s="625" t="s">
        <v>1534</v>
      </c>
      <c r="B772" s="219" t="s">
        <v>5548</v>
      </c>
      <c r="C772" s="219" t="s">
        <v>4809</v>
      </c>
      <c r="D772" s="219" t="s">
        <v>7171</v>
      </c>
      <c r="E772" s="219" t="s">
        <v>1980</v>
      </c>
      <c r="F772" s="455">
        <f t="shared" si="348"/>
        <v>22.810000000000002</v>
      </c>
      <c r="G772" s="530">
        <v>22.810000000000002</v>
      </c>
      <c r="H772" s="488">
        <f t="shared" si="349"/>
        <v>18.25</v>
      </c>
      <c r="I772" s="707"/>
      <c r="J772" s="669" t="s">
        <v>5805</v>
      </c>
      <c r="K772" s="15"/>
      <c r="L772"/>
      <c r="M772" s="49">
        <f t="shared" si="350"/>
        <v>22.810000000000002</v>
      </c>
      <c r="N772" s="41">
        <v>9.9</v>
      </c>
      <c r="O772" s="187"/>
      <c r="P772" s="183"/>
      <c r="Q772" s="184"/>
      <c r="S772" s="184" t="s">
        <v>4180</v>
      </c>
      <c r="T772" s="178" t="s">
        <v>1017</v>
      </c>
      <c r="U772" s="185" t="s">
        <v>1017</v>
      </c>
      <c r="V772" s="184"/>
      <c r="W772" s="180"/>
      <c r="X772" s="180"/>
      <c r="Y772" s="184" t="s">
        <v>1017</v>
      </c>
      <c r="Z772" s="180"/>
      <c r="AA772" s="184"/>
      <c r="AB772" s="184"/>
      <c r="AC772" s="180"/>
      <c r="AD772" s="182"/>
      <c r="AE772" s="181" t="s">
        <v>1017</v>
      </c>
      <c r="AF772" s="180"/>
      <c r="AG772" s="201"/>
      <c r="AH772" s="217" t="s">
        <v>4179</v>
      </c>
      <c r="AI772" s="214" t="str">
        <f t="shared" si="342"/>
        <v/>
      </c>
      <c r="AJ772" s="214" t="str">
        <f t="shared" si="343"/>
        <v/>
      </c>
      <c r="AK772" s="214" t="str">
        <f t="shared" si="344"/>
        <v/>
      </c>
      <c r="AL772" s="214" t="str">
        <f t="shared" si="345"/>
        <v/>
      </c>
      <c r="AM772" s="214" t="str">
        <f t="shared" si="346"/>
        <v/>
      </c>
      <c r="AN772" s="213" t="str">
        <f t="shared" si="329"/>
        <v>2012</v>
      </c>
      <c r="AO772" s="213" t="str">
        <f t="shared" si="330"/>
        <v>2012</v>
      </c>
      <c r="AP772" s="213" t="str">
        <f t="shared" si="331"/>
        <v>2012</v>
      </c>
      <c r="AQ772" s="215" t="str">
        <f t="shared" si="332"/>
        <v/>
      </c>
      <c r="AR772" s="216" t="str">
        <f t="shared" si="333"/>
        <v>BiK82GbK12y-04</v>
      </c>
      <c r="AS772" s="215" t="str">
        <f t="shared" si="334"/>
        <v/>
      </c>
      <c r="AT772">
        <f t="shared" si="335"/>
        <v>14</v>
      </c>
      <c r="AU772" s="216" t="str">
        <f t="shared" si="336"/>
        <v>0,15-0,5 MW, Bonusregeln G, y, b und K erstmals 2012</v>
      </c>
      <c r="AV772" s="215" t="str">
        <f t="shared" si="337"/>
        <v/>
      </c>
      <c r="AW772" s="216" t="str">
        <f t="shared" si="338"/>
        <v>Anteil KWK, erstmals 2012</v>
      </c>
      <c r="AX772" s="215" t="str">
        <f t="shared" si="339"/>
        <v/>
      </c>
      <c r="AY772" t="str">
        <f t="shared" si="340"/>
        <v/>
      </c>
      <c r="AZ772" t="str">
        <f t="shared" si="341"/>
        <v>x</v>
      </c>
    </row>
    <row r="773" spans="1:52" s="178" customFormat="1" x14ac:dyDescent="0.25">
      <c r="A773" s="610" t="s">
        <v>5062</v>
      </c>
      <c r="B773" s="30" t="s">
        <v>5548</v>
      </c>
      <c r="C773" s="30" t="s">
        <v>4809</v>
      </c>
      <c r="D773" s="30" t="s">
        <v>7172</v>
      </c>
      <c r="E773" s="30" t="s">
        <v>4810</v>
      </c>
      <c r="F773" s="454">
        <f t="shared" si="348"/>
        <v>19.899999999999999</v>
      </c>
      <c r="G773" s="529">
        <v>19.899999999999999</v>
      </c>
      <c r="H773" s="487">
        <f t="shared" si="349"/>
        <v>15.92</v>
      </c>
      <c r="I773" s="706"/>
      <c r="J773" s="669" t="s">
        <v>5805</v>
      </c>
      <c r="K773" s="15"/>
      <c r="L773"/>
      <c r="M773" s="49">
        <f t="shared" si="350"/>
        <v>19.899999999999999</v>
      </c>
      <c r="N773" s="41">
        <v>9.9</v>
      </c>
      <c r="O773" s="186"/>
      <c r="P773" s="177"/>
      <c r="S773" s="178" t="s">
        <v>4180</v>
      </c>
      <c r="T773" s="178" t="s">
        <v>4180</v>
      </c>
      <c r="U773" s="179"/>
      <c r="W773" s="180"/>
      <c r="X773" s="180"/>
      <c r="Z773" s="180"/>
      <c r="AA773" s="184" t="s">
        <v>1017</v>
      </c>
      <c r="AC773" s="180"/>
      <c r="AD773" s="182"/>
      <c r="AE773" s="181" t="s">
        <v>1017</v>
      </c>
      <c r="AF773" s="180"/>
      <c r="AG773" s="201"/>
      <c r="AH773" s="212" t="str">
        <f t="shared" ref="AH773:AH778" si="356">IF(ISERROR(SEARCH("K erstmals 201",D773)),"",RIGHT(D773,4))</f>
        <v/>
      </c>
      <c r="AI773" s="214" t="str">
        <f t="shared" si="342"/>
        <v/>
      </c>
      <c r="AJ773" s="214" t="str">
        <f t="shared" si="343"/>
        <v/>
      </c>
      <c r="AK773" s="214" t="str">
        <f t="shared" si="344"/>
        <v/>
      </c>
      <c r="AL773" s="214" t="str">
        <f t="shared" si="345"/>
        <v/>
      </c>
      <c r="AM773" s="214" t="str">
        <f t="shared" si="346"/>
        <v/>
      </c>
      <c r="AN773" s="213" t="str">
        <f t="shared" si="329"/>
        <v/>
      </c>
      <c r="AO773" s="213" t="str">
        <f t="shared" si="330"/>
        <v/>
      </c>
      <c r="AP773" s="213" t="str">
        <f t="shared" si="331"/>
        <v/>
      </c>
      <c r="AQ773" s="215" t="str">
        <f t="shared" si="332"/>
        <v/>
      </c>
      <c r="AR773" s="216" t="str">
        <f t="shared" si="333"/>
        <v>BiK82M2b----04</v>
      </c>
      <c r="AS773" s="215" t="str">
        <f t="shared" si="334"/>
        <v/>
      </c>
      <c r="AT773">
        <f t="shared" si="335"/>
        <v>14</v>
      </c>
      <c r="AU773" s="216" t="str">
        <f t="shared" si="336"/>
        <v>0,15-0,5 MW, Bonusregeln M2, b</v>
      </c>
      <c r="AV773" s="215" t="str">
        <f t="shared" si="337"/>
        <v/>
      </c>
      <c r="AW773" s="216" t="str">
        <f t="shared" si="338"/>
        <v>Anteil Nicht-KWK</v>
      </c>
      <c r="AX773" s="215" t="str">
        <f t="shared" si="339"/>
        <v/>
      </c>
      <c r="AY773" t="str">
        <f t="shared" si="340"/>
        <v/>
      </c>
      <c r="AZ773" t="str">
        <f t="shared" si="341"/>
        <v/>
      </c>
    </row>
    <row r="774" spans="1:52" s="178" customFormat="1" x14ac:dyDescent="0.25">
      <c r="A774" s="610" t="s">
        <v>5063</v>
      </c>
      <c r="B774" s="30" t="s">
        <v>5548</v>
      </c>
      <c r="C774" s="30" t="s">
        <v>4809</v>
      </c>
      <c r="D774" s="30" t="s">
        <v>7173</v>
      </c>
      <c r="E774" s="30" t="s">
        <v>4812</v>
      </c>
      <c r="F774" s="454">
        <f t="shared" si="348"/>
        <v>21.9</v>
      </c>
      <c r="G774" s="529">
        <v>21.9</v>
      </c>
      <c r="H774" s="487">
        <f t="shared" si="349"/>
        <v>17.52</v>
      </c>
      <c r="I774" s="706"/>
      <c r="J774" s="669" t="s">
        <v>5805</v>
      </c>
      <c r="K774" s="15"/>
      <c r="L774"/>
      <c r="M774" s="49">
        <f t="shared" si="350"/>
        <v>21.9</v>
      </c>
      <c r="N774" s="41">
        <v>9.9</v>
      </c>
      <c r="O774" s="186" t="s">
        <v>1017</v>
      </c>
      <c r="P774" s="177"/>
      <c r="S774" s="178" t="s">
        <v>4180</v>
      </c>
      <c r="T774" s="178" t="s">
        <v>4180</v>
      </c>
      <c r="U774" s="179"/>
      <c r="W774" s="180"/>
      <c r="X774" s="180"/>
      <c r="Z774" s="180"/>
      <c r="AA774" s="184" t="s">
        <v>1017</v>
      </c>
      <c r="AC774" s="180"/>
      <c r="AD774" s="182"/>
      <c r="AE774" s="181" t="s">
        <v>1017</v>
      </c>
      <c r="AF774" s="180"/>
      <c r="AG774" s="201"/>
      <c r="AH774" s="212" t="str">
        <f t="shared" si="356"/>
        <v/>
      </c>
      <c r="AI774" s="214" t="str">
        <f t="shared" si="342"/>
        <v/>
      </c>
      <c r="AJ774" s="214" t="str">
        <f t="shared" si="343"/>
        <v/>
      </c>
      <c r="AK774" s="214" t="str">
        <f t="shared" si="344"/>
        <v/>
      </c>
      <c r="AL774" s="214" t="str">
        <f t="shared" si="345"/>
        <v/>
      </c>
      <c r="AM774" s="214" t="str">
        <f t="shared" si="346"/>
        <v/>
      </c>
      <c r="AN774" s="213" t="str">
        <f t="shared" si="329"/>
        <v/>
      </c>
      <c r="AO774" s="213" t="str">
        <f t="shared" si="330"/>
        <v/>
      </c>
      <c r="AP774" s="213" t="str">
        <f t="shared" si="331"/>
        <v/>
      </c>
      <c r="AQ774" s="215" t="str">
        <f t="shared" si="332"/>
        <v/>
      </c>
      <c r="AR774" s="216" t="str">
        <f t="shared" si="333"/>
        <v>BiK82M2bKWK-04</v>
      </c>
      <c r="AS774" s="215" t="str">
        <f t="shared" si="334"/>
        <v/>
      </c>
      <c r="AT774">
        <f t="shared" si="335"/>
        <v>14</v>
      </c>
      <c r="AU774" s="216" t="str">
        <f t="shared" si="336"/>
        <v>0,15-0,5 MW, Bonusregeln M2, b und KWK</v>
      </c>
      <c r="AV774" s="215" t="str">
        <f t="shared" si="337"/>
        <v/>
      </c>
      <c r="AW774" s="216" t="str">
        <f t="shared" si="338"/>
        <v>Anteil KWK</v>
      </c>
      <c r="AX774" s="215" t="str">
        <f t="shared" si="339"/>
        <v/>
      </c>
      <c r="AY774" t="str">
        <f t="shared" si="340"/>
        <v/>
      </c>
      <c r="AZ774" t="str">
        <f t="shared" si="341"/>
        <v/>
      </c>
    </row>
    <row r="775" spans="1:52" s="178" customFormat="1" x14ac:dyDescent="0.25">
      <c r="A775" s="610" t="s">
        <v>5064</v>
      </c>
      <c r="B775" s="30" t="s">
        <v>5548</v>
      </c>
      <c r="C775" s="30" t="s">
        <v>4809</v>
      </c>
      <c r="D775" s="30" t="s">
        <v>7174</v>
      </c>
      <c r="E775" s="30" t="s">
        <v>4331</v>
      </c>
      <c r="F775" s="454">
        <f t="shared" si="348"/>
        <v>22.9</v>
      </c>
      <c r="G775" s="529">
        <v>22.9</v>
      </c>
      <c r="H775" s="487">
        <f t="shared" si="349"/>
        <v>18.32</v>
      </c>
      <c r="I775" s="706"/>
      <c r="J775" s="669" t="s">
        <v>5805</v>
      </c>
      <c r="K775" s="15"/>
      <c r="L775"/>
      <c r="M775" s="49">
        <f t="shared" si="350"/>
        <v>22.9</v>
      </c>
      <c r="N775" s="41">
        <v>9.9</v>
      </c>
      <c r="O775" s="186"/>
      <c r="P775" s="178" t="s">
        <v>1017</v>
      </c>
      <c r="S775" s="178" t="s">
        <v>4180</v>
      </c>
      <c r="T775" s="178" t="s">
        <v>4180</v>
      </c>
      <c r="U775" s="179"/>
      <c r="W775" s="180"/>
      <c r="X775" s="180"/>
      <c r="Z775" s="180"/>
      <c r="AA775" s="184" t="s">
        <v>1017</v>
      </c>
      <c r="AC775" s="180"/>
      <c r="AD775" s="182"/>
      <c r="AE775" s="181" t="s">
        <v>1017</v>
      </c>
      <c r="AF775" s="180"/>
      <c r="AG775" s="201"/>
      <c r="AH775" s="212" t="str">
        <f t="shared" si="356"/>
        <v/>
      </c>
      <c r="AI775" s="214" t="str">
        <f t="shared" si="342"/>
        <v/>
      </c>
      <c r="AJ775" s="214" t="str">
        <f t="shared" si="343"/>
        <v/>
      </c>
      <c r="AK775" s="214" t="str">
        <f t="shared" si="344"/>
        <v/>
      </c>
      <c r="AL775" s="214" t="str">
        <f t="shared" si="345"/>
        <v/>
      </c>
      <c r="AM775" s="214" t="str">
        <f t="shared" si="346"/>
        <v/>
      </c>
      <c r="AN775" s="213" t="str">
        <f t="shared" si="329"/>
        <v/>
      </c>
      <c r="AO775" s="213" t="str">
        <f t="shared" si="330"/>
        <v/>
      </c>
      <c r="AP775" s="213" t="str">
        <f t="shared" si="331"/>
        <v/>
      </c>
      <c r="AQ775" s="215" t="str">
        <f t="shared" si="332"/>
        <v/>
      </c>
      <c r="AR775" s="216" t="str">
        <f t="shared" si="333"/>
        <v>BiK82M2bKA3-04</v>
      </c>
      <c r="AS775" s="215" t="str">
        <f t="shared" si="334"/>
        <v/>
      </c>
      <c r="AT775">
        <f t="shared" si="335"/>
        <v>14</v>
      </c>
      <c r="AU775" s="216" t="str">
        <f t="shared" si="336"/>
        <v>0,15-0,5 MW, Bonusregeln M2, b und K wenn Anlage 3 erfüllt</v>
      </c>
      <c r="AV775" s="215" t="str">
        <f t="shared" si="337"/>
        <v/>
      </c>
      <c r="AW775" s="216" t="str">
        <f t="shared" si="338"/>
        <v>Anteil KWK gemäß Anlage 3</v>
      </c>
      <c r="AX775" s="215" t="str">
        <f t="shared" si="339"/>
        <v/>
      </c>
      <c r="AY775" t="str">
        <f t="shared" si="340"/>
        <v/>
      </c>
      <c r="AZ775" t="str">
        <f t="shared" si="341"/>
        <v/>
      </c>
    </row>
    <row r="776" spans="1:52" s="178" customFormat="1" x14ac:dyDescent="0.25">
      <c r="A776" s="610" t="s">
        <v>5065</v>
      </c>
      <c r="B776" s="30" t="s">
        <v>5548</v>
      </c>
      <c r="C776" s="30" t="s">
        <v>4809</v>
      </c>
      <c r="D776" s="30" t="s">
        <v>7175</v>
      </c>
      <c r="E776" s="30" t="s">
        <v>674</v>
      </c>
      <c r="F776" s="454">
        <f t="shared" si="348"/>
        <v>22.9</v>
      </c>
      <c r="G776" s="529">
        <v>22.9</v>
      </c>
      <c r="H776" s="487">
        <f t="shared" si="349"/>
        <v>18.32</v>
      </c>
      <c r="I776" s="706"/>
      <c r="J776" s="669" t="s">
        <v>5805</v>
      </c>
      <c r="K776" s="15"/>
      <c r="L776"/>
      <c r="M776" s="49">
        <f t="shared" si="350"/>
        <v>22.9</v>
      </c>
      <c r="N776" s="41">
        <v>9.9</v>
      </c>
      <c r="O776" s="186"/>
      <c r="P776" s="177"/>
      <c r="Q776" s="178" t="s">
        <v>1017</v>
      </c>
      <c r="S776" s="178" t="s">
        <v>4180</v>
      </c>
      <c r="T776" s="178" t="s">
        <v>4180</v>
      </c>
      <c r="U776" s="179"/>
      <c r="W776" s="180"/>
      <c r="X776" s="180"/>
      <c r="Z776" s="180"/>
      <c r="AA776" s="184" t="s">
        <v>1017</v>
      </c>
      <c r="AC776" s="180"/>
      <c r="AD776" s="182"/>
      <c r="AE776" s="181" t="s">
        <v>1017</v>
      </c>
      <c r="AF776" s="180"/>
      <c r="AG776" s="201"/>
      <c r="AH776" s="212" t="str">
        <f t="shared" si="356"/>
        <v/>
      </c>
      <c r="AI776" s="214" t="str">
        <f t="shared" si="342"/>
        <v/>
      </c>
      <c r="AJ776" s="214" t="str">
        <f t="shared" si="343"/>
        <v/>
      </c>
      <c r="AK776" s="214" t="str">
        <f t="shared" si="344"/>
        <v/>
      </c>
      <c r="AL776" s="214" t="str">
        <f t="shared" si="345"/>
        <v/>
      </c>
      <c r="AM776" s="214" t="str">
        <f t="shared" si="346"/>
        <v/>
      </c>
      <c r="AN776" s="213" t="str">
        <f t="shared" si="329"/>
        <v/>
      </c>
      <c r="AO776" s="213" t="str">
        <f t="shared" si="330"/>
        <v/>
      </c>
      <c r="AP776" s="213" t="str">
        <f t="shared" si="331"/>
        <v/>
      </c>
      <c r="AQ776" s="215" t="str">
        <f t="shared" si="332"/>
        <v/>
      </c>
      <c r="AR776" s="216" t="str">
        <f t="shared" si="333"/>
        <v>BiK82M2bK09-04</v>
      </c>
      <c r="AS776" s="215" t="str">
        <f t="shared" si="334"/>
        <v/>
      </c>
      <c r="AT776">
        <f t="shared" si="335"/>
        <v>14</v>
      </c>
      <c r="AU776" s="216" t="str">
        <f t="shared" si="336"/>
        <v>0,15-0,5 MW, Bonusregeln M2, b und K erstmals 2009</v>
      </c>
      <c r="AV776" s="215" t="str">
        <f t="shared" si="337"/>
        <v/>
      </c>
      <c r="AW776" s="216" t="str">
        <f t="shared" si="338"/>
        <v>Anteil KWK, erstmals 2009</v>
      </c>
      <c r="AX776" s="215" t="str">
        <f t="shared" si="339"/>
        <v/>
      </c>
      <c r="AY776" t="str">
        <f t="shared" si="340"/>
        <v/>
      </c>
      <c r="AZ776" t="str">
        <f t="shared" si="341"/>
        <v/>
      </c>
    </row>
    <row r="777" spans="1:52" s="178" customFormat="1" x14ac:dyDescent="0.25">
      <c r="A777" s="610" t="s">
        <v>1463</v>
      </c>
      <c r="B777" s="30" t="s">
        <v>5548</v>
      </c>
      <c r="C777" s="30" t="s">
        <v>4809</v>
      </c>
      <c r="D777" s="30" t="s">
        <v>7176</v>
      </c>
      <c r="E777" s="30" t="s">
        <v>3567</v>
      </c>
      <c r="F777" s="454">
        <f t="shared" si="348"/>
        <v>22.87</v>
      </c>
      <c r="G777" s="529">
        <v>22.87</v>
      </c>
      <c r="H777" s="487">
        <f t="shared" si="349"/>
        <v>18.3</v>
      </c>
      <c r="I777" s="706"/>
      <c r="J777" s="669" t="s">
        <v>5805</v>
      </c>
      <c r="K777" s="15"/>
      <c r="L777"/>
      <c r="M777" s="49">
        <f t="shared" si="350"/>
        <v>22.87</v>
      </c>
      <c r="N777" s="41">
        <v>9.9</v>
      </c>
      <c r="O777" s="186"/>
      <c r="P777" s="177"/>
      <c r="R777" s="178" t="s">
        <v>1017</v>
      </c>
      <c r="S777" s="178" t="s">
        <v>4180</v>
      </c>
      <c r="T777" s="178" t="s">
        <v>4180</v>
      </c>
      <c r="U777" s="179"/>
      <c r="W777" s="180"/>
      <c r="X777" s="180"/>
      <c r="Z777" s="180"/>
      <c r="AA777" s="184" t="s">
        <v>1017</v>
      </c>
      <c r="AC777" s="180"/>
      <c r="AD777" s="182"/>
      <c r="AE777" s="181" t="s">
        <v>1017</v>
      </c>
      <c r="AF777" s="180"/>
      <c r="AG777" s="201"/>
      <c r="AH777" s="212" t="str">
        <f t="shared" si="356"/>
        <v>2010</v>
      </c>
      <c r="AI777" s="214" t="str">
        <f t="shared" si="342"/>
        <v/>
      </c>
      <c r="AJ777" s="214" t="str">
        <f t="shared" si="343"/>
        <v/>
      </c>
      <c r="AK777" s="214" t="str">
        <f t="shared" si="344"/>
        <v/>
      </c>
      <c r="AL777" s="214" t="str">
        <f t="shared" si="345"/>
        <v/>
      </c>
      <c r="AM777" s="214" t="str">
        <f t="shared" si="346"/>
        <v/>
      </c>
      <c r="AN777" s="213" t="str">
        <f t="shared" si="329"/>
        <v>2010</v>
      </c>
      <c r="AO777" s="213" t="str">
        <f t="shared" si="330"/>
        <v>2010</v>
      </c>
      <c r="AP777" s="213" t="str">
        <f t="shared" si="331"/>
        <v>2010</v>
      </c>
      <c r="AQ777" s="215" t="str">
        <f t="shared" si="332"/>
        <v/>
      </c>
      <c r="AR777" s="216" t="str">
        <f t="shared" si="333"/>
        <v>BiK82M2bK10-04</v>
      </c>
      <c r="AS777" s="215" t="str">
        <f t="shared" si="334"/>
        <v/>
      </c>
      <c r="AT777">
        <f t="shared" si="335"/>
        <v>14</v>
      </c>
      <c r="AU777" s="216" t="str">
        <f t="shared" si="336"/>
        <v>0,15-0,5 MW, Bonusregeln M2, b und K erstmals 2010</v>
      </c>
      <c r="AV777" s="215" t="str">
        <f t="shared" si="337"/>
        <v/>
      </c>
      <c r="AW777" s="216" t="str">
        <f t="shared" si="338"/>
        <v>Anteil KWK, erstmals 2010</v>
      </c>
      <c r="AX777" s="215" t="str">
        <f t="shared" si="339"/>
        <v/>
      </c>
      <c r="AY777" t="str">
        <f t="shared" si="340"/>
        <v/>
      </c>
      <c r="AZ777" t="str">
        <f t="shared" si="341"/>
        <v/>
      </c>
    </row>
    <row r="778" spans="1:52" x14ac:dyDescent="0.25">
      <c r="A778" s="610" t="s">
        <v>5285</v>
      </c>
      <c r="B778" s="30" t="s">
        <v>5548</v>
      </c>
      <c r="C778" s="30" t="s">
        <v>4809</v>
      </c>
      <c r="D778" s="30" t="s">
        <v>7177</v>
      </c>
      <c r="E778" s="30" t="s">
        <v>3055</v>
      </c>
      <c r="F778" s="454">
        <f t="shared" si="348"/>
        <v>22.84</v>
      </c>
      <c r="G778" s="529">
        <v>22.84</v>
      </c>
      <c r="H778" s="487">
        <f t="shared" si="349"/>
        <v>18.27</v>
      </c>
      <c r="I778" s="706"/>
      <c r="J778" s="669" t="s">
        <v>5805</v>
      </c>
      <c r="K778" s="15"/>
      <c r="M778" s="49">
        <f t="shared" si="350"/>
        <v>22.84</v>
      </c>
      <c r="N778" s="41">
        <v>9.9</v>
      </c>
      <c r="O778" s="186"/>
      <c r="P778" s="177"/>
      <c r="Q778" s="178"/>
      <c r="R778" s="178"/>
      <c r="S778" s="178" t="s">
        <v>1017</v>
      </c>
      <c r="T778" t="s">
        <v>4180</v>
      </c>
      <c r="U778" s="179"/>
      <c r="V778" s="178"/>
      <c r="W778" s="180"/>
      <c r="X778" s="180"/>
      <c r="Y778" s="178"/>
      <c r="Z778" s="180"/>
      <c r="AA778" s="184" t="s">
        <v>1017</v>
      </c>
      <c r="AB778" s="178"/>
      <c r="AC778" s="180"/>
      <c r="AD778" s="182"/>
      <c r="AE778" s="181" t="s">
        <v>1017</v>
      </c>
      <c r="AF778" s="180"/>
      <c r="AG778" s="201"/>
      <c r="AH778" s="212" t="str">
        <f t="shared" si="356"/>
        <v>2011</v>
      </c>
      <c r="AI778" s="214" t="str">
        <f t="shared" si="342"/>
        <v/>
      </c>
      <c r="AJ778" s="214" t="str">
        <f t="shared" si="343"/>
        <v/>
      </c>
      <c r="AK778" s="214" t="str">
        <f t="shared" si="344"/>
        <v/>
      </c>
      <c r="AL778" s="214" t="str">
        <f t="shared" si="345"/>
        <v/>
      </c>
      <c r="AM778" s="214" t="str">
        <f t="shared" si="346"/>
        <v/>
      </c>
      <c r="AN778" s="213" t="str">
        <f t="shared" si="329"/>
        <v>2011</v>
      </c>
      <c r="AO778" s="213" t="str">
        <f t="shared" si="330"/>
        <v>2011</v>
      </c>
      <c r="AP778" s="213" t="str">
        <f t="shared" si="331"/>
        <v>2011</v>
      </c>
      <c r="AQ778" s="215" t="str">
        <f t="shared" si="332"/>
        <v/>
      </c>
      <c r="AR778" s="216" t="str">
        <f t="shared" si="333"/>
        <v>BiK82M2bK11-04</v>
      </c>
      <c r="AS778" s="215" t="str">
        <f t="shared" si="334"/>
        <v/>
      </c>
      <c r="AT778">
        <f t="shared" si="335"/>
        <v>14</v>
      </c>
      <c r="AU778" s="216" t="str">
        <f t="shared" si="336"/>
        <v>0,15-0,5 MW, Bonusregeln M2, b und K erstmals 2011</v>
      </c>
      <c r="AV778" s="215" t="str">
        <f t="shared" si="337"/>
        <v/>
      </c>
      <c r="AW778" s="216" t="str">
        <f t="shared" si="338"/>
        <v>Anteil KWK, erstmals 2011</v>
      </c>
      <c r="AX778" s="215" t="str">
        <f t="shared" si="339"/>
        <v/>
      </c>
      <c r="AY778" t="str">
        <f t="shared" si="340"/>
        <v>x</v>
      </c>
      <c r="AZ778" t="str">
        <f t="shared" si="341"/>
        <v/>
      </c>
    </row>
    <row r="779" spans="1:52" x14ac:dyDescent="0.25">
      <c r="A779" s="625" t="s">
        <v>1535</v>
      </c>
      <c r="B779" s="219" t="s">
        <v>5548</v>
      </c>
      <c r="C779" s="219" t="s">
        <v>4809</v>
      </c>
      <c r="D779" s="219" t="s">
        <v>7178</v>
      </c>
      <c r="E779" s="219" t="s">
        <v>1980</v>
      </c>
      <c r="F779" s="455">
        <f t="shared" si="348"/>
        <v>22.810000000000002</v>
      </c>
      <c r="G779" s="530">
        <v>22.810000000000002</v>
      </c>
      <c r="H779" s="488">
        <f t="shared" si="349"/>
        <v>18.25</v>
      </c>
      <c r="I779" s="707"/>
      <c r="J779" s="669" t="s">
        <v>5805</v>
      </c>
      <c r="K779" s="15"/>
      <c r="M779" s="49">
        <f t="shared" si="350"/>
        <v>22.810000000000002</v>
      </c>
      <c r="N779" s="41">
        <v>9.9</v>
      </c>
      <c r="O779" s="186"/>
      <c r="P779" s="177"/>
      <c r="Q779" s="178"/>
      <c r="R779" s="178"/>
      <c r="S779" s="178" t="s">
        <v>4180</v>
      </c>
      <c r="T779" t="s">
        <v>1017</v>
      </c>
      <c r="U779" s="179"/>
      <c r="V779" s="178"/>
      <c r="W779" s="180"/>
      <c r="X779" s="180"/>
      <c r="Y779" s="178"/>
      <c r="Z779" s="180"/>
      <c r="AA779" s="184" t="s">
        <v>1017</v>
      </c>
      <c r="AB779" s="178"/>
      <c r="AC779" s="180"/>
      <c r="AD779" s="182"/>
      <c r="AE779" s="181" t="s">
        <v>1017</v>
      </c>
      <c r="AF779" s="180"/>
      <c r="AG779" s="201"/>
      <c r="AH779" s="217" t="s">
        <v>4179</v>
      </c>
      <c r="AI779" s="214" t="str">
        <f t="shared" si="342"/>
        <v/>
      </c>
      <c r="AJ779" s="214" t="str">
        <f t="shared" si="343"/>
        <v/>
      </c>
      <c r="AK779" s="214" t="str">
        <f t="shared" si="344"/>
        <v/>
      </c>
      <c r="AL779" s="214" t="str">
        <f t="shared" si="345"/>
        <v/>
      </c>
      <c r="AM779" s="214" t="str">
        <f t="shared" si="346"/>
        <v/>
      </c>
      <c r="AN779" s="213" t="str">
        <f t="shared" si="329"/>
        <v>2012</v>
      </c>
      <c r="AO779" s="213" t="str">
        <f t="shared" si="330"/>
        <v>2012</v>
      </c>
      <c r="AP779" s="213" t="str">
        <f t="shared" si="331"/>
        <v>2012</v>
      </c>
      <c r="AQ779" s="215" t="str">
        <f t="shared" si="332"/>
        <v/>
      </c>
      <c r="AR779" s="216" t="str">
        <f t="shared" si="333"/>
        <v>BiK82M2bK12-04</v>
      </c>
      <c r="AS779" s="215" t="str">
        <f t="shared" si="334"/>
        <v/>
      </c>
      <c r="AT779">
        <f t="shared" si="335"/>
        <v>14</v>
      </c>
      <c r="AU779" s="216" t="str">
        <f t="shared" si="336"/>
        <v>0,15-0,5 MW, Bonusregeln M2, b und K erstmals 2012</v>
      </c>
      <c r="AV779" s="215" t="str">
        <f t="shared" si="337"/>
        <v/>
      </c>
      <c r="AW779" s="216" t="str">
        <f t="shared" si="338"/>
        <v>Anteil KWK, erstmals 2012</v>
      </c>
      <c r="AX779" s="215" t="str">
        <f t="shared" si="339"/>
        <v/>
      </c>
      <c r="AY779" t="str">
        <f t="shared" si="340"/>
        <v/>
      </c>
      <c r="AZ779" t="str">
        <f t="shared" si="341"/>
        <v>x</v>
      </c>
    </row>
    <row r="780" spans="1:52" x14ac:dyDescent="0.25">
      <c r="A780" s="610" t="s">
        <v>5066</v>
      </c>
      <c r="B780" s="30" t="s">
        <v>5548</v>
      </c>
      <c r="C780" s="30" t="s">
        <v>4809</v>
      </c>
      <c r="D780" s="30" t="s">
        <v>7179</v>
      </c>
      <c r="E780" s="30" t="s">
        <v>4810</v>
      </c>
      <c r="F780" s="454">
        <f t="shared" si="348"/>
        <v>20.9</v>
      </c>
      <c r="G780" s="529">
        <v>20.9</v>
      </c>
      <c r="H780" s="487">
        <f t="shared" si="349"/>
        <v>16.72</v>
      </c>
      <c r="I780" s="706"/>
      <c r="J780" s="669" t="s">
        <v>5805</v>
      </c>
      <c r="K780" s="15"/>
      <c r="M780" s="49">
        <f t="shared" si="350"/>
        <v>20.9</v>
      </c>
      <c r="N780" s="41">
        <v>9.9</v>
      </c>
      <c r="O780" s="187"/>
      <c r="P780" s="183"/>
      <c r="Q780" s="184"/>
      <c r="R780" s="184"/>
      <c r="S780" s="184" t="s">
        <v>4180</v>
      </c>
      <c r="T780" t="s">
        <v>4180</v>
      </c>
      <c r="U780" s="185" t="s">
        <v>1017</v>
      </c>
      <c r="V780" s="184"/>
      <c r="W780" s="180"/>
      <c r="X780" s="180"/>
      <c r="Y780" s="178"/>
      <c r="Z780" s="180"/>
      <c r="AA780" s="184" t="s">
        <v>1017</v>
      </c>
      <c r="AB780" s="184"/>
      <c r="AC780" s="180"/>
      <c r="AD780" s="182"/>
      <c r="AE780" s="181" t="s">
        <v>1017</v>
      </c>
      <c r="AF780" s="180"/>
      <c r="AG780" s="201"/>
      <c r="AH780" s="212" t="str">
        <f t="shared" ref="AH780:AH785" si="357">IF(ISERROR(SEARCH("K erstmals 201",D780)),"",RIGHT(D780,4))</f>
        <v/>
      </c>
      <c r="AI780" s="214" t="str">
        <f t="shared" si="342"/>
        <v/>
      </c>
      <c r="AJ780" s="214" t="str">
        <f t="shared" si="343"/>
        <v/>
      </c>
      <c r="AK780" s="214" t="str">
        <f t="shared" si="344"/>
        <v/>
      </c>
      <c r="AL780" s="214" t="str">
        <f t="shared" si="345"/>
        <v/>
      </c>
      <c r="AM780" s="214" t="str">
        <f t="shared" si="346"/>
        <v/>
      </c>
      <c r="AN780" s="213" t="str">
        <f t="shared" si="329"/>
        <v/>
      </c>
      <c r="AO780" s="213" t="str">
        <f t="shared" si="330"/>
        <v/>
      </c>
      <c r="AP780" s="213" t="str">
        <f t="shared" si="331"/>
        <v/>
      </c>
      <c r="AQ780" s="215" t="str">
        <f t="shared" si="332"/>
        <v/>
      </c>
      <c r="AR780" s="216" t="str">
        <f t="shared" si="333"/>
        <v>BiK82M2by---04</v>
      </c>
      <c r="AS780" s="215" t="str">
        <f t="shared" si="334"/>
        <v/>
      </c>
      <c r="AT780">
        <f t="shared" si="335"/>
        <v>14</v>
      </c>
      <c r="AU780" s="216" t="str">
        <f t="shared" si="336"/>
        <v>0,15-0,5 MW, Bonusregeln M2, y, b</v>
      </c>
      <c r="AV780" s="215" t="str">
        <f t="shared" si="337"/>
        <v/>
      </c>
      <c r="AW780" s="216" t="str">
        <f t="shared" si="338"/>
        <v>Anteil Nicht-KWK</v>
      </c>
      <c r="AX780" s="215" t="str">
        <f t="shared" si="339"/>
        <v/>
      </c>
      <c r="AY780" t="str">
        <f t="shared" si="340"/>
        <v/>
      </c>
      <c r="AZ780" t="str">
        <f t="shared" si="341"/>
        <v/>
      </c>
    </row>
    <row r="781" spans="1:52" x14ac:dyDescent="0.25">
      <c r="A781" s="610" t="s">
        <v>5067</v>
      </c>
      <c r="B781" s="30" t="s">
        <v>5548</v>
      </c>
      <c r="C781" s="30" t="s">
        <v>4809</v>
      </c>
      <c r="D781" s="30" t="s">
        <v>7180</v>
      </c>
      <c r="E781" s="30" t="s">
        <v>4812</v>
      </c>
      <c r="F781" s="454">
        <f t="shared" si="348"/>
        <v>22.9</v>
      </c>
      <c r="G781" s="529">
        <v>22.9</v>
      </c>
      <c r="H781" s="487">
        <f t="shared" si="349"/>
        <v>18.32</v>
      </c>
      <c r="I781" s="706"/>
      <c r="J781" s="669" t="s">
        <v>5805</v>
      </c>
      <c r="K781" s="15"/>
      <c r="M781" s="49">
        <f t="shared" si="350"/>
        <v>22.9</v>
      </c>
      <c r="N781" s="41">
        <v>9.9</v>
      </c>
      <c r="O781" s="187" t="s">
        <v>1017</v>
      </c>
      <c r="P781" s="183"/>
      <c r="Q781" s="184"/>
      <c r="R781" s="184"/>
      <c r="S781" s="184" t="s">
        <v>4180</v>
      </c>
      <c r="T781" t="s">
        <v>4180</v>
      </c>
      <c r="U781" s="185" t="s">
        <v>1017</v>
      </c>
      <c r="V781" s="184"/>
      <c r="W781" s="180"/>
      <c r="X781" s="180"/>
      <c r="Y781" s="178"/>
      <c r="Z781" s="180"/>
      <c r="AA781" s="184" t="s">
        <v>1017</v>
      </c>
      <c r="AB781" s="184"/>
      <c r="AC781" s="180"/>
      <c r="AD781" s="182"/>
      <c r="AE781" s="181" t="s">
        <v>1017</v>
      </c>
      <c r="AF781" s="180"/>
      <c r="AG781" s="201"/>
      <c r="AH781" s="212" t="str">
        <f t="shared" si="357"/>
        <v/>
      </c>
      <c r="AI781" s="214" t="str">
        <f t="shared" si="342"/>
        <v/>
      </c>
      <c r="AJ781" s="214" t="str">
        <f t="shared" si="343"/>
        <v/>
      </c>
      <c r="AK781" s="214" t="str">
        <f t="shared" si="344"/>
        <v/>
      </c>
      <c r="AL781" s="214" t="str">
        <f t="shared" si="345"/>
        <v/>
      </c>
      <c r="AM781" s="214" t="str">
        <f t="shared" si="346"/>
        <v/>
      </c>
      <c r="AN781" s="213" t="str">
        <f t="shared" si="329"/>
        <v/>
      </c>
      <c r="AO781" s="213" t="str">
        <f t="shared" si="330"/>
        <v/>
      </c>
      <c r="AP781" s="213" t="str">
        <f t="shared" si="331"/>
        <v/>
      </c>
      <c r="AQ781" s="215" t="str">
        <f t="shared" si="332"/>
        <v/>
      </c>
      <c r="AR781" s="216" t="str">
        <f t="shared" si="333"/>
        <v>BiK82M2bKWKy04</v>
      </c>
      <c r="AS781" s="215" t="str">
        <f t="shared" si="334"/>
        <v/>
      </c>
      <c r="AT781">
        <f t="shared" si="335"/>
        <v>14</v>
      </c>
      <c r="AU781" s="216" t="str">
        <f t="shared" si="336"/>
        <v>0,15-0,5 MW, Bonusregeln M2, y, b und KWK</v>
      </c>
      <c r="AV781" s="215" t="str">
        <f t="shared" si="337"/>
        <v/>
      </c>
      <c r="AW781" s="216" t="str">
        <f t="shared" si="338"/>
        <v>Anteil KWK</v>
      </c>
      <c r="AX781" s="215" t="str">
        <f t="shared" si="339"/>
        <v/>
      </c>
      <c r="AY781" t="str">
        <f t="shared" si="340"/>
        <v/>
      </c>
      <c r="AZ781" t="str">
        <f t="shared" si="341"/>
        <v/>
      </c>
    </row>
    <row r="782" spans="1:52" x14ac:dyDescent="0.25">
      <c r="A782" s="610" t="s">
        <v>5068</v>
      </c>
      <c r="B782" s="30" t="s">
        <v>5548</v>
      </c>
      <c r="C782" s="30" t="s">
        <v>4809</v>
      </c>
      <c r="D782" s="109" t="s">
        <v>7181</v>
      </c>
      <c r="E782" s="30" t="s">
        <v>4331</v>
      </c>
      <c r="F782" s="454">
        <f t="shared" si="348"/>
        <v>23.9</v>
      </c>
      <c r="G782" s="529">
        <v>23.9</v>
      </c>
      <c r="H782" s="487">
        <f t="shared" si="349"/>
        <v>19.12</v>
      </c>
      <c r="I782" s="706"/>
      <c r="J782" s="669" t="s">
        <v>5805</v>
      </c>
      <c r="K782" s="15"/>
      <c r="M782" s="49">
        <f t="shared" si="350"/>
        <v>23.9</v>
      </c>
      <c r="N782" s="41">
        <v>9.9</v>
      </c>
      <c r="O782" s="187"/>
      <c r="P782" s="184" t="s">
        <v>1017</v>
      </c>
      <c r="Q782" s="184"/>
      <c r="R782" s="184"/>
      <c r="S782" s="184" t="s">
        <v>4180</v>
      </c>
      <c r="T782" t="s">
        <v>4180</v>
      </c>
      <c r="U782" s="185" t="s">
        <v>1017</v>
      </c>
      <c r="V782" s="184"/>
      <c r="W782" s="180"/>
      <c r="X782" s="180"/>
      <c r="Y782" s="178"/>
      <c r="Z782" s="180"/>
      <c r="AA782" s="184" t="s">
        <v>1017</v>
      </c>
      <c r="AB782" s="184"/>
      <c r="AC782" s="180"/>
      <c r="AD782" s="182"/>
      <c r="AE782" s="181" t="s">
        <v>1017</v>
      </c>
      <c r="AF782" s="180"/>
      <c r="AG782" s="201"/>
      <c r="AH782" s="212" t="str">
        <f t="shared" si="357"/>
        <v/>
      </c>
      <c r="AI782" s="214" t="str">
        <f t="shared" si="342"/>
        <v/>
      </c>
      <c r="AJ782" s="214" t="str">
        <f t="shared" si="343"/>
        <v/>
      </c>
      <c r="AK782" s="214" t="str">
        <f t="shared" si="344"/>
        <v/>
      </c>
      <c r="AL782" s="214" t="str">
        <f t="shared" si="345"/>
        <v/>
      </c>
      <c r="AM782" s="214" t="str">
        <f t="shared" si="346"/>
        <v/>
      </c>
      <c r="AN782" s="213" t="str">
        <f t="shared" si="329"/>
        <v/>
      </c>
      <c r="AO782" s="213" t="str">
        <f t="shared" si="330"/>
        <v/>
      </c>
      <c r="AP782" s="213" t="str">
        <f t="shared" si="331"/>
        <v/>
      </c>
      <c r="AQ782" s="215" t="str">
        <f t="shared" si="332"/>
        <v/>
      </c>
      <c r="AR782" s="216" t="str">
        <f t="shared" si="333"/>
        <v>BiK82M2bKA3y04</v>
      </c>
      <c r="AS782" s="215" t="str">
        <f t="shared" si="334"/>
        <v/>
      </c>
      <c r="AT782">
        <f t="shared" si="335"/>
        <v>14</v>
      </c>
      <c r="AU782" s="216" t="str">
        <f t="shared" si="336"/>
        <v>0,15-0,5 MW, Bonusregeln M2, y, b und K wenn Anlage 3 erfüllt</v>
      </c>
      <c r="AV782" s="215" t="str">
        <f t="shared" si="337"/>
        <v/>
      </c>
      <c r="AW782" s="216" t="str">
        <f t="shared" si="338"/>
        <v>Anteil KWK gemäß Anlage 3</v>
      </c>
      <c r="AX782" s="215" t="str">
        <f t="shared" si="339"/>
        <v/>
      </c>
      <c r="AY782" t="str">
        <f t="shared" si="340"/>
        <v/>
      </c>
      <c r="AZ782" t="str">
        <f t="shared" si="341"/>
        <v/>
      </c>
    </row>
    <row r="783" spans="1:52" x14ac:dyDescent="0.25">
      <c r="A783" s="610" t="s">
        <v>5069</v>
      </c>
      <c r="B783" s="30" t="s">
        <v>5548</v>
      </c>
      <c r="C783" s="30" t="s">
        <v>4809</v>
      </c>
      <c r="D783" s="30" t="s">
        <v>7182</v>
      </c>
      <c r="E783" s="30" t="s">
        <v>674</v>
      </c>
      <c r="F783" s="454">
        <f t="shared" si="348"/>
        <v>23.9</v>
      </c>
      <c r="G783" s="529">
        <v>23.9</v>
      </c>
      <c r="H783" s="487">
        <f t="shared" si="349"/>
        <v>19.12</v>
      </c>
      <c r="I783" s="706"/>
      <c r="J783" s="669" t="s">
        <v>5805</v>
      </c>
      <c r="K783" s="15"/>
      <c r="M783" s="49">
        <f t="shared" si="350"/>
        <v>23.9</v>
      </c>
      <c r="N783" s="41">
        <v>9.9</v>
      </c>
      <c r="O783" s="187"/>
      <c r="P783" s="183"/>
      <c r="Q783" s="184" t="s">
        <v>1017</v>
      </c>
      <c r="R783" s="184"/>
      <c r="S783" s="184" t="s">
        <v>4180</v>
      </c>
      <c r="T783" t="s">
        <v>4180</v>
      </c>
      <c r="U783" s="185" t="s">
        <v>1017</v>
      </c>
      <c r="V783" s="184"/>
      <c r="W783" s="180"/>
      <c r="X783" s="180"/>
      <c r="Y783" s="178"/>
      <c r="Z783" s="180"/>
      <c r="AA783" s="184" t="s">
        <v>1017</v>
      </c>
      <c r="AB783" s="184"/>
      <c r="AC783" s="180"/>
      <c r="AD783" s="182"/>
      <c r="AE783" s="181" t="s">
        <v>1017</v>
      </c>
      <c r="AF783" s="180"/>
      <c r="AG783" s="201"/>
      <c r="AH783" s="212" t="str">
        <f t="shared" si="357"/>
        <v/>
      </c>
      <c r="AI783" s="214" t="str">
        <f t="shared" si="342"/>
        <v/>
      </c>
      <c r="AJ783" s="214" t="str">
        <f t="shared" si="343"/>
        <v/>
      </c>
      <c r="AK783" s="214" t="str">
        <f t="shared" si="344"/>
        <v/>
      </c>
      <c r="AL783" s="214" t="str">
        <f t="shared" si="345"/>
        <v/>
      </c>
      <c r="AM783" s="214" t="str">
        <f t="shared" si="346"/>
        <v/>
      </c>
      <c r="AN783" s="213" t="str">
        <f t="shared" si="329"/>
        <v/>
      </c>
      <c r="AO783" s="213" t="str">
        <f t="shared" si="330"/>
        <v/>
      </c>
      <c r="AP783" s="213" t="str">
        <f t="shared" si="331"/>
        <v/>
      </c>
      <c r="AQ783" s="215" t="str">
        <f t="shared" si="332"/>
        <v/>
      </c>
      <c r="AR783" s="216" t="str">
        <f t="shared" si="333"/>
        <v>BiK82M2bK09y04</v>
      </c>
      <c r="AS783" s="215" t="str">
        <f t="shared" si="334"/>
        <v/>
      </c>
      <c r="AT783">
        <f t="shared" si="335"/>
        <v>14</v>
      </c>
      <c r="AU783" s="216" t="str">
        <f t="shared" si="336"/>
        <v>0,15-0,5 MW, Bonusregeln M2, y, b und K erstmals 2009</v>
      </c>
      <c r="AV783" s="215" t="str">
        <f t="shared" si="337"/>
        <v/>
      </c>
      <c r="AW783" s="216" t="str">
        <f t="shared" si="338"/>
        <v>Anteil KWK, erstmals 2009</v>
      </c>
      <c r="AX783" s="215" t="str">
        <f t="shared" si="339"/>
        <v/>
      </c>
      <c r="AY783" t="str">
        <f t="shared" si="340"/>
        <v/>
      </c>
      <c r="AZ783" t="str">
        <f t="shared" si="341"/>
        <v/>
      </c>
    </row>
    <row r="784" spans="1:52" x14ac:dyDescent="0.25">
      <c r="A784" s="610" t="s">
        <v>1464</v>
      </c>
      <c r="B784" s="30" t="s">
        <v>5548</v>
      </c>
      <c r="C784" s="30" t="s">
        <v>4809</v>
      </c>
      <c r="D784" s="30" t="s">
        <v>7183</v>
      </c>
      <c r="E784" s="30" t="s">
        <v>3567</v>
      </c>
      <c r="F784" s="454">
        <f t="shared" si="348"/>
        <v>23.87</v>
      </c>
      <c r="G784" s="529">
        <v>23.87</v>
      </c>
      <c r="H784" s="487">
        <f t="shared" si="349"/>
        <v>19.100000000000001</v>
      </c>
      <c r="I784" s="706"/>
      <c r="J784" s="669" t="s">
        <v>5805</v>
      </c>
      <c r="K784" s="15"/>
      <c r="M784" s="49">
        <f t="shared" si="350"/>
        <v>23.87</v>
      </c>
      <c r="N784" s="41">
        <v>9.9</v>
      </c>
      <c r="O784" s="187"/>
      <c r="P784" s="183"/>
      <c r="Q784" s="184"/>
      <c r="R784" s="184" t="s">
        <v>1017</v>
      </c>
      <c r="S784" s="184" t="s">
        <v>4180</v>
      </c>
      <c r="T784" t="s">
        <v>4180</v>
      </c>
      <c r="U784" s="185" t="s">
        <v>1017</v>
      </c>
      <c r="V784" s="184"/>
      <c r="W784" s="180"/>
      <c r="X784" s="180"/>
      <c r="Y784" s="178"/>
      <c r="Z784" s="180"/>
      <c r="AA784" s="184" t="s">
        <v>1017</v>
      </c>
      <c r="AB784" s="184"/>
      <c r="AC784" s="180"/>
      <c r="AD784" s="182"/>
      <c r="AE784" s="181" t="s">
        <v>1017</v>
      </c>
      <c r="AF784" s="180"/>
      <c r="AG784" s="201"/>
      <c r="AH784" s="212" t="str">
        <f t="shared" si="357"/>
        <v>2010</v>
      </c>
      <c r="AI784" s="214" t="str">
        <f t="shared" si="342"/>
        <v/>
      </c>
      <c r="AJ784" s="214" t="str">
        <f t="shared" si="343"/>
        <v/>
      </c>
      <c r="AK784" s="214" t="str">
        <f t="shared" si="344"/>
        <v/>
      </c>
      <c r="AL784" s="214" t="str">
        <f t="shared" si="345"/>
        <v/>
      </c>
      <c r="AM784" s="214" t="str">
        <f t="shared" si="346"/>
        <v/>
      </c>
      <c r="AN784" s="213" t="str">
        <f t="shared" si="329"/>
        <v>2010</v>
      </c>
      <c r="AO784" s="213" t="str">
        <f t="shared" si="330"/>
        <v>2010</v>
      </c>
      <c r="AP784" s="213" t="str">
        <f t="shared" si="331"/>
        <v>2010</v>
      </c>
      <c r="AQ784" s="215" t="str">
        <f t="shared" si="332"/>
        <v/>
      </c>
      <c r="AR784" s="216" t="str">
        <f t="shared" si="333"/>
        <v>BiK82M2bK10y04</v>
      </c>
      <c r="AS784" s="215" t="str">
        <f t="shared" si="334"/>
        <v/>
      </c>
      <c r="AT784">
        <f t="shared" si="335"/>
        <v>14</v>
      </c>
      <c r="AU784" s="216" t="str">
        <f t="shared" si="336"/>
        <v>0,15-0,5 MW, Bonusregeln M2, y, b und K erstmals 2010</v>
      </c>
      <c r="AV784" s="215" t="str">
        <f t="shared" si="337"/>
        <v/>
      </c>
      <c r="AW784" s="216" t="str">
        <f t="shared" si="338"/>
        <v>Anteil KWK, erstmals 2010</v>
      </c>
      <c r="AX784" s="215" t="str">
        <f t="shared" si="339"/>
        <v/>
      </c>
      <c r="AY784" t="str">
        <f t="shared" si="340"/>
        <v/>
      </c>
      <c r="AZ784" t="str">
        <f t="shared" si="341"/>
        <v/>
      </c>
    </row>
    <row r="785" spans="1:52" x14ac:dyDescent="0.25">
      <c r="A785" s="610" t="s">
        <v>5286</v>
      </c>
      <c r="B785" s="30" t="s">
        <v>5548</v>
      </c>
      <c r="C785" s="30" t="s">
        <v>4809</v>
      </c>
      <c r="D785" s="30" t="s">
        <v>7184</v>
      </c>
      <c r="E785" s="30" t="s">
        <v>3055</v>
      </c>
      <c r="F785" s="454">
        <f t="shared" si="348"/>
        <v>23.84</v>
      </c>
      <c r="G785" s="529">
        <v>23.84</v>
      </c>
      <c r="H785" s="487">
        <f t="shared" si="349"/>
        <v>19.07</v>
      </c>
      <c r="I785" s="706"/>
      <c r="J785" s="669" t="s">
        <v>5805</v>
      </c>
      <c r="K785" s="15"/>
      <c r="M785" s="49">
        <f t="shared" si="350"/>
        <v>23.84</v>
      </c>
      <c r="N785" s="41">
        <v>9.9</v>
      </c>
      <c r="O785" s="187"/>
      <c r="P785" s="183"/>
      <c r="Q785" s="184"/>
      <c r="R785" s="178"/>
      <c r="S785" s="184" t="s">
        <v>1017</v>
      </c>
      <c r="T785" t="s">
        <v>4180</v>
      </c>
      <c r="U785" s="185" t="s">
        <v>1017</v>
      </c>
      <c r="V785" s="184"/>
      <c r="W785" s="180"/>
      <c r="X785" s="180"/>
      <c r="Y785" s="178"/>
      <c r="Z785" s="180"/>
      <c r="AA785" s="184" t="s">
        <v>1017</v>
      </c>
      <c r="AB785" s="184"/>
      <c r="AC785" s="180"/>
      <c r="AD785" s="182"/>
      <c r="AE785" s="181" t="s">
        <v>1017</v>
      </c>
      <c r="AF785" s="180"/>
      <c r="AG785" s="201"/>
      <c r="AH785" s="212" t="str">
        <f t="shared" si="357"/>
        <v>2011</v>
      </c>
      <c r="AI785" s="214" t="str">
        <f t="shared" si="342"/>
        <v/>
      </c>
      <c r="AJ785" s="214" t="str">
        <f t="shared" si="343"/>
        <v/>
      </c>
      <c r="AK785" s="214" t="str">
        <f t="shared" si="344"/>
        <v/>
      </c>
      <c r="AL785" s="214" t="str">
        <f t="shared" si="345"/>
        <v/>
      </c>
      <c r="AM785" s="214" t="str">
        <f t="shared" si="346"/>
        <v/>
      </c>
      <c r="AN785" s="213" t="str">
        <f t="shared" si="329"/>
        <v>2011</v>
      </c>
      <c r="AO785" s="213" t="str">
        <f t="shared" si="330"/>
        <v>2011</v>
      </c>
      <c r="AP785" s="213" t="str">
        <f t="shared" si="331"/>
        <v>2011</v>
      </c>
      <c r="AQ785" s="215" t="str">
        <f t="shared" si="332"/>
        <v/>
      </c>
      <c r="AR785" s="216" t="str">
        <f t="shared" si="333"/>
        <v>BiK82M2bK11y04</v>
      </c>
      <c r="AS785" s="215" t="str">
        <f t="shared" si="334"/>
        <v/>
      </c>
      <c r="AT785">
        <f t="shared" si="335"/>
        <v>14</v>
      </c>
      <c r="AU785" s="216" t="str">
        <f t="shared" si="336"/>
        <v>0,15-0,5 MW, Bonusregeln M2, y, b und K erstmals 2011</v>
      </c>
      <c r="AV785" s="215" t="str">
        <f t="shared" si="337"/>
        <v/>
      </c>
      <c r="AW785" s="216" t="str">
        <f t="shared" si="338"/>
        <v>Anteil KWK, erstmals 2011</v>
      </c>
      <c r="AX785" s="215" t="str">
        <f t="shared" si="339"/>
        <v/>
      </c>
      <c r="AY785" t="str">
        <f t="shared" si="340"/>
        <v>x</v>
      </c>
      <c r="AZ785" t="str">
        <f t="shared" si="341"/>
        <v/>
      </c>
    </row>
    <row r="786" spans="1:52" x14ac:dyDescent="0.25">
      <c r="A786" s="625" t="s">
        <v>1536</v>
      </c>
      <c r="B786" s="219" t="s">
        <v>5548</v>
      </c>
      <c r="C786" s="219" t="s">
        <v>4809</v>
      </c>
      <c r="D786" s="219" t="s">
        <v>7185</v>
      </c>
      <c r="E786" s="219" t="s">
        <v>1980</v>
      </c>
      <c r="F786" s="455">
        <f t="shared" si="348"/>
        <v>23.810000000000002</v>
      </c>
      <c r="G786" s="530">
        <v>23.810000000000002</v>
      </c>
      <c r="H786" s="488">
        <f t="shared" si="349"/>
        <v>19.05</v>
      </c>
      <c r="I786" s="707"/>
      <c r="J786" s="669" t="s">
        <v>5805</v>
      </c>
      <c r="K786" s="15"/>
      <c r="M786" s="49">
        <f t="shared" si="350"/>
        <v>23.810000000000002</v>
      </c>
      <c r="N786" s="41">
        <v>9.9</v>
      </c>
      <c r="O786" s="187"/>
      <c r="P786" s="183"/>
      <c r="Q786" s="184"/>
      <c r="R786" s="178"/>
      <c r="S786" s="184" t="s">
        <v>4180</v>
      </c>
      <c r="T786" t="s">
        <v>1017</v>
      </c>
      <c r="U786" s="185" t="s">
        <v>1017</v>
      </c>
      <c r="V786" s="184"/>
      <c r="W786" s="180"/>
      <c r="X786" s="180"/>
      <c r="Y786" s="178"/>
      <c r="Z786" s="180"/>
      <c r="AA786" s="184" t="s">
        <v>1017</v>
      </c>
      <c r="AB786" s="184"/>
      <c r="AC786" s="180"/>
      <c r="AD786" s="182"/>
      <c r="AE786" s="181" t="s">
        <v>1017</v>
      </c>
      <c r="AF786" s="180"/>
      <c r="AG786" s="201"/>
      <c r="AH786" s="217" t="s">
        <v>4179</v>
      </c>
      <c r="AI786" s="214" t="str">
        <f t="shared" si="342"/>
        <v/>
      </c>
      <c r="AJ786" s="214" t="str">
        <f t="shared" si="343"/>
        <v/>
      </c>
      <c r="AK786" s="214" t="str">
        <f t="shared" si="344"/>
        <v/>
      </c>
      <c r="AL786" s="214" t="str">
        <f t="shared" si="345"/>
        <v/>
      </c>
      <c r="AM786" s="214" t="str">
        <f t="shared" si="346"/>
        <v/>
      </c>
      <c r="AN786" s="213" t="str">
        <f t="shared" si="329"/>
        <v>2012</v>
      </c>
      <c r="AO786" s="213" t="str">
        <f t="shared" si="330"/>
        <v>2012</v>
      </c>
      <c r="AP786" s="213" t="str">
        <f t="shared" si="331"/>
        <v>2012</v>
      </c>
      <c r="AQ786" s="215" t="str">
        <f t="shared" si="332"/>
        <v/>
      </c>
      <c r="AR786" s="216" t="str">
        <f t="shared" si="333"/>
        <v>BiK82M2bK12y04</v>
      </c>
      <c r="AS786" s="215" t="str">
        <f t="shared" si="334"/>
        <v/>
      </c>
      <c r="AT786">
        <f t="shared" si="335"/>
        <v>14</v>
      </c>
      <c r="AU786" s="216" t="str">
        <f t="shared" si="336"/>
        <v>0,15-0,5 MW, Bonusregeln M2, y, b und K erstmals 2012</v>
      </c>
      <c r="AV786" s="215" t="str">
        <f t="shared" si="337"/>
        <v/>
      </c>
      <c r="AW786" s="216" t="str">
        <f t="shared" si="338"/>
        <v>Anteil KWK, erstmals 2012</v>
      </c>
      <c r="AX786" s="215" t="str">
        <f t="shared" si="339"/>
        <v/>
      </c>
      <c r="AY786" t="str">
        <f t="shared" si="340"/>
        <v/>
      </c>
      <c r="AZ786" t="str">
        <f t="shared" si="341"/>
        <v>x</v>
      </c>
    </row>
    <row r="787" spans="1:52" x14ac:dyDescent="0.25">
      <c r="A787" s="610" t="s">
        <v>4375</v>
      </c>
      <c r="B787" s="30" t="s">
        <v>5548</v>
      </c>
      <c r="C787" s="30" t="s">
        <v>4809</v>
      </c>
      <c r="D787" s="30" t="s">
        <v>7186</v>
      </c>
      <c r="E787" s="30" t="s">
        <v>4810</v>
      </c>
      <c r="F787" s="454">
        <f t="shared" si="348"/>
        <v>20.9</v>
      </c>
      <c r="G787" s="529">
        <v>20.9</v>
      </c>
      <c r="H787" s="487">
        <f t="shared" si="349"/>
        <v>16.72</v>
      </c>
      <c r="I787" s="706"/>
      <c r="J787" s="669" t="s">
        <v>5805</v>
      </c>
      <c r="K787" s="15"/>
      <c r="M787" s="49">
        <f t="shared" si="350"/>
        <v>20.9</v>
      </c>
      <c r="N787" s="41">
        <v>9.9</v>
      </c>
      <c r="O787" s="186"/>
      <c r="P787" s="177"/>
      <c r="Q787" s="178"/>
      <c r="R787" s="178"/>
      <c r="S787" s="178" t="s">
        <v>4180</v>
      </c>
      <c r="T787" t="s">
        <v>4180</v>
      </c>
      <c r="U787" s="179"/>
      <c r="V787" s="178"/>
      <c r="W787" s="180"/>
      <c r="X787" s="180"/>
      <c r="Y787" s="178"/>
      <c r="Z787" s="180"/>
      <c r="AA787" s="184"/>
      <c r="AB787" s="178" t="s">
        <v>1017</v>
      </c>
      <c r="AC787" s="180"/>
      <c r="AD787" s="182"/>
      <c r="AE787" s="181" t="s">
        <v>1017</v>
      </c>
      <c r="AF787" s="180"/>
      <c r="AG787" s="201"/>
      <c r="AH787" s="212" t="str">
        <f t="shared" ref="AH787:AH792" si="358">IF(ISERROR(SEARCH("K erstmals 201",D787)),"",RIGHT(D787,4))</f>
        <v/>
      </c>
      <c r="AI787" s="214" t="str">
        <f t="shared" si="342"/>
        <v/>
      </c>
      <c r="AJ787" s="214" t="str">
        <f t="shared" si="343"/>
        <v/>
      </c>
      <c r="AK787" s="214" t="str">
        <f t="shared" si="344"/>
        <v/>
      </c>
      <c r="AL787" s="214" t="str">
        <f t="shared" si="345"/>
        <v/>
      </c>
      <c r="AM787" s="214" t="str">
        <f t="shared" si="346"/>
        <v/>
      </c>
      <c r="AN787" s="213" t="str">
        <f t="shared" si="329"/>
        <v/>
      </c>
      <c r="AO787" s="213" t="str">
        <f t="shared" si="330"/>
        <v/>
      </c>
      <c r="AP787" s="213" t="str">
        <f t="shared" si="331"/>
        <v/>
      </c>
      <c r="AQ787" s="215" t="str">
        <f t="shared" si="332"/>
        <v/>
      </c>
      <c r="AR787" s="216" t="str">
        <f t="shared" si="333"/>
        <v>BiK82Lb-----04</v>
      </c>
      <c r="AS787" s="215" t="str">
        <f t="shared" si="334"/>
        <v/>
      </c>
      <c r="AT787">
        <f t="shared" si="335"/>
        <v>14</v>
      </c>
      <c r="AU787" s="216" t="str">
        <f t="shared" si="336"/>
        <v>0,15-0,5 MW, Bonusregeln L, b</v>
      </c>
      <c r="AV787" s="215" t="str">
        <f t="shared" si="337"/>
        <v/>
      </c>
      <c r="AW787" s="216" t="str">
        <f t="shared" si="338"/>
        <v>Anteil Nicht-KWK</v>
      </c>
      <c r="AX787" s="215" t="str">
        <f t="shared" si="339"/>
        <v/>
      </c>
      <c r="AY787" t="str">
        <f t="shared" si="340"/>
        <v/>
      </c>
      <c r="AZ787" t="str">
        <f t="shared" si="341"/>
        <v/>
      </c>
    </row>
    <row r="788" spans="1:52" x14ac:dyDescent="0.25">
      <c r="A788" s="610" t="s">
        <v>4376</v>
      </c>
      <c r="B788" s="30" t="s">
        <v>5548</v>
      </c>
      <c r="C788" s="30" t="s">
        <v>4809</v>
      </c>
      <c r="D788" s="30" t="s">
        <v>7187</v>
      </c>
      <c r="E788" s="30" t="s">
        <v>4812</v>
      </c>
      <c r="F788" s="454">
        <f t="shared" si="348"/>
        <v>22.9</v>
      </c>
      <c r="G788" s="529">
        <v>22.9</v>
      </c>
      <c r="H788" s="487">
        <f t="shared" si="349"/>
        <v>18.32</v>
      </c>
      <c r="I788" s="706"/>
      <c r="J788" s="669" t="s">
        <v>5805</v>
      </c>
      <c r="K788" s="15"/>
      <c r="M788" s="49">
        <f t="shared" si="350"/>
        <v>22.9</v>
      </c>
      <c r="N788" s="41">
        <v>9.9</v>
      </c>
      <c r="O788" s="186" t="s">
        <v>1017</v>
      </c>
      <c r="P788" s="177"/>
      <c r="Q788" s="178"/>
      <c r="R788" s="178"/>
      <c r="S788" s="178" t="s">
        <v>4180</v>
      </c>
      <c r="T788" t="s">
        <v>4180</v>
      </c>
      <c r="U788" s="179"/>
      <c r="V788" s="178"/>
      <c r="W788" s="180"/>
      <c r="X788" s="180"/>
      <c r="Y788" s="178"/>
      <c r="Z788" s="180"/>
      <c r="AA788" s="184"/>
      <c r="AB788" s="178" t="s">
        <v>1017</v>
      </c>
      <c r="AC788" s="180"/>
      <c r="AD788" s="182"/>
      <c r="AE788" s="181" t="s">
        <v>1017</v>
      </c>
      <c r="AF788" s="180"/>
      <c r="AG788" s="201"/>
      <c r="AH788" s="212" t="str">
        <f t="shared" si="358"/>
        <v/>
      </c>
      <c r="AI788" s="214" t="str">
        <f t="shared" si="342"/>
        <v/>
      </c>
      <c r="AJ788" s="214" t="str">
        <f t="shared" si="343"/>
        <v/>
      </c>
      <c r="AK788" s="214" t="str">
        <f t="shared" si="344"/>
        <v/>
      </c>
      <c r="AL788" s="214" t="str">
        <f t="shared" si="345"/>
        <v/>
      </c>
      <c r="AM788" s="214" t="str">
        <f t="shared" si="346"/>
        <v/>
      </c>
      <c r="AN788" s="213" t="str">
        <f t="shared" si="329"/>
        <v/>
      </c>
      <c r="AO788" s="213" t="str">
        <f t="shared" si="330"/>
        <v/>
      </c>
      <c r="AP788" s="213" t="str">
        <f t="shared" si="331"/>
        <v/>
      </c>
      <c r="AQ788" s="215" t="str">
        <f t="shared" si="332"/>
        <v/>
      </c>
      <c r="AR788" s="216" t="str">
        <f t="shared" si="333"/>
        <v>BiK82LbKWK--04</v>
      </c>
      <c r="AS788" s="215" t="str">
        <f t="shared" si="334"/>
        <v/>
      </c>
      <c r="AT788">
        <f t="shared" si="335"/>
        <v>14</v>
      </c>
      <c r="AU788" s="216" t="str">
        <f t="shared" si="336"/>
        <v>0,15-0,5 MW, Bonusregeln L, b und KWK</v>
      </c>
      <c r="AV788" s="215" t="str">
        <f t="shared" si="337"/>
        <v/>
      </c>
      <c r="AW788" s="216" t="str">
        <f t="shared" si="338"/>
        <v>Anteil KWK</v>
      </c>
      <c r="AX788" s="215" t="str">
        <f t="shared" si="339"/>
        <v/>
      </c>
      <c r="AY788" t="str">
        <f t="shared" si="340"/>
        <v/>
      </c>
      <c r="AZ788" t="str">
        <f t="shared" si="341"/>
        <v/>
      </c>
    </row>
    <row r="789" spans="1:52" x14ac:dyDescent="0.25">
      <c r="A789" s="610" t="s">
        <v>4377</v>
      </c>
      <c r="B789" s="30" t="s">
        <v>5548</v>
      </c>
      <c r="C789" s="30" t="s">
        <v>4809</v>
      </c>
      <c r="D789" s="30" t="s">
        <v>7188</v>
      </c>
      <c r="E789" s="30" t="s">
        <v>4331</v>
      </c>
      <c r="F789" s="454">
        <f t="shared" si="348"/>
        <v>23.9</v>
      </c>
      <c r="G789" s="529">
        <v>23.9</v>
      </c>
      <c r="H789" s="487">
        <f t="shared" si="349"/>
        <v>19.12</v>
      </c>
      <c r="I789" s="706"/>
      <c r="J789" s="669" t="s">
        <v>5805</v>
      </c>
      <c r="K789" s="15"/>
      <c r="M789" s="49">
        <f t="shared" si="350"/>
        <v>23.9</v>
      </c>
      <c r="N789" s="41">
        <v>9.9</v>
      </c>
      <c r="O789" s="186"/>
      <c r="P789" s="178" t="s">
        <v>1017</v>
      </c>
      <c r="Q789" s="178"/>
      <c r="R789" s="178"/>
      <c r="S789" s="178" t="s">
        <v>4180</v>
      </c>
      <c r="T789" t="s">
        <v>4180</v>
      </c>
      <c r="U789" s="179"/>
      <c r="V789" s="178"/>
      <c r="W789" s="180"/>
      <c r="X789" s="180"/>
      <c r="Y789" s="178"/>
      <c r="Z789" s="180"/>
      <c r="AA789" s="184"/>
      <c r="AB789" s="178" t="s">
        <v>1017</v>
      </c>
      <c r="AC789" s="180"/>
      <c r="AD789" s="182"/>
      <c r="AE789" s="181" t="s">
        <v>1017</v>
      </c>
      <c r="AF789" s="180"/>
      <c r="AG789" s="201"/>
      <c r="AH789" s="212" t="str">
        <f t="shared" si="358"/>
        <v/>
      </c>
      <c r="AI789" s="214" t="str">
        <f t="shared" si="342"/>
        <v/>
      </c>
      <c r="AJ789" s="214" t="str">
        <f t="shared" si="343"/>
        <v/>
      </c>
      <c r="AK789" s="214" t="str">
        <f t="shared" si="344"/>
        <v/>
      </c>
      <c r="AL789" s="214" t="str">
        <f t="shared" si="345"/>
        <v/>
      </c>
      <c r="AM789" s="214" t="str">
        <f t="shared" si="346"/>
        <v/>
      </c>
      <c r="AN789" s="213" t="str">
        <f t="shared" si="329"/>
        <v/>
      </c>
      <c r="AO789" s="213" t="str">
        <f t="shared" si="330"/>
        <v/>
      </c>
      <c r="AP789" s="213" t="str">
        <f t="shared" si="331"/>
        <v/>
      </c>
      <c r="AQ789" s="215" t="str">
        <f t="shared" si="332"/>
        <v/>
      </c>
      <c r="AR789" s="216" t="str">
        <f t="shared" si="333"/>
        <v>BiK82LbKA3--04</v>
      </c>
      <c r="AS789" s="215" t="str">
        <f t="shared" si="334"/>
        <v/>
      </c>
      <c r="AT789">
        <f t="shared" si="335"/>
        <v>14</v>
      </c>
      <c r="AU789" s="216" t="str">
        <f t="shared" si="336"/>
        <v>0,15-0,5 MW, Bonusregeln L, b und K wenn Anlage 3 erfüllt</v>
      </c>
      <c r="AV789" s="215" t="str">
        <f t="shared" si="337"/>
        <v/>
      </c>
      <c r="AW789" s="216" t="str">
        <f t="shared" si="338"/>
        <v>Anteil KWK gemäß Anlage 3</v>
      </c>
      <c r="AX789" s="215" t="str">
        <f t="shared" si="339"/>
        <v/>
      </c>
      <c r="AY789" t="str">
        <f t="shared" si="340"/>
        <v/>
      </c>
      <c r="AZ789" t="str">
        <f t="shared" si="341"/>
        <v/>
      </c>
    </row>
    <row r="790" spans="1:52" x14ac:dyDescent="0.25">
      <c r="A790" s="610" t="s">
        <v>4378</v>
      </c>
      <c r="B790" s="30" t="s">
        <v>5548</v>
      </c>
      <c r="C790" s="30" t="s">
        <v>4809</v>
      </c>
      <c r="D790" s="30" t="s">
        <v>7189</v>
      </c>
      <c r="E790" s="30" t="s">
        <v>674</v>
      </c>
      <c r="F790" s="454">
        <f t="shared" si="348"/>
        <v>23.9</v>
      </c>
      <c r="G790" s="529">
        <v>23.9</v>
      </c>
      <c r="H790" s="487">
        <f t="shared" si="349"/>
        <v>19.12</v>
      </c>
      <c r="I790" s="706"/>
      <c r="J790" s="669" t="s">
        <v>5805</v>
      </c>
      <c r="K790" s="15"/>
      <c r="M790" s="49">
        <f t="shared" si="350"/>
        <v>23.9</v>
      </c>
      <c r="N790" s="41">
        <v>9.9</v>
      </c>
      <c r="O790" s="186"/>
      <c r="P790" s="177"/>
      <c r="Q790" s="178" t="s">
        <v>1017</v>
      </c>
      <c r="R790" s="178"/>
      <c r="S790" s="178" t="s">
        <v>4180</v>
      </c>
      <c r="T790" t="s">
        <v>4180</v>
      </c>
      <c r="U790" s="179"/>
      <c r="V790" s="178"/>
      <c r="W790" s="180"/>
      <c r="X790" s="180"/>
      <c r="Y790" s="178"/>
      <c r="Z790" s="180"/>
      <c r="AA790" s="184"/>
      <c r="AB790" s="178" t="s">
        <v>1017</v>
      </c>
      <c r="AC790" s="180"/>
      <c r="AD790" s="182"/>
      <c r="AE790" s="181" t="s">
        <v>1017</v>
      </c>
      <c r="AF790" s="180"/>
      <c r="AG790" s="201"/>
      <c r="AH790" s="212" t="str">
        <f t="shared" si="358"/>
        <v/>
      </c>
      <c r="AI790" s="214" t="str">
        <f t="shared" si="342"/>
        <v/>
      </c>
      <c r="AJ790" s="214" t="str">
        <f t="shared" si="343"/>
        <v/>
      </c>
      <c r="AK790" s="214" t="str">
        <f t="shared" si="344"/>
        <v/>
      </c>
      <c r="AL790" s="214" t="str">
        <f t="shared" si="345"/>
        <v/>
      </c>
      <c r="AM790" s="214" t="str">
        <f t="shared" si="346"/>
        <v/>
      </c>
      <c r="AN790" s="213" t="str">
        <f t="shared" si="329"/>
        <v/>
      </c>
      <c r="AO790" s="213" t="str">
        <f t="shared" si="330"/>
        <v/>
      </c>
      <c r="AP790" s="213" t="str">
        <f t="shared" si="331"/>
        <v/>
      </c>
      <c r="AQ790" s="215" t="str">
        <f t="shared" si="332"/>
        <v/>
      </c>
      <c r="AR790" s="216" t="str">
        <f t="shared" si="333"/>
        <v>BiK82LbK09--04</v>
      </c>
      <c r="AS790" s="215" t="str">
        <f t="shared" si="334"/>
        <v/>
      </c>
      <c r="AT790">
        <f t="shared" si="335"/>
        <v>14</v>
      </c>
      <c r="AU790" s="216" t="str">
        <f t="shared" si="336"/>
        <v>0,15-0,5 MW, Bonusregeln L, b und K erstmals 2009</v>
      </c>
      <c r="AV790" s="215" t="str">
        <f t="shared" si="337"/>
        <v/>
      </c>
      <c r="AW790" s="216" t="str">
        <f t="shared" si="338"/>
        <v>Anteil KWK, erstmals 2009</v>
      </c>
      <c r="AX790" s="215" t="str">
        <f t="shared" si="339"/>
        <v/>
      </c>
      <c r="AY790" t="str">
        <f t="shared" si="340"/>
        <v/>
      </c>
      <c r="AZ790" t="str">
        <f t="shared" si="341"/>
        <v/>
      </c>
    </row>
    <row r="791" spans="1:52" x14ac:dyDescent="0.25">
      <c r="A791" s="610" t="s">
        <v>1465</v>
      </c>
      <c r="B791" s="30" t="s">
        <v>5548</v>
      </c>
      <c r="C791" s="30" t="s">
        <v>4809</v>
      </c>
      <c r="D791" s="30" t="s">
        <v>7190</v>
      </c>
      <c r="E791" s="30" t="s">
        <v>3567</v>
      </c>
      <c r="F791" s="454">
        <f t="shared" si="348"/>
        <v>23.87</v>
      </c>
      <c r="G791" s="529">
        <v>23.87</v>
      </c>
      <c r="H791" s="487">
        <f t="shared" si="349"/>
        <v>19.100000000000001</v>
      </c>
      <c r="I791" s="706"/>
      <c r="J791" s="669" t="s">
        <v>5805</v>
      </c>
      <c r="K791" s="15"/>
      <c r="M791" s="49">
        <f t="shared" si="350"/>
        <v>23.87</v>
      </c>
      <c r="N791" s="41">
        <v>9.9</v>
      </c>
      <c r="O791" s="186"/>
      <c r="P791" s="177"/>
      <c r="Q791" s="178"/>
      <c r="R791" s="178" t="s">
        <v>1017</v>
      </c>
      <c r="S791" s="178" t="s">
        <v>4180</v>
      </c>
      <c r="T791" t="s">
        <v>4180</v>
      </c>
      <c r="U791" s="179"/>
      <c r="V791" s="178"/>
      <c r="W791" s="180"/>
      <c r="X791" s="180"/>
      <c r="Y791" s="178"/>
      <c r="Z791" s="180"/>
      <c r="AA791" s="184"/>
      <c r="AB791" s="178" t="s">
        <v>1017</v>
      </c>
      <c r="AC791" s="180"/>
      <c r="AD791" s="182"/>
      <c r="AE791" s="181" t="s">
        <v>1017</v>
      </c>
      <c r="AF791" s="180"/>
      <c r="AG791" s="201"/>
      <c r="AH791" s="212" t="str">
        <f t="shared" si="358"/>
        <v>2010</v>
      </c>
      <c r="AI791" s="214" t="str">
        <f t="shared" si="342"/>
        <v/>
      </c>
      <c r="AJ791" s="214" t="str">
        <f t="shared" si="343"/>
        <v/>
      </c>
      <c r="AK791" s="214" t="str">
        <f t="shared" si="344"/>
        <v/>
      </c>
      <c r="AL791" s="214" t="str">
        <f t="shared" si="345"/>
        <v/>
      </c>
      <c r="AM791" s="214" t="str">
        <f t="shared" si="346"/>
        <v/>
      </c>
      <c r="AN791" s="213" t="str">
        <f t="shared" ref="AN791:AN854" si="359">IF(ISERROR(SEARCH("K1",A791)),"","20"&amp;MID(A791,SEARCH("K1",A791)+1,2))</f>
        <v>2010</v>
      </c>
      <c r="AO791" s="213" t="str">
        <f t="shared" ref="AO791:AO854" si="360">IF(ISERROR(SEARCH("erstmals 201",E791)),"",MID(E791,SEARCH("erstmals ",E791)+9,4))</f>
        <v>2010</v>
      </c>
      <c r="AP791" s="213" t="str">
        <f t="shared" ref="AP791:AP854" si="361">IF(R791="x","2010",IF(S791="x","2011",IF(T791="x","2012","")))</f>
        <v>2010</v>
      </c>
      <c r="AQ791" s="215" t="str">
        <f t="shared" ref="AQ791:AQ854" si="362">IF(OR(AH791&lt;&gt;AN791,AH791&lt;&gt;AO791,AH791&lt;&gt;AP791),"DIFF","")</f>
        <v/>
      </c>
      <c r="AR791" s="216" t="str">
        <f t="shared" ref="AR791:AR854" si="363">IF(A791="","",IF(ISERROR(SEARCH("K1",A791)),A791,LEFT(A791,SEARCH("K1",A791)+1)&amp;RIGHT(AH791,1)&amp;MID(A791,SEARCH("K1",A791)+3,14)))</f>
        <v>BiK82LbK10--04</v>
      </c>
      <c r="AS791" s="215" t="str">
        <f t="shared" ref="AS791:AS854" si="364">IF(OR(A791&lt;&gt;AR791),"DIFF","")</f>
        <v/>
      </c>
      <c r="AT791">
        <f t="shared" ref="AT791:AT854" si="365">LEN(AR791)</f>
        <v>14</v>
      </c>
      <c r="AU791" s="216" t="str">
        <f t="shared" ref="AU791:AU854" si="366">IF(D791="","",IF(OR(A791="",ISERROR(SEARCH("erstmals 201",D791))),D791,LEFT(D791,SEARCH("erstmals 201",D791)+8) &amp; AH791 &amp; MID(D791,SEARCH("erstmals 201",D791)+13,255)))</f>
        <v>0,15-0,5 MW, Bonusregeln L, b und K erstmals 2010</v>
      </c>
      <c r="AV791" s="215" t="str">
        <f t="shared" ref="AV791:AV854" si="367">IF(OR(D791&lt;&gt;AU791),"DIFF","")</f>
        <v/>
      </c>
      <c r="AW791" s="216" t="str">
        <f t="shared" ref="AW791:AW854" si="368">IF(E791="","",IF(OR(E791="",ISERROR(SEARCH("erstmals 201",E791))),E791,LEFT(E791,SEARCH("erstmals 201",E791)+8) &amp; AH791 &amp; MID(E791,SEARCH("erstmals 201",E791)+13,255)))</f>
        <v>Anteil KWK, erstmals 2010</v>
      </c>
      <c r="AX791" s="215" t="str">
        <f t="shared" ref="AX791:AX854" si="369">IF(OR(E791&lt;&gt;AW791),"DIFF","")</f>
        <v/>
      </c>
      <c r="AY791" t="str">
        <f t="shared" ref="AY791:AY854" si="370">IF(AH791="2011","x",IF(AH791="2012","","" &amp; S791))</f>
        <v/>
      </c>
      <c r="AZ791" t="str">
        <f t="shared" ref="AZ791:AZ854" si="371">IF(AH791="2012","x",IF(AH791="2011","","" &amp; T791))</f>
        <v/>
      </c>
    </row>
    <row r="792" spans="1:52" x14ac:dyDescent="0.25">
      <c r="A792" s="610" t="s">
        <v>5287</v>
      </c>
      <c r="B792" s="30" t="s">
        <v>5548</v>
      </c>
      <c r="C792" s="30" t="s">
        <v>4809</v>
      </c>
      <c r="D792" s="30" t="s">
        <v>7191</v>
      </c>
      <c r="E792" s="30" t="s">
        <v>3055</v>
      </c>
      <c r="F792" s="454">
        <f t="shared" si="348"/>
        <v>23.84</v>
      </c>
      <c r="G792" s="529">
        <v>23.84</v>
      </c>
      <c r="H792" s="487">
        <f t="shared" si="349"/>
        <v>19.07</v>
      </c>
      <c r="I792" s="706"/>
      <c r="J792" s="669" t="s">
        <v>5805</v>
      </c>
      <c r="K792" s="15"/>
      <c r="M792" s="49">
        <f t="shared" si="350"/>
        <v>23.84</v>
      </c>
      <c r="N792" s="41">
        <v>9.9</v>
      </c>
      <c r="O792" s="186"/>
      <c r="P792" s="177"/>
      <c r="Q792" s="178"/>
      <c r="R792" s="178"/>
      <c r="S792" s="178" t="s">
        <v>1017</v>
      </c>
      <c r="T792" t="s">
        <v>4180</v>
      </c>
      <c r="U792" s="179"/>
      <c r="V792" s="178"/>
      <c r="W792" s="180"/>
      <c r="X792" s="180"/>
      <c r="Y792" s="178"/>
      <c r="Z792" s="180"/>
      <c r="AA792" s="184"/>
      <c r="AB792" s="178" t="s">
        <v>1017</v>
      </c>
      <c r="AC792" s="180"/>
      <c r="AD792" s="182"/>
      <c r="AE792" s="181" t="s">
        <v>1017</v>
      </c>
      <c r="AF792" s="180"/>
      <c r="AG792" s="201"/>
      <c r="AH792" s="212" t="str">
        <f t="shared" si="358"/>
        <v>2011</v>
      </c>
      <c r="AI792" s="214" t="str">
        <f t="shared" si="342"/>
        <v/>
      </c>
      <c r="AJ792" s="214" t="str">
        <f t="shared" si="343"/>
        <v/>
      </c>
      <c r="AK792" s="214" t="str">
        <f t="shared" si="344"/>
        <v/>
      </c>
      <c r="AL792" s="214" t="str">
        <f t="shared" si="345"/>
        <v/>
      </c>
      <c r="AM792" s="214" t="str">
        <f t="shared" si="346"/>
        <v/>
      </c>
      <c r="AN792" s="213" t="str">
        <f t="shared" si="359"/>
        <v>2011</v>
      </c>
      <c r="AO792" s="213" t="str">
        <f t="shared" si="360"/>
        <v>2011</v>
      </c>
      <c r="AP792" s="213" t="str">
        <f t="shared" si="361"/>
        <v>2011</v>
      </c>
      <c r="AQ792" s="215" t="str">
        <f t="shared" si="362"/>
        <v/>
      </c>
      <c r="AR792" s="216" t="str">
        <f t="shared" si="363"/>
        <v>BiK82LbK11--04</v>
      </c>
      <c r="AS792" s="215" t="str">
        <f t="shared" si="364"/>
        <v/>
      </c>
      <c r="AT792">
        <f t="shared" si="365"/>
        <v>14</v>
      </c>
      <c r="AU792" s="216" t="str">
        <f t="shared" si="366"/>
        <v>0,15-0,5 MW, Bonusregeln L, b und K erstmals 2011</v>
      </c>
      <c r="AV792" s="215" t="str">
        <f t="shared" si="367"/>
        <v/>
      </c>
      <c r="AW792" s="216" t="str">
        <f t="shared" si="368"/>
        <v>Anteil KWK, erstmals 2011</v>
      </c>
      <c r="AX792" s="215" t="str">
        <f t="shared" si="369"/>
        <v/>
      </c>
      <c r="AY792" t="str">
        <f t="shared" si="370"/>
        <v>x</v>
      </c>
      <c r="AZ792" t="str">
        <f t="shared" si="371"/>
        <v/>
      </c>
    </row>
    <row r="793" spans="1:52" x14ac:dyDescent="0.25">
      <c r="A793" s="625" t="s">
        <v>1537</v>
      </c>
      <c r="B793" s="219" t="s">
        <v>5548</v>
      </c>
      <c r="C793" s="219" t="s">
        <v>4809</v>
      </c>
      <c r="D793" s="219" t="s">
        <v>7192</v>
      </c>
      <c r="E793" s="219" t="s">
        <v>1980</v>
      </c>
      <c r="F793" s="455">
        <f t="shared" si="348"/>
        <v>23.810000000000002</v>
      </c>
      <c r="G793" s="530">
        <v>23.810000000000002</v>
      </c>
      <c r="H793" s="488">
        <f t="shared" si="349"/>
        <v>19.05</v>
      </c>
      <c r="I793" s="707"/>
      <c r="J793" s="669" t="s">
        <v>5805</v>
      </c>
      <c r="K793" s="15"/>
      <c r="M793" s="49">
        <f t="shared" si="350"/>
        <v>23.810000000000002</v>
      </c>
      <c r="N793" s="41">
        <v>9.9</v>
      </c>
      <c r="O793" s="186"/>
      <c r="P793" s="177"/>
      <c r="Q793" s="178"/>
      <c r="R793" s="178"/>
      <c r="S793" s="178" t="s">
        <v>4180</v>
      </c>
      <c r="T793" t="s">
        <v>1017</v>
      </c>
      <c r="U793" s="179"/>
      <c r="V793" s="178"/>
      <c r="W793" s="180"/>
      <c r="X793" s="180"/>
      <c r="Y793" s="178"/>
      <c r="Z793" s="180"/>
      <c r="AA793" s="184"/>
      <c r="AB793" s="178" t="s">
        <v>1017</v>
      </c>
      <c r="AC793" s="180"/>
      <c r="AD793" s="182"/>
      <c r="AE793" s="181" t="s">
        <v>1017</v>
      </c>
      <c r="AF793" s="180"/>
      <c r="AG793" s="201"/>
      <c r="AH793" s="217" t="s">
        <v>4179</v>
      </c>
      <c r="AI793" s="214" t="str">
        <f t="shared" si="342"/>
        <v/>
      </c>
      <c r="AJ793" s="214" t="str">
        <f t="shared" si="343"/>
        <v/>
      </c>
      <c r="AK793" s="214" t="str">
        <f t="shared" si="344"/>
        <v/>
      </c>
      <c r="AL793" s="214" t="str">
        <f t="shared" si="345"/>
        <v/>
      </c>
      <c r="AM793" s="214" t="str">
        <f t="shared" si="346"/>
        <v/>
      </c>
      <c r="AN793" s="213" t="str">
        <f t="shared" si="359"/>
        <v>2012</v>
      </c>
      <c r="AO793" s="213" t="str">
        <f t="shared" si="360"/>
        <v>2012</v>
      </c>
      <c r="AP793" s="213" t="str">
        <f t="shared" si="361"/>
        <v>2012</v>
      </c>
      <c r="AQ793" s="215" t="str">
        <f t="shared" si="362"/>
        <v/>
      </c>
      <c r="AR793" s="216" t="str">
        <f t="shared" si="363"/>
        <v>BiK82LbK12--04</v>
      </c>
      <c r="AS793" s="215" t="str">
        <f t="shared" si="364"/>
        <v/>
      </c>
      <c r="AT793">
        <f t="shared" si="365"/>
        <v>14</v>
      </c>
      <c r="AU793" s="216" t="str">
        <f t="shared" si="366"/>
        <v>0,15-0,5 MW, Bonusregeln L, b und K erstmals 2012</v>
      </c>
      <c r="AV793" s="215" t="str">
        <f t="shared" si="367"/>
        <v/>
      </c>
      <c r="AW793" s="216" t="str">
        <f t="shared" si="368"/>
        <v>Anteil KWK, erstmals 2012</v>
      </c>
      <c r="AX793" s="215" t="str">
        <f t="shared" si="369"/>
        <v/>
      </c>
      <c r="AY793" t="str">
        <f t="shared" si="370"/>
        <v/>
      </c>
      <c r="AZ793" t="str">
        <f t="shared" si="371"/>
        <v>x</v>
      </c>
    </row>
    <row r="794" spans="1:52" x14ac:dyDescent="0.25">
      <c r="A794" s="610" t="s">
        <v>4379</v>
      </c>
      <c r="B794" s="30" t="s">
        <v>5548</v>
      </c>
      <c r="C794" s="30" t="s">
        <v>4809</v>
      </c>
      <c r="D794" s="30" t="s">
        <v>7193</v>
      </c>
      <c r="E794" s="30" t="s">
        <v>4810</v>
      </c>
      <c r="F794" s="454">
        <f t="shared" si="348"/>
        <v>21.9</v>
      </c>
      <c r="G794" s="529">
        <v>21.9</v>
      </c>
      <c r="H794" s="487">
        <f t="shared" si="349"/>
        <v>17.52</v>
      </c>
      <c r="I794" s="706"/>
      <c r="J794" s="669" t="s">
        <v>5805</v>
      </c>
      <c r="K794" s="15"/>
      <c r="M794" s="49">
        <f t="shared" si="350"/>
        <v>21.9</v>
      </c>
      <c r="N794" s="41">
        <v>9.9</v>
      </c>
      <c r="O794" s="187"/>
      <c r="P794" s="183"/>
      <c r="Q794" s="184"/>
      <c r="R794" s="184"/>
      <c r="S794" s="184" t="s">
        <v>4180</v>
      </c>
      <c r="T794" t="s">
        <v>4180</v>
      </c>
      <c r="U794" s="185" t="s">
        <v>1017</v>
      </c>
      <c r="V794" s="184"/>
      <c r="W794" s="180"/>
      <c r="X794" s="180"/>
      <c r="Y794" s="178"/>
      <c r="Z794" s="180"/>
      <c r="AA794" s="184"/>
      <c r="AB794" s="184" t="s">
        <v>1017</v>
      </c>
      <c r="AC794" s="180"/>
      <c r="AD794" s="182"/>
      <c r="AE794" s="181" t="s">
        <v>1017</v>
      </c>
      <c r="AF794" s="180"/>
      <c r="AG794" s="201"/>
      <c r="AH794" s="212" t="str">
        <f t="shared" ref="AH794:AH799" si="372">IF(ISERROR(SEARCH("K erstmals 201",D794)),"",RIGHT(D794,4))</f>
        <v/>
      </c>
      <c r="AI794" s="214" t="str">
        <f t="shared" ref="AI794:AI857" si="373">IF(AND($AH794&lt;&gt;"",AH794 =AH793),"Gleich","")</f>
        <v/>
      </c>
      <c r="AJ794" s="214" t="str">
        <f t="shared" ref="AJ794:AJ861" si="374">IF(AND($AH794&lt;&gt;"",A794 =A793),"Gleich","")</f>
        <v/>
      </c>
      <c r="AK794" s="214" t="str">
        <f t="shared" ref="AK794:AK861" si="375">IF(AND($AH794&lt;&gt;"",D794 =D793),"Gleich","")</f>
        <v/>
      </c>
      <c r="AL794" s="214" t="str">
        <f t="shared" ref="AL794:AL861" si="376">IF(AND($AH794&lt;&gt;"",E794 =E793),"Gleich","")</f>
        <v/>
      </c>
      <c r="AM794" s="214" t="str">
        <f t="shared" ref="AM794:AM861" si="377">IF(AND($AH794&lt;&gt;"",F794 =F793),"Gleich","")</f>
        <v/>
      </c>
      <c r="AN794" s="213" t="str">
        <f t="shared" si="359"/>
        <v/>
      </c>
      <c r="AO794" s="213" t="str">
        <f t="shared" si="360"/>
        <v/>
      </c>
      <c r="AP794" s="213" t="str">
        <f t="shared" si="361"/>
        <v/>
      </c>
      <c r="AQ794" s="215" t="str">
        <f t="shared" si="362"/>
        <v/>
      </c>
      <c r="AR794" s="216" t="str">
        <f t="shared" si="363"/>
        <v>BiK82Lby----04</v>
      </c>
      <c r="AS794" s="215" t="str">
        <f t="shared" si="364"/>
        <v/>
      </c>
      <c r="AT794">
        <f t="shared" si="365"/>
        <v>14</v>
      </c>
      <c r="AU794" s="216" t="str">
        <f t="shared" si="366"/>
        <v>0,15-0,5 MW, Bonusregeln L, y, b</v>
      </c>
      <c r="AV794" s="215" t="str">
        <f t="shared" si="367"/>
        <v/>
      </c>
      <c r="AW794" s="216" t="str">
        <f t="shared" si="368"/>
        <v>Anteil Nicht-KWK</v>
      </c>
      <c r="AX794" s="215" t="str">
        <f t="shared" si="369"/>
        <v/>
      </c>
      <c r="AY794" t="str">
        <f t="shared" si="370"/>
        <v/>
      </c>
      <c r="AZ794" t="str">
        <f t="shared" si="371"/>
        <v/>
      </c>
    </row>
    <row r="795" spans="1:52" x14ac:dyDescent="0.25">
      <c r="A795" s="610" t="s">
        <v>4380</v>
      </c>
      <c r="B795" s="30" t="s">
        <v>5548</v>
      </c>
      <c r="C795" s="30" t="s">
        <v>4809</v>
      </c>
      <c r="D795" s="30" t="s">
        <v>7194</v>
      </c>
      <c r="E795" s="30" t="s">
        <v>4812</v>
      </c>
      <c r="F795" s="454">
        <f t="shared" si="348"/>
        <v>23.9</v>
      </c>
      <c r="G795" s="529">
        <v>23.9</v>
      </c>
      <c r="H795" s="487">
        <f t="shared" si="349"/>
        <v>19.12</v>
      </c>
      <c r="I795" s="706"/>
      <c r="J795" s="669" t="s">
        <v>5805</v>
      </c>
      <c r="K795" s="15"/>
      <c r="M795" s="49">
        <f t="shared" si="350"/>
        <v>23.9</v>
      </c>
      <c r="N795" s="41">
        <v>9.9</v>
      </c>
      <c r="O795" s="187" t="s">
        <v>1017</v>
      </c>
      <c r="P795" s="183"/>
      <c r="Q795" s="184"/>
      <c r="R795" s="184"/>
      <c r="S795" s="184" t="s">
        <v>4180</v>
      </c>
      <c r="T795" t="s">
        <v>4180</v>
      </c>
      <c r="U795" s="185" t="s">
        <v>1017</v>
      </c>
      <c r="V795" s="184"/>
      <c r="W795" s="180"/>
      <c r="X795" s="180"/>
      <c r="Y795" s="178"/>
      <c r="Z795" s="180"/>
      <c r="AA795" s="184"/>
      <c r="AB795" s="184" t="s">
        <v>1017</v>
      </c>
      <c r="AC795" s="180"/>
      <c r="AD795" s="182"/>
      <c r="AE795" s="181" t="s">
        <v>1017</v>
      </c>
      <c r="AF795" s="180"/>
      <c r="AG795" s="201"/>
      <c r="AH795" s="212" t="str">
        <f t="shared" si="372"/>
        <v/>
      </c>
      <c r="AI795" s="214" t="str">
        <f t="shared" si="373"/>
        <v/>
      </c>
      <c r="AJ795" s="214" t="str">
        <f t="shared" si="374"/>
        <v/>
      </c>
      <c r="AK795" s="214" t="str">
        <f t="shared" si="375"/>
        <v/>
      </c>
      <c r="AL795" s="214" t="str">
        <f t="shared" si="376"/>
        <v/>
      </c>
      <c r="AM795" s="214" t="str">
        <f t="shared" si="377"/>
        <v/>
      </c>
      <c r="AN795" s="213" t="str">
        <f t="shared" si="359"/>
        <v/>
      </c>
      <c r="AO795" s="213" t="str">
        <f t="shared" si="360"/>
        <v/>
      </c>
      <c r="AP795" s="213" t="str">
        <f t="shared" si="361"/>
        <v/>
      </c>
      <c r="AQ795" s="215" t="str">
        <f t="shared" si="362"/>
        <v/>
      </c>
      <c r="AR795" s="216" t="str">
        <f t="shared" si="363"/>
        <v>BiK82LbKWKy-04</v>
      </c>
      <c r="AS795" s="215" t="str">
        <f t="shared" si="364"/>
        <v/>
      </c>
      <c r="AT795">
        <f t="shared" si="365"/>
        <v>14</v>
      </c>
      <c r="AU795" s="216" t="str">
        <f t="shared" si="366"/>
        <v>0,15-0,5 MW, Bonusregeln L, y, b und KWK</v>
      </c>
      <c r="AV795" s="215" t="str">
        <f t="shared" si="367"/>
        <v/>
      </c>
      <c r="AW795" s="216" t="str">
        <f t="shared" si="368"/>
        <v>Anteil KWK</v>
      </c>
      <c r="AX795" s="215" t="str">
        <f t="shared" si="369"/>
        <v/>
      </c>
      <c r="AY795" t="str">
        <f t="shared" si="370"/>
        <v/>
      </c>
      <c r="AZ795" t="str">
        <f t="shared" si="371"/>
        <v/>
      </c>
    </row>
    <row r="796" spans="1:52" x14ac:dyDescent="0.25">
      <c r="A796" s="610" t="s">
        <v>4381</v>
      </c>
      <c r="B796" s="30" t="s">
        <v>5548</v>
      </c>
      <c r="C796" s="30" t="s">
        <v>4809</v>
      </c>
      <c r="D796" s="109" t="s">
        <v>7195</v>
      </c>
      <c r="E796" s="30" t="s">
        <v>4331</v>
      </c>
      <c r="F796" s="454">
        <f t="shared" si="348"/>
        <v>24.9</v>
      </c>
      <c r="G796" s="529">
        <v>24.9</v>
      </c>
      <c r="H796" s="487">
        <f t="shared" si="349"/>
        <v>19.920000000000002</v>
      </c>
      <c r="I796" s="706"/>
      <c r="J796" s="669" t="s">
        <v>5805</v>
      </c>
      <c r="K796" s="15"/>
      <c r="M796" s="49">
        <f t="shared" si="350"/>
        <v>24.9</v>
      </c>
      <c r="N796" s="41">
        <v>9.9</v>
      </c>
      <c r="O796" s="187"/>
      <c r="P796" s="184" t="s">
        <v>1017</v>
      </c>
      <c r="Q796" s="184"/>
      <c r="R796" s="184"/>
      <c r="S796" s="184" t="s">
        <v>4180</v>
      </c>
      <c r="T796" t="s">
        <v>4180</v>
      </c>
      <c r="U796" s="185" t="s">
        <v>1017</v>
      </c>
      <c r="V796" s="184"/>
      <c r="W796" s="180"/>
      <c r="X796" s="180"/>
      <c r="Y796" s="178"/>
      <c r="Z796" s="180"/>
      <c r="AA796" s="184"/>
      <c r="AB796" s="184" t="s">
        <v>1017</v>
      </c>
      <c r="AC796" s="180"/>
      <c r="AD796" s="182"/>
      <c r="AE796" s="181" t="s">
        <v>1017</v>
      </c>
      <c r="AF796" s="180"/>
      <c r="AG796" s="201"/>
      <c r="AH796" s="212" t="str">
        <f t="shared" si="372"/>
        <v/>
      </c>
      <c r="AI796" s="214" t="str">
        <f t="shared" si="373"/>
        <v/>
      </c>
      <c r="AJ796" s="214" t="str">
        <f t="shared" si="374"/>
        <v/>
      </c>
      <c r="AK796" s="214" t="str">
        <f t="shared" si="375"/>
        <v/>
      </c>
      <c r="AL796" s="214" t="str">
        <f t="shared" si="376"/>
        <v/>
      </c>
      <c r="AM796" s="214" t="str">
        <f t="shared" si="377"/>
        <v/>
      </c>
      <c r="AN796" s="213" t="str">
        <f t="shared" si="359"/>
        <v/>
      </c>
      <c r="AO796" s="213" t="str">
        <f t="shared" si="360"/>
        <v/>
      </c>
      <c r="AP796" s="213" t="str">
        <f t="shared" si="361"/>
        <v/>
      </c>
      <c r="AQ796" s="215" t="str">
        <f t="shared" si="362"/>
        <v/>
      </c>
      <c r="AR796" s="216" t="str">
        <f t="shared" si="363"/>
        <v>BiK82LbKA3y-04</v>
      </c>
      <c r="AS796" s="215" t="str">
        <f t="shared" si="364"/>
        <v/>
      </c>
      <c r="AT796">
        <f t="shared" si="365"/>
        <v>14</v>
      </c>
      <c r="AU796" s="216" t="str">
        <f t="shared" si="366"/>
        <v>0,15-0,5 MW, Bonusregeln L, y, b und K wenn Anlage 3 erfüllt</v>
      </c>
      <c r="AV796" s="215" t="str">
        <f t="shared" si="367"/>
        <v/>
      </c>
      <c r="AW796" s="216" t="str">
        <f t="shared" si="368"/>
        <v>Anteil KWK gemäß Anlage 3</v>
      </c>
      <c r="AX796" s="215" t="str">
        <f t="shared" si="369"/>
        <v/>
      </c>
      <c r="AY796" t="str">
        <f t="shared" si="370"/>
        <v/>
      </c>
      <c r="AZ796" t="str">
        <f t="shared" si="371"/>
        <v/>
      </c>
    </row>
    <row r="797" spans="1:52" x14ac:dyDescent="0.25">
      <c r="A797" s="610" t="s">
        <v>4382</v>
      </c>
      <c r="B797" s="30" t="s">
        <v>5548</v>
      </c>
      <c r="C797" s="30" t="s">
        <v>4809</v>
      </c>
      <c r="D797" s="30" t="s">
        <v>7196</v>
      </c>
      <c r="E797" s="30" t="s">
        <v>674</v>
      </c>
      <c r="F797" s="454">
        <f t="shared" si="348"/>
        <v>24.9</v>
      </c>
      <c r="G797" s="529">
        <v>24.9</v>
      </c>
      <c r="H797" s="487">
        <f t="shared" si="349"/>
        <v>19.920000000000002</v>
      </c>
      <c r="I797" s="706"/>
      <c r="J797" s="669" t="s">
        <v>5805</v>
      </c>
      <c r="K797" s="15"/>
      <c r="M797" s="49">
        <f t="shared" si="350"/>
        <v>24.9</v>
      </c>
      <c r="N797" s="41">
        <v>9.9</v>
      </c>
      <c r="O797" s="187"/>
      <c r="P797" s="183"/>
      <c r="Q797" s="184" t="s">
        <v>1017</v>
      </c>
      <c r="R797" s="184"/>
      <c r="S797" s="184" t="s">
        <v>4180</v>
      </c>
      <c r="T797" t="s">
        <v>4180</v>
      </c>
      <c r="U797" s="185" t="s">
        <v>1017</v>
      </c>
      <c r="V797" s="184"/>
      <c r="W797" s="180"/>
      <c r="X797" s="180"/>
      <c r="Y797" s="178"/>
      <c r="Z797" s="180"/>
      <c r="AA797" s="184"/>
      <c r="AB797" s="184" t="s">
        <v>1017</v>
      </c>
      <c r="AC797" s="180"/>
      <c r="AD797" s="182"/>
      <c r="AE797" s="181" t="s">
        <v>1017</v>
      </c>
      <c r="AF797" s="180"/>
      <c r="AG797" s="201"/>
      <c r="AH797" s="212" t="str">
        <f t="shared" si="372"/>
        <v/>
      </c>
      <c r="AI797" s="214" t="str">
        <f t="shared" si="373"/>
        <v/>
      </c>
      <c r="AJ797" s="214" t="str">
        <f t="shared" si="374"/>
        <v/>
      </c>
      <c r="AK797" s="214" t="str">
        <f t="shared" si="375"/>
        <v/>
      </c>
      <c r="AL797" s="214" t="str">
        <f t="shared" si="376"/>
        <v/>
      </c>
      <c r="AM797" s="214" t="str">
        <f t="shared" si="377"/>
        <v/>
      </c>
      <c r="AN797" s="213" t="str">
        <f t="shared" si="359"/>
        <v/>
      </c>
      <c r="AO797" s="213" t="str">
        <f t="shared" si="360"/>
        <v/>
      </c>
      <c r="AP797" s="213" t="str">
        <f t="shared" si="361"/>
        <v/>
      </c>
      <c r="AQ797" s="215" t="str">
        <f t="shared" si="362"/>
        <v/>
      </c>
      <c r="AR797" s="216" t="str">
        <f t="shared" si="363"/>
        <v>BiK82LbK09y-04</v>
      </c>
      <c r="AS797" s="215" t="str">
        <f t="shared" si="364"/>
        <v/>
      </c>
      <c r="AT797">
        <f t="shared" si="365"/>
        <v>14</v>
      </c>
      <c r="AU797" s="216" t="str">
        <f t="shared" si="366"/>
        <v>0,15-0,5 MW, Bonusregeln L, y, b und K erstmals 2009</v>
      </c>
      <c r="AV797" s="215" t="str">
        <f t="shared" si="367"/>
        <v/>
      </c>
      <c r="AW797" s="216" t="str">
        <f t="shared" si="368"/>
        <v>Anteil KWK, erstmals 2009</v>
      </c>
      <c r="AX797" s="215" t="str">
        <f t="shared" si="369"/>
        <v/>
      </c>
      <c r="AY797" t="str">
        <f t="shared" si="370"/>
        <v/>
      </c>
      <c r="AZ797" t="str">
        <f t="shared" si="371"/>
        <v/>
      </c>
    </row>
    <row r="798" spans="1:52" x14ac:dyDescent="0.25">
      <c r="A798" s="610" t="s">
        <v>1269</v>
      </c>
      <c r="B798" s="30" t="s">
        <v>5548</v>
      </c>
      <c r="C798" s="30" t="s">
        <v>4809</v>
      </c>
      <c r="D798" s="30" t="s">
        <v>7197</v>
      </c>
      <c r="E798" s="30" t="s">
        <v>3567</v>
      </c>
      <c r="F798" s="454">
        <f t="shared" si="348"/>
        <v>24.87</v>
      </c>
      <c r="G798" s="529">
        <v>24.87</v>
      </c>
      <c r="H798" s="487">
        <f t="shared" si="349"/>
        <v>19.899999999999999</v>
      </c>
      <c r="I798" s="706"/>
      <c r="J798" s="669" t="s">
        <v>5805</v>
      </c>
      <c r="K798" s="15"/>
      <c r="M798" s="49">
        <f t="shared" si="350"/>
        <v>24.87</v>
      </c>
      <c r="N798" s="41">
        <v>9.9</v>
      </c>
      <c r="O798" s="187"/>
      <c r="P798" s="183"/>
      <c r="Q798" s="184"/>
      <c r="R798" s="184" t="s">
        <v>1017</v>
      </c>
      <c r="S798" s="184" t="s">
        <v>4180</v>
      </c>
      <c r="T798" t="s">
        <v>4180</v>
      </c>
      <c r="U798" s="185" t="s">
        <v>1017</v>
      </c>
      <c r="V798" s="184"/>
      <c r="W798" s="180"/>
      <c r="X798" s="180"/>
      <c r="Y798" s="178"/>
      <c r="Z798" s="180"/>
      <c r="AA798" s="184"/>
      <c r="AB798" s="184" t="s">
        <v>1017</v>
      </c>
      <c r="AC798" s="180"/>
      <c r="AD798" s="182"/>
      <c r="AE798" s="181" t="s">
        <v>1017</v>
      </c>
      <c r="AF798" s="180"/>
      <c r="AG798" s="201"/>
      <c r="AH798" s="212" t="str">
        <f t="shared" si="372"/>
        <v>2010</v>
      </c>
      <c r="AI798" s="214" t="str">
        <f t="shared" si="373"/>
        <v/>
      </c>
      <c r="AJ798" s="214" t="str">
        <f t="shared" si="374"/>
        <v/>
      </c>
      <c r="AK798" s="214" t="str">
        <f t="shared" si="375"/>
        <v/>
      </c>
      <c r="AL798" s="214" t="str">
        <f t="shared" si="376"/>
        <v/>
      </c>
      <c r="AM798" s="214" t="str">
        <f t="shared" si="377"/>
        <v/>
      </c>
      <c r="AN798" s="213" t="str">
        <f t="shared" si="359"/>
        <v>2010</v>
      </c>
      <c r="AO798" s="213" t="str">
        <f t="shared" si="360"/>
        <v>2010</v>
      </c>
      <c r="AP798" s="213" t="str">
        <f t="shared" si="361"/>
        <v>2010</v>
      </c>
      <c r="AQ798" s="215" t="str">
        <f t="shared" si="362"/>
        <v/>
      </c>
      <c r="AR798" s="216" t="str">
        <f t="shared" si="363"/>
        <v>BiK82LbK10y-04</v>
      </c>
      <c r="AS798" s="215" t="str">
        <f t="shared" si="364"/>
        <v/>
      </c>
      <c r="AT798">
        <f t="shared" si="365"/>
        <v>14</v>
      </c>
      <c r="AU798" s="216" t="str">
        <f t="shared" si="366"/>
        <v>0,15-0,5 MW, Bonusregeln L, y, b und K erstmals 2010</v>
      </c>
      <c r="AV798" s="215" t="str">
        <f t="shared" si="367"/>
        <v/>
      </c>
      <c r="AW798" s="216" t="str">
        <f t="shared" si="368"/>
        <v>Anteil KWK, erstmals 2010</v>
      </c>
      <c r="AX798" s="215" t="str">
        <f t="shared" si="369"/>
        <v/>
      </c>
      <c r="AY798" t="str">
        <f t="shared" si="370"/>
        <v/>
      </c>
      <c r="AZ798" t="str">
        <f t="shared" si="371"/>
        <v/>
      </c>
    </row>
    <row r="799" spans="1:52" x14ac:dyDescent="0.25">
      <c r="A799" s="610" t="s">
        <v>5288</v>
      </c>
      <c r="B799" s="30" t="s">
        <v>5548</v>
      </c>
      <c r="C799" s="30" t="s">
        <v>4809</v>
      </c>
      <c r="D799" s="30" t="s">
        <v>7198</v>
      </c>
      <c r="E799" s="30" t="s">
        <v>3055</v>
      </c>
      <c r="F799" s="454">
        <f t="shared" ref="F799:F861" si="378">M799</f>
        <v>24.84</v>
      </c>
      <c r="G799" s="529">
        <v>24.84</v>
      </c>
      <c r="H799" s="487">
        <f t="shared" ref="H799:H862" si="379">IF(ISNUMBER(G799),ROUND(0.8*G799,2),"")</f>
        <v>19.87</v>
      </c>
      <c r="I799" s="706"/>
      <c r="J799" s="669" t="s">
        <v>5805</v>
      </c>
      <c r="K799" s="15"/>
      <c r="M799" s="49">
        <f t="shared" ref="M799:M861" si="380">N799+SUMIF(O799:AG799,"x",O$478:AG$478)</f>
        <v>24.84</v>
      </c>
      <c r="N799" s="41">
        <v>9.9</v>
      </c>
      <c r="O799" s="187"/>
      <c r="P799" s="183"/>
      <c r="Q799" s="184"/>
      <c r="R799" s="178"/>
      <c r="S799" s="184" t="s">
        <v>1017</v>
      </c>
      <c r="T799" t="s">
        <v>4180</v>
      </c>
      <c r="U799" s="185" t="s">
        <v>1017</v>
      </c>
      <c r="V799" s="184"/>
      <c r="W799" s="180"/>
      <c r="X799" s="180"/>
      <c r="Y799" s="178"/>
      <c r="Z799" s="180"/>
      <c r="AA799" s="184"/>
      <c r="AB799" s="184" t="s">
        <v>1017</v>
      </c>
      <c r="AC799" s="180"/>
      <c r="AD799" s="182"/>
      <c r="AE799" s="181" t="s">
        <v>1017</v>
      </c>
      <c r="AF799" s="180"/>
      <c r="AG799" s="201"/>
      <c r="AH799" s="212" t="str">
        <f t="shared" si="372"/>
        <v>2011</v>
      </c>
      <c r="AI799" s="214" t="str">
        <f t="shared" si="373"/>
        <v/>
      </c>
      <c r="AJ799" s="214" t="str">
        <f t="shared" si="374"/>
        <v/>
      </c>
      <c r="AK799" s="214" t="str">
        <f t="shared" si="375"/>
        <v/>
      </c>
      <c r="AL799" s="214" t="str">
        <f t="shared" si="376"/>
        <v/>
      </c>
      <c r="AM799" s="214" t="str">
        <f t="shared" si="377"/>
        <v/>
      </c>
      <c r="AN799" s="213" t="str">
        <f t="shared" si="359"/>
        <v>2011</v>
      </c>
      <c r="AO799" s="213" t="str">
        <f t="shared" si="360"/>
        <v>2011</v>
      </c>
      <c r="AP799" s="213" t="str">
        <f t="shared" si="361"/>
        <v>2011</v>
      </c>
      <c r="AQ799" s="215" t="str">
        <f t="shared" si="362"/>
        <v/>
      </c>
      <c r="AR799" s="216" t="str">
        <f t="shared" si="363"/>
        <v>BiK82LbK11y-04</v>
      </c>
      <c r="AS799" s="215" t="str">
        <f t="shared" si="364"/>
        <v/>
      </c>
      <c r="AT799">
        <f t="shared" si="365"/>
        <v>14</v>
      </c>
      <c r="AU799" s="216" t="str">
        <f t="shared" si="366"/>
        <v>0,15-0,5 MW, Bonusregeln L, y, b und K erstmals 2011</v>
      </c>
      <c r="AV799" s="215" t="str">
        <f t="shared" si="367"/>
        <v/>
      </c>
      <c r="AW799" s="216" t="str">
        <f t="shared" si="368"/>
        <v>Anteil KWK, erstmals 2011</v>
      </c>
      <c r="AX799" s="215" t="str">
        <f t="shared" si="369"/>
        <v/>
      </c>
      <c r="AY799" t="str">
        <f t="shared" si="370"/>
        <v>x</v>
      </c>
      <c r="AZ799" t="str">
        <f t="shared" si="371"/>
        <v/>
      </c>
    </row>
    <row r="800" spans="1:52" x14ac:dyDescent="0.25">
      <c r="A800" s="625" t="s">
        <v>1538</v>
      </c>
      <c r="B800" s="219" t="s">
        <v>5548</v>
      </c>
      <c r="C800" s="219" t="s">
        <v>4809</v>
      </c>
      <c r="D800" s="219" t="s">
        <v>7199</v>
      </c>
      <c r="E800" s="219" t="s">
        <v>1980</v>
      </c>
      <c r="F800" s="455">
        <f t="shared" si="378"/>
        <v>24.810000000000002</v>
      </c>
      <c r="G800" s="530">
        <v>24.810000000000002</v>
      </c>
      <c r="H800" s="488">
        <f t="shared" si="379"/>
        <v>19.850000000000001</v>
      </c>
      <c r="I800" s="707"/>
      <c r="J800" s="669" t="s">
        <v>5805</v>
      </c>
      <c r="K800" s="15"/>
      <c r="M800" s="49">
        <f t="shared" si="380"/>
        <v>24.810000000000002</v>
      </c>
      <c r="N800" s="41">
        <v>9.9</v>
      </c>
      <c r="O800" s="187"/>
      <c r="P800" s="183"/>
      <c r="Q800" s="184"/>
      <c r="R800" s="178"/>
      <c r="S800" s="184" t="s">
        <v>4180</v>
      </c>
      <c r="T800" t="s">
        <v>1017</v>
      </c>
      <c r="U800" s="185" t="s">
        <v>1017</v>
      </c>
      <c r="V800" s="184"/>
      <c r="W800" s="180"/>
      <c r="X800" s="180"/>
      <c r="Y800" s="178"/>
      <c r="Z800" s="180"/>
      <c r="AA800" s="184"/>
      <c r="AB800" s="184" t="s">
        <v>1017</v>
      </c>
      <c r="AC800" s="180"/>
      <c r="AD800" s="182"/>
      <c r="AE800" s="181" t="s">
        <v>1017</v>
      </c>
      <c r="AF800" s="180"/>
      <c r="AG800" s="201"/>
      <c r="AH800" s="217" t="s">
        <v>4179</v>
      </c>
      <c r="AI800" s="214" t="str">
        <f t="shared" si="373"/>
        <v/>
      </c>
      <c r="AJ800" s="214" t="str">
        <f t="shared" si="374"/>
        <v/>
      </c>
      <c r="AK800" s="214" t="str">
        <f t="shared" si="375"/>
        <v/>
      </c>
      <c r="AL800" s="214" t="str">
        <f t="shared" si="376"/>
        <v/>
      </c>
      <c r="AM800" s="214" t="str">
        <f t="shared" si="377"/>
        <v/>
      </c>
      <c r="AN800" s="213" t="str">
        <f t="shared" si="359"/>
        <v>2012</v>
      </c>
      <c r="AO800" s="213" t="str">
        <f t="shared" si="360"/>
        <v>2012</v>
      </c>
      <c r="AP800" s="213" t="str">
        <f t="shared" si="361"/>
        <v>2012</v>
      </c>
      <c r="AQ800" s="215" t="str">
        <f t="shared" si="362"/>
        <v/>
      </c>
      <c r="AR800" s="216" t="str">
        <f t="shared" si="363"/>
        <v>BiK82LbK12y-04</v>
      </c>
      <c r="AS800" s="215" t="str">
        <f t="shared" si="364"/>
        <v/>
      </c>
      <c r="AT800">
        <f t="shared" si="365"/>
        <v>14</v>
      </c>
      <c r="AU800" s="216" t="str">
        <f t="shared" si="366"/>
        <v>0,15-0,5 MW, Bonusregeln L, y, b und K erstmals 2012</v>
      </c>
      <c r="AV800" s="215" t="str">
        <f t="shared" si="367"/>
        <v/>
      </c>
      <c r="AW800" s="216" t="str">
        <f t="shared" si="368"/>
        <v>Anteil KWK, erstmals 2012</v>
      </c>
      <c r="AX800" s="215" t="str">
        <f t="shared" si="369"/>
        <v/>
      </c>
      <c r="AY800" t="str">
        <f t="shared" si="370"/>
        <v/>
      </c>
      <c r="AZ800" t="str">
        <f t="shared" si="371"/>
        <v>x</v>
      </c>
    </row>
    <row r="801" spans="1:52" x14ac:dyDescent="0.25">
      <c r="A801" s="610" t="s">
        <v>4404</v>
      </c>
      <c r="B801" s="30" t="s">
        <v>5548</v>
      </c>
      <c r="C801" s="30" t="s">
        <v>4809</v>
      </c>
      <c r="D801" s="30" t="s">
        <v>7200</v>
      </c>
      <c r="E801" s="30" t="s">
        <v>4810</v>
      </c>
      <c r="F801" s="454">
        <f t="shared" si="378"/>
        <v>21.9</v>
      </c>
      <c r="G801" s="529">
        <v>21.9</v>
      </c>
      <c r="H801" s="487">
        <f t="shared" si="379"/>
        <v>17.52</v>
      </c>
      <c r="I801" s="706"/>
      <c r="J801" s="669" t="s">
        <v>5805</v>
      </c>
      <c r="K801" s="15"/>
      <c r="M801" s="49">
        <f t="shared" si="380"/>
        <v>21.9</v>
      </c>
      <c r="N801" s="41">
        <v>9.9</v>
      </c>
      <c r="O801" s="186"/>
      <c r="P801" s="177"/>
      <c r="Q801" s="178"/>
      <c r="R801" s="178"/>
      <c r="S801" s="178" t="s">
        <v>4180</v>
      </c>
      <c r="T801" t="s">
        <v>4180</v>
      </c>
      <c r="U801" s="179"/>
      <c r="V801" s="178"/>
      <c r="W801" s="180"/>
      <c r="X801" s="180"/>
      <c r="Y801" s="178"/>
      <c r="Z801" s="180"/>
      <c r="AA801" s="184"/>
      <c r="AB801" s="178"/>
      <c r="AC801" s="180"/>
      <c r="AD801" s="182" t="s">
        <v>1017</v>
      </c>
      <c r="AE801" s="181" t="s">
        <v>1017</v>
      </c>
      <c r="AF801" s="180"/>
      <c r="AG801" s="201"/>
      <c r="AH801" s="212" t="str">
        <f t="shared" ref="AH801:AH806" si="381">IF(ISERROR(SEARCH("K erstmals 201",D801)),"",RIGHT(D801,4))</f>
        <v/>
      </c>
      <c r="AI801" s="214" t="str">
        <f t="shared" si="373"/>
        <v/>
      </c>
      <c r="AJ801" s="214" t="str">
        <f t="shared" si="374"/>
        <v/>
      </c>
      <c r="AK801" s="214" t="str">
        <f t="shared" si="375"/>
        <v/>
      </c>
      <c r="AL801" s="214" t="str">
        <f t="shared" si="376"/>
        <v/>
      </c>
      <c r="AM801" s="214" t="str">
        <f t="shared" si="377"/>
        <v/>
      </c>
      <c r="AN801" s="213" t="str">
        <f t="shared" si="359"/>
        <v/>
      </c>
      <c r="AO801" s="213" t="str">
        <f t="shared" si="360"/>
        <v/>
      </c>
      <c r="AP801" s="213" t="str">
        <f t="shared" si="361"/>
        <v/>
      </c>
      <c r="AQ801" s="215" t="str">
        <f t="shared" si="362"/>
        <v/>
      </c>
      <c r="AR801" s="216" t="str">
        <f t="shared" si="363"/>
        <v>BiK82X2b----04</v>
      </c>
      <c r="AS801" s="215" t="str">
        <f t="shared" si="364"/>
        <v/>
      </c>
      <c r="AT801">
        <f t="shared" si="365"/>
        <v>14</v>
      </c>
      <c r="AU801" s="216" t="str">
        <f t="shared" si="366"/>
        <v>0,15-0,5 MW, Bonusregeln X2, b</v>
      </c>
      <c r="AV801" s="215" t="str">
        <f t="shared" si="367"/>
        <v/>
      </c>
      <c r="AW801" s="216" t="str">
        <f t="shared" si="368"/>
        <v>Anteil Nicht-KWK</v>
      </c>
      <c r="AX801" s="215" t="str">
        <f t="shared" si="369"/>
        <v/>
      </c>
      <c r="AY801" t="str">
        <f t="shared" si="370"/>
        <v/>
      </c>
      <c r="AZ801" t="str">
        <f t="shared" si="371"/>
        <v/>
      </c>
    </row>
    <row r="802" spans="1:52" s="178" customFormat="1" x14ac:dyDescent="0.25">
      <c r="A802" s="610" t="s">
        <v>4405</v>
      </c>
      <c r="B802" s="30" t="s">
        <v>5548</v>
      </c>
      <c r="C802" s="30" t="s">
        <v>4809</v>
      </c>
      <c r="D802" s="30" t="s">
        <v>7201</v>
      </c>
      <c r="E802" s="30" t="s">
        <v>4812</v>
      </c>
      <c r="F802" s="454">
        <f t="shared" si="378"/>
        <v>23.9</v>
      </c>
      <c r="G802" s="529">
        <v>23.9</v>
      </c>
      <c r="H802" s="487">
        <f t="shared" si="379"/>
        <v>19.12</v>
      </c>
      <c r="I802" s="706"/>
      <c r="J802" s="669" t="s">
        <v>5805</v>
      </c>
      <c r="K802" s="15"/>
      <c r="L802"/>
      <c r="M802" s="49">
        <f t="shared" si="380"/>
        <v>23.9</v>
      </c>
      <c r="N802" s="41">
        <v>9.9</v>
      </c>
      <c r="O802" s="186" t="s">
        <v>1017</v>
      </c>
      <c r="P802" s="177"/>
      <c r="S802" s="178" t="s">
        <v>4180</v>
      </c>
      <c r="T802" s="178" t="s">
        <v>4180</v>
      </c>
      <c r="U802" s="179"/>
      <c r="W802" s="180"/>
      <c r="X802" s="180"/>
      <c r="Z802" s="180"/>
      <c r="AA802" s="184"/>
      <c r="AC802" s="180"/>
      <c r="AD802" s="182" t="s">
        <v>1017</v>
      </c>
      <c r="AE802" s="181" t="s">
        <v>1017</v>
      </c>
      <c r="AF802" s="180"/>
      <c r="AG802" s="201"/>
      <c r="AH802" s="212" t="str">
        <f t="shared" si="381"/>
        <v/>
      </c>
      <c r="AI802" s="214" t="str">
        <f t="shared" si="373"/>
        <v/>
      </c>
      <c r="AJ802" s="214" t="str">
        <f t="shared" si="374"/>
        <v/>
      </c>
      <c r="AK802" s="214" t="str">
        <f t="shared" si="375"/>
        <v/>
      </c>
      <c r="AL802" s="214" t="str">
        <f t="shared" si="376"/>
        <v/>
      </c>
      <c r="AM802" s="214" t="str">
        <f t="shared" si="377"/>
        <v/>
      </c>
      <c r="AN802" s="213" t="str">
        <f t="shared" si="359"/>
        <v/>
      </c>
      <c r="AO802" s="213" t="str">
        <f t="shared" si="360"/>
        <v/>
      </c>
      <c r="AP802" s="213" t="str">
        <f t="shared" si="361"/>
        <v/>
      </c>
      <c r="AQ802" s="215" t="str">
        <f t="shared" si="362"/>
        <v/>
      </c>
      <c r="AR802" s="216" t="str">
        <f t="shared" si="363"/>
        <v>BiK82X2bKWK-04</v>
      </c>
      <c r="AS802" s="215" t="str">
        <f t="shared" si="364"/>
        <v/>
      </c>
      <c r="AT802">
        <f t="shared" si="365"/>
        <v>14</v>
      </c>
      <c r="AU802" s="216" t="str">
        <f t="shared" si="366"/>
        <v>0,15-0,5 MW, Bonusregeln X2, b und KWK</v>
      </c>
      <c r="AV802" s="215" t="str">
        <f t="shared" si="367"/>
        <v/>
      </c>
      <c r="AW802" s="216" t="str">
        <f t="shared" si="368"/>
        <v>Anteil KWK</v>
      </c>
      <c r="AX802" s="215" t="str">
        <f t="shared" si="369"/>
        <v/>
      </c>
      <c r="AY802" t="str">
        <f t="shared" si="370"/>
        <v/>
      </c>
      <c r="AZ802" t="str">
        <f t="shared" si="371"/>
        <v/>
      </c>
    </row>
    <row r="803" spans="1:52" s="178" customFormat="1" x14ac:dyDescent="0.25">
      <c r="A803" s="610" t="s">
        <v>4406</v>
      </c>
      <c r="B803" s="30" t="s">
        <v>5548</v>
      </c>
      <c r="C803" s="30" t="s">
        <v>4809</v>
      </c>
      <c r="D803" s="30" t="s">
        <v>7202</v>
      </c>
      <c r="E803" s="30" t="s">
        <v>4331</v>
      </c>
      <c r="F803" s="454">
        <f t="shared" si="378"/>
        <v>24.9</v>
      </c>
      <c r="G803" s="529">
        <v>24.9</v>
      </c>
      <c r="H803" s="487">
        <f t="shared" si="379"/>
        <v>19.920000000000002</v>
      </c>
      <c r="I803" s="706"/>
      <c r="J803" s="669" t="s">
        <v>5805</v>
      </c>
      <c r="K803" s="15"/>
      <c r="L803"/>
      <c r="M803" s="49">
        <f t="shared" si="380"/>
        <v>24.9</v>
      </c>
      <c r="N803" s="41">
        <v>9.9</v>
      </c>
      <c r="O803" s="186"/>
      <c r="P803" s="178" t="s">
        <v>1017</v>
      </c>
      <c r="S803" s="178" t="s">
        <v>4180</v>
      </c>
      <c r="T803" s="178" t="s">
        <v>4180</v>
      </c>
      <c r="U803" s="179"/>
      <c r="W803" s="180"/>
      <c r="X803" s="180"/>
      <c r="Z803" s="180"/>
      <c r="AA803" s="184"/>
      <c r="AC803" s="180"/>
      <c r="AD803" s="199" t="s">
        <v>1017</v>
      </c>
      <c r="AE803" s="181" t="s">
        <v>1017</v>
      </c>
      <c r="AF803" s="180"/>
      <c r="AG803" s="201"/>
      <c r="AH803" s="212" t="str">
        <f t="shared" si="381"/>
        <v/>
      </c>
      <c r="AI803" s="214" t="str">
        <f t="shared" si="373"/>
        <v/>
      </c>
      <c r="AJ803" s="214" t="str">
        <f t="shared" si="374"/>
        <v/>
      </c>
      <c r="AK803" s="214" t="str">
        <f t="shared" si="375"/>
        <v/>
      </c>
      <c r="AL803" s="214" t="str">
        <f t="shared" si="376"/>
        <v/>
      </c>
      <c r="AM803" s="214" t="str">
        <f t="shared" si="377"/>
        <v/>
      </c>
      <c r="AN803" s="213" t="str">
        <f t="shared" si="359"/>
        <v/>
      </c>
      <c r="AO803" s="213" t="str">
        <f t="shared" si="360"/>
        <v/>
      </c>
      <c r="AP803" s="213" t="str">
        <f t="shared" si="361"/>
        <v/>
      </c>
      <c r="AQ803" s="215" t="str">
        <f t="shared" si="362"/>
        <v/>
      </c>
      <c r="AR803" s="216" t="str">
        <f t="shared" si="363"/>
        <v>BiK82X2bKA3-04</v>
      </c>
      <c r="AS803" s="215" t="str">
        <f t="shared" si="364"/>
        <v/>
      </c>
      <c r="AT803">
        <f t="shared" si="365"/>
        <v>14</v>
      </c>
      <c r="AU803" s="216" t="str">
        <f t="shared" si="366"/>
        <v>0,15-0,5 MW, Bonusregeln X2, b und K wenn Anlage 3 erfüllt</v>
      </c>
      <c r="AV803" s="215" t="str">
        <f t="shared" si="367"/>
        <v/>
      </c>
      <c r="AW803" s="216" t="str">
        <f t="shared" si="368"/>
        <v>Anteil KWK gemäß Anlage 3</v>
      </c>
      <c r="AX803" s="215" t="str">
        <f t="shared" si="369"/>
        <v/>
      </c>
      <c r="AY803" t="str">
        <f t="shared" si="370"/>
        <v/>
      </c>
      <c r="AZ803" t="str">
        <f t="shared" si="371"/>
        <v/>
      </c>
    </row>
    <row r="804" spans="1:52" s="178" customFormat="1" x14ac:dyDescent="0.25">
      <c r="A804" s="610" t="s">
        <v>4407</v>
      </c>
      <c r="B804" s="30" t="s">
        <v>5548</v>
      </c>
      <c r="C804" s="30" t="s">
        <v>4809</v>
      </c>
      <c r="D804" s="30" t="s">
        <v>7203</v>
      </c>
      <c r="E804" s="30" t="s">
        <v>674</v>
      </c>
      <c r="F804" s="454">
        <f t="shared" si="378"/>
        <v>24.9</v>
      </c>
      <c r="G804" s="529">
        <v>24.9</v>
      </c>
      <c r="H804" s="487">
        <f t="shared" si="379"/>
        <v>19.920000000000002</v>
      </c>
      <c r="I804" s="706"/>
      <c r="J804" s="669" t="s">
        <v>5805</v>
      </c>
      <c r="K804" s="15"/>
      <c r="L804"/>
      <c r="M804" s="49">
        <f t="shared" si="380"/>
        <v>24.9</v>
      </c>
      <c r="N804" s="41">
        <v>9.9</v>
      </c>
      <c r="O804" s="186"/>
      <c r="P804" s="177"/>
      <c r="Q804" s="178" t="s">
        <v>1017</v>
      </c>
      <c r="S804" s="178" t="s">
        <v>4180</v>
      </c>
      <c r="T804" s="178" t="s">
        <v>4180</v>
      </c>
      <c r="U804" s="179"/>
      <c r="W804" s="180"/>
      <c r="X804" s="180"/>
      <c r="Z804" s="180"/>
      <c r="AA804" s="184"/>
      <c r="AC804" s="180"/>
      <c r="AD804" s="199" t="s">
        <v>1017</v>
      </c>
      <c r="AE804" s="181" t="s">
        <v>1017</v>
      </c>
      <c r="AF804" s="180"/>
      <c r="AG804" s="201"/>
      <c r="AH804" s="212" t="str">
        <f t="shared" si="381"/>
        <v/>
      </c>
      <c r="AI804" s="214" t="str">
        <f t="shared" si="373"/>
        <v/>
      </c>
      <c r="AJ804" s="214" t="str">
        <f t="shared" si="374"/>
        <v/>
      </c>
      <c r="AK804" s="214" t="str">
        <f t="shared" si="375"/>
        <v/>
      </c>
      <c r="AL804" s="214" t="str">
        <f t="shared" si="376"/>
        <v/>
      </c>
      <c r="AM804" s="214" t="str">
        <f t="shared" si="377"/>
        <v/>
      </c>
      <c r="AN804" s="213" t="str">
        <f t="shared" si="359"/>
        <v/>
      </c>
      <c r="AO804" s="213" t="str">
        <f t="shared" si="360"/>
        <v/>
      </c>
      <c r="AP804" s="213" t="str">
        <f t="shared" si="361"/>
        <v/>
      </c>
      <c r="AQ804" s="215" t="str">
        <f t="shared" si="362"/>
        <v/>
      </c>
      <c r="AR804" s="216" t="str">
        <f t="shared" si="363"/>
        <v>BiK82X2bK09-04</v>
      </c>
      <c r="AS804" s="215" t="str">
        <f t="shared" si="364"/>
        <v/>
      </c>
      <c r="AT804">
        <f t="shared" si="365"/>
        <v>14</v>
      </c>
      <c r="AU804" s="216" t="str">
        <f t="shared" si="366"/>
        <v>0,15-0,5 MW, Bonusregeln X2, b und K erstmals 2009</v>
      </c>
      <c r="AV804" s="215" t="str">
        <f t="shared" si="367"/>
        <v/>
      </c>
      <c r="AW804" s="216" t="str">
        <f t="shared" si="368"/>
        <v>Anteil KWK, erstmals 2009</v>
      </c>
      <c r="AX804" s="215" t="str">
        <f t="shared" si="369"/>
        <v/>
      </c>
      <c r="AY804" t="str">
        <f t="shared" si="370"/>
        <v/>
      </c>
      <c r="AZ804" t="str">
        <f t="shared" si="371"/>
        <v/>
      </c>
    </row>
    <row r="805" spans="1:52" s="178" customFormat="1" x14ac:dyDescent="0.25">
      <c r="A805" s="610" t="s">
        <v>1270</v>
      </c>
      <c r="B805" s="30" t="s">
        <v>5548</v>
      </c>
      <c r="C805" s="30" t="s">
        <v>4809</v>
      </c>
      <c r="D805" s="30" t="s">
        <v>7204</v>
      </c>
      <c r="E805" s="30" t="s">
        <v>3567</v>
      </c>
      <c r="F805" s="454">
        <f t="shared" si="378"/>
        <v>24.87</v>
      </c>
      <c r="G805" s="529">
        <v>24.87</v>
      </c>
      <c r="H805" s="487">
        <f t="shared" si="379"/>
        <v>19.899999999999999</v>
      </c>
      <c r="I805" s="706"/>
      <c r="J805" s="669" t="s">
        <v>5805</v>
      </c>
      <c r="K805" s="15"/>
      <c r="L805"/>
      <c r="M805" s="49">
        <f t="shared" si="380"/>
        <v>24.87</v>
      </c>
      <c r="N805" s="41">
        <v>9.9</v>
      </c>
      <c r="O805" s="186"/>
      <c r="P805" s="177"/>
      <c r="R805" s="178" t="s">
        <v>1017</v>
      </c>
      <c r="S805" s="178" t="s">
        <v>4180</v>
      </c>
      <c r="T805" s="178" t="s">
        <v>4180</v>
      </c>
      <c r="U805" s="179"/>
      <c r="W805" s="180"/>
      <c r="X805" s="180"/>
      <c r="Z805" s="180"/>
      <c r="AA805" s="184"/>
      <c r="AC805" s="180"/>
      <c r="AD805" s="199" t="s">
        <v>1017</v>
      </c>
      <c r="AE805" s="181" t="s">
        <v>1017</v>
      </c>
      <c r="AF805" s="180"/>
      <c r="AG805" s="201"/>
      <c r="AH805" s="212" t="str">
        <f t="shared" si="381"/>
        <v>2010</v>
      </c>
      <c r="AI805" s="214" t="str">
        <f t="shared" si="373"/>
        <v/>
      </c>
      <c r="AJ805" s="214" t="str">
        <f t="shared" si="374"/>
        <v/>
      </c>
      <c r="AK805" s="214" t="str">
        <f t="shared" si="375"/>
        <v/>
      </c>
      <c r="AL805" s="214" t="str">
        <f t="shared" si="376"/>
        <v/>
      </c>
      <c r="AM805" s="214" t="str">
        <f t="shared" si="377"/>
        <v/>
      </c>
      <c r="AN805" s="213" t="str">
        <f t="shared" si="359"/>
        <v>2010</v>
      </c>
      <c r="AO805" s="213" t="str">
        <f t="shared" si="360"/>
        <v>2010</v>
      </c>
      <c r="AP805" s="213" t="str">
        <f t="shared" si="361"/>
        <v>2010</v>
      </c>
      <c r="AQ805" s="215" t="str">
        <f t="shared" si="362"/>
        <v/>
      </c>
      <c r="AR805" s="216" t="str">
        <f t="shared" si="363"/>
        <v>BiK82X2bK10-04</v>
      </c>
      <c r="AS805" s="215" t="str">
        <f t="shared" si="364"/>
        <v/>
      </c>
      <c r="AT805">
        <f t="shared" si="365"/>
        <v>14</v>
      </c>
      <c r="AU805" s="216" t="str">
        <f t="shared" si="366"/>
        <v>0,15-0,5 MW, Bonusregeln X2, b und K erstmals 2010</v>
      </c>
      <c r="AV805" s="215" t="str">
        <f t="shared" si="367"/>
        <v/>
      </c>
      <c r="AW805" s="216" t="str">
        <f t="shared" si="368"/>
        <v>Anteil KWK, erstmals 2010</v>
      </c>
      <c r="AX805" s="215" t="str">
        <f t="shared" si="369"/>
        <v/>
      </c>
      <c r="AY805" t="str">
        <f t="shared" si="370"/>
        <v/>
      </c>
      <c r="AZ805" t="str">
        <f t="shared" si="371"/>
        <v/>
      </c>
    </row>
    <row r="806" spans="1:52" s="178" customFormat="1" x14ac:dyDescent="0.25">
      <c r="A806" s="610" t="s">
        <v>5289</v>
      </c>
      <c r="B806" s="30" t="s">
        <v>5548</v>
      </c>
      <c r="C806" s="30" t="s">
        <v>4809</v>
      </c>
      <c r="D806" s="30" t="s">
        <v>7205</v>
      </c>
      <c r="E806" s="30" t="s">
        <v>3055</v>
      </c>
      <c r="F806" s="454">
        <f t="shared" si="378"/>
        <v>24.84</v>
      </c>
      <c r="G806" s="529">
        <v>24.84</v>
      </c>
      <c r="H806" s="487">
        <f t="shared" si="379"/>
        <v>19.87</v>
      </c>
      <c r="I806" s="706"/>
      <c r="J806" s="669" t="s">
        <v>5805</v>
      </c>
      <c r="K806" s="15"/>
      <c r="L806"/>
      <c r="M806" s="49">
        <f t="shared" si="380"/>
        <v>24.84</v>
      </c>
      <c r="N806" s="41">
        <v>9.9</v>
      </c>
      <c r="O806" s="186"/>
      <c r="P806" s="177"/>
      <c r="S806" s="178" t="s">
        <v>1017</v>
      </c>
      <c r="T806" s="178" t="s">
        <v>4180</v>
      </c>
      <c r="U806" s="179"/>
      <c r="W806" s="180"/>
      <c r="X806" s="180"/>
      <c r="Z806" s="180"/>
      <c r="AA806" s="184"/>
      <c r="AC806" s="180"/>
      <c r="AD806" s="199" t="s">
        <v>1017</v>
      </c>
      <c r="AE806" s="181" t="s">
        <v>1017</v>
      </c>
      <c r="AF806" s="180"/>
      <c r="AG806" s="201"/>
      <c r="AH806" s="212" t="str">
        <f t="shared" si="381"/>
        <v>2011</v>
      </c>
      <c r="AI806" s="214" t="str">
        <f t="shared" si="373"/>
        <v/>
      </c>
      <c r="AJ806" s="214" t="str">
        <f t="shared" si="374"/>
        <v/>
      </c>
      <c r="AK806" s="214" t="str">
        <f t="shared" si="375"/>
        <v/>
      </c>
      <c r="AL806" s="214" t="str">
        <f t="shared" si="376"/>
        <v/>
      </c>
      <c r="AM806" s="214" t="str">
        <f t="shared" si="377"/>
        <v/>
      </c>
      <c r="AN806" s="213" t="str">
        <f t="shared" si="359"/>
        <v>2011</v>
      </c>
      <c r="AO806" s="213" t="str">
        <f t="shared" si="360"/>
        <v>2011</v>
      </c>
      <c r="AP806" s="213" t="str">
        <f t="shared" si="361"/>
        <v>2011</v>
      </c>
      <c r="AQ806" s="215" t="str">
        <f t="shared" si="362"/>
        <v/>
      </c>
      <c r="AR806" s="216" t="str">
        <f t="shared" si="363"/>
        <v>BiK82X2bK11-04</v>
      </c>
      <c r="AS806" s="215" t="str">
        <f t="shared" si="364"/>
        <v/>
      </c>
      <c r="AT806">
        <f t="shared" si="365"/>
        <v>14</v>
      </c>
      <c r="AU806" s="216" t="str">
        <f t="shared" si="366"/>
        <v>0,15-0,5 MW, Bonusregeln X2, b und K erstmals 2011</v>
      </c>
      <c r="AV806" s="215" t="str">
        <f t="shared" si="367"/>
        <v/>
      </c>
      <c r="AW806" s="216" t="str">
        <f t="shared" si="368"/>
        <v>Anteil KWK, erstmals 2011</v>
      </c>
      <c r="AX806" s="215" t="str">
        <f t="shared" si="369"/>
        <v/>
      </c>
      <c r="AY806" t="str">
        <f t="shared" si="370"/>
        <v>x</v>
      </c>
      <c r="AZ806" t="str">
        <f t="shared" si="371"/>
        <v/>
      </c>
    </row>
    <row r="807" spans="1:52" s="178" customFormat="1" x14ac:dyDescent="0.25">
      <c r="A807" s="625" t="s">
        <v>1539</v>
      </c>
      <c r="B807" s="219" t="s">
        <v>5548</v>
      </c>
      <c r="C807" s="219" t="s">
        <v>4809</v>
      </c>
      <c r="D807" s="219" t="s">
        <v>7206</v>
      </c>
      <c r="E807" s="219" t="s">
        <v>1980</v>
      </c>
      <c r="F807" s="455">
        <f t="shared" si="378"/>
        <v>24.810000000000002</v>
      </c>
      <c r="G807" s="530">
        <v>24.810000000000002</v>
      </c>
      <c r="H807" s="488">
        <f t="shared" si="379"/>
        <v>19.850000000000001</v>
      </c>
      <c r="I807" s="707"/>
      <c r="J807" s="669" t="s">
        <v>5805</v>
      </c>
      <c r="K807" s="15"/>
      <c r="L807"/>
      <c r="M807" s="49">
        <f t="shared" si="380"/>
        <v>24.810000000000002</v>
      </c>
      <c r="N807" s="41">
        <v>9.9</v>
      </c>
      <c r="O807" s="186"/>
      <c r="P807" s="177"/>
      <c r="S807" s="178" t="s">
        <v>4180</v>
      </c>
      <c r="T807" s="178" t="s">
        <v>1017</v>
      </c>
      <c r="U807" s="179"/>
      <c r="W807" s="180"/>
      <c r="X807" s="180"/>
      <c r="Z807" s="180"/>
      <c r="AA807" s="184"/>
      <c r="AC807" s="180"/>
      <c r="AD807" s="199" t="s">
        <v>1017</v>
      </c>
      <c r="AE807" s="181" t="s">
        <v>1017</v>
      </c>
      <c r="AF807" s="180"/>
      <c r="AG807" s="201"/>
      <c r="AH807" s="217" t="s">
        <v>4179</v>
      </c>
      <c r="AI807" s="214" t="str">
        <f t="shared" si="373"/>
        <v/>
      </c>
      <c r="AJ807" s="214" t="str">
        <f t="shared" si="374"/>
        <v/>
      </c>
      <c r="AK807" s="214" t="str">
        <f t="shared" si="375"/>
        <v/>
      </c>
      <c r="AL807" s="214" t="str">
        <f t="shared" si="376"/>
        <v/>
      </c>
      <c r="AM807" s="214" t="str">
        <f t="shared" si="377"/>
        <v/>
      </c>
      <c r="AN807" s="213" t="str">
        <f t="shared" si="359"/>
        <v>2012</v>
      </c>
      <c r="AO807" s="213" t="str">
        <f t="shared" si="360"/>
        <v>2012</v>
      </c>
      <c r="AP807" s="213" t="str">
        <f t="shared" si="361"/>
        <v>2012</v>
      </c>
      <c r="AQ807" s="215" t="str">
        <f t="shared" si="362"/>
        <v/>
      </c>
      <c r="AR807" s="216" t="str">
        <f t="shared" si="363"/>
        <v>BiK82X2bK12-04</v>
      </c>
      <c r="AS807" s="215" t="str">
        <f t="shared" si="364"/>
        <v/>
      </c>
      <c r="AT807">
        <f t="shared" si="365"/>
        <v>14</v>
      </c>
      <c r="AU807" s="216" t="str">
        <f t="shared" si="366"/>
        <v>0,15-0,5 MW, Bonusregeln X2, b und K erstmals 2012</v>
      </c>
      <c r="AV807" s="215" t="str">
        <f t="shared" si="367"/>
        <v/>
      </c>
      <c r="AW807" s="216" t="str">
        <f t="shared" si="368"/>
        <v>Anteil KWK, erstmals 2012</v>
      </c>
      <c r="AX807" s="215" t="str">
        <f t="shared" si="369"/>
        <v/>
      </c>
      <c r="AY807" t="str">
        <f t="shared" si="370"/>
        <v/>
      </c>
      <c r="AZ807" t="str">
        <f t="shared" si="371"/>
        <v>x</v>
      </c>
    </row>
    <row r="808" spans="1:52" s="178" customFormat="1" x14ac:dyDescent="0.25">
      <c r="A808" s="610" t="s">
        <v>4408</v>
      </c>
      <c r="B808" s="30" t="s">
        <v>5548</v>
      </c>
      <c r="C808" s="30" t="s">
        <v>4809</v>
      </c>
      <c r="D808" s="30" t="s">
        <v>7207</v>
      </c>
      <c r="E808" s="30" t="s">
        <v>4810</v>
      </c>
      <c r="F808" s="454">
        <f t="shared" si="378"/>
        <v>22.9</v>
      </c>
      <c r="G808" s="529">
        <v>22.9</v>
      </c>
      <c r="H808" s="487">
        <f t="shared" si="379"/>
        <v>18.32</v>
      </c>
      <c r="I808" s="706"/>
      <c r="J808" s="669" t="s">
        <v>5805</v>
      </c>
      <c r="K808" s="15"/>
      <c r="L808"/>
      <c r="M808" s="49">
        <f t="shared" si="380"/>
        <v>22.9</v>
      </c>
      <c r="N808" s="41">
        <v>9.9</v>
      </c>
      <c r="O808" s="187"/>
      <c r="P808" s="183"/>
      <c r="Q808" s="184"/>
      <c r="R808" s="184"/>
      <c r="S808" s="184" t="s">
        <v>4180</v>
      </c>
      <c r="T808" s="178" t="s">
        <v>4180</v>
      </c>
      <c r="U808" s="185" t="s">
        <v>1017</v>
      </c>
      <c r="V808" s="184"/>
      <c r="W808" s="180"/>
      <c r="X808" s="180"/>
      <c r="Z808" s="180"/>
      <c r="AA808" s="184"/>
      <c r="AC808" s="180"/>
      <c r="AD808" s="182" t="s">
        <v>1017</v>
      </c>
      <c r="AE808" s="181" t="s">
        <v>1017</v>
      </c>
      <c r="AF808" s="180"/>
      <c r="AG808" s="201"/>
      <c r="AH808" s="212" t="str">
        <f t="shared" ref="AH808:AH813" si="382">IF(ISERROR(SEARCH("K erstmals 201",D808)),"",RIGHT(D808,4))</f>
        <v/>
      </c>
      <c r="AI808" s="214" t="str">
        <f t="shared" si="373"/>
        <v/>
      </c>
      <c r="AJ808" s="214" t="str">
        <f t="shared" si="374"/>
        <v/>
      </c>
      <c r="AK808" s="214" t="str">
        <f t="shared" si="375"/>
        <v/>
      </c>
      <c r="AL808" s="214" t="str">
        <f t="shared" si="376"/>
        <v/>
      </c>
      <c r="AM808" s="214" t="str">
        <f t="shared" si="377"/>
        <v/>
      </c>
      <c r="AN808" s="213" t="str">
        <f t="shared" si="359"/>
        <v/>
      </c>
      <c r="AO808" s="213" t="str">
        <f t="shared" si="360"/>
        <v/>
      </c>
      <c r="AP808" s="213" t="str">
        <f t="shared" si="361"/>
        <v/>
      </c>
      <c r="AQ808" s="215" t="str">
        <f t="shared" si="362"/>
        <v/>
      </c>
      <c r="AR808" s="216" t="str">
        <f t="shared" si="363"/>
        <v>BiK82X2by---04</v>
      </c>
      <c r="AS808" s="215" t="str">
        <f t="shared" si="364"/>
        <v/>
      </c>
      <c r="AT808">
        <f t="shared" si="365"/>
        <v>14</v>
      </c>
      <c r="AU808" s="216" t="str">
        <f t="shared" si="366"/>
        <v>0,15-0,5 MW, Bonusregeln X2, y, b</v>
      </c>
      <c r="AV808" s="215" t="str">
        <f t="shared" si="367"/>
        <v/>
      </c>
      <c r="AW808" s="216" t="str">
        <f t="shared" si="368"/>
        <v>Anteil Nicht-KWK</v>
      </c>
      <c r="AX808" s="215" t="str">
        <f t="shared" si="369"/>
        <v/>
      </c>
      <c r="AY808" t="str">
        <f t="shared" si="370"/>
        <v/>
      </c>
      <c r="AZ808" t="str">
        <f t="shared" si="371"/>
        <v/>
      </c>
    </row>
    <row r="809" spans="1:52" s="178" customFormat="1" x14ac:dyDescent="0.25">
      <c r="A809" s="610" t="s">
        <v>4409</v>
      </c>
      <c r="B809" s="30" t="s">
        <v>5548</v>
      </c>
      <c r="C809" s="30" t="s">
        <v>4809</v>
      </c>
      <c r="D809" s="30" t="s">
        <v>7208</v>
      </c>
      <c r="E809" s="30" t="s">
        <v>4812</v>
      </c>
      <c r="F809" s="454">
        <f t="shared" si="378"/>
        <v>24.9</v>
      </c>
      <c r="G809" s="529">
        <v>24.9</v>
      </c>
      <c r="H809" s="487">
        <f t="shared" si="379"/>
        <v>19.920000000000002</v>
      </c>
      <c r="I809" s="706"/>
      <c r="J809" s="669" t="s">
        <v>5805</v>
      </c>
      <c r="K809" s="15"/>
      <c r="L809"/>
      <c r="M809" s="49">
        <f t="shared" si="380"/>
        <v>24.9</v>
      </c>
      <c r="N809" s="41">
        <v>9.9</v>
      </c>
      <c r="O809" s="187" t="s">
        <v>1017</v>
      </c>
      <c r="P809" s="183"/>
      <c r="Q809" s="184"/>
      <c r="R809" s="184"/>
      <c r="S809" s="184" t="s">
        <v>4180</v>
      </c>
      <c r="T809" s="178" t="s">
        <v>4180</v>
      </c>
      <c r="U809" s="185" t="s">
        <v>1017</v>
      </c>
      <c r="V809" s="184"/>
      <c r="W809" s="180"/>
      <c r="X809" s="180"/>
      <c r="Z809" s="180"/>
      <c r="AA809" s="184"/>
      <c r="AC809" s="180"/>
      <c r="AD809" s="182" t="s">
        <v>1017</v>
      </c>
      <c r="AE809" s="181" t="s">
        <v>1017</v>
      </c>
      <c r="AF809" s="180"/>
      <c r="AG809" s="201"/>
      <c r="AH809" s="212" t="str">
        <f t="shared" si="382"/>
        <v/>
      </c>
      <c r="AI809" s="214" t="str">
        <f t="shared" si="373"/>
        <v/>
      </c>
      <c r="AJ809" s="214" t="str">
        <f t="shared" si="374"/>
        <v/>
      </c>
      <c r="AK809" s="214" t="str">
        <f t="shared" si="375"/>
        <v/>
      </c>
      <c r="AL809" s="214" t="str">
        <f t="shared" si="376"/>
        <v/>
      </c>
      <c r="AM809" s="214" t="str">
        <f t="shared" si="377"/>
        <v/>
      </c>
      <c r="AN809" s="213" t="str">
        <f t="shared" si="359"/>
        <v/>
      </c>
      <c r="AO809" s="213" t="str">
        <f t="shared" si="360"/>
        <v/>
      </c>
      <c r="AP809" s="213" t="str">
        <f t="shared" si="361"/>
        <v/>
      </c>
      <c r="AQ809" s="215" t="str">
        <f t="shared" si="362"/>
        <v/>
      </c>
      <c r="AR809" s="216" t="str">
        <f t="shared" si="363"/>
        <v>BiK82X2bKWKy04</v>
      </c>
      <c r="AS809" s="215" t="str">
        <f t="shared" si="364"/>
        <v/>
      </c>
      <c r="AT809">
        <f t="shared" si="365"/>
        <v>14</v>
      </c>
      <c r="AU809" s="216" t="str">
        <f t="shared" si="366"/>
        <v>0,15-0,5 MW, Bonusregeln X2, y, b und KWK</v>
      </c>
      <c r="AV809" s="215" t="str">
        <f t="shared" si="367"/>
        <v/>
      </c>
      <c r="AW809" s="216" t="str">
        <f t="shared" si="368"/>
        <v>Anteil KWK</v>
      </c>
      <c r="AX809" s="215" t="str">
        <f t="shared" si="369"/>
        <v/>
      </c>
      <c r="AY809" t="str">
        <f t="shared" si="370"/>
        <v/>
      </c>
      <c r="AZ809" t="str">
        <f t="shared" si="371"/>
        <v/>
      </c>
    </row>
    <row r="810" spans="1:52" s="178" customFormat="1" x14ac:dyDescent="0.25">
      <c r="A810" s="610" t="s">
        <v>4410</v>
      </c>
      <c r="B810" s="30" t="s">
        <v>5548</v>
      </c>
      <c r="C810" s="30" t="s">
        <v>4809</v>
      </c>
      <c r="D810" s="109" t="s">
        <v>7209</v>
      </c>
      <c r="E810" s="30" t="s">
        <v>4331</v>
      </c>
      <c r="F810" s="454">
        <f t="shared" si="378"/>
        <v>25.9</v>
      </c>
      <c r="G810" s="529">
        <v>25.9</v>
      </c>
      <c r="H810" s="487">
        <f t="shared" si="379"/>
        <v>20.72</v>
      </c>
      <c r="I810" s="706"/>
      <c r="J810" s="669" t="s">
        <v>5805</v>
      </c>
      <c r="K810" s="15"/>
      <c r="L810"/>
      <c r="M810" s="49">
        <f t="shared" si="380"/>
        <v>25.9</v>
      </c>
      <c r="N810" s="41">
        <v>9.9</v>
      </c>
      <c r="O810" s="187"/>
      <c r="P810" s="184" t="s">
        <v>1017</v>
      </c>
      <c r="Q810" s="184"/>
      <c r="R810" s="184"/>
      <c r="S810" s="184" t="s">
        <v>4180</v>
      </c>
      <c r="T810" s="178" t="s">
        <v>4180</v>
      </c>
      <c r="U810" s="185" t="s">
        <v>1017</v>
      </c>
      <c r="V810" s="184"/>
      <c r="W810" s="180"/>
      <c r="X810" s="180"/>
      <c r="Z810" s="180"/>
      <c r="AA810" s="184"/>
      <c r="AC810" s="180"/>
      <c r="AD810" s="182" t="s">
        <v>1017</v>
      </c>
      <c r="AE810" s="181" t="s">
        <v>1017</v>
      </c>
      <c r="AF810" s="180"/>
      <c r="AG810" s="201"/>
      <c r="AH810" s="212" t="str">
        <f t="shared" si="382"/>
        <v/>
      </c>
      <c r="AI810" s="214" t="str">
        <f t="shared" si="373"/>
        <v/>
      </c>
      <c r="AJ810" s="214" t="str">
        <f t="shared" si="374"/>
        <v/>
      </c>
      <c r="AK810" s="214" t="str">
        <f t="shared" si="375"/>
        <v/>
      </c>
      <c r="AL810" s="214" t="str">
        <f t="shared" si="376"/>
        <v/>
      </c>
      <c r="AM810" s="214" t="str">
        <f t="shared" si="377"/>
        <v/>
      </c>
      <c r="AN810" s="213" t="str">
        <f t="shared" si="359"/>
        <v/>
      </c>
      <c r="AO810" s="213" t="str">
        <f t="shared" si="360"/>
        <v/>
      </c>
      <c r="AP810" s="213" t="str">
        <f t="shared" si="361"/>
        <v/>
      </c>
      <c r="AQ810" s="215" t="str">
        <f t="shared" si="362"/>
        <v/>
      </c>
      <c r="AR810" s="216" t="str">
        <f t="shared" si="363"/>
        <v>BiK82X2bKA3y04</v>
      </c>
      <c r="AS810" s="215" t="str">
        <f t="shared" si="364"/>
        <v/>
      </c>
      <c r="AT810">
        <f t="shared" si="365"/>
        <v>14</v>
      </c>
      <c r="AU810" s="216" t="str">
        <f t="shared" si="366"/>
        <v>0,15-0,5 MW, Bonusregeln X2, y, b und K wenn Anlage 3 erfüllt</v>
      </c>
      <c r="AV810" s="215" t="str">
        <f t="shared" si="367"/>
        <v/>
      </c>
      <c r="AW810" s="216" t="str">
        <f t="shared" si="368"/>
        <v>Anteil KWK gemäß Anlage 3</v>
      </c>
      <c r="AX810" s="215" t="str">
        <f t="shared" si="369"/>
        <v/>
      </c>
      <c r="AY810" t="str">
        <f t="shared" si="370"/>
        <v/>
      </c>
      <c r="AZ810" t="str">
        <f t="shared" si="371"/>
        <v/>
      </c>
    </row>
    <row r="811" spans="1:52" s="178" customFormat="1" x14ac:dyDescent="0.25">
      <c r="A811" s="610" t="s">
        <v>4411</v>
      </c>
      <c r="B811" s="30" t="s">
        <v>5548</v>
      </c>
      <c r="C811" s="30" t="s">
        <v>4809</v>
      </c>
      <c r="D811" s="30" t="s">
        <v>7210</v>
      </c>
      <c r="E811" s="30" t="s">
        <v>674</v>
      </c>
      <c r="F811" s="454">
        <f t="shared" si="378"/>
        <v>25.9</v>
      </c>
      <c r="G811" s="529">
        <v>25.9</v>
      </c>
      <c r="H811" s="487">
        <f t="shared" si="379"/>
        <v>20.72</v>
      </c>
      <c r="I811" s="706"/>
      <c r="J811" s="669" t="s">
        <v>5805</v>
      </c>
      <c r="K811" s="15"/>
      <c r="L811"/>
      <c r="M811" s="49">
        <f t="shared" si="380"/>
        <v>25.9</v>
      </c>
      <c r="N811" s="41">
        <v>9.9</v>
      </c>
      <c r="O811" s="187"/>
      <c r="P811" s="183"/>
      <c r="Q811" s="184" t="s">
        <v>1017</v>
      </c>
      <c r="R811" s="184"/>
      <c r="S811" s="184" t="s">
        <v>4180</v>
      </c>
      <c r="T811" s="178" t="s">
        <v>4180</v>
      </c>
      <c r="U811" s="185" t="s">
        <v>1017</v>
      </c>
      <c r="V811" s="184"/>
      <c r="W811" s="180"/>
      <c r="X811" s="180"/>
      <c r="Z811" s="180"/>
      <c r="AA811" s="184"/>
      <c r="AC811" s="180"/>
      <c r="AD811" s="182" t="s">
        <v>1017</v>
      </c>
      <c r="AE811" s="181" t="s">
        <v>1017</v>
      </c>
      <c r="AF811" s="180"/>
      <c r="AG811" s="201"/>
      <c r="AH811" s="212" t="str">
        <f t="shared" si="382"/>
        <v/>
      </c>
      <c r="AI811" s="214" t="str">
        <f t="shared" si="373"/>
        <v/>
      </c>
      <c r="AJ811" s="214" t="str">
        <f t="shared" si="374"/>
        <v/>
      </c>
      <c r="AK811" s="214" t="str">
        <f t="shared" si="375"/>
        <v/>
      </c>
      <c r="AL811" s="214" t="str">
        <f t="shared" si="376"/>
        <v/>
      </c>
      <c r="AM811" s="214" t="str">
        <f t="shared" si="377"/>
        <v/>
      </c>
      <c r="AN811" s="213" t="str">
        <f t="shared" si="359"/>
        <v/>
      </c>
      <c r="AO811" s="213" t="str">
        <f t="shared" si="360"/>
        <v/>
      </c>
      <c r="AP811" s="213" t="str">
        <f t="shared" si="361"/>
        <v/>
      </c>
      <c r="AQ811" s="215" t="str">
        <f t="shared" si="362"/>
        <v/>
      </c>
      <c r="AR811" s="216" t="str">
        <f t="shared" si="363"/>
        <v>BiK82X2bK09y04</v>
      </c>
      <c r="AS811" s="215" t="str">
        <f t="shared" si="364"/>
        <v/>
      </c>
      <c r="AT811">
        <f t="shared" si="365"/>
        <v>14</v>
      </c>
      <c r="AU811" s="216" t="str">
        <f t="shared" si="366"/>
        <v>0,15-0,5 MW, Bonusregeln X2, y, b und K erstmals 2009</v>
      </c>
      <c r="AV811" s="215" t="str">
        <f t="shared" si="367"/>
        <v/>
      </c>
      <c r="AW811" s="216" t="str">
        <f t="shared" si="368"/>
        <v>Anteil KWK, erstmals 2009</v>
      </c>
      <c r="AX811" s="215" t="str">
        <f t="shared" si="369"/>
        <v/>
      </c>
      <c r="AY811" t="str">
        <f t="shared" si="370"/>
        <v/>
      </c>
      <c r="AZ811" t="str">
        <f t="shared" si="371"/>
        <v/>
      </c>
    </row>
    <row r="812" spans="1:52" s="178" customFormat="1" x14ac:dyDescent="0.25">
      <c r="A812" s="610" t="s">
        <v>1271</v>
      </c>
      <c r="B812" s="30" t="s">
        <v>5548</v>
      </c>
      <c r="C812" s="30" t="s">
        <v>4809</v>
      </c>
      <c r="D812" s="30" t="s">
        <v>7211</v>
      </c>
      <c r="E812" s="30" t="s">
        <v>3567</v>
      </c>
      <c r="F812" s="454">
        <f t="shared" si="378"/>
        <v>25.87</v>
      </c>
      <c r="G812" s="529">
        <v>25.87</v>
      </c>
      <c r="H812" s="487">
        <f t="shared" si="379"/>
        <v>20.7</v>
      </c>
      <c r="I812" s="706"/>
      <c r="J812" s="669" t="s">
        <v>5805</v>
      </c>
      <c r="K812" s="15"/>
      <c r="L812"/>
      <c r="M812" s="49">
        <f t="shared" si="380"/>
        <v>25.87</v>
      </c>
      <c r="N812" s="41">
        <v>9.9</v>
      </c>
      <c r="O812" s="187"/>
      <c r="P812" s="183"/>
      <c r="Q812" s="184"/>
      <c r="R812" s="184" t="s">
        <v>1017</v>
      </c>
      <c r="S812" s="184" t="s">
        <v>4180</v>
      </c>
      <c r="T812" s="178" t="s">
        <v>4180</v>
      </c>
      <c r="U812" s="185" t="s">
        <v>1017</v>
      </c>
      <c r="V812" s="184"/>
      <c r="W812" s="180"/>
      <c r="X812" s="180"/>
      <c r="Z812" s="180"/>
      <c r="AA812" s="184"/>
      <c r="AC812" s="180"/>
      <c r="AD812" s="182" t="s">
        <v>1017</v>
      </c>
      <c r="AE812" s="181" t="s">
        <v>1017</v>
      </c>
      <c r="AF812" s="180"/>
      <c r="AG812" s="201"/>
      <c r="AH812" s="212" t="str">
        <f t="shared" si="382"/>
        <v>2010</v>
      </c>
      <c r="AI812" s="214" t="str">
        <f t="shared" si="373"/>
        <v/>
      </c>
      <c r="AJ812" s="214" t="str">
        <f t="shared" si="374"/>
        <v/>
      </c>
      <c r="AK812" s="214" t="str">
        <f t="shared" si="375"/>
        <v/>
      </c>
      <c r="AL812" s="214" t="str">
        <f t="shared" si="376"/>
        <v/>
      </c>
      <c r="AM812" s="214" t="str">
        <f t="shared" si="377"/>
        <v/>
      </c>
      <c r="AN812" s="213" t="str">
        <f t="shared" si="359"/>
        <v>2010</v>
      </c>
      <c r="AO812" s="213" t="str">
        <f t="shared" si="360"/>
        <v>2010</v>
      </c>
      <c r="AP812" s="213" t="str">
        <f t="shared" si="361"/>
        <v>2010</v>
      </c>
      <c r="AQ812" s="215" t="str">
        <f t="shared" si="362"/>
        <v/>
      </c>
      <c r="AR812" s="216" t="str">
        <f t="shared" si="363"/>
        <v>BiK82X2bK10y04</v>
      </c>
      <c r="AS812" s="215" t="str">
        <f t="shared" si="364"/>
        <v/>
      </c>
      <c r="AT812">
        <f t="shared" si="365"/>
        <v>14</v>
      </c>
      <c r="AU812" s="216" t="str">
        <f t="shared" si="366"/>
        <v>0,15-0,5 MW, Bonusregeln X2, y, b und K erstmals 2010</v>
      </c>
      <c r="AV812" s="215" t="str">
        <f t="shared" si="367"/>
        <v/>
      </c>
      <c r="AW812" s="216" t="str">
        <f t="shared" si="368"/>
        <v>Anteil KWK, erstmals 2010</v>
      </c>
      <c r="AX812" s="215" t="str">
        <f t="shared" si="369"/>
        <v/>
      </c>
      <c r="AY812" t="str">
        <f t="shared" si="370"/>
        <v/>
      </c>
      <c r="AZ812" t="str">
        <f t="shared" si="371"/>
        <v/>
      </c>
    </row>
    <row r="813" spans="1:52" s="178" customFormat="1" x14ac:dyDescent="0.25">
      <c r="A813" s="610" t="s">
        <v>5290</v>
      </c>
      <c r="B813" s="30" t="s">
        <v>5548</v>
      </c>
      <c r="C813" s="30" t="s">
        <v>4809</v>
      </c>
      <c r="D813" s="30" t="s">
        <v>7212</v>
      </c>
      <c r="E813" s="30" t="s">
        <v>3055</v>
      </c>
      <c r="F813" s="454">
        <f t="shared" si="378"/>
        <v>25.84</v>
      </c>
      <c r="G813" s="529">
        <v>25.84</v>
      </c>
      <c r="H813" s="487">
        <f t="shared" si="379"/>
        <v>20.67</v>
      </c>
      <c r="I813" s="706"/>
      <c r="J813" s="669" t="s">
        <v>5805</v>
      </c>
      <c r="K813" s="15"/>
      <c r="L813"/>
      <c r="M813" s="49">
        <f t="shared" si="380"/>
        <v>25.84</v>
      </c>
      <c r="N813" s="41">
        <v>9.9</v>
      </c>
      <c r="O813" s="187"/>
      <c r="P813" s="183"/>
      <c r="Q813" s="184"/>
      <c r="S813" s="184" t="s">
        <v>1017</v>
      </c>
      <c r="T813" s="178" t="s">
        <v>4180</v>
      </c>
      <c r="U813" s="185" t="s">
        <v>1017</v>
      </c>
      <c r="V813" s="184"/>
      <c r="W813" s="180"/>
      <c r="X813" s="180"/>
      <c r="Z813" s="180"/>
      <c r="AA813" s="184"/>
      <c r="AC813" s="180"/>
      <c r="AD813" s="182" t="s">
        <v>1017</v>
      </c>
      <c r="AE813" s="181" t="s">
        <v>1017</v>
      </c>
      <c r="AF813" s="180"/>
      <c r="AG813" s="201"/>
      <c r="AH813" s="212" t="str">
        <f t="shared" si="382"/>
        <v>2011</v>
      </c>
      <c r="AI813" s="214" t="str">
        <f t="shared" si="373"/>
        <v/>
      </c>
      <c r="AJ813" s="214" t="str">
        <f t="shared" si="374"/>
        <v/>
      </c>
      <c r="AK813" s="214" t="str">
        <f t="shared" si="375"/>
        <v/>
      </c>
      <c r="AL813" s="214" t="str">
        <f t="shared" si="376"/>
        <v/>
      </c>
      <c r="AM813" s="214" t="str">
        <f t="shared" si="377"/>
        <v/>
      </c>
      <c r="AN813" s="213" t="str">
        <f t="shared" si="359"/>
        <v>2011</v>
      </c>
      <c r="AO813" s="213" t="str">
        <f t="shared" si="360"/>
        <v>2011</v>
      </c>
      <c r="AP813" s="213" t="str">
        <f t="shared" si="361"/>
        <v>2011</v>
      </c>
      <c r="AQ813" s="215" t="str">
        <f t="shared" si="362"/>
        <v/>
      </c>
      <c r="AR813" s="216" t="str">
        <f t="shared" si="363"/>
        <v>BiK82X2bK11y04</v>
      </c>
      <c r="AS813" s="215" t="str">
        <f t="shared" si="364"/>
        <v/>
      </c>
      <c r="AT813">
        <f t="shared" si="365"/>
        <v>14</v>
      </c>
      <c r="AU813" s="216" t="str">
        <f t="shared" si="366"/>
        <v>0,15-0,5 MW, Bonusregeln X2, y, b und K erstmals 2011</v>
      </c>
      <c r="AV813" s="215" t="str">
        <f t="shared" si="367"/>
        <v/>
      </c>
      <c r="AW813" s="216" t="str">
        <f t="shared" si="368"/>
        <v>Anteil KWK, erstmals 2011</v>
      </c>
      <c r="AX813" s="215" t="str">
        <f t="shared" si="369"/>
        <v/>
      </c>
      <c r="AY813" t="str">
        <f t="shared" si="370"/>
        <v>x</v>
      </c>
      <c r="AZ813" t="str">
        <f t="shared" si="371"/>
        <v/>
      </c>
    </row>
    <row r="814" spans="1:52" s="178" customFormat="1" x14ac:dyDescent="0.25">
      <c r="A814" s="625" t="s">
        <v>1540</v>
      </c>
      <c r="B814" s="219" t="s">
        <v>5548</v>
      </c>
      <c r="C814" s="219" t="s">
        <v>4809</v>
      </c>
      <c r="D814" s="219" t="s">
        <v>7213</v>
      </c>
      <c r="E814" s="219" t="s">
        <v>1980</v>
      </c>
      <c r="F814" s="455">
        <f t="shared" si="378"/>
        <v>25.810000000000002</v>
      </c>
      <c r="G814" s="530">
        <v>25.810000000000002</v>
      </c>
      <c r="H814" s="488">
        <f t="shared" si="379"/>
        <v>20.65</v>
      </c>
      <c r="I814" s="707"/>
      <c r="J814" s="669" t="s">
        <v>5805</v>
      </c>
      <c r="K814" s="15"/>
      <c r="L814"/>
      <c r="M814" s="49">
        <f t="shared" si="380"/>
        <v>25.810000000000002</v>
      </c>
      <c r="N814" s="41">
        <v>9.9</v>
      </c>
      <c r="O814" s="187"/>
      <c r="P814" s="183"/>
      <c r="Q814" s="184"/>
      <c r="S814" s="184" t="s">
        <v>4180</v>
      </c>
      <c r="T814" s="178" t="s">
        <v>1017</v>
      </c>
      <c r="U814" s="185" t="s">
        <v>1017</v>
      </c>
      <c r="V814" s="184"/>
      <c r="W814" s="180"/>
      <c r="X814" s="180"/>
      <c r="Z814" s="180"/>
      <c r="AA814" s="184"/>
      <c r="AC814" s="180"/>
      <c r="AD814" s="182" t="s">
        <v>1017</v>
      </c>
      <c r="AE814" s="181" t="s">
        <v>1017</v>
      </c>
      <c r="AF814" s="180"/>
      <c r="AG814" s="201"/>
      <c r="AH814" s="217" t="s">
        <v>4179</v>
      </c>
      <c r="AI814" s="214" t="str">
        <f t="shared" si="373"/>
        <v/>
      </c>
      <c r="AJ814" s="214" t="str">
        <f t="shared" si="374"/>
        <v/>
      </c>
      <c r="AK814" s="214" t="str">
        <f t="shared" si="375"/>
        <v/>
      </c>
      <c r="AL814" s="214" t="str">
        <f t="shared" si="376"/>
        <v/>
      </c>
      <c r="AM814" s="214" t="str">
        <f t="shared" si="377"/>
        <v/>
      </c>
      <c r="AN814" s="213" t="str">
        <f t="shared" si="359"/>
        <v>2012</v>
      </c>
      <c r="AO814" s="213" t="str">
        <f t="shared" si="360"/>
        <v>2012</v>
      </c>
      <c r="AP814" s="213" t="str">
        <f t="shared" si="361"/>
        <v>2012</v>
      </c>
      <c r="AQ814" s="215" t="str">
        <f t="shared" si="362"/>
        <v/>
      </c>
      <c r="AR814" s="216" t="str">
        <f t="shared" si="363"/>
        <v>BiK82X2bK12y04</v>
      </c>
      <c r="AS814" s="215" t="str">
        <f t="shared" si="364"/>
        <v/>
      </c>
      <c r="AT814">
        <f t="shared" si="365"/>
        <v>14</v>
      </c>
      <c r="AU814" s="216" t="str">
        <f t="shared" si="366"/>
        <v>0,15-0,5 MW, Bonusregeln X2, y, b und K erstmals 2012</v>
      </c>
      <c r="AV814" s="215" t="str">
        <f t="shared" si="367"/>
        <v/>
      </c>
      <c r="AW814" s="216" t="str">
        <f t="shared" si="368"/>
        <v>Anteil KWK, erstmals 2012</v>
      </c>
      <c r="AX814" s="215" t="str">
        <f t="shared" si="369"/>
        <v/>
      </c>
      <c r="AY814" t="str">
        <f t="shared" si="370"/>
        <v/>
      </c>
      <c r="AZ814" t="str">
        <f t="shared" si="371"/>
        <v>x</v>
      </c>
    </row>
    <row r="815" spans="1:52" s="178" customFormat="1" x14ac:dyDescent="0.25">
      <c r="A815" s="609" t="s">
        <v>4492</v>
      </c>
      <c r="B815" s="1" t="s">
        <v>5548</v>
      </c>
      <c r="C815" s="2" t="s">
        <v>4809</v>
      </c>
      <c r="D815" s="1" t="s">
        <v>5408</v>
      </c>
      <c r="E815" s="1" t="s">
        <v>4810</v>
      </c>
      <c r="F815" s="456">
        <f t="shared" si="378"/>
        <v>8.9</v>
      </c>
      <c r="G815" s="531">
        <v>8.9</v>
      </c>
      <c r="H815" s="489">
        <f t="shared" si="379"/>
        <v>7.12</v>
      </c>
      <c r="I815" s="708"/>
      <c r="J815" s="669" t="s">
        <v>5805</v>
      </c>
      <c r="K815" s="15"/>
      <c r="L815"/>
      <c r="M815" s="49">
        <f t="shared" si="380"/>
        <v>8.9</v>
      </c>
      <c r="N815" s="41">
        <v>8.9</v>
      </c>
      <c r="O815" s="54"/>
      <c r="P815" s="74"/>
      <c r="Q815"/>
      <c r="R815"/>
      <c r="S815" t="s">
        <v>4180</v>
      </c>
      <c r="T815" s="178" t="s">
        <v>4180</v>
      </c>
      <c r="U815" s="75"/>
      <c r="V815" s="65"/>
      <c r="W815"/>
      <c r="X815"/>
      <c r="Y815" s="65"/>
      <c r="Z815" s="65"/>
      <c r="AA815" s="65"/>
      <c r="AB815" s="65"/>
      <c r="AC815" s="65"/>
      <c r="AD815" s="91"/>
      <c r="AE815" s="124"/>
      <c r="AF815" s="65"/>
      <c r="AG815" s="91"/>
      <c r="AH815" s="212" t="str">
        <f>IF(ISERROR(SEARCH("K erstmals 201",D815)),"",RIGHT(D815,4))</f>
        <v/>
      </c>
      <c r="AI815" s="214" t="str">
        <f t="shared" si="373"/>
        <v/>
      </c>
      <c r="AJ815" s="214" t="str">
        <f t="shared" si="374"/>
        <v/>
      </c>
      <c r="AK815" s="214" t="str">
        <f t="shared" si="375"/>
        <v/>
      </c>
      <c r="AL815" s="214" t="str">
        <f t="shared" si="376"/>
        <v/>
      </c>
      <c r="AM815" s="214" t="str">
        <f t="shared" si="377"/>
        <v/>
      </c>
      <c r="AN815" s="213" t="str">
        <f t="shared" si="359"/>
        <v/>
      </c>
      <c r="AO815" s="213" t="str">
        <f t="shared" si="360"/>
        <v/>
      </c>
      <c r="AP815" s="213" t="str">
        <f t="shared" si="361"/>
        <v/>
      </c>
      <c r="AQ815" s="215" t="str">
        <f t="shared" si="362"/>
        <v/>
      </c>
      <c r="AR815" s="216" t="str">
        <f t="shared" si="363"/>
        <v>BiK83-------04</v>
      </c>
      <c r="AS815" s="215" t="str">
        <f t="shared" si="364"/>
        <v/>
      </c>
      <c r="AT815">
        <f t="shared" si="365"/>
        <v>14</v>
      </c>
      <c r="AU815" s="216" t="str">
        <f t="shared" si="366"/>
        <v>0,5-5 MW</v>
      </c>
      <c r="AV815" s="215" t="str">
        <f t="shared" si="367"/>
        <v/>
      </c>
      <c r="AW815" s="216" t="str">
        <f t="shared" si="368"/>
        <v>Anteil Nicht-KWK</v>
      </c>
      <c r="AX815" s="215" t="str">
        <f t="shared" si="369"/>
        <v/>
      </c>
      <c r="AY815" t="str">
        <f t="shared" si="370"/>
        <v/>
      </c>
      <c r="AZ815" t="str">
        <f t="shared" si="371"/>
        <v/>
      </c>
    </row>
    <row r="816" spans="1:52" s="178" customFormat="1" x14ac:dyDescent="0.25">
      <c r="A816" s="609" t="s">
        <v>4493</v>
      </c>
      <c r="B816" s="1" t="s">
        <v>5548</v>
      </c>
      <c r="C816" s="2" t="s">
        <v>4809</v>
      </c>
      <c r="D816" s="1" t="s">
        <v>6774</v>
      </c>
      <c r="E816" s="1" t="s">
        <v>4812</v>
      </c>
      <c r="F816" s="456">
        <f t="shared" si="378"/>
        <v>10.9</v>
      </c>
      <c r="G816" s="531">
        <v>10.9</v>
      </c>
      <c r="H816" s="489">
        <f t="shared" si="379"/>
        <v>8.7200000000000006</v>
      </c>
      <c r="I816" s="708"/>
      <c r="J816" s="669" t="s">
        <v>5805</v>
      </c>
      <c r="K816" s="15"/>
      <c r="L816"/>
      <c r="M816" s="49">
        <f t="shared" si="380"/>
        <v>10.9</v>
      </c>
      <c r="N816" s="41">
        <v>8.9</v>
      </c>
      <c r="O816" s="54" t="s">
        <v>1017</v>
      </c>
      <c r="P816" s="74"/>
      <c r="Q816"/>
      <c r="R816"/>
      <c r="S816" t="s">
        <v>4180</v>
      </c>
      <c r="T816" s="178" t="s">
        <v>4180</v>
      </c>
      <c r="U816" s="75"/>
      <c r="V816" s="65"/>
      <c r="W816"/>
      <c r="X816"/>
      <c r="Y816" s="65"/>
      <c r="Z816" s="65"/>
      <c r="AA816" s="65"/>
      <c r="AB816" s="65"/>
      <c r="AC816" s="65"/>
      <c r="AD816" s="91"/>
      <c r="AE816" s="124"/>
      <c r="AF816" s="65"/>
      <c r="AG816" s="91"/>
      <c r="AH816" s="212" t="str">
        <f>IF(ISERROR(SEARCH("K erstmals 201",D816)),"",RIGHT(D816,4))</f>
        <v/>
      </c>
      <c r="AI816" s="214" t="str">
        <f t="shared" si="373"/>
        <v/>
      </c>
      <c r="AJ816" s="214" t="str">
        <f t="shared" si="374"/>
        <v/>
      </c>
      <c r="AK816" s="214" t="str">
        <f t="shared" si="375"/>
        <v/>
      </c>
      <c r="AL816" s="214" t="str">
        <f t="shared" si="376"/>
        <v/>
      </c>
      <c r="AM816" s="214" t="str">
        <f t="shared" si="377"/>
        <v/>
      </c>
      <c r="AN816" s="213" t="str">
        <f t="shared" si="359"/>
        <v/>
      </c>
      <c r="AO816" s="213" t="str">
        <f t="shared" si="360"/>
        <v/>
      </c>
      <c r="AP816" s="213" t="str">
        <f t="shared" si="361"/>
        <v/>
      </c>
      <c r="AQ816" s="215" t="str">
        <f t="shared" si="362"/>
        <v/>
      </c>
      <c r="AR816" s="216" t="str">
        <f t="shared" si="363"/>
        <v>BiK83KWK----04</v>
      </c>
      <c r="AS816" s="215" t="str">
        <f t="shared" si="364"/>
        <v/>
      </c>
      <c r="AT816">
        <f t="shared" si="365"/>
        <v>14</v>
      </c>
      <c r="AU816" s="216" t="str">
        <f t="shared" si="366"/>
        <v>0,5-5 MW, Bonusregel KWK</v>
      </c>
      <c r="AV816" s="215" t="str">
        <f t="shared" si="367"/>
        <v/>
      </c>
      <c r="AW816" s="216" t="str">
        <f t="shared" si="368"/>
        <v>Anteil KWK</v>
      </c>
      <c r="AX816" s="215" t="str">
        <f t="shared" si="369"/>
        <v/>
      </c>
      <c r="AY816" t="str">
        <f t="shared" si="370"/>
        <v/>
      </c>
      <c r="AZ816" t="str">
        <f t="shared" si="371"/>
        <v/>
      </c>
    </row>
    <row r="817" spans="1:52" s="178" customFormat="1" x14ac:dyDescent="0.25">
      <c r="A817" s="610" t="s">
        <v>2594</v>
      </c>
      <c r="B817" s="17" t="s">
        <v>5548</v>
      </c>
      <c r="C817" s="17" t="s">
        <v>4809</v>
      </c>
      <c r="D817" s="30" t="s">
        <v>6754</v>
      </c>
      <c r="E817" s="30" t="s">
        <v>674</v>
      </c>
      <c r="F817" s="454">
        <f t="shared" si="378"/>
        <v>11.9</v>
      </c>
      <c r="G817" s="529">
        <v>11.9</v>
      </c>
      <c r="H817" s="487">
        <f t="shared" si="379"/>
        <v>9.52</v>
      </c>
      <c r="I817" s="706"/>
      <c r="J817" s="669" t="s">
        <v>5805</v>
      </c>
      <c r="K817" s="15"/>
      <c r="L817"/>
      <c r="M817" s="49">
        <f t="shared" si="380"/>
        <v>11.9</v>
      </c>
      <c r="N817" s="41">
        <v>8.9</v>
      </c>
      <c r="O817" s="54"/>
      <c r="P817" s="74"/>
      <c r="Q817" t="s">
        <v>1017</v>
      </c>
      <c r="R817"/>
      <c r="S817" t="s">
        <v>4180</v>
      </c>
      <c r="T817" s="178" t="s">
        <v>4180</v>
      </c>
      <c r="U817" s="75"/>
      <c r="V817" s="65"/>
      <c r="W817"/>
      <c r="X817"/>
      <c r="Y817" s="65"/>
      <c r="Z817" s="65"/>
      <c r="AA817" s="65"/>
      <c r="AB817" s="65"/>
      <c r="AC817" s="65"/>
      <c r="AD817" s="91"/>
      <c r="AE817" s="124"/>
      <c r="AF817" s="65"/>
      <c r="AG817" s="91"/>
      <c r="AH817" s="212" t="str">
        <f>IF(ISERROR(SEARCH("K erstmals 201",D817)),"",RIGHT(D817,4))</f>
        <v/>
      </c>
      <c r="AI817" s="214" t="str">
        <f t="shared" si="373"/>
        <v/>
      </c>
      <c r="AJ817" s="214" t="str">
        <f t="shared" si="374"/>
        <v/>
      </c>
      <c r="AK817" s="214" t="str">
        <f t="shared" si="375"/>
        <v/>
      </c>
      <c r="AL817" s="214" t="str">
        <f t="shared" si="376"/>
        <v/>
      </c>
      <c r="AM817" s="214" t="str">
        <f t="shared" si="377"/>
        <v/>
      </c>
      <c r="AN817" s="213" t="str">
        <f t="shared" si="359"/>
        <v/>
      </c>
      <c r="AO817" s="213" t="str">
        <f t="shared" si="360"/>
        <v/>
      </c>
      <c r="AP817" s="213" t="str">
        <f t="shared" si="361"/>
        <v/>
      </c>
      <c r="AQ817" s="215" t="str">
        <f t="shared" si="362"/>
        <v/>
      </c>
      <c r="AR817" s="216" t="str">
        <f t="shared" si="363"/>
        <v>BiK83K09----04</v>
      </c>
      <c r="AS817" s="215" t="str">
        <f t="shared" si="364"/>
        <v/>
      </c>
      <c r="AT817">
        <f t="shared" si="365"/>
        <v>14</v>
      </c>
      <c r="AU817" s="216" t="str">
        <f t="shared" si="366"/>
        <v>0,5-5 MW, Bonusregel K erstmals 2009</v>
      </c>
      <c r="AV817" s="215" t="str">
        <f t="shared" si="367"/>
        <v/>
      </c>
      <c r="AW817" s="216" t="str">
        <f t="shared" si="368"/>
        <v>Anteil KWK, erstmals 2009</v>
      </c>
      <c r="AX817" s="215" t="str">
        <f t="shared" si="369"/>
        <v/>
      </c>
      <c r="AY817" t="str">
        <f t="shared" si="370"/>
        <v/>
      </c>
      <c r="AZ817" t="str">
        <f t="shared" si="371"/>
        <v/>
      </c>
    </row>
    <row r="818" spans="1:52" s="178" customFormat="1" x14ac:dyDescent="0.25">
      <c r="A818" s="610" t="s">
        <v>4038</v>
      </c>
      <c r="B818" s="17" t="s">
        <v>5548</v>
      </c>
      <c r="C818" s="17" t="s">
        <v>4809</v>
      </c>
      <c r="D818" s="30" t="s">
        <v>6755</v>
      </c>
      <c r="E818" s="30" t="s">
        <v>3567</v>
      </c>
      <c r="F818" s="454">
        <f t="shared" si="378"/>
        <v>11.870000000000001</v>
      </c>
      <c r="G818" s="529">
        <v>11.870000000000001</v>
      </c>
      <c r="H818" s="487">
        <f t="shared" si="379"/>
        <v>9.5</v>
      </c>
      <c r="I818" s="706"/>
      <c r="J818" s="669" t="s">
        <v>5805</v>
      </c>
      <c r="K818" s="15"/>
      <c r="L818"/>
      <c r="M818" s="49">
        <f t="shared" si="380"/>
        <v>11.870000000000001</v>
      </c>
      <c r="N818" s="41">
        <v>8.9</v>
      </c>
      <c r="O818" s="54"/>
      <c r="P818" s="74"/>
      <c r="Q818"/>
      <c r="R818" t="s">
        <v>1017</v>
      </c>
      <c r="S818" t="s">
        <v>4180</v>
      </c>
      <c r="T818" s="178" t="s">
        <v>4180</v>
      </c>
      <c r="U818" s="75"/>
      <c r="V818" s="65"/>
      <c r="W818"/>
      <c r="X818"/>
      <c r="Y818" s="65"/>
      <c r="Z818" s="65"/>
      <c r="AA818" s="65"/>
      <c r="AB818" s="65"/>
      <c r="AC818" s="65"/>
      <c r="AD818" s="91"/>
      <c r="AE818" s="124"/>
      <c r="AF818" s="65"/>
      <c r="AG818" s="91"/>
      <c r="AH818" s="212" t="str">
        <f>IF(ISERROR(SEARCH("K erstmals 201",D818)),"",RIGHT(D818,4))</f>
        <v>2010</v>
      </c>
      <c r="AI818" s="214" t="str">
        <f t="shared" si="373"/>
        <v/>
      </c>
      <c r="AJ818" s="214" t="str">
        <f t="shared" si="374"/>
        <v/>
      </c>
      <c r="AK818" s="214" t="str">
        <f t="shared" si="375"/>
        <v/>
      </c>
      <c r="AL818" s="214" t="str">
        <f t="shared" si="376"/>
        <v/>
      </c>
      <c r="AM818" s="214" t="str">
        <f t="shared" si="377"/>
        <v/>
      </c>
      <c r="AN818" s="213" t="str">
        <f t="shared" si="359"/>
        <v>2010</v>
      </c>
      <c r="AO818" s="213" t="str">
        <f t="shared" si="360"/>
        <v>2010</v>
      </c>
      <c r="AP818" s="213" t="str">
        <f t="shared" si="361"/>
        <v>2010</v>
      </c>
      <c r="AQ818" s="215" t="str">
        <f t="shared" si="362"/>
        <v/>
      </c>
      <c r="AR818" s="216" t="str">
        <f t="shared" si="363"/>
        <v>BiK83K10----04</v>
      </c>
      <c r="AS818" s="215" t="str">
        <f t="shared" si="364"/>
        <v/>
      </c>
      <c r="AT818">
        <f t="shared" si="365"/>
        <v>14</v>
      </c>
      <c r="AU818" s="216" t="str">
        <f t="shared" si="366"/>
        <v>0,5-5 MW, Bonusregel K erstmals 2010</v>
      </c>
      <c r="AV818" s="215" t="str">
        <f t="shared" si="367"/>
        <v/>
      </c>
      <c r="AW818" s="216" t="str">
        <f t="shared" si="368"/>
        <v>Anteil KWK, erstmals 2010</v>
      </c>
      <c r="AX818" s="215" t="str">
        <f t="shared" si="369"/>
        <v/>
      </c>
      <c r="AY818" t="str">
        <f t="shared" si="370"/>
        <v/>
      </c>
      <c r="AZ818" t="str">
        <f t="shared" si="371"/>
        <v/>
      </c>
    </row>
    <row r="819" spans="1:52" s="178" customFormat="1" x14ac:dyDescent="0.25">
      <c r="A819" s="610" t="s">
        <v>5291</v>
      </c>
      <c r="B819" s="17" t="s">
        <v>5548</v>
      </c>
      <c r="C819" s="17" t="s">
        <v>4809</v>
      </c>
      <c r="D819" s="30" t="s">
        <v>6756</v>
      </c>
      <c r="E819" s="30" t="s">
        <v>3055</v>
      </c>
      <c r="F819" s="454">
        <f t="shared" si="378"/>
        <v>11.84</v>
      </c>
      <c r="G819" s="529">
        <v>11.84</v>
      </c>
      <c r="H819" s="487">
        <f t="shared" si="379"/>
        <v>9.4700000000000006</v>
      </c>
      <c r="I819" s="706"/>
      <c r="J819" s="669" t="s">
        <v>5805</v>
      </c>
      <c r="K819" s="15"/>
      <c r="L819"/>
      <c r="M819" s="49">
        <f t="shared" si="380"/>
        <v>11.84</v>
      </c>
      <c r="N819" s="41">
        <v>8.9</v>
      </c>
      <c r="O819" s="54"/>
      <c r="P819" s="74"/>
      <c r="Q819"/>
      <c r="R819"/>
      <c r="S819" t="s">
        <v>1017</v>
      </c>
      <c r="T819" s="178" t="s">
        <v>4180</v>
      </c>
      <c r="U819" s="75"/>
      <c r="V819" s="65"/>
      <c r="W819"/>
      <c r="X819"/>
      <c r="Y819" s="65"/>
      <c r="Z819" s="65"/>
      <c r="AA819" s="65"/>
      <c r="AB819" s="65"/>
      <c r="AC819" s="65"/>
      <c r="AD819" s="91"/>
      <c r="AE819" s="124"/>
      <c r="AF819" s="65"/>
      <c r="AG819" s="91"/>
      <c r="AH819" s="212" t="str">
        <f>IF(ISERROR(SEARCH("K erstmals 201",D819)),"",RIGHT(D819,4))</f>
        <v>2011</v>
      </c>
      <c r="AI819" s="214" t="str">
        <f t="shared" si="373"/>
        <v/>
      </c>
      <c r="AJ819" s="214" t="str">
        <f t="shared" si="374"/>
        <v/>
      </c>
      <c r="AK819" s="214" t="str">
        <f t="shared" si="375"/>
        <v/>
      </c>
      <c r="AL819" s="214" t="str">
        <f t="shared" si="376"/>
        <v/>
      </c>
      <c r="AM819" s="214" t="str">
        <f t="shared" si="377"/>
        <v/>
      </c>
      <c r="AN819" s="213" t="str">
        <f t="shared" si="359"/>
        <v>2011</v>
      </c>
      <c r="AO819" s="213" t="str">
        <f t="shared" si="360"/>
        <v>2011</v>
      </c>
      <c r="AP819" s="213" t="str">
        <f t="shared" si="361"/>
        <v>2011</v>
      </c>
      <c r="AQ819" s="215" t="str">
        <f t="shared" si="362"/>
        <v/>
      </c>
      <c r="AR819" s="216" t="str">
        <f t="shared" si="363"/>
        <v>BiK83K11----04</v>
      </c>
      <c r="AS819" s="215" t="str">
        <f t="shared" si="364"/>
        <v/>
      </c>
      <c r="AT819">
        <f t="shared" si="365"/>
        <v>14</v>
      </c>
      <c r="AU819" s="216" t="str">
        <f t="shared" si="366"/>
        <v>0,5-5 MW, Bonusregel K erstmals 2011</v>
      </c>
      <c r="AV819" s="215" t="str">
        <f t="shared" si="367"/>
        <v/>
      </c>
      <c r="AW819" s="216" t="str">
        <f t="shared" si="368"/>
        <v>Anteil KWK, erstmals 2011</v>
      </c>
      <c r="AX819" s="215" t="str">
        <f t="shared" si="369"/>
        <v/>
      </c>
      <c r="AY819" t="str">
        <f t="shared" si="370"/>
        <v>x</v>
      </c>
      <c r="AZ819" t="str">
        <f t="shared" si="371"/>
        <v/>
      </c>
    </row>
    <row r="820" spans="1:52" s="178" customFormat="1" x14ac:dyDescent="0.25">
      <c r="A820" s="625" t="s">
        <v>1541</v>
      </c>
      <c r="B820" s="221" t="s">
        <v>5548</v>
      </c>
      <c r="C820" s="221" t="s">
        <v>4809</v>
      </c>
      <c r="D820" s="219" t="s">
        <v>6757</v>
      </c>
      <c r="E820" s="219" t="s">
        <v>1980</v>
      </c>
      <c r="F820" s="455">
        <f t="shared" si="378"/>
        <v>11.81</v>
      </c>
      <c r="G820" s="530">
        <v>11.81</v>
      </c>
      <c r="H820" s="488">
        <f t="shared" si="379"/>
        <v>9.4499999999999993</v>
      </c>
      <c r="I820" s="707"/>
      <c r="J820" s="669" t="s">
        <v>5805</v>
      </c>
      <c r="K820" s="15"/>
      <c r="L820"/>
      <c r="M820" s="49">
        <f t="shared" si="380"/>
        <v>11.81</v>
      </c>
      <c r="N820" s="41">
        <v>8.9</v>
      </c>
      <c r="O820" s="54"/>
      <c r="P820" s="74"/>
      <c r="Q820"/>
      <c r="R820"/>
      <c r="S820" t="s">
        <v>4180</v>
      </c>
      <c r="T820" s="178" t="s">
        <v>1017</v>
      </c>
      <c r="U820" s="75"/>
      <c r="V820" s="65"/>
      <c r="W820"/>
      <c r="X820"/>
      <c r="Y820" s="65"/>
      <c r="Z820" s="65"/>
      <c r="AA820" s="65"/>
      <c r="AB820" s="65"/>
      <c r="AC820" s="65"/>
      <c r="AD820" s="91"/>
      <c r="AE820" s="124"/>
      <c r="AF820" s="65"/>
      <c r="AG820" s="91"/>
      <c r="AH820" s="217" t="s">
        <v>4179</v>
      </c>
      <c r="AI820" s="214" t="str">
        <f t="shared" si="373"/>
        <v/>
      </c>
      <c r="AJ820" s="214" t="str">
        <f t="shared" si="374"/>
        <v/>
      </c>
      <c r="AK820" s="214" t="str">
        <f t="shared" si="375"/>
        <v/>
      </c>
      <c r="AL820" s="214" t="str">
        <f t="shared" si="376"/>
        <v/>
      </c>
      <c r="AM820" s="214" t="str">
        <f t="shared" si="377"/>
        <v/>
      </c>
      <c r="AN820" s="213" t="str">
        <f t="shared" si="359"/>
        <v>2012</v>
      </c>
      <c r="AO820" s="213" t="str">
        <f t="shared" si="360"/>
        <v>2012</v>
      </c>
      <c r="AP820" s="213" t="str">
        <f t="shared" si="361"/>
        <v>2012</v>
      </c>
      <c r="AQ820" s="215" t="str">
        <f t="shared" si="362"/>
        <v/>
      </c>
      <c r="AR820" s="216" t="str">
        <f t="shared" si="363"/>
        <v>BiK83K12----04</v>
      </c>
      <c r="AS820" s="215" t="str">
        <f t="shared" si="364"/>
        <v/>
      </c>
      <c r="AT820">
        <f t="shared" si="365"/>
        <v>14</v>
      </c>
      <c r="AU820" s="216" t="str">
        <f t="shared" si="366"/>
        <v>0,5-5 MW, Bonusregel K erstmals 2012</v>
      </c>
      <c r="AV820" s="215" t="str">
        <f t="shared" si="367"/>
        <v/>
      </c>
      <c r="AW820" s="216" t="str">
        <f t="shared" si="368"/>
        <v>Anteil KWK, erstmals 2012</v>
      </c>
      <c r="AX820" s="215" t="str">
        <f t="shared" si="369"/>
        <v/>
      </c>
      <c r="AY820" t="str">
        <f t="shared" si="370"/>
        <v/>
      </c>
      <c r="AZ820" t="str">
        <f t="shared" si="371"/>
        <v>x</v>
      </c>
    </row>
    <row r="821" spans="1:52" s="178" customFormat="1" x14ac:dyDescent="0.25">
      <c r="A821" s="609" t="s">
        <v>4494</v>
      </c>
      <c r="B821" s="1" t="s">
        <v>5548</v>
      </c>
      <c r="C821" s="2" t="s">
        <v>4809</v>
      </c>
      <c r="D821" s="1" t="s">
        <v>598</v>
      </c>
      <c r="E821" s="1" t="s">
        <v>4810</v>
      </c>
      <c r="F821" s="456">
        <f t="shared" si="378"/>
        <v>12.9</v>
      </c>
      <c r="G821" s="531">
        <v>12.9</v>
      </c>
      <c r="H821" s="489">
        <f t="shared" si="379"/>
        <v>10.32</v>
      </c>
      <c r="I821" s="708"/>
      <c r="J821" s="669" t="s">
        <v>5805</v>
      </c>
      <c r="K821" s="15"/>
      <c r="L821"/>
      <c r="M821" s="49">
        <f t="shared" si="380"/>
        <v>12.9</v>
      </c>
      <c r="N821" s="41">
        <v>8.9</v>
      </c>
      <c r="O821" s="54"/>
      <c r="P821" s="74"/>
      <c r="Q821"/>
      <c r="R821"/>
      <c r="S821" t="s">
        <v>4180</v>
      </c>
      <c r="T821" s="178" t="s">
        <v>4180</v>
      </c>
      <c r="U821" s="75"/>
      <c r="V821" s="65"/>
      <c r="W821" t="s">
        <v>1017</v>
      </c>
      <c r="X821"/>
      <c r="Y821" s="65"/>
      <c r="Z821" s="65"/>
      <c r="AA821" s="65"/>
      <c r="AB821" s="65"/>
      <c r="AC821" s="65"/>
      <c r="AD821" s="91"/>
      <c r="AE821" s="124"/>
      <c r="AF821" s="65"/>
      <c r="AG821" s="91"/>
      <c r="AH821" s="212" t="str">
        <f>IF(ISERROR(SEARCH("K erstmals 201",D821)),"",RIGHT(D821,4))</f>
        <v/>
      </c>
      <c r="AI821" s="214" t="str">
        <f t="shared" si="373"/>
        <v/>
      </c>
      <c r="AJ821" s="214" t="str">
        <f t="shared" si="374"/>
        <v/>
      </c>
      <c r="AK821" s="214" t="str">
        <f t="shared" si="375"/>
        <v/>
      </c>
      <c r="AL821" s="214" t="str">
        <f t="shared" si="376"/>
        <v/>
      </c>
      <c r="AM821" s="214" t="str">
        <f t="shared" si="377"/>
        <v/>
      </c>
      <c r="AN821" s="213" t="str">
        <f t="shared" si="359"/>
        <v/>
      </c>
      <c r="AO821" s="213" t="str">
        <f t="shared" si="360"/>
        <v/>
      </c>
      <c r="AP821" s="213" t="str">
        <f t="shared" si="361"/>
        <v/>
      </c>
      <c r="AQ821" s="215" t="str">
        <f t="shared" si="362"/>
        <v/>
      </c>
      <c r="AR821" s="216" t="str">
        <f t="shared" si="363"/>
        <v>BiK83a2-----04</v>
      </c>
      <c r="AS821" s="215" t="str">
        <f t="shared" si="364"/>
        <v/>
      </c>
      <c r="AT821">
        <f t="shared" si="365"/>
        <v>14</v>
      </c>
      <c r="AU821" s="216" t="str">
        <f t="shared" si="366"/>
        <v>0,5-5 MW, Bonusregel a2</v>
      </c>
      <c r="AV821" s="215" t="str">
        <f t="shared" si="367"/>
        <v/>
      </c>
      <c r="AW821" s="216" t="str">
        <f t="shared" si="368"/>
        <v>Anteil Nicht-KWK</v>
      </c>
      <c r="AX821" s="215" t="str">
        <f t="shared" si="369"/>
        <v/>
      </c>
      <c r="AY821" t="str">
        <f t="shared" si="370"/>
        <v/>
      </c>
      <c r="AZ821" t="str">
        <f t="shared" si="371"/>
        <v/>
      </c>
    </row>
    <row r="822" spans="1:52" s="178" customFormat="1" x14ac:dyDescent="0.25">
      <c r="A822" s="609" t="s">
        <v>4495</v>
      </c>
      <c r="B822" s="1" t="s">
        <v>5548</v>
      </c>
      <c r="C822" s="2" t="s">
        <v>4809</v>
      </c>
      <c r="D822" s="1" t="s">
        <v>6775</v>
      </c>
      <c r="E822" s="1" t="s">
        <v>4812</v>
      </c>
      <c r="F822" s="456">
        <f t="shared" si="378"/>
        <v>14.9</v>
      </c>
      <c r="G822" s="531">
        <v>14.9</v>
      </c>
      <c r="H822" s="489">
        <f t="shared" si="379"/>
        <v>11.92</v>
      </c>
      <c r="I822" s="708"/>
      <c r="J822" s="669" t="s">
        <v>5805</v>
      </c>
      <c r="K822" s="15"/>
      <c r="L822"/>
      <c r="M822" s="49">
        <f t="shared" si="380"/>
        <v>14.9</v>
      </c>
      <c r="N822" s="41">
        <v>8.9</v>
      </c>
      <c r="O822" s="54" t="s">
        <v>1017</v>
      </c>
      <c r="P822" s="74"/>
      <c r="Q822"/>
      <c r="R822"/>
      <c r="S822" t="s">
        <v>4180</v>
      </c>
      <c r="T822" s="178" t="s">
        <v>4180</v>
      </c>
      <c r="U822" s="75"/>
      <c r="V822" s="65"/>
      <c r="W822" t="s">
        <v>1017</v>
      </c>
      <c r="X822"/>
      <c r="Y822" s="65"/>
      <c r="Z822" s="65"/>
      <c r="AA822" s="65"/>
      <c r="AB822" s="65"/>
      <c r="AC822" s="65"/>
      <c r="AD822" s="91"/>
      <c r="AE822" s="124"/>
      <c r="AF822" s="65"/>
      <c r="AG822" s="91"/>
      <c r="AH822" s="212" t="str">
        <f>IF(ISERROR(SEARCH("K erstmals 201",D822)),"",RIGHT(D822,4))</f>
        <v/>
      </c>
      <c r="AI822" s="214" t="str">
        <f t="shared" si="373"/>
        <v/>
      </c>
      <c r="AJ822" s="214" t="str">
        <f t="shared" si="374"/>
        <v/>
      </c>
      <c r="AK822" s="214" t="str">
        <f t="shared" si="375"/>
        <v/>
      </c>
      <c r="AL822" s="214" t="str">
        <f t="shared" si="376"/>
        <v/>
      </c>
      <c r="AM822" s="214" t="str">
        <f t="shared" si="377"/>
        <v/>
      </c>
      <c r="AN822" s="213" t="str">
        <f t="shared" si="359"/>
        <v/>
      </c>
      <c r="AO822" s="213" t="str">
        <f t="shared" si="360"/>
        <v/>
      </c>
      <c r="AP822" s="213" t="str">
        <f t="shared" si="361"/>
        <v/>
      </c>
      <c r="AQ822" s="215" t="str">
        <f t="shared" si="362"/>
        <v/>
      </c>
      <c r="AR822" s="216" t="str">
        <f t="shared" si="363"/>
        <v>BiK83a2KWK--04</v>
      </c>
      <c r="AS822" s="215" t="str">
        <f t="shared" si="364"/>
        <v/>
      </c>
      <c r="AT822">
        <f t="shared" si="365"/>
        <v>14</v>
      </c>
      <c r="AU822" s="216" t="str">
        <f t="shared" si="366"/>
        <v>0,5-5 MW, Bonusregel a2 und KWK</v>
      </c>
      <c r="AV822" s="215" t="str">
        <f t="shared" si="367"/>
        <v/>
      </c>
      <c r="AW822" s="216" t="str">
        <f t="shared" si="368"/>
        <v>Anteil KWK</v>
      </c>
      <c r="AX822" s="215" t="str">
        <f t="shared" si="369"/>
        <v/>
      </c>
      <c r="AY822" t="str">
        <f t="shared" si="370"/>
        <v/>
      </c>
      <c r="AZ822" t="str">
        <f t="shared" si="371"/>
        <v/>
      </c>
    </row>
    <row r="823" spans="1:52" s="178" customFormat="1" x14ac:dyDescent="0.25">
      <c r="A823" s="610" t="s">
        <v>2595</v>
      </c>
      <c r="B823" s="17" t="s">
        <v>5548</v>
      </c>
      <c r="C823" s="17" t="s">
        <v>4809</v>
      </c>
      <c r="D823" s="30" t="s">
        <v>6776</v>
      </c>
      <c r="E823" s="30" t="s">
        <v>674</v>
      </c>
      <c r="F823" s="454">
        <f t="shared" si="378"/>
        <v>15.9</v>
      </c>
      <c r="G823" s="529">
        <v>15.9</v>
      </c>
      <c r="H823" s="487">
        <f t="shared" si="379"/>
        <v>12.72</v>
      </c>
      <c r="I823" s="706"/>
      <c r="J823" s="669" t="s">
        <v>5805</v>
      </c>
      <c r="K823" s="15"/>
      <c r="L823"/>
      <c r="M823" s="49">
        <f t="shared" si="380"/>
        <v>15.9</v>
      </c>
      <c r="N823" s="41">
        <v>8.9</v>
      </c>
      <c r="O823" s="54"/>
      <c r="P823" s="74"/>
      <c r="Q823" t="s">
        <v>1017</v>
      </c>
      <c r="R823"/>
      <c r="S823" t="s">
        <v>4180</v>
      </c>
      <c r="T823" s="178" t="s">
        <v>4180</v>
      </c>
      <c r="U823" s="75"/>
      <c r="V823" s="65"/>
      <c r="W823" t="s">
        <v>1017</v>
      </c>
      <c r="X823"/>
      <c r="Y823" s="65"/>
      <c r="Z823" s="65"/>
      <c r="AA823" s="65"/>
      <c r="AB823" s="65"/>
      <c r="AC823" s="65"/>
      <c r="AD823" s="91"/>
      <c r="AE823" s="124"/>
      <c r="AF823" s="65"/>
      <c r="AG823" s="91"/>
      <c r="AH823" s="212" t="str">
        <f>IF(ISERROR(SEARCH("K erstmals 201",D823)),"",RIGHT(D823,4))</f>
        <v/>
      </c>
      <c r="AI823" s="214" t="str">
        <f t="shared" si="373"/>
        <v/>
      </c>
      <c r="AJ823" s="214" t="str">
        <f t="shared" si="374"/>
        <v/>
      </c>
      <c r="AK823" s="214" t="str">
        <f t="shared" si="375"/>
        <v/>
      </c>
      <c r="AL823" s="214" t="str">
        <f t="shared" si="376"/>
        <v/>
      </c>
      <c r="AM823" s="214" t="str">
        <f t="shared" si="377"/>
        <v/>
      </c>
      <c r="AN823" s="213" t="str">
        <f t="shared" si="359"/>
        <v/>
      </c>
      <c r="AO823" s="213" t="str">
        <f t="shared" si="360"/>
        <v/>
      </c>
      <c r="AP823" s="213" t="str">
        <f t="shared" si="361"/>
        <v/>
      </c>
      <c r="AQ823" s="215" t="str">
        <f t="shared" si="362"/>
        <v/>
      </c>
      <c r="AR823" s="216" t="str">
        <f t="shared" si="363"/>
        <v>BiK83a2K09--04</v>
      </c>
      <c r="AS823" s="215" t="str">
        <f t="shared" si="364"/>
        <v/>
      </c>
      <c r="AT823">
        <f t="shared" si="365"/>
        <v>14</v>
      </c>
      <c r="AU823" s="216" t="str">
        <f t="shared" si="366"/>
        <v>0,5-5 MW, Bonusregeln a2 und K erstmals 2009</v>
      </c>
      <c r="AV823" s="215" t="str">
        <f t="shared" si="367"/>
        <v/>
      </c>
      <c r="AW823" s="216" t="str">
        <f t="shared" si="368"/>
        <v>Anteil KWK, erstmals 2009</v>
      </c>
      <c r="AX823" s="215" t="str">
        <f t="shared" si="369"/>
        <v/>
      </c>
      <c r="AY823" t="str">
        <f t="shared" si="370"/>
        <v/>
      </c>
      <c r="AZ823" t="str">
        <f t="shared" si="371"/>
        <v/>
      </c>
    </row>
    <row r="824" spans="1:52" s="178" customFormat="1" x14ac:dyDescent="0.25">
      <c r="A824" s="610" t="s">
        <v>4039</v>
      </c>
      <c r="B824" s="17" t="s">
        <v>5548</v>
      </c>
      <c r="C824" s="17" t="s">
        <v>4809</v>
      </c>
      <c r="D824" s="30" t="s">
        <v>6777</v>
      </c>
      <c r="E824" s="30" t="s">
        <v>3567</v>
      </c>
      <c r="F824" s="454">
        <f t="shared" si="378"/>
        <v>15.870000000000001</v>
      </c>
      <c r="G824" s="529">
        <v>15.870000000000001</v>
      </c>
      <c r="H824" s="487">
        <f t="shared" si="379"/>
        <v>12.7</v>
      </c>
      <c r="I824" s="706"/>
      <c r="J824" s="669" t="s">
        <v>5805</v>
      </c>
      <c r="K824" s="15"/>
      <c r="L824"/>
      <c r="M824" s="49">
        <f t="shared" si="380"/>
        <v>15.870000000000001</v>
      </c>
      <c r="N824" s="41">
        <v>8.9</v>
      </c>
      <c r="O824" s="54"/>
      <c r="P824" s="74"/>
      <c r="Q824"/>
      <c r="R824" t="s">
        <v>1017</v>
      </c>
      <c r="S824" t="s">
        <v>4180</v>
      </c>
      <c r="T824" s="178" t="s">
        <v>4180</v>
      </c>
      <c r="U824" s="75"/>
      <c r="V824" s="65"/>
      <c r="W824" t="s">
        <v>1017</v>
      </c>
      <c r="X824"/>
      <c r="Y824" s="65"/>
      <c r="Z824" s="65"/>
      <c r="AA824" s="65"/>
      <c r="AB824" s="65"/>
      <c r="AC824" s="65"/>
      <c r="AD824" s="91"/>
      <c r="AE824" s="124"/>
      <c r="AF824" s="65"/>
      <c r="AG824" s="91"/>
      <c r="AH824" s="212" t="str">
        <f>IF(ISERROR(SEARCH("K erstmals 201",D824)),"",RIGHT(D824,4))</f>
        <v>2010</v>
      </c>
      <c r="AI824" s="214" t="str">
        <f t="shared" si="373"/>
        <v/>
      </c>
      <c r="AJ824" s="214" t="str">
        <f t="shared" si="374"/>
        <v/>
      </c>
      <c r="AK824" s="214" t="str">
        <f t="shared" si="375"/>
        <v/>
      </c>
      <c r="AL824" s="214" t="str">
        <f t="shared" si="376"/>
        <v/>
      </c>
      <c r="AM824" s="214" t="str">
        <f t="shared" si="377"/>
        <v/>
      </c>
      <c r="AN824" s="213" t="str">
        <f t="shared" si="359"/>
        <v>2010</v>
      </c>
      <c r="AO824" s="213" t="str">
        <f t="shared" si="360"/>
        <v>2010</v>
      </c>
      <c r="AP824" s="213" t="str">
        <f t="shared" si="361"/>
        <v>2010</v>
      </c>
      <c r="AQ824" s="215" t="str">
        <f t="shared" si="362"/>
        <v/>
      </c>
      <c r="AR824" s="216" t="str">
        <f t="shared" si="363"/>
        <v>BiK83a2K10--04</v>
      </c>
      <c r="AS824" s="215" t="str">
        <f t="shared" si="364"/>
        <v/>
      </c>
      <c r="AT824">
        <f t="shared" si="365"/>
        <v>14</v>
      </c>
      <c r="AU824" s="216" t="str">
        <f t="shared" si="366"/>
        <v>0,5-5 MW, Bonusregeln a2 und K erstmals 2010</v>
      </c>
      <c r="AV824" s="215" t="str">
        <f t="shared" si="367"/>
        <v/>
      </c>
      <c r="AW824" s="216" t="str">
        <f t="shared" si="368"/>
        <v>Anteil KWK, erstmals 2010</v>
      </c>
      <c r="AX824" s="215" t="str">
        <f t="shared" si="369"/>
        <v/>
      </c>
      <c r="AY824" t="str">
        <f t="shared" si="370"/>
        <v/>
      </c>
      <c r="AZ824" t="str">
        <f t="shared" si="371"/>
        <v/>
      </c>
    </row>
    <row r="825" spans="1:52" s="178" customFormat="1" x14ac:dyDescent="0.25">
      <c r="A825" s="610" t="s">
        <v>5292</v>
      </c>
      <c r="B825" s="17" t="s">
        <v>5548</v>
      </c>
      <c r="C825" s="17" t="s">
        <v>4809</v>
      </c>
      <c r="D825" s="30" t="s">
        <v>6778</v>
      </c>
      <c r="E825" s="30" t="s">
        <v>3055</v>
      </c>
      <c r="F825" s="454">
        <f t="shared" si="378"/>
        <v>15.84</v>
      </c>
      <c r="G825" s="529">
        <v>15.84</v>
      </c>
      <c r="H825" s="487">
        <f t="shared" si="379"/>
        <v>12.67</v>
      </c>
      <c r="I825" s="706"/>
      <c r="J825" s="669" t="s">
        <v>5805</v>
      </c>
      <c r="K825" s="15"/>
      <c r="L825"/>
      <c r="M825" s="49">
        <f t="shared" si="380"/>
        <v>15.84</v>
      </c>
      <c r="N825" s="41">
        <v>8.9</v>
      </c>
      <c r="O825" s="54"/>
      <c r="P825" s="74"/>
      <c r="Q825"/>
      <c r="R825"/>
      <c r="S825" t="s">
        <v>1017</v>
      </c>
      <c r="T825" s="178" t="s">
        <v>4180</v>
      </c>
      <c r="U825" s="75"/>
      <c r="V825" s="65"/>
      <c r="W825" t="s">
        <v>1017</v>
      </c>
      <c r="X825"/>
      <c r="Y825" s="65"/>
      <c r="Z825" s="65"/>
      <c r="AA825" s="65"/>
      <c r="AB825" s="65"/>
      <c r="AC825" s="65"/>
      <c r="AD825" s="91"/>
      <c r="AE825" s="124"/>
      <c r="AF825" s="65"/>
      <c r="AG825" s="91"/>
      <c r="AH825" s="212" t="str">
        <f>IF(ISERROR(SEARCH("K erstmals 201",D825)),"",RIGHT(D825,4))</f>
        <v>2011</v>
      </c>
      <c r="AI825" s="214" t="str">
        <f t="shared" si="373"/>
        <v/>
      </c>
      <c r="AJ825" s="214" t="str">
        <f t="shared" si="374"/>
        <v/>
      </c>
      <c r="AK825" s="214" t="str">
        <f t="shared" si="375"/>
        <v/>
      </c>
      <c r="AL825" s="214" t="str">
        <f t="shared" si="376"/>
        <v/>
      </c>
      <c r="AM825" s="214" t="str">
        <f t="shared" si="377"/>
        <v/>
      </c>
      <c r="AN825" s="213" t="str">
        <f t="shared" si="359"/>
        <v>2011</v>
      </c>
      <c r="AO825" s="213" t="str">
        <f t="shared" si="360"/>
        <v>2011</v>
      </c>
      <c r="AP825" s="213" t="str">
        <f t="shared" si="361"/>
        <v>2011</v>
      </c>
      <c r="AQ825" s="215" t="str">
        <f t="shared" si="362"/>
        <v/>
      </c>
      <c r="AR825" s="216" t="str">
        <f t="shared" si="363"/>
        <v>BiK83a2K11--04</v>
      </c>
      <c r="AS825" s="215" t="str">
        <f t="shared" si="364"/>
        <v/>
      </c>
      <c r="AT825">
        <f t="shared" si="365"/>
        <v>14</v>
      </c>
      <c r="AU825" s="216" t="str">
        <f t="shared" si="366"/>
        <v>0,5-5 MW, Bonusregeln a2 und K erstmals 2011</v>
      </c>
      <c r="AV825" s="215" t="str">
        <f t="shared" si="367"/>
        <v/>
      </c>
      <c r="AW825" s="216" t="str">
        <f t="shared" si="368"/>
        <v>Anteil KWK, erstmals 2011</v>
      </c>
      <c r="AX825" s="215" t="str">
        <f t="shared" si="369"/>
        <v/>
      </c>
      <c r="AY825" t="str">
        <f t="shared" si="370"/>
        <v>x</v>
      </c>
      <c r="AZ825" t="str">
        <f t="shared" si="371"/>
        <v/>
      </c>
    </row>
    <row r="826" spans="1:52" s="178" customFormat="1" x14ac:dyDescent="0.25">
      <c r="A826" s="625" t="s">
        <v>1542</v>
      </c>
      <c r="B826" s="221" t="s">
        <v>5548</v>
      </c>
      <c r="C826" s="221" t="s">
        <v>4809</v>
      </c>
      <c r="D826" s="219" t="s">
        <v>6779</v>
      </c>
      <c r="E826" s="219" t="s">
        <v>1980</v>
      </c>
      <c r="F826" s="455">
        <f t="shared" si="378"/>
        <v>15.81</v>
      </c>
      <c r="G826" s="530">
        <v>15.81</v>
      </c>
      <c r="H826" s="488">
        <f t="shared" si="379"/>
        <v>12.65</v>
      </c>
      <c r="I826" s="707"/>
      <c r="J826" s="669" t="s">
        <v>5805</v>
      </c>
      <c r="K826" s="15"/>
      <c r="L826"/>
      <c r="M826" s="49">
        <f t="shared" si="380"/>
        <v>15.81</v>
      </c>
      <c r="N826" s="41">
        <v>8.9</v>
      </c>
      <c r="O826" s="54"/>
      <c r="P826" s="74"/>
      <c r="Q826"/>
      <c r="R826"/>
      <c r="S826" t="s">
        <v>4180</v>
      </c>
      <c r="T826" s="178" t="s">
        <v>1017</v>
      </c>
      <c r="U826" s="75"/>
      <c r="V826" s="65"/>
      <c r="W826" t="s">
        <v>1017</v>
      </c>
      <c r="X826"/>
      <c r="Y826" s="65"/>
      <c r="Z826" s="65"/>
      <c r="AA826" s="65"/>
      <c r="AB826" s="65"/>
      <c r="AC826" s="65"/>
      <c r="AD826" s="91"/>
      <c r="AE826" s="124"/>
      <c r="AF826" s="65"/>
      <c r="AG826" s="91"/>
      <c r="AH826" s="217" t="s">
        <v>4179</v>
      </c>
      <c r="AI826" s="214" t="str">
        <f t="shared" si="373"/>
        <v/>
      </c>
      <c r="AJ826" s="214" t="str">
        <f t="shared" si="374"/>
        <v/>
      </c>
      <c r="AK826" s="214" t="str">
        <f t="shared" si="375"/>
        <v/>
      </c>
      <c r="AL826" s="214" t="str">
        <f t="shared" si="376"/>
        <v/>
      </c>
      <c r="AM826" s="214" t="str">
        <f t="shared" si="377"/>
        <v/>
      </c>
      <c r="AN826" s="213" t="str">
        <f t="shared" si="359"/>
        <v>2012</v>
      </c>
      <c r="AO826" s="213" t="str">
        <f t="shared" si="360"/>
        <v>2012</v>
      </c>
      <c r="AP826" s="213" t="str">
        <f t="shared" si="361"/>
        <v>2012</v>
      </c>
      <c r="AQ826" s="215" t="str">
        <f t="shared" si="362"/>
        <v/>
      </c>
      <c r="AR826" s="216" t="str">
        <f t="shared" si="363"/>
        <v>BiK83a2K12--04</v>
      </c>
      <c r="AS826" s="215" t="str">
        <f t="shared" si="364"/>
        <v/>
      </c>
      <c r="AT826">
        <f t="shared" si="365"/>
        <v>14</v>
      </c>
      <c r="AU826" s="216" t="str">
        <f t="shared" si="366"/>
        <v>0,5-5 MW, Bonusregeln a2 und K erstmals 2012</v>
      </c>
      <c r="AV826" s="215" t="str">
        <f t="shared" si="367"/>
        <v/>
      </c>
      <c r="AW826" s="216" t="str">
        <f t="shared" si="368"/>
        <v>Anteil KWK, erstmals 2012</v>
      </c>
      <c r="AX826" s="215" t="str">
        <f t="shared" si="369"/>
        <v/>
      </c>
      <c r="AY826" t="str">
        <f t="shared" si="370"/>
        <v/>
      </c>
      <c r="AZ826" t="str">
        <f t="shared" si="371"/>
        <v>x</v>
      </c>
    </row>
    <row r="827" spans="1:52" s="178" customFormat="1" x14ac:dyDescent="0.25">
      <c r="A827" s="609" t="s">
        <v>4496</v>
      </c>
      <c r="B827" s="1" t="s">
        <v>5548</v>
      </c>
      <c r="C827" s="2" t="s">
        <v>4809</v>
      </c>
      <c r="D827" s="1" t="s">
        <v>6762</v>
      </c>
      <c r="E827" s="1" t="s">
        <v>4810</v>
      </c>
      <c r="F827" s="456">
        <f t="shared" si="378"/>
        <v>11.4</v>
      </c>
      <c r="G827" s="531">
        <v>11.4</v>
      </c>
      <c r="H827" s="489">
        <f t="shared" si="379"/>
        <v>9.1199999999999992</v>
      </c>
      <c r="I827" s="708"/>
      <c r="J827" s="669" t="s">
        <v>5805</v>
      </c>
      <c r="K827" s="15"/>
      <c r="L827"/>
      <c r="M827" s="49">
        <f t="shared" si="380"/>
        <v>11.4</v>
      </c>
      <c r="N827" s="41">
        <v>8.9</v>
      </c>
      <c r="O827" s="54"/>
      <c r="P827" s="74"/>
      <c r="Q827"/>
      <c r="R827"/>
      <c r="S827" t="s">
        <v>4180</v>
      </c>
      <c r="T827" s="178" t="s">
        <v>4180</v>
      </c>
      <c r="U827" s="75"/>
      <c r="V827" s="65"/>
      <c r="W827"/>
      <c r="X827" t="s">
        <v>1017</v>
      </c>
      <c r="Y827" s="65"/>
      <c r="Z827" s="65"/>
      <c r="AA827" s="65"/>
      <c r="AB827" s="65"/>
      <c r="AC827" s="65"/>
      <c r="AD827" s="91"/>
      <c r="AE827" s="124"/>
      <c r="AF827" s="65"/>
      <c r="AG827" s="91"/>
      <c r="AH827" s="212" t="str">
        <f>IF(ISERROR(SEARCH("K erstmals 201",D827)),"",RIGHT(D827,4))</f>
        <v/>
      </c>
      <c r="AI827" s="214" t="str">
        <f t="shared" si="373"/>
        <v/>
      </c>
      <c r="AJ827" s="214" t="str">
        <f t="shared" si="374"/>
        <v/>
      </c>
      <c r="AK827" s="214" t="str">
        <f t="shared" si="375"/>
        <v/>
      </c>
      <c r="AL827" s="214" t="str">
        <f t="shared" si="376"/>
        <v/>
      </c>
      <c r="AM827" s="214" t="str">
        <f t="shared" si="377"/>
        <v/>
      </c>
      <c r="AN827" s="213" t="str">
        <f t="shared" si="359"/>
        <v/>
      </c>
      <c r="AO827" s="213" t="str">
        <f t="shared" si="360"/>
        <v/>
      </c>
      <c r="AP827" s="213" t="str">
        <f t="shared" si="361"/>
        <v/>
      </c>
      <c r="AQ827" s="215" t="str">
        <f t="shared" si="362"/>
        <v/>
      </c>
      <c r="AR827" s="216" t="str">
        <f t="shared" si="363"/>
        <v>BiK83a3-----04</v>
      </c>
      <c r="AS827" s="215" t="str">
        <f t="shared" si="364"/>
        <v/>
      </c>
      <c r="AT827">
        <f t="shared" si="365"/>
        <v>14</v>
      </c>
      <c r="AU827" s="216" t="str">
        <f t="shared" si="366"/>
        <v>0,5-5 MW, Bonusregel a3</v>
      </c>
      <c r="AV827" s="215" t="str">
        <f t="shared" si="367"/>
        <v/>
      </c>
      <c r="AW827" s="216" t="str">
        <f t="shared" si="368"/>
        <v>Anteil Nicht-KWK</v>
      </c>
      <c r="AX827" s="215" t="str">
        <f t="shared" si="369"/>
        <v/>
      </c>
      <c r="AY827" t="str">
        <f t="shared" si="370"/>
        <v/>
      </c>
      <c r="AZ827" t="str">
        <f t="shared" si="371"/>
        <v/>
      </c>
    </row>
    <row r="828" spans="1:52" s="178" customFormat="1" x14ac:dyDescent="0.25">
      <c r="A828" s="609" t="s">
        <v>4497</v>
      </c>
      <c r="B828" s="1" t="s">
        <v>5548</v>
      </c>
      <c r="C828" s="2" t="s">
        <v>4809</v>
      </c>
      <c r="D828" s="1" t="s">
        <v>6780</v>
      </c>
      <c r="E828" s="1" t="s">
        <v>4812</v>
      </c>
      <c r="F828" s="456">
        <f t="shared" si="378"/>
        <v>13.4</v>
      </c>
      <c r="G828" s="531">
        <v>13.4</v>
      </c>
      <c r="H828" s="489">
        <f t="shared" si="379"/>
        <v>10.72</v>
      </c>
      <c r="I828" s="708"/>
      <c r="J828" s="669" t="s">
        <v>5805</v>
      </c>
      <c r="K828" s="15"/>
      <c r="L828"/>
      <c r="M828" s="49">
        <f t="shared" si="380"/>
        <v>13.4</v>
      </c>
      <c r="N828" s="41">
        <v>8.9</v>
      </c>
      <c r="O828" s="54" t="s">
        <v>1017</v>
      </c>
      <c r="P828" s="74"/>
      <c r="Q828"/>
      <c r="R828"/>
      <c r="S828" t="s">
        <v>4180</v>
      </c>
      <c r="T828" s="178" t="s">
        <v>4180</v>
      </c>
      <c r="U828" s="75"/>
      <c r="V828" s="65"/>
      <c r="W828"/>
      <c r="X828" t="s">
        <v>1017</v>
      </c>
      <c r="Y828" s="65"/>
      <c r="Z828" s="65"/>
      <c r="AA828" s="65"/>
      <c r="AB828" s="65"/>
      <c r="AC828" s="65"/>
      <c r="AD828" s="91"/>
      <c r="AE828" s="124"/>
      <c r="AF828" s="65"/>
      <c r="AG828" s="91"/>
      <c r="AH828" s="212" t="str">
        <f>IF(ISERROR(SEARCH("K erstmals 201",D828)),"",RIGHT(D828,4))</f>
        <v/>
      </c>
      <c r="AI828" s="214" t="str">
        <f t="shared" si="373"/>
        <v/>
      </c>
      <c r="AJ828" s="214" t="str">
        <f t="shared" si="374"/>
        <v/>
      </c>
      <c r="AK828" s="214" t="str">
        <f t="shared" si="375"/>
        <v/>
      </c>
      <c r="AL828" s="214" t="str">
        <f t="shared" si="376"/>
        <v/>
      </c>
      <c r="AM828" s="214" t="str">
        <f t="shared" si="377"/>
        <v/>
      </c>
      <c r="AN828" s="213" t="str">
        <f t="shared" si="359"/>
        <v/>
      </c>
      <c r="AO828" s="213" t="str">
        <f t="shared" si="360"/>
        <v/>
      </c>
      <c r="AP828" s="213" t="str">
        <f t="shared" si="361"/>
        <v/>
      </c>
      <c r="AQ828" s="215" t="str">
        <f t="shared" si="362"/>
        <v/>
      </c>
      <c r="AR828" s="216" t="str">
        <f t="shared" si="363"/>
        <v>BiK83a3KWK--04</v>
      </c>
      <c r="AS828" s="215" t="str">
        <f t="shared" si="364"/>
        <v/>
      </c>
      <c r="AT828">
        <f t="shared" si="365"/>
        <v>14</v>
      </c>
      <c r="AU828" s="216" t="str">
        <f t="shared" si="366"/>
        <v>0,5-5 MW, Bonusregel a3 und KWK</v>
      </c>
      <c r="AV828" s="215" t="str">
        <f t="shared" si="367"/>
        <v/>
      </c>
      <c r="AW828" s="216" t="str">
        <f t="shared" si="368"/>
        <v>Anteil KWK</v>
      </c>
      <c r="AX828" s="215" t="str">
        <f t="shared" si="369"/>
        <v/>
      </c>
      <c r="AY828" t="str">
        <f t="shared" si="370"/>
        <v/>
      </c>
      <c r="AZ828" t="str">
        <f t="shared" si="371"/>
        <v/>
      </c>
    </row>
    <row r="829" spans="1:52" s="178" customFormat="1" x14ac:dyDescent="0.25">
      <c r="A829" s="610" t="s">
        <v>4095</v>
      </c>
      <c r="B829" s="17" t="s">
        <v>5548</v>
      </c>
      <c r="C829" s="17" t="s">
        <v>4809</v>
      </c>
      <c r="D829" s="30" t="s">
        <v>6781</v>
      </c>
      <c r="E829" s="17" t="s">
        <v>674</v>
      </c>
      <c r="F829" s="454">
        <f t="shared" si="378"/>
        <v>14.4</v>
      </c>
      <c r="G829" s="529">
        <v>14.4</v>
      </c>
      <c r="H829" s="487">
        <f t="shared" si="379"/>
        <v>11.52</v>
      </c>
      <c r="I829" s="706"/>
      <c r="J829" s="669" t="s">
        <v>5805</v>
      </c>
      <c r="K829" s="15"/>
      <c r="L829"/>
      <c r="M829" s="49">
        <f t="shared" si="380"/>
        <v>14.4</v>
      </c>
      <c r="N829" s="41">
        <v>8.9</v>
      </c>
      <c r="O829" s="54"/>
      <c r="P829" s="74"/>
      <c r="Q829" t="s">
        <v>1017</v>
      </c>
      <c r="R829"/>
      <c r="S829" t="s">
        <v>4180</v>
      </c>
      <c r="T829" s="178" t="s">
        <v>4180</v>
      </c>
      <c r="U829" s="75"/>
      <c r="V829" s="65"/>
      <c r="W829"/>
      <c r="X829" t="s">
        <v>1017</v>
      </c>
      <c r="Y829" s="65"/>
      <c r="Z829" s="65"/>
      <c r="AA829" s="65"/>
      <c r="AB829" s="65"/>
      <c r="AC829" s="65"/>
      <c r="AD829" s="91"/>
      <c r="AE829" s="124"/>
      <c r="AF829" s="65"/>
      <c r="AG829" s="91"/>
      <c r="AH829" s="212" t="str">
        <f>IF(ISERROR(SEARCH("K erstmals 201",D829)),"",RIGHT(D829,4))</f>
        <v/>
      </c>
      <c r="AI829" s="214" t="str">
        <f t="shared" si="373"/>
        <v/>
      </c>
      <c r="AJ829" s="214" t="str">
        <f t="shared" si="374"/>
        <v/>
      </c>
      <c r="AK829" s="214" t="str">
        <f t="shared" si="375"/>
        <v/>
      </c>
      <c r="AL829" s="214" t="str">
        <f t="shared" si="376"/>
        <v/>
      </c>
      <c r="AM829" s="214" t="str">
        <f t="shared" si="377"/>
        <v/>
      </c>
      <c r="AN829" s="213" t="str">
        <f t="shared" si="359"/>
        <v/>
      </c>
      <c r="AO829" s="213" t="str">
        <f t="shared" si="360"/>
        <v/>
      </c>
      <c r="AP829" s="213" t="str">
        <f t="shared" si="361"/>
        <v/>
      </c>
      <c r="AQ829" s="215" t="str">
        <f t="shared" si="362"/>
        <v/>
      </c>
      <c r="AR829" s="216" t="str">
        <f t="shared" si="363"/>
        <v>BiK83a3K09--04</v>
      </c>
      <c r="AS829" s="215" t="str">
        <f t="shared" si="364"/>
        <v/>
      </c>
      <c r="AT829">
        <f t="shared" si="365"/>
        <v>14</v>
      </c>
      <c r="AU829" s="216" t="str">
        <f t="shared" si="366"/>
        <v>0,5-5 MW, Bonusregeln a3 und K erstmals 2009</v>
      </c>
      <c r="AV829" s="215" t="str">
        <f t="shared" si="367"/>
        <v/>
      </c>
      <c r="AW829" s="216" t="str">
        <f t="shared" si="368"/>
        <v>Anteil KWK, erstmals 2009</v>
      </c>
      <c r="AX829" s="215" t="str">
        <f t="shared" si="369"/>
        <v/>
      </c>
      <c r="AY829" t="str">
        <f t="shared" si="370"/>
        <v/>
      </c>
      <c r="AZ829" t="str">
        <f t="shared" si="371"/>
        <v/>
      </c>
    </row>
    <row r="830" spans="1:52" s="178" customFormat="1" x14ac:dyDescent="0.25">
      <c r="A830" s="610" t="s">
        <v>4040</v>
      </c>
      <c r="B830" s="17" t="s">
        <v>5548</v>
      </c>
      <c r="C830" s="17" t="s">
        <v>4809</v>
      </c>
      <c r="D830" s="30" t="s">
        <v>6782</v>
      </c>
      <c r="E830" s="30" t="s">
        <v>3567</v>
      </c>
      <c r="F830" s="454">
        <f t="shared" si="378"/>
        <v>14.370000000000001</v>
      </c>
      <c r="G830" s="529">
        <v>14.370000000000001</v>
      </c>
      <c r="H830" s="487">
        <f t="shared" si="379"/>
        <v>11.5</v>
      </c>
      <c r="I830" s="706"/>
      <c r="J830" s="669" t="s">
        <v>5805</v>
      </c>
      <c r="K830" s="15"/>
      <c r="L830"/>
      <c r="M830" s="49">
        <f t="shared" si="380"/>
        <v>14.370000000000001</v>
      </c>
      <c r="N830" s="41">
        <v>8.9</v>
      </c>
      <c r="O830" s="54"/>
      <c r="P830" s="74"/>
      <c r="Q830"/>
      <c r="R830" t="s">
        <v>1017</v>
      </c>
      <c r="S830" t="s">
        <v>4180</v>
      </c>
      <c r="T830" s="178" t="s">
        <v>4180</v>
      </c>
      <c r="U830" s="75"/>
      <c r="V830" s="65"/>
      <c r="W830"/>
      <c r="X830" t="s">
        <v>1017</v>
      </c>
      <c r="Y830" s="65"/>
      <c r="Z830" s="65"/>
      <c r="AA830" s="65"/>
      <c r="AB830" s="65"/>
      <c r="AC830" s="65"/>
      <c r="AD830" s="91"/>
      <c r="AE830" s="124"/>
      <c r="AF830" s="65"/>
      <c r="AG830" s="91"/>
      <c r="AH830" s="212" t="str">
        <f>IF(ISERROR(SEARCH("K erstmals 201",D830)),"",RIGHT(D830,4))</f>
        <v>2010</v>
      </c>
      <c r="AI830" s="214" t="str">
        <f t="shared" si="373"/>
        <v/>
      </c>
      <c r="AJ830" s="214" t="str">
        <f t="shared" si="374"/>
        <v/>
      </c>
      <c r="AK830" s="214" t="str">
        <f t="shared" si="375"/>
        <v/>
      </c>
      <c r="AL830" s="214" t="str">
        <f t="shared" si="376"/>
        <v/>
      </c>
      <c r="AM830" s="214" t="str">
        <f t="shared" si="377"/>
        <v/>
      </c>
      <c r="AN830" s="213" t="str">
        <f t="shared" si="359"/>
        <v>2010</v>
      </c>
      <c r="AO830" s="213" t="str">
        <f t="shared" si="360"/>
        <v>2010</v>
      </c>
      <c r="AP830" s="213" t="str">
        <f t="shared" si="361"/>
        <v>2010</v>
      </c>
      <c r="AQ830" s="215" t="str">
        <f t="shared" si="362"/>
        <v/>
      </c>
      <c r="AR830" s="216" t="str">
        <f t="shared" si="363"/>
        <v>BiK83a3K10--04</v>
      </c>
      <c r="AS830" s="215" t="str">
        <f t="shared" si="364"/>
        <v/>
      </c>
      <c r="AT830">
        <f t="shared" si="365"/>
        <v>14</v>
      </c>
      <c r="AU830" s="216" t="str">
        <f t="shared" si="366"/>
        <v>0,5-5 MW, Bonusregeln a3 und K erstmals 2010</v>
      </c>
      <c r="AV830" s="215" t="str">
        <f t="shared" si="367"/>
        <v/>
      </c>
      <c r="AW830" s="216" t="str">
        <f t="shared" si="368"/>
        <v>Anteil KWK, erstmals 2010</v>
      </c>
      <c r="AX830" s="215" t="str">
        <f t="shared" si="369"/>
        <v/>
      </c>
      <c r="AY830" t="str">
        <f t="shared" si="370"/>
        <v/>
      </c>
      <c r="AZ830" t="str">
        <f t="shared" si="371"/>
        <v/>
      </c>
    </row>
    <row r="831" spans="1:52" s="178" customFormat="1" x14ac:dyDescent="0.25">
      <c r="A831" s="610" t="s">
        <v>5293</v>
      </c>
      <c r="B831" s="17" t="s">
        <v>5548</v>
      </c>
      <c r="C831" s="17" t="s">
        <v>4809</v>
      </c>
      <c r="D831" s="30" t="s">
        <v>6783</v>
      </c>
      <c r="E831" s="30" t="s">
        <v>3055</v>
      </c>
      <c r="F831" s="454">
        <f t="shared" si="378"/>
        <v>14.34</v>
      </c>
      <c r="G831" s="529">
        <v>14.34</v>
      </c>
      <c r="H831" s="487">
        <f t="shared" si="379"/>
        <v>11.47</v>
      </c>
      <c r="I831" s="706"/>
      <c r="J831" s="669" t="s">
        <v>5805</v>
      </c>
      <c r="K831" s="15"/>
      <c r="L831"/>
      <c r="M831" s="49">
        <f t="shared" si="380"/>
        <v>14.34</v>
      </c>
      <c r="N831" s="41">
        <v>8.9</v>
      </c>
      <c r="O831" s="54"/>
      <c r="P831" s="74"/>
      <c r="Q831"/>
      <c r="R831"/>
      <c r="S831" t="s">
        <v>1017</v>
      </c>
      <c r="T831" s="178" t="s">
        <v>4180</v>
      </c>
      <c r="U831" s="75"/>
      <c r="V831" s="65"/>
      <c r="W831"/>
      <c r="X831" t="s">
        <v>1017</v>
      </c>
      <c r="Y831" s="65"/>
      <c r="Z831" s="65"/>
      <c r="AA831" s="65"/>
      <c r="AB831" s="65"/>
      <c r="AC831" s="65"/>
      <c r="AD831" s="91"/>
      <c r="AE831" s="124"/>
      <c r="AF831" s="65"/>
      <c r="AG831" s="91"/>
      <c r="AH831" s="212" t="str">
        <f>IF(ISERROR(SEARCH("K erstmals 201",D831)),"",RIGHT(D831,4))</f>
        <v>2011</v>
      </c>
      <c r="AI831" s="214" t="str">
        <f t="shared" si="373"/>
        <v/>
      </c>
      <c r="AJ831" s="214" t="str">
        <f t="shared" si="374"/>
        <v/>
      </c>
      <c r="AK831" s="214" t="str">
        <f t="shared" si="375"/>
        <v/>
      </c>
      <c r="AL831" s="214" t="str">
        <f t="shared" si="376"/>
        <v/>
      </c>
      <c r="AM831" s="214" t="str">
        <f t="shared" si="377"/>
        <v/>
      </c>
      <c r="AN831" s="213" t="str">
        <f t="shared" si="359"/>
        <v>2011</v>
      </c>
      <c r="AO831" s="213" t="str">
        <f t="shared" si="360"/>
        <v>2011</v>
      </c>
      <c r="AP831" s="213" t="str">
        <f t="shared" si="361"/>
        <v>2011</v>
      </c>
      <c r="AQ831" s="215" t="str">
        <f t="shared" si="362"/>
        <v/>
      </c>
      <c r="AR831" s="216" t="str">
        <f t="shared" si="363"/>
        <v>BiK83a3K11--04</v>
      </c>
      <c r="AS831" s="215" t="str">
        <f t="shared" si="364"/>
        <v/>
      </c>
      <c r="AT831">
        <f t="shared" si="365"/>
        <v>14</v>
      </c>
      <c r="AU831" s="216" t="str">
        <f t="shared" si="366"/>
        <v>0,5-5 MW, Bonusregeln a3 und K erstmals 2011</v>
      </c>
      <c r="AV831" s="215" t="str">
        <f t="shared" si="367"/>
        <v/>
      </c>
      <c r="AW831" s="216" t="str">
        <f t="shared" si="368"/>
        <v>Anteil KWK, erstmals 2011</v>
      </c>
      <c r="AX831" s="215" t="str">
        <f t="shared" si="369"/>
        <v/>
      </c>
      <c r="AY831" t="str">
        <f t="shared" si="370"/>
        <v>x</v>
      </c>
      <c r="AZ831" t="str">
        <f t="shared" si="371"/>
        <v/>
      </c>
    </row>
    <row r="832" spans="1:52" s="178" customFormat="1" x14ac:dyDescent="0.25">
      <c r="A832" s="625" t="s">
        <v>1543</v>
      </c>
      <c r="B832" s="221" t="s">
        <v>5548</v>
      </c>
      <c r="C832" s="221" t="s">
        <v>4809</v>
      </c>
      <c r="D832" s="219" t="s">
        <v>6784</v>
      </c>
      <c r="E832" s="219" t="s">
        <v>1980</v>
      </c>
      <c r="F832" s="455">
        <f t="shared" si="378"/>
        <v>14.31</v>
      </c>
      <c r="G832" s="530">
        <v>14.31</v>
      </c>
      <c r="H832" s="488">
        <f t="shared" si="379"/>
        <v>11.45</v>
      </c>
      <c r="I832" s="707"/>
      <c r="J832" s="669" t="s">
        <v>5805</v>
      </c>
      <c r="K832" s="15"/>
      <c r="L832"/>
      <c r="M832" s="49">
        <f t="shared" si="380"/>
        <v>14.31</v>
      </c>
      <c r="N832" s="41">
        <v>8.9</v>
      </c>
      <c r="O832" s="54"/>
      <c r="P832" s="74"/>
      <c r="Q832"/>
      <c r="R832"/>
      <c r="S832" t="s">
        <v>4180</v>
      </c>
      <c r="T832" s="178" t="s">
        <v>1017</v>
      </c>
      <c r="U832" s="75"/>
      <c r="V832" s="65"/>
      <c r="W832"/>
      <c r="X832" t="s">
        <v>1017</v>
      </c>
      <c r="Y832" s="65"/>
      <c r="Z832" s="65"/>
      <c r="AA832" s="65"/>
      <c r="AB832" s="65"/>
      <c r="AC832" s="65"/>
      <c r="AD832" s="91"/>
      <c r="AE832" s="124"/>
      <c r="AF832" s="65"/>
      <c r="AG832" s="91"/>
      <c r="AH832" s="217" t="s">
        <v>4179</v>
      </c>
      <c r="AI832" s="214" t="str">
        <f t="shared" si="373"/>
        <v/>
      </c>
      <c r="AJ832" s="214" t="str">
        <f t="shared" si="374"/>
        <v/>
      </c>
      <c r="AK832" s="214" t="str">
        <f t="shared" si="375"/>
        <v/>
      </c>
      <c r="AL832" s="214" t="str">
        <f t="shared" si="376"/>
        <v/>
      </c>
      <c r="AM832" s="214" t="str">
        <f t="shared" si="377"/>
        <v/>
      </c>
      <c r="AN832" s="213" t="str">
        <f t="shared" si="359"/>
        <v>2012</v>
      </c>
      <c r="AO832" s="213" t="str">
        <f t="shared" si="360"/>
        <v>2012</v>
      </c>
      <c r="AP832" s="213" t="str">
        <f t="shared" si="361"/>
        <v>2012</v>
      </c>
      <c r="AQ832" s="215" t="str">
        <f t="shared" si="362"/>
        <v/>
      </c>
      <c r="AR832" s="216" t="str">
        <f t="shared" si="363"/>
        <v>BiK83a3K12--04</v>
      </c>
      <c r="AS832" s="215" t="str">
        <f t="shared" si="364"/>
        <v/>
      </c>
      <c r="AT832">
        <f t="shared" si="365"/>
        <v>14</v>
      </c>
      <c r="AU832" s="216" t="str">
        <f t="shared" si="366"/>
        <v>0,5-5 MW, Bonusregeln a3 und K erstmals 2012</v>
      </c>
      <c r="AV832" s="215" t="str">
        <f t="shared" si="367"/>
        <v/>
      </c>
      <c r="AW832" s="216" t="str">
        <f t="shared" si="368"/>
        <v>Anteil KWK, erstmals 2012</v>
      </c>
      <c r="AX832" s="215" t="str">
        <f t="shared" si="369"/>
        <v/>
      </c>
      <c r="AY832" t="str">
        <f t="shared" si="370"/>
        <v/>
      </c>
      <c r="AZ832" t="str">
        <f t="shared" si="371"/>
        <v>x</v>
      </c>
    </row>
    <row r="833" spans="1:52" s="178" customFormat="1" x14ac:dyDescent="0.25">
      <c r="A833" s="609" t="s">
        <v>4498</v>
      </c>
      <c r="B833" s="1" t="s">
        <v>5548</v>
      </c>
      <c r="C833" s="2" t="s">
        <v>4809</v>
      </c>
      <c r="D833" s="1" t="s">
        <v>6785</v>
      </c>
      <c r="E833" s="1" t="s">
        <v>4810</v>
      </c>
      <c r="F833" s="456">
        <f t="shared" si="378"/>
        <v>10.9</v>
      </c>
      <c r="G833" s="531">
        <v>10.9</v>
      </c>
      <c r="H833" s="489">
        <f t="shared" si="379"/>
        <v>8.7200000000000006</v>
      </c>
      <c r="I833" s="708"/>
      <c r="J833" s="669" t="s">
        <v>5805</v>
      </c>
      <c r="K833" s="15"/>
      <c r="L833"/>
      <c r="M833" s="49">
        <f t="shared" si="380"/>
        <v>10.9</v>
      </c>
      <c r="N833" s="41">
        <v>8.9</v>
      </c>
      <c r="O833" s="54"/>
      <c r="P833" s="74"/>
      <c r="Q833"/>
      <c r="R833"/>
      <c r="S833" t="s">
        <v>4180</v>
      </c>
      <c r="T833" s="178" t="s">
        <v>4180</v>
      </c>
      <c r="U833" s="75"/>
      <c r="V833" s="65"/>
      <c r="W833"/>
      <c r="X833"/>
      <c r="Y833" s="65"/>
      <c r="Z833" s="65"/>
      <c r="AA833" s="65"/>
      <c r="AB833" s="65"/>
      <c r="AC833" s="65"/>
      <c r="AD833" s="91"/>
      <c r="AE833" s="124" t="s">
        <v>1017</v>
      </c>
      <c r="AF833" s="65"/>
      <c r="AG833" s="91"/>
      <c r="AH833" s="212" t="str">
        <f>IF(ISERROR(SEARCH("K erstmals 201",D833)),"",RIGHT(D833,4))</f>
        <v/>
      </c>
      <c r="AI833" s="214" t="str">
        <f t="shared" si="373"/>
        <v/>
      </c>
      <c r="AJ833" s="214" t="str">
        <f t="shared" si="374"/>
        <v/>
      </c>
      <c r="AK833" s="214" t="str">
        <f t="shared" si="375"/>
        <v/>
      </c>
      <c r="AL833" s="214" t="str">
        <f t="shared" si="376"/>
        <v/>
      </c>
      <c r="AM833" s="214" t="str">
        <f t="shared" si="377"/>
        <v/>
      </c>
      <c r="AN833" s="213" t="str">
        <f t="shared" si="359"/>
        <v/>
      </c>
      <c r="AO833" s="213" t="str">
        <f t="shared" si="360"/>
        <v/>
      </c>
      <c r="AP833" s="213" t="str">
        <f t="shared" si="361"/>
        <v/>
      </c>
      <c r="AQ833" s="215" t="str">
        <f t="shared" si="362"/>
        <v/>
      </c>
      <c r="AR833" s="216" t="str">
        <f t="shared" si="363"/>
        <v>BiK83b------04</v>
      </c>
      <c r="AS833" s="215" t="str">
        <f t="shared" si="364"/>
        <v/>
      </c>
      <c r="AT833">
        <f t="shared" si="365"/>
        <v>14</v>
      </c>
      <c r="AU833" s="216" t="str">
        <f t="shared" si="366"/>
        <v>0,5-5 MW, Bonusregel b</v>
      </c>
      <c r="AV833" s="215" t="str">
        <f t="shared" si="367"/>
        <v/>
      </c>
      <c r="AW833" s="216" t="str">
        <f t="shared" si="368"/>
        <v>Anteil Nicht-KWK</v>
      </c>
      <c r="AX833" s="215" t="str">
        <f t="shared" si="369"/>
        <v/>
      </c>
      <c r="AY833" t="str">
        <f t="shared" si="370"/>
        <v/>
      </c>
      <c r="AZ833" t="str">
        <f t="shared" si="371"/>
        <v/>
      </c>
    </row>
    <row r="834" spans="1:52" s="178" customFormat="1" x14ac:dyDescent="0.25">
      <c r="A834" s="609" t="s">
        <v>4499</v>
      </c>
      <c r="B834" s="1" t="s">
        <v>5548</v>
      </c>
      <c r="C834" s="2" t="s">
        <v>4809</v>
      </c>
      <c r="D834" s="1" t="s">
        <v>6786</v>
      </c>
      <c r="E834" s="1" t="s">
        <v>4812</v>
      </c>
      <c r="F834" s="456">
        <f t="shared" si="378"/>
        <v>12.9</v>
      </c>
      <c r="G834" s="531">
        <v>12.9</v>
      </c>
      <c r="H834" s="489">
        <f t="shared" si="379"/>
        <v>10.32</v>
      </c>
      <c r="I834" s="708"/>
      <c r="J834" s="669" t="s">
        <v>5805</v>
      </c>
      <c r="K834" s="15"/>
      <c r="L834"/>
      <c r="M834" s="49">
        <f t="shared" si="380"/>
        <v>12.9</v>
      </c>
      <c r="N834" s="41">
        <v>8.9</v>
      </c>
      <c r="O834" s="54" t="s">
        <v>1017</v>
      </c>
      <c r="P834" s="74"/>
      <c r="Q834"/>
      <c r="R834"/>
      <c r="S834" t="s">
        <v>4180</v>
      </c>
      <c r="T834" s="178" t="s">
        <v>4180</v>
      </c>
      <c r="U834" s="75"/>
      <c r="V834" s="65"/>
      <c r="W834"/>
      <c r="X834"/>
      <c r="Y834" s="65"/>
      <c r="Z834" s="65"/>
      <c r="AA834" s="65"/>
      <c r="AB834" s="65"/>
      <c r="AC834" s="65"/>
      <c r="AD834" s="91"/>
      <c r="AE834" s="124" t="s">
        <v>1017</v>
      </c>
      <c r="AF834" s="65"/>
      <c r="AG834" s="91"/>
      <c r="AH834" s="212" t="str">
        <f>IF(ISERROR(SEARCH("K erstmals 201",D834)),"",RIGHT(D834,4))</f>
        <v/>
      </c>
      <c r="AI834" s="214" t="str">
        <f t="shared" si="373"/>
        <v/>
      </c>
      <c r="AJ834" s="214" t="str">
        <f t="shared" si="374"/>
        <v/>
      </c>
      <c r="AK834" s="214" t="str">
        <f t="shared" si="375"/>
        <v/>
      </c>
      <c r="AL834" s="214" t="str">
        <f t="shared" si="376"/>
        <v/>
      </c>
      <c r="AM834" s="214" t="str">
        <f t="shared" si="377"/>
        <v/>
      </c>
      <c r="AN834" s="213" t="str">
        <f t="shared" si="359"/>
        <v/>
      </c>
      <c r="AO834" s="213" t="str">
        <f t="shared" si="360"/>
        <v/>
      </c>
      <c r="AP834" s="213" t="str">
        <f t="shared" si="361"/>
        <v/>
      </c>
      <c r="AQ834" s="215" t="str">
        <f t="shared" si="362"/>
        <v/>
      </c>
      <c r="AR834" s="216" t="str">
        <f t="shared" si="363"/>
        <v>BiK83bKWK---04</v>
      </c>
      <c r="AS834" s="215" t="str">
        <f t="shared" si="364"/>
        <v/>
      </c>
      <c r="AT834">
        <f t="shared" si="365"/>
        <v>14</v>
      </c>
      <c r="AU834" s="216" t="str">
        <f t="shared" si="366"/>
        <v>0,5-5 MW, Bonusregel b und KWK</v>
      </c>
      <c r="AV834" s="215" t="str">
        <f t="shared" si="367"/>
        <v/>
      </c>
      <c r="AW834" s="216" t="str">
        <f t="shared" si="368"/>
        <v>Anteil KWK</v>
      </c>
      <c r="AX834" s="215" t="str">
        <f t="shared" si="369"/>
        <v/>
      </c>
      <c r="AY834" t="str">
        <f t="shared" si="370"/>
        <v/>
      </c>
      <c r="AZ834" t="str">
        <f t="shared" si="371"/>
        <v/>
      </c>
    </row>
    <row r="835" spans="1:52" s="178" customFormat="1" x14ac:dyDescent="0.25">
      <c r="A835" s="610" t="s">
        <v>4025</v>
      </c>
      <c r="B835" s="17" t="s">
        <v>5548</v>
      </c>
      <c r="C835" s="17" t="s">
        <v>4809</v>
      </c>
      <c r="D835" s="30" t="s">
        <v>6787</v>
      </c>
      <c r="E835" s="17" t="s">
        <v>674</v>
      </c>
      <c r="F835" s="454">
        <f t="shared" si="378"/>
        <v>13.9</v>
      </c>
      <c r="G835" s="529">
        <v>13.9</v>
      </c>
      <c r="H835" s="487">
        <f t="shared" si="379"/>
        <v>11.12</v>
      </c>
      <c r="I835" s="706"/>
      <c r="J835" s="669" t="s">
        <v>5805</v>
      </c>
      <c r="K835" s="15"/>
      <c r="L835"/>
      <c r="M835" s="49">
        <f t="shared" si="380"/>
        <v>13.9</v>
      </c>
      <c r="N835" s="41">
        <v>8.9</v>
      </c>
      <c r="O835" s="54"/>
      <c r="P835" s="74"/>
      <c r="Q835" t="s">
        <v>1017</v>
      </c>
      <c r="R835"/>
      <c r="S835" t="s">
        <v>4180</v>
      </c>
      <c r="T835" s="178" t="s">
        <v>4180</v>
      </c>
      <c r="U835" s="75"/>
      <c r="V835" s="65"/>
      <c r="W835"/>
      <c r="X835"/>
      <c r="Y835" s="65"/>
      <c r="Z835" s="65"/>
      <c r="AA835" s="65"/>
      <c r="AB835" s="65"/>
      <c r="AC835" s="65"/>
      <c r="AD835" s="91"/>
      <c r="AE835" s="124" t="s">
        <v>1017</v>
      </c>
      <c r="AF835" s="65"/>
      <c r="AG835" s="91"/>
      <c r="AH835" s="212" t="str">
        <f>IF(ISERROR(SEARCH("K erstmals 201",D835)),"",RIGHT(D835,4))</f>
        <v/>
      </c>
      <c r="AI835" s="214" t="str">
        <f t="shared" si="373"/>
        <v/>
      </c>
      <c r="AJ835" s="214" t="str">
        <f t="shared" si="374"/>
        <v/>
      </c>
      <c r="AK835" s="214" t="str">
        <f t="shared" si="375"/>
        <v/>
      </c>
      <c r="AL835" s="214" t="str">
        <f t="shared" si="376"/>
        <v/>
      </c>
      <c r="AM835" s="214" t="str">
        <f t="shared" si="377"/>
        <v/>
      </c>
      <c r="AN835" s="213" t="str">
        <f t="shared" si="359"/>
        <v/>
      </c>
      <c r="AO835" s="213" t="str">
        <f t="shared" si="360"/>
        <v/>
      </c>
      <c r="AP835" s="213" t="str">
        <f t="shared" si="361"/>
        <v/>
      </c>
      <c r="AQ835" s="215" t="str">
        <f t="shared" si="362"/>
        <v/>
      </c>
      <c r="AR835" s="216" t="str">
        <f t="shared" si="363"/>
        <v>BiK83bK09---04</v>
      </c>
      <c r="AS835" s="215" t="str">
        <f t="shared" si="364"/>
        <v/>
      </c>
      <c r="AT835">
        <f t="shared" si="365"/>
        <v>14</v>
      </c>
      <c r="AU835" s="216" t="str">
        <f t="shared" si="366"/>
        <v>0,5-5 MW, Bonusregel b und K erstmals 2009</v>
      </c>
      <c r="AV835" s="215" t="str">
        <f t="shared" si="367"/>
        <v/>
      </c>
      <c r="AW835" s="216" t="str">
        <f t="shared" si="368"/>
        <v>Anteil KWK, erstmals 2009</v>
      </c>
      <c r="AX835" s="215" t="str">
        <f t="shared" si="369"/>
        <v/>
      </c>
      <c r="AY835" t="str">
        <f t="shared" si="370"/>
        <v/>
      </c>
      <c r="AZ835" t="str">
        <f t="shared" si="371"/>
        <v/>
      </c>
    </row>
    <row r="836" spans="1:52" s="178" customFormat="1" x14ac:dyDescent="0.25">
      <c r="A836" s="610" t="s">
        <v>4041</v>
      </c>
      <c r="B836" s="17" t="s">
        <v>5548</v>
      </c>
      <c r="C836" s="17" t="s">
        <v>4809</v>
      </c>
      <c r="D836" s="30" t="s">
        <v>6788</v>
      </c>
      <c r="E836" s="30" t="s">
        <v>3567</v>
      </c>
      <c r="F836" s="454">
        <f t="shared" si="378"/>
        <v>13.870000000000001</v>
      </c>
      <c r="G836" s="529">
        <v>13.870000000000001</v>
      </c>
      <c r="H836" s="487">
        <f t="shared" si="379"/>
        <v>11.1</v>
      </c>
      <c r="I836" s="706"/>
      <c r="J836" s="669" t="s">
        <v>5805</v>
      </c>
      <c r="K836" s="15"/>
      <c r="L836"/>
      <c r="M836" s="49">
        <f t="shared" si="380"/>
        <v>13.870000000000001</v>
      </c>
      <c r="N836" s="41">
        <v>8.9</v>
      </c>
      <c r="O836" s="54"/>
      <c r="P836" s="74"/>
      <c r="Q836"/>
      <c r="R836" t="s">
        <v>1017</v>
      </c>
      <c r="S836" t="s">
        <v>4180</v>
      </c>
      <c r="T836" s="178" t="s">
        <v>4180</v>
      </c>
      <c r="U836" s="75"/>
      <c r="V836" s="65"/>
      <c r="W836"/>
      <c r="X836"/>
      <c r="Y836" s="65"/>
      <c r="Z836" s="65"/>
      <c r="AA836" s="65"/>
      <c r="AB836" s="65"/>
      <c r="AC836" s="65"/>
      <c r="AD836" s="91"/>
      <c r="AE836" s="124" t="s">
        <v>1017</v>
      </c>
      <c r="AF836" s="65"/>
      <c r="AG836" s="91"/>
      <c r="AH836" s="212" t="str">
        <f>IF(ISERROR(SEARCH("K erstmals 201",D836)),"",RIGHT(D836,4))</f>
        <v>2010</v>
      </c>
      <c r="AI836" s="214" t="str">
        <f t="shared" si="373"/>
        <v/>
      </c>
      <c r="AJ836" s="214" t="str">
        <f t="shared" si="374"/>
        <v/>
      </c>
      <c r="AK836" s="214" t="str">
        <f t="shared" si="375"/>
        <v/>
      </c>
      <c r="AL836" s="214" t="str">
        <f t="shared" si="376"/>
        <v/>
      </c>
      <c r="AM836" s="214" t="str">
        <f t="shared" si="377"/>
        <v/>
      </c>
      <c r="AN836" s="213" t="str">
        <f t="shared" si="359"/>
        <v>2010</v>
      </c>
      <c r="AO836" s="213" t="str">
        <f t="shared" si="360"/>
        <v>2010</v>
      </c>
      <c r="AP836" s="213" t="str">
        <f t="shared" si="361"/>
        <v>2010</v>
      </c>
      <c r="AQ836" s="215" t="str">
        <f t="shared" si="362"/>
        <v/>
      </c>
      <c r="AR836" s="216" t="str">
        <f t="shared" si="363"/>
        <v>BiK83bK10---04</v>
      </c>
      <c r="AS836" s="215" t="str">
        <f t="shared" si="364"/>
        <v/>
      </c>
      <c r="AT836">
        <f t="shared" si="365"/>
        <v>14</v>
      </c>
      <c r="AU836" s="216" t="str">
        <f t="shared" si="366"/>
        <v>0,5-5 MW, Bonusregel b und K erstmals 2010</v>
      </c>
      <c r="AV836" s="215" t="str">
        <f t="shared" si="367"/>
        <v/>
      </c>
      <c r="AW836" s="216" t="str">
        <f t="shared" si="368"/>
        <v>Anteil KWK, erstmals 2010</v>
      </c>
      <c r="AX836" s="215" t="str">
        <f t="shared" si="369"/>
        <v/>
      </c>
      <c r="AY836" t="str">
        <f t="shared" si="370"/>
        <v/>
      </c>
      <c r="AZ836" t="str">
        <f t="shared" si="371"/>
        <v/>
      </c>
    </row>
    <row r="837" spans="1:52" s="178" customFormat="1" x14ac:dyDescent="0.25">
      <c r="A837" s="610" t="s">
        <v>5294</v>
      </c>
      <c r="B837" s="17" t="s">
        <v>5548</v>
      </c>
      <c r="C837" s="17" t="s">
        <v>4809</v>
      </c>
      <c r="D837" s="30" t="s">
        <v>6789</v>
      </c>
      <c r="E837" s="30" t="s">
        <v>3055</v>
      </c>
      <c r="F837" s="454">
        <f t="shared" si="378"/>
        <v>13.84</v>
      </c>
      <c r="G837" s="529">
        <v>13.84</v>
      </c>
      <c r="H837" s="487">
        <f t="shared" si="379"/>
        <v>11.07</v>
      </c>
      <c r="I837" s="706"/>
      <c r="J837" s="669" t="s">
        <v>5805</v>
      </c>
      <c r="K837" s="15"/>
      <c r="L837"/>
      <c r="M837" s="49">
        <f t="shared" si="380"/>
        <v>13.84</v>
      </c>
      <c r="N837" s="41">
        <v>8.9</v>
      </c>
      <c r="O837" s="54"/>
      <c r="P837" s="74"/>
      <c r="Q837"/>
      <c r="R837"/>
      <c r="S837" t="s">
        <v>1017</v>
      </c>
      <c r="T837" s="178" t="s">
        <v>4180</v>
      </c>
      <c r="U837" s="75"/>
      <c r="V837" s="65"/>
      <c r="W837"/>
      <c r="X837"/>
      <c r="Y837" s="65"/>
      <c r="Z837" s="65"/>
      <c r="AA837" s="65"/>
      <c r="AB837" s="65"/>
      <c r="AC837" s="65"/>
      <c r="AD837" s="91"/>
      <c r="AE837" s="124" t="s">
        <v>1017</v>
      </c>
      <c r="AF837" s="65"/>
      <c r="AG837" s="91"/>
      <c r="AH837" s="212" t="str">
        <f>IF(ISERROR(SEARCH("K erstmals 201",D837)),"",RIGHT(D837,4))</f>
        <v>2011</v>
      </c>
      <c r="AI837" s="214" t="str">
        <f t="shared" si="373"/>
        <v/>
      </c>
      <c r="AJ837" s="214" t="str">
        <f t="shared" si="374"/>
        <v/>
      </c>
      <c r="AK837" s="214" t="str">
        <f t="shared" si="375"/>
        <v/>
      </c>
      <c r="AL837" s="214" t="str">
        <f t="shared" si="376"/>
        <v/>
      </c>
      <c r="AM837" s="214" t="str">
        <f t="shared" si="377"/>
        <v/>
      </c>
      <c r="AN837" s="213" t="str">
        <f t="shared" si="359"/>
        <v>2011</v>
      </c>
      <c r="AO837" s="213" t="str">
        <f t="shared" si="360"/>
        <v>2011</v>
      </c>
      <c r="AP837" s="213" t="str">
        <f t="shared" si="361"/>
        <v>2011</v>
      </c>
      <c r="AQ837" s="215" t="str">
        <f t="shared" si="362"/>
        <v/>
      </c>
      <c r="AR837" s="216" t="str">
        <f t="shared" si="363"/>
        <v>BiK83bK11---04</v>
      </c>
      <c r="AS837" s="215" t="str">
        <f t="shared" si="364"/>
        <v/>
      </c>
      <c r="AT837">
        <f t="shared" si="365"/>
        <v>14</v>
      </c>
      <c r="AU837" s="216" t="str">
        <f t="shared" si="366"/>
        <v>0,5-5 MW, Bonusregel b und K erstmals 2011</v>
      </c>
      <c r="AV837" s="215" t="str">
        <f t="shared" si="367"/>
        <v/>
      </c>
      <c r="AW837" s="216" t="str">
        <f t="shared" si="368"/>
        <v>Anteil KWK, erstmals 2011</v>
      </c>
      <c r="AX837" s="215" t="str">
        <f t="shared" si="369"/>
        <v/>
      </c>
      <c r="AY837" t="str">
        <f t="shared" si="370"/>
        <v>x</v>
      </c>
      <c r="AZ837" t="str">
        <f t="shared" si="371"/>
        <v/>
      </c>
    </row>
    <row r="838" spans="1:52" s="178" customFormat="1" x14ac:dyDescent="0.25">
      <c r="A838" s="625" t="s">
        <v>1544</v>
      </c>
      <c r="B838" s="221" t="s">
        <v>5548</v>
      </c>
      <c r="C838" s="221" t="s">
        <v>4809</v>
      </c>
      <c r="D838" s="219" t="s">
        <v>6790</v>
      </c>
      <c r="E838" s="219" t="s">
        <v>1980</v>
      </c>
      <c r="F838" s="455">
        <f t="shared" si="378"/>
        <v>13.81</v>
      </c>
      <c r="G838" s="530">
        <v>13.81</v>
      </c>
      <c r="H838" s="488">
        <f t="shared" si="379"/>
        <v>11.05</v>
      </c>
      <c r="I838" s="707"/>
      <c r="J838" s="669" t="s">
        <v>5805</v>
      </c>
      <c r="K838" s="15"/>
      <c r="L838"/>
      <c r="M838" s="49">
        <f t="shared" si="380"/>
        <v>13.81</v>
      </c>
      <c r="N838" s="41">
        <v>8.9</v>
      </c>
      <c r="O838" s="54"/>
      <c r="P838" s="74"/>
      <c r="Q838"/>
      <c r="R838"/>
      <c r="S838" t="s">
        <v>4180</v>
      </c>
      <c r="T838" s="178" t="s">
        <v>1017</v>
      </c>
      <c r="U838" s="75"/>
      <c r="V838" s="65"/>
      <c r="W838"/>
      <c r="X838"/>
      <c r="Y838" s="65"/>
      <c r="Z838" s="65"/>
      <c r="AA838" s="65"/>
      <c r="AB838" s="65"/>
      <c r="AC838" s="65"/>
      <c r="AD838" s="91"/>
      <c r="AE838" s="124" t="s">
        <v>1017</v>
      </c>
      <c r="AF838" s="65"/>
      <c r="AG838" s="91"/>
      <c r="AH838" s="217" t="s">
        <v>4179</v>
      </c>
      <c r="AI838" s="214" t="str">
        <f t="shared" si="373"/>
        <v/>
      </c>
      <c r="AJ838" s="214" t="str">
        <f t="shared" si="374"/>
        <v/>
      </c>
      <c r="AK838" s="214" t="str">
        <f t="shared" si="375"/>
        <v/>
      </c>
      <c r="AL838" s="214" t="str">
        <f t="shared" si="376"/>
        <v/>
      </c>
      <c r="AM838" s="214" t="str">
        <f t="shared" si="377"/>
        <v/>
      </c>
      <c r="AN838" s="213" t="str">
        <f t="shared" si="359"/>
        <v>2012</v>
      </c>
      <c r="AO838" s="213" t="str">
        <f t="shared" si="360"/>
        <v>2012</v>
      </c>
      <c r="AP838" s="213" t="str">
        <f t="shared" si="361"/>
        <v>2012</v>
      </c>
      <c r="AQ838" s="215" t="str">
        <f t="shared" si="362"/>
        <v/>
      </c>
      <c r="AR838" s="216" t="str">
        <f t="shared" si="363"/>
        <v>BiK83bK12---04</v>
      </c>
      <c r="AS838" s="215" t="str">
        <f t="shared" si="364"/>
        <v/>
      </c>
      <c r="AT838">
        <f t="shared" si="365"/>
        <v>14</v>
      </c>
      <c r="AU838" s="216" t="str">
        <f t="shared" si="366"/>
        <v>0,5-5 MW, Bonusregel b und K erstmals 2012</v>
      </c>
      <c r="AV838" s="215" t="str">
        <f t="shared" si="367"/>
        <v/>
      </c>
      <c r="AW838" s="216" t="str">
        <f t="shared" si="368"/>
        <v>Anteil KWK, erstmals 2012</v>
      </c>
      <c r="AX838" s="215" t="str">
        <f t="shared" si="369"/>
        <v/>
      </c>
      <c r="AY838" t="str">
        <f t="shared" si="370"/>
        <v/>
      </c>
      <c r="AZ838" t="str">
        <f t="shared" si="371"/>
        <v>x</v>
      </c>
    </row>
    <row r="839" spans="1:52" s="178" customFormat="1" x14ac:dyDescent="0.25">
      <c r="A839" s="609" t="s">
        <v>4500</v>
      </c>
      <c r="B839" s="1" t="s">
        <v>5548</v>
      </c>
      <c r="C839" s="2" t="s">
        <v>4809</v>
      </c>
      <c r="D839" s="1" t="s">
        <v>6791</v>
      </c>
      <c r="E839" s="1" t="s">
        <v>4810</v>
      </c>
      <c r="F839" s="456">
        <f t="shared" si="378"/>
        <v>14.9</v>
      </c>
      <c r="G839" s="531">
        <v>14.9</v>
      </c>
      <c r="H839" s="489">
        <f t="shared" si="379"/>
        <v>11.92</v>
      </c>
      <c r="I839" s="708"/>
      <c r="J839" s="669" t="s">
        <v>5805</v>
      </c>
      <c r="K839" s="15"/>
      <c r="L839"/>
      <c r="M839" s="49">
        <f t="shared" si="380"/>
        <v>14.9</v>
      </c>
      <c r="N839" s="41">
        <v>8.9</v>
      </c>
      <c r="O839" s="54"/>
      <c r="P839" s="74"/>
      <c r="Q839"/>
      <c r="R839"/>
      <c r="S839" t="s">
        <v>4180</v>
      </c>
      <c r="T839" s="178" t="s">
        <v>4180</v>
      </c>
      <c r="U839" s="75"/>
      <c r="V839" s="65"/>
      <c r="W839" t="s">
        <v>1017</v>
      </c>
      <c r="X839"/>
      <c r="Y839" s="65"/>
      <c r="Z839" s="65"/>
      <c r="AA839" s="65"/>
      <c r="AB839" s="65"/>
      <c r="AC839" s="65"/>
      <c r="AD839" s="91"/>
      <c r="AE839" s="124" t="s">
        <v>1017</v>
      </c>
      <c r="AF839" s="65"/>
      <c r="AG839" s="91"/>
      <c r="AH839" s="212" t="str">
        <f>IF(ISERROR(SEARCH("K erstmals 201",D839)),"",RIGHT(D839,4))</f>
        <v/>
      </c>
      <c r="AI839" s="214" t="str">
        <f t="shared" si="373"/>
        <v/>
      </c>
      <c r="AJ839" s="214" t="str">
        <f t="shared" si="374"/>
        <v/>
      </c>
      <c r="AK839" s="214" t="str">
        <f t="shared" si="375"/>
        <v/>
      </c>
      <c r="AL839" s="214" t="str">
        <f t="shared" si="376"/>
        <v/>
      </c>
      <c r="AM839" s="214" t="str">
        <f t="shared" si="377"/>
        <v/>
      </c>
      <c r="AN839" s="213" t="str">
        <f t="shared" si="359"/>
        <v/>
      </c>
      <c r="AO839" s="213" t="str">
        <f t="shared" si="360"/>
        <v/>
      </c>
      <c r="AP839" s="213" t="str">
        <f t="shared" si="361"/>
        <v/>
      </c>
      <c r="AQ839" s="215" t="str">
        <f t="shared" si="362"/>
        <v/>
      </c>
      <c r="AR839" s="216" t="str">
        <f t="shared" si="363"/>
        <v>BiK83a2b----04</v>
      </c>
      <c r="AS839" s="215" t="str">
        <f t="shared" si="364"/>
        <v/>
      </c>
      <c r="AT839">
        <f t="shared" si="365"/>
        <v>14</v>
      </c>
      <c r="AU839" s="216" t="str">
        <f t="shared" si="366"/>
        <v>0,5-5 MW, Bonusregeln a2 und b</v>
      </c>
      <c r="AV839" s="215" t="str">
        <f t="shared" si="367"/>
        <v/>
      </c>
      <c r="AW839" s="216" t="str">
        <f t="shared" si="368"/>
        <v>Anteil Nicht-KWK</v>
      </c>
      <c r="AX839" s="215" t="str">
        <f t="shared" si="369"/>
        <v/>
      </c>
      <c r="AY839" t="str">
        <f t="shared" si="370"/>
        <v/>
      </c>
      <c r="AZ839" t="str">
        <f t="shared" si="371"/>
        <v/>
      </c>
    </row>
    <row r="840" spans="1:52" s="178" customFormat="1" x14ac:dyDescent="0.25">
      <c r="A840" s="609" t="s">
        <v>4501</v>
      </c>
      <c r="B840" s="1" t="s">
        <v>5548</v>
      </c>
      <c r="C840" s="2" t="s">
        <v>4809</v>
      </c>
      <c r="D840" s="1" t="s">
        <v>6792</v>
      </c>
      <c r="E840" s="1" t="s">
        <v>4812</v>
      </c>
      <c r="F840" s="456">
        <f t="shared" si="378"/>
        <v>16.899999999999999</v>
      </c>
      <c r="G840" s="531">
        <v>16.899999999999999</v>
      </c>
      <c r="H840" s="489">
        <f t="shared" si="379"/>
        <v>13.52</v>
      </c>
      <c r="I840" s="708"/>
      <c r="J840" s="669" t="s">
        <v>5805</v>
      </c>
      <c r="K840" s="15"/>
      <c r="L840"/>
      <c r="M840" s="49">
        <f t="shared" si="380"/>
        <v>16.899999999999999</v>
      </c>
      <c r="N840" s="41">
        <v>8.9</v>
      </c>
      <c r="O840" s="54" t="s">
        <v>1017</v>
      </c>
      <c r="P840" s="74"/>
      <c r="Q840"/>
      <c r="R840"/>
      <c r="S840" t="s">
        <v>4180</v>
      </c>
      <c r="T840" s="178" t="s">
        <v>4180</v>
      </c>
      <c r="U840" s="75"/>
      <c r="V840" s="65"/>
      <c r="W840" t="s">
        <v>1017</v>
      </c>
      <c r="X840"/>
      <c r="Y840" s="65"/>
      <c r="Z840" s="65"/>
      <c r="AA840" s="65"/>
      <c r="AB840" s="65"/>
      <c r="AC840" s="65"/>
      <c r="AD840" s="91"/>
      <c r="AE840" s="124" t="s">
        <v>1017</v>
      </c>
      <c r="AF840" s="65"/>
      <c r="AG840" s="91"/>
      <c r="AH840" s="212" t="str">
        <f>IF(ISERROR(SEARCH("K erstmals 201",D840)),"",RIGHT(D840,4))</f>
        <v/>
      </c>
      <c r="AI840" s="214" t="str">
        <f t="shared" si="373"/>
        <v/>
      </c>
      <c r="AJ840" s="214" t="str">
        <f t="shared" si="374"/>
        <v/>
      </c>
      <c r="AK840" s="214" t="str">
        <f t="shared" si="375"/>
        <v/>
      </c>
      <c r="AL840" s="214" t="str">
        <f t="shared" si="376"/>
        <v/>
      </c>
      <c r="AM840" s="214" t="str">
        <f t="shared" si="377"/>
        <v/>
      </c>
      <c r="AN840" s="213" t="str">
        <f t="shared" si="359"/>
        <v/>
      </c>
      <c r="AO840" s="213" t="str">
        <f t="shared" si="360"/>
        <v/>
      </c>
      <c r="AP840" s="213" t="str">
        <f t="shared" si="361"/>
        <v/>
      </c>
      <c r="AQ840" s="215" t="str">
        <f t="shared" si="362"/>
        <v/>
      </c>
      <c r="AR840" s="216" t="str">
        <f t="shared" si="363"/>
        <v>BiK83a2bKWK-04</v>
      </c>
      <c r="AS840" s="215" t="str">
        <f t="shared" si="364"/>
        <v/>
      </c>
      <c r="AT840">
        <f t="shared" si="365"/>
        <v>14</v>
      </c>
      <c r="AU840" s="216" t="str">
        <f t="shared" si="366"/>
        <v>0,5-5 MW, Bonusregeln a2, b und KWK</v>
      </c>
      <c r="AV840" s="215" t="str">
        <f t="shared" si="367"/>
        <v/>
      </c>
      <c r="AW840" s="216" t="str">
        <f t="shared" si="368"/>
        <v>Anteil KWK</v>
      </c>
      <c r="AX840" s="215" t="str">
        <f t="shared" si="369"/>
        <v/>
      </c>
      <c r="AY840" t="str">
        <f t="shared" si="370"/>
        <v/>
      </c>
      <c r="AZ840" t="str">
        <f t="shared" si="371"/>
        <v/>
      </c>
    </row>
    <row r="841" spans="1:52" s="178" customFormat="1" x14ac:dyDescent="0.25">
      <c r="A841" s="610" t="s">
        <v>4026</v>
      </c>
      <c r="B841" s="17" t="s">
        <v>5548</v>
      </c>
      <c r="C841" s="17" t="s">
        <v>4809</v>
      </c>
      <c r="D841" s="30" t="s">
        <v>6793</v>
      </c>
      <c r="E841" s="17" t="s">
        <v>674</v>
      </c>
      <c r="F841" s="454">
        <f t="shared" si="378"/>
        <v>17.899999999999999</v>
      </c>
      <c r="G841" s="529">
        <v>17.899999999999999</v>
      </c>
      <c r="H841" s="487">
        <f t="shared" si="379"/>
        <v>14.32</v>
      </c>
      <c r="I841" s="706"/>
      <c r="J841" s="669" t="s">
        <v>5805</v>
      </c>
      <c r="K841" s="15"/>
      <c r="L841"/>
      <c r="M841" s="49">
        <f t="shared" si="380"/>
        <v>17.899999999999999</v>
      </c>
      <c r="N841" s="41">
        <v>8.9</v>
      </c>
      <c r="O841" s="54"/>
      <c r="P841" s="74"/>
      <c r="Q841" t="s">
        <v>1017</v>
      </c>
      <c r="R841"/>
      <c r="S841" t="s">
        <v>4180</v>
      </c>
      <c r="T841" s="178" t="s">
        <v>4180</v>
      </c>
      <c r="U841" s="75"/>
      <c r="V841" s="65"/>
      <c r="W841" t="s">
        <v>1017</v>
      </c>
      <c r="X841"/>
      <c r="Y841" s="65"/>
      <c r="Z841" s="65"/>
      <c r="AA841" s="65"/>
      <c r="AB841" s="65"/>
      <c r="AC841" s="65"/>
      <c r="AD841" s="91"/>
      <c r="AE841" s="124" t="s">
        <v>1017</v>
      </c>
      <c r="AF841" s="65"/>
      <c r="AG841" s="91"/>
      <c r="AH841" s="212" t="str">
        <f>IF(ISERROR(SEARCH("K erstmals 201",D841)),"",RIGHT(D841,4))</f>
        <v/>
      </c>
      <c r="AI841" s="214" t="str">
        <f t="shared" si="373"/>
        <v/>
      </c>
      <c r="AJ841" s="214" t="str">
        <f t="shared" si="374"/>
        <v/>
      </c>
      <c r="AK841" s="214" t="str">
        <f t="shared" si="375"/>
        <v/>
      </c>
      <c r="AL841" s="214" t="str">
        <f t="shared" si="376"/>
        <v/>
      </c>
      <c r="AM841" s="214" t="str">
        <f t="shared" si="377"/>
        <v/>
      </c>
      <c r="AN841" s="213" t="str">
        <f t="shared" si="359"/>
        <v/>
      </c>
      <c r="AO841" s="213" t="str">
        <f t="shared" si="360"/>
        <v/>
      </c>
      <c r="AP841" s="213" t="str">
        <f t="shared" si="361"/>
        <v/>
      </c>
      <c r="AQ841" s="215" t="str">
        <f t="shared" si="362"/>
        <v/>
      </c>
      <c r="AR841" s="216" t="str">
        <f t="shared" si="363"/>
        <v>BiK83a2bK09-04</v>
      </c>
      <c r="AS841" s="215" t="str">
        <f t="shared" si="364"/>
        <v/>
      </c>
      <c r="AT841">
        <f t="shared" si="365"/>
        <v>14</v>
      </c>
      <c r="AU841" s="216" t="str">
        <f t="shared" si="366"/>
        <v>0,5-5 MW, Bonusregeln a2, b und K erstmals 2009</v>
      </c>
      <c r="AV841" s="215" t="str">
        <f t="shared" si="367"/>
        <v/>
      </c>
      <c r="AW841" s="216" t="str">
        <f t="shared" si="368"/>
        <v>Anteil KWK, erstmals 2009</v>
      </c>
      <c r="AX841" s="215" t="str">
        <f t="shared" si="369"/>
        <v/>
      </c>
      <c r="AY841" t="str">
        <f t="shared" si="370"/>
        <v/>
      </c>
      <c r="AZ841" t="str">
        <f t="shared" si="371"/>
        <v/>
      </c>
    </row>
    <row r="842" spans="1:52" s="178" customFormat="1" x14ac:dyDescent="0.25">
      <c r="A842" s="610" t="s">
        <v>4042</v>
      </c>
      <c r="B842" s="17" t="s">
        <v>5548</v>
      </c>
      <c r="C842" s="17" t="s">
        <v>4809</v>
      </c>
      <c r="D842" s="30" t="s">
        <v>6794</v>
      </c>
      <c r="E842" s="30" t="s">
        <v>3567</v>
      </c>
      <c r="F842" s="454">
        <f t="shared" si="378"/>
        <v>17.87</v>
      </c>
      <c r="G842" s="529">
        <v>17.87</v>
      </c>
      <c r="H842" s="487">
        <f t="shared" si="379"/>
        <v>14.3</v>
      </c>
      <c r="I842" s="706"/>
      <c r="J842" s="669" t="s">
        <v>5805</v>
      </c>
      <c r="K842" s="15"/>
      <c r="L842"/>
      <c r="M842" s="49">
        <f t="shared" si="380"/>
        <v>17.87</v>
      </c>
      <c r="N842" s="41">
        <v>8.9</v>
      </c>
      <c r="O842" s="54"/>
      <c r="P842" s="74"/>
      <c r="Q842"/>
      <c r="R842" t="s">
        <v>1017</v>
      </c>
      <c r="S842" t="s">
        <v>4180</v>
      </c>
      <c r="T842" s="178" t="s">
        <v>4180</v>
      </c>
      <c r="U842" s="75"/>
      <c r="V842" s="65"/>
      <c r="W842" t="s">
        <v>1017</v>
      </c>
      <c r="X842"/>
      <c r="Y842" s="65"/>
      <c r="Z842" s="65"/>
      <c r="AA842" s="65"/>
      <c r="AB842" s="65"/>
      <c r="AC842" s="65"/>
      <c r="AD842" s="91"/>
      <c r="AE842" s="124" t="s">
        <v>1017</v>
      </c>
      <c r="AF842" s="65"/>
      <c r="AG842" s="91"/>
      <c r="AH842" s="212" t="str">
        <f>IF(ISERROR(SEARCH("K erstmals 201",D842)),"",RIGHT(D842,4))</f>
        <v>2010</v>
      </c>
      <c r="AI842" s="214" t="str">
        <f t="shared" si="373"/>
        <v/>
      </c>
      <c r="AJ842" s="214" t="str">
        <f t="shared" si="374"/>
        <v/>
      </c>
      <c r="AK842" s="214" t="str">
        <f t="shared" si="375"/>
        <v/>
      </c>
      <c r="AL842" s="214" t="str">
        <f t="shared" si="376"/>
        <v/>
      </c>
      <c r="AM842" s="214" t="str">
        <f t="shared" si="377"/>
        <v/>
      </c>
      <c r="AN842" s="213" t="str">
        <f t="shared" si="359"/>
        <v>2010</v>
      </c>
      <c r="AO842" s="213" t="str">
        <f t="shared" si="360"/>
        <v>2010</v>
      </c>
      <c r="AP842" s="213" t="str">
        <f t="shared" si="361"/>
        <v>2010</v>
      </c>
      <c r="AQ842" s="215" t="str">
        <f t="shared" si="362"/>
        <v/>
      </c>
      <c r="AR842" s="216" t="str">
        <f t="shared" si="363"/>
        <v>BiK83a2bK10-04</v>
      </c>
      <c r="AS842" s="215" t="str">
        <f t="shared" si="364"/>
        <v/>
      </c>
      <c r="AT842">
        <f t="shared" si="365"/>
        <v>14</v>
      </c>
      <c r="AU842" s="216" t="str">
        <f t="shared" si="366"/>
        <v>0,5-5 MW, Bonusregeln a2, b und K erstmals 2010</v>
      </c>
      <c r="AV842" s="215" t="str">
        <f t="shared" si="367"/>
        <v/>
      </c>
      <c r="AW842" s="216" t="str">
        <f t="shared" si="368"/>
        <v>Anteil KWK, erstmals 2010</v>
      </c>
      <c r="AX842" s="215" t="str">
        <f t="shared" si="369"/>
        <v/>
      </c>
      <c r="AY842" t="str">
        <f t="shared" si="370"/>
        <v/>
      </c>
      <c r="AZ842" t="str">
        <f t="shared" si="371"/>
        <v/>
      </c>
    </row>
    <row r="843" spans="1:52" s="178" customFormat="1" x14ac:dyDescent="0.25">
      <c r="A843" s="610" t="s">
        <v>5295</v>
      </c>
      <c r="B843" s="17" t="s">
        <v>5548</v>
      </c>
      <c r="C843" s="17" t="s">
        <v>4809</v>
      </c>
      <c r="D843" s="30" t="s">
        <v>6795</v>
      </c>
      <c r="E843" s="30" t="s">
        <v>3055</v>
      </c>
      <c r="F843" s="454">
        <f t="shared" si="378"/>
        <v>17.84</v>
      </c>
      <c r="G843" s="529">
        <v>17.84</v>
      </c>
      <c r="H843" s="487">
        <f t="shared" si="379"/>
        <v>14.27</v>
      </c>
      <c r="I843" s="706"/>
      <c r="J843" s="669" t="s">
        <v>5805</v>
      </c>
      <c r="K843" s="15"/>
      <c r="L843"/>
      <c r="M843" s="49">
        <f t="shared" si="380"/>
        <v>17.84</v>
      </c>
      <c r="N843" s="41">
        <v>8.9</v>
      </c>
      <c r="O843" s="54"/>
      <c r="P843" s="74"/>
      <c r="Q843"/>
      <c r="R843"/>
      <c r="S843" t="s">
        <v>1017</v>
      </c>
      <c r="T843" s="178" t="s">
        <v>4180</v>
      </c>
      <c r="U843" s="75"/>
      <c r="V843" s="65"/>
      <c r="W843" t="s">
        <v>1017</v>
      </c>
      <c r="X843"/>
      <c r="Y843" s="65"/>
      <c r="Z843" s="65"/>
      <c r="AA843" s="65"/>
      <c r="AB843" s="65"/>
      <c r="AC843" s="65"/>
      <c r="AD843" s="91"/>
      <c r="AE843" s="124" t="s">
        <v>1017</v>
      </c>
      <c r="AF843" s="65"/>
      <c r="AG843" s="91"/>
      <c r="AH843" s="212" t="str">
        <f>IF(ISERROR(SEARCH("K erstmals 201",D843)),"",RIGHT(D843,4))</f>
        <v>2011</v>
      </c>
      <c r="AI843" s="214" t="str">
        <f t="shared" si="373"/>
        <v/>
      </c>
      <c r="AJ843" s="214" t="str">
        <f t="shared" si="374"/>
        <v/>
      </c>
      <c r="AK843" s="214" t="str">
        <f t="shared" si="375"/>
        <v/>
      </c>
      <c r="AL843" s="214" t="str">
        <f t="shared" si="376"/>
        <v/>
      </c>
      <c r="AM843" s="214" t="str">
        <f t="shared" si="377"/>
        <v/>
      </c>
      <c r="AN843" s="213" t="str">
        <f t="shared" si="359"/>
        <v>2011</v>
      </c>
      <c r="AO843" s="213" t="str">
        <f t="shared" si="360"/>
        <v>2011</v>
      </c>
      <c r="AP843" s="213" t="str">
        <f t="shared" si="361"/>
        <v>2011</v>
      </c>
      <c r="AQ843" s="215" t="str">
        <f t="shared" si="362"/>
        <v/>
      </c>
      <c r="AR843" s="216" t="str">
        <f t="shared" si="363"/>
        <v>BiK83a2bK11-04</v>
      </c>
      <c r="AS843" s="215" t="str">
        <f t="shared" si="364"/>
        <v/>
      </c>
      <c r="AT843">
        <f t="shared" si="365"/>
        <v>14</v>
      </c>
      <c r="AU843" s="216" t="str">
        <f t="shared" si="366"/>
        <v>0,5-5 MW, Bonusregeln a2, b und K erstmals 2011</v>
      </c>
      <c r="AV843" s="215" t="str">
        <f t="shared" si="367"/>
        <v/>
      </c>
      <c r="AW843" s="216" t="str">
        <f t="shared" si="368"/>
        <v>Anteil KWK, erstmals 2011</v>
      </c>
      <c r="AX843" s="215" t="str">
        <f t="shared" si="369"/>
        <v/>
      </c>
      <c r="AY843" t="str">
        <f t="shared" si="370"/>
        <v>x</v>
      </c>
      <c r="AZ843" t="str">
        <f t="shared" si="371"/>
        <v/>
      </c>
    </row>
    <row r="844" spans="1:52" s="178" customFormat="1" x14ac:dyDescent="0.25">
      <c r="A844" s="625" t="s">
        <v>1545</v>
      </c>
      <c r="B844" s="221" t="s">
        <v>5548</v>
      </c>
      <c r="C844" s="221" t="s">
        <v>4809</v>
      </c>
      <c r="D844" s="219" t="s">
        <v>6796</v>
      </c>
      <c r="E844" s="219" t="s">
        <v>1980</v>
      </c>
      <c r="F844" s="455">
        <f t="shared" si="378"/>
        <v>17.810000000000002</v>
      </c>
      <c r="G844" s="530">
        <v>17.810000000000002</v>
      </c>
      <c r="H844" s="488">
        <f t="shared" si="379"/>
        <v>14.25</v>
      </c>
      <c r="I844" s="707"/>
      <c r="J844" s="669" t="s">
        <v>5805</v>
      </c>
      <c r="K844" s="15"/>
      <c r="L844"/>
      <c r="M844" s="49">
        <f t="shared" si="380"/>
        <v>17.810000000000002</v>
      </c>
      <c r="N844" s="41">
        <v>8.9</v>
      </c>
      <c r="O844" s="54"/>
      <c r="P844" s="74"/>
      <c r="Q844"/>
      <c r="R844"/>
      <c r="S844" t="s">
        <v>4180</v>
      </c>
      <c r="T844" s="178" t="s">
        <v>1017</v>
      </c>
      <c r="U844" s="75"/>
      <c r="V844" s="65"/>
      <c r="W844" t="s">
        <v>1017</v>
      </c>
      <c r="X844"/>
      <c r="Y844" s="65"/>
      <c r="Z844" s="65"/>
      <c r="AA844" s="65"/>
      <c r="AB844" s="65"/>
      <c r="AC844" s="65"/>
      <c r="AD844" s="91"/>
      <c r="AE844" s="124" t="s">
        <v>1017</v>
      </c>
      <c r="AF844" s="65"/>
      <c r="AG844" s="91"/>
      <c r="AH844" s="217" t="s">
        <v>4179</v>
      </c>
      <c r="AI844" s="214" t="str">
        <f t="shared" si="373"/>
        <v/>
      </c>
      <c r="AJ844" s="214" t="str">
        <f t="shared" si="374"/>
        <v/>
      </c>
      <c r="AK844" s="214" t="str">
        <f t="shared" si="375"/>
        <v/>
      </c>
      <c r="AL844" s="214" t="str">
        <f t="shared" si="376"/>
        <v/>
      </c>
      <c r="AM844" s="214" t="str">
        <f t="shared" si="377"/>
        <v/>
      </c>
      <c r="AN844" s="213" t="str">
        <f t="shared" si="359"/>
        <v>2012</v>
      </c>
      <c r="AO844" s="213" t="str">
        <f t="shared" si="360"/>
        <v>2012</v>
      </c>
      <c r="AP844" s="213" t="str">
        <f t="shared" si="361"/>
        <v>2012</v>
      </c>
      <c r="AQ844" s="215" t="str">
        <f t="shared" si="362"/>
        <v/>
      </c>
      <c r="AR844" s="216" t="str">
        <f t="shared" si="363"/>
        <v>BiK83a2bK12-04</v>
      </c>
      <c r="AS844" s="215" t="str">
        <f t="shared" si="364"/>
        <v/>
      </c>
      <c r="AT844">
        <f t="shared" si="365"/>
        <v>14</v>
      </c>
      <c r="AU844" s="216" t="str">
        <f t="shared" si="366"/>
        <v>0,5-5 MW, Bonusregeln a2, b und K erstmals 2012</v>
      </c>
      <c r="AV844" s="215" t="str">
        <f t="shared" si="367"/>
        <v/>
      </c>
      <c r="AW844" s="216" t="str">
        <f t="shared" si="368"/>
        <v>Anteil KWK, erstmals 2012</v>
      </c>
      <c r="AX844" s="215" t="str">
        <f t="shared" si="369"/>
        <v/>
      </c>
      <c r="AY844" t="str">
        <f t="shared" si="370"/>
        <v/>
      </c>
      <c r="AZ844" t="str">
        <f t="shared" si="371"/>
        <v>x</v>
      </c>
    </row>
    <row r="845" spans="1:52" s="178" customFormat="1" x14ac:dyDescent="0.25">
      <c r="A845" s="609" t="s">
        <v>4502</v>
      </c>
      <c r="B845" s="1" t="s">
        <v>5548</v>
      </c>
      <c r="C845" s="2" t="s">
        <v>4809</v>
      </c>
      <c r="D845" s="1" t="s">
        <v>6797</v>
      </c>
      <c r="E845" s="1" t="s">
        <v>4810</v>
      </c>
      <c r="F845" s="456">
        <f t="shared" si="378"/>
        <v>13.4</v>
      </c>
      <c r="G845" s="531">
        <v>13.4</v>
      </c>
      <c r="H845" s="489">
        <f t="shared" si="379"/>
        <v>10.72</v>
      </c>
      <c r="I845" s="708"/>
      <c r="J845" s="669" t="s">
        <v>5805</v>
      </c>
      <c r="K845" s="15"/>
      <c r="L845"/>
      <c r="M845" s="49">
        <f t="shared" si="380"/>
        <v>13.4</v>
      </c>
      <c r="N845" s="41">
        <v>8.9</v>
      </c>
      <c r="O845" s="54"/>
      <c r="P845" s="74"/>
      <c r="Q845"/>
      <c r="R845"/>
      <c r="S845" t="s">
        <v>4180</v>
      </c>
      <c r="T845" s="178" t="s">
        <v>4180</v>
      </c>
      <c r="U845" s="75"/>
      <c r="V845" s="65"/>
      <c r="W845"/>
      <c r="X845" t="s">
        <v>1017</v>
      </c>
      <c r="Y845" s="65"/>
      <c r="Z845" s="65"/>
      <c r="AA845" s="65"/>
      <c r="AB845" s="65"/>
      <c r="AC845" s="65"/>
      <c r="AD845" s="91"/>
      <c r="AE845" s="124" t="s">
        <v>1017</v>
      </c>
      <c r="AF845" s="65"/>
      <c r="AG845" s="91"/>
      <c r="AH845" s="212" t="str">
        <f>IF(ISERROR(SEARCH("K erstmals 201",D845)),"",RIGHT(D845,4))</f>
        <v/>
      </c>
      <c r="AI845" s="214" t="str">
        <f t="shared" si="373"/>
        <v/>
      </c>
      <c r="AJ845" s="214" t="str">
        <f t="shared" si="374"/>
        <v/>
      </c>
      <c r="AK845" s="214" t="str">
        <f t="shared" si="375"/>
        <v/>
      </c>
      <c r="AL845" s="214" t="str">
        <f t="shared" si="376"/>
        <v/>
      </c>
      <c r="AM845" s="214" t="str">
        <f t="shared" si="377"/>
        <v/>
      </c>
      <c r="AN845" s="213" t="str">
        <f t="shared" si="359"/>
        <v/>
      </c>
      <c r="AO845" s="213" t="str">
        <f t="shared" si="360"/>
        <v/>
      </c>
      <c r="AP845" s="213" t="str">
        <f t="shared" si="361"/>
        <v/>
      </c>
      <c r="AQ845" s="215" t="str">
        <f t="shared" si="362"/>
        <v/>
      </c>
      <c r="AR845" s="216" t="str">
        <f t="shared" si="363"/>
        <v>BiK83a3b----04</v>
      </c>
      <c r="AS845" s="215" t="str">
        <f t="shared" si="364"/>
        <v/>
      </c>
      <c r="AT845">
        <f t="shared" si="365"/>
        <v>14</v>
      </c>
      <c r="AU845" s="216" t="str">
        <f t="shared" si="366"/>
        <v>0,5-5 MW, Bonusregeln a3 und b</v>
      </c>
      <c r="AV845" s="215" t="str">
        <f t="shared" si="367"/>
        <v/>
      </c>
      <c r="AW845" s="216" t="str">
        <f t="shared" si="368"/>
        <v>Anteil Nicht-KWK</v>
      </c>
      <c r="AX845" s="215" t="str">
        <f t="shared" si="369"/>
        <v/>
      </c>
      <c r="AY845" t="str">
        <f t="shared" si="370"/>
        <v/>
      </c>
      <c r="AZ845" t="str">
        <f t="shared" si="371"/>
        <v/>
      </c>
    </row>
    <row r="846" spans="1:52" s="178" customFormat="1" x14ac:dyDescent="0.25">
      <c r="A846" s="609" t="s">
        <v>4503</v>
      </c>
      <c r="B846" s="1" t="s">
        <v>5548</v>
      </c>
      <c r="C846" s="2" t="s">
        <v>4809</v>
      </c>
      <c r="D846" s="1" t="s">
        <v>6798</v>
      </c>
      <c r="E846" s="1" t="s">
        <v>4812</v>
      </c>
      <c r="F846" s="456">
        <f t="shared" si="378"/>
        <v>15.4</v>
      </c>
      <c r="G846" s="531">
        <v>15.4</v>
      </c>
      <c r="H846" s="489">
        <f t="shared" si="379"/>
        <v>12.32</v>
      </c>
      <c r="I846" s="708"/>
      <c r="J846" s="669" t="s">
        <v>5805</v>
      </c>
      <c r="K846" s="15"/>
      <c r="L846"/>
      <c r="M846" s="49">
        <f t="shared" si="380"/>
        <v>15.4</v>
      </c>
      <c r="N846" s="41">
        <v>8.9</v>
      </c>
      <c r="O846" s="54" t="s">
        <v>1017</v>
      </c>
      <c r="P846" s="74"/>
      <c r="Q846"/>
      <c r="R846"/>
      <c r="S846" t="s">
        <v>4180</v>
      </c>
      <c r="T846" s="178" t="s">
        <v>4180</v>
      </c>
      <c r="U846" s="75"/>
      <c r="V846" s="65"/>
      <c r="W846"/>
      <c r="X846" t="s">
        <v>1017</v>
      </c>
      <c r="Y846" s="65"/>
      <c r="Z846" s="65"/>
      <c r="AA846" s="65"/>
      <c r="AB846" s="65"/>
      <c r="AC846" s="65"/>
      <c r="AD846" s="91"/>
      <c r="AE846" s="124" t="s">
        <v>1017</v>
      </c>
      <c r="AF846" s="65"/>
      <c r="AG846" s="91"/>
      <c r="AH846" s="212" t="str">
        <f>IF(ISERROR(SEARCH("K erstmals 201",D846)),"",RIGHT(D846,4))</f>
        <v/>
      </c>
      <c r="AI846" s="214" t="str">
        <f t="shared" si="373"/>
        <v/>
      </c>
      <c r="AJ846" s="214" t="str">
        <f t="shared" si="374"/>
        <v/>
      </c>
      <c r="AK846" s="214" t="str">
        <f t="shared" si="375"/>
        <v/>
      </c>
      <c r="AL846" s="214" t="str">
        <f t="shared" si="376"/>
        <v/>
      </c>
      <c r="AM846" s="214" t="str">
        <f t="shared" si="377"/>
        <v/>
      </c>
      <c r="AN846" s="213" t="str">
        <f t="shared" si="359"/>
        <v/>
      </c>
      <c r="AO846" s="213" t="str">
        <f t="shared" si="360"/>
        <v/>
      </c>
      <c r="AP846" s="213" t="str">
        <f t="shared" si="361"/>
        <v/>
      </c>
      <c r="AQ846" s="215" t="str">
        <f t="shared" si="362"/>
        <v/>
      </c>
      <c r="AR846" s="216" t="str">
        <f t="shared" si="363"/>
        <v>BiK83a3bKWK-04</v>
      </c>
      <c r="AS846" s="215" t="str">
        <f t="shared" si="364"/>
        <v/>
      </c>
      <c r="AT846">
        <f t="shared" si="365"/>
        <v>14</v>
      </c>
      <c r="AU846" s="216" t="str">
        <f t="shared" si="366"/>
        <v>0,5-5 MW, Bonusregeln a3, b und KWK</v>
      </c>
      <c r="AV846" s="215" t="str">
        <f t="shared" si="367"/>
        <v/>
      </c>
      <c r="AW846" s="216" t="str">
        <f t="shared" si="368"/>
        <v>Anteil KWK</v>
      </c>
      <c r="AX846" s="215" t="str">
        <f t="shared" si="369"/>
        <v/>
      </c>
      <c r="AY846" t="str">
        <f t="shared" si="370"/>
        <v/>
      </c>
      <c r="AZ846" t="str">
        <f t="shared" si="371"/>
        <v/>
      </c>
    </row>
    <row r="847" spans="1:52" s="178" customFormat="1" x14ac:dyDescent="0.25">
      <c r="A847" s="610" t="s">
        <v>4027</v>
      </c>
      <c r="B847" s="17" t="s">
        <v>5548</v>
      </c>
      <c r="C847" s="17" t="s">
        <v>4809</v>
      </c>
      <c r="D847" s="30" t="s">
        <v>6799</v>
      </c>
      <c r="E847" s="17" t="s">
        <v>674</v>
      </c>
      <c r="F847" s="454">
        <f t="shared" si="378"/>
        <v>16.399999999999999</v>
      </c>
      <c r="G847" s="529">
        <v>16.399999999999999</v>
      </c>
      <c r="H847" s="487">
        <f t="shared" si="379"/>
        <v>13.12</v>
      </c>
      <c r="I847" s="706"/>
      <c r="J847" s="669" t="s">
        <v>5805</v>
      </c>
      <c r="K847" s="15"/>
      <c r="L847"/>
      <c r="M847" s="49">
        <f t="shared" si="380"/>
        <v>16.399999999999999</v>
      </c>
      <c r="N847" s="41">
        <v>8.9</v>
      </c>
      <c r="O847" s="54"/>
      <c r="P847" s="74"/>
      <c r="Q847" t="s">
        <v>1017</v>
      </c>
      <c r="R847"/>
      <c r="S847" t="s">
        <v>4180</v>
      </c>
      <c r="T847" s="178" t="s">
        <v>4180</v>
      </c>
      <c r="U847" s="75"/>
      <c r="V847" s="65"/>
      <c r="W847"/>
      <c r="X847" t="s">
        <v>1017</v>
      </c>
      <c r="Y847" s="65"/>
      <c r="Z847" s="65"/>
      <c r="AA847" s="65"/>
      <c r="AB847" s="65"/>
      <c r="AC847" s="65"/>
      <c r="AD847" s="91"/>
      <c r="AE847" s="124" t="s">
        <v>1017</v>
      </c>
      <c r="AF847" s="65"/>
      <c r="AG847" s="91"/>
      <c r="AH847" s="212" t="str">
        <f>IF(ISERROR(SEARCH("K erstmals 201",D847)),"",RIGHT(D847,4))</f>
        <v/>
      </c>
      <c r="AI847" s="214" t="str">
        <f t="shared" si="373"/>
        <v/>
      </c>
      <c r="AJ847" s="214" t="str">
        <f t="shared" si="374"/>
        <v/>
      </c>
      <c r="AK847" s="214" t="str">
        <f t="shared" si="375"/>
        <v/>
      </c>
      <c r="AL847" s="214" t="str">
        <f t="shared" si="376"/>
        <v/>
      </c>
      <c r="AM847" s="214" t="str">
        <f t="shared" si="377"/>
        <v/>
      </c>
      <c r="AN847" s="213" t="str">
        <f t="shared" si="359"/>
        <v/>
      </c>
      <c r="AO847" s="213" t="str">
        <f t="shared" si="360"/>
        <v/>
      </c>
      <c r="AP847" s="213" t="str">
        <f t="shared" si="361"/>
        <v/>
      </c>
      <c r="AQ847" s="215" t="str">
        <f t="shared" si="362"/>
        <v/>
      </c>
      <c r="AR847" s="216" t="str">
        <f t="shared" si="363"/>
        <v>BiK83a3bK09-04</v>
      </c>
      <c r="AS847" s="215" t="str">
        <f t="shared" si="364"/>
        <v/>
      </c>
      <c r="AT847">
        <f t="shared" si="365"/>
        <v>14</v>
      </c>
      <c r="AU847" s="216" t="str">
        <f t="shared" si="366"/>
        <v>0,5-5 MW, Bonusregeln a3, b und K erstmals 2009</v>
      </c>
      <c r="AV847" s="215" t="str">
        <f t="shared" si="367"/>
        <v/>
      </c>
      <c r="AW847" s="216" t="str">
        <f t="shared" si="368"/>
        <v>Anteil KWK, erstmals 2009</v>
      </c>
      <c r="AX847" s="215" t="str">
        <f t="shared" si="369"/>
        <v/>
      </c>
      <c r="AY847" t="str">
        <f t="shared" si="370"/>
        <v/>
      </c>
      <c r="AZ847" t="str">
        <f t="shared" si="371"/>
        <v/>
      </c>
    </row>
    <row r="848" spans="1:52" s="178" customFormat="1" x14ac:dyDescent="0.25">
      <c r="A848" s="610" t="s">
        <v>4043</v>
      </c>
      <c r="B848" s="17" t="s">
        <v>5548</v>
      </c>
      <c r="C848" s="17" t="s">
        <v>4809</v>
      </c>
      <c r="D848" s="30" t="s">
        <v>6800</v>
      </c>
      <c r="E848" s="30" t="s">
        <v>3567</v>
      </c>
      <c r="F848" s="454">
        <f t="shared" si="378"/>
        <v>16.37</v>
      </c>
      <c r="G848" s="529">
        <v>16.37</v>
      </c>
      <c r="H848" s="487">
        <f t="shared" si="379"/>
        <v>13.1</v>
      </c>
      <c r="I848" s="706"/>
      <c r="J848" s="669" t="s">
        <v>5805</v>
      </c>
      <c r="K848" s="15"/>
      <c r="L848"/>
      <c r="M848" s="49">
        <f t="shared" si="380"/>
        <v>16.37</v>
      </c>
      <c r="N848" s="41">
        <v>8.9</v>
      </c>
      <c r="O848" s="54"/>
      <c r="P848" s="74"/>
      <c r="Q848"/>
      <c r="R848" t="s">
        <v>1017</v>
      </c>
      <c r="S848" t="s">
        <v>4180</v>
      </c>
      <c r="T848" s="178" t="s">
        <v>4180</v>
      </c>
      <c r="U848" s="75"/>
      <c r="V848" s="65"/>
      <c r="W848"/>
      <c r="X848" t="s">
        <v>1017</v>
      </c>
      <c r="Y848" s="65"/>
      <c r="Z848" s="65"/>
      <c r="AA848" s="65"/>
      <c r="AB848" s="65"/>
      <c r="AC848" s="65"/>
      <c r="AD848" s="91"/>
      <c r="AE848" s="124" t="s">
        <v>1017</v>
      </c>
      <c r="AF848" s="65"/>
      <c r="AG848" s="91"/>
      <c r="AH848" s="212" t="str">
        <f>IF(ISERROR(SEARCH("K erstmals 201",D848)),"",RIGHT(D848,4))</f>
        <v>2010</v>
      </c>
      <c r="AI848" s="214" t="str">
        <f t="shared" si="373"/>
        <v/>
      </c>
      <c r="AJ848" s="214" t="str">
        <f t="shared" si="374"/>
        <v/>
      </c>
      <c r="AK848" s="214" t="str">
        <f t="shared" si="375"/>
        <v/>
      </c>
      <c r="AL848" s="214" t="str">
        <f t="shared" si="376"/>
        <v/>
      </c>
      <c r="AM848" s="214" t="str">
        <f t="shared" si="377"/>
        <v/>
      </c>
      <c r="AN848" s="213" t="str">
        <f t="shared" si="359"/>
        <v>2010</v>
      </c>
      <c r="AO848" s="213" t="str">
        <f t="shared" si="360"/>
        <v>2010</v>
      </c>
      <c r="AP848" s="213" t="str">
        <f t="shared" si="361"/>
        <v>2010</v>
      </c>
      <c r="AQ848" s="215" t="str">
        <f t="shared" si="362"/>
        <v/>
      </c>
      <c r="AR848" s="216" t="str">
        <f t="shared" si="363"/>
        <v>BiK83a3bK10-04</v>
      </c>
      <c r="AS848" s="215" t="str">
        <f t="shared" si="364"/>
        <v/>
      </c>
      <c r="AT848">
        <f t="shared" si="365"/>
        <v>14</v>
      </c>
      <c r="AU848" s="216" t="str">
        <f t="shared" si="366"/>
        <v>0,5-5 MW, Bonusregeln a3, b und K erstmals 2010</v>
      </c>
      <c r="AV848" s="215" t="str">
        <f t="shared" si="367"/>
        <v/>
      </c>
      <c r="AW848" s="216" t="str">
        <f t="shared" si="368"/>
        <v>Anteil KWK, erstmals 2010</v>
      </c>
      <c r="AX848" s="215" t="str">
        <f t="shared" si="369"/>
        <v/>
      </c>
      <c r="AY848" t="str">
        <f t="shared" si="370"/>
        <v/>
      </c>
      <c r="AZ848" t="str">
        <f t="shared" si="371"/>
        <v/>
      </c>
    </row>
    <row r="849" spans="1:52" x14ac:dyDescent="0.25">
      <c r="A849" s="610" t="s">
        <v>5296</v>
      </c>
      <c r="B849" s="17" t="s">
        <v>5548</v>
      </c>
      <c r="C849" s="17" t="s">
        <v>4809</v>
      </c>
      <c r="D849" s="30" t="s">
        <v>6801</v>
      </c>
      <c r="E849" s="30" t="s">
        <v>3055</v>
      </c>
      <c r="F849" s="454">
        <f t="shared" si="378"/>
        <v>16.34</v>
      </c>
      <c r="G849" s="529">
        <v>16.34</v>
      </c>
      <c r="H849" s="487">
        <f t="shared" si="379"/>
        <v>13.07</v>
      </c>
      <c r="I849" s="706"/>
      <c r="J849" s="669" t="s">
        <v>5805</v>
      </c>
      <c r="K849" s="15"/>
      <c r="M849" s="49">
        <f t="shared" si="380"/>
        <v>16.34</v>
      </c>
      <c r="N849" s="41">
        <v>8.9</v>
      </c>
      <c r="O849" s="54"/>
      <c r="P849" s="74"/>
      <c r="S849" t="s">
        <v>1017</v>
      </c>
      <c r="T849" t="s">
        <v>4180</v>
      </c>
      <c r="U849" s="75"/>
      <c r="V849" s="65"/>
      <c r="X849" t="s">
        <v>1017</v>
      </c>
      <c r="Y849" s="65"/>
      <c r="Z849" s="65"/>
      <c r="AA849" s="65"/>
      <c r="AB849" s="65"/>
      <c r="AC849" s="65"/>
      <c r="AD849" s="91"/>
      <c r="AE849" s="124" t="s">
        <v>1017</v>
      </c>
      <c r="AF849" s="65"/>
      <c r="AG849" s="91"/>
      <c r="AH849" s="212" t="str">
        <f>IF(ISERROR(SEARCH("K erstmals 201",D849)),"",RIGHT(D849,4))</f>
        <v>2011</v>
      </c>
      <c r="AI849" s="214" t="str">
        <f t="shared" si="373"/>
        <v/>
      </c>
      <c r="AJ849" s="214" t="str">
        <f t="shared" si="374"/>
        <v/>
      </c>
      <c r="AK849" s="214" t="str">
        <f t="shared" si="375"/>
        <v/>
      </c>
      <c r="AL849" s="214" t="str">
        <f t="shared" si="376"/>
        <v/>
      </c>
      <c r="AM849" s="214" t="str">
        <f t="shared" si="377"/>
        <v/>
      </c>
      <c r="AN849" s="213" t="str">
        <f t="shared" si="359"/>
        <v>2011</v>
      </c>
      <c r="AO849" s="213" t="str">
        <f t="shared" si="360"/>
        <v>2011</v>
      </c>
      <c r="AP849" s="213" t="str">
        <f t="shared" si="361"/>
        <v>2011</v>
      </c>
      <c r="AQ849" s="215" t="str">
        <f t="shared" si="362"/>
        <v/>
      </c>
      <c r="AR849" s="216" t="str">
        <f t="shared" si="363"/>
        <v>BiK83a3bK11-04</v>
      </c>
      <c r="AS849" s="215" t="str">
        <f t="shared" si="364"/>
        <v/>
      </c>
      <c r="AT849">
        <f t="shared" si="365"/>
        <v>14</v>
      </c>
      <c r="AU849" s="216" t="str">
        <f t="shared" si="366"/>
        <v>0,5-5 MW, Bonusregeln a3, b und K erstmals 2011</v>
      </c>
      <c r="AV849" s="215" t="str">
        <f t="shared" si="367"/>
        <v/>
      </c>
      <c r="AW849" s="216" t="str">
        <f t="shared" si="368"/>
        <v>Anteil KWK, erstmals 2011</v>
      </c>
      <c r="AX849" s="215" t="str">
        <f t="shared" si="369"/>
        <v/>
      </c>
      <c r="AY849" t="str">
        <f t="shared" si="370"/>
        <v>x</v>
      </c>
      <c r="AZ849" t="str">
        <f t="shared" si="371"/>
        <v/>
      </c>
    </row>
    <row r="850" spans="1:52" x14ac:dyDescent="0.25">
      <c r="A850" s="625" t="s">
        <v>1546</v>
      </c>
      <c r="B850" s="221" t="s">
        <v>5548</v>
      </c>
      <c r="C850" s="221" t="s">
        <v>4809</v>
      </c>
      <c r="D850" s="219" t="s">
        <v>6802</v>
      </c>
      <c r="E850" s="219" t="s">
        <v>1980</v>
      </c>
      <c r="F850" s="455">
        <f t="shared" si="378"/>
        <v>16.310000000000002</v>
      </c>
      <c r="G850" s="530">
        <v>16.310000000000002</v>
      </c>
      <c r="H850" s="488">
        <f t="shared" si="379"/>
        <v>13.05</v>
      </c>
      <c r="I850" s="707"/>
      <c r="J850" s="669" t="s">
        <v>5805</v>
      </c>
      <c r="K850" s="15"/>
      <c r="M850" s="49">
        <f t="shared" si="380"/>
        <v>16.310000000000002</v>
      </c>
      <c r="N850" s="41">
        <v>8.9</v>
      </c>
      <c r="O850" s="54"/>
      <c r="P850" s="74"/>
      <c r="S850" t="s">
        <v>4180</v>
      </c>
      <c r="T850" t="s">
        <v>1017</v>
      </c>
      <c r="U850" s="75"/>
      <c r="V850" s="65"/>
      <c r="X850" t="s">
        <v>1017</v>
      </c>
      <c r="Y850" s="65"/>
      <c r="Z850" s="65"/>
      <c r="AA850" s="65"/>
      <c r="AB850" s="65"/>
      <c r="AC850" s="65"/>
      <c r="AD850" s="91"/>
      <c r="AE850" s="124" t="s">
        <v>1017</v>
      </c>
      <c r="AF850" s="65"/>
      <c r="AG850" s="91"/>
      <c r="AH850" s="217" t="s">
        <v>4179</v>
      </c>
      <c r="AI850" s="214" t="str">
        <f t="shared" si="373"/>
        <v/>
      </c>
      <c r="AJ850" s="214" t="str">
        <f t="shared" si="374"/>
        <v/>
      </c>
      <c r="AK850" s="214" t="str">
        <f t="shared" si="375"/>
        <v/>
      </c>
      <c r="AL850" s="214" t="str">
        <f t="shared" si="376"/>
        <v/>
      </c>
      <c r="AM850" s="214" t="str">
        <f t="shared" si="377"/>
        <v/>
      </c>
      <c r="AN850" s="213" t="str">
        <f t="shared" si="359"/>
        <v>2012</v>
      </c>
      <c r="AO850" s="213" t="str">
        <f t="shared" si="360"/>
        <v>2012</v>
      </c>
      <c r="AP850" s="213" t="str">
        <f t="shared" si="361"/>
        <v>2012</v>
      </c>
      <c r="AQ850" s="215" t="str">
        <f t="shared" si="362"/>
        <v/>
      </c>
      <c r="AR850" s="216" t="str">
        <f t="shared" si="363"/>
        <v>BiK83a3bK12-04</v>
      </c>
      <c r="AS850" s="215" t="str">
        <f t="shared" si="364"/>
        <v/>
      </c>
      <c r="AT850">
        <f t="shared" si="365"/>
        <v>14</v>
      </c>
      <c r="AU850" s="216" t="str">
        <f t="shared" si="366"/>
        <v>0,5-5 MW, Bonusregeln a3, b und K erstmals 2012</v>
      </c>
      <c r="AV850" s="215" t="str">
        <f t="shared" si="367"/>
        <v/>
      </c>
      <c r="AW850" s="216" t="str">
        <f t="shared" si="368"/>
        <v>Anteil KWK, erstmals 2012</v>
      </c>
      <c r="AX850" s="215" t="str">
        <f t="shared" si="369"/>
        <v/>
      </c>
      <c r="AY850" t="str">
        <f t="shared" si="370"/>
        <v/>
      </c>
      <c r="AZ850" t="str">
        <f t="shared" si="371"/>
        <v>x</v>
      </c>
    </row>
    <row r="851" spans="1:52" x14ac:dyDescent="0.25">
      <c r="A851" s="609" t="s">
        <v>4504</v>
      </c>
      <c r="B851" s="1" t="s">
        <v>5548</v>
      </c>
      <c r="C851" s="2" t="s">
        <v>4809</v>
      </c>
      <c r="D851" s="1" t="s">
        <v>1776</v>
      </c>
      <c r="E851" s="1" t="s">
        <v>4810</v>
      </c>
      <c r="F851" s="456">
        <f t="shared" si="378"/>
        <v>8.4</v>
      </c>
      <c r="G851" s="531">
        <v>8.4</v>
      </c>
      <c r="H851" s="489">
        <f t="shared" si="379"/>
        <v>6.72</v>
      </c>
      <c r="I851" s="708"/>
      <c r="J851" s="669" t="s">
        <v>5805</v>
      </c>
      <c r="K851" s="15"/>
      <c r="M851" s="49">
        <f t="shared" si="380"/>
        <v>8.4</v>
      </c>
      <c r="N851" s="41">
        <v>8.4</v>
      </c>
      <c r="O851" s="54"/>
      <c r="P851" s="74"/>
      <c r="S851" t="s">
        <v>4180</v>
      </c>
      <c r="T851" t="s">
        <v>4180</v>
      </c>
      <c r="U851" s="75"/>
      <c r="V851" s="65"/>
      <c r="W851" s="65"/>
      <c r="X851" s="65"/>
      <c r="Y851" s="65"/>
      <c r="Z851" s="65"/>
      <c r="AA851" s="65"/>
      <c r="AB851" s="65"/>
      <c r="AC851" s="65"/>
      <c r="AD851" s="91"/>
      <c r="AE851" s="196"/>
      <c r="AF851" s="65"/>
      <c r="AG851" s="91"/>
      <c r="AH851" s="212" t="str">
        <f>IF(ISERROR(SEARCH("K erstmals 201",D851)),"",RIGHT(D851,4))</f>
        <v/>
      </c>
      <c r="AI851" s="214" t="str">
        <f t="shared" si="373"/>
        <v/>
      </c>
      <c r="AJ851" s="214" t="str">
        <f t="shared" si="374"/>
        <v/>
      </c>
      <c r="AK851" s="214" t="str">
        <f t="shared" si="375"/>
        <v/>
      </c>
      <c r="AL851" s="214" t="str">
        <f t="shared" si="376"/>
        <v/>
      </c>
      <c r="AM851" s="214" t="str">
        <f t="shared" si="377"/>
        <v/>
      </c>
      <c r="AN851" s="213" t="str">
        <f t="shared" si="359"/>
        <v/>
      </c>
      <c r="AO851" s="213" t="str">
        <f t="shared" si="360"/>
        <v/>
      </c>
      <c r="AP851" s="213" t="str">
        <f t="shared" si="361"/>
        <v/>
      </c>
      <c r="AQ851" s="215" t="str">
        <f t="shared" si="362"/>
        <v/>
      </c>
      <c r="AR851" s="216" t="str">
        <f t="shared" si="363"/>
        <v>BiK84-------04</v>
      </c>
      <c r="AS851" s="215" t="str">
        <f t="shared" si="364"/>
        <v/>
      </c>
      <c r="AT851">
        <f t="shared" si="365"/>
        <v>14</v>
      </c>
      <c r="AU851" s="216" t="str">
        <f t="shared" si="366"/>
        <v>5-20 MW</v>
      </c>
      <c r="AV851" s="215" t="str">
        <f t="shared" si="367"/>
        <v/>
      </c>
      <c r="AW851" s="216" t="str">
        <f t="shared" si="368"/>
        <v>Anteil Nicht-KWK</v>
      </c>
      <c r="AX851" s="215" t="str">
        <f t="shared" si="369"/>
        <v/>
      </c>
      <c r="AY851" t="str">
        <f t="shared" si="370"/>
        <v/>
      </c>
      <c r="AZ851" t="str">
        <f t="shared" si="371"/>
        <v/>
      </c>
    </row>
    <row r="852" spans="1:52" x14ac:dyDescent="0.25">
      <c r="A852" s="609" t="s">
        <v>4505</v>
      </c>
      <c r="B852" s="1" t="s">
        <v>5548</v>
      </c>
      <c r="C852" s="2" t="s">
        <v>4809</v>
      </c>
      <c r="D852" s="1" t="s">
        <v>7367</v>
      </c>
      <c r="E852" s="1" t="s">
        <v>4812</v>
      </c>
      <c r="F852" s="456">
        <f t="shared" si="378"/>
        <v>10.4</v>
      </c>
      <c r="G852" s="531">
        <v>10.4</v>
      </c>
      <c r="H852" s="489">
        <f t="shared" si="379"/>
        <v>8.32</v>
      </c>
      <c r="I852" s="708"/>
      <c r="J852" s="669" t="s">
        <v>5805</v>
      </c>
      <c r="K852" s="15"/>
      <c r="M852" s="49">
        <f t="shared" si="380"/>
        <v>10.4</v>
      </c>
      <c r="N852" s="41">
        <v>8.4</v>
      </c>
      <c r="O852" s="54" t="s">
        <v>1017</v>
      </c>
      <c r="P852" s="74"/>
      <c r="S852" t="s">
        <v>4180</v>
      </c>
      <c r="T852" t="s">
        <v>4180</v>
      </c>
      <c r="U852" s="75"/>
      <c r="V852" s="65"/>
      <c r="W852" s="65"/>
      <c r="X852" s="65"/>
      <c r="Y852" s="65"/>
      <c r="Z852" s="65"/>
      <c r="AA852" s="65"/>
      <c r="AB852" s="65"/>
      <c r="AC852" s="65"/>
      <c r="AD852" s="91"/>
      <c r="AE852" s="196"/>
      <c r="AF852" s="65"/>
      <c r="AG852" s="91"/>
      <c r="AH852" s="212" t="str">
        <f>IF(ISERROR(SEARCH("K erstmals 201",D852)),"",RIGHT(D852,4))</f>
        <v/>
      </c>
      <c r="AI852" s="214" t="str">
        <f t="shared" si="373"/>
        <v/>
      </c>
      <c r="AJ852" s="214" t="str">
        <f t="shared" si="374"/>
        <v/>
      </c>
      <c r="AK852" s="214" t="str">
        <f t="shared" si="375"/>
        <v/>
      </c>
      <c r="AL852" s="214" t="str">
        <f t="shared" si="376"/>
        <v/>
      </c>
      <c r="AM852" s="214" t="str">
        <f t="shared" si="377"/>
        <v/>
      </c>
      <c r="AN852" s="213" t="str">
        <f t="shared" si="359"/>
        <v/>
      </c>
      <c r="AO852" s="213" t="str">
        <f t="shared" si="360"/>
        <v/>
      </c>
      <c r="AP852" s="213" t="str">
        <f t="shared" si="361"/>
        <v/>
      </c>
      <c r="AQ852" s="215" t="str">
        <f t="shared" si="362"/>
        <v/>
      </c>
      <c r="AR852" s="216" t="str">
        <f t="shared" si="363"/>
        <v>BiK84KWK----04</v>
      </c>
      <c r="AS852" s="215" t="str">
        <f t="shared" si="364"/>
        <v/>
      </c>
      <c r="AT852">
        <f t="shared" si="365"/>
        <v>14</v>
      </c>
      <c r="AU852" s="216" t="str">
        <f t="shared" si="366"/>
        <v>5-20 MW, Bonusregel KWK</v>
      </c>
      <c r="AV852" s="215" t="str">
        <f t="shared" si="367"/>
        <v/>
      </c>
      <c r="AW852" s="216" t="str">
        <f t="shared" si="368"/>
        <v>Anteil KWK</v>
      </c>
      <c r="AX852" s="215" t="str">
        <f t="shared" si="369"/>
        <v/>
      </c>
      <c r="AY852" t="str">
        <f t="shared" si="370"/>
        <v/>
      </c>
      <c r="AZ852" t="str">
        <f t="shared" si="371"/>
        <v/>
      </c>
    </row>
    <row r="853" spans="1:52" x14ac:dyDescent="0.25">
      <c r="A853" s="610" t="s">
        <v>2343</v>
      </c>
      <c r="B853" s="17" t="s">
        <v>5548</v>
      </c>
      <c r="C853" s="17" t="s">
        <v>4809</v>
      </c>
      <c r="D853" s="30" t="s">
        <v>7363</v>
      </c>
      <c r="E853" s="30" t="s">
        <v>674</v>
      </c>
      <c r="F853" s="454">
        <f t="shared" si="378"/>
        <v>11.4</v>
      </c>
      <c r="G853" s="529">
        <v>11.4</v>
      </c>
      <c r="H853" s="487">
        <f t="shared" si="379"/>
        <v>9.1199999999999992</v>
      </c>
      <c r="I853" s="706"/>
      <c r="J853" s="669" t="s">
        <v>5805</v>
      </c>
      <c r="K853" s="15"/>
      <c r="M853" s="49">
        <f t="shared" si="380"/>
        <v>11.4</v>
      </c>
      <c r="N853" s="41">
        <v>8.4</v>
      </c>
      <c r="O853" s="54"/>
      <c r="P853" s="74"/>
      <c r="Q853" t="s">
        <v>1017</v>
      </c>
      <c r="S853" t="s">
        <v>4180</v>
      </c>
      <c r="T853" t="s">
        <v>4180</v>
      </c>
      <c r="U853" s="75"/>
      <c r="V853" s="65"/>
      <c r="W853" s="65"/>
      <c r="X853" s="65"/>
      <c r="Y853" s="65"/>
      <c r="Z853" s="65"/>
      <c r="AA853" s="65"/>
      <c r="AB853" s="65"/>
      <c r="AC853" s="65"/>
      <c r="AD853" s="91"/>
      <c r="AE853" s="196"/>
      <c r="AF853" s="65"/>
      <c r="AG853" s="91"/>
      <c r="AH853" s="212" t="str">
        <f>IF(ISERROR(SEARCH("K erstmals 201",D853)),"",RIGHT(D853,4))</f>
        <v/>
      </c>
      <c r="AI853" s="214" t="str">
        <f t="shared" si="373"/>
        <v/>
      </c>
      <c r="AJ853" s="214" t="str">
        <f t="shared" si="374"/>
        <v/>
      </c>
      <c r="AK853" s="214" t="str">
        <f t="shared" si="375"/>
        <v/>
      </c>
      <c r="AL853" s="214" t="str">
        <f t="shared" si="376"/>
        <v/>
      </c>
      <c r="AM853" s="214" t="str">
        <f t="shared" si="377"/>
        <v/>
      </c>
      <c r="AN853" s="213" t="str">
        <f t="shared" si="359"/>
        <v/>
      </c>
      <c r="AO853" s="213" t="str">
        <f t="shared" si="360"/>
        <v/>
      </c>
      <c r="AP853" s="213" t="str">
        <f t="shared" si="361"/>
        <v/>
      </c>
      <c r="AQ853" s="215" t="str">
        <f t="shared" si="362"/>
        <v/>
      </c>
      <c r="AR853" s="216" t="str">
        <f t="shared" si="363"/>
        <v>BiK84K09----04</v>
      </c>
      <c r="AS853" s="215" t="str">
        <f t="shared" si="364"/>
        <v/>
      </c>
      <c r="AT853">
        <f t="shared" si="365"/>
        <v>14</v>
      </c>
      <c r="AU853" s="216" t="str">
        <f t="shared" si="366"/>
        <v>5-20 MW, Bonusregel K erstmals 2009</v>
      </c>
      <c r="AV853" s="215" t="str">
        <f t="shared" si="367"/>
        <v/>
      </c>
      <c r="AW853" s="216" t="str">
        <f t="shared" si="368"/>
        <v>Anteil KWK, erstmals 2009</v>
      </c>
      <c r="AX853" s="215" t="str">
        <f t="shared" si="369"/>
        <v/>
      </c>
      <c r="AY853" t="str">
        <f t="shared" si="370"/>
        <v/>
      </c>
      <c r="AZ853" t="str">
        <f t="shared" si="371"/>
        <v/>
      </c>
    </row>
    <row r="854" spans="1:52" x14ac:dyDescent="0.25">
      <c r="A854" s="610" t="s">
        <v>4044</v>
      </c>
      <c r="B854" s="17" t="s">
        <v>5548</v>
      </c>
      <c r="C854" s="17" t="s">
        <v>4809</v>
      </c>
      <c r="D854" s="30" t="s">
        <v>7364</v>
      </c>
      <c r="E854" s="30" t="s">
        <v>3567</v>
      </c>
      <c r="F854" s="454">
        <f t="shared" si="378"/>
        <v>11.370000000000001</v>
      </c>
      <c r="G854" s="529">
        <v>11.370000000000001</v>
      </c>
      <c r="H854" s="487">
        <f t="shared" si="379"/>
        <v>9.1</v>
      </c>
      <c r="I854" s="706"/>
      <c r="J854" s="669" t="s">
        <v>5805</v>
      </c>
      <c r="K854" s="15"/>
      <c r="M854" s="49">
        <f t="shared" si="380"/>
        <v>11.370000000000001</v>
      </c>
      <c r="N854" s="41">
        <v>8.4</v>
      </c>
      <c r="O854" s="54"/>
      <c r="P854" s="74"/>
      <c r="R854" t="s">
        <v>1017</v>
      </c>
      <c r="S854" t="s">
        <v>4180</v>
      </c>
      <c r="T854" t="s">
        <v>4180</v>
      </c>
      <c r="U854" s="75"/>
      <c r="V854" s="65"/>
      <c r="W854" s="65"/>
      <c r="X854" s="65"/>
      <c r="Y854" s="65"/>
      <c r="Z854" s="65"/>
      <c r="AA854" s="65"/>
      <c r="AB854" s="65"/>
      <c r="AC854" s="65"/>
      <c r="AD854" s="91"/>
      <c r="AE854" s="196"/>
      <c r="AF854" s="65"/>
      <c r="AG854" s="91"/>
      <c r="AH854" s="212" t="str">
        <f>IF(ISERROR(SEARCH("K erstmals 201",D854)),"",RIGHT(D854,4))</f>
        <v>2010</v>
      </c>
      <c r="AI854" s="214" t="str">
        <f t="shared" si="373"/>
        <v/>
      </c>
      <c r="AJ854" s="214" t="str">
        <f t="shared" si="374"/>
        <v/>
      </c>
      <c r="AK854" s="214" t="str">
        <f t="shared" si="375"/>
        <v/>
      </c>
      <c r="AL854" s="214" t="str">
        <f t="shared" si="376"/>
        <v/>
      </c>
      <c r="AM854" s="214" t="str">
        <f t="shared" si="377"/>
        <v/>
      </c>
      <c r="AN854" s="213" t="str">
        <f t="shared" si="359"/>
        <v>2010</v>
      </c>
      <c r="AO854" s="213" t="str">
        <f t="shared" si="360"/>
        <v>2010</v>
      </c>
      <c r="AP854" s="213" t="str">
        <f t="shared" si="361"/>
        <v>2010</v>
      </c>
      <c r="AQ854" s="215" t="str">
        <f t="shared" si="362"/>
        <v/>
      </c>
      <c r="AR854" s="216" t="str">
        <f t="shared" si="363"/>
        <v>BiK84K10----04</v>
      </c>
      <c r="AS854" s="215" t="str">
        <f t="shared" si="364"/>
        <v/>
      </c>
      <c r="AT854">
        <f t="shared" si="365"/>
        <v>14</v>
      </c>
      <c r="AU854" s="216" t="str">
        <f t="shared" si="366"/>
        <v>5-20 MW, Bonusregel K erstmals 2010</v>
      </c>
      <c r="AV854" s="215" t="str">
        <f t="shared" si="367"/>
        <v/>
      </c>
      <c r="AW854" s="216" t="str">
        <f t="shared" si="368"/>
        <v>Anteil KWK, erstmals 2010</v>
      </c>
      <c r="AX854" s="215" t="str">
        <f t="shared" si="369"/>
        <v/>
      </c>
      <c r="AY854" t="str">
        <f t="shared" si="370"/>
        <v/>
      </c>
      <c r="AZ854" t="str">
        <f t="shared" si="371"/>
        <v/>
      </c>
    </row>
    <row r="855" spans="1:52" x14ac:dyDescent="0.25">
      <c r="A855" s="610" t="s">
        <v>5297</v>
      </c>
      <c r="B855" s="17" t="s">
        <v>5548</v>
      </c>
      <c r="C855" s="17" t="s">
        <v>4809</v>
      </c>
      <c r="D855" s="30" t="s">
        <v>7365</v>
      </c>
      <c r="E855" s="30" t="s">
        <v>3055</v>
      </c>
      <c r="F855" s="454">
        <f t="shared" si="378"/>
        <v>11.34</v>
      </c>
      <c r="G855" s="529">
        <v>11.34</v>
      </c>
      <c r="H855" s="487">
        <f t="shared" si="379"/>
        <v>9.07</v>
      </c>
      <c r="I855" s="706"/>
      <c r="J855" s="669" t="s">
        <v>5805</v>
      </c>
      <c r="K855" s="15"/>
      <c r="M855" s="49">
        <f t="shared" si="380"/>
        <v>11.34</v>
      </c>
      <c r="N855" s="41">
        <v>8.4</v>
      </c>
      <c r="O855" s="54"/>
      <c r="P855" s="74"/>
      <c r="S855" t="s">
        <v>1017</v>
      </c>
      <c r="T855" t="s">
        <v>4180</v>
      </c>
      <c r="U855" s="75"/>
      <c r="V855" s="65"/>
      <c r="W855" s="65"/>
      <c r="X855" s="65"/>
      <c r="Y855" s="65"/>
      <c r="Z855" s="65"/>
      <c r="AA855" s="65"/>
      <c r="AB855" s="65"/>
      <c r="AC855" s="65"/>
      <c r="AD855" s="91"/>
      <c r="AE855" s="196"/>
      <c r="AF855" s="65"/>
      <c r="AG855" s="91"/>
      <c r="AH855" s="212" t="str">
        <f>IF(ISERROR(SEARCH("K erstmals 201",D855)),"",RIGHT(D855,4))</f>
        <v>2011</v>
      </c>
      <c r="AI855" s="214" t="str">
        <f t="shared" si="373"/>
        <v/>
      </c>
      <c r="AJ855" s="214" t="str">
        <f t="shared" si="374"/>
        <v/>
      </c>
      <c r="AK855" s="214" t="str">
        <f t="shared" si="375"/>
        <v/>
      </c>
      <c r="AL855" s="214" t="str">
        <f t="shared" si="376"/>
        <v/>
      </c>
      <c r="AM855" s="214" t="str">
        <f t="shared" si="377"/>
        <v/>
      </c>
      <c r="AN855" s="213" t="str">
        <f t="shared" ref="AN855:AN862" si="383">IF(ISERROR(SEARCH("K1",A855)),"","20"&amp;MID(A855,SEARCH("K1",A855)+1,2))</f>
        <v>2011</v>
      </c>
      <c r="AO855" s="213" t="str">
        <f t="shared" ref="AO855:AO862" si="384">IF(ISERROR(SEARCH("erstmals 201",E855)),"",MID(E855,SEARCH("erstmals ",E855)+9,4))</f>
        <v>2011</v>
      </c>
      <c r="AP855" s="213" t="str">
        <f t="shared" ref="AP855:AP862" si="385">IF(R855="x","2010",IF(S855="x","2011",IF(T855="x","2012","")))</f>
        <v>2011</v>
      </c>
      <c r="AQ855" s="215" t="str">
        <f t="shared" ref="AQ855:AQ862" si="386">IF(OR(AH855&lt;&gt;AN855,AH855&lt;&gt;AO855,AH855&lt;&gt;AP855),"DIFF","")</f>
        <v/>
      </c>
      <c r="AR855" s="216" t="str">
        <f t="shared" ref="AR855:AR862" si="387">IF(A855="","",IF(ISERROR(SEARCH("K1",A855)),A855,LEFT(A855,SEARCH("K1",A855)+1)&amp;RIGHT(AH855,1)&amp;MID(A855,SEARCH("K1",A855)+3,14)))</f>
        <v>BiK84K11----04</v>
      </c>
      <c r="AS855" s="215" t="str">
        <f t="shared" ref="AS855:AS862" si="388">IF(OR(A855&lt;&gt;AR855),"DIFF","")</f>
        <v/>
      </c>
      <c r="AT855">
        <f t="shared" ref="AT855:AT862" si="389">LEN(AR855)</f>
        <v>14</v>
      </c>
      <c r="AU855" s="216" t="str">
        <f t="shared" ref="AU855:AU862" si="390">IF(D855="","",IF(OR(A855="",ISERROR(SEARCH("erstmals 201",D855))),D855,LEFT(D855,SEARCH("erstmals 201",D855)+8) &amp; AH855 &amp; MID(D855,SEARCH("erstmals 201",D855)+13,255)))</f>
        <v>5-20 MW, Bonusregel K erstmals 2011</v>
      </c>
      <c r="AV855" s="215" t="str">
        <f t="shared" ref="AV855:AV862" si="391">IF(OR(D855&lt;&gt;AU855),"DIFF","")</f>
        <v/>
      </c>
      <c r="AW855" s="216" t="str">
        <f t="shared" ref="AW855:AW862" si="392">IF(E855="","",IF(OR(E855="",ISERROR(SEARCH("erstmals 201",E855))),E855,LEFT(E855,SEARCH("erstmals 201",E855)+8) &amp; AH855 &amp; MID(E855,SEARCH("erstmals 201",E855)+13,255)))</f>
        <v>Anteil KWK, erstmals 2011</v>
      </c>
      <c r="AX855" s="215" t="str">
        <f t="shared" ref="AX855:AX862" si="393">IF(OR(E855&lt;&gt;AW855),"DIFF","")</f>
        <v/>
      </c>
      <c r="AY855" t="str">
        <f t="shared" ref="AY855:AY862" si="394">IF(AH855="2011","x",IF(AH855="2012","","" &amp; S855))</f>
        <v>x</v>
      </c>
      <c r="AZ855" t="str">
        <f t="shared" ref="AZ855:AZ862" si="395">IF(AH855="2012","x",IF(AH855="2011","","" &amp; T855))</f>
        <v/>
      </c>
    </row>
    <row r="856" spans="1:52" x14ac:dyDescent="0.25">
      <c r="A856" s="625" t="s">
        <v>1547</v>
      </c>
      <c r="B856" s="221" t="s">
        <v>5548</v>
      </c>
      <c r="C856" s="221" t="s">
        <v>4809</v>
      </c>
      <c r="D856" s="219" t="s">
        <v>7366</v>
      </c>
      <c r="E856" s="219" t="s">
        <v>1980</v>
      </c>
      <c r="F856" s="455">
        <f t="shared" si="378"/>
        <v>11.31</v>
      </c>
      <c r="G856" s="530">
        <v>11.31</v>
      </c>
      <c r="H856" s="488">
        <f t="shared" si="379"/>
        <v>9.0500000000000007</v>
      </c>
      <c r="I856" s="707"/>
      <c r="J856" s="669" t="s">
        <v>5805</v>
      </c>
      <c r="K856" s="15"/>
      <c r="M856" s="49">
        <f t="shared" si="380"/>
        <v>11.31</v>
      </c>
      <c r="N856" s="41">
        <v>8.4</v>
      </c>
      <c r="O856" s="54"/>
      <c r="P856" s="74"/>
      <c r="S856" t="s">
        <v>4180</v>
      </c>
      <c r="T856" t="s">
        <v>1017</v>
      </c>
      <c r="U856" s="75"/>
      <c r="V856" s="65"/>
      <c r="W856" s="65"/>
      <c r="X856" s="65"/>
      <c r="Y856" s="65"/>
      <c r="Z856" s="65"/>
      <c r="AA856" s="65"/>
      <c r="AB856" s="65"/>
      <c r="AC856" s="65"/>
      <c r="AD856" s="91"/>
      <c r="AE856" s="196"/>
      <c r="AF856" s="65"/>
      <c r="AG856" s="91"/>
      <c r="AH856" s="217" t="s">
        <v>4179</v>
      </c>
      <c r="AI856" s="214" t="str">
        <f t="shared" si="373"/>
        <v/>
      </c>
      <c r="AJ856" s="214" t="str">
        <f t="shared" si="374"/>
        <v/>
      </c>
      <c r="AK856" s="214" t="str">
        <f t="shared" si="375"/>
        <v/>
      </c>
      <c r="AL856" s="214" t="str">
        <f t="shared" si="376"/>
        <v/>
      </c>
      <c r="AM856" s="214" t="str">
        <f t="shared" si="377"/>
        <v/>
      </c>
      <c r="AN856" s="213" t="str">
        <f t="shared" si="383"/>
        <v>2012</v>
      </c>
      <c r="AO856" s="213" t="str">
        <f t="shared" si="384"/>
        <v>2012</v>
      </c>
      <c r="AP856" s="213" t="str">
        <f t="shared" si="385"/>
        <v>2012</v>
      </c>
      <c r="AQ856" s="215" t="str">
        <f t="shared" si="386"/>
        <v/>
      </c>
      <c r="AR856" s="216" t="str">
        <f t="shared" si="387"/>
        <v>BiK84K12----04</v>
      </c>
      <c r="AS856" s="215" t="str">
        <f t="shared" si="388"/>
        <v/>
      </c>
      <c r="AT856">
        <f t="shared" si="389"/>
        <v>14</v>
      </c>
      <c r="AU856" s="216" t="str">
        <f t="shared" si="390"/>
        <v>5-20 MW, Bonusregel K erstmals 2012</v>
      </c>
      <c r="AV856" s="215" t="str">
        <f t="shared" si="391"/>
        <v/>
      </c>
      <c r="AW856" s="216" t="str">
        <f t="shared" si="392"/>
        <v>Anteil KWK, erstmals 2012</v>
      </c>
      <c r="AX856" s="215" t="str">
        <f t="shared" si="393"/>
        <v/>
      </c>
      <c r="AY856" t="str">
        <f t="shared" si="394"/>
        <v/>
      </c>
      <c r="AZ856" t="str">
        <f t="shared" si="395"/>
        <v>x</v>
      </c>
    </row>
    <row r="857" spans="1:52" x14ac:dyDescent="0.25">
      <c r="A857" s="610" t="s">
        <v>3297</v>
      </c>
      <c r="B857" s="21" t="s">
        <v>5548</v>
      </c>
      <c r="C857" s="21" t="s">
        <v>3296</v>
      </c>
      <c r="D857" s="30" t="s">
        <v>7382</v>
      </c>
      <c r="E857" s="17" t="s">
        <v>4180</v>
      </c>
      <c r="F857" s="454">
        <f t="shared" si="378"/>
        <v>7</v>
      </c>
      <c r="G857" s="529">
        <v>7</v>
      </c>
      <c r="H857" s="487">
        <f t="shared" si="379"/>
        <v>5.6</v>
      </c>
      <c r="I857" s="706"/>
      <c r="J857" s="669" t="s">
        <v>5805</v>
      </c>
      <c r="K857" s="15"/>
      <c r="M857" s="49">
        <f t="shared" si="380"/>
        <v>7</v>
      </c>
      <c r="N857" s="41">
        <v>7</v>
      </c>
      <c r="O857" s="86"/>
      <c r="P857" s="74"/>
      <c r="S857" t="s">
        <v>4180</v>
      </c>
      <c r="T857" t="s">
        <v>4180</v>
      </c>
      <c r="U857" s="75"/>
      <c r="V857" s="65"/>
      <c r="W857" s="65"/>
      <c r="X857" s="65"/>
      <c r="Y857" s="65"/>
      <c r="Z857" s="65"/>
      <c r="AA857" s="65"/>
      <c r="AB857" s="65"/>
      <c r="AC857" s="65"/>
      <c r="AD857" s="91"/>
      <c r="AE857" s="196"/>
      <c r="AF857" s="65"/>
      <c r="AG857" s="91"/>
      <c r="AH857" s="212" t="str">
        <f>IF(ISERROR(SEARCH("K erstmals 201",D857)),"",RIGHT(D857,4))</f>
        <v/>
      </c>
      <c r="AI857" s="214" t="str">
        <f t="shared" si="373"/>
        <v/>
      </c>
      <c r="AJ857" s="214" t="str">
        <f t="shared" si="374"/>
        <v/>
      </c>
      <c r="AK857" s="214" t="str">
        <f t="shared" si="375"/>
        <v/>
      </c>
      <c r="AL857" s="214" t="str">
        <f t="shared" si="376"/>
        <v/>
      </c>
      <c r="AM857" s="214" t="str">
        <f t="shared" si="377"/>
        <v/>
      </c>
      <c r="AN857" s="213" t="str">
        <f t="shared" si="383"/>
        <v/>
      </c>
      <c r="AO857" s="213" t="str">
        <f t="shared" si="384"/>
        <v/>
      </c>
      <c r="AP857" s="213" t="str">
        <f t="shared" si="385"/>
        <v/>
      </c>
      <c r="AQ857" s="215" t="str">
        <f t="shared" si="386"/>
        <v/>
      </c>
      <c r="AR857" s="216" t="str">
        <f t="shared" si="387"/>
        <v>BiK85-------04</v>
      </c>
      <c r="AS857" s="215" t="str">
        <f t="shared" si="388"/>
        <v/>
      </c>
      <c r="AT857">
        <f t="shared" si="389"/>
        <v>14</v>
      </c>
      <c r="AU857" s="216" t="str">
        <f t="shared" si="390"/>
        <v>&gt; 20 MW, 75% Schwarzlauge etc.</v>
      </c>
      <c r="AV857" s="215" t="str">
        <f t="shared" si="391"/>
        <v/>
      </c>
      <c r="AW857" s="216" t="str">
        <f t="shared" si="392"/>
        <v/>
      </c>
      <c r="AX857" s="215" t="str">
        <f t="shared" si="393"/>
        <v/>
      </c>
      <c r="AY857" t="str">
        <f t="shared" si="394"/>
        <v/>
      </c>
      <c r="AZ857" t="str">
        <f t="shared" si="395"/>
        <v/>
      </c>
    </row>
    <row r="858" spans="1:52" x14ac:dyDescent="0.25">
      <c r="A858" s="610" t="s">
        <v>3298</v>
      </c>
      <c r="B858" s="30" t="s">
        <v>5548</v>
      </c>
      <c r="C858" s="21" t="s">
        <v>3296</v>
      </c>
      <c r="D858" s="30" t="s">
        <v>7383</v>
      </c>
      <c r="E858" s="17" t="s">
        <v>674</v>
      </c>
      <c r="F858" s="454">
        <f t="shared" si="378"/>
        <v>10</v>
      </c>
      <c r="G858" s="529">
        <v>10</v>
      </c>
      <c r="H858" s="487">
        <f t="shared" si="379"/>
        <v>8</v>
      </c>
      <c r="I858" s="706"/>
      <c r="J858" s="669" t="s">
        <v>5805</v>
      </c>
      <c r="K858" s="15"/>
      <c r="M858" s="49">
        <f t="shared" si="380"/>
        <v>10</v>
      </c>
      <c r="N858" s="41">
        <v>7</v>
      </c>
      <c r="O858" s="196"/>
      <c r="P858" s="87"/>
      <c r="Q858" s="92" t="s">
        <v>1017</v>
      </c>
      <c r="R858" s="92"/>
      <c r="S858" s="92" t="s">
        <v>4180</v>
      </c>
      <c r="T858" t="s">
        <v>4180</v>
      </c>
      <c r="U858" s="75"/>
      <c r="V858" s="91"/>
      <c r="W858" s="91"/>
      <c r="X858" s="91"/>
      <c r="Y858" s="91"/>
      <c r="Z858" s="91"/>
      <c r="AA858" s="91"/>
      <c r="AB858" s="91"/>
      <c r="AC858" s="91"/>
      <c r="AD858" s="91"/>
      <c r="AE858" s="196"/>
      <c r="AF858" s="65"/>
      <c r="AG858" s="91"/>
      <c r="AH858" s="212" t="str">
        <f>IF(ISERROR(SEARCH("K erstmals 201",D858)),"",RIGHT(D858,4))</f>
        <v/>
      </c>
      <c r="AI858" s="214" t="str">
        <f t="shared" ref="AI858:AI861" si="396">IF(AND($AH858&lt;&gt;"",AH858 =AH857),"Gleich","")</f>
        <v/>
      </c>
      <c r="AJ858" s="214" t="str">
        <f t="shared" si="374"/>
        <v/>
      </c>
      <c r="AK858" s="214" t="str">
        <f t="shared" si="375"/>
        <v/>
      </c>
      <c r="AL858" s="214" t="str">
        <f t="shared" si="376"/>
        <v/>
      </c>
      <c r="AM858" s="214" t="str">
        <f t="shared" si="377"/>
        <v/>
      </c>
      <c r="AN858" s="213" t="str">
        <f t="shared" si="383"/>
        <v/>
      </c>
      <c r="AO858" s="213" t="str">
        <f t="shared" si="384"/>
        <v/>
      </c>
      <c r="AP858" s="213" t="str">
        <f t="shared" si="385"/>
        <v/>
      </c>
      <c r="AQ858" s="215" t="str">
        <f t="shared" si="386"/>
        <v/>
      </c>
      <c r="AR858" s="216" t="str">
        <f t="shared" si="387"/>
        <v>BiK85K09----04</v>
      </c>
      <c r="AS858" s="215" t="str">
        <f t="shared" si="388"/>
        <v/>
      </c>
      <c r="AT858">
        <f t="shared" si="389"/>
        <v>14</v>
      </c>
      <c r="AU858" s="216" t="str">
        <f t="shared" si="390"/>
        <v>&gt; 20 MW, 75% Schwarzlauge etc., Bonusregel K erstmals 2009</v>
      </c>
      <c r="AV858" s="215" t="str">
        <f t="shared" si="391"/>
        <v/>
      </c>
      <c r="AW858" s="216" t="str">
        <f t="shared" si="392"/>
        <v>Anteil KWK, erstmals 2009</v>
      </c>
      <c r="AX858" s="215" t="str">
        <f t="shared" si="393"/>
        <v/>
      </c>
      <c r="AY858" t="str">
        <f t="shared" si="394"/>
        <v/>
      </c>
      <c r="AZ858" t="str">
        <f t="shared" si="395"/>
        <v/>
      </c>
    </row>
    <row r="859" spans="1:52" x14ac:dyDescent="0.25">
      <c r="A859" s="610" t="s">
        <v>4045</v>
      </c>
      <c r="B859" s="30" t="s">
        <v>5548</v>
      </c>
      <c r="C859" s="21" t="s">
        <v>3296</v>
      </c>
      <c r="D859" s="30" t="s">
        <v>7384</v>
      </c>
      <c r="E859" s="30" t="s">
        <v>3567</v>
      </c>
      <c r="F859" s="454">
        <f t="shared" si="378"/>
        <v>9.9700000000000006</v>
      </c>
      <c r="G859" s="529">
        <v>9.9700000000000006</v>
      </c>
      <c r="H859" s="487">
        <f t="shared" si="379"/>
        <v>7.98</v>
      </c>
      <c r="I859" s="706"/>
      <c r="J859" s="669" t="s">
        <v>5805</v>
      </c>
      <c r="K859" s="15"/>
      <c r="M859" s="49">
        <f t="shared" si="380"/>
        <v>9.9700000000000006</v>
      </c>
      <c r="N859" s="41">
        <v>7</v>
      </c>
      <c r="O859" s="196"/>
      <c r="P859" s="87"/>
      <c r="Q859" s="92"/>
      <c r="R859" s="92" t="s">
        <v>1017</v>
      </c>
      <c r="S859" s="92" t="s">
        <v>4180</v>
      </c>
      <c r="T859" t="s">
        <v>4180</v>
      </c>
      <c r="U859" s="75"/>
      <c r="V859" s="91"/>
      <c r="W859" s="91"/>
      <c r="X859" s="91"/>
      <c r="Y859" s="91"/>
      <c r="Z859" s="91"/>
      <c r="AA859" s="91"/>
      <c r="AB859" s="91"/>
      <c r="AC859" s="91"/>
      <c r="AD859" s="91"/>
      <c r="AE859" s="196"/>
      <c r="AF859" s="65"/>
      <c r="AG859" s="91"/>
      <c r="AH859" s="212" t="str">
        <f>IF(ISERROR(SEARCH("K erstmals 201",D859)),"",RIGHT(D859,4))</f>
        <v>2010</v>
      </c>
      <c r="AI859" s="214" t="str">
        <f t="shared" si="396"/>
        <v/>
      </c>
      <c r="AJ859" s="214" t="str">
        <f t="shared" si="374"/>
        <v/>
      </c>
      <c r="AK859" s="214" t="str">
        <f t="shared" si="375"/>
        <v/>
      </c>
      <c r="AL859" s="214" t="str">
        <f t="shared" si="376"/>
        <v/>
      </c>
      <c r="AM859" s="214" t="str">
        <f t="shared" si="377"/>
        <v/>
      </c>
      <c r="AN859" s="213" t="str">
        <f t="shared" si="383"/>
        <v>2010</v>
      </c>
      <c r="AO859" s="213" t="str">
        <f t="shared" si="384"/>
        <v>2010</v>
      </c>
      <c r="AP859" s="213" t="str">
        <f t="shared" si="385"/>
        <v>2010</v>
      </c>
      <c r="AQ859" s="215" t="str">
        <f t="shared" si="386"/>
        <v/>
      </c>
      <c r="AR859" s="216" t="str">
        <f t="shared" si="387"/>
        <v>BiK85K10----04</v>
      </c>
      <c r="AS859" s="215" t="str">
        <f t="shared" si="388"/>
        <v/>
      </c>
      <c r="AT859">
        <f t="shared" si="389"/>
        <v>14</v>
      </c>
      <c r="AU859" s="216" t="str">
        <f t="shared" si="390"/>
        <v>&gt; 20 MW, 75% Schwarzlauge etc., Bonusregel K erstmals 2010</v>
      </c>
      <c r="AV859" s="215" t="str">
        <f t="shared" si="391"/>
        <v/>
      </c>
      <c r="AW859" s="216" t="str">
        <f t="shared" si="392"/>
        <v>Anteil KWK, erstmals 2010</v>
      </c>
      <c r="AX859" s="215" t="str">
        <f t="shared" si="393"/>
        <v/>
      </c>
      <c r="AY859" t="str">
        <f t="shared" si="394"/>
        <v/>
      </c>
      <c r="AZ859" t="str">
        <f t="shared" si="395"/>
        <v/>
      </c>
    </row>
    <row r="860" spans="1:52" x14ac:dyDescent="0.25">
      <c r="A860" s="610" t="s">
        <v>5298</v>
      </c>
      <c r="B860" s="30" t="s">
        <v>5548</v>
      </c>
      <c r="C860" s="21" t="s">
        <v>3296</v>
      </c>
      <c r="D860" s="30" t="s">
        <v>7385</v>
      </c>
      <c r="E860" s="30" t="s">
        <v>3055</v>
      </c>
      <c r="F860" s="454">
        <f t="shared" si="378"/>
        <v>9.94</v>
      </c>
      <c r="G860" s="529">
        <v>9.94</v>
      </c>
      <c r="H860" s="487">
        <f t="shared" si="379"/>
        <v>7.95</v>
      </c>
      <c r="I860" s="706"/>
      <c r="J860" s="669" t="s">
        <v>5805</v>
      </c>
      <c r="K860" s="15"/>
      <c r="M860" s="49">
        <f t="shared" si="380"/>
        <v>9.94</v>
      </c>
      <c r="N860" s="41">
        <v>7</v>
      </c>
      <c r="O860" s="196"/>
      <c r="P860" s="87"/>
      <c r="Q860" s="92"/>
      <c r="S860" s="92" t="s">
        <v>1017</v>
      </c>
      <c r="T860" t="s">
        <v>4180</v>
      </c>
      <c r="U860" s="75"/>
      <c r="V860" s="91"/>
      <c r="W860" s="91"/>
      <c r="X860" s="91"/>
      <c r="Y860" s="91"/>
      <c r="Z860" s="91"/>
      <c r="AA860" s="91"/>
      <c r="AB860" s="91"/>
      <c r="AC860" s="91"/>
      <c r="AD860" s="91"/>
      <c r="AE860" s="196"/>
      <c r="AF860" s="65"/>
      <c r="AG860" s="91"/>
      <c r="AH860" s="212" t="str">
        <f>IF(ISERROR(SEARCH("K erstmals 201",D860)),"",RIGHT(D860,4))</f>
        <v>2011</v>
      </c>
      <c r="AI860" s="214" t="str">
        <f t="shared" si="396"/>
        <v/>
      </c>
      <c r="AJ860" s="214" t="str">
        <f t="shared" si="374"/>
        <v/>
      </c>
      <c r="AK860" s="214" t="str">
        <f t="shared" si="375"/>
        <v/>
      </c>
      <c r="AL860" s="214" t="str">
        <f t="shared" si="376"/>
        <v/>
      </c>
      <c r="AM860" s="214" t="str">
        <f t="shared" si="377"/>
        <v/>
      </c>
      <c r="AN860" s="213" t="str">
        <f t="shared" si="383"/>
        <v>2011</v>
      </c>
      <c r="AO860" s="213" t="str">
        <f t="shared" si="384"/>
        <v>2011</v>
      </c>
      <c r="AP860" s="213" t="str">
        <f t="shared" si="385"/>
        <v>2011</v>
      </c>
      <c r="AQ860" s="215" t="str">
        <f t="shared" si="386"/>
        <v/>
      </c>
      <c r="AR860" s="216" t="str">
        <f t="shared" si="387"/>
        <v>BiK85K11----04</v>
      </c>
      <c r="AS860" s="215" t="str">
        <f t="shared" si="388"/>
        <v/>
      </c>
      <c r="AT860">
        <f t="shared" si="389"/>
        <v>14</v>
      </c>
      <c r="AU860" s="216" t="str">
        <f t="shared" si="390"/>
        <v>&gt; 20 MW, 75% Schwarzlauge etc., Bonusregel K erstmals 2011</v>
      </c>
      <c r="AV860" s="215" t="str">
        <f t="shared" si="391"/>
        <v/>
      </c>
      <c r="AW860" s="216" t="str">
        <f t="shared" si="392"/>
        <v>Anteil KWK, erstmals 2011</v>
      </c>
      <c r="AX860" s="215" t="str">
        <f t="shared" si="393"/>
        <v/>
      </c>
      <c r="AY860" t="str">
        <f t="shared" si="394"/>
        <v>x</v>
      </c>
      <c r="AZ860" t="str">
        <f t="shared" si="395"/>
        <v/>
      </c>
    </row>
    <row r="861" spans="1:52" x14ac:dyDescent="0.25">
      <c r="A861" s="625" t="s">
        <v>1548</v>
      </c>
      <c r="B861" s="219" t="s">
        <v>5548</v>
      </c>
      <c r="C861" s="220" t="s">
        <v>3296</v>
      </c>
      <c r="D861" s="219" t="s">
        <v>7386</v>
      </c>
      <c r="E861" s="219" t="s">
        <v>1980</v>
      </c>
      <c r="F861" s="455">
        <f t="shared" si="378"/>
        <v>9.91</v>
      </c>
      <c r="G861" s="530">
        <v>9.91</v>
      </c>
      <c r="H861" s="488">
        <f t="shared" si="379"/>
        <v>7.93</v>
      </c>
      <c r="I861" s="707"/>
      <c r="J861" s="669" t="s">
        <v>5805</v>
      </c>
      <c r="K861" s="15"/>
      <c r="M861" s="49">
        <f t="shared" si="380"/>
        <v>9.91</v>
      </c>
      <c r="N861" s="41">
        <v>7</v>
      </c>
      <c r="O861" s="196"/>
      <c r="P861" s="87"/>
      <c r="Q861" s="92"/>
      <c r="S861" s="92" t="s">
        <v>4180</v>
      </c>
      <c r="T861" t="s">
        <v>1017</v>
      </c>
      <c r="U861" s="75"/>
      <c r="V861" s="91"/>
      <c r="W861" s="91"/>
      <c r="X861" s="91"/>
      <c r="Y861" s="91"/>
      <c r="Z861" s="91"/>
      <c r="AA861" s="91"/>
      <c r="AB861" s="91"/>
      <c r="AC861" s="91"/>
      <c r="AD861" s="91"/>
      <c r="AE861" s="196"/>
      <c r="AF861" s="65"/>
      <c r="AG861" s="91"/>
      <c r="AH861" s="217" t="s">
        <v>4179</v>
      </c>
      <c r="AI861" s="214" t="str">
        <f t="shared" si="396"/>
        <v/>
      </c>
      <c r="AJ861" s="214" t="str">
        <f t="shared" si="374"/>
        <v/>
      </c>
      <c r="AK861" s="214" t="str">
        <f t="shared" si="375"/>
        <v/>
      </c>
      <c r="AL861" s="214" t="str">
        <f t="shared" si="376"/>
        <v/>
      </c>
      <c r="AM861" s="214" t="str">
        <f t="shared" si="377"/>
        <v/>
      </c>
      <c r="AN861" s="213" t="str">
        <f t="shared" si="383"/>
        <v>2012</v>
      </c>
      <c r="AO861" s="213" t="str">
        <f t="shared" si="384"/>
        <v>2012</v>
      </c>
      <c r="AP861" s="213" t="str">
        <f t="shared" si="385"/>
        <v>2012</v>
      </c>
      <c r="AQ861" s="215" t="str">
        <f t="shared" si="386"/>
        <v/>
      </c>
      <c r="AR861" s="216" t="str">
        <f t="shared" si="387"/>
        <v>BiK85K12----04</v>
      </c>
      <c r="AS861" s="215" t="str">
        <f t="shared" si="388"/>
        <v/>
      </c>
      <c r="AT861">
        <f t="shared" si="389"/>
        <v>14</v>
      </c>
      <c r="AU861" s="216" t="str">
        <f t="shared" si="390"/>
        <v>&gt; 20 MW, 75% Schwarzlauge etc., Bonusregel K erstmals 2012</v>
      </c>
      <c r="AV861" s="215" t="str">
        <f t="shared" si="391"/>
        <v/>
      </c>
      <c r="AW861" s="216" t="str">
        <f t="shared" si="392"/>
        <v>Anteil KWK, erstmals 2012</v>
      </c>
      <c r="AX861" s="215" t="str">
        <f t="shared" si="393"/>
        <v/>
      </c>
      <c r="AY861" t="str">
        <f t="shared" si="394"/>
        <v/>
      </c>
      <c r="AZ861" t="str">
        <f t="shared" si="395"/>
        <v>x</v>
      </c>
    </row>
    <row r="862" spans="1:52" s="178" customFormat="1" x14ac:dyDescent="0.25">
      <c r="A862" s="609" t="s">
        <v>4180</v>
      </c>
      <c r="B862" s="1"/>
      <c r="C862" s="1"/>
      <c r="D862" s="1" t="s">
        <v>4180</v>
      </c>
      <c r="E862" s="1" t="s">
        <v>4180</v>
      </c>
      <c r="F862" s="457"/>
      <c r="G862" s="533"/>
      <c r="H862" s="491" t="str">
        <f t="shared" si="379"/>
        <v/>
      </c>
      <c r="I862" s="710"/>
      <c r="J862" s="669" t="s">
        <v>4180</v>
      </c>
      <c r="K862" s="15"/>
      <c r="L862"/>
      <c r="M862"/>
      <c r="N862"/>
      <c r="O862" s="124"/>
      <c r="P862"/>
      <c r="Q862"/>
      <c r="R862"/>
      <c r="S862" t="s">
        <v>4180</v>
      </c>
      <c r="T862" s="178" t="s">
        <v>4180</v>
      </c>
      <c r="U862" s="55"/>
      <c r="V862"/>
      <c r="W862"/>
      <c r="X862"/>
      <c r="Y862"/>
      <c r="Z862"/>
      <c r="AA862"/>
      <c r="AB862"/>
      <c r="AC862"/>
      <c r="AD862" s="92"/>
      <c r="AE862" s="124"/>
      <c r="AF862"/>
      <c r="AG862"/>
      <c r="AH862" s="212" t="str">
        <f>IF(ISERROR(SEARCH("K erstmals 201",D862)),"",RIGHT(D862,4))</f>
        <v/>
      </c>
      <c r="AI862" s="214" t="str">
        <f>IF(AND($AH862&lt;&gt;"",AH862 =AH857),"Gleich","")</f>
        <v/>
      </c>
      <c r="AJ862" s="214" t="str">
        <f>IF(AND($AH862&lt;&gt;"",A862 =A857),"Gleich","")</f>
        <v/>
      </c>
      <c r="AK862" s="214" t="str">
        <f>IF(AND($AH862&lt;&gt;"",D862 =D857),"Gleich","")</f>
        <v/>
      </c>
      <c r="AL862" s="214" t="str">
        <f>IF(AND($AH862&lt;&gt;"",E862 =E857),"Gleich","")</f>
        <v/>
      </c>
      <c r="AM862" s="214" t="str">
        <f>IF(AND($AH862&lt;&gt;"",F862 =F857),"Gleich","")</f>
        <v/>
      </c>
      <c r="AN862" s="213" t="str">
        <f t="shared" si="383"/>
        <v/>
      </c>
      <c r="AO862" s="213" t="str">
        <f t="shared" si="384"/>
        <v/>
      </c>
      <c r="AP862" s="213" t="str">
        <f t="shared" si="385"/>
        <v/>
      </c>
      <c r="AQ862" s="215" t="str">
        <f t="shared" si="386"/>
        <v/>
      </c>
      <c r="AR862" s="216" t="str">
        <f t="shared" si="387"/>
        <v/>
      </c>
      <c r="AS862" s="215" t="str">
        <f t="shared" si="388"/>
        <v/>
      </c>
      <c r="AT862">
        <f t="shared" si="389"/>
        <v>0</v>
      </c>
      <c r="AU862" s="216" t="str">
        <f t="shared" si="390"/>
        <v/>
      </c>
      <c r="AV862" s="215" t="str">
        <f t="shared" si="391"/>
        <v/>
      </c>
      <c r="AW862" s="216" t="str">
        <f t="shared" si="392"/>
        <v/>
      </c>
      <c r="AX862" s="215" t="str">
        <f t="shared" si="393"/>
        <v/>
      </c>
      <c r="AY862" t="str">
        <f t="shared" si="394"/>
        <v/>
      </c>
      <c r="AZ862" t="str">
        <f t="shared" si="395"/>
        <v/>
      </c>
    </row>
    <row r="863" spans="1:52" x14ac:dyDescent="0.25">
      <c r="A863" s="615" t="s">
        <v>953</v>
      </c>
      <c r="B863" s="375" t="s">
        <v>5548</v>
      </c>
      <c r="C863" s="375" t="s">
        <v>4809</v>
      </c>
      <c r="D863" s="375" t="s">
        <v>6991</v>
      </c>
      <c r="E863" s="375" t="s">
        <v>2827</v>
      </c>
      <c r="F863" s="461">
        <f t="shared" ref="F863:F880" si="397">M863</f>
        <v>24.55</v>
      </c>
      <c r="G863" s="535">
        <f>F863</f>
        <v>24.55</v>
      </c>
      <c r="H863" s="493">
        <f t="shared" ref="H863:H880" si="398">IF(ISNUMBER(G863),ROUND(0.8*G863,2),"")</f>
        <v>19.64</v>
      </c>
      <c r="I863" s="711"/>
      <c r="J863" s="669" t="s">
        <v>5805</v>
      </c>
      <c r="M863" s="49">
        <f t="shared" ref="M863:M880" si="399">N863+SUMIF(U863:AG863,"x",U$886:AG$886)+T863</f>
        <v>24.55</v>
      </c>
      <c r="N863" s="41">
        <v>11.67</v>
      </c>
      <c r="O863" s="391"/>
      <c r="P863" s="392" t="s">
        <v>2828</v>
      </c>
      <c r="Q863" s="392"/>
      <c r="R863" s="392">
        <v>2013</v>
      </c>
      <c r="S863" s="392"/>
      <c r="T863" s="324">
        <v>2.88</v>
      </c>
      <c r="U863" s="185" t="s">
        <v>1017</v>
      </c>
      <c r="V863" s="184"/>
      <c r="W863" s="180"/>
      <c r="X863" s="180"/>
      <c r="Y863" s="184" t="s">
        <v>1017</v>
      </c>
      <c r="Z863" s="184"/>
      <c r="AA863" s="180"/>
      <c r="AB863" s="184"/>
      <c r="AC863" s="184"/>
      <c r="AD863" s="201"/>
      <c r="AE863" s="181" t="s">
        <v>1017</v>
      </c>
      <c r="AF863" s="180"/>
      <c r="AG863" s="201"/>
    </row>
    <row r="864" spans="1:52" s="178" customFormat="1" x14ac:dyDescent="0.25">
      <c r="A864" s="615" t="s">
        <v>6165</v>
      </c>
      <c r="B864" s="375" t="s">
        <v>5548</v>
      </c>
      <c r="C864" s="375" t="s">
        <v>4809</v>
      </c>
      <c r="D864" s="375" t="s">
        <v>6992</v>
      </c>
      <c r="E864" s="375" t="s">
        <v>2827</v>
      </c>
      <c r="F864" s="461">
        <f t="shared" si="397"/>
        <v>25.55</v>
      </c>
      <c r="G864" s="535">
        <v>25.55</v>
      </c>
      <c r="H864" s="500">
        <f t="shared" si="398"/>
        <v>20.440000000000001</v>
      </c>
      <c r="I864" s="711"/>
      <c r="J864" s="669">
        <v>42837</v>
      </c>
      <c r="K864" s="15"/>
      <c r="L864"/>
      <c r="M864" s="49">
        <f t="shared" si="399"/>
        <v>25.55</v>
      </c>
      <c r="N864" s="41">
        <v>11.67</v>
      </c>
      <c r="O864" s="391"/>
      <c r="P864" s="392" t="s">
        <v>2828</v>
      </c>
      <c r="Q864" s="392"/>
      <c r="R864" s="392">
        <v>2013</v>
      </c>
      <c r="S864" s="392"/>
      <c r="T864" s="324">
        <v>2.88</v>
      </c>
      <c r="U864" s="185"/>
      <c r="V864" s="184"/>
      <c r="W864" s="180"/>
      <c r="X864" s="180"/>
      <c r="Z864" s="184" t="s">
        <v>1017</v>
      </c>
      <c r="AA864" s="180"/>
      <c r="AB864" s="184"/>
      <c r="AC864" s="184"/>
      <c r="AD864" s="201"/>
      <c r="AE864" s="181"/>
      <c r="AF864" s="180"/>
      <c r="AG864" s="201"/>
      <c r="AH864" s="217" t="s">
        <v>4179</v>
      </c>
      <c r="AI864" s="214" t="str">
        <f>IF(AND($AH864&lt;&gt;"",AH864 =AH865),"Gleich","")</f>
        <v/>
      </c>
      <c r="AJ864" s="214" t="str">
        <f>IF(AND($AH864&lt;&gt;"",A864 =A865),"Gleich","")</f>
        <v/>
      </c>
      <c r="AK864" s="214" t="str">
        <f>IF(AND($AH864&lt;&gt;"",D864 =D865),"Gleich","")</f>
        <v/>
      </c>
      <c r="AL864" s="214" t="str">
        <f>IF(AND($AH864&lt;&gt;"",E864 =E865),"Gleich","")</f>
        <v>Gleich</v>
      </c>
      <c r="AM864" s="214" t="str">
        <f>IF(AND($AH864&lt;&gt;"",F864 =F865),"Gleich","")</f>
        <v/>
      </c>
      <c r="AN864" s="213" t="str">
        <f>IF(ISERROR(SEARCH("K1",A864)),"","20"&amp;MID(A864,SEARCH("K1",A864)+1,2))</f>
        <v>2013</v>
      </c>
      <c r="AO864" s="213" t="str">
        <f>IF(ISERROR(SEARCH("erstmals 201",E864)),"",MID(E864,SEARCH("erstmals ",E864)+9,4))</f>
        <v>2013</v>
      </c>
      <c r="AP864" s="213" t="str">
        <f>IF(R864="x","2010",IF(S864="x","2011",IF(T864="x","2012","")))</f>
        <v/>
      </c>
      <c r="AQ864" s="215" t="str">
        <f>IF(OR(AH864&lt;&gt;AN864,AH864&lt;&gt;AO864,AH864&lt;&gt;AP864),"DIFF","")</f>
        <v>DIFF</v>
      </c>
      <c r="AR864" s="216" t="str">
        <f>IF(A864="","",IF(ISERROR(SEARCH("K1",A864)),A864,LEFT(A864,SEARCH("K1",A864)+1)&amp;RIGHT(AH864,1)&amp;MID(A864,SEARCH("K1",A864)+3,14)))</f>
        <v>BiK81M1K12--04</v>
      </c>
      <c r="AS864" s="215" t="str">
        <f>IF(OR(A864&lt;&gt;AR864),"DIFF","")</f>
        <v>DIFF</v>
      </c>
      <c r="AT864">
        <f>LEN(AR864)</f>
        <v>14</v>
      </c>
      <c r="AU864" s="216" t="str">
        <f>IF(D864="","",IF(OR(A864="",ISERROR(SEARCH("erstmals 201",D864))),D864,LEFT(D864,SEARCH("erstmals 201",D864)+8) &amp; AH864 &amp; MID(D864,SEARCH("erstmals 201",D864)+13,255)))</f>
        <v>0-0,15 MW, Bonusregeln M1, K erstmals 2012</v>
      </c>
      <c r="AV864" s="215" t="str">
        <f>IF(OR(D864&lt;&gt;AU864),"DIFF","")</f>
        <v>DIFF</v>
      </c>
      <c r="AW864" s="216" t="str">
        <f>IF(E864="","",IF(OR(E864="",ISERROR(SEARCH("erstmals 201",E864))),E864,LEFT(E864,SEARCH("erstmals 201",E864)+8) &amp; AH864 &amp; MID(E864,SEARCH("erstmals 201",E864)+13,255)))</f>
        <v>Anteil KWK, erstmals 2012</v>
      </c>
      <c r="AX864" s="215" t="str">
        <f>IF(OR(E864&lt;&gt;AW864),"DIFF","")</f>
        <v>DIFF</v>
      </c>
      <c r="AY864" t="str">
        <f>IF(AH864="2011","x",IF(AH864="2012","","" &amp; S864))</f>
        <v/>
      </c>
      <c r="AZ864" t="str">
        <f>IF(AH864="2012","x",IF(AH864="2011","","" &amp; T864))</f>
        <v>x</v>
      </c>
    </row>
    <row r="865" spans="1:52" s="178" customFormat="1" x14ac:dyDescent="0.25">
      <c r="A865" s="615" t="s">
        <v>5795</v>
      </c>
      <c r="B865" s="375" t="s">
        <v>5548</v>
      </c>
      <c r="C865" s="375" t="s">
        <v>4809</v>
      </c>
      <c r="D865" s="375" t="s">
        <v>6993</v>
      </c>
      <c r="E865" s="375" t="s">
        <v>2827</v>
      </c>
      <c r="F865" s="461">
        <f t="shared" si="397"/>
        <v>28.55</v>
      </c>
      <c r="G865" s="535">
        <f>F865</f>
        <v>28.55</v>
      </c>
      <c r="H865" s="500">
        <f t="shared" si="398"/>
        <v>22.84</v>
      </c>
      <c r="I865" s="711"/>
      <c r="J865" s="669" t="s">
        <v>5805</v>
      </c>
      <c r="K865" s="15"/>
      <c r="L865"/>
      <c r="M865" s="49">
        <f t="shared" si="399"/>
        <v>28.55</v>
      </c>
      <c r="N865" s="41">
        <v>11.67</v>
      </c>
      <c r="O865" s="391"/>
      <c r="P865" s="392" t="s">
        <v>2828</v>
      </c>
      <c r="Q865" s="392"/>
      <c r="R865" s="392">
        <v>2013</v>
      </c>
      <c r="S865" s="392"/>
      <c r="T865" s="324">
        <v>2.88</v>
      </c>
      <c r="U865" s="185" t="s">
        <v>1017</v>
      </c>
      <c r="V865" s="184"/>
      <c r="W865" s="180"/>
      <c r="X865" s="180"/>
      <c r="Z865" s="184" t="s">
        <v>1017</v>
      </c>
      <c r="AA865" s="180"/>
      <c r="AB865" s="184"/>
      <c r="AC865" s="184"/>
      <c r="AD865" s="201"/>
      <c r="AE865" s="181" t="s">
        <v>1017</v>
      </c>
      <c r="AF865" s="180"/>
      <c r="AG865" s="201"/>
      <c r="AH865" s="217"/>
      <c r="AI865" s="214"/>
      <c r="AJ865" s="214"/>
      <c r="AK865" s="214"/>
      <c r="AL865" s="214"/>
      <c r="AM865" s="214"/>
      <c r="AN865" s="213"/>
      <c r="AO865" s="213"/>
      <c r="AP865" s="213"/>
      <c r="AQ865" s="215"/>
      <c r="AR865" s="216"/>
      <c r="AS865" s="215"/>
      <c r="AT865"/>
      <c r="AU865" s="216"/>
      <c r="AV865" s="215"/>
      <c r="AW865" s="216"/>
      <c r="AX865" s="215"/>
      <c r="AY865"/>
      <c r="AZ865"/>
    </row>
    <row r="866" spans="1:52" s="178" customFormat="1" x14ac:dyDescent="0.25">
      <c r="A866" s="615" t="s">
        <v>954</v>
      </c>
      <c r="B866" s="375" t="s">
        <v>5548</v>
      </c>
      <c r="C866" s="375" t="s">
        <v>4809</v>
      </c>
      <c r="D866" s="375" t="s">
        <v>7214</v>
      </c>
      <c r="E866" s="375" t="s">
        <v>2827</v>
      </c>
      <c r="F866" s="459">
        <f t="shared" si="397"/>
        <v>22.779999999999998</v>
      </c>
      <c r="G866" s="535">
        <f>F866</f>
        <v>22.779999999999998</v>
      </c>
      <c r="H866" s="493">
        <f t="shared" si="398"/>
        <v>18.22</v>
      </c>
      <c r="I866" s="711"/>
      <c r="J866" s="669" t="s">
        <v>5805</v>
      </c>
      <c r="K866" s="15"/>
      <c r="L866"/>
      <c r="M866" s="49">
        <f t="shared" si="399"/>
        <v>22.779999999999998</v>
      </c>
      <c r="N866" s="41">
        <v>9.9</v>
      </c>
      <c r="O866" s="391"/>
      <c r="P866" s="392" t="s">
        <v>2828</v>
      </c>
      <c r="Q866" s="392"/>
      <c r="R866" s="392">
        <v>2013</v>
      </c>
      <c r="S866" s="392"/>
      <c r="T866" s="324">
        <v>2.88</v>
      </c>
      <c r="U866" s="185" t="s">
        <v>1017</v>
      </c>
      <c r="V866" s="184"/>
      <c r="W866" s="180"/>
      <c r="X866" s="180"/>
      <c r="Y866" s="184" t="s">
        <v>1017</v>
      </c>
      <c r="Z866" s="180"/>
      <c r="AA866" s="184"/>
      <c r="AB866" s="184"/>
      <c r="AC866" s="180"/>
      <c r="AD866" s="182"/>
      <c r="AE866" s="181" t="s">
        <v>1017</v>
      </c>
      <c r="AF866" s="180"/>
      <c r="AG866" s="201"/>
      <c r="AH866" s="217" t="s">
        <v>4179</v>
      </c>
      <c r="AI866" s="214" t="str">
        <f>IF(AND($AH866&lt;&gt;"",AH866 =AH863),"Gleich","")</f>
        <v/>
      </c>
      <c r="AJ866" s="214" t="str">
        <f>IF(AND($AH866&lt;&gt;"",A866 =A863),"Gleich","")</f>
        <v/>
      </c>
      <c r="AK866" s="214" t="str">
        <f>IF(AND($AH866&lt;&gt;"",D866 =D863),"Gleich","")</f>
        <v/>
      </c>
      <c r="AL866" s="214" t="str">
        <f>IF(AND($AH866&lt;&gt;"",E866 =E863),"Gleich","")</f>
        <v>Gleich</v>
      </c>
      <c r="AM866" s="214" t="str">
        <f>IF(AND($AH866&lt;&gt;"",F866 =F863),"Gleich","")</f>
        <v/>
      </c>
      <c r="AN866" s="213" t="str">
        <f>IF(ISERROR(SEARCH("K1",A866)),"","20"&amp;MID(A866,SEARCH("K1",A866)+1,2))</f>
        <v>2013</v>
      </c>
      <c r="AO866" s="213" t="str">
        <f>IF(ISERROR(SEARCH("erstmals 201",E866)),"",MID(E866,SEARCH("erstmals ",E866)+9,4))</f>
        <v>2013</v>
      </c>
      <c r="AP866" s="213" t="str">
        <f>IF(R866="x","2010",IF(S866="x","2011",IF(T866="x","2012","")))</f>
        <v/>
      </c>
      <c r="AQ866" s="215" t="str">
        <f>IF(OR(AH866&lt;&gt;AN866,AH866&lt;&gt;AO866,AH866&lt;&gt;AP866),"DIFF","")</f>
        <v>DIFF</v>
      </c>
      <c r="AR866" s="216" t="str">
        <f>IF(A866="","",IF(ISERROR(SEARCH("K1",A866)),A866,LEFT(A866,SEARCH("K1",A866)+1)&amp;RIGHT(AH866,1)&amp;MID(A866,SEARCH("K1",A866)+3,14)))</f>
        <v>BiK82GbK12y-04</v>
      </c>
      <c r="AS866" s="215" t="str">
        <f>IF(OR(A866&lt;&gt;AR866),"DIFF","")</f>
        <v>DIFF</v>
      </c>
      <c r="AT866">
        <f>LEN(AR866)</f>
        <v>14</v>
      </c>
      <c r="AU866" s="216" t="str">
        <f>IF(D866="","",IF(OR(A866="",ISERROR(SEARCH("erstmals 201",D866))),D866,LEFT(D866,SEARCH("erstmals 201",D866)+8) &amp; AH866 &amp; MID(D866,SEARCH("erstmals 201",D866)+13,255)))</f>
        <v>0,15-0,5 MW, Bonusregeln G, y, b und K erstmals 2012</v>
      </c>
      <c r="AV866" s="215" t="str">
        <f>IF(OR(D866&lt;&gt;AU866),"DIFF","")</f>
        <v>DIFF</v>
      </c>
      <c r="AW866" s="216" t="str">
        <f>IF(E866="","",IF(OR(E866="",ISERROR(SEARCH("erstmals 201",E866))),E866,LEFT(E866,SEARCH("erstmals 201",E866)+8) &amp; AH866 &amp; MID(E866,SEARCH("erstmals 201",E866)+13,255)))</f>
        <v>Anteil KWK, erstmals 2012</v>
      </c>
      <c r="AX866" s="215" t="str">
        <f>IF(OR(E866&lt;&gt;AW866),"DIFF","")</f>
        <v>DIFF</v>
      </c>
      <c r="AY866" t="str">
        <f>IF(AH866="2011","x",IF(AH866="2012","","" &amp; S866))</f>
        <v/>
      </c>
      <c r="AZ866" t="str">
        <f>IF(AH866="2012","x",IF(AH866="2011","","" &amp; T866))</f>
        <v>x</v>
      </c>
    </row>
    <row r="867" spans="1:52" s="178" customFormat="1" x14ac:dyDescent="0.25">
      <c r="A867" s="615" t="s">
        <v>6171</v>
      </c>
      <c r="B867" s="375" t="s">
        <v>5548</v>
      </c>
      <c r="C867" s="375" t="s">
        <v>4809</v>
      </c>
      <c r="D867" s="375" t="s">
        <v>7215</v>
      </c>
      <c r="E867" s="375" t="s">
        <v>2827</v>
      </c>
      <c r="F867" s="461">
        <f t="shared" si="397"/>
        <v>20.779999999999998</v>
      </c>
      <c r="G867" s="535">
        <v>20.78</v>
      </c>
      <c r="H867" s="500">
        <f t="shared" si="398"/>
        <v>16.62</v>
      </c>
      <c r="I867" s="711"/>
      <c r="J867" s="669">
        <v>42859</v>
      </c>
      <c r="K867" s="15"/>
      <c r="L867"/>
      <c r="M867" s="49">
        <f t="shared" si="399"/>
        <v>20.779999999999998</v>
      </c>
      <c r="N867" s="41">
        <v>9.9</v>
      </c>
      <c r="O867" s="391"/>
      <c r="P867" s="392" t="s">
        <v>2828</v>
      </c>
      <c r="Q867" s="392"/>
      <c r="R867" s="392">
        <v>2013</v>
      </c>
      <c r="S867" s="392"/>
      <c r="T867" s="324">
        <v>2.88</v>
      </c>
      <c r="U867" s="185"/>
      <c r="V867" s="184"/>
      <c r="W867" s="180"/>
      <c r="X867" s="180"/>
      <c r="Z867" s="180"/>
      <c r="AA867" s="184" t="s">
        <v>1017</v>
      </c>
      <c r="AB867" s="184"/>
      <c r="AC867" s="180"/>
      <c r="AD867" s="182"/>
      <c r="AE867" s="181"/>
      <c r="AF867" s="180"/>
      <c r="AG867" s="201"/>
      <c r="AH867" s="217" t="s">
        <v>4179</v>
      </c>
      <c r="AI867" s="214" t="s">
        <v>4180</v>
      </c>
      <c r="AJ867" s="214" t="s">
        <v>4180</v>
      </c>
      <c r="AK867" s="214" t="s">
        <v>4180</v>
      </c>
      <c r="AL867" s="214" t="s">
        <v>4180</v>
      </c>
      <c r="AM867" s="214" t="s">
        <v>4180</v>
      </c>
      <c r="AN867" s="213" t="s">
        <v>4179</v>
      </c>
      <c r="AO867" s="213" t="s">
        <v>4179</v>
      </c>
      <c r="AP867" s="213" t="s">
        <v>4179</v>
      </c>
      <c r="AQ867" s="215" t="s">
        <v>4180</v>
      </c>
      <c r="AR867" s="216" t="s">
        <v>1523</v>
      </c>
      <c r="AS867" s="215" t="s">
        <v>4180</v>
      </c>
      <c r="AT867">
        <v>14</v>
      </c>
      <c r="AU867" s="216" t="s">
        <v>7124</v>
      </c>
      <c r="AV867" s="215" t="s">
        <v>4180</v>
      </c>
      <c r="AW867" s="216" t="s">
        <v>1980</v>
      </c>
      <c r="AX867" s="215" t="s">
        <v>4180</v>
      </c>
      <c r="AY867" t="s">
        <v>4180</v>
      </c>
      <c r="AZ867" t="s">
        <v>1017</v>
      </c>
    </row>
    <row r="868" spans="1:52" s="178" customFormat="1" x14ac:dyDescent="0.25">
      <c r="A868" s="615" t="s">
        <v>5796</v>
      </c>
      <c r="B868" s="375" t="s">
        <v>5548</v>
      </c>
      <c r="C868" s="375" t="s">
        <v>4809</v>
      </c>
      <c r="D868" s="375" t="s">
        <v>7216</v>
      </c>
      <c r="E868" s="375" t="s">
        <v>2827</v>
      </c>
      <c r="F868" s="461">
        <f t="shared" si="397"/>
        <v>23.779999999999998</v>
      </c>
      <c r="G868" s="535">
        <f t="shared" ref="G868:G880" si="400">F868</f>
        <v>23.779999999999998</v>
      </c>
      <c r="H868" s="500">
        <f t="shared" si="398"/>
        <v>19.02</v>
      </c>
      <c r="I868" s="711"/>
      <c r="J868" s="669" t="s">
        <v>5805</v>
      </c>
      <c r="K868" s="15"/>
      <c r="L868"/>
      <c r="M868" s="49">
        <f t="shared" si="399"/>
        <v>23.779999999999998</v>
      </c>
      <c r="N868" s="41">
        <v>9.9</v>
      </c>
      <c r="O868" s="391"/>
      <c r="P868" s="392" t="s">
        <v>2828</v>
      </c>
      <c r="Q868" s="392"/>
      <c r="R868" s="392">
        <v>2013</v>
      </c>
      <c r="S868" s="392"/>
      <c r="T868" s="324">
        <v>2.88</v>
      </c>
      <c r="U868" s="185" t="s">
        <v>1017</v>
      </c>
      <c r="V868" s="184"/>
      <c r="W868" s="180"/>
      <c r="X868" s="180"/>
      <c r="Z868" s="180"/>
      <c r="AA868" s="184" t="s">
        <v>1017</v>
      </c>
      <c r="AB868" s="184"/>
      <c r="AC868" s="180"/>
      <c r="AD868" s="182"/>
      <c r="AE868" s="181" t="s">
        <v>1017</v>
      </c>
      <c r="AF868" s="180"/>
      <c r="AG868" s="201"/>
      <c r="AH868" s="217"/>
      <c r="AI868" s="214"/>
      <c r="AJ868" s="214"/>
      <c r="AK868" s="214"/>
      <c r="AL868" s="214"/>
      <c r="AM868" s="214"/>
      <c r="AN868" s="213"/>
      <c r="AO868" s="213"/>
      <c r="AP868" s="213"/>
      <c r="AQ868" s="215"/>
      <c r="AR868" s="216"/>
      <c r="AS868" s="215"/>
      <c r="AT868"/>
      <c r="AU868" s="216"/>
      <c r="AV868" s="215"/>
      <c r="AW868" s="216"/>
      <c r="AX868" s="215"/>
      <c r="AY868"/>
      <c r="AZ868"/>
    </row>
    <row r="869" spans="1:52" x14ac:dyDescent="0.25">
      <c r="A869" s="615" t="s">
        <v>955</v>
      </c>
      <c r="B869" s="372" t="s">
        <v>5548</v>
      </c>
      <c r="C869" s="372" t="s">
        <v>4809</v>
      </c>
      <c r="D869" s="375" t="s">
        <v>6803</v>
      </c>
      <c r="E869" s="375" t="s">
        <v>2827</v>
      </c>
      <c r="F869" s="461">
        <f t="shared" si="397"/>
        <v>17.78</v>
      </c>
      <c r="G869" s="535">
        <f t="shared" si="400"/>
        <v>17.78</v>
      </c>
      <c r="H869" s="493">
        <f t="shared" si="398"/>
        <v>14.22</v>
      </c>
      <c r="I869" s="711"/>
      <c r="J869" s="669" t="s">
        <v>5805</v>
      </c>
      <c r="K869" s="15"/>
      <c r="M869" s="49">
        <f t="shared" si="399"/>
        <v>17.78</v>
      </c>
      <c r="N869" s="41">
        <v>8.9</v>
      </c>
      <c r="O869" s="391"/>
      <c r="P869" s="392" t="s">
        <v>2828</v>
      </c>
      <c r="Q869" s="392"/>
      <c r="R869" s="392">
        <v>2013</v>
      </c>
      <c r="S869" s="392"/>
      <c r="T869" s="324">
        <v>2.88</v>
      </c>
      <c r="U869" s="75"/>
      <c r="V869" s="65"/>
      <c r="W869" t="s">
        <v>1017</v>
      </c>
      <c r="Y869" s="65"/>
      <c r="Z869" s="65"/>
      <c r="AA869" s="65"/>
      <c r="AB869" s="65"/>
      <c r="AC869" s="65"/>
      <c r="AD869" s="91"/>
      <c r="AE869" s="124" t="s">
        <v>1017</v>
      </c>
      <c r="AF869" s="65"/>
      <c r="AG869" s="91"/>
      <c r="AH869" s="217" t="s">
        <v>4179</v>
      </c>
      <c r="AI869" s="214" t="str">
        <f>IF(AND($AH869&lt;&gt;"",AH869 =AH883),"Gleich","")</f>
        <v/>
      </c>
      <c r="AJ869" s="214" t="str">
        <f>IF(AND($AH869&lt;&gt;"",A869 =A883),"Gleich","")</f>
        <v/>
      </c>
      <c r="AK869" s="214" t="str">
        <f t="shared" ref="AK869:AM870" si="401">IF(AND($AH869&lt;&gt;"",D869 =D883),"Gleich","")</f>
        <v/>
      </c>
      <c r="AL869" s="214" t="str">
        <f t="shared" si="401"/>
        <v/>
      </c>
      <c r="AM869" s="214" t="str">
        <f t="shared" si="401"/>
        <v/>
      </c>
      <c r="AN869" s="213" t="str">
        <f>IF(ISERROR(SEARCH("K1",A869)),"","20"&amp;MID(A869,SEARCH("K1",A869)+1,2))</f>
        <v>2013</v>
      </c>
      <c r="AO869" s="213" t="str">
        <f>IF(ISERROR(SEARCH("erstmals 201",E869)),"",MID(E869,SEARCH("erstmals ",E869)+9,4))</f>
        <v>2013</v>
      </c>
      <c r="AP869" s="213" t="str">
        <f>IF(R869="x","2010",IF(S869="x","2011",IF(T869="x","2012","")))</f>
        <v/>
      </c>
      <c r="AQ869" s="215" t="str">
        <f>IF(OR(AH869&lt;&gt;AN869,AH869&lt;&gt;AO869,AH869&lt;&gt;AP869),"DIFF","")</f>
        <v>DIFF</v>
      </c>
      <c r="AR869" s="216" t="str">
        <f>IF(A869="","",IF(ISERROR(SEARCH("K1",A869)),A869,LEFT(A869,SEARCH("K1",A869)+1)&amp;RIGHT(AH869,1)&amp;MID(A869,SEARCH("K1",A869)+3,14)))</f>
        <v>BiK83a2bK12-04</v>
      </c>
      <c r="AS869" s="215" t="str">
        <f>IF(OR(A869&lt;&gt;AR869),"DIFF","")</f>
        <v>DIFF</v>
      </c>
      <c r="AT869">
        <f>LEN(AR869)</f>
        <v>14</v>
      </c>
      <c r="AU869" s="216" t="str">
        <f>IF(D869="","",IF(OR(A869="",ISERROR(SEARCH("erstmals 201",D869))),D869,LEFT(D869,SEARCH("erstmals 201",D869)+8) &amp; AH869 &amp; MID(D869,SEARCH("erstmals 201",D869)+13,255)))</f>
        <v>0,5-5 MW, Bonusregeln a2, b und K erstmals 2012</v>
      </c>
      <c r="AV869" s="215" t="str">
        <f>IF(OR(D869&lt;&gt;AU869),"DIFF","")</f>
        <v>DIFF</v>
      </c>
      <c r="AW869" s="216" t="str">
        <f>IF(E869="","",IF(OR(E869="",ISERROR(SEARCH("erstmals 201",E869))),E869,LEFT(E869,SEARCH("erstmals 201",E869)+8) &amp; AH869 &amp; MID(E869,SEARCH("erstmals 201",E869)+13,255)))</f>
        <v>Anteil KWK, erstmals 2012</v>
      </c>
      <c r="AX869" s="215" t="str">
        <f>IF(OR(E869&lt;&gt;AW869),"DIFF","")</f>
        <v>DIFF</v>
      </c>
      <c r="AY869" t="str">
        <f>IF(AH869="2011","x",IF(AH869="2012","","" &amp; S869))</f>
        <v/>
      </c>
      <c r="AZ869" t="str">
        <f>IF(AH869="2012","x",IF(AH869="2011","","" &amp; T869))</f>
        <v>x</v>
      </c>
    </row>
    <row r="870" spans="1:52" x14ac:dyDescent="0.25">
      <c r="A870" s="615" t="s">
        <v>956</v>
      </c>
      <c r="B870" s="372" t="s">
        <v>5548</v>
      </c>
      <c r="C870" s="372" t="s">
        <v>4809</v>
      </c>
      <c r="D870" s="375" t="s">
        <v>7368</v>
      </c>
      <c r="E870" s="375" t="s">
        <v>2827</v>
      </c>
      <c r="F870" s="461">
        <f t="shared" si="397"/>
        <v>11.280000000000001</v>
      </c>
      <c r="G870" s="535">
        <f t="shared" si="400"/>
        <v>11.280000000000001</v>
      </c>
      <c r="H870" s="493">
        <f t="shared" si="398"/>
        <v>9.02</v>
      </c>
      <c r="I870" s="711"/>
      <c r="J870" s="669" t="s">
        <v>5805</v>
      </c>
      <c r="K870" s="15"/>
      <c r="M870" s="49">
        <f t="shared" si="399"/>
        <v>11.280000000000001</v>
      </c>
      <c r="N870" s="41">
        <v>8.4</v>
      </c>
      <c r="O870" s="391"/>
      <c r="P870" s="392" t="s">
        <v>2828</v>
      </c>
      <c r="Q870" s="392"/>
      <c r="R870" s="392">
        <v>2013</v>
      </c>
      <c r="S870" s="392"/>
      <c r="T870" s="324">
        <v>2.88</v>
      </c>
      <c r="U870" s="75"/>
      <c r="V870" s="65"/>
      <c r="W870" s="65"/>
      <c r="X870" s="65"/>
      <c r="Y870" s="65"/>
      <c r="Z870" s="65"/>
      <c r="AA870" s="65"/>
      <c r="AB870" s="65"/>
      <c r="AC870" s="65"/>
      <c r="AD870" s="91"/>
      <c r="AE870" s="196"/>
      <c r="AF870" s="65"/>
      <c r="AG870" s="91"/>
      <c r="AH870" s="217" t="s">
        <v>4179</v>
      </c>
      <c r="AI870" s="214" t="str">
        <f>IF(AND($AH870&lt;&gt;"",AH870 =AH884),"Gleich","")</f>
        <v/>
      </c>
      <c r="AJ870" s="214" t="str">
        <f>IF(AND($AH870&lt;&gt;"",A870 =A884),"Gleich","")</f>
        <v/>
      </c>
      <c r="AK870" s="214" t="str">
        <f t="shared" si="401"/>
        <v/>
      </c>
      <c r="AL870" s="214" t="str">
        <f t="shared" si="401"/>
        <v/>
      </c>
      <c r="AM870" s="214" t="str">
        <f t="shared" si="401"/>
        <v/>
      </c>
      <c r="AN870" s="213" t="str">
        <f>IF(ISERROR(SEARCH("K1",A870)),"","20"&amp;MID(A870,SEARCH("K1",A870)+1,2))</f>
        <v>2013</v>
      </c>
      <c r="AO870" s="213" t="str">
        <f>IF(ISERROR(SEARCH("erstmals 201",E870)),"",MID(E870,SEARCH("erstmals ",E870)+9,4))</f>
        <v>2013</v>
      </c>
      <c r="AP870" s="213" t="str">
        <f>IF(R870="x","2010",IF(S870="x","2011",IF(T870="x","2012","")))</f>
        <v/>
      </c>
      <c r="AQ870" s="215" t="str">
        <f>IF(OR(AH870&lt;&gt;AN870,AH870&lt;&gt;AO870,AH870&lt;&gt;AP870),"DIFF","")</f>
        <v>DIFF</v>
      </c>
      <c r="AR870" s="216" t="str">
        <f>IF(A870="","",IF(ISERROR(SEARCH("K1",A870)),A870,LEFT(A870,SEARCH("K1",A870)+1)&amp;RIGHT(AH870,1)&amp;MID(A870,SEARCH("K1",A870)+3,14)))</f>
        <v>BiK84K12----04</v>
      </c>
      <c r="AS870" s="215" t="str">
        <f>IF(OR(A870&lt;&gt;AR870),"DIFF","")</f>
        <v>DIFF</v>
      </c>
      <c r="AT870">
        <f>LEN(AR870)</f>
        <v>14</v>
      </c>
      <c r="AU870" s="216" t="str">
        <f>IF(D870="","",IF(OR(A870="",ISERROR(SEARCH("erstmals 201",D870))),D870,LEFT(D870,SEARCH("erstmals 201",D870)+8) &amp; AH870 &amp; MID(D870,SEARCH("erstmals 201",D870)+13,255)))</f>
        <v>5-20 MW, Bonusregel K erstmals 2012</v>
      </c>
      <c r="AV870" s="215" t="str">
        <f>IF(OR(D870&lt;&gt;AU870),"DIFF","")</f>
        <v>DIFF</v>
      </c>
      <c r="AW870" s="216" t="str">
        <f>IF(E870="","",IF(OR(E870="",ISERROR(SEARCH("erstmals 201",E870))),E870,LEFT(E870,SEARCH("erstmals 201",E870)+8) &amp; AH870 &amp; MID(E870,SEARCH("erstmals 201",E870)+13,255)))</f>
        <v>Anteil KWK, erstmals 2012</v>
      </c>
      <c r="AX870" s="215" t="str">
        <f>IF(OR(E870&lt;&gt;AW870),"DIFF","")</f>
        <v>DIFF</v>
      </c>
      <c r="AY870" t="str">
        <f>IF(AH870="2011","x",IF(AH870="2012","","" &amp; S870))</f>
        <v/>
      </c>
      <c r="AZ870" t="str">
        <f>IF(AH870="2012","x",IF(AH870="2011","","" &amp; T870))</f>
        <v>x</v>
      </c>
    </row>
    <row r="871" spans="1:52" x14ac:dyDescent="0.25">
      <c r="A871" s="615" t="s">
        <v>5621</v>
      </c>
      <c r="B871" s="375" t="s">
        <v>5548</v>
      </c>
      <c r="C871" s="375" t="s">
        <v>4809</v>
      </c>
      <c r="D871" s="375" t="s">
        <v>5812</v>
      </c>
      <c r="E871" s="375" t="s">
        <v>314</v>
      </c>
      <c r="F871" s="461">
        <f t="shared" si="397"/>
        <v>26.520000000000003</v>
      </c>
      <c r="G871" s="535">
        <f t="shared" si="400"/>
        <v>26.520000000000003</v>
      </c>
      <c r="H871" s="493">
        <f t="shared" si="398"/>
        <v>21.22</v>
      </c>
      <c r="I871" s="711"/>
      <c r="J871" s="669" t="s">
        <v>5805</v>
      </c>
      <c r="M871" s="49">
        <f t="shared" si="399"/>
        <v>26.520000000000003</v>
      </c>
      <c r="N871" s="41">
        <v>11.67</v>
      </c>
      <c r="O871" s="391"/>
      <c r="P871" s="392" t="s">
        <v>2828</v>
      </c>
      <c r="Q871" s="392"/>
      <c r="R871" s="392">
        <v>2014</v>
      </c>
      <c r="S871" s="392"/>
      <c r="T871" s="324">
        <v>2.85</v>
      </c>
      <c r="U871" s="185" t="s">
        <v>1017</v>
      </c>
      <c r="V871" s="184"/>
      <c r="W871" s="180"/>
      <c r="X871" s="180"/>
      <c r="Y871" s="178"/>
      <c r="Z871" s="184" t="s">
        <v>1017</v>
      </c>
      <c r="AA871" s="180"/>
      <c r="AB871" s="184"/>
      <c r="AC871" s="184"/>
      <c r="AD871" s="201"/>
      <c r="AE871" s="181"/>
      <c r="AF871" s="180"/>
      <c r="AG871" s="201"/>
    </row>
    <row r="872" spans="1:52" s="178" customFormat="1" x14ac:dyDescent="0.25">
      <c r="A872" s="615" t="s">
        <v>5620</v>
      </c>
      <c r="B872" s="375" t="s">
        <v>5548</v>
      </c>
      <c r="C872" s="375" t="s">
        <v>4809</v>
      </c>
      <c r="D872" s="375" t="s">
        <v>5813</v>
      </c>
      <c r="E872" s="375" t="s">
        <v>314</v>
      </c>
      <c r="F872" s="461">
        <f t="shared" si="397"/>
        <v>21.75</v>
      </c>
      <c r="G872" s="535">
        <f t="shared" si="400"/>
        <v>21.75</v>
      </c>
      <c r="H872" s="493">
        <f t="shared" si="398"/>
        <v>17.399999999999999</v>
      </c>
      <c r="I872" s="711"/>
      <c r="J872" s="669" t="s">
        <v>5805</v>
      </c>
      <c r="K872" s="15"/>
      <c r="L872"/>
      <c r="M872" s="49">
        <f t="shared" si="399"/>
        <v>21.75</v>
      </c>
      <c r="N872" s="41">
        <v>9.9</v>
      </c>
      <c r="O872" s="391"/>
      <c r="P872" s="392" t="s">
        <v>2828</v>
      </c>
      <c r="Q872" s="392"/>
      <c r="R872" s="392">
        <v>2014</v>
      </c>
      <c r="S872" s="392"/>
      <c r="T872" s="324">
        <v>2.85</v>
      </c>
      <c r="U872" s="185" t="s">
        <v>1017</v>
      </c>
      <c r="V872" s="184"/>
      <c r="W872" s="180"/>
      <c r="X872" s="180"/>
      <c r="Z872" s="180"/>
      <c r="AA872" s="184" t="s">
        <v>1017</v>
      </c>
      <c r="AB872" s="184"/>
      <c r="AC872" s="180"/>
      <c r="AD872" s="182"/>
      <c r="AE872" s="181"/>
      <c r="AF872" s="180"/>
      <c r="AG872" s="201"/>
      <c r="AH872" s="217" t="s">
        <v>4179</v>
      </c>
      <c r="AI872" s="214" t="str">
        <f>IF(AND($AH872&lt;&gt;"",AH872 =AH871),"Gleich","")</f>
        <v/>
      </c>
      <c r="AJ872" s="214" t="str">
        <f>IF(AND($AH872&lt;&gt;"",A872 =A871),"Gleich","")</f>
        <v/>
      </c>
      <c r="AK872" s="214" t="str">
        <f>IF(AND($AH872&lt;&gt;"",D872 =D871),"Gleich","")</f>
        <v/>
      </c>
      <c r="AL872" s="214" t="str">
        <f>IF(AND($AH872&lt;&gt;"",E872 =E871),"Gleich","")</f>
        <v>Gleich</v>
      </c>
      <c r="AM872" s="214" t="str">
        <f>IF(AND($AH872&lt;&gt;"",F872 =F871),"Gleich","")</f>
        <v/>
      </c>
      <c r="AN872" s="213" t="str">
        <f>IF(ISERROR(SEARCH("K1",A872)),"","20"&amp;MID(A872,SEARCH("K1",A872)+1,2))</f>
        <v>2014</v>
      </c>
      <c r="AO872" s="213" t="str">
        <f>IF(ISERROR(SEARCH("erstmals 201",E872)),"",MID(E872,SEARCH("erstmals ",E872)+9,4))</f>
        <v>2014</v>
      </c>
      <c r="AP872" s="213" t="str">
        <f>IF(R872="x","2010",IF(S872="x","2011",IF(T872="x","2012","")))</f>
        <v/>
      </c>
      <c r="AQ872" s="215" t="str">
        <f>IF(OR(AH872&lt;&gt;AN872,AH872&lt;&gt;AO872,AH872&lt;&gt;AP872),"DIFF","")</f>
        <v>DIFF</v>
      </c>
      <c r="AR872" s="216" t="str">
        <f>IF(A872="","",IF(ISERROR(SEARCH("K1",A872)),A872,LEFT(A872,SEARCH("K1",A872)+1)&amp;RIGHT(AH872,1)&amp;MID(A872,SEARCH("K1",A872)+3,14)))</f>
        <v>BiK82M2K12y-04</v>
      </c>
      <c r="AS872" s="215" t="str">
        <f>IF(OR(A872&lt;&gt;AR872),"DIFF","")</f>
        <v>DIFF</v>
      </c>
      <c r="AT872">
        <f>LEN(AR872)</f>
        <v>14</v>
      </c>
      <c r="AU872" s="216" t="str">
        <f>IF(D872="","",IF(OR(A872="",ISERROR(SEARCH("erstmals 201",D872))),D872,LEFT(D872,SEARCH("erstmals 201",D872)+8) &amp; AH872 &amp; MID(D872,SEARCH("erstmals 201",D872)+13,255)))</f>
        <v>0,15-0,5 MW, Bonusregeln M2, y und K erstmals 2012</v>
      </c>
      <c r="AV872" s="215" t="str">
        <f>IF(OR(D872&lt;&gt;AU872),"DIFF","")</f>
        <v>DIFF</v>
      </c>
      <c r="AW872" s="216" t="str">
        <f>IF(E872="","",IF(OR(E872="",ISERROR(SEARCH("erstmals 201",E872))),E872,LEFT(E872,SEARCH("erstmals 201",E872)+8) &amp; AH872 &amp; MID(E872,SEARCH("erstmals 201",E872)+13,255)))</f>
        <v>Anteil KWK, erstmals 2012</v>
      </c>
      <c r="AX872" s="215" t="str">
        <f>IF(OR(E872&lt;&gt;AW872),"DIFF","")</f>
        <v>DIFF</v>
      </c>
      <c r="AY872" t="str">
        <f>IF(AH872="2011","x",IF(AH872="2012","","" &amp; S872))</f>
        <v/>
      </c>
      <c r="AZ872" t="str">
        <f>IF(AH872="2012","x",IF(AH872="2011","","" &amp; T872))</f>
        <v>x</v>
      </c>
    </row>
    <row r="873" spans="1:52" x14ac:dyDescent="0.25">
      <c r="A873" s="615" t="s">
        <v>5638</v>
      </c>
      <c r="B873" s="375" t="s">
        <v>5548</v>
      </c>
      <c r="C873" s="375" t="s">
        <v>4809</v>
      </c>
      <c r="D873" s="375" t="s">
        <v>6863</v>
      </c>
      <c r="E873" s="375" t="s">
        <v>5625</v>
      </c>
      <c r="F873" s="461">
        <f t="shared" si="397"/>
        <v>26.490000000000002</v>
      </c>
      <c r="G873" s="535">
        <f t="shared" si="400"/>
        <v>26.490000000000002</v>
      </c>
      <c r="H873" s="493">
        <f t="shared" si="398"/>
        <v>21.19</v>
      </c>
      <c r="I873" s="711"/>
      <c r="J873" s="669" t="s">
        <v>5805</v>
      </c>
      <c r="M873" s="49">
        <f t="shared" si="399"/>
        <v>26.490000000000002</v>
      </c>
      <c r="N873" s="41">
        <v>11.67</v>
      </c>
      <c r="O873" s="391"/>
      <c r="P873" s="392" t="s">
        <v>2828</v>
      </c>
      <c r="Q873" s="392"/>
      <c r="R873" s="392">
        <v>2015</v>
      </c>
      <c r="S873" s="392"/>
      <c r="T873" s="324">
        <v>2.82</v>
      </c>
      <c r="U873" s="185" t="s">
        <v>1017</v>
      </c>
      <c r="V873" s="184"/>
      <c r="W873" s="180"/>
      <c r="X873" s="180"/>
      <c r="Y873" s="178"/>
      <c r="Z873" s="184" t="s">
        <v>1017</v>
      </c>
      <c r="AA873" s="180"/>
      <c r="AB873" s="184"/>
      <c r="AC873" s="184"/>
      <c r="AD873" s="201"/>
      <c r="AE873" s="181"/>
      <c r="AF873" s="180"/>
      <c r="AG873" s="201"/>
    </row>
    <row r="874" spans="1:52" s="178" customFormat="1" x14ac:dyDescent="0.25">
      <c r="A874" s="615" t="s">
        <v>5639</v>
      </c>
      <c r="B874" s="375" t="s">
        <v>5548</v>
      </c>
      <c r="C874" s="375" t="s">
        <v>4809</v>
      </c>
      <c r="D874" s="375" t="s">
        <v>7088</v>
      </c>
      <c r="E874" s="375" t="s">
        <v>5625</v>
      </c>
      <c r="F874" s="461">
        <f t="shared" si="397"/>
        <v>21.72</v>
      </c>
      <c r="G874" s="535">
        <f t="shared" si="400"/>
        <v>21.72</v>
      </c>
      <c r="H874" s="493">
        <f t="shared" si="398"/>
        <v>17.38</v>
      </c>
      <c r="I874" s="711"/>
      <c r="J874" s="669" t="s">
        <v>5805</v>
      </c>
      <c r="K874" s="15"/>
      <c r="L874"/>
      <c r="M874" s="49">
        <f t="shared" si="399"/>
        <v>21.72</v>
      </c>
      <c r="N874" s="41">
        <v>9.9</v>
      </c>
      <c r="O874" s="391"/>
      <c r="P874" s="392" t="s">
        <v>2828</v>
      </c>
      <c r="Q874" s="392"/>
      <c r="R874" s="392">
        <v>2015</v>
      </c>
      <c r="S874" s="392"/>
      <c r="T874" s="324">
        <v>2.82</v>
      </c>
      <c r="U874" s="185" t="s">
        <v>1017</v>
      </c>
      <c r="V874" s="184"/>
      <c r="W874" s="180"/>
      <c r="X874" s="180"/>
      <c r="Z874" s="180"/>
      <c r="AA874" s="184" t="s">
        <v>1017</v>
      </c>
      <c r="AB874" s="184"/>
      <c r="AC874" s="180"/>
      <c r="AD874" s="182"/>
      <c r="AE874" s="181"/>
      <c r="AF874" s="180"/>
      <c r="AG874" s="201"/>
      <c r="AH874" s="217" t="s">
        <v>4179</v>
      </c>
      <c r="AI874" s="214" t="str">
        <f>IF(AND($AH874&lt;&gt;"",AH874 =AH873),"Gleich","")</f>
        <v/>
      </c>
      <c r="AJ874" s="214" t="str">
        <f>IF(AND($AH874&lt;&gt;"",A874 =A873),"Gleich","")</f>
        <v/>
      </c>
      <c r="AK874" s="214" t="str">
        <f t="shared" ref="AK874:AM875" si="402">IF(AND($AH874&lt;&gt;"",D874 =D873),"Gleich","")</f>
        <v/>
      </c>
      <c r="AL874" s="214" t="str">
        <f t="shared" si="402"/>
        <v>Gleich</v>
      </c>
      <c r="AM874" s="214" t="str">
        <f t="shared" si="402"/>
        <v/>
      </c>
      <c r="AN874" s="213" t="str">
        <f>IF(ISERROR(SEARCH("K1",A874)),"","20"&amp;MID(A874,SEARCH("K1",A874)+1,2))</f>
        <v>2015</v>
      </c>
      <c r="AO874" s="213" t="str">
        <f>IF(ISERROR(SEARCH("erstmals 201",E874)),"",MID(E874,SEARCH("erstmals ",E874)+9,4))</f>
        <v>2015</v>
      </c>
      <c r="AP874" s="213" t="str">
        <f>IF(R874="x","2010",IF(S874="x","2011",IF(T874="x","2012","")))</f>
        <v/>
      </c>
      <c r="AQ874" s="215" t="str">
        <f>IF(OR(AH874&lt;&gt;AN874,AH874&lt;&gt;AO874,AH874&lt;&gt;AP874),"DIFF","")</f>
        <v>DIFF</v>
      </c>
      <c r="AR874" s="216" t="str">
        <f>IF(A874="","",IF(ISERROR(SEARCH("K1",A874)),A874,LEFT(A874,SEARCH("K1",A874)+1)&amp;RIGHT(AH874,1)&amp;MID(A874,SEARCH("K1",A874)+3,14)))</f>
        <v>BiK82M2K12y-04</v>
      </c>
      <c r="AS874" s="215" t="str">
        <f>IF(OR(A874&lt;&gt;AR874),"DIFF","")</f>
        <v>DIFF</v>
      </c>
      <c r="AT874">
        <f>LEN(AR874)</f>
        <v>14</v>
      </c>
      <c r="AU874" s="216" t="str">
        <f>IF(D874="","",IF(OR(A874="",ISERROR(SEARCH("erstmals 201",D874))),D874,LEFT(D874,SEARCH("erstmals 201",D874)+8) &amp; AH874 &amp; MID(D874,SEARCH("erstmals 201",D874)+13,255)))</f>
        <v>0,15-0,5 MW, Bonusregeln M2, y und K erstmals 2012</v>
      </c>
      <c r="AV874" s="215" t="str">
        <f>IF(OR(D874&lt;&gt;AU874),"DIFF","")</f>
        <v>DIFF</v>
      </c>
      <c r="AW874" s="216" t="str">
        <f>IF(E874="","",IF(OR(E874="",ISERROR(SEARCH("erstmals 201",E874))),E874,LEFT(E874,SEARCH("erstmals 201",E874)+8) &amp; AH874 &amp; MID(E874,SEARCH("erstmals 201",E874)+13,255)))</f>
        <v>Anteil KWK, erstmals 2012</v>
      </c>
      <c r="AX874" s="215" t="str">
        <f>IF(OR(E874&lt;&gt;AW874),"DIFF","")</f>
        <v>DIFF</v>
      </c>
      <c r="AY874" t="str">
        <f>IF(AH874="2011","x",IF(AH874="2012","","" &amp; S874))</f>
        <v/>
      </c>
      <c r="AZ874" t="str">
        <f>IF(AH874="2012","x",IF(AH874="2011","","" &amp; T874))</f>
        <v>x</v>
      </c>
    </row>
    <row r="875" spans="1:52" s="178" customFormat="1" x14ac:dyDescent="0.25">
      <c r="A875" s="615" t="s">
        <v>5797</v>
      </c>
      <c r="B875" s="375" t="s">
        <v>5548</v>
      </c>
      <c r="C875" s="375" t="s">
        <v>4809</v>
      </c>
      <c r="D875" s="375" t="s">
        <v>6771</v>
      </c>
      <c r="E875" s="375" t="s">
        <v>5625</v>
      </c>
      <c r="F875" s="461">
        <f t="shared" si="397"/>
        <v>11.72</v>
      </c>
      <c r="G875" s="535">
        <f t="shared" si="400"/>
        <v>11.72</v>
      </c>
      <c r="H875" s="493">
        <f t="shared" si="398"/>
        <v>9.3800000000000008</v>
      </c>
      <c r="I875" s="711"/>
      <c r="J875" s="669" t="s">
        <v>5805</v>
      </c>
      <c r="K875" s="15"/>
      <c r="L875"/>
      <c r="M875" s="49">
        <f t="shared" si="399"/>
        <v>11.72</v>
      </c>
      <c r="N875" s="41">
        <v>8.9</v>
      </c>
      <c r="O875" s="391"/>
      <c r="P875" s="392" t="s">
        <v>2828</v>
      </c>
      <c r="Q875" s="392"/>
      <c r="R875" s="392">
        <v>2015</v>
      </c>
      <c r="S875" s="392"/>
      <c r="T875" s="324">
        <v>2.82</v>
      </c>
      <c r="U875" s="75"/>
      <c r="V875" s="65"/>
      <c r="W875"/>
      <c r="X875"/>
      <c r="Y875" s="65"/>
      <c r="Z875" s="65"/>
      <c r="AA875" s="65"/>
      <c r="AB875" s="65"/>
      <c r="AC875" s="65"/>
      <c r="AD875" s="91"/>
      <c r="AE875" s="124"/>
      <c r="AF875" s="65"/>
      <c r="AG875" s="91"/>
      <c r="AH875" s="217" t="s">
        <v>4179</v>
      </c>
      <c r="AI875" s="214" t="str">
        <f>IF(AND($AH875&lt;&gt;"",AH875 =AH874),"Gleich","")</f>
        <v>Gleich</v>
      </c>
      <c r="AJ875" s="214" t="str">
        <f>IF(AND($AH875&lt;&gt;"",A875 =A874),"Gleich","")</f>
        <v/>
      </c>
      <c r="AK875" s="214" t="str">
        <f t="shared" si="402"/>
        <v/>
      </c>
      <c r="AL875" s="214" t="str">
        <f t="shared" si="402"/>
        <v>Gleich</v>
      </c>
      <c r="AM875" s="214" t="str">
        <f t="shared" si="402"/>
        <v/>
      </c>
      <c r="AN875" s="213" t="str">
        <f>IF(ISERROR(SEARCH("K1",A875)),"","20"&amp;MID(A875,SEARCH("K1",A875)+1,2))</f>
        <v>2015</v>
      </c>
      <c r="AO875" s="213" t="str">
        <f>IF(ISERROR(SEARCH("erstmals 201",E875)),"",MID(E875,SEARCH("erstmals ",E875)+9,4))</f>
        <v>2015</v>
      </c>
      <c r="AP875" s="213" t="str">
        <f>IF(R875="x","2010",IF(S875="x","2011",IF(T875="x","2012","")))</f>
        <v/>
      </c>
      <c r="AQ875" s="215" t="str">
        <f>IF(OR(AH875&lt;&gt;AN875,AH875&lt;&gt;AO875,AH875&lt;&gt;AP875),"DIFF","")</f>
        <v>DIFF</v>
      </c>
      <c r="AR875" s="216" t="str">
        <f>IF(A875="","",IF(ISERROR(SEARCH("K1",A875)),A875,LEFT(A875,SEARCH("K1",A875)+1)&amp;RIGHT(AH875,1)&amp;MID(A875,SEARCH("K1",A875)+3,14)))</f>
        <v>BiK83K12----04</v>
      </c>
      <c r="AS875" s="215" t="str">
        <f>IF(OR(A875&lt;&gt;AR875),"DIFF","")</f>
        <v>DIFF</v>
      </c>
      <c r="AT875">
        <f>LEN(AR875)</f>
        <v>14</v>
      </c>
      <c r="AU875" s="216" t="str">
        <f>IF(D875="","",IF(OR(A875="",ISERROR(SEARCH("erstmals 201",D875))),D875,LEFT(D875,SEARCH("erstmals 201",D875)+8) &amp; AH875 &amp; MID(D875,SEARCH("erstmals 201",D875)+13,255)))</f>
        <v>0,5-5 MW, Bonusregel K erstmals 2012</v>
      </c>
      <c r="AV875" s="215" t="str">
        <f>IF(OR(D875&lt;&gt;AU875),"DIFF","")</f>
        <v>DIFF</v>
      </c>
      <c r="AW875" s="216" t="str">
        <f>IF(E875="","",IF(OR(E875="",ISERROR(SEARCH("erstmals 201",E875))),E875,LEFT(E875,SEARCH("erstmals 201",E875)+8) &amp; AH875 &amp; MID(E875,SEARCH("erstmals 201",E875)+13,255)))</f>
        <v>Anteil KWK, erstmals 2012</v>
      </c>
      <c r="AX875" s="215" t="str">
        <f>IF(OR(E875&lt;&gt;AW875),"DIFF","")</f>
        <v>DIFF</v>
      </c>
      <c r="AY875" t="str">
        <f>IF(AH875="2011","x",IF(AH875="2012","","" &amp; S875))</f>
        <v/>
      </c>
      <c r="AZ875" t="str">
        <f>IF(AH875="2012","x",IF(AH875="2011","","" &amp; T875))</f>
        <v>x</v>
      </c>
    </row>
    <row r="876" spans="1:52" s="178" customFormat="1" x14ac:dyDescent="0.25">
      <c r="A876" s="615" t="s">
        <v>6169</v>
      </c>
      <c r="B876" s="375" t="s">
        <v>5548</v>
      </c>
      <c r="C876" s="375" t="s">
        <v>4809</v>
      </c>
      <c r="D876" s="375" t="s">
        <v>6772</v>
      </c>
      <c r="E876" s="375" t="s">
        <v>5807</v>
      </c>
      <c r="F876" s="459">
        <f t="shared" si="397"/>
        <v>11.7</v>
      </c>
      <c r="G876" s="535">
        <f t="shared" si="400"/>
        <v>11.7</v>
      </c>
      <c r="H876" s="493">
        <f t="shared" si="398"/>
        <v>9.36</v>
      </c>
      <c r="I876" s="711"/>
      <c r="J876" s="669">
        <v>42859</v>
      </c>
      <c r="K876" s="15"/>
      <c r="L876"/>
      <c r="M876" s="49">
        <f t="shared" si="399"/>
        <v>11.7</v>
      </c>
      <c r="N876" s="41">
        <v>8.9</v>
      </c>
      <c r="O876" s="391"/>
      <c r="P876" s="392" t="s">
        <v>2828</v>
      </c>
      <c r="Q876" s="392"/>
      <c r="R876" s="392">
        <v>2016</v>
      </c>
      <c r="S876" s="392" t="s">
        <v>4180</v>
      </c>
      <c r="T876" s="674">
        <v>2.8</v>
      </c>
      <c r="U876" s="75"/>
      <c r="V876" s="65"/>
      <c r="W876"/>
      <c r="X876"/>
      <c r="Y876" s="65"/>
      <c r="Z876" s="65"/>
      <c r="AA876" s="65"/>
      <c r="AB876" s="65"/>
      <c r="AC876" s="65"/>
      <c r="AD876" s="91"/>
      <c r="AE876" s="124"/>
      <c r="AF876" s="65"/>
      <c r="AG876" s="91"/>
      <c r="AH876" s="217" t="str">
        <f>IF(ISERROR(SEARCH("K erstmals 201",D876)),"",RIGHT(D876,4))</f>
        <v>2016</v>
      </c>
      <c r="AI876" s="214" t="str">
        <f>IF(AND($AH876&lt;&gt;"",AH876 =AH861),"Gleich","")</f>
        <v/>
      </c>
      <c r="AJ876" s="214" t="str">
        <f>IF(AND($AH876&lt;&gt;"",A876 =A861),"Gleich","")</f>
        <v/>
      </c>
      <c r="AK876" s="214" t="str">
        <f>IF(AND($AH876&lt;&gt;"",D876 =D861),"Gleich","")</f>
        <v/>
      </c>
      <c r="AL876" s="214" t="str">
        <f>IF(AND($AH876&lt;&gt;"",E876 =E861),"Gleich","")</f>
        <v/>
      </c>
      <c r="AM876" s="214" t="str">
        <f>IF(AND($AH876&lt;&gt;"",F876 =F861),"Gleich","")</f>
        <v/>
      </c>
      <c r="AN876" s="213" t="str">
        <f>IF(ISERROR(SEARCH("K1",A876)),"","20"&amp;MID(A876,SEARCH("K1",A876)+1,2))</f>
        <v>2016</v>
      </c>
      <c r="AO876" s="213" t="str">
        <f>IF(ISERROR(SEARCH("erstmals 201",E876)),"",MID(E876,SEARCH("erstmals ",E876)+9,4))</f>
        <v>2016</v>
      </c>
      <c r="AP876" s="213" t="str">
        <f>IF(R876="x","2010",IF(S876="x","2011",IF(T876="x","2012","")))</f>
        <v/>
      </c>
      <c r="AQ876" s="215" t="str">
        <f>IF(OR(AH876&lt;&gt;AN876,AH876&lt;&gt;AO876,AH876&lt;&gt;AP876),"DIFF","")</f>
        <v>DIFF</v>
      </c>
      <c r="AR876" s="216" t="str">
        <f>IF(A876="","",IF(ISERROR(SEARCH("K1",A876)),A876,LEFT(A876,SEARCH("K1",A876)+1)&amp;RIGHT(AH876,1)&amp;MID(A876,SEARCH("K1",A876)+3,14)))</f>
        <v>BiK83K16----04</v>
      </c>
      <c r="AS876" s="215" t="str">
        <f>IF(OR(A876&lt;&gt;AR876),"DIFF","")</f>
        <v/>
      </c>
      <c r="AT876">
        <f>LEN(AR876)</f>
        <v>14</v>
      </c>
      <c r="AU876" s="216" t="str">
        <f>IF(D876="","",IF(OR(A876="",ISERROR(SEARCH("erstmals 201",D876))),D876,LEFT(D876,SEARCH("erstmals 201",D876)+8) &amp; AH876 &amp; MID(D876,SEARCH("erstmals 201",D876)+13,255)))</f>
        <v>0,5-5 MW, Bonusregel K erstmals 2016</v>
      </c>
      <c r="AV876" s="215" t="str">
        <f>IF(OR(D876&lt;&gt;AU876),"DIFF","")</f>
        <v/>
      </c>
      <c r="AW876" s="216" t="str">
        <f>IF(E876="","",IF(OR(E876="",ISERROR(SEARCH("erstmals 201",E876))),E876,LEFT(E876,SEARCH("erstmals 201",E876)+8) &amp; AH876 &amp; MID(E876,SEARCH("erstmals 201",E876)+13,255)))</f>
        <v>Anteil KWK, erstmals 2016</v>
      </c>
      <c r="AX876" s="215" t="str">
        <f>IF(OR(E876&lt;&gt;AW876),"DIFF","")</f>
        <v/>
      </c>
      <c r="AY876" t="str">
        <f>IF(AH876="2011","x",IF(AH876="2012","","" &amp; S876))</f>
        <v/>
      </c>
      <c r="AZ876" t="str">
        <f>IF(AH876="2012","x",IF(AH876="2011","","" &amp; T876))</f>
        <v>2,8</v>
      </c>
    </row>
    <row r="877" spans="1:52" s="178" customFormat="1" x14ac:dyDescent="0.25">
      <c r="A877" s="615" t="s">
        <v>6354</v>
      </c>
      <c r="B877" s="375" t="s">
        <v>5548</v>
      </c>
      <c r="C877" s="375" t="s">
        <v>4809</v>
      </c>
      <c r="D877" s="375" t="s">
        <v>6804</v>
      </c>
      <c r="E877" s="375" t="s">
        <v>6158</v>
      </c>
      <c r="F877" s="459">
        <f t="shared" si="397"/>
        <v>11.67</v>
      </c>
      <c r="G877" s="535">
        <f t="shared" si="400"/>
        <v>11.67</v>
      </c>
      <c r="H877" s="493">
        <f t="shared" si="398"/>
        <v>9.34</v>
      </c>
      <c r="I877" s="711"/>
      <c r="J877" s="669">
        <v>43318</v>
      </c>
      <c r="K877" s="769"/>
      <c r="L877" s="774"/>
      <c r="M877" s="49">
        <f t="shared" si="399"/>
        <v>11.67</v>
      </c>
      <c r="N877" s="41">
        <v>8.9</v>
      </c>
      <c r="O877" s="391"/>
      <c r="P877" s="392" t="s">
        <v>2828</v>
      </c>
      <c r="Q877" s="392"/>
      <c r="R877" s="392">
        <v>2017</v>
      </c>
      <c r="S877" s="392"/>
      <c r="T877" s="674">
        <f>ROUND($Q$478*0.99^($R877-$Q$475),2)</f>
        <v>2.77</v>
      </c>
      <c r="U877" s="776"/>
      <c r="V877" s="775"/>
      <c r="W877" s="774"/>
      <c r="X877" s="774"/>
      <c r="Y877" s="775"/>
      <c r="Z877" s="775"/>
      <c r="AA877" s="775"/>
      <c r="AB877" s="775"/>
      <c r="AC877" s="775"/>
      <c r="AD877" s="777"/>
      <c r="AE877" s="778"/>
      <c r="AF877" s="775"/>
      <c r="AG877" s="777"/>
      <c r="AH877" s="773"/>
      <c r="AI877" s="771"/>
      <c r="AJ877" s="771"/>
      <c r="AK877" s="771"/>
      <c r="AL877" s="771"/>
      <c r="AM877" s="771"/>
      <c r="AN877" s="770"/>
      <c r="AO877" s="770"/>
      <c r="AP877" s="770" t="str">
        <f>IF(R877="x","2010",IF(S877="x","2011",IF(T877="x","2012","")))</f>
        <v/>
      </c>
      <c r="AQ877" s="772"/>
      <c r="AR877" s="216"/>
      <c r="AS877" s="772"/>
      <c r="AT877" s="774"/>
      <c r="AU877" s="216"/>
      <c r="AV877" s="772"/>
      <c r="AW877" s="216"/>
      <c r="AX877" s="772"/>
      <c r="AY877" s="774"/>
      <c r="AZ877" s="774"/>
    </row>
    <row r="878" spans="1:52" s="178" customFormat="1" x14ac:dyDescent="0.25">
      <c r="A878" s="615" t="s">
        <v>7522</v>
      </c>
      <c r="B878" s="375" t="s">
        <v>5548</v>
      </c>
      <c r="C878" s="375" t="s">
        <v>4809</v>
      </c>
      <c r="D878" s="375" t="s">
        <v>7511</v>
      </c>
      <c r="E878" s="375" t="s">
        <v>6158</v>
      </c>
      <c r="F878" s="459">
        <f t="shared" si="397"/>
        <v>15.44</v>
      </c>
      <c r="G878" s="535">
        <f t="shared" si="400"/>
        <v>15.44</v>
      </c>
      <c r="H878" s="493">
        <f t="shared" si="398"/>
        <v>12.35</v>
      </c>
      <c r="I878" s="711"/>
      <c r="J878" s="669">
        <v>44260</v>
      </c>
      <c r="K878" s="769"/>
      <c r="L878" s="774"/>
      <c r="M878" s="49">
        <f t="shared" si="399"/>
        <v>15.44</v>
      </c>
      <c r="N878" s="41">
        <v>11.67</v>
      </c>
      <c r="O878" s="391"/>
      <c r="P878" s="392" t="s">
        <v>2828</v>
      </c>
      <c r="Q878" s="392"/>
      <c r="R878" s="392">
        <v>2017</v>
      </c>
      <c r="S878" s="392"/>
      <c r="T878" s="674">
        <v>2.77</v>
      </c>
      <c r="U878" s="185" t="s">
        <v>1017</v>
      </c>
      <c r="V878" s="184"/>
      <c r="W878" s="180"/>
      <c r="X878" s="180"/>
      <c r="Y878" s="184"/>
      <c r="Z878" s="184"/>
      <c r="AA878" s="180"/>
      <c r="AB878" s="184"/>
      <c r="AC878" s="184"/>
      <c r="AD878" s="201"/>
      <c r="AE878" s="778"/>
      <c r="AF878" s="775"/>
      <c r="AG878" s="777"/>
      <c r="AH878" s="773"/>
      <c r="AI878" s="771"/>
      <c r="AJ878" s="771"/>
      <c r="AK878" s="771"/>
      <c r="AL878" s="771"/>
      <c r="AM878" s="771"/>
      <c r="AN878" s="770"/>
      <c r="AO878" s="770"/>
      <c r="AP878" s="770"/>
      <c r="AQ878" s="772"/>
      <c r="AR878" s="216"/>
      <c r="AS878" s="772"/>
      <c r="AT878" s="774"/>
      <c r="AU878" s="216"/>
      <c r="AV878" s="772"/>
      <c r="AW878" s="216"/>
      <c r="AX878" s="772"/>
      <c r="AY878" s="774"/>
      <c r="AZ878" s="774"/>
    </row>
    <row r="879" spans="1:52" s="178" customFormat="1" x14ac:dyDescent="0.25">
      <c r="A879" s="615" t="s">
        <v>7523</v>
      </c>
      <c r="B879" s="375" t="s">
        <v>5548</v>
      </c>
      <c r="C879" s="375" t="s">
        <v>4809</v>
      </c>
      <c r="D879" s="375" t="s">
        <v>7517</v>
      </c>
      <c r="E879" s="375" t="s">
        <v>6158</v>
      </c>
      <c r="F879" s="459">
        <f t="shared" si="397"/>
        <v>13.67</v>
      </c>
      <c r="G879" s="535">
        <f t="shared" si="400"/>
        <v>13.67</v>
      </c>
      <c r="H879" s="493">
        <f t="shared" si="398"/>
        <v>10.94</v>
      </c>
      <c r="I879" s="711"/>
      <c r="J879" s="669">
        <v>44260</v>
      </c>
      <c r="K879" s="769"/>
      <c r="L879" s="774"/>
      <c r="M879" s="49">
        <f t="shared" si="399"/>
        <v>13.67</v>
      </c>
      <c r="N879" s="41">
        <v>9.9</v>
      </c>
      <c r="O879" s="391"/>
      <c r="P879" s="392" t="s">
        <v>2828</v>
      </c>
      <c r="Q879" s="392"/>
      <c r="R879" s="392">
        <v>2017</v>
      </c>
      <c r="S879" s="392"/>
      <c r="T879" s="674">
        <v>2.77</v>
      </c>
      <c r="U879" s="185" t="s">
        <v>1017</v>
      </c>
      <c r="V879" s="184"/>
      <c r="W879" s="180"/>
      <c r="X879" s="180"/>
      <c r="Y879" s="184"/>
      <c r="Z879" s="180"/>
      <c r="AA879" s="184"/>
      <c r="AB879" s="184"/>
      <c r="AC879" s="180"/>
      <c r="AD879" s="182"/>
      <c r="AE879" s="778"/>
      <c r="AF879" s="775"/>
      <c r="AG879" s="777"/>
      <c r="AH879" s="773"/>
      <c r="AI879" s="771"/>
      <c r="AJ879" s="771"/>
      <c r="AK879" s="771"/>
      <c r="AL879" s="771"/>
      <c r="AM879" s="771"/>
      <c r="AN879" s="770"/>
      <c r="AO879" s="770"/>
      <c r="AP879" s="770"/>
      <c r="AQ879" s="772"/>
      <c r="AR879" s="216"/>
      <c r="AS879" s="772"/>
      <c r="AT879" s="774"/>
      <c r="AU879" s="216"/>
      <c r="AV879" s="772"/>
      <c r="AW879" s="216"/>
      <c r="AX879" s="772"/>
      <c r="AY879" s="774"/>
      <c r="AZ879" s="774"/>
    </row>
    <row r="880" spans="1:52" s="178" customFormat="1" x14ac:dyDescent="0.25">
      <c r="A880" s="615" t="s">
        <v>6614</v>
      </c>
      <c r="B880" s="375" t="s">
        <v>5548</v>
      </c>
      <c r="C880" s="375" t="s">
        <v>4809</v>
      </c>
      <c r="D880" s="375" t="s">
        <v>6994</v>
      </c>
      <c r="E880" s="375" t="s">
        <v>6615</v>
      </c>
      <c r="F880" s="459">
        <f t="shared" si="397"/>
        <v>25.360000000000003</v>
      </c>
      <c r="G880" s="535">
        <f t="shared" si="400"/>
        <v>25.360000000000003</v>
      </c>
      <c r="H880" s="493">
        <f t="shared" si="398"/>
        <v>20.29</v>
      </c>
      <c r="I880" s="711"/>
      <c r="J880" s="669">
        <v>43951</v>
      </c>
      <c r="K880" s="15"/>
      <c r="L880"/>
      <c r="M880" s="49">
        <f t="shared" si="399"/>
        <v>25.360000000000003</v>
      </c>
      <c r="N880" s="41">
        <v>11.67</v>
      </c>
      <c r="O880" s="787"/>
      <c r="P880" s="788" t="s">
        <v>2828</v>
      </c>
      <c r="Q880" s="685"/>
      <c r="R880" s="788">
        <v>2020</v>
      </c>
      <c r="S880" s="685" t="s">
        <v>4180</v>
      </c>
      <c r="T880" s="674">
        <f>ROUND($Q$478*0.99^($R880-$Q$475),2)</f>
        <v>2.69</v>
      </c>
      <c r="U880" s="55"/>
      <c r="V880"/>
      <c r="W880" s="180"/>
      <c r="X880" s="180"/>
      <c r="Z880" s="184" t="s">
        <v>1017</v>
      </c>
      <c r="AA880" s="180"/>
      <c r="AB880" s="184"/>
      <c r="AC880" s="184"/>
      <c r="AD880" s="201"/>
      <c r="AE880" s="124"/>
      <c r="AF880" s="180"/>
      <c r="AG880" s="201"/>
      <c r="AH880" s="217"/>
      <c r="AI880" s="214"/>
      <c r="AJ880" s="214"/>
      <c r="AK880" s="214"/>
      <c r="AL880" s="214"/>
      <c r="AM880" s="214"/>
      <c r="AN880" s="213"/>
      <c r="AO880" s="213"/>
      <c r="AP880" s="213"/>
      <c r="AQ880" s="215"/>
      <c r="AR880" s="216"/>
      <c r="AS880" s="215"/>
      <c r="AT880"/>
      <c r="AU880" s="216"/>
      <c r="AV880" s="215"/>
      <c r="AW880" s="216"/>
      <c r="AX880" s="215"/>
      <c r="AY880"/>
      <c r="AZ880"/>
    </row>
    <row r="881" spans="1:52" s="178" customFormat="1" x14ac:dyDescent="0.25">
      <c r="A881" s="608"/>
      <c r="B881" s="34"/>
      <c r="C881" s="34"/>
      <c r="D881" s="34"/>
      <c r="E881" s="34"/>
      <c r="F881" s="678"/>
      <c r="G881" s="531"/>
      <c r="H881" s="489"/>
      <c r="I881" s="708"/>
      <c r="J881" s="669"/>
      <c r="K881" s="769"/>
      <c r="L881" s="774"/>
      <c r="M881" s="49"/>
      <c r="N881" s="41"/>
      <c r="O881" s="778"/>
      <c r="P881" s="774"/>
      <c r="Q881" s="774"/>
      <c r="R881" s="774"/>
      <c r="S881" s="774"/>
      <c r="U881" s="765"/>
      <c r="V881" s="774"/>
      <c r="W881" s="774"/>
      <c r="X881" s="774"/>
      <c r="Y881" s="774"/>
      <c r="Z881" s="774"/>
      <c r="AA881" s="774"/>
      <c r="AB881" s="774"/>
      <c r="AC881" s="774"/>
      <c r="AD881" s="766"/>
      <c r="AE881" s="778"/>
      <c r="AF881" s="774"/>
      <c r="AG881" s="774"/>
      <c r="AH881" s="773"/>
      <c r="AI881" s="771"/>
      <c r="AJ881" s="771"/>
      <c r="AK881" s="771"/>
      <c r="AL881" s="771"/>
      <c r="AM881" s="771"/>
      <c r="AN881" s="770"/>
      <c r="AO881" s="770"/>
      <c r="AP881" s="770"/>
      <c r="AQ881" s="772"/>
      <c r="AR881" s="216"/>
      <c r="AS881" s="772"/>
      <c r="AT881" s="774"/>
      <c r="AU881" s="216"/>
      <c r="AV881" s="772"/>
      <c r="AW881" s="216"/>
      <c r="AX881" s="772"/>
      <c r="AY881" s="774"/>
      <c r="AZ881" s="774"/>
    </row>
    <row r="882" spans="1:52" ht="15.75" x14ac:dyDescent="0.25">
      <c r="A882" s="609" t="s">
        <v>4180</v>
      </c>
      <c r="B882" s="1"/>
      <c r="C882" s="1"/>
      <c r="D882" s="2" t="s">
        <v>4180</v>
      </c>
      <c r="E882" s="1" t="s">
        <v>4180</v>
      </c>
      <c r="F882" s="457"/>
      <c r="G882" s="532"/>
      <c r="H882" s="490"/>
      <c r="I882" s="709"/>
      <c r="J882" s="669" t="s">
        <v>4180</v>
      </c>
      <c r="K882" s="15"/>
      <c r="M882" s="68" t="s">
        <v>2242</v>
      </c>
      <c r="N882" s="39"/>
      <c r="O882" s="61"/>
      <c r="P882" s="29"/>
      <c r="U882" s="55"/>
      <c r="AD882" s="92"/>
      <c r="AE882" s="124"/>
      <c r="AG882" s="92"/>
      <c r="AH882" s="212" t="str">
        <f t="shared" ref="AH882:AH892" si="403">IF(ISERROR(SEARCH("K erstmals 201",D882)),"",RIGHT(D882,4))</f>
        <v/>
      </c>
      <c r="AI882" s="214" t="str">
        <f>IF(AND($AH882&lt;&gt;"",AH882 =AH876),"Gleich","")</f>
        <v/>
      </c>
      <c r="AJ882" s="214" t="str">
        <f>IF(AND($AH882&lt;&gt;"",A882 =A876),"Gleich","")</f>
        <v/>
      </c>
      <c r="AK882" s="214" t="str">
        <f>IF(AND($AH882&lt;&gt;"",D882 =D876),"Gleich","")</f>
        <v/>
      </c>
      <c r="AL882" s="214" t="str">
        <f>IF(AND($AH882&lt;&gt;"",E882 =E876),"Gleich","")</f>
        <v/>
      </c>
      <c r="AM882" s="214" t="str">
        <f>IF(AND($AH882&lt;&gt;"",F882 =F876),"Gleich","")</f>
        <v/>
      </c>
      <c r="AN882" s="213" t="str">
        <f t="shared" ref="AN882:AN945" si="404">IF(ISERROR(SEARCH("K1",A882)),"","20"&amp;MID(A882,SEARCH("K1",A882)+1,2))</f>
        <v/>
      </c>
      <c r="AO882" s="213" t="str">
        <f t="shared" ref="AO882:AO945" si="405">IF(ISERROR(SEARCH("erstmals 201",E882)),"",MID(E882,SEARCH("erstmals ",E882)+9,4))</f>
        <v/>
      </c>
      <c r="AP882" s="213" t="str">
        <f t="shared" ref="AP882:AP945" si="406">IF(R882="x","2010",IF(S882="x","2011",IF(T882="x","2012","")))</f>
        <v/>
      </c>
      <c r="AQ882" s="215" t="str">
        <f t="shared" ref="AQ882:AQ945" si="407">IF(OR(AH882&lt;&gt;AN882,AH882&lt;&gt;AO882,AH882&lt;&gt;AP882),"DIFF","")</f>
        <v/>
      </c>
      <c r="AR882" s="216" t="str">
        <f t="shared" ref="AR882:AR945" si="408">IF(A882="","",IF(ISERROR(SEARCH("K1",A882)),A882,LEFT(A882,SEARCH("K1",A882)+1)&amp;RIGHT(AH882,1)&amp;MID(A882,SEARCH("K1",A882)+3,14)))</f>
        <v/>
      </c>
      <c r="AS882" s="215" t="str">
        <f t="shared" ref="AS882:AS945" si="409">IF(OR(A882&lt;&gt;AR882),"DIFF","")</f>
        <v/>
      </c>
      <c r="AT882">
        <f t="shared" ref="AT882:AT945" si="410">LEN(AR882)</f>
        <v>0</v>
      </c>
      <c r="AU882" s="216" t="str">
        <f t="shared" ref="AU882:AU945" si="411">IF(D882="","",IF(OR(A882="",ISERROR(SEARCH("erstmals 201",D882))),D882,LEFT(D882,SEARCH("erstmals 201",D882)+8) &amp; AH882 &amp; MID(D882,SEARCH("erstmals 201",D882)+13,255)))</f>
        <v/>
      </c>
      <c r="AV882" s="215" t="str">
        <f t="shared" ref="AV882:AV945" si="412">IF(OR(D882&lt;&gt;AU882),"DIFF","")</f>
        <v/>
      </c>
      <c r="AW882" s="216" t="str">
        <f t="shared" ref="AW882:AW945" si="413">IF(E882="","",IF(OR(E882="",ISERROR(SEARCH("erstmals 201",E882))),E882,LEFT(E882,SEARCH("erstmals 201",E882)+8) &amp; AH882 &amp; MID(E882,SEARCH("erstmals 201",E882)+13,255)))</f>
        <v/>
      </c>
      <c r="AX882" s="215" t="str">
        <f t="shared" ref="AX882:AX945" si="414">IF(OR(E882&lt;&gt;AW882),"DIFF","")</f>
        <v/>
      </c>
      <c r="AY882" t="str">
        <f t="shared" ref="AY882:AY945" si="415">IF(AH882="2011","x",IF(AH882="2012","","" &amp; S882))</f>
        <v/>
      </c>
      <c r="AZ882" t="str">
        <f t="shared" ref="AZ882:AZ945" si="416">IF(AH882="2012","x",IF(AH882="2011","","" &amp; T882))</f>
        <v/>
      </c>
    </row>
    <row r="883" spans="1:52" x14ac:dyDescent="0.25">
      <c r="A883" s="609" t="s">
        <v>4180</v>
      </c>
      <c r="B883" s="1"/>
      <c r="C883" s="1"/>
      <c r="D883" s="2" t="s">
        <v>4180</v>
      </c>
      <c r="E883" s="1" t="s">
        <v>4180</v>
      </c>
      <c r="F883" s="457"/>
      <c r="G883" s="532"/>
      <c r="H883" s="490"/>
      <c r="I883" s="709"/>
      <c r="J883" s="669" t="s">
        <v>4180</v>
      </c>
      <c r="K883" s="15"/>
      <c r="N883" s="35"/>
      <c r="O883" s="43" t="s">
        <v>2659</v>
      </c>
      <c r="P883" s="29"/>
      <c r="Q883" s="12">
        <v>2009</v>
      </c>
      <c r="R883" s="12">
        <v>2010</v>
      </c>
      <c r="S883" s="12">
        <v>2011</v>
      </c>
      <c r="T883" s="12">
        <v>2012</v>
      </c>
      <c r="U883" s="55"/>
      <c r="V883" s="35" t="s">
        <v>778</v>
      </c>
      <c r="AD883" s="92"/>
      <c r="AE883" s="43" t="s">
        <v>827</v>
      </c>
      <c r="AG883" s="92"/>
      <c r="AH883" s="212" t="str">
        <f t="shared" si="403"/>
        <v/>
      </c>
      <c r="AI883" s="214" t="str">
        <f t="shared" ref="AI883:AI946" si="417">IF(AND($AH883&lt;&gt;"",AH883 =AH882),"Gleich","")</f>
        <v/>
      </c>
      <c r="AJ883" s="214" t="str">
        <f t="shared" ref="AJ883:AJ946" si="418">IF(AND($AH883&lt;&gt;"",A883 =A882),"Gleich","")</f>
        <v/>
      </c>
      <c r="AK883" s="214" t="str">
        <f t="shared" ref="AK883:AK946" si="419">IF(AND($AH883&lt;&gt;"",D883 =D882),"Gleich","")</f>
        <v/>
      </c>
      <c r="AL883" s="214" t="str">
        <f t="shared" ref="AL883:AL946" si="420">IF(AND($AH883&lt;&gt;"",E883 =E882),"Gleich","")</f>
        <v/>
      </c>
      <c r="AM883" s="214" t="str">
        <f t="shared" ref="AM883:AM946" si="421">IF(AND($AH883&lt;&gt;"",F883 =F882),"Gleich","")</f>
        <v/>
      </c>
      <c r="AN883" s="213" t="str">
        <f t="shared" si="404"/>
        <v/>
      </c>
      <c r="AO883" s="213" t="str">
        <f t="shared" si="405"/>
        <v/>
      </c>
      <c r="AP883" s="213" t="str">
        <f t="shared" si="406"/>
        <v/>
      </c>
      <c r="AQ883" s="215" t="str">
        <f t="shared" si="407"/>
        <v/>
      </c>
      <c r="AR883" s="216" t="str">
        <f t="shared" si="408"/>
        <v/>
      </c>
      <c r="AS883" s="215" t="str">
        <f t="shared" si="409"/>
        <v/>
      </c>
      <c r="AT883">
        <f t="shared" si="410"/>
        <v>0</v>
      </c>
      <c r="AU883" s="216" t="str">
        <f t="shared" si="411"/>
        <v/>
      </c>
      <c r="AV883" s="215" t="str">
        <f t="shared" si="412"/>
        <v/>
      </c>
      <c r="AW883" s="216" t="str">
        <f t="shared" si="413"/>
        <v/>
      </c>
      <c r="AX883" s="215" t="str">
        <f t="shared" si="414"/>
        <v/>
      </c>
      <c r="AY883" t="str">
        <f t="shared" si="415"/>
        <v>2011</v>
      </c>
      <c r="AZ883" t="str">
        <f t="shared" si="416"/>
        <v>2012</v>
      </c>
    </row>
    <row r="884" spans="1:52" ht="90.75" x14ac:dyDescent="0.25">
      <c r="A884" s="609" t="s">
        <v>4180</v>
      </c>
      <c r="B884" s="1"/>
      <c r="C884" s="1"/>
      <c r="D884" s="2" t="s">
        <v>4180</v>
      </c>
      <c r="E884" s="1" t="s">
        <v>4180</v>
      </c>
      <c r="F884" s="457"/>
      <c r="G884" s="532"/>
      <c r="H884" s="490"/>
      <c r="I884" s="709"/>
      <c r="J884" s="669" t="s">
        <v>4180</v>
      </c>
      <c r="K884" s="15"/>
      <c r="M884" s="48" t="s">
        <v>2914</v>
      </c>
      <c r="N884" s="42" t="s">
        <v>2913</v>
      </c>
      <c r="O884" s="44" t="s">
        <v>825</v>
      </c>
      <c r="P884" s="42" t="s">
        <v>3008</v>
      </c>
      <c r="Q884" s="42" t="s">
        <v>1013</v>
      </c>
      <c r="R884" s="42" t="s">
        <v>1264</v>
      </c>
      <c r="S884" s="42" t="s">
        <v>1482</v>
      </c>
      <c r="T884" s="42" t="s">
        <v>4161</v>
      </c>
      <c r="U884" s="80" t="s">
        <v>771</v>
      </c>
      <c r="V884" s="42" t="s">
        <v>1021</v>
      </c>
      <c r="W884" s="42" t="s">
        <v>1029</v>
      </c>
      <c r="X884" s="42" t="s">
        <v>786</v>
      </c>
      <c r="Y884" s="79" t="s">
        <v>4884</v>
      </c>
      <c r="Z884" s="79" t="s">
        <v>5520</v>
      </c>
      <c r="AA884" s="79" t="s">
        <v>5521</v>
      </c>
      <c r="AB884" s="79" t="s">
        <v>5522</v>
      </c>
      <c r="AC884" s="79" t="s">
        <v>4853</v>
      </c>
      <c r="AD884" s="79" t="s">
        <v>770</v>
      </c>
      <c r="AE884" s="44" t="s">
        <v>824</v>
      </c>
      <c r="AF884" s="63"/>
      <c r="AG884" s="63"/>
      <c r="AH884" s="212" t="str">
        <f t="shared" si="403"/>
        <v/>
      </c>
      <c r="AI884" s="214" t="str">
        <f t="shared" si="417"/>
        <v/>
      </c>
      <c r="AJ884" s="214" t="str">
        <f t="shared" si="418"/>
        <v/>
      </c>
      <c r="AK884" s="214" t="str">
        <f t="shared" si="419"/>
        <v/>
      </c>
      <c r="AL884" s="214" t="str">
        <f t="shared" si="420"/>
        <v/>
      </c>
      <c r="AM884" s="214" t="str">
        <f t="shared" si="421"/>
        <v/>
      </c>
      <c r="AN884" s="213" t="str">
        <f t="shared" si="404"/>
        <v/>
      </c>
      <c r="AO884" s="213" t="str">
        <f t="shared" si="405"/>
        <v/>
      </c>
      <c r="AP884" s="213" t="str">
        <f t="shared" si="406"/>
        <v/>
      </c>
      <c r="AQ884" s="215" t="str">
        <f t="shared" si="407"/>
        <v/>
      </c>
      <c r="AR884" s="216" t="str">
        <f t="shared" si="408"/>
        <v/>
      </c>
      <c r="AS884" s="215" t="str">
        <f t="shared" si="409"/>
        <v/>
      </c>
      <c r="AT884">
        <f t="shared" si="410"/>
        <v>0</v>
      </c>
      <c r="AU884" s="216" t="str">
        <f t="shared" si="411"/>
        <v/>
      </c>
      <c r="AV884" s="215" t="str">
        <f t="shared" si="412"/>
        <v/>
      </c>
      <c r="AW884" s="216" t="str">
        <f t="shared" si="413"/>
        <v/>
      </c>
      <c r="AX884" s="215" t="str">
        <f t="shared" si="414"/>
        <v/>
      </c>
      <c r="AY884" t="str">
        <f t="shared" si="415"/>
        <v>erstmals KWK in 2011</v>
      </c>
      <c r="AZ884" t="str">
        <f t="shared" si="416"/>
        <v>erstmals KWK in 2012</v>
      </c>
    </row>
    <row r="885" spans="1:52" ht="34.5" x14ac:dyDescent="0.25">
      <c r="A885" s="609" t="s">
        <v>4180</v>
      </c>
      <c r="B885" s="1"/>
      <c r="C885" s="1"/>
      <c r="D885" s="2" t="s">
        <v>4180</v>
      </c>
      <c r="E885" s="1" t="s">
        <v>4180</v>
      </c>
      <c r="F885" s="457"/>
      <c r="G885" s="532"/>
      <c r="H885" s="490"/>
      <c r="I885" s="709"/>
      <c r="J885" s="669" t="s">
        <v>4180</v>
      </c>
      <c r="K885" s="15"/>
      <c r="M885" s="46"/>
      <c r="N885" s="42"/>
      <c r="O885" s="44" t="s">
        <v>1014</v>
      </c>
      <c r="P885" s="42" t="s">
        <v>1015</v>
      </c>
      <c r="Q885" s="42" t="s">
        <v>1016</v>
      </c>
      <c r="R885" s="42" t="s">
        <v>1265</v>
      </c>
      <c r="S885" s="42" t="s">
        <v>3490</v>
      </c>
      <c r="T885" s="118" t="s">
        <v>4162</v>
      </c>
      <c r="U885" s="56" t="s">
        <v>1018</v>
      </c>
      <c r="V885" s="42" t="s">
        <v>1019</v>
      </c>
      <c r="W885" s="42" t="s">
        <v>1020</v>
      </c>
      <c r="X885" s="42" t="s">
        <v>4069</v>
      </c>
      <c r="Y885" s="42" t="s">
        <v>1023</v>
      </c>
      <c r="Z885" s="42" t="s">
        <v>1024</v>
      </c>
      <c r="AA885" s="42" t="s">
        <v>1025</v>
      </c>
      <c r="AB885" s="42" t="s">
        <v>1026</v>
      </c>
      <c r="AC885" s="42" t="s">
        <v>1028</v>
      </c>
      <c r="AD885" s="42" t="s">
        <v>1027</v>
      </c>
      <c r="AE885" s="44" t="s">
        <v>826</v>
      </c>
      <c r="AF885" s="63"/>
      <c r="AG885" s="63"/>
      <c r="AH885" s="212" t="str">
        <f t="shared" si="403"/>
        <v/>
      </c>
      <c r="AI885" s="214" t="str">
        <f t="shared" si="417"/>
        <v/>
      </c>
      <c r="AJ885" s="214" t="str">
        <f t="shared" si="418"/>
        <v/>
      </c>
      <c r="AK885" s="214" t="str">
        <f t="shared" si="419"/>
        <v/>
      </c>
      <c r="AL885" s="214" t="str">
        <f t="shared" si="420"/>
        <v/>
      </c>
      <c r="AM885" s="214" t="str">
        <f t="shared" si="421"/>
        <v/>
      </c>
      <c r="AN885" s="213" t="str">
        <f t="shared" si="404"/>
        <v/>
      </c>
      <c r="AO885" s="213" t="str">
        <f t="shared" si="405"/>
        <v/>
      </c>
      <c r="AP885" s="213" t="str">
        <f t="shared" si="406"/>
        <v/>
      </c>
      <c r="AQ885" s="215" t="str">
        <f t="shared" si="407"/>
        <v/>
      </c>
      <c r="AR885" s="216" t="str">
        <f t="shared" si="408"/>
        <v/>
      </c>
      <c r="AS885" s="215" t="str">
        <f t="shared" si="409"/>
        <v/>
      </c>
      <c r="AT885">
        <f t="shared" si="410"/>
        <v>0</v>
      </c>
      <c r="AU885" s="216" t="str">
        <f t="shared" si="411"/>
        <v/>
      </c>
      <c r="AV885" s="215" t="str">
        <f t="shared" si="412"/>
        <v/>
      </c>
      <c r="AW885" s="216" t="str">
        <f t="shared" si="413"/>
        <v/>
      </c>
      <c r="AX885" s="215" t="str">
        <f t="shared" si="414"/>
        <v/>
      </c>
      <c r="AY885" t="str">
        <f t="shared" si="415"/>
        <v>"K11"</v>
      </c>
      <c r="AZ885" t="str">
        <f t="shared" si="416"/>
        <v>"K12"</v>
      </c>
    </row>
    <row r="886" spans="1:52" x14ac:dyDescent="0.25">
      <c r="A886" s="609" t="s">
        <v>4180</v>
      </c>
      <c r="B886" s="1"/>
      <c r="C886" s="1"/>
      <c r="D886" s="2" t="s">
        <v>4180</v>
      </c>
      <c r="E886" s="1" t="s">
        <v>4180</v>
      </c>
      <c r="F886" s="457"/>
      <c r="G886" s="532"/>
      <c r="H886" s="490"/>
      <c r="I886" s="709"/>
      <c r="J886" s="669" t="s">
        <v>4180</v>
      </c>
      <c r="K886" s="15"/>
      <c r="M886" s="92"/>
      <c r="N886" s="41"/>
      <c r="O886" s="93">
        <v>2</v>
      </c>
      <c r="P886" s="41">
        <v>3</v>
      </c>
      <c r="Q886" s="41">
        <v>3</v>
      </c>
      <c r="R886" s="41">
        <f>ROUND($Q886*0.99^(R883-$Q883),2)</f>
        <v>2.97</v>
      </c>
      <c r="S886" s="41">
        <f>ROUND($Q886*0.99^(S883-$Q883),2)</f>
        <v>2.94</v>
      </c>
      <c r="T886" s="41">
        <f>ROUND($Q886*0.99^(T883-$Q883),2)</f>
        <v>2.91</v>
      </c>
      <c r="U886" s="198">
        <v>1</v>
      </c>
      <c r="V886" s="41">
        <v>6</v>
      </c>
      <c r="W886" s="41">
        <v>4</v>
      </c>
      <c r="X886" s="41">
        <v>2.5</v>
      </c>
      <c r="Y886" s="41">
        <v>7</v>
      </c>
      <c r="Z886" s="41">
        <v>11</v>
      </c>
      <c r="AA886" s="41">
        <v>8</v>
      </c>
      <c r="AB886" s="41">
        <v>9</v>
      </c>
      <c r="AC886" s="41">
        <v>13</v>
      </c>
      <c r="AD886" s="41">
        <v>10</v>
      </c>
      <c r="AE886" s="93">
        <v>2</v>
      </c>
      <c r="AF886" s="202"/>
      <c r="AG886" s="202"/>
      <c r="AH886" s="212" t="str">
        <f t="shared" si="403"/>
        <v/>
      </c>
      <c r="AI886" s="214" t="str">
        <f t="shared" si="417"/>
        <v/>
      </c>
      <c r="AJ886" s="214" t="str">
        <f t="shared" si="418"/>
        <v/>
      </c>
      <c r="AK886" s="214" t="str">
        <f t="shared" si="419"/>
        <v/>
      </c>
      <c r="AL886" s="214" t="str">
        <f t="shared" si="420"/>
        <v/>
      </c>
      <c r="AM886" s="214" t="str">
        <f t="shared" si="421"/>
        <v/>
      </c>
      <c r="AN886" s="213" t="str">
        <f t="shared" si="404"/>
        <v/>
      </c>
      <c r="AO886" s="213" t="str">
        <f t="shared" si="405"/>
        <v/>
      </c>
      <c r="AP886" s="213" t="str">
        <f t="shared" si="406"/>
        <v/>
      </c>
      <c r="AQ886" s="215" t="str">
        <f t="shared" si="407"/>
        <v/>
      </c>
      <c r="AR886" s="216" t="str">
        <f t="shared" si="408"/>
        <v/>
      </c>
      <c r="AS886" s="215" t="str">
        <f t="shared" si="409"/>
        <v/>
      </c>
      <c r="AT886">
        <f t="shared" si="410"/>
        <v>0</v>
      </c>
      <c r="AU886" s="216" t="str">
        <f t="shared" si="411"/>
        <v/>
      </c>
      <c r="AV886" s="215" t="str">
        <f t="shared" si="412"/>
        <v/>
      </c>
      <c r="AW886" s="216" t="str">
        <f t="shared" si="413"/>
        <v/>
      </c>
      <c r="AX886" s="215" t="str">
        <f t="shared" si="414"/>
        <v/>
      </c>
      <c r="AY886" t="str">
        <f t="shared" si="415"/>
        <v>2,94</v>
      </c>
      <c r="AZ886" t="str">
        <f t="shared" si="416"/>
        <v>2,91</v>
      </c>
    </row>
    <row r="887" spans="1:52" x14ac:dyDescent="0.25">
      <c r="A887" s="618" t="s">
        <v>4506</v>
      </c>
      <c r="B887" s="31" t="s">
        <v>5548</v>
      </c>
      <c r="C887" s="31" t="s">
        <v>1288</v>
      </c>
      <c r="D887" s="31" t="s">
        <v>1780</v>
      </c>
      <c r="E887" s="31" t="s">
        <v>4810</v>
      </c>
      <c r="F887" s="460">
        <f t="shared" ref="F887:F950" si="422">M887</f>
        <v>11.67</v>
      </c>
      <c r="G887" s="536">
        <v>11.67</v>
      </c>
      <c r="H887" s="494">
        <f t="shared" ref="H887:H950" si="423">IF(ISNUMBER(G887),ROUND(0.8*G887,2),"")</f>
        <v>9.34</v>
      </c>
      <c r="I887" s="713"/>
      <c r="J887" s="669" t="s">
        <v>5805</v>
      </c>
      <c r="K887" s="15"/>
      <c r="M887" s="49">
        <f t="shared" ref="M887:M950" si="424">N887+SUMIF(O887:AG887,"x",O$886:AG$886)</f>
        <v>11.67</v>
      </c>
      <c r="N887" s="41">
        <v>11.67</v>
      </c>
      <c r="O887" s="54"/>
      <c r="P887" s="15"/>
      <c r="S887" t="s">
        <v>4180</v>
      </c>
      <c r="T887" t="s">
        <v>4180</v>
      </c>
      <c r="U887" s="55"/>
      <c r="W887" s="65"/>
      <c r="X887" s="65"/>
      <c r="AA887" s="65"/>
      <c r="AD887" s="91"/>
      <c r="AE887" s="124"/>
      <c r="AF887" s="65"/>
      <c r="AG887" s="91"/>
      <c r="AH887" s="212" t="str">
        <f t="shared" si="403"/>
        <v/>
      </c>
      <c r="AI887" s="214" t="str">
        <f t="shared" si="417"/>
        <v/>
      </c>
      <c r="AJ887" s="214" t="str">
        <f t="shared" si="418"/>
        <v/>
      </c>
      <c r="AK887" s="214" t="str">
        <f t="shared" si="419"/>
        <v/>
      </c>
      <c r="AL887" s="214" t="str">
        <f t="shared" si="420"/>
        <v/>
      </c>
      <c r="AM887" s="214" t="str">
        <f t="shared" si="421"/>
        <v/>
      </c>
      <c r="AN887" s="213" t="str">
        <f t="shared" si="404"/>
        <v/>
      </c>
      <c r="AO887" s="213" t="str">
        <f t="shared" si="405"/>
        <v/>
      </c>
      <c r="AP887" s="213" t="str">
        <f t="shared" si="406"/>
        <v/>
      </c>
      <c r="AQ887" s="215" t="str">
        <f t="shared" si="407"/>
        <v/>
      </c>
      <c r="AR887" s="216" t="str">
        <f t="shared" si="408"/>
        <v>BiK81-------05</v>
      </c>
      <c r="AS887" s="215" t="str">
        <f t="shared" si="409"/>
        <v/>
      </c>
      <c r="AT887">
        <f t="shared" si="410"/>
        <v>14</v>
      </c>
      <c r="AU887" s="216" t="str">
        <f t="shared" si="411"/>
        <v>0-0,15 MW</v>
      </c>
      <c r="AV887" s="215" t="str">
        <f t="shared" si="412"/>
        <v/>
      </c>
      <c r="AW887" s="216" t="str">
        <f t="shared" si="413"/>
        <v>Anteil Nicht-KWK</v>
      </c>
      <c r="AX887" s="215" t="str">
        <f t="shared" si="414"/>
        <v/>
      </c>
      <c r="AY887" t="str">
        <f t="shared" si="415"/>
        <v/>
      </c>
      <c r="AZ887" t="str">
        <f t="shared" si="416"/>
        <v/>
      </c>
    </row>
    <row r="888" spans="1:52" x14ac:dyDescent="0.25">
      <c r="A888" s="618" t="s">
        <v>4507</v>
      </c>
      <c r="B888" s="31" t="s">
        <v>5548</v>
      </c>
      <c r="C888" s="31" t="s">
        <v>1288</v>
      </c>
      <c r="D888" s="32" t="s">
        <v>6868</v>
      </c>
      <c r="E888" s="31" t="s">
        <v>4812</v>
      </c>
      <c r="F888" s="460">
        <f t="shared" si="422"/>
        <v>13.67</v>
      </c>
      <c r="G888" s="536">
        <v>13.67</v>
      </c>
      <c r="H888" s="494">
        <f t="shared" si="423"/>
        <v>10.94</v>
      </c>
      <c r="I888" s="713"/>
      <c r="J888" s="669" t="s">
        <v>5805</v>
      </c>
      <c r="K888" s="15"/>
      <c r="M888" s="49">
        <f t="shared" si="424"/>
        <v>13.67</v>
      </c>
      <c r="N888" s="41">
        <v>11.67</v>
      </c>
      <c r="O888" s="54" t="s">
        <v>1017</v>
      </c>
      <c r="P888" s="15"/>
      <c r="S888" t="s">
        <v>4180</v>
      </c>
      <c r="T888" t="s">
        <v>4180</v>
      </c>
      <c r="U888" s="55"/>
      <c r="W888" s="65"/>
      <c r="X888" s="65"/>
      <c r="AA888" s="65"/>
      <c r="AD888" s="91"/>
      <c r="AE888" s="124"/>
      <c r="AF888" s="65"/>
      <c r="AG888" s="91"/>
      <c r="AH888" s="212" t="str">
        <f t="shared" si="403"/>
        <v/>
      </c>
      <c r="AI888" s="214" t="str">
        <f t="shared" si="417"/>
        <v/>
      </c>
      <c r="AJ888" s="214" t="str">
        <f t="shared" si="418"/>
        <v/>
      </c>
      <c r="AK888" s="214" t="str">
        <f t="shared" si="419"/>
        <v/>
      </c>
      <c r="AL888" s="214" t="str">
        <f t="shared" si="420"/>
        <v/>
      </c>
      <c r="AM888" s="214" t="str">
        <f t="shared" si="421"/>
        <v/>
      </c>
      <c r="AN888" s="213" t="str">
        <f t="shared" si="404"/>
        <v/>
      </c>
      <c r="AO888" s="213" t="str">
        <f t="shared" si="405"/>
        <v/>
      </c>
      <c r="AP888" s="213" t="str">
        <f t="shared" si="406"/>
        <v/>
      </c>
      <c r="AQ888" s="215" t="str">
        <f t="shared" si="407"/>
        <v/>
      </c>
      <c r="AR888" s="216" t="str">
        <f t="shared" si="408"/>
        <v>BiK81KWK----05</v>
      </c>
      <c r="AS888" s="215" t="str">
        <f t="shared" si="409"/>
        <v/>
      </c>
      <c r="AT888">
        <f t="shared" si="410"/>
        <v>14</v>
      </c>
      <c r="AU888" s="216" t="str">
        <f t="shared" si="411"/>
        <v>0-0,15 MW, Bonusregel KWK</v>
      </c>
      <c r="AV888" s="215" t="str">
        <f t="shared" si="412"/>
        <v/>
      </c>
      <c r="AW888" s="216" t="str">
        <f t="shared" si="413"/>
        <v>Anteil KWK</v>
      </c>
      <c r="AX888" s="215" t="str">
        <f t="shared" si="414"/>
        <v/>
      </c>
      <c r="AY888" t="str">
        <f t="shared" si="415"/>
        <v/>
      </c>
      <c r="AZ888" t="str">
        <f t="shared" si="416"/>
        <v/>
      </c>
    </row>
    <row r="889" spans="1:52" x14ac:dyDescent="0.25">
      <c r="A889" s="610" t="s">
        <v>4342</v>
      </c>
      <c r="B889" s="17" t="s">
        <v>5548</v>
      </c>
      <c r="C889" s="30" t="s">
        <v>1288</v>
      </c>
      <c r="D889" s="30" t="s">
        <v>6869</v>
      </c>
      <c r="E889" s="30" t="s">
        <v>4331</v>
      </c>
      <c r="F889" s="454">
        <f t="shared" si="422"/>
        <v>14.67</v>
      </c>
      <c r="G889" s="529">
        <v>14.67</v>
      </c>
      <c r="H889" s="487">
        <f t="shared" si="423"/>
        <v>11.74</v>
      </c>
      <c r="I889" s="706"/>
      <c r="J889" s="669" t="s">
        <v>5805</v>
      </c>
      <c r="K889" s="15"/>
      <c r="M889" s="49">
        <f t="shared" si="424"/>
        <v>14.67</v>
      </c>
      <c r="N889" s="41">
        <v>11.67</v>
      </c>
      <c r="O889" s="54"/>
      <c r="P889" t="s">
        <v>1017</v>
      </c>
      <c r="S889" t="s">
        <v>4180</v>
      </c>
      <c r="T889" t="s">
        <v>4180</v>
      </c>
      <c r="U889" s="55"/>
      <c r="W889" s="65"/>
      <c r="X889" s="65"/>
      <c r="AA889" s="65"/>
      <c r="AD889" s="91"/>
      <c r="AE889" s="124"/>
      <c r="AF889" s="65"/>
      <c r="AG889" s="91"/>
      <c r="AH889" s="212" t="str">
        <f t="shared" si="403"/>
        <v/>
      </c>
      <c r="AI889" s="214" t="str">
        <f t="shared" si="417"/>
        <v/>
      </c>
      <c r="AJ889" s="214" t="str">
        <f t="shared" si="418"/>
        <v/>
      </c>
      <c r="AK889" s="214" t="str">
        <f t="shared" si="419"/>
        <v/>
      </c>
      <c r="AL889" s="214" t="str">
        <f t="shared" si="420"/>
        <v/>
      </c>
      <c r="AM889" s="214" t="str">
        <f t="shared" si="421"/>
        <v/>
      </c>
      <c r="AN889" s="213" t="str">
        <f t="shared" si="404"/>
        <v/>
      </c>
      <c r="AO889" s="213" t="str">
        <f t="shared" si="405"/>
        <v/>
      </c>
      <c r="AP889" s="213" t="str">
        <f t="shared" si="406"/>
        <v/>
      </c>
      <c r="AQ889" s="215" t="str">
        <f t="shared" si="407"/>
        <v/>
      </c>
      <c r="AR889" s="216" t="str">
        <f t="shared" si="408"/>
        <v>BiK81KA3----05</v>
      </c>
      <c r="AS889" s="215" t="str">
        <f t="shared" si="409"/>
        <v/>
      </c>
      <c r="AT889">
        <f t="shared" si="410"/>
        <v>14</v>
      </c>
      <c r="AU889" s="216" t="str">
        <f t="shared" si="411"/>
        <v>0-0,15 MW, Bonusregel K wenn Anlage 3 erfüllt</v>
      </c>
      <c r="AV889" s="215" t="str">
        <f t="shared" si="412"/>
        <v/>
      </c>
      <c r="AW889" s="216" t="str">
        <f t="shared" si="413"/>
        <v>Anteil KWK gemäß Anlage 3</v>
      </c>
      <c r="AX889" s="215" t="str">
        <f t="shared" si="414"/>
        <v/>
      </c>
      <c r="AY889" t="str">
        <f t="shared" si="415"/>
        <v/>
      </c>
      <c r="AZ889" t="str">
        <f t="shared" si="416"/>
        <v/>
      </c>
    </row>
    <row r="890" spans="1:52" x14ac:dyDescent="0.25">
      <c r="A890" s="610" t="s">
        <v>2344</v>
      </c>
      <c r="B890" s="17" t="s">
        <v>5548</v>
      </c>
      <c r="C890" s="17" t="s">
        <v>1288</v>
      </c>
      <c r="D890" s="30" t="s">
        <v>6870</v>
      </c>
      <c r="E890" s="17" t="s">
        <v>674</v>
      </c>
      <c r="F890" s="454">
        <f t="shared" si="422"/>
        <v>14.67</v>
      </c>
      <c r="G890" s="529">
        <v>14.67</v>
      </c>
      <c r="H890" s="487">
        <f t="shared" si="423"/>
        <v>11.74</v>
      </c>
      <c r="I890" s="706"/>
      <c r="J890" s="669" t="s">
        <v>5805</v>
      </c>
      <c r="K890" s="15"/>
      <c r="M890" s="49">
        <f t="shared" si="424"/>
        <v>14.67</v>
      </c>
      <c r="N890" s="41">
        <v>11.67</v>
      </c>
      <c r="O890" s="54"/>
      <c r="P890" s="15"/>
      <c r="Q890" t="s">
        <v>1017</v>
      </c>
      <c r="S890" t="s">
        <v>4180</v>
      </c>
      <c r="T890" t="s">
        <v>4180</v>
      </c>
      <c r="U890" s="55"/>
      <c r="W890" s="65"/>
      <c r="X890" s="65"/>
      <c r="AA890" s="65"/>
      <c r="AD890" s="91"/>
      <c r="AE890" s="124"/>
      <c r="AF890" s="65"/>
      <c r="AG890" s="91"/>
      <c r="AH890" s="212" t="str">
        <f t="shared" si="403"/>
        <v/>
      </c>
      <c r="AI890" s="214" t="str">
        <f t="shared" si="417"/>
        <v/>
      </c>
      <c r="AJ890" s="214" t="str">
        <f t="shared" si="418"/>
        <v/>
      </c>
      <c r="AK890" s="214" t="str">
        <f t="shared" si="419"/>
        <v/>
      </c>
      <c r="AL890" s="214" t="str">
        <f t="shared" si="420"/>
        <v/>
      </c>
      <c r="AM890" s="214" t="str">
        <f t="shared" si="421"/>
        <v/>
      </c>
      <c r="AN890" s="213" t="str">
        <f t="shared" si="404"/>
        <v/>
      </c>
      <c r="AO890" s="213" t="str">
        <f t="shared" si="405"/>
        <v/>
      </c>
      <c r="AP890" s="213" t="str">
        <f t="shared" si="406"/>
        <v/>
      </c>
      <c r="AQ890" s="215" t="str">
        <f t="shared" si="407"/>
        <v/>
      </c>
      <c r="AR890" s="216" t="str">
        <f t="shared" si="408"/>
        <v>BiK81K09----05</v>
      </c>
      <c r="AS890" s="215" t="str">
        <f t="shared" si="409"/>
        <v/>
      </c>
      <c r="AT890">
        <f t="shared" si="410"/>
        <v>14</v>
      </c>
      <c r="AU890" s="216" t="str">
        <f t="shared" si="411"/>
        <v>0-0,15 MW, Bonusregel K erstmals 2009</v>
      </c>
      <c r="AV890" s="215" t="str">
        <f t="shared" si="412"/>
        <v/>
      </c>
      <c r="AW890" s="216" t="str">
        <f t="shared" si="413"/>
        <v>Anteil KWK, erstmals 2009</v>
      </c>
      <c r="AX890" s="215" t="str">
        <f t="shared" si="414"/>
        <v/>
      </c>
      <c r="AY890" t="str">
        <f t="shared" si="415"/>
        <v/>
      </c>
      <c r="AZ890" t="str">
        <f t="shared" si="416"/>
        <v/>
      </c>
    </row>
    <row r="891" spans="1:52" s="178" customFormat="1" x14ac:dyDescent="0.25">
      <c r="A891" s="610" t="s">
        <v>3568</v>
      </c>
      <c r="B891" s="17" t="s">
        <v>5548</v>
      </c>
      <c r="C891" s="17" t="s">
        <v>1288</v>
      </c>
      <c r="D891" s="30" t="s">
        <v>6871</v>
      </c>
      <c r="E891" s="17" t="s">
        <v>3567</v>
      </c>
      <c r="F891" s="454">
        <f t="shared" si="422"/>
        <v>14.64</v>
      </c>
      <c r="G891" s="529">
        <v>14.64</v>
      </c>
      <c r="H891" s="487">
        <f t="shared" si="423"/>
        <v>11.71</v>
      </c>
      <c r="I891" s="706"/>
      <c r="J891" s="669" t="s">
        <v>5805</v>
      </c>
      <c r="K891" s="15"/>
      <c r="L891"/>
      <c r="M891" s="49">
        <f t="shared" si="424"/>
        <v>14.64</v>
      </c>
      <c r="N891" s="41">
        <v>11.67</v>
      </c>
      <c r="O891" s="54"/>
      <c r="P891" s="15"/>
      <c r="Q891"/>
      <c r="R891" t="s">
        <v>1017</v>
      </c>
      <c r="S891" t="s">
        <v>4180</v>
      </c>
      <c r="T891" s="178" t="s">
        <v>4180</v>
      </c>
      <c r="U891" s="55"/>
      <c r="V891"/>
      <c r="W891" s="65"/>
      <c r="X891" s="65"/>
      <c r="Y891"/>
      <c r="Z891"/>
      <c r="AA891" s="65"/>
      <c r="AB891"/>
      <c r="AC891"/>
      <c r="AD891" s="91"/>
      <c r="AE891" s="124"/>
      <c r="AF891" s="65"/>
      <c r="AG891" s="91"/>
      <c r="AH891" s="212" t="str">
        <f t="shared" si="403"/>
        <v>2010</v>
      </c>
      <c r="AI891" s="214" t="str">
        <f t="shared" si="417"/>
        <v/>
      </c>
      <c r="AJ891" s="214" t="str">
        <f t="shared" si="418"/>
        <v/>
      </c>
      <c r="AK891" s="214" t="str">
        <f t="shared" si="419"/>
        <v/>
      </c>
      <c r="AL891" s="214" t="str">
        <f t="shared" si="420"/>
        <v/>
      </c>
      <c r="AM891" s="214" t="str">
        <f t="shared" si="421"/>
        <v/>
      </c>
      <c r="AN891" s="213" t="str">
        <f t="shared" si="404"/>
        <v>2010</v>
      </c>
      <c r="AO891" s="213" t="str">
        <f t="shared" si="405"/>
        <v>2010</v>
      </c>
      <c r="AP891" s="213" t="str">
        <f t="shared" si="406"/>
        <v>2010</v>
      </c>
      <c r="AQ891" s="215" t="str">
        <f t="shared" si="407"/>
        <v/>
      </c>
      <c r="AR891" s="216" t="str">
        <f t="shared" si="408"/>
        <v>BiK81K10----05</v>
      </c>
      <c r="AS891" s="215" t="str">
        <f t="shared" si="409"/>
        <v/>
      </c>
      <c r="AT891">
        <f t="shared" si="410"/>
        <v>14</v>
      </c>
      <c r="AU891" s="216" t="str">
        <f t="shared" si="411"/>
        <v>0-0,15 MW, Bonusregel K erstmals 2010</v>
      </c>
      <c r="AV891" s="215" t="str">
        <f t="shared" si="412"/>
        <v/>
      </c>
      <c r="AW891" s="216" t="str">
        <f t="shared" si="413"/>
        <v>Anteil KWK, erstmals 2010</v>
      </c>
      <c r="AX891" s="215" t="str">
        <f t="shared" si="414"/>
        <v/>
      </c>
      <c r="AY891" t="str">
        <f t="shared" si="415"/>
        <v/>
      </c>
      <c r="AZ891" t="str">
        <f t="shared" si="416"/>
        <v/>
      </c>
    </row>
    <row r="892" spans="1:52" s="178" customFormat="1" x14ac:dyDescent="0.25">
      <c r="A892" s="610" t="s">
        <v>5299</v>
      </c>
      <c r="B892" s="17" t="s">
        <v>5548</v>
      </c>
      <c r="C892" s="17" t="s">
        <v>1288</v>
      </c>
      <c r="D892" s="30" t="s">
        <v>6872</v>
      </c>
      <c r="E892" s="17" t="s">
        <v>3055</v>
      </c>
      <c r="F892" s="454">
        <f t="shared" si="422"/>
        <v>14.61</v>
      </c>
      <c r="G892" s="529">
        <v>14.61</v>
      </c>
      <c r="H892" s="487">
        <f t="shared" si="423"/>
        <v>11.69</v>
      </c>
      <c r="I892" s="706"/>
      <c r="J892" s="669" t="s">
        <v>5805</v>
      </c>
      <c r="K892" s="15"/>
      <c r="L892"/>
      <c r="M892" s="49">
        <f t="shared" si="424"/>
        <v>14.61</v>
      </c>
      <c r="N892" s="41">
        <v>11.67</v>
      </c>
      <c r="O892" s="54"/>
      <c r="P892" s="15"/>
      <c r="Q892"/>
      <c r="R892"/>
      <c r="S892" t="s">
        <v>1017</v>
      </c>
      <c r="T892" s="178" t="s">
        <v>4180</v>
      </c>
      <c r="U892" s="55"/>
      <c r="V892"/>
      <c r="W892" s="65"/>
      <c r="X892" s="65"/>
      <c r="Y892"/>
      <c r="Z892"/>
      <c r="AA892" s="65"/>
      <c r="AB892"/>
      <c r="AC892"/>
      <c r="AD892" s="91"/>
      <c r="AE892" s="124"/>
      <c r="AF892" s="65"/>
      <c r="AG892" s="91"/>
      <c r="AH892" s="212" t="str">
        <f t="shared" si="403"/>
        <v>2011</v>
      </c>
      <c r="AI892" s="214" t="str">
        <f t="shared" si="417"/>
        <v/>
      </c>
      <c r="AJ892" s="214" t="str">
        <f t="shared" si="418"/>
        <v/>
      </c>
      <c r="AK892" s="214" t="str">
        <f t="shared" si="419"/>
        <v/>
      </c>
      <c r="AL892" s="214" t="str">
        <f t="shared" si="420"/>
        <v/>
      </c>
      <c r="AM892" s="214" t="str">
        <f t="shared" si="421"/>
        <v/>
      </c>
      <c r="AN892" s="213" t="str">
        <f t="shared" si="404"/>
        <v>2011</v>
      </c>
      <c r="AO892" s="213" t="str">
        <f t="shared" si="405"/>
        <v>2011</v>
      </c>
      <c r="AP892" s="213" t="str">
        <f t="shared" si="406"/>
        <v>2011</v>
      </c>
      <c r="AQ892" s="215" t="str">
        <f t="shared" si="407"/>
        <v/>
      </c>
      <c r="AR892" s="216" t="str">
        <f t="shared" si="408"/>
        <v>BiK81K11----05</v>
      </c>
      <c r="AS892" s="215" t="str">
        <f t="shared" si="409"/>
        <v/>
      </c>
      <c r="AT892">
        <f t="shared" si="410"/>
        <v>14</v>
      </c>
      <c r="AU892" s="216" t="str">
        <f t="shared" si="411"/>
        <v>0-0,15 MW, Bonusregel K erstmals 2011</v>
      </c>
      <c r="AV892" s="215" t="str">
        <f t="shared" si="412"/>
        <v/>
      </c>
      <c r="AW892" s="216" t="str">
        <f t="shared" si="413"/>
        <v>Anteil KWK, erstmals 2011</v>
      </c>
      <c r="AX892" s="215" t="str">
        <f t="shared" si="414"/>
        <v/>
      </c>
      <c r="AY892" t="str">
        <f t="shared" si="415"/>
        <v>x</v>
      </c>
      <c r="AZ892" t="str">
        <f t="shared" si="416"/>
        <v/>
      </c>
    </row>
    <row r="893" spans="1:52" s="178" customFormat="1" x14ac:dyDescent="0.25">
      <c r="A893" s="625" t="s">
        <v>1549</v>
      </c>
      <c r="B893" s="221" t="s">
        <v>5548</v>
      </c>
      <c r="C893" s="221" t="s">
        <v>1288</v>
      </c>
      <c r="D893" s="219" t="s">
        <v>6873</v>
      </c>
      <c r="E893" s="221" t="s">
        <v>1980</v>
      </c>
      <c r="F893" s="455">
        <f t="shared" si="422"/>
        <v>14.58</v>
      </c>
      <c r="G893" s="530">
        <v>14.58</v>
      </c>
      <c r="H893" s="488">
        <f t="shared" si="423"/>
        <v>11.66</v>
      </c>
      <c r="I893" s="707"/>
      <c r="J893" s="669" t="s">
        <v>5805</v>
      </c>
      <c r="K893" s="15"/>
      <c r="L893"/>
      <c r="M893" s="49">
        <f t="shared" si="424"/>
        <v>14.58</v>
      </c>
      <c r="N893" s="41">
        <v>11.67</v>
      </c>
      <c r="O893" s="54"/>
      <c r="P893" s="15"/>
      <c r="Q893"/>
      <c r="R893"/>
      <c r="S893" t="s">
        <v>4180</v>
      </c>
      <c r="T893" s="178" t="s">
        <v>1017</v>
      </c>
      <c r="U893" s="55"/>
      <c r="V893"/>
      <c r="W893" s="65"/>
      <c r="X893" s="65"/>
      <c r="Y893"/>
      <c r="Z893"/>
      <c r="AA893" s="65"/>
      <c r="AB893"/>
      <c r="AC893"/>
      <c r="AD893" s="91"/>
      <c r="AE893" s="124"/>
      <c r="AF893" s="65"/>
      <c r="AG893" s="91"/>
      <c r="AH893" s="217" t="s">
        <v>4179</v>
      </c>
      <c r="AI893" s="214" t="str">
        <f t="shared" si="417"/>
        <v/>
      </c>
      <c r="AJ893" s="214" t="str">
        <f t="shared" si="418"/>
        <v/>
      </c>
      <c r="AK893" s="214" t="str">
        <f t="shared" si="419"/>
        <v/>
      </c>
      <c r="AL893" s="214" t="str">
        <f t="shared" si="420"/>
        <v/>
      </c>
      <c r="AM893" s="214" t="str">
        <f t="shared" si="421"/>
        <v/>
      </c>
      <c r="AN893" s="213" t="str">
        <f t="shared" si="404"/>
        <v>2012</v>
      </c>
      <c r="AO893" s="213" t="str">
        <f t="shared" si="405"/>
        <v>2012</v>
      </c>
      <c r="AP893" s="213" t="str">
        <f t="shared" si="406"/>
        <v>2012</v>
      </c>
      <c r="AQ893" s="215" t="str">
        <f t="shared" si="407"/>
        <v/>
      </c>
      <c r="AR893" s="216" t="str">
        <f t="shared" si="408"/>
        <v>BiK81K12----05</v>
      </c>
      <c r="AS893" s="215" t="str">
        <f t="shared" si="409"/>
        <v/>
      </c>
      <c r="AT893">
        <f t="shared" si="410"/>
        <v>14</v>
      </c>
      <c r="AU893" s="216" t="str">
        <f t="shared" si="411"/>
        <v>0-0,15 MW, Bonusregel K erstmals 2012</v>
      </c>
      <c r="AV893" s="215" t="str">
        <f t="shared" si="412"/>
        <v/>
      </c>
      <c r="AW893" s="216" t="str">
        <f t="shared" si="413"/>
        <v>Anteil KWK, erstmals 2012</v>
      </c>
      <c r="AX893" s="215" t="str">
        <f t="shared" si="414"/>
        <v/>
      </c>
      <c r="AY893" t="str">
        <f t="shared" si="415"/>
        <v/>
      </c>
      <c r="AZ893" t="str">
        <f t="shared" si="416"/>
        <v>x</v>
      </c>
    </row>
    <row r="894" spans="1:52" s="178" customFormat="1" x14ac:dyDescent="0.25">
      <c r="A894" s="610" t="s">
        <v>2900</v>
      </c>
      <c r="B894" s="17" t="s">
        <v>5548</v>
      </c>
      <c r="C894" s="17" t="s">
        <v>1288</v>
      </c>
      <c r="D894" s="21" t="s">
        <v>6874</v>
      </c>
      <c r="E894" s="17" t="s">
        <v>4810</v>
      </c>
      <c r="F894" s="454">
        <f t="shared" si="422"/>
        <v>12.67</v>
      </c>
      <c r="G894" s="529">
        <v>12.67</v>
      </c>
      <c r="H894" s="487">
        <f t="shared" si="423"/>
        <v>10.14</v>
      </c>
      <c r="I894" s="706"/>
      <c r="J894" s="669" t="s">
        <v>5805</v>
      </c>
      <c r="K894" s="15"/>
      <c r="L894"/>
      <c r="M894" s="49">
        <f t="shared" si="424"/>
        <v>12.67</v>
      </c>
      <c r="N894" s="41">
        <v>11.67</v>
      </c>
      <c r="O894" s="54"/>
      <c r="P894" s="15"/>
      <c r="Q894"/>
      <c r="R894"/>
      <c r="S894" t="s">
        <v>4180</v>
      </c>
      <c r="T894" s="178" t="s">
        <v>4180</v>
      </c>
      <c r="U894" s="55" t="s">
        <v>1017</v>
      </c>
      <c r="V894"/>
      <c r="W894" s="65"/>
      <c r="X894" s="65"/>
      <c r="Y894"/>
      <c r="Z894"/>
      <c r="AA894" s="65"/>
      <c r="AB894"/>
      <c r="AC894"/>
      <c r="AD894" s="91"/>
      <c r="AE894" s="124"/>
      <c r="AF894" s="65"/>
      <c r="AG894" s="91"/>
      <c r="AH894" s="212" t="str">
        <f t="shared" ref="AH894:AH899" si="425">IF(ISERROR(SEARCH("K erstmals 201",D894)),"",RIGHT(D894,4))</f>
        <v/>
      </c>
      <c r="AI894" s="214" t="str">
        <f t="shared" si="417"/>
        <v/>
      </c>
      <c r="AJ894" s="214" t="str">
        <f t="shared" si="418"/>
        <v/>
      </c>
      <c r="AK894" s="214" t="str">
        <f t="shared" si="419"/>
        <v/>
      </c>
      <c r="AL894" s="214" t="str">
        <f t="shared" si="420"/>
        <v/>
      </c>
      <c r="AM894" s="214" t="str">
        <f t="shared" si="421"/>
        <v/>
      </c>
      <c r="AN894" s="213" t="str">
        <f t="shared" si="404"/>
        <v/>
      </c>
      <c r="AO894" s="213" t="str">
        <f t="shared" si="405"/>
        <v/>
      </c>
      <c r="AP894" s="213" t="str">
        <f t="shared" si="406"/>
        <v/>
      </c>
      <c r="AQ894" s="215" t="str">
        <f t="shared" si="407"/>
        <v/>
      </c>
      <c r="AR894" s="216" t="str">
        <f t="shared" si="408"/>
        <v>BiK81y------05</v>
      </c>
      <c r="AS894" s="215" t="str">
        <f t="shared" si="409"/>
        <v/>
      </c>
      <c r="AT894">
        <f t="shared" si="410"/>
        <v>14</v>
      </c>
      <c r="AU894" s="216" t="str">
        <f t="shared" si="411"/>
        <v>0-0,15 MW, Bonusregel y</v>
      </c>
      <c r="AV894" s="215" t="str">
        <f t="shared" si="412"/>
        <v/>
      </c>
      <c r="AW894" s="216" t="str">
        <f t="shared" si="413"/>
        <v>Anteil Nicht-KWK</v>
      </c>
      <c r="AX894" s="215" t="str">
        <f t="shared" si="414"/>
        <v/>
      </c>
      <c r="AY894" t="str">
        <f t="shared" si="415"/>
        <v/>
      </c>
      <c r="AZ894" t="str">
        <f t="shared" si="416"/>
        <v/>
      </c>
    </row>
    <row r="895" spans="1:52" s="178" customFormat="1" x14ac:dyDescent="0.25">
      <c r="A895" s="610" t="s">
        <v>2901</v>
      </c>
      <c r="B895" s="17" t="s">
        <v>5548</v>
      </c>
      <c r="C895" s="17" t="s">
        <v>1288</v>
      </c>
      <c r="D895" s="21" t="s">
        <v>6875</v>
      </c>
      <c r="E895" s="17" t="s">
        <v>4812</v>
      </c>
      <c r="F895" s="454">
        <f t="shared" si="422"/>
        <v>14.67</v>
      </c>
      <c r="G895" s="529">
        <v>14.67</v>
      </c>
      <c r="H895" s="487">
        <f t="shared" si="423"/>
        <v>11.74</v>
      </c>
      <c r="I895" s="706"/>
      <c r="J895" s="669" t="s">
        <v>5805</v>
      </c>
      <c r="K895" s="15"/>
      <c r="L895"/>
      <c r="M895" s="49">
        <f t="shared" si="424"/>
        <v>14.67</v>
      </c>
      <c r="N895" s="41">
        <v>11.67</v>
      </c>
      <c r="O895" s="54" t="s">
        <v>1017</v>
      </c>
      <c r="P895" s="15"/>
      <c r="Q895"/>
      <c r="R895"/>
      <c r="S895" t="s">
        <v>4180</v>
      </c>
      <c r="T895" s="178" t="s">
        <v>4180</v>
      </c>
      <c r="U895" s="55" t="s">
        <v>1017</v>
      </c>
      <c r="V895"/>
      <c r="W895" s="65"/>
      <c r="X895" s="65"/>
      <c r="Y895"/>
      <c r="Z895"/>
      <c r="AA895" s="65"/>
      <c r="AB895"/>
      <c r="AC895"/>
      <c r="AD895" s="91"/>
      <c r="AE895" s="124"/>
      <c r="AF895" s="65"/>
      <c r="AG895" s="91"/>
      <c r="AH895" s="212" t="str">
        <f t="shared" si="425"/>
        <v/>
      </c>
      <c r="AI895" s="214" t="str">
        <f t="shared" si="417"/>
        <v/>
      </c>
      <c r="AJ895" s="214" t="str">
        <f t="shared" si="418"/>
        <v/>
      </c>
      <c r="AK895" s="214" t="str">
        <f t="shared" si="419"/>
        <v/>
      </c>
      <c r="AL895" s="214" t="str">
        <f t="shared" si="420"/>
        <v/>
      </c>
      <c r="AM895" s="214" t="str">
        <f t="shared" si="421"/>
        <v/>
      </c>
      <c r="AN895" s="213" t="str">
        <f t="shared" si="404"/>
        <v/>
      </c>
      <c r="AO895" s="213" t="str">
        <f t="shared" si="405"/>
        <v/>
      </c>
      <c r="AP895" s="213" t="str">
        <f t="shared" si="406"/>
        <v/>
      </c>
      <c r="AQ895" s="215" t="str">
        <f t="shared" si="407"/>
        <v/>
      </c>
      <c r="AR895" s="216" t="str">
        <f t="shared" si="408"/>
        <v>BiK81KWKy---05</v>
      </c>
      <c r="AS895" s="215" t="str">
        <f t="shared" si="409"/>
        <v/>
      </c>
      <c r="AT895">
        <f t="shared" si="410"/>
        <v>14</v>
      </c>
      <c r="AU895" s="216" t="str">
        <f t="shared" si="411"/>
        <v>0-0,15 MW, Bonusregeln y und KWK</v>
      </c>
      <c r="AV895" s="215" t="str">
        <f t="shared" si="412"/>
        <v/>
      </c>
      <c r="AW895" s="216" t="str">
        <f t="shared" si="413"/>
        <v>Anteil KWK</v>
      </c>
      <c r="AX895" s="215" t="str">
        <f t="shared" si="414"/>
        <v/>
      </c>
      <c r="AY895" t="str">
        <f t="shared" si="415"/>
        <v/>
      </c>
      <c r="AZ895" t="str">
        <f t="shared" si="416"/>
        <v/>
      </c>
    </row>
    <row r="896" spans="1:52" s="178" customFormat="1" x14ac:dyDescent="0.25">
      <c r="A896" s="610" t="s">
        <v>2902</v>
      </c>
      <c r="B896" s="17" t="s">
        <v>5548</v>
      </c>
      <c r="C896" s="30" t="s">
        <v>1288</v>
      </c>
      <c r="D896" s="30" t="s">
        <v>6876</v>
      </c>
      <c r="E896" s="30" t="s">
        <v>4331</v>
      </c>
      <c r="F896" s="454">
        <f t="shared" si="422"/>
        <v>15.67</v>
      </c>
      <c r="G896" s="529">
        <v>15.67</v>
      </c>
      <c r="H896" s="487">
        <f t="shared" si="423"/>
        <v>12.54</v>
      </c>
      <c r="I896" s="706"/>
      <c r="J896" s="669" t="s">
        <v>5805</v>
      </c>
      <c r="K896" s="15"/>
      <c r="L896"/>
      <c r="M896" s="49">
        <f t="shared" si="424"/>
        <v>15.67</v>
      </c>
      <c r="N896" s="41">
        <v>11.67</v>
      </c>
      <c r="O896" s="54"/>
      <c r="P896" t="s">
        <v>1017</v>
      </c>
      <c r="Q896"/>
      <c r="R896"/>
      <c r="S896" t="s">
        <v>4180</v>
      </c>
      <c r="T896" s="178" t="s">
        <v>4180</v>
      </c>
      <c r="U896" s="55" t="s">
        <v>1017</v>
      </c>
      <c r="V896"/>
      <c r="W896" s="65"/>
      <c r="X896" s="65"/>
      <c r="Y896"/>
      <c r="Z896"/>
      <c r="AA896" s="65"/>
      <c r="AB896"/>
      <c r="AC896"/>
      <c r="AD896" s="91"/>
      <c r="AE896" s="124"/>
      <c r="AF896" s="65"/>
      <c r="AG896" s="91"/>
      <c r="AH896" s="212" t="str">
        <f t="shared" si="425"/>
        <v/>
      </c>
      <c r="AI896" s="214" t="str">
        <f t="shared" si="417"/>
        <v/>
      </c>
      <c r="AJ896" s="214" t="str">
        <f t="shared" si="418"/>
        <v/>
      </c>
      <c r="AK896" s="214" t="str">
        <f t="shared" si="419"/>
        <v/>
      </c>
      <c r="AL896" s="214" t="str">
        <f t="shared" si="420"/>
        <v/>
      </c>
      <c r="AM896" s="214" t="str">
        <f t="shared" si="421"/>
        <v/>
      </c>
      <c r="AN896" s="213" t="str">
        <f t="shared" si="404"/>
        <v/>
      </c>
      <c r="AO896" s="213" t="str">
        <f t="shared" si="405"/>
        <v/>
      </c>
      <c r="AP896" s="213" t="str">
        <f t="shared" si="406"/>
        <v/>
      </c>
      <c r="AQ896" s="215" t="str">
        <f t="shared" si="407"/>
        <v/>
      </c>
      <c r="AR896" s="216" t="str">
        <f t="shared" si="408"/>
        <v>BiK81KA3y---05</v>
      </c>
      <c r="AS896" s="215" t="str">
        <f t="shared" si="409"/>
        <v/>
      </c>
      <c r="AT896">
        <f t="shared" si="410"/>
        <v>14</v>
      </c>
      <c r="AU896" s="216" t="str">
        <f t="shared" si="411"/>
        <v>0-0,15 MW, Bonusregeln y und K wenn Anlage 3 erfüllt</v>
      </c>
      <c r="AV896" s="215" t="str">
        <f t="shared" si="412"/>
        <v/>
      </c>
      <c r="AW896" s="216" t="str">
        <f t="shared" si="413"/>
        <v>Anteil KWK gemäß Anlage 3</v>
      </c>
      <c r="AX896" s="215" t="str">
        <f t="shared" si="414"/>
        <v/>
      </c>
      <c r="AY896" t="str">
        <f t="shared" si="415"/>
        <v/>
      </c>
      <c r="AZ896" t="str">
        <f t="shared" si="416"/>
        <v/>
      </c>
    </row>
    <row r="897" spans="1:52" s="178" customFormat="1" x14ac:dyDescent="0.25">
      <c r="A897" s="610" t="s">
        <v>1312</v>
      </c>
      <c r="B897" s="17" t="s">
        <v>5548</v>
      </c>
      <c r="C897" s="17" t="s">
        <v>1288</v>
      </c>
      <c r="D897" s="30" t="s">
        <v>6877</v>
      </c>
      <c r="E897" s="17" t="s">
        <v>674</v>
      </c>
      <c r="F897" s="454">
        <f t="shared" si="422"/>
        <v>15.67</v>
      </c>
      <c r="G897" s="529">
        <v>15.67</v>
      </c>
      <c r="H897" s="487">
        <f t="shared" si="423"/>
        <v>12.54</v>
      </c>
      <c r="I897" s="706"/>
      <c r="J897" s="669" t="s">
        <v>5805</v>
      </c>
      <c r="K897" s="15"/>
      <c r="L897"/>
      <c r="M897" s="49">
        <f t="shared" si="424"/>
        <v>15.67</v>
      </c>
      <c r="N897" s="41">
        <v>11.67</v>
      </c>
      <c r="O897" s="54"/>
      <c r="P897" s="15"/>
      <c r="Q897" t="s">
        <v>1017</v>
      </c>
      <c r="R897"/>
      <c r="S897" t="s">
        <v>4180</v>
      </c>
      <c r="T897" s="178" t="s">
        <v>4180</v>
      </c>
      <c r="U897" s="55" t="s">
        <v>1017</v>
      </c>
      <c r="V897"/>
      <c r="W897" s="65"/>
      <c r="X897" s="65"/>
      <c r="Y897"/>
      <c r="Z897"/>
      <c r="AA897" s="65"/>
      <c r="AB897"/>
      <c r="AC897"/>
      <c r="AD897" s="91"/>
      <c r="AE897" s="124"/>
      <c r="AF897" s="65"/>
      <c r="AG897" s="91"/>
      <c r="AH897" s="212" t="str">
        <f t="shared" si="425"/>
        <v/>
      </c>
      <c r="AI897" s="214" t="str">
        <f t="shared" si="417"/>
        <v/>
      </c>
      <c r="AJ897" s="214" t="str">
        <f t="shared" si="418"/>
        <v/>
      </c>
      <c r="AK897" s="214" t="str">
        <f t="shared" si="419"/>
        <v/>
      </c>
      <c r="AL897" s="214" t="str">
        <f t="shared" si="420"/>
        <v/>
      </c>
      <c r="AM897" s="214" t="str">
        <f t="shared" si="421"/>
        <v/>
      </c>
      <c r="AN897" s="213" t="str">
        <f t="shared" si="404"/>
        <v/>
      </c>
      <c r="AO897" s="213" t="str">
        <f t="shared" si="405"/>
        <v/>
      </c>
      <c r="AP897" s="213" t="str">
        <f t="shared" si="406"/>
        <v/>
      </c>
      <c r="AQ897" s="215" t="str">
        <f t="shared" si="407"/>
        <v/>
      </c>
      <c r="AR897" s="216" t="str">
        <f t="shared" si="408"/>
        <v>BiK81K09y---05</v>
      </c>
      <c r="AS897" s="215" t="str">
        <f t="shared" si="409"/>
        <v/>
      </c>
      <c r="AT897">
        <f t="shared" si="410"/>
        <v>14</v>
      </c>
      <c r="AU897" s="216" t="str">
        <f t="shared" si="411"/>
        <v>0-0,15 MW, Bonusregeln y und K erstmals 2009</v>
      </c>
      <c r="AV897" s="215" t="str">
        <f t="shared" si="412"/>
        <v/>
      </c>
      <c r="AW897" s="216" t="str">
        <f t="shared" si="413"/>
        <v>Anteil KWK, erstmals 2009</v>
      </c>
      <c r="AX897" s="215" t="str">
        <f t="shared" si="414"/>
        <v/>
      </c>
      <c r="AY897" t="str">
        <f t="shared" si="415"/>
        <v/>
      </c>
      <c r="AZ897" t="str">
        <f t="shared" si="416"/>
        <v/>
      </c>
    </row>
    <row r="898" spans="1:52" s="178" customFormat="1" x14ac:dyDescent="0.25">
      <c r="A898" s="610" t="s">
        <v>3569</v>
      </c>
      <c r="B898" s="17" t="s">
        <v>5548</v>
      </c>
      <c r="C898" s="17" t="s">
        <v>1288</v>
      </c>
      <c r="D898" s="30" t="s">
        <v>6878</v>
      </c>
      <c r="E898" s="17" t="s">
        <v>3567</v>
      </c>
      <c r="F898" s="454">
        <f t="shared" si="422"/>
        <v>15.64</v>
      </c>
      <c r="G898" s="529">
        <v>15.64</v>
      </c>
      <c r="H898" s="487">
        <f t="shared" si="423"/>
        <v>12.51</v>
      </c>
      <c r="I898" s="706"/>
      <c r="J898" s="669" t="s">
        <v>5805</v>
      </c>
      <c r="K898" s="15"/>
      <c r="L898"/>
      <c r="M898" s="49">
        <f t="shared" si="424"/>
        <v>15.64</v>
      </c>
      <c r="N898" s="41">
        <v>11.67</v>
      </c>
      <c r="O898" s="54"/>
      <c r="P898" s="15"/>
      <c r="Q898"/>
      <c r="R898" t="s">
        <v>1017</v>
      </c>
      <c r="S898" t="s">
        <v>4180</v>
      </c>
      <c r="T898" s="178" t="s">
        <v>4180</v>
      </c>
      <c r="U898" s="55" t="s">
        <v>1017</v>
      </c>
      <c r="V898"/>
      <c r="W898" s="65"/>
      <c r="X898" s="65"/>
      <c r="Y898"/>
      <c r="Z898"/>
      <c r="AA898" s="65"/>
      <c r="AB898"/>
      <c r="AC898"/>
      <c r="AD898" s="91"/>
      <c r="AE898" s="124"/>
      <c r="AF898" s="65"/>
      <c r="AG898" s="91"/>
      <c r="AH898" s="212" t="str">
        <f t="shared" si="425"/>
        <v>2010</v>
      </c>
      <c r="AI898" s="214" t="str">
        <f t="shared" si="417"/>
        <v/>
      </c>
      <c r="AJ898" s="214" t="str">
        <f t="shared" si="418"/>
        <v/>
      </c>
      <c r="AK898" s="214" t="str">
        <f t="shared" si="419"/>
        <v/>
      </c>
      <c r="AL898" s="214" t="str">
        <f t="shared" si="420"/>
        <v/>
      </c>
      <c r="AM898" s="214" t="str">
        <f t="shared" si="421"/>
        <v/>
      </c>
      <c r="AN898" s="213" t="str">
        <f t="shared" si="404"/>
        <v>2010</v>
      </c>
      <c r="AO898" s="213" t="str">
        <f t="shared" si="405"/>
        <v>2010</v>
      </c>
      <c r="AP898" s="213" t="str">
        <f t="shared" si="406"/>
        <v>2010</v>
      </c>
      <c r="AQ898" s="215" t="str">
        <f t="shared" si="407"/>
        <v/>
      </c>
      <c r="AR898" s="216" t="str">
        <f t="shared" si="408"/>
        <v>BiK81K10y---05</v>
      </c>
      <c r="AS898" s="215" t="str">
        <f t="shared" si="409"/>
        <v/>
      </c>
      <c r="AT898">
        <f t="shared" si="410"/>
        <v>14</v>
      </c>
      <c r="AU898" s="216" t="str">
        <f t="shared" si="411"/>
        <v>0-0,15 MW, Bonusregeln y und K erstmals 2010</v>
      </c>
      <c r="AV898" s="215" t="str">
        <f t="shared" si="412"/>
        <v/>
      </c>
      <c r="AW898" s="216" t="str">
        <f t="shared" si="413"/>
        <v>Anteil KWK, erstmals 2010</v>
      </c>
      <c r="AX898" s="215" t="str">
        <f t="shared" si="414"/>
        <v/>
      </c>
      <c r="AY898" t="str">
        <f t="shared" si="415"/>
        <v/>
      </c>
      <c r="AZ898" t="str">
        <f t="shared" si="416"/>
        <v/>
      </c>
    </row>
    <row r="899" spans="1:52" s="178" customFormat="1" x14ac:dyDescent="0.25">
      <c r="A899" s="610" t="s">
        <v>5300</v>
      </c>
      <c r="B899" s="17" t="s">
        <v>5548</v>
      </c>
      <c r="C899" s="17" t="s">
        <v>1288</v>
      </c>
      <c r="D899" s="30" t="s">
        <v>6879</v>
      </c>
      <c r="E899" s="17" t="s">
        <v>3055</v>
      </c>
      <c r="F899" s="454">
        <f t="shared" si="422"/>
        <v>15.61</v>
      </c>
      <c r="G899" s="529">
        <v>15.61</v>
      </c>
      <c r="H899" s="487">
        <f t="shared" si="423"/>
        <v>12.49</v>
      </c>
      <c r="I899" s="706"/>
      <c r="J899" s="669" t="s">
        <v>5805</v>
      </c>
      <c r="K899" s="15"/>
      <c r="L899"/>
      <c r="M899" s="49">
        <f t="shared" si="424"/>
        <v>15.61</v>
      </c>
      <c r="N899" s="41">
        <v>11.67</v>
      </c>
      <c r="O899" s="54"/>
      <c r="P899" s="15"/>
      <c r="Q899"/>
      <c r="R899"/>
      <c r="S899" t="s">
        <v>1017</v>
      </c>
      <c r="T899" s="178" t="s">
        <v>4180</v>
      </c>
      <c r="U899" s="55" t="s">
        <v>1017</v>
      </c>
      <c r="V899"/>
      <c r="W899" s="65"/>
      <c r="X899" s="65"/>
      <c r="Y899"/>
      <c r="Z899"/>
      <c r="AA899" s="65"/>
      <c r="AB899"/>
      <c r="AC899"/>
      <c r="AD899" s="91"/>
      <c r="AE899" s="124"/>
      <c r="AF899" s="65"/>
      <c r="AG899" s="91"/>
      <c r="AH899" s="212" t="str">
        <f t="shared" si="425"/>
        <v>2011</v>
      </c>
      <c r="AI899" s="214" t="str">
        <f t="shared" si="417"/>
        <v/>
      </c>
      <c r="AJ899" s="214" t="str">
        <f t="shared" si="418"/>
        <v/>
      </c>
      <c r="AK899" s="214" t="str">
        <f t="shared" si="419"/>
        <v/>
      </c>
      <c r="AL899" s="214" t="str">
        <f t="shared" si="420"/>
        <v/>
      </c>
      <c r="AM899" s="214" t="str">
        <f t="shared" si="421"/>
        <v/>
      </c>
      <c r="AN899" s="213" t="str">
        <f t="shared" si="404"/>
        <v>2011</v>
      </c>
      <c r="AO899" s="213" t="str">
        <f t="shared" si="405"/>
        <v>2011</v>
      </c>
      <c r="AP899" s="213" t="str">
        <f t="shared" si="406"/>
        <v>2011</v>
      </c>
      <c r="AQ899" s="215" t="str">
        <f t="shared" si="407"/>
        <v/>
      </c>
      <c r="AR899" s="216" t="str">
        <f t="shared" si="408"/>
        <v>BiK81K11y---05</v>
      </c>
      <c r="AS899" s="215" t="str">
        <f t="shared" si="409"/>
        <v/>
      </c>
      <c r="AT899">
        <f t="shared" si="410"/>
        <v>14</v>
      </c>
      <c r="AU899" s="216" t="str">
        <f t="shared" si="411"/>
        <v>0-0,15 MW, Bonusregeln y und K erstmals 2011</v>
      </c>
      <c r="AV899" s="215" t="str">
        <f t="shared" si="412"/>
        <v/>
      </c>
      <c r="AW899" s="216" t="str">
        <f t="shared" si="413"/>
        <v>Anteil KWK, erstmals 2011</v>
      </c>
      <c r="AX899" s="215" t="str">
        <f t="shared" si="414"/>
        <v/>
      </c>
      <c r="AY899" t="str">
        <f t="shared" si="415"/>
        <v>x</v>
      </c>
      <c r="AZ899" t="str">
        <f t="shared" si="416"/>
        <v/>
      </c>
    </row>
    <row r="900" spans="1:52" s="178" customFormat="1" x14ac:dyDescent="0.25">
      <c r="A900" s="625" t="s">
        <v>1550</v>
      </c>
      <c r="B900" s="221" t="s">
        <v>5548</v>
      </c>
      <c r="C900" s="221" t="s">
        <v>1288</v>
      </c>
      <c r="D900" s="219" t="s">
        <v>6880</v>
      </c>
      <c r="E900" s="221" t="s">
        <v>1980</v>
      </c>
      <c r="F900" s="455">
        <f t="shared" si="422"/>
        <v>15.58</v>
      </c>
      <c r="G900" s="530">
        <v>15.58</v>
      </c>
      <c r="H900" s="488">
        <f t="shared" si="423"/>
        <v>12.46</v>
      </c>
      <c r="I900" s="707"/>
      <c r="J900" s="669" t="s">
        <v>5805</v>
      </c>
      <c r="K900" s="15"/>
      <c r="L900"/>
      <c r="M900" s="49">
        <f t="shared" si="424"/>
        <v>15.58</v>
      </c>
      <c r="N900" s="41">
        <v>11.67</v>
      </c>
      <c r="O900" s="54"/>
      <c r="P900" s="15"/>
      <c r="Q900"/>
      <c r="R900"/>
      <c r="S900" t="s">
        <v>4180</v>
      </c>
      <c r="T900" s="178" t="s">
        <v>1017</v>
      </c>
      <c r="U900" s="55" t="s">
        <v>1017</v>
      </c>
      <c r="V900"/>
      <c r="W900" s="65"/>
      <c r="X900" s="65"/>
      <c r="Y900"/>
      <c r="Z900"/>
      <c r="AA900" s="65"/>
      <c r="AB900"/>
      <c r="AC900"/>
      <c r="AD900" s="91"/>
      <c r="AE900" s="124"/>
      <c r="AF900" s="65"/>
      <c r="AG900" s="91"/>
      <c r="AH900" s="217" t="s">
        <v>4179</v>
      </c>
      <c r="AI900" s="214" t="str">
        <f t="shared" si="417"/>
        <v/>
      </c>
      <c r="AJ900" s="214" t="str">
        <f t="shared" si="418"/>
        <v/>
      </c>
      <c r="AK900" s="214" t="str">
        <f t="shared" si="419"/>
        <v/>
      </c>
      <c r="AL900" s="214" t="str">
        <f t="shared" si="420"/>
        <v/>
      </c>
      <c r="AM900" s="214" t="str">
        <f t="shared" si="421"/>
        <v/>
      </c>
      <c r="AN900" s="213" t="str">
        <f t="shared" si="404"/>
        <v>2012</v>
      </c>
      <c r="AO900" s="213" t="str">
        <f t="shared" si="405"/>
        <v>2012</v>
      </c>
      <c r="AP900" s="213" t="str">
        <f t="shared" si="406"/>
        <v>2012</v>
      </c>
      <c r="AQ900" s="215" t="str">
        <f t="shared" si="407"/>
        <v/>
      </c>
      <c r="AR900" s="216" t="str">
        <f t="shared" si="408"/>
        <v>BiK81K12y---05</v>
      </c>
      <c r="AS900" s="215" t="str">
        <f t="shared" si="409"/>
        <v/>
      </c>
      <c r="AT900">
        <f t="shared" si="410"/>
        <v>14</v>
      </c>
      <c r="AU900" s="216" t="str">
        <f t="shared" si="411"/>
        <v>0-0,15 MW, Bonusregeln y und K erstmals 2012</v>
      </c>
      <c r="AV900" s="215" t="str">
        <f t="shared" si="412"/>
        <v/>
      </c>
      <c r="AW900" s="216" t="str">
        <f t="shared" si="413"/>
        <v>Anteil KWK, erstmals 2012</v>
      </c>
      <c r="AX900" s="215" t="str">
        <f t="shared" si="414"/>
        <v/>
      </c>
      <c r="AY900" t="str">
        <f t="shared" si="415"/>
        <v/>
      </c>
      <c r="AZ900" t="str">
        <f t="shared" si="416"/>
        <v>x</v>
      </c>
    </row>
    <row r="901" spans="1:52" s="178" customFormat="1" x14ac:dyDescent="0.25">
      <c r="A901" s="618" t="s">
        <v>4508</v>
      </c>
      <c r="B901" s="31" t="s">
        <v>5548</v>
      </c>
      <c r="C901" s="31" t="s">
        <v>1288</v>
      </c>
      <c r="D901" s="31" t="s">
        <v>6881</v>
      </c>
      <c r="E901" s="31" t="s">
        <v>4810</v>
      </c>
      <c r="F901" s="460">
        <f t="shared" si="422"/>
        <v>17.670000000000002</v>
      </c>
      <c r="G901" s="536">
        <v>17.670000000000002</v>
      </c>
      <c r="H901" s="494">
        <f t="shared" si="423"/>
        <v>14.14</v>
      </c>
      <c r="I901" s="713"/>
      <c r="J901" s="669" t="s">
        <v>5805</v>
      </c>
      <c r="K901" s="15"/>
      <c r="L901"/>
      <c r="M901" s="49">
        <f t="shared" si="424"/>
        <v>17.670000000000002</v>
      </c>
      <c r="N901" s="41">
        <v>11.67</v>
      </c>
      <c r="O901" s="54"/>
      <c r="P901" s="15"/>
      <c r="Q901"/>
      <c r="R901"/>
      <c r="S901" t="s">
        <v>4180</v>
      </c>
      <c r="T901" s="178" t="s">
        <v>4180</v>
      </c>
      <c r="U901" s="55"/>
      <c r="V901" t="s">
        <v>1017</v>
      </c>
      <c r="W901" s="65"/>
      <c r="X901" s="65"/>
      <c r="Y901"/>
      <c r="Z901"/>
      <c r="AA901" s="65"/>
      <c r="AB901"/>
      <c r="AC901"/>
      <c r="AD901" s="91"/>
      <c r="AE901" s="124"/>
      <c r="AF901" s="65"/>
      <c r="AG901" s="91"/>
      <c r="AH901" s="212" t="str">
        <f t="shared" ref="AH901:AH906" si="426">IF(ISERROR(SEARCH("K erstmals 201",D901)),"",RIGHT(D901,4))</f>
        <v/>
      </c>
      <c r="AI901" s="214" t="str">
        <f t="shared" si="417"/>
        <v/>
      </c>
      <c r="AJ901" s="214" t="str">
        <f t="shared" si="418"/>
        <v/>
      </c>
      <c r="AK901" s="214" t="str">
        <f t="shared" si="419"/>
        <v/>
      </c>
      <c r="AL901" s="214" t="str">
        <f t="shared" si="420"/>
        <v/>
      </c>
      <c r="AM901" s="214" t="str">
        <f t="shared" si="421"/>
        <v/>
      </c>
      <c r="AN901" s="213" t="str">
        <f t="shared" si="404"/>
        <v/>
      </c>
      <c r="AO901" s="213" t="str">
        <f t="shared" si="405"/>
        <v/>
      </c>
      <c r="AP901" s="213" t="str">
        <f t="shared" si="406"/>
        <v/>
      </c>
      <c r="AQ901" s="215" t="str">
        <f t="shared" si="407"/>
        <v/>
      </c>
      <c r="AR901" s="216" t="str">
        <f t="shared" si="408"/>
        <v>BiK81a1-----05</v>
      </c>
      <c r="AS901" s="215" t="str">
        <f t="shared" si="409"/>
        <v/>
      </c>
      <c r="AT901">
        <f t="shared" si="410"/>
        <v>14</v>
      </c>
      <c r="AU901" s="216" t="str">
        <f t="shared" si="411"/>
        <v>0-0,15 MW, Bonusregel a1</v>
      </c>
      <c r="AV901" s="215" t="str">
        <f t="shared" si="412"/>
        <v/>
      </c>
      <c r="AW901" s="216" t="str">
        <f t="shared" si="413"/>
        <v>Anteil Nicht-KWK</v>
      </c>
      <c r="AX901" s="215" t="str">
        <f t="shared" si="414"/>
        <v/>
      </c>
      <c r="AY901" t="str">
        <f t="shared" si="415"/>
        <v/>
      </c>
      <c r="AZ901" t="str">
        <f t="shared" si="416"/>
        <v/>
      </c>
    </row>
    <row r="902" spans="1:52" s="178" customFormat="1" x14ac:dyDescent="0.25">
      <c r="A902" s="618" t="s">
        <v>4509</v>
      </c>
      <c r="B902" s="31" t="s">
        <v>5548</v>
      </c>
      <c r="C902" s="31" t="s">
        <v>1288</v>
      </c>
      <c r="D902" s="33" t="s">
        <v>6882</v>
      </c>
      <c r="E902" s="31" t="s">
        <v>4812</v>
      </c>
      <c r="F902" s="460">
        <f t="shared" si="422"/>
        <v>19.670000000000002</v>
      </c>
      <c r="G902" s="536">
        <v>19.670000000000002</v>
      </c>
      <c r="H902" s="494">
        <f t="shared" si="423"/>
        <v>15.74</v>
      </c>
      <c r="I902" s="713"/>
      <c r="J902" s="669" t="s">
        <v>5805</v>
      </c>
      <c r="K902" s="15"/>
      <c r="L902"/>
      <c r="M902" s="49">
        <f t="shared" si="424"/>
        <v>19.670000000000002</v>
      </c>
      <c r="N902" s="41">
        <v>11.67</v>
      </c>
      <c r="O902" s="54" t="s">
        <v>1017</v>
      </c>
      <c r="P902" s="15"/>
      <c r="Q902"/>
      <c r="R902"/>
      <c r="S902" t="s">
        <v>4180</v>
      </c>
      <c r="T902" s="178" t="s">
        <v>4180</v>
      </c>
      <c r="U902" s="55"/>
      <c r="V902" t="s">
        <v>1017</v>
      </c>
      <c r="W902" s="65"/>
      <c r="X902" s="65"/>
      <c r="Y902"/>
      <c r="Z902"/>
      <c r="AA902" s="65"/>
      <c r="AB902"/>
      <c r="AC902"/>
      <c r="AD902" s="91"/>
      <c r="AE902" s="124"/>
      <c r="AF902" s="65"/>
      <c r="AG902" s="91"/>
      <c r="AH902" s="212" t="str">
        <f t="shared" si="426"/>
        <v/>
      </c>
      <c r="AI902" s="214" t="str">
        <f t="shared" si="417"/>
        <v/>
      </c>
      <c r="AJ902" s="214" t="str">
        <f t="shared" si="418"/>
        <v/>
      </c>
      <c r="AK902" s="214" t="str">
        <f t="shared" si="419"/>
        <v/>
      </c>
      <c r="AL902" s="214" t="str">
        <f t="shared" si="420"/>
        <v/>
      </c>
      <c r="AM902" s="214" t="str">
        <f t="shared" si="421"/>
        <v/>
      </c>
      <c r="AN902" s="213" t="str">
        <f t="shared" si="404"/>
        <v/>
      </c>
      <c r="AO902" s="213" t="str">
        <f t="shared" si="405"/>
        <v/>
      </c>
      <c r="AP902" s="213" t="str">
        <f t="shared" si="406"/>
        <v/>
      </c>
      <c r="AQ902" s="215" t="str">
        <f t="shared" si="407"/>
        <v/>
      </c>
      <c r="AR902" s="216" t="str">
        <f t="shared" si="408"/>
        <v>BiK81a1KWK--05</v>
      </c>
      <c r="AS902" s="215" t="str">
        <f t="shared" si="409"/>
        <v/>
      </c>
      <c r="AT902">
        <f t="shared" si="410"/>
        <v>14</v>
      </c>
      <c r="AU902" s="216" t="str">
        <f t="shared" si="411"/>
        <v>0-0,15 MW, Bonusregeln a1 und KWK</v>
      </c>
      <c r="AV902" s="215" t="str">
        <f t="shared" si="412"/>
        <v/>
      </c>
      <c r="AW902" s="216" t="str">
        <f t="shared" si="413"/>
        <v>Anteil KWK</v>
      </c>
      <c r="AX902" s="215" t="str">
        <f t="shared" si="414"/>
        <v/>
      </c>
      <c r="AY902" t="str">
        <f t="shared" si="415"/>
        <v/>
      </c>
      <c r="AZ902" t="str">
        <f t="shared" si="416"/>
        <v/>
      </c>
    </row>
    <row r="903" spans="1:52" s="178" customFormat="1" x14ac:dyDescent="0.25">
      <c r="A903" s="610" t="s">
        <v>4343</v>
      </c>
      <c r="B903" s="17" t="s">
        <v>5548</v>
      </c>
      <c r="C903" s="30" t="s">
        <v>1288</v>
      </c>
      <c r="D903" s="30" t="s">
        <v>6883</v>
      </c>
      <c r="E903" s="30" t="s">
        <v>4331</v>
      </c>
      <c r="F903" s="454">
        <f t="shared" si="422"/>
        <v>20.67</v>
      </c>
      <c r="G903" s="529">
        <v>20.67</v>
      </c>
      <c r="H903" s="487">
        <f t="shared" si="423"/>
        <v>16.54</v>
      </c>
      <c r="I903" s="706"/>
      <c r="J903" s="669" t="s">
        <v>5805</v>
      </c>
      <c r="K903" s="15"/>
      <c r="L903"/>
      <c r="M903" s="49">
        <f t="shared" si="424"/>
        <v>20.67</v>
      </c>
      <c r="N903" s="41">
        <v>11.67</v>
      </c>
      <c r="O903" s="54"/>
      <c r="P903" t="s">
        <v>1017</v>
      </c>
      <c r="Q903"/>
      <c r="R903"/>
      <c r="S903" t="s">
        <v>4180</v>
      </c>
      <c r="T903" s="178" t="s">
        <v>4180</v>
      </c>
      <c r="U903" s="55"/>
      <c r="V903" t="s">
        <v>1017</v>
      </c>
      <c r="W903" s="65"/>
      <c r="X903" s="65"/>
      <c r="Y903"/>
      <c r="Z903"/>
      <c r="AA903" s="65"/>
      <c r="AB903"/>
      <c r="AC903"/>
      <c r="AD903" s="91"/>
      <c r="AE903" s="124"/>
      <c r="AF903" s="65"/>
      <c r="AG903" s="91"/>
      <c r="AH903" s="212" t="str">
        <f t="shared" si="426"/>
        <v/>
      </c>
      <c r="AI903" s="214" t="str">
        <f t="shared" si="417"/>
        <v/>
      </c>
      <c r="AJ903" s="214" t="str">
        <f t="shared" si="418"/>
        <v/>
      </c>
      <c r="AK903" s="214" t="str">
        <f t="shared" si="419"/>
        <v/>
      </c>
      <c r="AL903" s="214" t="str">
        <f t="shared" si="420"/>
        <v/>
      </c>
      <c r="AM903" s="214" t="str">
        <f t="shared" si="421"/>
        <v/>
      </c>
      <c r="AN903" s="213" t="str">
        <f t="shared" si="404"/>
        <v/>
      </c>
      <c r="AO903" s="213" t="str">
        <f t="shared" si="405"/>
        <v/>
      </c>
      <c r="AP903" s="213" t="str">
        <f t="shared" si="406"/>
        <v/>
      </c>
      <c r="AQ903" s="215" t="str">
        <f t="shared" si="407"/>
        <v/>
      </c>
      <c r="AR903" s="216" t="str">
        <f t="shared" si="408"/>
        <v>BiK81a1KA3--05</v>
      </c>
      <c r="AS903" s="215" t="str">
        <f t="shared" si="409"/>
        <v/>
      </c>
      <c r="AT903">
        <f t="shared" si="410"/>
        <v>14</v>
      </c>
      <c r="AU903" s="216" t="str">
        <f t="shared" si="411"/>
        <v>0-0,15 MW, Bonusregeln a1 und K wenn Anlage 3 erfüllt</v>
      </c>
      <c r="AV903" s="215" t="str">
        <f t="shared" si="412"/>
        <v/>
      </c>
      <c r="AW903" s="216" t="str">
        <f t="shared" si="413"/>
        <v>Anteil KWK gemäß Anlage 3</v>
      </c>
      <c r="AX903" s="215" t="str">
        <f t="shared" si="414"/>
        <v/>
      </c>
      <c r="AY903" t="str">
        <f t="shared" si="415"/>
        <v/>
      </c>
      <c r="AZ903" t="str">
        <f t="shared" si="416"/>
        <v/>
      </c>
    </row>
    <row r="904" spans="1:52" s="178" customFormat="1" x14ac:dyDescent="0.25">
      <c r="A904" s="610" t="s">
        <v>2345</v>
      </c>
      <c r="B904" s="17" t="s">
        <v>5548</v>
      </c>
      <c r="C904" s="17" t="s">
        <v>1288</v>
      </c>
      <c r="D904" s="30" t="s">
        <v>6995</v>
      </c>
      <c r="E904" s="17" t="s">
        <v>674</v>
      </c>
      <c r="F904" s="454">
        <f t="shared" si="422"/>
        <v>20.67</v>
      </c>
      <c r="G904" s="529">
        <v>20.67</v>
      </c>
      <c r="H904" s="487">
        <f t="shared" si="423"/>
        <v>16.54</v>
      </c>
      <c r="I904" s="706"/>
      <c r="J904" s="669" t="s">
        <v>5805</v>
      </c>
      <c r="K904" s="15"/>
      <c r="L904"/>
      <c r="M904" s="49">
        <f t="shared" si="424"/>
        <v>20.67</v>
      </c>
      <c r="N904" s="41">
        <v>11.67</v>
      </c>
      <c r="O904" s="54"/>
      <c r="P904" s="15"/>
      <c r="Q904" t="s">
        <v>1017</v>
      </c>
      <c r="R904"/>
      <c r="S904" t="s">
        <v>4180</v>
      </c>
      <c r="T904" s="178" t="s">
        <v>4180</v>
      </c>
      <c r="U904" s="55"/>
      <c r="V904" t="s">
        <v>1017</v>
      </c>
      <c r="W904" s="65"/>
      <c r="X904" s="65"/>
      <c r="Y904"/>
      <c r="Z904"/>
      <c r="AA904" s="65"/>
      <c r="AB904"/>
      <c r="AC904"/>
      <c r="AD904" s="91"/>
      <c r="AE904" s="124"/>
      <c r="AF904" s="65"/>
      <c r="AG904" s="91"/>
      <c r="AH904" s="212" t="str">
        <f t="shared" si="426"/>
        <v/>
      </c>
      <c r="AI904" s="214" t="str">
        <f t="shared" si="417"/>
        <v/>
      </c>
      <c r="AJ904" s="214" t="str">
        <f t="shared" si="418"/>
        <v/>
      </c>
      <c r="AK904" s="214" t="str">
        <f t="shared" si="419"/>
        <v/>
      </c>
      <c r="AL904" s="214" t="str">
        <f t="shared" si="420"/>
        <v/>
      </c>
      <c r="AM904" s="214" t="str">
        <f t="shared" si="421"/>
        <v/>
      </c>
      <c r="AN904" s="213" t="str">
        <f t="shared" si="404"/>
        <v/>
      </c>
      <c r="AO904" s="213" t="str">
        <f t="shared" si="405"/>
        <v/>
      </c>
      <c r="AP904" s="213" t="str">
        <f t="shared" si="406"/>
        <v/>
      </c>
      <c r="AQ904" s="215" t="str">
        <f t="shared" si="407"/>
        <v/>
      </c>
      <c r="AR904" s="216" t="str">
        <f t="shared" si="408"/>
        <v>BiK81a1K09--05</v>
      </c>
      <c r="AS904" s="215" t="str">
        <f t="shared" si="409"/>
        <v/>
      </c>
      <c r="AT904">
        <f t="shared" si="410"/>
        <v>14</v>
      </c>
      <c r="AU904" s="216" t="str">
        <f t="shared" si="411"/>
        <v>0-0,15 MW, Bonusregeln a1 und K erstmals 2009</v>
      </c>
      <c r="AV904" s="215" t="str">
        <f t="shared" si="412"/>
        <v/>
      </c>
      <c r="AW904" s="216" t="str">
        <f t="shared" si="413"/>
        <v>Anteil KWK, erstmals 2009</v>
      </c>
      <c r="AX904" s="215" t="str">
        <f t="shared" si="414"/>
        <v/>
      </c>
      <c r="AY904" t="str">
        <f t="shared" si="415"/>
        <v/>
      </c>
      <c r="AZ904" t="str">
        <f t="shared" si="416"/>
        <v/>
      </c>
    </row>
    <row r="905" spans="1:52" s="178" customFormat="1" x14ac:dyDescent="0.25">
      <c r="A905" s="610" t="s">
        <v>3570</v>
      </c>
      <c r="B905" s="17" t="s">
        <v>5548</v>
      </c>
      <c r="C905" s="17" t="s">
        <v>1288</v>
      </c>
      <c r="D905" s="30" t="s">
        <v>6996</v>
      </c>
      <c r="E905" s="17" t="s">
        <v>3567</v>
      </c>
      <c r="F905" s="454">
        <f t="shared" si="422"/>
        <v>20.64</v>
      </c>
      <c r="G905" s="529">
        <v>20.64</v>
      </c>
      <c r="H905" s="487">
        <f t="shared" si="423"/>
        <v>16.510000000000002</v>
      </c>
      <c r="I905" s="706"/>
      <c r="J905" s="669" t="s">
        <v>5805</v>
      </c>
      <c r="K905" s="15"/>
      <c r="L905"/>
      <c r="M905" s="49">
        <f t="shared" si="424"/>
        <v>20.64</v>
      </c>
      <c r="N905" s="41">
        <v>11.67</v>
      </c>
      <c r="O905" s="54"/>
      <c r="P905" s="15"/>
      <c r="Q905"/>
      <c r="R905" t="s">
        <v>1017</v>
      </c>
      <c r="S905" t="s">
        <v>4180</v>
      </c>
      <c r="T905" s="178" t="s">
        <v>4180</v>
      </c>
      <c r="U905" s="55"/>
      <c r="V905" t="s">
        <v>1017</v>
      </c>
      <c r="W905" s="65"/>
      <c r="X905" s="65"/>
      <c r="Y905"/>
      <c r="Z905"/>
      <c r="AA905" s="65"/>
      <c r="AB905"/>
      <c r="AC905"/>
      <c r="AD905" s="91"/>
      <c r="AE905" s="124"/>
      <c r="AF905" s="65"/>
      <c r="AG905" s="91"/>
      <c r="AH905" s="212" t="str">
        <f t="shared" si="426"/>
        <v>2010</v>
      </c>
      <c r="AI905" s="214" t="str">
        <f t="shared" si="417"/>
        <v/>
      </c>
      <c r="AJ905" s="214" t="str">
        <f t="shared" si="418"/>
        <v/>
      </c>
      <c r="AK905" s="214" t="str">
        <f t="shared" si="419"/>
        <v/>
      </c>
      <c r="AL905" s="214" t="str">
        <f t="shared" si="420"/>
        <v/>
      </c>
      <c r="AM905" s="214" t="str">
        <f t="shared" si="421"/>
        <v/>
      </c>
      <c r="AN905" s="213" t="str">
        <f t="shared" si="404"/>
        <v>2010</v>
      </c>
      <c r="AO905" s="213" t="str">
        <f t="shared" si="405"/>
        <v>2010</v>
      </c>
      <c r="AP905" s="213" t="str">
        <f t="shared" si="406"/>
        <v>2010</v>
      </c>
      <c r="AQ905" s="215" t="str">
        <f t="shared" si="407"/>
        <v/>
      </c>
      <c r="AR905" s="216" t="str">
        <f t="shared" si="408"/>
        <v>BiK81a1K10--05</v>
      </c>
      <c r="AS905" s="215" t="str">
        <f t="shared" si="409"/>
        <v/>
      </c>
      <c r="AT905">
        <f t="shared" si="410"/>
        <v>14</v>
      </c>
      <c r="AU905" s="216" t="str">
        <f t="shared" si="411"/>
        <v>0-0,15 MW, Bonusregeln a1 und K erstmals 2010</v>
      </c>
      <c r="AV905" s="215" t="str">
        <f t="shared" si="412"/>
        <v/>
      </c>
      <c r="AW905" s="216" t="str">
        <f t="shared" si="413"/>
        <v>Anteil KWK, erstmals 2010</v>
      </c>
      <c r="AX905" s="215" t="str">
        <f t="shared" si="414"/>
        <v/>
      </c>
      <c r="AY905" t="str">
        <f t="shared" si="415"/>
        <v/>
      </c>
      <c r="AZ905" t="str">
        <f t="shared" si="416"/>
        <v/>
      </c>
    </row>
    <row r="906" spans="1:52" s="178" customFormat="1" x14ac:dyDescent="0.25">
      <c r="A906" s="610" t="s">
        <v>5301</v>
      </c>
      <c r="B906" s="17" t="s">
        <v>5548</v>
      </c>
      <c r="C906" s="17" t="s">
        <v>1288</v>
      </c>
      <c r="D906" s="30" t="s">
        <v>6997</v>
      </c>
      <c r="E906" s="17" t="s">
        <v>3055</v>
      </c>
      <c r="F906" s="454">
        <f t="shared" si="422"/>
        <v>20.61</v>
      </c>
      <c r="G906" s="529">
        <v>20.61</v>
      </c>
      <c r="H906" s="487">
        <f t="shared" si="423"/>
        <v>16.489999999999998</v>
      </c>
      <c r="I906" s="706"/>
      <c r="J906" s="669" t="s">
        <v>5805</v>
      </c>
      <c r="K906" s="15"/>
      <c r="L906"/>
      <c r="M906" s="49">
        <f t="shared" si="424"/>
        <v>20.61</v>
      </c>
      <c r="N906" s="41">
        <v>11.67</v>
      </c>
      <c r="O906" s="54"/>
      <c r="P906" s="15"/>
      <c r="Q906"/>
      <c r="R906"/>
      <c r="S906" t="s">
        <v>1017</v>
      </c>
      <c r="T906" s="178" t="s">
        <v>4180</v>
      </c>
      <c r="U906" s="55"/>
      <c r="V906" t="s">
        <v>1017</v>
      </c>
      <c r="W906" s="65"/>
      <c r="X906" s="65"/>
      <c r="Y906"/>
      <c r="Z906"/>
      <c r="AA906" s="65"/>
      <c r="AB906"/>
      <c r="AC906"/>
      <c r="AD906" s="91"/>
      <c r="AE906" s="124"/>
      <c r="AF906" s="65"/>
      <c r="AG906" s="91"/>
      <c r="AH906" s="212" t="str">
        <f t="shared" si="426"/>
        <v>2011</v>
      </c>
      <c r="AI906" s="214" t="str">
        <f t="shared" si="417"/>
        <v/>
      </c>
      <c r="AJ906" s="214" t="str">
        <f t="shared" si="418"/>
        <v/>
      </c>
      <c r="AK906" s="214" t="str">
        <f t="shared" si="419"/>
        <v/>
      </c>
      <c r="AL906" s="214" t="str">
        <f t="shared" si="420"/>
        <v/>
      </c>
      <c r="AM906" s="214" t="str">
        <f t="shared" si="421"/>
        <v/>
      </c>
      <c r="AN906" s="213" t="str">
        <f t="shared" si="404"/>
        <v>2011</v>
      </c>
      <c r="AO906" s="213" t="str">
        <f t="shared" si="405"/>
        <v>2011</v>
      </c>
      <c r="AP906" s="213" t="str">
        <f t="shared" si="406"/>
        <v>2011</v>
      </c>
      <c r="AQ906" s="215" t="str">
        <f t="shared" si="407"/>
        <v/>
      </c>
      <c r="AR906" s="216" t="str">
        <f t="shared" si="408"/>
        <v>BiK81a1K11--05</v>
      </c>
      <c r="AS906" s="215" t="str">
        <f t="shared" si="409"/>
        <v/>
      </c>
      <c r="AT906">
        <f t="shared" si="410"/>
        <v>14</v>
      </c>
      <c r="AU906" s="216" t="str">
        <f t="shared" si="411"/>
        <v>0-0,15 MW, Bonusregeln a1 und K erstmals 2011</v>
      </c>
      <c r="AV906" s="215" t="str">
        <f t="shared" si="412"/>
        <v/>
      </c>
      <c r="AW906" s="216" t="str">
        <f t="shared" si="413"/>
        <v>Anteil KWK, erstmals 2011</v>
      </c>
      <c r="AX906" s="215" t="str">
        <f t="shared" si="414"/>
        <v/>
      </c>
      <c r="AY906" t="str">
        <f t="shared" si="415"/>
        <v>x</v>
      </c>
      <c r="AZ906" t="str">
        <f t="shared" si="416"/>
        <v/>
      </c>
    </row>
    <row r="907" spans="1:52" s="178" customFormat="1" x14ac:dyDescent="0.25">
      <c r="A907" s="625" t="s">
        <v>1551</v>
      </c>
      <c r="B907" s="221" t="s">
        <v>5548</v>
      </c>
      <c r="C907" s="221" t="s">
        <v>1288</v>
      </c>
      <c r="D907" s="219" t="s">
        <v>6998</v>
      </c>
      <c r="E907" s="221" t="s">
        <v>1980</v>
      </c>
      <c r="F907" s="455">
        <f t="shared" si="422"/>
        <v>20.58</v>
      </c>
      <c r="G907" s="530">
        <v>20.58</v>
      </c>
      <c r="H907" s="488">
        <f t="shared" si="423"/>
        <v>16.46</v>
      </c>
      <c r="I907" s="707"/>
      <c r="J907" s="669" t="s">
        <v>5805</v>
      </c>
      <c r="K907" s="15"/>
      <c r="L907"/>
      <c r="M907" s="49">
        <f t="shared" si="424"/>
        <v>20.58</v>
      </c>
      <c r="N907" s="41">
        <v>11.67</v>
      </c>
      <c r="O907" s="54"/>
      <c r="P907" s="15"/>
      <c r="Q907"/>
      <c r="R907"/>
      <c r="S907" t="s">
        <v>4180</v>
      </c>
      <c r="T907" s="178" t="s">
        <v>1017</v>
      </c>
      <c r="U907" s="55"/>
      <c r="V907" t="s">
        <v>1017</v>
      </c>
      <c r="W907" s="65"/>
      <c r="X907" s="65"/>
      <c r="Y907"/>
      <c r="Z907"/>
      <c r="AA907" s="65"/>
      <c r="AB907"/>
      <c r="AC907"/>
      <c r="AD907" s="91"/>
      <c r="AE907" s="124"/>
      <c r="AF907" s="65"/>
      <c r="AG907" s="91"/>
      <c r="AH907" s="217" t="s">
        <v>4179</v>
      </c>
      <c r="AI907" s="214" t="str">
        <f t="shared" si="417"/>
        <v/>
      </c>
      <c r="AJ907" s="214" t="str">
        <f t="shared" si="418"/>
        <v/>
      </c>
      <c r="AK907" s="214" t="str">
        <f t="shared" si="419"/>
        <v/>
      </c>
      <c r="AL907" s="214" t="str">
        <f t="shared" si="420"/>
        <v/>
      </c>
      <c r="AM907" s="214" t="str">
        <f t="shared" si="421"/>
        <v/>
      </c>
      <c r="AN907" s="213" t="str">
        <f t="shared" si="404"/>
        <v>2012</v>
      </c>
      <c r="AO907" s="213" t="str">
        <f t="shared" si="405"/>
        <v>2012</v>
      </c>
      <c r="AP907" s="213" t="str">
        <f t="shared" si="406"/>
        <v>2012</v>
      </c>
      <c r="AQ907" s="215" t="str">
        <f t="shared" si="407"/>
        <v/>
      </c>
      <c r="AR907" s="216" t="str">
        <f t="shared" si="408"/>
        <v>BiK81a1K12--05</v>
      </c>
      <c r="AS907" s="215" t="str">
        <f t="shared" si="409"/>
        <v/>
      </c>
      <c r="AT907">
        <f t="shared" si="410"/>
        <v>14</v>
      </c>
      <c r="AU907" s="216" t="str">
        <f t="shared" si="411"/>
        <v>0-0,15 MW, Bonusregeln a1 und K erstmals 2012</v>
      </c>
      <c r="AV907" s="215" t="str">
        <f t="shared" si="412"/>
        <v/>
      </c>
      <c r="AW907" s="216" t="str">
        <f t="shared" si="413"/>
        <v>Anteil KWK, erstmals 2012</v>
      </c>
      <c r="AX907" s="215" t="str">
        <f t="shared" si="414"/>
        <v/>
      </c>
      <c r="AY907" t="str">
        <f t="shared" si="415"/>
        <v/>
      </c>
      <c r="AZ907" t="str">
        <f t="shared" si="416"/>
        <v>x</v>
      </c>
    </row>
    <row r="908" spans="1:52" s="178" customFormat="1" x14ac:dyDescent="0.25">
      <c r="A908" s="610" t="s">
        <v>1313</v>
      </c>
      <c r="B908" s="17" t="s">
        <v>5548</v>
      </c>
      <c r="C908" s="17" t="s">
        <v>1288</v>
      </c>
      <c r="D908" s="30" t="s">
        <v>6888</v>
      </c>
      <c r="E908" s="17" t="s">
        <v>4810</v>
      </c>
      <c r="F908" s="454">
        <f t="shared" si="422"/>
        <v>18.670000000000002</v>
      </c>
      <c r="G908" s="529">
        <v>18.670000000000002</v>
      </c>
      <c r="H908" s="487">
        <f t="shared" si="423"/>
        <v>14.94</v>
      </c>
      <c r="I908" s="706"/>
      <c r="J908" s="669" t="s">
        <v>5805</v>
      </c>
      <c r="K908" s="15"/>
      <c r="L908"/>
      <c r="M908" s="49">
        <f t="shared" si="424"/>
        <v>18.670000000000002</v>
      </c>
      <c r="N908" s="41">
        <v>11.67</v>
      </c>
      <c r="O908" s="54"/>
      <c r="P908" s="15"/>
      <c r="Q908"/>
      <c r="R908"/>
      <c r="S908" t="s">
        <v>4180</v>
      </c>
      <c r="T908" s="178" t="s">
        <v>4180</v>
      </c>
      <c r="U908" s="55" t="s">
        <v>1017</v>
      </c>
      <c r="V908" t="s">
        <v>1017</v>
      </c>
      <c r="W908" s="65"/>
      <c r="X908" s="65"/>
      <c r="Y908"/>
      <c r="Z908"/>
      <c r="AA908" s="65"/>
      <c r="AB908"/>
      <c r="AC908"/>
      <c r="AD908" s="91"/>
      <c r="AE908" s="124"/>
      <c r="AF908" s="65"/>
      <c r="AG908" s="91"/>
      <c r="AH908" s="212" t="str">
        <f t="shared" ref="AH908:AH913" si="427">IF(ISERROR(SEARCH("K erstmals 201",D908)),"",RIGHT(D908,4))</f>
        <v/>
      </c>
      <c r="AI908" s="214" t="str">
        <f t="shared" si="417"/>
        <v/>
      </c>
      <c r="AJ908" s="214" t="str">
        <f t="shared" si="418"/>
        <v/>
      </c>
      <c r="AK908" s="214" t="str">
        <f t="shared" si="419"/>
        <v/>
      </c>
      <c r="AL908" s="214" t="str">
        <f t="shared" si="420"/>
        <v/>
      </c>
      <c r="AM908" s="214" t="str">
        <f t="shared" si="421"/>
        <v/>
      </c>
      <c r="AN908" s="213" t="str">
        <f t="shared" si="404"/>
        <v/>
      </c>
      <c r="AO908" s="213" t="str">
        <f t="shared" si="405"/>
        <v/>
      </c>
      <c r="AP908" s="213" t="str">
        <f t="shared" si="406"/>
        <v/>
      </c>
      <c r="AQ908" s="215" t="str">
        <f t="shared" si="407"/>
        <v/>
      </c>
      <c r="AR908" s="216" t="str">
        <f t="shared" si="408"/>
        <v>BiK81a1y----05</v>
      </c>
      <c r="AS908" s="215" t="str">
        <f t="shared" si="409"/>
        <v/>
      </c>
      <c r="AT908">
        <f t="shared" si="410"/>
        <v>14</v>
      </c>
      <c r="AU908" s="216" t="str">
        <f t="shared" si="411"/>
        <v>0-0,15 MW, Bonusregeln a1, y</v>
      </c>
      <c r="AV908" s="215" t="str">
        <f t="shared" si="412"/>
        <v/>
      </c>
      <c r="AW908" s="216" t="str">
        <f t="shared" si="413"/>
        <v>Anteil Nicht-KWK</v>
      </c>
      <c r="AX908" s="215" t="str">
        <f t="shared" si="414"/>
        <v/>
      </c>
      <c r="AY908" t="str">
        <f t="shared" si="415"/>
        <v/>
      </c>
      <c r="AZ908" t="str">
        <f t="shared" si="416"/>
        <v/>
      </c>
    </row>
    <row r="909" spans="1:52" s="178" customFormat="1" x14ac:dyDescent="0.25">
      <c r="A909" s="610" t="s">
        <v>1314</v>
      </c>
      <c r="B909" s="17" t="s">
        <v>5548</v>
      </c>
      <c r="C909" s="17" t="s">
        <v>1288</v>
      </c>
      <c r="D909" s="30" t="s">
        <v>6889</v>
      </c>
      <c r="E909" s="17" t="s">
        <v>4812</v>
      </c>
      <c r="F909" s="454">
        <f t="shared" si="422"/>
        <v>20.67</v>
      </c>
      <c r="G909" s="529">
        <v>20.67</v>
      </c>
      <c r="H909" s="487">
        <f t="shared" si="423"/>
        <v>16.54</v>
      </c>
      <c r="I909" s="706"/>
      <c r="J909" s="669" t="s">
        <v>5805</v>
      </c>
      <c r="K909" s="15"/>
      <c r="L909"/>
      <c r="M909" s="49">
        <f t="shared" si="424"/>
        <v>20.67</v>
      </c>
      <c r="N909" s="41">
        <v>11.67</v>
      </c>
      <c r="O909" s="54" t="s">
        <v>1017</v>
      </c>
      <c r="P909" s="15"/>
      <c r="Q909"/>
      <c r="R909"/>
      <c r="S909" t="s">
        <v>4180</v>
      </c>
      <c r="T909" s="178" t="s">
        <v>4180</v>
      </c>
      <c r="U909" s="55" t="s">
        <v>1017</v>
      </c>
      <c r="V909" t="s">
        <v>1017</v>
      </c>
      <c r="W909" s="65"/>
      <c r="X909" s="65"/>
      <c r="Y909"/>
      <c r="Z909"/>
      <c r="AA909" s="65"/>
      <c r="AB909"/>
      <c r="AC909"/>
      <c r="AD909" s="91"/>
      <c r="AE909" s="124"/>
      <c r="AF909" s="65"/>
      <c r="AG909" s="91"/>
      <c r="AH909" s="212" t="str">
        <f t="shared" si="427"/>
        <v/>
      </c>
      <c r="AI909" s="214" t="str">
        <f t="shared" si="417"/>
        <v/>
      </c>
      <c r="AJ909" s="214" t="str">
        <f t="shared" si="418"/>
        <v/>
      </c>
      <c r="AK909" s="214" t="str">
        <f t="shared" si="419"/>
        <v/>
      </c>
      <c r="AL909" s="214" t="str">
        <f t="shared" si="420"/>
        <v/>
      </c>
      <c r="AM909" s="214" t="str">
        <f t="shared" si="421"/>
        <v/>
      </c>
      <c r="AN909" s="213" t="str">
        <f t="shared" si="404"/>
        <v/>
      </c>
      <c r="AO909" s="213" t="str">
        <f t="shared" si="405"/>
        <v/>
      </c>
      <c r="AP909" s="213" t="str">
        <f t="shared" si="406"/>
        <v/>
      </c>
      <c r="AQ909" s="215" t="str">
        <f t="shared" si="407"/>
        <v/>
      </c>
      <c r="AR909" s="216" t="str">
        <f t="shared" si="408"/>
        <v>BiK81a1KWKy-05</v>
      </c>
      <c r="AS909" s="215" t="str">
        <f t="shared" si="409"/>
        <v/>
      </c>
      <c r="AT909">
        <f t="shared" si="410"/>
        <v>14</v>
      </c>
      <c r="AU909" s="216" t="str">
        <f t="shared" si="411"/>
        <v>0-0,15 MW, Bonusregeln a1, y und KWK</v>
      </c>
      <c r="AV909" s="215" t="str">
        <f t="shared" si="412"/>
        <v/>
      </c>
      <c r="AW909" s="216" t="str">
        <f t="shared" si="413"/>
        <v>Anteil KWK</v>
      </c>
      <c r="AX909" s="215" t="str">
        <f t="shared" si="414"/>
        <v/>
      </c>
      <c r="AY909" t="str">
        <f t="shared" si="415"/>
        <v/>
      </c>
      <c r="AZ909" t="str">
        <f t="shared" si="416"/>
        <v/>
      </c>
    </row>
    <row r="910" spans="1:52" s="178" customFormat="1" x14ac:dyDescent="0.25">
      <c r="A910" s="610" t="s">
        <v>1315</v>
      </c>
      <c r="B910" s="17" t="s">
        <v>5548</v>
      </c>
      <c r="C910" s="30" t="s">
        <v>1288</v>
      </c>
      <c r="D910" s="30" t="s">
        <v>6890</v>
      </c>
      <c r="E910" s="30" t="s">
        <v>4331</v>
      </c>
      <c r="F910" s="454">
        <f t="shared" si="422"/>
        <v>21.67</v>
      </c>
      <c r="G910" s="529">
        <v>21.67</v>
      </c>
      <c r="H910" s="487">
        <f t="shared" si="423"/>
        <v>17.34</v>
      </c>
      <c r="I910" s="706"/>
      <c r="J910" s="669" t="s">
        <v>5805</v>
      </c>
      <c r="K910" s="15"/>
      <c r="L910"/>
      <c r="M910" s="49">
        <f t="shared" si="424"/>
        <v>21.67</v>
      </c>
      <c r="N910" s="41">
        <v>11.67</v>
      </c>
      <c r="O910" s="54"/>
      <c r="P910" t="s">
        <v>1017</v>
      </c>
      <c r="Q910"/>
      <c r="R910"/>
      <c r="S910" t="s">
        <v>4180</v>
      </c>
      <c r="T910" s="178" t="s">
        <v>4180</v>
      </c>
      <c r="U910" s="55" t="s">
        <v>1017</v>
      </c>
      <c r="V910" t="s">
        <v>1017</v>
      </c>
      <c r="W910" s="65"/>
      <c r="X910" s="65"/>
      <c r="Y910"/>
      <c r="Z910"/>
      <c r="AA910" s="65"/>
      <c r="AB910"/>
      <c r="AC910"/>
      <c r="AD910" s="91"/>
      <c r="AE910" s="124"/>
      <c r="AF910" s="65"/>
      <c r="AG910" s="91"/>
      <c r="AH910" s="212" t="str">
        <f t="shared" si="427"/>
        <v/>
      </c>
      <c r="AI910" s="214" t="str">
        <f t="shared" si="417"/>
        <v/>
      </c>
      <c r="AJ910" s="214" t="str">
        <f t="shared" si="418"/>
        <v/>
      </c>
      <c r="AK910" s="214" t="str">
        <f t="shared" si="419"/>
        <v/>
      </c>
      <c r="AL910" s="214" t="str">
        <f t="shared" si="420"/>
        <v/>
      </c>
      <c r="AM910" s="214" t="str">
        <f t="shared" si="421"/>
        <v/>
      </c>
      <c r="AN910" s="213" t="str">
        <f t="shared" si="404"/>
        <v/>
      </c>
      <c r="AO910" s="213" t="str">
        <f t="shared" si="405"/>
        <v/>
      </c>
      <c r="AP910" s="213" t="str">
        <f t="shared" si="406"/>
        <v/>
      </c>
      <c r="AQ910" s="215" t="str">
        <f t="shared" si="407"/>
        <v/>
      </c>
      <c r="AR910" s="216" t="str">
        <f t="shared" si="408"/>
        <v>BiK81a1KA3y-05</v>
      </c>
      <c r="AS910" s="215" t="str">
        <f t="shared" si="409"/>
        <v/>
      </c>
      <c r="AT910">
        <f t="shared" si="410"/>
        <v>14</v>
      </c>
      <c r="AU910" s="216" t="str">
        <f t="shared" si="411"/>
        <v>0-0,15 MW, Bonusregeln a1, y und K wenn Anlage 3 erfüllt</v>
      </c>
      <c r="AV910" s="215" t="str">
        <f t="shared" si="412"/>
        <v/>
      </c>
      <c r="AW910" s="216" t="str">
        <f t="shared" si="413"/>
        <v>Anteil KWK gemäß Anlage 3</v>
      </c>
      <c r="AX910" s="215" t="str">
        <f t="shared" si="414"/>
        <v/>
      </c>
      <c r="AY910" t="str">
        <f t="shared" si="415"/>
        <v/>
      </c>
      <c r="AZ910" t="str">
        <f t="shared" si="416"/>
        <v/>
      </c>
    </row>
    <row r="911" spans="1:52" s="178" customFormat="1" x14ac:dyDescent="0.25">
      <c r="A911" s="610" t="s">
        <v>1316</v>
      </c>
      <c r="B911" s="17" t="s">
        <v>5548</v>
      </c>
      <c r="C911" s="17" t="s">
        <v>1288</v>
      </c>
      <c r="D911" s="30" t="s">
        <v>6891</v>
      </c>
      <c r="E911" s="17" t="s">
        <v>674</v>
      </c>
      <c r="F911" s="454">
        <f t="shared" si="422"/>
        <v>21.67</v>
      </c>
      <c r="G911" s="529">
        <v>21.67</v>
      </c>
      <c r="H911" s="487">
        <f t="shared" si="423"/>
        <v>17.34</v>
      </c>
      <c r="I911" s="706"/>
      <c r="J911" s="669" t="s">
        <v>5805</v>
      </c>
      <c r="K911" s="15"/>
      <c r="L911"/>
      <c r="M911" s="49">
        <f t="shared" si="424"/>
        <v>21.67</v>
      </c>
      <c r="N911" s="41">
        <v>11.67</v>
      </c>
      <c r="O911" s="54"/>
      <c r="P911" s="15"/>
      <c r="Q911" t="s">
        <v>1017</v>
      </c>
      <c r="R911"/>
      <c r="S911" t="s">
        <v>4180</v>
      </c>
      <c r="T911" s="178" t="s">
        <v>4180</v>
      </c>
      <c r="U911" s="55" t="s">
        <v>1017</v>
      </c>
      <c r="V911" t="s">
        <v>1017</v>
      </c>
      <c r="W911" s="65"/>
      <c r="X911" s="65"/>
      <c r="Y911"/>
      <c r="Z911"/>
      <c r="AA911" s="65"/>
      <c r="AB911"/>
      <c r="AC911"/>
      <c r="AD911" s="91"/>
      <c r="AE911" s="124"/>
      <c r="AF911" s="65"/>
      <c r="AG911" s="91"/>
      <c r="AH911" s="212" t="str">
        <f t="shared" si="427"/>
        <v/>
      </c>
      <c r="AI911" s="214" t="str">
        <f t="shared" si="417"/>
        <v/>
      </c>
      <c r="AJ911" s="214" t="str">
        <f t="shared" si="418"/>
        <v/>
      </c>
      <c r="AK911" s="214" t="str">
        <f t="shared" si="419"/>
        <v/>
      </c>
      <c r="AL911" s="214" t="str">
        <f t="shared" si="420"/>
        <v/>
      </c>
      <c r="AM911" s="214" t="str">
        <f t="shared" si="421"/>
        <v/>
      </c>
      <c r="AN911" s="213" t="str">
        <f t="shared" si="404"/>
        <v/>
      </c>
      <c r="AO911" s="213" t="str">
        <f t="shared" si="405"/>
        <v/>
      </c>
      <c r="AP911" s="213" t="str">
        <f t="shared" si="406"/>
        <v/>
      </c>
      <c r="AQ911" s="215" t="str">
        <f t="shared" si="407"/>
        <v/>
      </c>
      <c r="AR911" s="216" t="str">
        <f t="shared" si="408"/>
        <v>BiK81a1K09y-05</v>
      </c>
      <c r="AS911" s="215" t="str">
        <f t="shared" si="409"/>
        <v/>
      </c>
      <c r="AT911">
        <f t="shared" si="410"/>
        <v>14</v>
      </c>
      <c r="AU911" s="216" t="str">
        <f t="shared" si="411"/>
        <v>0-0,15 MW, Bonusregeln a1, y und K erstmals 2009</v>
      </c>
      <c r="AV911" s="215" t="str">
        <f t="shared" si="412"/>
        <v/>
      </c>
      <c r="AW911" s="216" t="str">
        <f t="shared" si="413"/>
        <v>Anteil KWK, erstmals 2009</v>
      </c>
      <c r="AX911" s="215" t="str">
        <f t="shared" si="414"/>
        <v/>
      </c>
      <c r="AY911" t="str">
        <f t="shared" si="415"/>
        <v/>
      </c>
      <c r="AZ911" t="str">
        <f t="shared" si="416"/>
        <v/>
      </c>
    </row>
    <row r="912" spans="1:52" s="178" customFormat="1" x14ac:dyDescent="0.25">
      <c r="A912" s="610" t="s">
        <v>3571</v>
      </c>
      <c r="B912" s="17" t="s">
        <v>5548</v>
      </c>
      <c r="C912" s="17" t="s">
        <v>1288</v>
      </c>
      <c r="D912" s="30" t="s">
        <v>6892</v>
      </c>
      <c r="E912" s="17" t="s">
        <v>3567</v>
      </c>
      <c r="F912" s="454">
        <f t="shared" si="422"/>
        <v>21.64</v>
      </c>
      <c r="G912" s="529">
        <v>21.64</v>
      </c>
      <c r="H912" s="487">
        <f t="shared" si="423"/>
        <v>17.309999999999999</v>
      </c>
      <c r="I912" s="706"/>
      <c r="J912" s="669" t="s">
        <v>5805</v>
      </c>
      <c r="K912" s="15"/>
      <c r="L912"/>
      <c r="M912" s="49">
        <f t="shared" si="424"/>
        <v>21.64</v>
      </c>
      <c r="N912" s="41">
        <v>11.67</v>
      </c>
      <c r="O912" s="54"/>
      <c r="P912" s="15"/>
      <c r="Q912"/>
      <c r="R912" t="s">
        <v>1017</v>
      </c>
      <c r="S912" t="s">
        <v>4180</v>
      </c>
      <c r="T912" s="178" t="s">
        <v>4180</v>
      </c>
      <c r="U912" s="55" t="s">
        <v>1017</v>
      </c>
      <c r="V912" t="s">
        <v>1017</v>
      </c>
      <c r="W912" s="65"/>
      <c r="X912" s="65"/>
      <c r="Y912"/>
      <c r="Z912"/>
      <c r="AA912" s="65"/>
      <c r="AB912"/>
      <c r="AC912"/>
      <c r="AD912" s="91"/>
      <c r="AE912" s="124"/>
      <c r="AF912" s="65"/>
      <c r="AG912" s="91"/>
      <c r="AH912" s="212" t="str">
        <f t="shared" si="427"/>
        <v>2010</v>
      </c>
      <c r="AI912" s="214" t="str">
        <f t="shared" si="417"/>
        <v/>
      </c>
      <c r="AJ912" s="214" t="str">
        <f t="shared" si="418"/>
        <v/>
      </c>
      <c r="AK912" s="214" t="str">
        <f t="shared" si="419"/>
        <v/>
      </c>
      <c r="AL912" s="214" t="str">
        <f t="shared" si="420"/>
        <v/>
      </c>
      <c r="AM912" s="214" t="str">
        <f t="shared" si="421"/>
        <v/>
      </c>
      <c r="AN912" s="213" t="str">
        <f t="shared" si="404"/>
        <v>2010</v>
      </c>
      <c r="AO912" s="213" t="str">
        <f t="shared" si="405"/>
        <v>2010</v>
      </c>
      <c r="AP912" s="213" t="str">
        <f t="shared" si="406"/>
        <v>2010</v>
      </c>
      <c r="AQ912" s="215" t="str">
        <f t="shared" si="407"/>
        <v/>
      </c>
      <c r="AR912" s="216" t="str">
        <f t="shared" si="408"/>
        <v>BiK81a1K10y-05</v>
      </c>
      <c r="AS912" s="215" t="str">
        <f t="shared" si="409"/>
        <v/>
      </c>
      <c r="AT912">
        <f t="shared" si="410"/>
        <v>14</v>
      </c>
      <c r="AU912" s="216" t="str">
        <f t="shared" si="411"/>
        <v>0-0,15 MW, Bonusregeln a1, y und K erstmals 2010</v>
      </c>
      <c r="AV912" s="215" t="str">
        <f t="shared" si="412"/>
        <v/>
      </c>
      <c r="AW912" s="216" t="str">
        <f t="shared" si="413"/>
        <v>Anteil KWK, erstmals 2010</v>
      </c>
      <c r="AX912" s="215" t="str">
        <f t="shared" si="414"/>
        <v/>
      </c>
      <c r="AY912" t="str">
        <f t="shared" si="415"/>
        <v/>
      </c>
      <c r="AZ912" t="str">
        <f t="shared" si="416"/>
        <v/>
      </c>
    </row>
    <row r="913" spans="1:52" s="178" customFormat="1" x14ac:dyDescent="0.25">
      <c r="A913" s="610" t="s">
        <v>5302</v>
      </c>
      <c r="B913" s="17" t="s">
        <v>5548</v>
      </c>
      <c r="C913" s="17" t="s">
        <v>1288</v>
      </c>
      <c r="D913" s="30" t="s">
        <v>6893</v>
      </c>
      <c r="E913" s="17" t="s">
        <v>3055</v>
      </c>
      <c r="F913" s="454">
        <f t="shared" si="422"/>
        <v>21.61</v>
      </c>
      <c r="G913" s="529">
        <v>21.61</v>
      </c>
      <c r="H913" s="487">
        <f t="shared" si="423"/>
        <v>17.29</v>
      </c>
      <c r="I913" s="706"/>
      <c r="J913" s="669" t="s">
        <v>5805</v>
      </c>
      <c r="K913" s="15"/>
      <c r="L913"/>
      <c r="M913" s="49">
        <f t="shared" si="424"/>
        <v>21.61</v>
      </c>
      <c r="N913" s="41">
        <v>11.67</v>
      </c>
      <c r="O913" s="54"/>
      <c r="P913" s="15"/>
      <c r="Q913"/>
      <c r="R913"/>
      <c r="S913" t="s">
        <v>1017</v>
      </c>
      <c r="T913" s="178" t="s">
        <v>4180</v>
      </c>
      <c r="U913" s="55" t="s">
        <v>1017</v>
      </c>
      <c r="V913" t="s">
        <v>1017</v>
      </c>
      <c r="W913" s="65"/>
      <c r="X913" s="65"/>
      <c r="Y913"/>
      <c r="Z913"/>
      <c r="AA913" s="65"/>
      <c r="AB913"/>
      <c r="AC913"/>
      <c r="AD913" s="91"/>
      <c r="AE913" s="124"/>
      <c r="AF913" s="65"/>
      <c r="AG913" s="91"/>
      <c r="AH913" s="212" t="str">
        <f t="shared" si="427"/>
        <v>2011</v>
      </c>
      <c r="AI913" s="214" t="str">
        <f t="shared" si="417"/>
        <v/>
      </c>
      <c r="AJ913" s="214" t="str">
        <f t="shared" si="418"/>
        <v/>
      </c>
      <c r="AK913" s="214" t="str">
        <f t="shared" si="419"/>
        <v/>
      </c>
      <c r="AL913" s="214" t="str">
        <f t="shared" si="420"/>
        <v/>
      </c>
      <c r="AM913" s="214" t="str">
        <f t="shared" si="421"/>
        <v/>
      </c>
      <c r="AN913" s="213" t="str">
        <f t="shared" si="404"/>
        <v>2011</v>
      </c>
      <c r="AO913" s="213" t="str">
        <f t="shared" si="405"/>
        <v>2011</v>
      </c>
      <c r="AP913" s="213" t="str">
        <f t="shared" si="406"/>
        <v>2011</v>
      </c>
      <c r="AQ913" s="215" t="str">
        <f t="shared" si="407"/>
        <v/>
      </c>
      <c r="AR913" s="216" t="str">
        <f t="shared" si="408"/>
        <v>BiK81a1K11y-05</v>
      </c>
      <c r="AS913" s="215" t="str">
        <f t="shared" si="409"/>
        <v/>
      </c>
      <c r="AT913">
        <f t="shared" si="410"/>
        <v>14</v>
      </c>
      <c r="AU913" s="216" t="str">
        <f t="shared" si="411"/>
        <v>0-0,15 MW, Bonusregeln a1, y und K erstmals 2011</v>
      </c>
      <c r="AV913" s="215" t="str">
        <f t="shared" si="412"/>
        <v/>
      </c>
      <c r="AW913" s="216" t="str">
        <f t="shared" si="413"/>
        <v>Anteil KWK, erstmals 2011</v>
      </c>
      <c r="AX913" s="215" t="str">
        <f t="shared" si="414"/>
        <v/>
      </c>
      <c r="AY913" t="str">
        <f t="shared" si="415"/>
        <v>x</v>
      </c>
      <c r="AZ913" t="str">
        <f t="shared" si="416"/>
        <v/>
      </c>
    </row>
    <row r="914" spans="1:52" s="178" customFormat="1" x14ac:dyDescent="0.25">
      <c r="A914" s="625" t="s">
        <v>1552</v>
      </c>
      <c r="B914" s="221" t="s">
        <v>5548</v>
      </c>
      <c r="C914" s="221" t="s">
        <v>1288</v>
      </c>
      <c r="D914" s="219" t="s">
        <v>6894</v>
      </c>
      <c r="E914" s="221" t="s">
        <v>1980</v>
      </c>
      <c r="F914" s="455">
        <f t="shared" si="422"/>
        <v>21.58</v>
      </c>
      <c r="G914" s="530">
        <v>21.58</v>
      </c>
      <c r="H914" s="488">
        <f t="shared" si="423"/>
        <v>17.260000000000002</v>
      </c>
      <c r="I914" s="707"/>
      <c r="J914" s="669" t="s">
        <v>5805</v>
      </c>
      <c r="K914" s="15"/>
      <c r="L914"/>
      <c r="M914" s="49">
        <f t="shared" si="424"/>
        <v>21.58</v>
      </c>
      <c r="N914" s="41">
        <v>11.67</v>
      </c>
      <c r="O914" s="54"/>
      <c r="P914" s="15"/>
      <c r="Q914"/>
      <c r="R914"/>
      <c r="S914" t="s">
        <v>4180</v>
      </c>
      <c r="T914" s="178" t="s">
        <v>1017</v>
      </c>
      <c r="U914" s="55" t="s">
        <v>1017</v>
      </c>
      <c r="V914" t="s">
        <v>1017</v>
      </c>
      <c r="W914" s="65"/>
      <c r="X914" s="65"/>
      <c r="Y914"/>
      <c r="Z914"/>
      <c r="AA914" s="65"/>
      <c r="AB914"/>
      <c r="AC914"/>
      <c r="AD914" s="91"/>
      <c r="AE914" s="124"/>
      <c r="AF914" s="65"/>
      <c r="AG914" s="91"/>
      <c r="AH914" s="217" t="s">
        <v>4179</v>
      </c>
      <c r="AI914" s="214" t="str">
        <f t="shared" si="417"/>
        <v/>
      </c>
      <c r="AJ914" s="214" t="str">
        <f t="shared" si="418"/>
        <v/>
      </c>
      <c r="AK914" s="214" t="str">
        <f t="shared" si="419"/>
        <v/>
      </c>
      <c r="AL914" s="214" t="str">
        <f t="shared" si="420"/>
        <v/>
      </c>
      <c r="AM914" s="214" t="str">
        <f t="shared" si="421"/>
        <v/>
      </c>
      <c r="AN914" s="213" t="str">
        <f t="shared" si="404"/>
        <v>2012</v>
      </c>
      <c r="AO914" s="213" t="str">
        <f t="shared" si="405"/>
        <v>2012</v>
      </c>
      <c r="AP914" s="213" t="str">
        <f t="shared" si="406"/>
        <v>2012</v>
      </c>
      <c r="AQ914" s="215" t="str">
        <f t="shared" si="407"/>
        <v/>
      </c>
      <c r="AR914" s="216" t="str">
        <f t="shared" si="408"/>
        <v>BiK81a1K12y-05</v>
      </c>
      <c r="AS914" s="215" t="str">
        <f t="shared" si="409"/>
        <v/>
      </c>
      <c r="AT914">
        <f t="shared" si="410"/>
        <v>14</v>
      </c>
      <c r="AU914" s="216" t="str">
        <f t="shared" si="411"/>
        <v>0-0,15 MW, Bonusregeln a1, y und K erstmals 2012</v>
      </c>
      <c r="AV914" s="215" t="str">
        <f t="shared" si="412"/>
        <v/>
      </c>
      <c r="AW914" s="216" t="str">
        <f t="shared" si="413"/>
        <v>Anteil KWK, erstmals 2012</v>
      </c>
      <c r="AX914" s="215" t="str">
        <f t="shared" si="414"/>
        <v/>
      </c>
      <c r="AY914" t="str">
        <f t="shared" si="415"/>
        <v/>
      </c>
      <c r="AZ914" t="str">
        <f t="shared" si="416"/>
        <v>x</v>
      </c>
    </row>
    <row r="915" spans="1:52" s="178" customFormat="1" x14ac:dyDescent="0.25">
      <c r="A915" s="610" t="s">
        <v>1226</v>
      </c>
      <c r="B915" s="30" t="s">
        <v>5548</v>
      </c>
      <c r="C915" s="30" t="s">
        <v>1288</v>
      </c>
      <c r="D915" s="30" t="s">
        <v>6810</v>
      </c>
      <c r="E915" s="30" t="s">
        <v>4810</v>
      </c>
      <c r="F915" s="454">
        <f t="shared" si="422"/>
        <v>18.670000000000002</v>
      </c>
      <c r="G915" s="529">
        <v>18.670000000000002</v>
      </c>
      <c r="H915" s="487">
        <f t="shared" si="423"/>
        <v>14.94</v>
      </c>
      <c r="I915" s="706"/>
      <c r="J915" s="669" t="s">
        <v>5805</v>
      </c>
      <c r="K915" s="15"/>
      <c r="L915"/>
      <c r="M915" s="49">
        <f t="shared" si="424"/>
        <v>18.670000000000002</v>
      </c>
      <c r="N915" s="41">
        <v>11.67</v>
      </c>
      <c r="O915" s="186"/>
      <c r="P915" s="177"/>
      <c r="S915" s="178" t="s">
        <v>4180</v>
      </c>
      <c r="T915" s="178" t="s">
        <v>4180</v>
      </c>
      <c r="U915" s="179"/>
      <c r="W915" s="180"/>
      <c r="X915" s="180"/>
      <c r="Y915" s="178" t="s">
        <v>1017</v>
      </c>
      <c r="AA915" s="180"/>
      <c r="AD915" s="201"/>
      <c r="AE915" s="200"/>
      <c r="AF915" s="180"/>
      <c r="AG915" s="201"/>
      <c r="AH915" s="212" t="str">
        <f t="shared" ref="AH915:AH920" si="428">IF(ISERROR(SEARCH("K erstmals 201",D915)),"",RIGHT(D915,4))</f>
        <v/>
      </c>
      <c r="AI915" s="214" t="str">
        <f t="shared" si="417"/>
        <v/>
      </c>
      <c r="AJ915" s="214" t="str">
        <f t="shared" si="418"/>
        <v/>
      </c>
      <c r="AK915" s="214" t="str">
        <f t="shared" si="419"/>
        <v/>
      </c>
      <c r="AL915" s="214" t="str">
        <f t="shared" si="420"/>
        <v/>
      </c>
      <c r="AM915" s="214" t="str">
        <f t="shared" si="421"/>
        <v/>
      </c>
      <c r="AN915" s="213" t="str">
        <f t="shared" si="404"/>
        <v/>
      </c>
      <c r="AO915" s="213" t="str">
        <f t="shared" si="405"/>
        <v/>
      </c>
      <c r="AP915" s="213" t="str">
        <f t="shared" si="406"/>
        <v/>
      </c>
      <c r="AQ915" s="215" t="str">
        <f t="shared" si="407"/>
        <v/>
      </c>
      <c r="AR915" s="216" t="str">
        <f t="shared" si="408"/>
        <v>BiK81G------05</v>
      </c>
      <c r="AS915" s="215" t="str">
        <f t="shared" si="409"/>
        <v/>
      </c>
      <c r="AT915">
        <f t="shared" si="410"/>
        <v>14</v>
      </c>
      <c r="AU915" s="216" t="str">
        <f t="shared" si="411"/>
        <v>0-0,15 MW, Bonusregel G</v>
      </c>
      <c r="AV915" s="215" t="str">
        <f t="shared" si="412"/>
        <v/>
      </c>
      <c r="AW915" s="216" t="str">
        <f t="shared" si="413"/>
        <v>Anteil Nicht-KWK</v>
      </c>
      <c r="AX915" s="215" t="str">
        <f t="shared" si="414"/>
        <v/>
      </c>
      <c r="AY915" t="str">
        <f t="shared" si="415"/>
        <v/>
      </c>
      <c r="AZ915" t="str">
        <f t="shared" si="416"/>
        <v/>
      </c>
    </row>
    <row r="916" spans="1:52" s="178" customFormat="1" x14ac:dyDescent="0.25">
      <c r="A916" s="610" t="s">
        <v>1055</v>
      </c>
      <c r="B916" s="30" t="s">
        <v>5548</v>
      </c>
      <c r="C916" s="30" t="s">
        <v>1288</v>
      </c>
      <c r="D916" s="30" t="s">
        <v>6895</v>
      </c>
      <c r="E916" s="30" t="s">
        <v>4812</v>
      </c>
      <c r="F916" s="454">
        <f t="shared" si="422"/>
        <v>20.67</v>
      </c>
      <c r="G916" s="529">
        <v>20.67</v>
      </c>
      <c r="H916" s="487">
        <f t="shared" si="423"/>
        <v>16.54</v>
      </c>
      <c r="I916" s="706"/>
      <c r="J916" s="669" t="s">
        <v>5805</v>
      </c>
      <c r="K916" s="15"/>
      <c r="L916"/>
      <c r="M916" s="49">
        <f t="shared" si="424"/>
        <v>20.67</v>
      </c>
      <c r="N916" s="41">
        <v>11.67</v>
      </c>
      <c r="O916" s="186" t="s">
        <v>1017</v>
      </c>
      <c r="P916" s="177"/>
      <c r="S916" s="178" t="s">
        <v>4180</v>
      </c>
      <c r="T916" s="178" t="s">
        <v>4180</v>
      </c>
      <c r="U916" s="179"/>
      <c r="W916" s="180"/>
      <c r="X916" s="180"/>
      <c r="Y916" s="178" t="s">
        <v>1017</v>
      </c>
      <c r="AA916" s="180"/>
      <c r="AD916" s="201"/>
      <c r="AE916" s="200"/>
      <c r="AF916" s="180"/>
      <c r="AG916" s="201"/>
      <c r="AH916" s="212" t="str">
        <f t="shared" si="428"/>
        <v/>
      </c>
      <c r="AI916" s="214" t="str">
        <f t="shared" si="417"/>
        <v/>
      </c>
      <c r="AJ916" s="214" t="str">
        <f t="shared" si="418"/>
        <v/>
      </c>
      <c r="AK916" s="214" t="str">
        <f t="shared" si="419"/>
        <v/>
      </c>
      <c r="AL916" s="214" t="str">
        <f t="shared" si="420"/>
        <v/>
      </c>
      <c r="AM916" s="214" t="str">
        <f t="shared" si="421"/>
        <v/>
      </c>
      <c r="AN916" s="213" t="str">
        <f t="shared" si="404"/>
        <v/>
      </c>
      <c r="AO916" s="213" t="str">
        <f t="shared" si="405"/>
        <v/>
      </c>
      <c r="AP916" s="213" t="str">
        <f t="shared" si="406"/>
        <v/>
      </c>
      <c r="AQ916" s="215" t="str">
        <f t="shared" si="407"/>
        <v/>
      </c>
      <c r="AR916" s="216" t="str">
        <f t="shared" si="408"/>
        <v>BiK81GKWK---05</v>
      </c>
      <c r="AS916" s="215" t="str">
        <f t="shared" si="409"/>
        <v/>
      </c>
      <c r="AT916">
        <f t="shared" si="410"/>
        <v>14</v>
      </c>
      <c r="AU916" s="216" t="str">
        <f t="shared" si="411"/>
        <v>0-0,15 MW, Bonusregeln G und KWK</v>
      </c>
      <c r="AV916" s="215" t="str">
        <f t="shared" si="412"/>
        <v/>
      </c>
      <c r="AW916" s="216" t="str">
        <f t="shared" si="413"/>
        <v>Anteil KWK</v>
      </c>
      <c r="AX916" s="215" t="str">
        <f t="shared" si="414"/>
        <v/>
      </c>
      <c r="AY916" t="str">
        <f t="shared" si="415"/>
        <v/>
      </c>
      <c r="AZ916" t="str">
        <f t="shared" si="416"/>
        <v/>
      </c>
    </row>
    <row r="917" spans="1:52" s="178" customFormat="1" x14ac:dyDescent="0.25">
      <c r="A917" s="610" t="s">
        <v>1056</v>
      </c>
      <c r="B917" s="30" t="s">
        <v>5548</v>
      </c>
      <c r="C917" s="30" t="s">
        <v>1288</v>
      </c>
      <c r="D917" s="30" t="s">
        <v>6811</v>
      </c>
      <c r="E917" s="30" t="s">
        <v>4331</v>
      </c>
      <c r="F917" s="454">
        <f t="shared" si="422"/>
        <v>21.67</v>
      </c>
      <c r="G917" s="529">
        <v>21.67</v>
      </c>
      <c r="H917" s="487">
        <f t="shared" si="423"/>
        <v>17.34</v>
      </c>
      <c r="I917" s="706"/>
      <c r="J917" s="669" t="s">
        <v>5805</v>
      </c>
      <c r="K917" s="15"/>
      <c r="L917"/>
      <c r="M917" s="49">
        <f t="shared" si="424"/>
        <v>21.67</v>
      </c>
      <c r="N917" s="41">
        <v>11.67</v>
      </c>
      <c r="O917" s="186"/>
      <c r="P917" s="178" t="s">
        <v>1017</v>
      </c>
      <c r="S917" s="178" t="s">
        <v>4180</v>
      </c>
      <c r="T917" s="178" t="s">
        <v>4180</v>
      </c>
      <c r="U917" s="179"/>
      <c r="W917" s="180"/>
      <c r="X917" s="180"/>
      <c r="Y917" s="178" t="s">
        <v>1017</v>
      </c>
      <c r="AA917" s="180"/>
      <c r="AD917" s="201"/>
      <c r="AE917" s="200"/>
      <c r="AF917" s="180"/>
      <c r="AG917" s="201"/>
      <c r="AH917" s="212" t="str">
        <f t="shared" si="428"/>
        <v/>
      </c>
      <c r="AI917" s="214" t="str">
        <f t="shared" si="417"/>
        <v/>
      </c>
      <c r="AJ917" s="214" t="str">
        <f t="shared" si="418"/>
        <v/>
      </c>
      <c r="AK917" s="214" t="str">
        <f t="shared" si="419"/>
        <v/>
      </c>
      <c r="AL917" s="214" t="str">
        <f t="shared" si="420"/>
        <v/>
      </c>
      <c r="AM917" s="214" t="str">
        <f t="shared" si="421"/>
        <v/>
      </c>
      <c r="AN917" s="213" t="str">
        <f t="shared" si="404"/>
        <v/>
      </c>
      <c r="AO917" s="213" t="str">
        <f t="shared" si="405"/>
        <v/>
      </c>
      <c r="AP917" s="213" t="str">
        <f t="shared" si="406"/>
        <v/>
      </c>
      <c r="AQ917" s="215" t="str">
        <f t="shared" si="407"/>
        <v/>
      </c>
      <c r="AR917" s="216" t="str">
        <f t="shared" si="408"/>
        <v>BiK81GKA3---05</v>
      </c>
      <c r="AS917" s="215" t="str">
        <f t="shared" si="409"/>
        <v/>
      </c>
      <c r="AT917">
        <f t="shared" si="410"/>
        <v>14</v>
      </c>
      <c r="AU917" s="216" t="str">
        <f t="shared" si="411"/>
        <v>0-0,15 MW, Bonusregeln G und K wenn Anlage 3 erfüllt</v>
      </c>
      <c r="AV917" s="215" t="str">
        <f t="shared" si="412"/>
        <v/>
      </c>
      <c r="AW917" s="216" t="str">
        <f t="shared" si="413"/>
        <v>Anteil KWK gemäß Anlage 3</v>
      </c>
      <c r="AX917" s="215" t="str">
        <f t="shared" si="414"/>
        <v/>
      </c>
      <c r="AY917" t="str">
        <f t="shared" si="415"/>
        <v/>
      </c>
      <c r="AZ917" t="str">
        <f t="shared" si="416"/>
        <v/>
      </c>
    </row>
    <row r="918" spans="1:52" s="178" customFormat="1" x14ac:dyDescent="0.25">
      <c r="A918" s="610" t="s">
        <v>1057</v>
      </c>
      <c r="B918" s="30" t="s">
        <v>5548</v>
      </c>
      <c r="C918" s="30" t="s">
        <v>1288</v>
      </c>
      <c r="D918" s="30" t="s">
        <v>6812</v>
      </c>
      <c r="E918" s="30" t="s">
        <v>674</v>
      </c>
      <c r="F918" s="454">
        <f t="shared" si="422"/>
        <v>21.67</v>
      </c>
      <c r="G918" s="529">
        <v>21.67</v>
      </c>
      <c r="H918" s="487">
        <f t="shared" si="423"/>
        <v>17.34</v>
      </c>
      <c r="I918" s="706"/>
      <c r="J918" s="669" t="s">
        <v>5805</v>
      </c>
      <c r="K918" s="15"/>
      <c r="L918"/>
      <c r="M918" s="49">
        <f t="shared" si="424"/>
        <v>21.67</v>
      </c>
      <c r="N918" s="41">
        <v>11.67</v>
      </c>
      <c r="O918" s="186"/>
      <c r="P918" s="177"/>
      <c r="Q918" s="178" t="s">
        <v>1017</v>
      </c>
      <c r="S918" s="178" t="s">
        <v>4180</v>
      </c>
      <c r="T918" s="178" t="s">
        <v>4180</v>
      </c>
      <c r="U918" s="179"/>
      <c r="W918" s="180"/>
      <c r="X918" s="180"/>
      <c r="Y918" s="178" t="s">
        <v>1017</v>
      </c>
      <c r="AA918" s="180"/>
      <c r="AD918" s="201"/>
      <c r="AE918" s="200"/>
      <c r="AF918" s="180"/>
      <c r="AG918" s="201"/>
      <c r="AH918" s="212" t="str">
        <f t="shared" si="428"/>
        <v/>
      </c>
      <c r="AI918" s="214" t="str">
        <f t="shared" si="417"/>
        <v/>
      </c>
      <c r="AJ918" s="214" t="str">
        <f t="shared" si="418"/>
        <v/>
      </c>
      <c r="AK918" s="214" t="str">
        <f t="shared" si="419"/>
        <v/>
      </c>
      <c r="AL918" s="214" t="str">
        <f t="shared" si="420"/>
        <v/>
      </c>
      <c r="AM918" s="214" t="str">
        <f t="shared" si="421"/>
        <v/>
      </c>
      <c r="AN918" s="213" t="str">
        <f t="shared" si="404"/>
        <v/>
      </c>
      <c r="AO918" s="213" t="str">
        <f t="shared" si="405"/>
        <v/>
      </c>
      <c r="AP918" s="213" t="str">
        <f t="shared" si="406"/>
        <v/>
      </c>
      <c r="AQ918" s="215" t="str">
        <f t="shared" si="407"/>
        <v/>
      </c>
      <c r="AR918" s="216" t="str">
        <f t="shared" si="408"/>
        <v>BiK81GK09---05</v>
      </c>
      <c r="AS918" s="215" t="str">
        <f t="shared" si="409"/>
        <v/>
      </c>
      <c r="AT918">
        <f t="shared" si="410"/>
        <v>14</v>
      </c>
      <c r="AU918" s="216" t="str">
        <f t="shared" si="411"/>
        <v>0-0,15 MW, Bonusregeln G und K erstmals 2009</v>
      </c>
      <c r="AV918" s="215" t="str">
        <f t="shared" si="412"/>
        <v/>
      </c>
      <c r="AW918" s="216" t="str">
        <f t="shared" si="413"/>
        <v>Anteil KWK, erstmals 2009</v>
      </c>
      <c r="AX918" s="215" t="str">
        <f t="shared" si="414"/>
        <v/>
      </c>
      <c r="AY918" t="str">
        <f t="shared" si="415"/>
        <v/>
      </c>
      <c r="AZ918" t="str">
        <f t="shared" si="416"/>
        <v/>
      </c>
    </row>
    <row r="919" spans="1:52" s="178" customFormat="1" x14ac:dyDescent="0.25">
      <c r="A919" s="610" t="s">
        <v>3572</v>
      </c>
      <c r="B919" s="30" t="s">
        <v>5548</v>
      </c>
      <c r="C919" s="30" t="s">
        <v>1288</v>
      </c>
      <c r="D919" s="30" t="s">
        <v>6813</v>
      </c>
      <c r="E919" s="30" t="s">
        <v>3567</v>
      </c>
      <c r="F919" s="454">
        <f t="shared" si="422"/>
        <v>21.64</v>
      </c>
      <c r="G919" s="529">
        <v>21.64</v>
      </c>
      <c r="H919" s="487">
        <f t="shared" si="423"/>
        <v>17.309999999999999</v>
      </c>
      <c r="I919" s="706"/>
      <c r="J919" s="669" t="s">
        <v>5805</v>
      </c>
      <c r="K919" s="15"/>
      <c r="L919"/>
      <c r="M919" s="49">
        <f t="shared" si="424"/>
        <v>21.64</v>
      </c>
      <c r="N919" s="41">
        <v>11.67</v>
      </c>
      <c r="O919" s="186"/>
      <c r="P919" s="177"/>
      <c r="R919" s="178" t="s">
        <v>1017</v>
      </c>
      <c r="S919" s="178" t="s">
        <v>4180</v>
      </c>
      <c r="T919" s="178" t="s">
        <v>4180</v>
      </c>
      <c r="U919" s="179"/>
      <c r="W919" s="180"/>
      <c r="X919" s="180"/>
      <c r="Y919" s="178" t="s">
        <v>1017</v>
      </c>
      <c r="AA919" s="180"/>
      <c r="AD919" s="201"/>
      <c r="AE919" s="200"/>
      <c r="AF919" s="180"/>
      <c r="AG919" s="201"/>
      <c r="AH919" s="212" t="str">
        <f t="shared" si="428"/>
        <v>2010</v>
      </c>
      <c r="AI919" s="214" t="str">
        <f t="shared" si="417"/>
        <v/>
      </c>
      <c r="AJ919" s="214" t="str">
        <f t="shared" si="418"/>
        <v/>
      </c>
      <c r="AK919" s="214" t="str">
        <f t="shared" si="419"/>
        <v/>
      </c>
      <c r="AL919" s="214" t="str">
        <f t="shared" si="420"/>
        <v/>
      </c>
      <c r="AM919" s="214" t="str">
        <f t="shared" si="421"/>
        <v/>
      </c>
      <c r="AN919" s="213" t="str">
        <f t="shared" si="404"/>
        <v>2010</v>
      </c>
      <c r="AO919" s="213" t="str">
        <f t="shared" si="405"/>
        <v>2010</v>
      </c>
      <c r="AP919" s="213" t="str">
        <f t="shared" si="406"/>
        <v>2010</v>
      </c>
      <c r="AQ919" s="215" t="str">
        <f t="shared" si="407"/>
        <v/>
      </c>
      <c r="AR919" s="216" t="str">
        <f t="shared" si="408"/>
        <v>BiK81GK10---05</v>
      </c>
      <c r="AS919" s="215" t="str">
        <f t="shared" si="409"/>
        <v/>
      </c>
      <c r="AT919">
        <f t="shared" si="410"/>
        <v>14</v>
      </c>
      <c r="AU919" s="216" t="str">
        <f t="shared" si="411"/>
        <v>0-0,15 MW, Bonusregeln G und K erstmals 2010</v>
      </c>
      <c r="AV919" s="215" t="str">
        <f t="shared" si="412"/>
        <v/>
      </c>
      <c r="AW919" s="216" t="str">
        <f t="shared" si="413"/>
        <v>Anteil KWK, erstmals 2010</v>
      </c>
      <c r="AX919" s="215" t="str">
        <f t="shared" si="414"/>
        <v/>
      </c>
      <c r="AY919" t="str">
        <f t="shared" si="415"/>
        <v/>
      </c>
      <c r="AZ919" t="str">
        <f t="shared" si="416"/>
        <v/>
      </c>
    </row>
    <row r="920" spans="1:52" s="178" customFormat="1" x14ac:dyDescent="0.25">
      <c r="A920" s="610" t="s">
        <v>5303</v>
      </c>
      <c r="B920" s="30" t="s">
        <v>5548</v>
      </c>
      <c r="C920" s="30" t="s">
        <v>1288</v>
      </c>
      <c r="D920" s="30" t="s">
        <v>6814</v>
      </c>
      <c r="E920" s="30" t="s">
        <v>3055</v>
      </c>
      <c r="F920" s="454">
        <f t="shared" si="422"/>
        <v>21.61</v>
      </c>
      <c r="G920" s="529">
        <v>21.61</v>
      </c>
      <c r="H920" s="487">
        <f t="shared" si="423"/>
        <v>17.29</v>
      </c>
      <c r="I920" s="706"/>
      <c r="J920" s="669" t="s">
        <v>5805</v>
      </c>
      <c r="K920" s="15"/>
      <c r="L920"/>
      <c r="M920" s="49">
        <f t="shared" si="424"/>
        <v>21.61</v>
      </c>
      <c r="N920" s="41">
        <v>11.67</v>
      </c>
      <c r="O920" s="186"/>
      <c r="P920" s="177"/>
      <c r="S920" s="178" t="s">
        <v>1017</v>
      </c>
      <c r="T920" s="178" t="s">
        <v>4180</v>
      </c>
      <c r="U920" s="179"/>
      <c r="W920" s="180"/>
      <c r="X920" s="180"/>
      <c r="Y920" s="178" t="s">
        <v>1017</v>
      </c>
      <c r="AA920" s="180"/>
      <c r="AD920" s="201"/>
      <c r="AE920" s="200"/>
      <c r="AF920" s="180"/>
      <c r="AG920" s="201"/>
      <c r="AH920" s="212" t="str">
        <f t="shared" si="428"/>
        <v>2011</v>
      </c>
      <c r="AI920" s="214" t="str">
        <f t="shared" si="417"/>
        <v/>
      </c>
      <c r="AJ920" s="214" t="str">
        <f t="shared" si="418"/>
        <v/>
      </c>
      <c r="AK920" s="214" t="str">
        <f t="shared" si="419"/>
        <v/>
      </c>
      <c r="AL920" s="214" t="str">
        <f t="shared" si="420"/>
        <v/>
      </c>
      <c r="AM920" s="214" t="str">
        <f t="shared" si="421"/>
        <v/>
      </c>
      <c r="AN920" s="213" t="str">
        <f t="shared" si="404"/>
        <v>2011</v>
      </c>
      <c r="AO920" s="213" t="str">
        <f t="shared" si="405"/>
        <v>2011</v>
      </c>
      <c r="AP920" s="213" t="str">
        <f t="shared" si="406"/>
        <v>2011</v>
      </c>
      <c r="AQ920" s="215" t="str">
        <f t="shared" si="407"/>
        <v/>
      </c>
      <c r="AR920" s="216" t="str">
        <f t="shared" si="408"/>
        <v>BiK81GK11---05</v>
      </c>
      <c r="AS920" s="215" t="str">
        <f t="shared" si="409"/>
        <v/>
      </c>
      <c r="AT920">
        <f t="shared" si="410"/>
        <v>14</v>
      </c>
      <c r="AU920" s="216" t="str">
        <f t="shared" si="411"/>
        <v>0-0,15 MW, Bonusregeln G und K erstmals 2011</v>
      </c>
      <c r="AV920" s="215" t="str">
        <f t="shared" si="412"/>
        <v/>
      </c>
      <c r="AW920" s="216" t="str">
        <f t="shared" si="413"/>
        <v>Anteil KWK, erstmals 2011</v>
      </c>
      <c r="AX920" s="215" t="str">
        <f t="shared" si="414"/>
        <v/>
      </c>
      <c r="AY920" t="str">
        <f t="shared" si="415"/>
        <v>x</v>
      </c>
      <c r="AZ920" t="str">
        <f t="shared" si="416"/>
        <v/>
      </c>
    </row>
    <row r="921" spans="1:52" s="178" customFormat="1" x14ac:dyDescent="0.25">
      <c r="A921" s="625" t="s">
        <v>1553</v>
      </c>
      <c r="B921" s="219" t="s">
        <v>5548</v>
      </c>
      <c r="C921" s="219" t="s">
        <v>1288</v>
      </c>
      <c r="D921" s="219" t="s">
        <v>6815</v>
      </c>
      <c r="E921" s="219" t="s">
        <v>1980</v>
      </c>
      <c r="F921" s="455">
        <f t="shared" si="422"/>
        <v>21.58</v>
      </c>
      <c r="G921" s="530">
        <v>21.58</v>
      </c>
      <c r="H921" s="488">
        <f t="shared" si="423"/>
        <v>17.260000000000002</v>
      </c>
      <c r="I921" s="707"/>
      <c r="J921" s="669" t="s">
        <v>5805</v>
      </c>
      <c r="K921" s="15"/>
      <c r="L921"/>
      <c r="M921" s="49">
        <f t="shared" si="424"/>
        <v>21.58</v>
      </c>
      <c r="N921" s="41">
        <v>11.67</v>
      </c>
      <c r="O921" s="186"/>
      <c r="P921" s="177"/>
      <c r="S921" s="178" t="s">
        <v>4180</v>
      </c>
      <c r="T921" s="178" t="s">
        <v>1017</v>
      </c>
      <c r="U921" s="179"/>
      <c r="W921" s="180"/>
      <c r="X921" s="180"/>
      <c r="Y921" s="178" t="s">
        <v>1017</v>
      </c>
      <c r="AA921" s="180"/>
      <c r="AD921" s="201"/>
      <c r="AE921" s="200"/>
      <c r="AF921" s="180"/>
      <c r="AG921" s="201"/>
      <c r="AH921" s="217" t="s">
        <v>4179</v>
      </c>
      <c r="AI921" s="214" t="str">
        <f t="shared" si="417"/>
        <v/>
      </c>
      <c r="AJ921" s="214" t="str">
        <f t="shared" si="418"/>
        <v/>
      </c>
      <c r="AK921" s="214" t="str">
        <f t="shared" si="419"/>
        <v/>
      </c>
      <c r="AL921" s="214" t="str">
        <f t="shared" si="420"/>
        <v/>
      </c>
      <c r="AM921" s="214" t="str">
        <f t="shared" si="421"/>
        <v/>
      </c>
      <c r="AN921" s="213" t="str">
        <f t="shared" si="404"/>
        <v>2012</v>
      </c>
      <c r="AO921" s="213" t="str">
        <f t="shared" si="405"/>
        <v>2012</v>
      </c>
      <c r="AP921" s="213" t="str">
        <f t="shared" si="406"/>
        <v>2012</v>
      </c>
      <c r="AQ921" s="215" t="str">
        <f t="shared" si="407"/>
        <v/>
      </c>
      <c r="AR921" s="216" t="str">
        <f t="shared" si="408"/>
        <v>BiK81GK12---05</v>
      </c>
      <c r="AS921" s="215" t="str">
        <f t="shared" si="409"/>
        <v/>
      </c>
      <c r="AT921">
        <f t="shared" si="410"/>
        <v>14</v>
      </c>
      <c r="AU921" s="216" t="str">
        <f t="shared" si="411"/>
        <v>0-0,15 MW, Bonusregeln G und K erstmals 2012</v>
      </c>
      <c r="AV921" s="215" t="str">
        <f t="shared" si="412"/>
        <v/>
      </c>
      <c r="AW921" s="216" t="str">
        <f t="shared" si="413"/>
        <v>Anteil KWK, erstmals 2012</v>
      </c>
      <c r="AX921" s="215" t="str">
        <f t="shared" si="414"/>
        <v/>
      </c>
      <c r="AY921" t="str">
        <f t="shared" si="415"/>
        <v/>
      </c>
      <c r="AZ921" t="str">
        <f t="shared" si="416"/>
        <v>x</v>
      </c>
    </row>
    <row r="922" spans="1:52" s="178" customFormat="1" x14ac:dyDescent="0.25">
      <c r="A922" s="610" t="s">
        <v>1058</v>
      </c>
      <c r="B922" s="30" t="s">
        <v>5548</v>
      </c>
      <c r="C922" s="30" t="s">
        <v>1288</v>
      </c>
      <c r="D922" s="30" t="s">
        <v>6816</v>
      </c>
      <c r="E922" s="30" t="s">
        <v>4810</v>
      </c>
      <c r="F922" s="454">
        <f t="shared" si="422"/>
        <v>19.670000000000002</v>
      </c>
      <c r="G922" s="529">
        <v>19.670000000000002</v>
      </c>
      <c r="H922" s="487">
        <f t="shared" si="423"/>
        <v>15.74</v>
      </c>
      <c r="I922" s="706"/>
      <c r="J922" s="669" t="s">
        <v>5805</v>
      </c>
      <c r="K922" s="15"/>
      <c r="L922"/>
      <c r="M922" s="49">
        <f t="shared" si="424"/>
        <v>19.670000000000002</v>
      </c>
      <c r="N922" s="41">
        <v>11.67</v>
      </c>
      <c r="O922" s="187"/>
      <c r="P922" s="183"/>
      <c r="Q922" s="184"/>
      <c r="R922" s="184"/>
      <c r="S922" s="184" t="s">
        <v>4180</v>
      </c>
      <c r="T922" s="178" t="s">
        <v>4180</v>
      </c>
      <c r="U922" s="185" t="s">
        <v>1017</v>
      </c>
      <c r="V922" s="184"/>
      <c r="W922" s="180"/>
      <c r="X922" s="180"/>
      <c r="Y922" s="184" t="s">
        <v>1017</v>
      </c>
      <c r="Z922" s="184"/>
      <c r="AA922" s="180"/>
      <c r="AB922" s="184"/>
      <c r="AC922" s="184"/>
      <c r="AD922" s="201"/>
      <c r="AE922" s="181"/>
      <c r="AF922" s="180"/>
      <c r="AG922" s="201"/>
      <c r="AH922" s="212" t="str">
        <f t="shared" ref="AH922:AH927" si="429">IF(ISERROR(SEARCH("K erstmals 201",D922)),"",RIGHT(D922,4))</f>
        <v/>
      </c>
      <c r="AI922" s="214" t="str">
        <f t="shared" si="417"/>
        <v/>
      </c>
      <c r="AJ922" s="214" t="str">
        <f t="shared" si="418"/>
        <v/>
      </c>
      <c r="AK922" s="214" t="str">
        <f t="shared" si="419"/>
        <v/>
      </c>
      <c r="AL922" s="214" t="str">
        <f t="shared" si="420"/>
        <v/>
      </c>
      <c r="AM922" s="214" t="str">
        <f t="shared" si="421"/>
        <v/>
      </c>
      <c r="AN922" s="213" t="str">
        <f t="shared" si="404"/>
        <v/>
      </c>
      <c r="AO922" s="213" t="str">
        <f t="shared" si="405"/>
        <v/>
      </c>
      <c r="AP922" s="213" t="str">
        <f t="shared" si="406"/>
        <v/>
      </c>
      <c r="AQ922" s="215" t="str">
        <f t="shared" si="407"/>
        <v/>
      </c>
      <c r="AR922" s="216" t="str">
        <f t="shared" si="408"/>
        <v>BiK81Gy-----05</v>
      </c>
      <c r="AS922" s="215" t="str">
        <f t="shared" si="409"/>
        <v/>
      </c>
      <c r="AT922">
        <f t="shared" si="410"/>
        <v>14</v>
      </c>
      <c r="AU922" s="216" t="str">
        <f t="shared" si="411"/>
        <v>0-0,15 MW, Bonusregel G, y</v>
      </c>
      <c r="AV922" s="215" t="str">
        <f t="shared" si="412"/>
        <v/>
      </c>
      <c r="AW922" s="216" t="str">
        <f t="shared" si="413"/>
        <v>Anteil Nicht-KWK</v>
      </c>
      <c r="AX922" s="215" t="str">
        <f t="shared" si="414"/>
        <v/>
      </c>
      <c r="AY922" t="str">
        <f t="shared" si="415"/>
        <v/>
      </c>
      <c r="AZ922" t="str">
        <f t="shared" si="416"/>
        <v/>
      </c>
    </row>
    <row r="923" spans="1:52" s="178" customFormat="1" x14ac:dyDescent="0.25">
      <c r="A923" s="610" t="s">
        <v>1059</v>
      </c>
      <c r="B923" s="30" t="s">
        <v>5548</v>
      </c>
      <c r="C923" s="30" t="s">
        <v>1288</v>
      </c>
      <c r="D923" s="30" t="s">
        <v>6896</v>
      </c>
      <c r="E923" s="30" t="s">
        <v>4812</v>
      </c>
      <c r="F923" s="454">
        <f t="shared" si="422"/>
        <v>21.67</v>
      </c>
      <c r="G923" s="529">
        <v>21.67</v>
      </c>
      <c r="H923" s="487">
        <f t="shared" si="423"/>
        <v>17.34</v>
      </c>
      <c r="I923" s="706"/>
      <c r="J923" s="669" t="s">
        <v>5805</v>
      </c>
      <c r="K923" s="15"/>
      <c r="L923"/>
      <c r="M923" s="49">
        <f t="shared" si="424"/>
        <v>21.67</v>
      </c>
      <c r="N923" s="41">
        <v>11.67</v>
      </c>
      <c r="O923" s="187" t="s">
        <v>1017</v>
      </c>
      <c r="P923" s="183"/>
      <c r="Q923" s="184"/>
      <c r="R923" s="184"/>
      <c r="S923" s="184" t="s">
        <v>4180</v>
      </c>
      <c r="T923" s="178" t="s">
        <v>4180</v>
      </c>
      <c r="U923" s="185" t="s">
        <v>1017</v>
      </c>
      <c r="V923" s="184"/>
      <c r="W923" s="180"/>
      <c r="X923" s="180"/>
      <c r="Y923" s="184" t="s">
        <v>1017</v>
      </c>
      <c r="Z923" s="184"/>
      <c r="AA923" s="180"/>
      <c r="AB923" s="184"/>
      <c r="AC923" s="184"/>
      <c r="AD923" s="201"/>
      <c r="AE923" s="181"/>
      <c r="AF923" s="180"/>
      <c r="AG923" s="201"/>
      <c r="AH923" s="212" t="str">
        <f t="shared" si="429"/>
        <v/>
      </c>
      <c r="AI923" s="214" t="str">
        <f t="shared" si="417"/>
        <v/>
      </c>
      <c r="AJ923" s="214" t="str">
        <f t="shared" si="418"/>
        <v/>
      </c>
      <c r="AK923" s="214" t="str">
        <f t="shared" si="419"/>
        <v/>
      </c>
      <c r="AL923" s="214" t="str">
        <f t="shared" si="420"/>
        <v/>
      </c>
      <c r="AM923" s="214" t="str">
        <f t="shared" si="421"/>
        <v/>
      </c>
      <c r="AN923" s="213" t="str">
        <f t="shared" si="404"/>
        <v/>
      </c>
      <c r="AO923" s="213" t="str">
        <f t="shared" si="405"/>
        <v/>
      </c>
      <c r="AP923" s="213" t="str">
        <f t="shared" si="406"/>
        <v/>
      </c>
      <c r="AQ923" s="215" t="str">
        <f t="shared" si="407"/>
        <v/>
      </c>
      <c r="AR923" s="216" t="str">
        <f t="shared" si="408"/>
        <v>BiK81GKWKy--05</v>
      </c>
      <c r="AS923" s="215" t="str">
        <f t="shared" si="409"/>
        <v/>
      </c>
      <c r="AT923">
        <f t="shared" si="410"/>
        <v>14</v>
      </c>
      <c r="AU923" s="216" t="str">
        <f t="shared" si="411"/>
        <v>0-0,15 MW, Bonusregeln G, y und KWK</v>
      </c>
      <c r="AV923" s="215" t="str">
        <f t="shared" si="412"/>
        <v/>
      </c>
      <c r="AW923" s="216" t="str">
        <f t="shared" si="413"/>
        <v>Anteil KWK</v>
      </c>
      <c r="AX923" s="215" t="str">
        <f t="shared" si="414"/>
        <v/>
      </c>
      <c r="AY923" t="str">
        <f t="shared" si="415"/>
        <v/>
      </c>
      <c r="AZ923" t="str">
        <f t="shared" si="416"/>
        <v/>
      </c>
    </row>
    <row r="924" spans="1:52" s="178" customFormat="1" x14ac:dyDescent="0.25">
      <c r="A924" s="610" t="s">
        <v>4629</v>
      </c>
      <c r="B924" s="30" t="s">
        <v>5548</v>
      </c>
      <c r="C924" s="30" t="s">
        <v>1288</v>
      </c>
      <c r="D924" s="109" t="s">
        <v>6817</v>
      </c>
      <c r="E924" s="30" t="s">
        <v>4331</v>
      </c>
      <c r="F924" s="454">
        <f t="shared" si="422"/>
        <v>22.67</v>
      </c>
      <c r="G924" s="529">
        <v>22.67</v>
      </c>
      <c r="H924" s="487">
        <f t="shared" si="423"/>
        <v>18.14</v>
      </c>
      <c r="I924" s="706"/>
      <c r="J924" s="669" t="s">
        <v>5805</v>
      </c>
      <c r="K924" s="15"/>
      <c r="L924"/>
      <c r="M924" s="49">
        <f t="shared" si="424"/>
        <v>22.67</v>
      </c>
      <c r="N924" s="41">
        <v>11.67</v>
      </c>
      <c r="O924" s="187"/>
      <c r="P924" s="184" t="s">
        <v>1017</v>
      </c>
      <c r="Q924" s="184"/>
      <c r="R924" s="184"/>
      <c r="S924" s="184" t="s">
        <v>4180</v>
      </c>
      <c r="T924" s="178" t="s">
        <v>4180</v>
      </c>
      <c r="U924" s="185" t="s">
        <v>1017</v>
      </c>
      <c r="V924" s="184"/>
      <c r="W924" s="180"/>
      <c r="X924" s="180"/>
      <c r="Y924" s="184" t="s">
        <v>1017</v>
      </c>
      <c r="Z924" s="184"/>
      <c r="AA924" s="180"/>
      <c r="AB924" s="184"/>
      <c r="AC924" s="184"/>
      <c r="AD924" s="201"/>
      <c r="AE924" s="181"/>
      <c r="AF924" s="180"/>
      <c r="AG924" s="201"/>
      <c r="AH924" s="212" t="str">
        <f t="shared" si="429"/>
        <v/>
      </c>
      <c r="AI924" s="214" t="str">
        <f t="shared" si="417"/>
        <v/>
      </c>
      <c r="AJ924" s="214" t="str">
        <f t="shared" si="418"/>
        <v/>
      </c>
      <c r="AK924" s="214" t="str">
        <f t="shared" si="419"/>
        <v/>
      </c>
      <c r="AL924" s="214" t="str">
        <f t="shared" si="420"/>
        <v/>
      </c>
      <c r="AM924" s="214" t="str">
        <f t="shared" si="421"/>
        <v/>
      </c>
      <c r="AN924" s="213" t="str">
        <f t="shared" si="404"/>
        <v/>
      </c>
      <c r="AO924" s="213" t="str">
        <f t="shared" si="405"/>
        <v/>
      </c>
      <c r="AP924" s="213" t="str">
        <f t="shared" si="406"/>
        <v/>
      </c>
      <c r="AQ924" s="215" t="str">
        <f t="shared" si="407"/>
        <v/>
      </c>
      <c r="AR924" s="216" t="str">
        <f t="shared" si="408"/>
        <v>BiK81GKA3y--05</v>
      </c>
      <c r="AS924" s="215" t="str">
        <f t="shared" si="409"/>
        <v/>
      </c>
      <c r="AT924">
        <f t="shared" si="410"/>
        <v>14</v>
      </c>
      <c r="AU924" s="216" t="str">
        <f t="shared" si="411"/>
        <v>0-0,15 MW, Bonusregeln G, y und K wenn Anlage 3 erfüllt</v>
      </c>
      <c r="AV924" s="215" t="str">
        <f t="shared" si="412"/>
        <v/>
      </c>
      <c r="AW924" s="216" t="str">
        <f t="shared" si="413"/>
        <v>Anteil KWK gemäß Anlage 3</v>
      </c>
      <c r="AX924" s="215" t="str">
        <f t="shared" si="414"/>
        <v/>
      </c>
      <c r="AY924" t="str">
        <f t="shared" si="415"/>
        <v/>
      </c>
      <c r="AZ924" t="str">
        <f t="shared" si="416"/>
        <v/>
      </c>
    </row>
    <row r="925" spans="1:52" s="178" customFormat="1" x14ac:dyDescent="0.25">
      <c r="A925" s="610" t="s">
        <v>4630</v>
      </c>
      <c r="B925" s="30" t="s">
        <v>5548</v>
      </c>
      <c r="C925" s="30" t="s">
        <v>1288</v>
      </c>
      <c r="D925" s="30" t="s">
        <v>6818</v>
      </c>
      <c r="E925" s="30" t="s">
        <v>674</v>
      </c>
      <c r="F925" s="454">
        <f t="shared" si="422"/>
        <v>22.67</v>
      </c>
      <c r="G925" s="529">
        <v>22.67</v>
      </c>
      <c r="H925" s="487">
        <f t="shared" si="423"/>
        <v>18.14</v>
      </c>
      <c r="I925" s="706"/>
      <c r="J925" s="669" t="s">
        <v>5805</v>
      </c>
      <c r="K925" s="15"/>
      <c r="L925"/>
      <c r="M925" s="49">
        <f t="shared" si="424"/>
        <v>22.67</v>
      </c>
      <c r="N925" s="41">
        <v>11.67</v>
      </c>
      <c r="O925" s="187"/>
      <c r="P925" s="183"/>
      <c r="Q925" s="184" t="s">
        <v>1017</v>
      </c>
      <c r="R925" s="184"/>
      <c r="S925" s="184" t="s">
        <v>4180</v>
      </c>
      <c r="T925" s="178" t="s">
        <v>4180</v>
      </c>
      <c r="U925" s="185" t="s">
        <v>1017</v>
      </c>
      <c r="V925" s="184"/>
      <c r="W925" s="180"/>
      <c r="X925" s="180"/>
      <c r="Y925" s="184" t="s">
        <v>1017</v>
      </c>
      <c r="Z925" s="184"/>
      <c r="AA925" s="180"/>
      <c r="AB925" s="184"/>
      <c r="AC925" s="184"/>
      <c r="AD925" s="201"/>
      <c r="AE925" s="181"/>
      <c r="AF925" s="180"/>
      <c r="AG925" s="201"/>
      <c r="AH925" s="212" t="str">
        <f t="shared" si="429"/>
        <v/>
      </c>
      <c r="AI925" s="214" t="str">
        <f t="shared" si="417"/>
        <v/>
      </c>
      <c r="AJ925" s="214" t="str">
        <f t="shared" si="418"/>
        <v/>
      </c>
      <c r="AK925" s="214" t="str">
        <f t="shared" si="419"/>
        <v/>
      </c>
      <c r="AL925" s="214" t="str">
        <f t="shared" si="420"/>
        <v/>
      </c>
      <c r="AM925" s="214" t="str">
        <f t="shared" si="421"/>
        <v/>
      </c>
      <c r="AN925" s="213" t="str">
        <f t="shared" si="404"/>
        <v/>
      </c>
      <c r="AO925" s="213" t="str">
        <f t="shared" si="405"/>
        <v/>
      </c>
      <c r="AP925" s="213" t="str">
        <f t="shared" si="406"/>
        <v/>
      </c>
      <c r="AQ925" s="215" t="str">
        <f t="shared" si="407"/>
        <v/>
      </c>
      <c r="AR925" s="216" t="str">
        <f t="shared" si="408"/>
        <v>BiK81GK09y--05</v>
      </c>
      <c r="AS925" s="215" t="str">
        <f t="shared" si="409"/>
        <v/>
      </c>
      <c r="AT925">
        <f t="shared" si="410"/>
        <v>14</v>
      </c>
      <c r="AU925" s="216" t="str">
        <f t="shared" si="411"/>
        <v>0-0,15 MW, Bonusregeln G, y und K erstmals 2009</v>
      </c>
      <c r="AV925" s="215" t="str">
        <f t="shared" si="412"/>
        <v/>
      </c>
      <c r="AW925" s="216" t="str">
        <f t="shared" si="413"/>
        <v>Anteil KWK, erstmals 2009</v>
      </c>
      <c r="AX925" s="215" t="str">
        <f t="shared" si="414"/>
        <v/>
      </c>
      <c r="AY925" t="str">
        <f t="shared" si="415"/>
        <v/>
      </c>
      <c r="AZ925" t="str">
        <f t="shared" si="416"/>
        <v/>
      </c>
    </row>
    <row r="926" spans="1:52" s="178" customFormat="1" x14ac:dyDescent="0.25">
      <c r="A926" s="610" t="s">
        <v>3573</v>
      </c>
      <c r="B926" s="30" t="s">
        <v>5548</v>
      </c>
      <c r="C926" s="30" t="s">
        <v>1288</v>
      </c>
      <c r="D926" s="30" t="s">
        <v>6819</v>
      </c>
      <c r="E926" s="30" t="s">
        <v>3567</v>
      </c>
      <c r="F926" s="454">
        <f t="shared" si="422"/>
        <v>22.64</v>
      </c>
      <c r="G926" s="529">
        <v>22.64</v>
      </c>
      <c r="H926" s="487">
        <f t="shared" si="423"/>
        <v>18.11</v>
      </c>
      <c r="I926" s="706"/>
      <c r="J926" s="669" t="s">
        <v>5805</v>
      </c>
      <c r="K926" s="15"/>
      <c r="L926"/>
      <c r="M926" s="49">
        <f t="shared" si="424"/>
        <v>22.64</v>
      </c>
      <c r="N926" s="41">
        <v>11.67</v>
      </c>
      <c r="O926" s="187"/>
      <c r="P926" s="183"/>
      <c r="Q926" s="184"/>
      <c r="R926" s="184" t="s">
        <v>1017</v>
      </c>
      <c r="S926" s="184" t="s">
        <v>4180</v>
      </c>
      <c r="T926" s="178" t="s">
        <v>4180</v>
      </c>
      <c r="U926" s="185" t="s">
        <v>1017</v>
      </c>
      <c r="V926" s="184"/>
      <c r="W926" s="180"/>
      <c r="X926" s="180"/>
      <c r="Y926" s="184" t="s">
        <v>1017</v>
      </c>
      <c r="Z926" s="184"/>
      <c r="AA926" s="180"/>
      <c r="AB926" s="184"/>
      <c r="AC926" s="184"/>
      <c r="AD926" s="201"/>
      <c r="AE926" s="181"/>
      <c r="AF926" s="180"/>
      <c r="AG926" s="201"/>
      <c r="AH926" s="212" t="str">
        <f t="shared" si="429"/>
        <v>2010</v>
      </c>
      <c r="AI926" s="214" t="str">
        <f t="shared" si="417"/>
        <v/>
      </c>
      <c r="AJ926" s="214" t="str">
        <f t="shared" si="418"/>
        <v/>
      </c>
      <c r="AK926" s="214" t="str">
        <f t="shared" si="419"/>
        <v/>
      </c>
      <c r="AL926" s="214" t="str">
        <f t="shared" si="420"/>
        <v/>
      </c>
      <c r="AM926" s="214" t="str">
        <f t="shared" si="421"/>
        <v/>
      </c>
      <c r="AN926" s="213" t="str">
        <f t="shared" si="404"/>
        <v>2010</v>
      </c>
      <c r="AO926" s="213" t="str">
        <f t="shared" si="405"/>
        <v>2010</v>
      </c>
      <c r="AP926" s="213" t="str">
        <f t="shared" si="406"/>
        <v>2010</v>
      </c>
      <c r="AQ926" s="215" t="str">
        <f t="shared" si="407"/>
        <v/>
      </c>
      <c r="AR926" s="216" t="str">
        <f t="shared" si="408"/>
        <v>BiK81GK10y--05</v>
      </c>
      <c r="AS926" s="215" t="str">
        <f t="shared" si="409"/>
        <v/>
      </c>
      <c r="AT926">
        <f t="shared" si="410"/>
        <v>14</v>
      </c>
      <c r="AU926" s="216" t="str">
        <f t="shared" si="411"/>
        <v>0-0,15 MW, Bonusregeln G, y und K erstmals 2010</v>
      </c>
      <c r="AV926" s="215" t="str">
        <f t="shared" si="412"/>
        <v/>
      </c>
      <c r="AW926" s="216" t="str">
        <f t="shared" si="413"/>
        <v>Anteil KWK, erstmals 2010</v>
      </c>
      <c r="AX926" s="215" t="str">
        <f t="shared" si="414"/>
        <v/>
      </c>
      <c r="AY926" t="str">
        <f t="shared" si="415"/>
        <v/>
      </c>
      <c r="AZ926" t="str">
        <f t="shared" si="416"/>
        <v/>
      </c>
    </row>
    <row r="927" spans="1:52" s="178" customFormat="1" x14ac:dyDescent="0.25">
      <c r="A927" s="610" t="s">
        <v>5304</v>
      </c>
      <c r="B927" s="30" t="s">
        <v>5548</v>
      </c>
      <c r="C927" s="30" t="s">
        <v>1288</v>
      </c>
      <c r="D927" s="30" t="s">
        <v>6820</v>
      </c>
      <c r="E927" s="30" t="s">
        <v>3055</v>
      </c>
      <c r="F927" s="454">
        <f t="shared" si="422"/>
        <v>22.61</v>
      </c>
      <c r="G927" s="529">
        <v>22.61</v>
      </c>
      <c r="H927" s="487">
        <f t="shared" si="423"/>
        <v>18.09</v>
      </c>
      <c r="I927" s="706"/>
      <c r="J927" s="669" t="s">
        <v>5805</v>
      </c>
      <c r="K927" s="15"/>
      <c r="L927"/>
      <c r="M927" s="49">
        <f t="shared" si="424"/>
        <v>22.61</v>
      </c>
      <c r="N927" s="41">
        <v>11.67</v>
      </c>
      <c r="O927" s="187"/>
      <c r="P927" s="183"/>
      <c r="Q927" s="184"/>
      <c r="S927" s="184" t="s">
        <v>1017</v>
      </c>
      <c r="T927" s="178" t="s">
        <v>4180</v>
      </c>
      <c r="U927" s="185" t="s">
        <v>1017</v>
      </c>
      <c r="V927" s="184"/>
      <c r="W927" s="180"/>
      <c r="X927" s="180"/>
      <c r="Y927" s="184" t="s">
        <v>1017</v>
      </c>
      <c r="Z927" s="184"/>
      <c r="AA927" s="180"/>
      <c r="AB927" s="184"/>
      <c r="AC927" s="184"/>
      <c r="AD927" s="201"/>
      <c r="AE927" s="181"/>
      <c r="AF927" s="180"/>
      <c r="AG927" s="201"/>
      <c r="AH927" s="212" t="str">
        <f t="shared" si="429"/>
        <v>2011</v>
      </c>
      <c r="AI927" s="214" t="str">
        <f t="shared" si="417"/>
        <v/>
      </c>
      <c r="AJ927" s="214" t="str">
        <f t="shared" si="418"/>
        <v/>
      </c>
      <c r="AK927" s="214" t="str">
        <f t="shared" si="419"/>
        <v/>
      </c>
      <c r="AL927" s="214" t="str">
        <f t="shared" si="420"/>
        <v/>
      </c>
      <c r="AM927" s="214" t="str">
        <f t="shared" si="421"/>
        <v/>
      </c>
      <c r="AN927" s="213" t="str">
        <f t="shared" si="404"/>
        <v>2011</v>
      </c>
      <c r="AO927" s="213" t="str">
        <f t="shared" si="405"/>
        <v>2011</v>
      </c>
      <c r="AP927" s="213" t="str">
        <f t="shared" si="406"/>
        <v>2011</v>
      </c>
      <c r="AQ927" s="215" t="str">
        <f t="shared" si="407"/>
        <v/>
      </c>
      <c r="AR927" s="216" t="str">
        <f t="shared" si="408"/>
        <v>BiK81GK11y--05</v>
      </c>
      <c r="AS927" s="215" t="str">
        <f t="shared" si="409"/>
        <v/>
      </c>
      <c r="AT927">
        <f t="shared" si="410"/>
        <v>14</v>
      </c>
      <c r="AU927" s="216" t="str">
        <f t="shared" si="411"/>
        <v>0-0,15 MW, Bonusregeln G, y und K erstmals 2011</v>
      </c>
      <c r="AV927" s="215" t="str">
        <f t="shared" si="412"/>
        <v/>
      </c>
      <c r="AW927" s="216" t="str">
        <f t="shared" si="413"/>
        <v>Anteil KWK, erstmals 2011</v>
      </c>
      <c r="AX927" s="215" t="str">
        <f t="shared" si="414"/>
        <v/>
      </c>
      <c r="AY927" t="str">
        <f t="shared" si="415"/>
        <v>x</v>
      </c>
      <c r="AZ927" t="str">
        <f t="shared" si="416"/>
        <v/>
      </c>
    </row>
    <row r="928" spans="1:52" s="178" customFormat="1" x14ac:dyDescent="0.25">
      <c r="A928" s="625" t="s">
        <v>1554</v>
      </c>
      <c r="B928" s="219" t="s">
        <v>5548</v>
      </c>
      <c r="C928" s="219" t="s">
        <v>1288</v>
      </c>
      <c r="D928" s="219" t="s">
        <v>6821</v>
      </c>
      <c r="E928" s="219" t="s">
        <v>1980</v>
      </c>
      <c r="F928" s="455">
        <f t="shared" si="422"/>
        <v>22.58</v>
      </c>
      <c r="G928" s="530">
        <v>22.58</v>
      </c>
      <c r="H928" s="488">
        <f t="shared" si="423"/>
        <v>18.059999999999999</v>
      </c>
      <c r="I928" s="707"/>
      <c r="J928" s="669" t="s">
        <v>5805</v>
      </c>
      <c r="K928" s="15"/>
      <c r="L928"/>
      <c r="M928" s="49">
        <f t="shared" si="424"/>
        <v>22.58</v>
      </c>
      <c r="N928" s="41">
        <v>11.67</v>
      </c>
      <c r="O928" s="187"/>
      <c r="P928" s="183"/>
      <c r="Q928" s="184"/>
      <c r="S928" s="184" t="s">
        <v>4180</v>
      </c>
      <c r="T928" s="178" t="s">
        <v>1017</v>
      </c>
      <c r="U928" s="185" t="s">
        <v>1017</v>
      </c>
      <c r="V928" s="184"/>
      <c r="W928" s="180"/>
      <c r="X928" s="180"/>
      <c r="Y928" s="184" t="s">
        <v>1017</v>
      </c>
      <c r="Z928" s="184"/>
      <c r="AA928" s="180"/>
      <c r="AB928" s="184"/>
      <c r="AC928" s="184"/>
      <c r="AD928" s="201"/>
      <c r="AE928" s="181"/>
      <c r="AF928" s="180"/>
      <c r="AG928" s="201"/>
      <c r="AH928" s="217" t="s">
        <v>4179</v>
      </c>
      <c r="AI928" s="214" t="str">
        <f t="shared" si="417"/>
        <v/>
      </c>
      <c r="AJ928" s="214" t="str">
        <f t="shared" si="418"/>
        <v/>
      </c>
      <c r="AK928" s="214" t="str">
        <f t="shared" si="419"/>
        <v/>
      </c>
      <c r="AL928" s="214" t="str">
        <f t="shared" si="420"/>
        <v/>
      </c>
      <c r="AM928" s="214" t="str">
        <f t="shared" si="421"/>
        <v/>
      </c>
      <c r="AN928" s="213" t="str">
        <f t="shared" si="404"/>
        <v>2012</v>
      </c>
      <c r="AO928" s="213" t="str">
        <f t="shared" si="405"/>
        <v>2012</v>
      </c>
      <c r="AP928" s="213" t="str">
        <f t="shared" si="406"/>
        <v>2012</v>
      </c>
      <c r="AQ928" s="215" t="str">
        <f t="shared" si="407"/>
        <v/>
      </c>
      <c r="AR928" s="216" t="str">
        <f t="shared" si="408"/>
        <v>BiK81GK12y--05</v>
      </c>
      <c r="AS928" s="215" t="str">
        <f t="shared" si="409"/>
        <v/>
      </c>
      <c r="AT928">
        <f t="shared" si="410"/>
        <v>14</v>
      </c>
      <c r="AU928" s="216" t="str">
        <f t="shared" si="411"/>
        <v>0-0,15 MW, Bonusregeln G, y und K erstmals 2012</v>
      </c>
      <c r="AV928" s="215" t="str">
        <f t="shared" si="412"/>
        <v/>
      </c>
      <c r="AW928" s="216" t="str">
        <f t="shared" si="413"/>
        <v>Anteil KWK, erstmals 2012</v>
      </c>
      <c r="AX928" s="215" t="str">
        <f t="shared" si="414"/>
        <v/>
      </c>
      <c r="AY928" t="str">
        <f t="shared" si="415"/>
        <v/>
      </c>
      <c r="AZ928" t="str">
        <f t="shared" si="416"/>
        <v>x</v>
      </c>
    </row>
    <row r="929" spans="1:52" s="178" customFormat="1" x14ac:dyDescent="0.25">
      <c r="A929" s="610" t="s">
        <v>4631</v>
      </c>
      <c r="B929" s="30" t="s">
        <v>5548</v>
      </c>
      <c r="C929" s="30" t="s">
        <v>1288</v>
      </c>
      <c r="D929" s="30" t="s">
        <v>6822</v>
      </c>
      <c r="E929" s="30" t="s">
        <v>4810</v>
      </c>
      <c r="F929" s="454">
        <f t="shared" si="422"/>
        <v>22.67</v>
      </c>
      <c r="G929" s="529">
        <v>22.67</v>
      </c>
      <c r="H929" s="487">
        <f t="shared" si="423"/>
        <v>18.14</v>
      </c>
      <c r="I929" s="706"/>
      <c r="J929" s="669" t="s">
        <v>5805</v>
      </c>
      <c r="K929" s="15"/>
      <c r="L929"/>
      <c r="M929" s="49">
        <f t="shared" si="424"/>
        <v>22.67</v>
      </c>
      <c r="N929" s="41">
        <v>11.67</v>
      </c>
      <c r="O929" s="186"/>
      <c r="P929" s="177"/>
      <c r="S929" s="178" t="s">
        <v>4180</v>
      </c>
      <c r="T929" s="178" t="s">
        <v>4180</v>
      </c>
      <c r="U929" s="179"/>
      <c r="W929" s="180"/>
      <c r="X929" s="180"/>
      <c r="Z929" s="178" t="s">
        <v>1017</v>
      </c>
      <c r="AA929" s="180"/>
      <c r="AD929" s="201"/>
      <c r="AE929" s="200"/>
      <c r="AF929" s="180"/>
      <c r="AG929" s="201"/>
      <c r="AH929" s="212" t="str">
        <f t="shared" ref="AH929:AH934" si="430">IF(ISERROR(SEARCH("K erstmals 201",D929)),"",RIGHT(D929,4))</f>
        <v/>
      </c>
      <c r="AI929" s="214" t="str">
        <f t="shared" si="417"/>
        <v/>
      </c>
      <c r="AJ929" s="214" t="str">
        <f t="shared" si="418"/>
        <v/>
      </c>
      <c r="AK929" s="214" t="str">
        <f t="shared" si="419"/>
        <v/>
      </c>
      <c r="AL929" s="214" t="str">
        <f t="shared" si="420"/>
        <v/>
      </c>
      <c r="AM929" s="214" t="str">
        <f t="shared" si="421"/>
        <v/>
      </c>
      <c r="AN929" s="213" t="str">
        <f t="shared" si="404"/>
        <v/>
      </c>
      <c r="AO929" s="213" t="str">
        <f t="shared" si="405"/>
        <v/>
      </c>
      <c r="AP929" s="213" t="str">
        <f t="shared" si="406"/>
        <v/>
      </c>
      <c r="AQ929" s="215" t="str">
        <f t="shared" si="407"/>
        <v/>
      </c>
      <c r="AR929" s="216" t="str">
        <f t="shared" si="408"/>
        <v>BiK81M1-----05</v>
      </c>
      <c r="AS929" s="215" t="str">
        <f t="shared" si="409"/>
        <v/>
      </c>
      <c r="AT929">
        <f t="shared" si="410"/>
        <v>14</v>
      </c>
      <c r="AU929" s="216" t="str">
        <f t="shared" si="411"/>
        <v>0-0,15 MW, Bonusregel M1</v>
      </c>
      <c r="AV929" s="215" t="str">
        <f t="shared" si="412"/>
        <v/>
      </c>
      <c r="AW929" s="216" t="str">
        <f t="shared" si="413"/>
        <v>Anteil Nicht-KWK</v>
      </c>
      <c r="AX929" s="215" t="str">
        <f t="shared" si="414"/>
        <v/>
      </c>
      <c r="AY929" t="str">
        <f t="shared" si="415"/>
        <v/>
      </c>
      <c r="AZ929" t="str">
        <f t="shared" si="416"/>
        <v/>
      </c>
    </row>
    <row r="930" spans="1:52" s="178" customFormat="1" x14ac:dyDescent="0.25">
      <c r="A930" s="610" t="s">
        <v>4632</v>
      </c>
      <c r="B930" s="30" t="s">
        <v>5548</v>
      </c>
      <c r="C930" s="30" t="s">
        <v>1288</v>
      </c>
      <c r="D930" s="30" t="s">
        <v>6897</v>
      </c>
      <c r="E930" s="30" t="s">
        <v>4812</v>
      </c>
      <c r="F930" s="454">
        <f t="shared" si="422"/>
        <v>24.67</v>
      </c>
      <c r="G930" s="529">
        <v>24.67</v>
      </c>
      <c r="H930" s="487">
        <f t="shared" si="423"/>
        <v>19.739999999999998</v>
      </c>
      <c r="I930" s="706"/>
      <c r="J930" s="669" t="s">
        <v>5805</v>
      </c>
      <c r="K930" s="15"/>
      <c r="L930"/>
      <c r="M930" s="49">
        <f t="shared" si="424"/>
        <v>24.67</v>
      </c>
      <c r="N930" s="41">
        <v>11.67</v>
      </c>
      <c r="O930" s="186" t="s">
        <v>1017</v>
      </c>
      <c r="P930" s="177"/>
      <c r="S930" s="178" t="s">
        <v>4180</v>
      </c>
      <c r="T930" s="178" t="s">
        <v>4180</v>
      </c>
      <c r="U930" s="179"/>
      <c r="W930" s="180"/>
      <c r="X930" s="180"/>
      <c r="Z930" s="178" t="s">
        <v>1017</v>
      </c>
      <c r="AA930" s="180"/>
      <c r="AD930" s="201"/>
      <c r="AE930" s="200"/>
      <c r="AF930" s="180"/>
      <c r="AG930" s="201"/>
      <c r="AH930" s="212" t="str">
        <f t="shared" si="430"/>
        <v/>
      </c>
      <c r="AI930" s="214" t="str">
        <f t="shared" si="417"/>
        <v/>
      </c>
      <c r="AJ930" s="214" t="str">
        <f t="shared" si="418"/>
        <v/>
      </c>
      <c r="AK930" s="214" t="str">
        <f t="shared" si="419"/>
        <v/>
      </c>
      <c r="AL930" s="214" t="str">
        <f t="shared" si="420"/>
        <v/>
      </c>
      <c r="AM930" s="214" t="str">
        <f t="shared" si="421"/>
        <v/>
      </c>
      <c r="AN930" s="213" t="str">
        <f t="shared" si="404"/>
        <v/>
      </c>
      <c r="AO930" s="213" t="str">
        <f t="shared" si="405"/>
        <v/>
      </c>
      <c r="AP930" s="213" t="str">
        <f t="shared" si="406"/>
        <v/>
      </c>
      <c r="AQ930" s="215" t="str">
        <f t="shared" si="407"/>
        <v/>
      </c>
      <c r="AR930" s="216" t="str">
        <f t="shared" si="408"/>
        <v>BiK81M1KWK--05</v>
      </c>
      <c r="AS930" s="215" t="str">
        <f t="shared" si="409"/>
        <v/>
      </c>
      <c r="AT930">
        <f t="shared" si="410"/>
        <v>14</v>
      </c>
      <c r="AU930" s="216" t="str">
        <f t="shared" si="411"/>
        <v>0-0,15 MW, Bonusregeln M1 und KWK</v>
      </c>
      <c r="AV930" s="215" t="str">
        <f t="shared" si="412"/>
        <v/>
      </c>
      <c r="AW930" s="216" t="str">
        <f t="shared" si="413"/>
        <v>Anteil KWK</v>
      </c>
      <c r="AX930" s="215" t="str">
        <f t="shared" si="414"/>
        <v/>
      </c>
      <c r="AY930" t="str">
        <f t="shared" si="415"/>
        <v/>
      </c>
      <c r="AZ930" t="str">
        <f t="shared" si="416"/>
        <v/>
      </c>
    </row>
    <row r="931" spans="1:52" s="178" customFormat="1" x14ac:dyDescent="0.25">
      <c r="A931" s="610" t="s">
        <v>4633</v>
      </c>
      <c r="B931" s="30" t="s">
        <v>5548</v>
      </c>
      <c r="C931" s="30" t="s">
        <v>1288</v>
      </c>
      <c r="D931" s="30" t="s">
        <v>6823</v>
      </c>
      <c r="E931" s="30" t="s">
        <v>4331</v>
      </c>
      <c r="F931" s="454">
        <f t="shared" si="422"/>
        <v>25.67</v>
      </c>
      <c r="G931" s="529">
        <v>25.67</v>
      </c>
      <c r="H931" s="487">
        <f t="shared" si="423"/>
        <v>20.54</v>
      </c>
      <c r="I931" s="706"/>
      <c r="J931" s="669" t="s">
        <v>5805</v>
      </c>
      <c r="K931" s="15"/>
      <c r="L931"/>
      <c r="M931" s="49">
        <f t="shared" si="424"/>
        <v>25.67</v>
      </c>
      <c r="N931" s="41">
        <v>11.67</v>
      </c>
      <c r="O931" s="186"/>
      <c r="P931" s="178" t="s">
        <v>1017</v>
      </c>
      <c r="S931" s="178" t="s">
        <v>4180</v>
      </c>
      <c r="T931" s="178" t="s">
        <v>4180</v>
      </c>
      <c r="U931" s="179"/>
      <c r="W931" s="180"/>
      <c r="X931" s="180"/>
      <c r="Z931" s="178" t="s">
        <v>1017</v>
      </c>
      <c r="AA931" s="180"/>
      <c r="AD931" s="201"/>
      <c r="AE931" s="200"/>
      <c r="AF931" s="180"/>
      <c r="AG931" s="201"/>
      <c r="AH931" s="212" t="str">
        <f t="shared" si="430"/>
        <v/>
      </c>
      <c r="AI931" s="214" t="str">
        <f t="shared" si="417"/>
        <v/>
      </c>
      <c r="AJ931" s="214" t="str">
        <f t="shared" si="418"/>
        <v/>
      </c>
      <c r="AK931" s="214" t="str">
        <f t="shared" si="419"/>
        <v/>
      </c>
      <c r="AL931" s="214" t="str">
        <f t="shared" si="420"/>
        <v/>
      </c>
      <c r="AM931" s="214" t="str">
        <f t="shared" si="421"/>
        <v/>
      </c>
      <c r="AN931" s="213" t="str">
        <f t="shared" si="404"/>
        <v/>
      </c>
      <c r="AO931" s="213" t="str">
        <f t="shared" si="405"/>
        <v/>
      </c>
      <c r="AP931" s="213" t="str">
        <f t="shared" si="406"/>
        <v/>
      </c>
      <c r="AQ931" s="215" t="str">
        <f t="shared" si="407"/>
        <v/>
      </c>
      <c r="AR931" s="216" t="str">
        <f t="shared" si="408"/>
        <v>BiK81M1KA3--05</v>
      </c>
      <c r="AS931" s="215" t="str">
        <f t="shared" si="409"/>
        <v/>
      </c>
      <c r="AT931">
        <f t="shared" si="410"/>
        <v>14</v>
      </c>
      <c r="AU931" s="216" t="str">
        <f t="shared" si="411"/>
        <v>0-0,15 MW, Bonusregeln M1 und K wenn Anlage 3 erfüllt</v>
      </c>
      <c r="AV931" s="215" t="str">
        <f t="shared" si="412"/>
        <v/>
      </c>
      <c r="AW931" s="216" t="str">
        <f t="shared" si="413"/>
        <v>Anteil KWK gemäß Anlage 3</v>
      </c>
      <c r="AX931" s="215" t="str">
        <f t="shared" si="414"/>
        <v/>
      </c>
      <c r="AY931" t="str">
        <f t="shared" si="415"/>
        <v/>
      </c>
      <c r="AZ931" t="str">
        <f t="shared" si="416"/>
        <v/>
      </c>
    </row>
    <row r="932" spans="1:52" s="178" customFormat="1" x14ac:dyDescent="0.25">
      <c r="A932" s="610" t="s">
        <v>4634</v>
      </c>
      <c r="B932" s="30" t="s">
        <v>5548</v>
      </c>
      <c r="C932" s="30" t="s">
        <v>1288</v>
      </c>
      <c r="D932" s="30" t="s">
        <v>6898</v>
      </c>
      <c r="E932" s="30" t="s">
        <v>674</v>
      </c>
      <c r="F932" s="454">
        <f t="shared" si="422"/>
        <v>25.67</v>
      </c>
      <c r="G932" s="529">
        <v>25.67</v>
      </c>
      <c r="H932" s="487">
        <f t="shared" si="423"/>
        <v>20.54</v>
      </c>
      <c r="I932" s="706"/>
      <c r="J932" s="669" t="s">
        <v>5805</v>
      </c>
      <c r="K932" s="15"/>
      <c r="L932"/>
      <c r="M932" s="49">
        <f t="shared" si="424"/>
        <v>25.67</v>
      </c>
      <c r="N932" s="41">
        <v>11.67</v>
      </c>
      <c r="O932" s="186"/>
      <c r="P932" s="177"/>
      <c r="Q932" s="178" t="s">
        <v>1017</v>
      </c>
      <c r="S932" s="178" t="s">
        <v>4180</v>
      </c>
      <c r="T932" s="178" t="s">
        <v>4180</v>
      </c>
      <c r="U932" s="179"/>
      <c r="W932" s="180"/>
      <c r="X932" s="180"/>
      <c r="Z932" s="178" t="s">
        <v>1017</v>
      </c>
      <c r="AA932" s="180"/>
      <c r="AD932" s="201"/>
      <c r="AE932" s="200"/>
      <c r="AF932" s="180"/>
      <c r="AG932" s="201"/>
      <c r="AH932" s="212" t="str">
        <f t="shared" si="430"/>
        <v/>
      </c>
      <c r="AI932" s="214" t="str">
        <f t="shared" si="417"/>
        <v/>
      </c>
      <c r="AJ932" s="214" t="str">
        <f t="shared" si="418"/>
        <v/>
      </c>
      <c r="AK932" s="214" t="str">
        <f t="shared" si="419"/>
        <v/>
      </c>
      <c r="AL932" s="214" t="str">
        <f t="shared" si="420"/>
        <v/>
      </c>
      <c r="AM932" s="214" t="str">
        <f t="shared" si="421"/>
        <v/>
      </c>
      <c r="AN932" s="213" t="str">
        <f t="shared" si="404"/>
        <v/>
      </c>
      <c r="AO932" s="213" t="str">
        <f t="shared" si="405"/>
        <v/>
      </c>
      <c r="AP932" s="213" t="str">
        <f t="shared" si="406"/>
        <v/>
      </c>
      <c r="AQ932" s="215" t="str">
        <f t="shared" si="407"/>
        <v/>
      </c>
      <c r="AR932" s="216" t="str">
        <f t="shared" si="408"/>
        <v>BiK81M1K09--05</v>
      </c>
      <c r="AS932" s="215" t="str">
        <f t="shared" si="409"/>
        <v/>
      </c>
      <c r="AT932">
        <f t="shared" si="410"/>
        <v>14</v>
      </c>
      <c r="AU932" s="216" t="str">
        <f t="shared" si="411"/>
        <v>0-0,15 MW, Bonusregeln M1, K erstmals 2009</v>
      </c>
      <c r="AV932" s="215" t="str">
        <f t="shared" si="412"/>
        <v/>
      </c>
      <c r="AW932" s="216" t="str">
        <f t="shared" si="413"/>
        <v>Anteil KWK, erstmals 2009</v>
      </c>
      <c r="AX932" s="215" t="str">
        <f t="shared" si="414"/>
        <v/>
      </c>
      <c r="AY932" t="str">
        <f t="shared" si="415"/>
        <v/>
      </c>
      <c r="AZ932" t="str">
        <f t="shared" si="416"/>
        <v/>
      </c>
    </row>
    <row r="933" spans="1:52" s="178" customFormat="1" x14ac:dyDescent="0.25">
      <c r="A933" s="610" t="s">
        <v>3574</v>
      </c>
      <c r="B933" s="30" t="s">
        <v>5548</v>
      </c>
      <c r="C933" s="30" t="s">
        <v>1288</v>
      </c>
      <c r="D933" s="30" t="s">
        <v>6899</v>
      </c>
      <c r="E933" s="30" t="s">
        <v>3567</v>
      </c>
      <c r="F933" s="454">
        <f t="shared" si="422"/>
        <v>25.64</v>
      </c>
      <c r="G933" s="529">
        <v>25.64</v>
      </c>
      <c r="H933" s="487">
        <f t="shared" si="423"/>
        <v>20.51</v>
      </c>
      <c r="I933" s="706"/>
      <c r="J933" s="669" t="s">
        <v>5805</v>
      </c>
      <c r="K933" s="15"/>
      <c r="L933"/>
      <c r="M933" s="49">
        <f t="shared" si="424"/>
        <v>25.64</v>
      </c>
      <c r="N933" s="41">
        <v>11.67</v>
      </c>
      <c r="O933" s="186"/>
      <c r="P933" s="177"/>
      <c r="R933" s="178" t="s">
        <v>1017</v>
      </c>
      <c r="S933" s="178" t="s">
        <v>4180</v>
      </c>
      <c r="T933" s="178" t="s">
        <v>4180</v>
      </c>
      <c r="U933" s="179"/>
      <c r="W933" s="180"/>
      <c r="X933" s="180"/>
      <c r="Z933" s="178" t="s">
        <v>1017</v>
      </c>
      <c r="AA933" s="180"/>
      <c r="AD933" s="201"/>
      <c r="AE933" s="200"/>
      <c r="AF933" s="180"/>
      <c r="AG933" s="201"/>
      <c r="AH933" s="212" t="str">
        <f t="shared" si="430"/>
        <v>2010</v>
      </c>
      <c r="AI933" s="214" t="str">
        <f t="shared" si="417"/>
        <v/>
      </c>
      <c r="AJ933" s="214" t="str">
        <f t="shared" si="418"/>
        <v/>
      </c>
      <c r="AK933" s="214" t="str">
        <f t="shared" si="419"/>
        <v/>
      </c>
      <c r="AL933" s="214" t="str">
        <f t="shared" si="420"/>
        <v/>
      </c>
      <c r="AM933" s="214" t="str">
        <f t="shared" si="421"/>
        <v/>
      </c>
      <c r="AN933" s="213" t="str">
        <f t="shared" si="404"/>
        <v>2010</v>
      </c>
      <c r="AO933" s="213" t="str">
        <f t="shared" si="405"/>
        <v>2010</v>
      </c>
      <c r="AP933" s="213" t="str">
        <f t="shared" si="406"/>
        <v>2010</v>
      </c>
      <c r="AQ933" s="215" t="str">
        <f t="shared" si="407"/>
        <v/>
      </c>
      <c r="AR933" s="216" t="str">
        <f t="shared" si="408"/>
        <v>BiK81M1K10--05</v>
      </c>
      <c r="AS933" s="215" t="str">
        <f t="shared" si="409"/>
        <v/>
      </c>
      <c r="AT933">
        <f t="shared" si="410"/>
        <v>14</v>
      </c>
      <c r="AU933" s="216" t="str">
        <f t="shared" si="411"/>
        <v>0-0,15 MW, Bonusregeln M1, K erstmals 2010</v>
      </c>
      <c r="AV933" s="215" t="str">
        <f t="shared" si="412"/>
        <v/>
      </c>
      <c r="AW933" s="216" t="str">
        <f t="shared" si="413"/>
        <v>Anteil KWK, erstmals 2010</v>
      </c>
      <c r="AX933" s="215" t="str">
        <f t="shared" si="414"/>
        <v/>
      </c>
      <c r="AY933" t="str">
        <f t="shared" si="415"/>
        <v/>
      </c>
      <c r="AZ933" t="str">
        <f t="shared" si="416"/>
        <v/>
      </c>
    </row>
    <row r="934" spans="1:52" s="178" customFormat="1" x14ac:dyDescent="0.25">
      <c r="A934" s="610" t="s">
        <v>5305</v>
      </c>
      <c r="B934" s="30" t="s">
        <v>5548</v>
      </c>
      <c r="C934" s="30" t="s">
        <v>1288</v>
      </c>
      <c r="D934" s="30" t="s">
        <v>6900</v>
      </c>
      <c r="E934" s="30" t="s">
        <v>3055</v>
      </c>
      <c r="F934" s="454">
        <f t="shared" si="422"/>
        <v>25.61</v>
      </c>
      <c r="G934" s="529">
        <v>25.61</v>
      </c>
      <c r="H934" s="487">
        <f t="shared" si="423"/>
        <v>20.49</v>
      </c>
      <c r="I934" s="706"/>
      <c r="J934" s="669" t="s">
        <v>5805</v>
      </c>
      <c r="K934" s="15"/>
      <c r="L934"/>
      <c r="M934" s="49">
        <f t="shared" si="424"/>
        <v>25.61</v>
      </c>
      <c r="N934" s="41">
        <v>11.67</v>
      </c>
      <c r="O934" s="186"/>
      <c r="P934" s="177"/>
      <c r="S934" s="178" t="s">
        <v>1017</v>
      </c>
      <c r="T934" s="178" t="s">
        <v>4180</v>
      </c>
      <c r="U934" s="179"/>
      <c r="W934" s="180"/>
      <c r="X934" s="180"/>
      <c r="Z934" s="178" t="s">
        <v>1017</v>
      </c>
      <c r="AA934" s="180"/>
      <c r="AD934" s="201"/>
      <c r="AE934" s="200"/>
      <c r="AF934" s="180"/>
      <c r="AG934" s="201"/>
      <c r="AH934" s="212" t="str">
        <f t="shared" si="430"/>
        <v>2011</v>
      </c>
      <c r="AI934" s="214" t="str">
        <f t="shared" si="417"/>
        <v/>
      </c>
      <c r="AJ934" s="214" t="str">
        <f t="shared" si="418"/>
        <v/>
      </c>
      <c r="AK934" s="214" t="str">
        <f t="shared" si="419"/>
        <v/>
      </c>
      <c r="AL934" s="214" t="str">
        <f t="shared" si="420"/>
        <v/>
      </c>
      <c r="AM934" s="214" t="str">
        <f t="shared" si="421"/>
        <v/>
      </c>
      <c r="AN934" s="213" t="str">
        <f t="shared" si="404"/>
        <v>2011</v>
      </c>
      <c r="AO934" s="213" t="str">
        <f t="shared" si="405"/>
        <v>2011</v>
      </c>
      <c r="AP934" s="213" t="str">
        <f t="shared" si="406"/>
        <v>2011</v>
      </c>
      <c r="AQ934" s="215" t="str">
        <f t="shared" si="407"/>
        <v/>
      </c>
      <c r="AR934" s="216" t="str">
        <f t="shared" si="408"/>
        <v>BiK81M1K11--05</v>
      </c>
      <c r="AS934" s="215" t="str">
        <f t="shared" si="409"/>
        <v/>
      </c>
      <c r="AT934">
        <f t="shared" si="410"/>
        <v>14</v>
      </c>
      <c r="AU934" s="216" t="str">
        <f t="shared" si="411"/>
        <v>0-0,15 MW, Bonusregeln M1, K erstmals 2011</v>
      </c>
      <c r="AV934" s="215" t="str">
        <f t="shared" si="412"/>
        <v/>
      </c>
      <c r="AW934" s="216" t="str">
        <f t="shared" si="413"/>
        <v>Anteil KWK, erstmals 2011</v>
      </c>
      <c r="AX934" s="215" t="str">
        <f t="shared" si="414"/>
        <v/>
      </c>
      <c r="AY934" t="str">
        <f t="shared" si="415"/>
        <v>x</v>
      </c>
      <c r="AZ934" t="str">
        <f t="shared" si="416"/>
        <v/>
      </c>
    </row>
    <row r="935" spans="1:52" s="178" customFormat="1" x14ac:dyDescent="0.25">
      <c r="A935" s="625" t="s">
        <v>1555</v>
      </c>
      <c r="B935" s="219" t="s">
        <v>5548</v>
      </c>
      <c r="C935" s="219" t="s">
        <v>1288</v>
      </c>
      <c r="D935" s="219" t="s">
        <v>6901</v>
      </c>
      <c r="E935" s="219" t="s">
        <v>1980</v>
      </c>
      <c r="F935" s="455">
        <f t="shared" si="422"/>
        <v>25.58</v>
      </c>
      <c r="G935" s="530">
        <v>25.58</v>
      </c>
      <c r="H935" s="488">
        <f t="shared" si="423"/>
        <v>20.46</v>
      </c>
      <c r="I935" s="707"/>
      <c r="J935" s="669" t="s">
        <v>5805</v>
      </c>
      <c r="K935" s="15"/>
      <c r="L935"/>
      <c r="M935" s="49">
        <f t="shared" si="424"/>
        <v>25.58</v>
      </c>
      <c r="N935" s="41">
        <v>11.67</v>
      </c>
      <c r="O935" s="186"/>
      <c r="P935" s="177"/>
      <c r="S935" s="178" t="s">
        <v>4180</v>
      </c>
      <c r="T935" s="178" t="s">
        <v>1017</v>
      </c>
      <c r="U935" s="179"/>
      <c r="W935" s="180"/>
      <c r="X935" s="180"/>
      <c r="Z935" s="178" t="s">
        <v>1017</v>
      </c>
      <c r="AA935" s="180"/>
      <c r="AD935" s="201"/>
      <c r="AE935" s="200"/>
      <c r="AF935" s="180"/>
      <c r="AG935" s="201"/>
      <c r="AH935" s="217" t="s">
        <v>4179</v>
      </c>
      <c r="AI935" s="214" t="str">
        <f t="shared" si="417"/>
        <v/>
      </c>
      <c r="AJ935" s="214" t="str">
        <f t="shared" si="418"/>
        <v/>
      </c>
      <c r="AK935" s="214" t="str">
        <f t="shared" si="419"/>
        <v/>
      </c>
      <c r="AL935" s="214" t="str">
        <f t="shared" si="420"/>
        <v/>
      </c>
      <c r="AM935" s="214" t="str">
        <f t="shared" si="421"/>
        <v/>
      </c>
      <c r="AN935" s="213" t="str">
        <f t="shared" si="404"/>
        <v>2012</v>
      </c>
      <c r="AO935" s="213" t="str">
        <f t="shared" si="405"/>
        <v>2012</v>
      </c>
      <c r="AP935" s="213" t="str">
        <f t="shared" si="406"/>
        <v>2012</v>
      </c>
      <c r="AQ935" s="215" t="str">
        <f t="shared" si="407"/>
        <v/>
      </c>
      <c r="AR935" s="216" t="str">
        <f t="shared" si="408"/>
        <v>BiK81M1K12--05</v>
      </c>
      <c r="AS935" s="215" t="str">
        <f t="shared" si="409"/>
        <v/>
      </c>
      <c r="AT935">
        <f t="shared" si="410"/>
        <v>14</v>
      </c>
      <c r="AU935" s="216" t="str">
        <f t="shared" si="411"/>
        <v>0-0,15 MW, Bonusregeln M1, K erstmals 2012</v>
      </c>
      <c r="AV935" s="215" t="str">
        <f t="shared" si="412"/>
        <v/>
      </c>
      <c r="AW935" s="216" t="str">
        <f t="shared" si="413"/>
        <v>Anteil KWK, erstmals 2012</v>
      </c>
      <c r="AX935" s="215" t="str">
        <f t="shared" si="414"/>
        <v/>
      </c>
      <c r="AY935" t="str">
        <f t="shared" si="415"/>
        <v/>
      </c>
      <c r="AZ935" t="str">
        <f t="shared" si="416"/>
        <v>x</v>
      </c>
    </row>
    <row r="936" spans="1:52" s="178" customFormat="1" x14ac:dyDescent="0.25">
      <c r="A936" s="610" t="s">
        <v>4763</v>
      </c>
      <c r="B936" s="30" t="s">
        <v>5548</v>
      </c>
      <c r="C936" s="30" t="s">
        <v>1288</v>
      </c>
      <c r="D936" s="30" t="s">
        <v>6828</v>
      </c>
      <c r="E936" s="30" t="s">
        <v>4810</v>
      </c>
      <c r="F936" s="454">
        <f t="shared" si="422"/>
        <v>23.67</v>
      </c>
      <c r="G936" s="529">
        <v>23.67</v>
      </c>
      <c r="H936" s="487">
        <f t="shared" si="423"/>
        <v>18.940000000000001</v>
      </c>
      <c r="I936" s="706"/>
      <c r="J936" s="669" t="s">
        <v>5805</v>
      </c>
      <c r="K936" s="15"/>
      <c r="L936"/>
      <c r="M936" s="49">
        <f t="shared" si="424"/>
        <v>23.67</v>
      </c>
      <c r="N936" s="41">
        <v>11.67</v>
      </c>
      <c r="O936" s="187"/>
      <c r="P936" s="183"/>
      <c r="Q936" s="184"/>
      <c r="R936" s="184"/>
      <c r="S936" s="184" t="s">
        <v>4180</v>
      </c>
      <c r="T936" s="178" t="s">
        <v>4180</v>
      </c>
      <c r="U936" s="185" t="s">
        <v>1017</v>
      </c>
      <c r="V936" s="184"/>
      <c r="W936" s="180"/>
      <c r="X936" s="180"/>
      <c r="Z936" s="184" t="s">
        <v>1017</v>
      </c>
      <c r="AA936" s="180"/>
      <c r="AB936" s="184"/>
      <c r="AC936" s="184"/>
      <c r="AD936" s="201"/>
      <c r="AE936" s="181"/>
      <c r="AF936" s="180"/>
      <c r="AG936" s="201"/>
      <c r="AH936" s="212" t="str">
        <f t="shared" ref="AH936:AH941" si="431">IF(ISERROR(SEARCH("K erstmals 201",D936)),"",RIGHT(D936,4))</f>
        <v/>
      </c>
      <c r="AI936" s="214" t="str">
        <f t="shared" si="417"/>
        <v/>
      </c>
      <c r="AJ936" s="214" t="str">
        <f t="shared" si="418"/>
        <v/>
      </c>
      <c r="AK936" s="214" t="str">
        <f t="shared" si="419"/>
        <v/>
      </c>
      <c r="AL936" s="214" t="str">
        <f t="shared" si="420"/>
        <v/>
      </c>
      <c r="AM936" s="214" t="str">
        <f t="shared" si="421"/>
        <v/>
      </c>
      <c r="AN936" s="213" t="str">
        <f t="shared" si="404"/>
        <v/>
      </c>
      <c r="AO936" s="213" t="str">
        <f t="shared" si="405"/>
        <v/>
      </c>
      <c r="AP936" s="213" t="str">
        <f t="shared" si="406"/>
        <v/>
      </c>
      <c r="AQ936" s="215" t="str">
        <f t="shared" si="407"/>
        <v/>
      </c>
      <c r="AR936" s="216" t="str">
        <f t="shared" si="408"/>
        <v>BiK81M1y----05</v>
      </c>
      <c r="AS936" s="215" t="str">
        <f t="shared" si="409"/>
        <v/>
      </c>
      <c r="AT936">
        <f t="shared" si="410"/>
        <v>14</v>
      </c>
      <c r="AU936" s="216" t="str">
        <f t="shared" si="411"/>
        <v>0-0,15 MW, Bonusregeln M1, y</v>
      </c>
      <c r="AV936" s="215" t="str">
        <f t="shared" si="412"/>
        <v/>
      </c>
      <c r="AW936" s="216" t="str">
        <f t="shared" si="413"/>
        <v>Anteil Nicht-KWK</v>
      </c>
      <c r="AX936" s="215" t="str">
        <f t="shared" si="414"/>
        <v/>
      </c>
      <c r="AY936" t="str">
        <f t="shared" si="415"/>
        <v/>
      </c>
      <c r="AZ936" t="str">
        <f t="shared" si="416"/>
        <v/>
      </c>
    </row>
    <row r="937" spans="1:52" s="178" customFormat="1" x14ac:dyDescent="0.25">
      <c r="A937" s="610" t="s">
        <v>4764</v>
      </c>
      <c r="B937" s="30" t="s">
        <v>5548</v>
      </c>
      <c r="C937" s="30" t="s">
        <v>1288</v>
      </c>
      <c r="D937" s="30" t="s">
        <v>6902</v>
      </c>
      <c r="E937" s="30" t="s">
        <v>4812</v>
      </c>
      <c r="F937" s="454">
        <f t="shared" si="422"/>
        <v>25.67</v>
      </c>
      <c r="G937" s="529">
        <v>25.67</v>
      </c>
      <c r="H937" s="487">
        <f t="shared" si="423"/>
        <v>20.54</v>
      </c>
      <c r="I937" s="706"/>
      <c r="J937" s="669" t="s">
        <v>5805</v>
      </c>
      <c r="K937" s="15"/>
      <c r="L937"/>
      <c r="M937" s="49">
        <f t="shared" si="424"/>
        <v>25.67</v>
      </c>
      <c r="N937" s="41">
        <v>11.67</v>
      </c>
      <c r="O937" s="187" t="s">
        <v>1017</v>
      </c>
      <c r="P937" s="183"/>
      <c r="Q937" s="184"/>
      <c r="R937" s="184"/>
      <c r="S937" s="184" t="s">
        <v>4180</v>
      </c>
      <c r="T937" s="178" t="s">
        <v>4180</v>
      </c>
      <c r="U937" s="185" t="s">
        <v>1017</v>
      </c>
      <c r="V937" s="184"/>
      <c r="W937" s="180"/>
      <c r="X937" s="180"/>
      <c r="Z937" s="184" t="s">
        <v>1017</v>
      </c>
      <c r="AA937" s="180"/>
      <c r="AB937" s="184"/>
      <c r="AC937" s="184"/>
      <c r="AD937" s="201"/>
      <c r="AE937" s="181"/>
      <c r="AF937" s="180"/>
      <c r="AG937" s="201"/>
      <c r="AH937" s="212" t="str">
        <f t="shared" si="431"/>
        <v/>
      </c>
      <c r="AI937" s="214" t="str">
        <f t="shared" si="417"/>
        <v/>
      </c>
      <c r="AJ937" s="214" t="str">
        <f t="shared" si="418"/>
        <v/>
      </c>
      <c r="AK937" s="214" t="str">
        <f t="shared" si="419"/>
        <v/>
      </c>
      <c r="AL937" s="214" t="str">
        <f t="shared" si="420"/>
        <v/>
      </c>
      <c r="AM937" s="214" t="str">
        <f t="shared" si="421"/>
        <v/>
      </c>
      <c r="AN937" s="213" t="str">
        <f t="shared" si="404"/>
        <v/>
      </c>
      <c r="AO937" s="213" t="str">
        <f t="shared" si="405"/>
        <v/>
      </c>
      <c r="AP937" s="213" t="str">
        <f t="shared" si="406"/>
        <v/>
      </c>
      <c r="AQ937" s="215" t="str">
        <f t="shared" si="407"/>
        <v/>
      </c>
      <c r="AR937" s="216" t="str">
        <f t="shared" si="408"/>
        <v>BiK81M1KWKy-05</v>
      </c>
      <c r="AS937" s="215" t="str">
        <f t="shared" si="409"/>
        <v/>
      </c>
      <c r="AT937">
        <f t="shared" si="410"/>
        <v>14</v>
      </c>
      <c r="AU937" s="216" t="str">
        <f t="shared" si="411"/>
        <v>0-0,15 MW, Bonusregeln M1, y und KWK</v>
      </c>
      <c r="AV937" s="215" t="str">
        <f t="shared" si="412"/>
        <v/>
      </c>
      <c r="AW937" s="216" t="str">
        <f t="shared" si="413"/>
        <v>Anteil KWK</v>
      </c>
      <c r="AX937" s="215" t="str">
        <f t="shared" si="414"/>
        <v/>
      </c>
      <c r="AY937" t="str">
        <f t="shared" si="415"/>
        <v/>
      </c>
      <c r="AZ937" t="str">
        <f t="shared" si="416"/>
        <v/>
      </c>
    </row>
    <row r="938" spans="1:52" x14ac:dyDescent="0.25">
      <c r="A938" s="610" t="s">
        <v>4765</v>
      </c>
      <c r="B938" s="30" t="s">
        <v>5548</v>
      </c>
      <c r="C938" s="30" t="s">
        <v>1288</v>
      </c>
      <c r="D938" s="109" t="s">
        <v>6829</v>
      </c>
      <c r="E938" s="30" t="s">
        <v>4331</v>
      </c>
      <c r="F938" s="454">
        <f t="shared" si="422"/>
        <v>26.67</v>
      </c>
      <c r="G938" s="529">
        <v>26.67</v>
      </c>
      <c r="H938" s="487">
        <f t="shared" si="423"/>
        <v>21.34</v>
      </c>
      <c r="I938" s="706"/>
      <c r="J938" s="669" t="s">
        <v>5805</v>
      </c>
      <c r="K938" s="15"/>
      <c r="M938" s="49">
        <f t="shared" si="424"/>
        <v>26.67</v>
      </c>
      <c r="N938" s="41">
        <v>11.67</v>
      </c>
      <c r="O938" s="187"/>
      <c r="P938" s="184" t="s">
        <v>1017</v>
      </c>
      <c r="Q938" s="184"/>
      <c r="R938" s="184"/>
      <c r="S938" s="184" t="s">
        <v>4180</v>
      </c>
      <c r="T938" t="s">
        <v>4180</v>
      </c>
      <c r="U938" s="185" t="s">
        <v>1017</v>
      </c>
      <c r="V938" s="184"/>
      <c r="W938" s="180"/>
      <c r="X938" s="180"/>
      <c r="Y938" s="178"/>
      <c r="Z938" s="184" t="s">
        <v>1017</v>
      </c>
      <c r="AA938" s="180"/>
      <c r="AB938" s="184"/>
      <c r="AC938" s="184"/>
      <c r="AD938" s="201"/>
      <c r="AE938" s="181"/>
      <c r="AF938" s="180"/>
      <c r="AG938" s="201"/>
      <c r="AH938" s="212" t="str">
        <f t="shared" si="431"/>
        <v/>
      </c>
      <c r="AI938" s="214" t="str">
        <f t="shared" si="417"/>
        <v/>
      </c>
      <c r="AJ938" s="214" t="str">
        <f t="shared" si="418"/>
        <v/>
      </c>
      <c r="AK938" s="214" t="str">
        <f t="shared" si="419"/>
        <v/>
      </c>
      <c r="AL938" s="214" t="str">
        <f t="shared" si="420"/>
        <v/>
      </c>
      <c r="AM938" s="214" t="str">
        <f t="shared" si="421"/>
        <v/>
      </c>
      <c r="AN938" s="213" t="str">
        <f t="shared" si="404"/>
        <v/>
      </c>
      <c r="AO938" s="213" t="str">
        <f t="shared" si="405"/>
        <v/>
      </c>
      <c r="AP938" s="213" t="str">
        <f t="shared" si="406"/>
        <v/>
      </c>
      <c r="AQ938" s="215" t="str">
        <f t="shared" si="407"/>
        <v/>
      </c>
      <c r="AR938" s="216" t="str">
        <f t="shared" si="408"/>
        <v>BiK81M1KA3y-05</v>
      </c>
      <c r="AS938" s="215" t="str">
        <f t="shared" si="409"/>
        <v/>
      </c>
      <c r="AT938">
        <f t="shared" si="410"/>
        <v>14</v>
      </c>
      <c r="AU938" s="216" t="str">
        <f t="shared" si="411"/>
        <v>0-0,15 MW, Bonusregeln M1, y und K wenn Anlage 3 erfüllt</v>
      </c>
      <c r="AV938" s="215" t="str">
        <f t="shared" si="412"/>
        <v/>
      </c>
      <c r="AW938" s="216" t="str">
        <f t="shared" si="413"/>
        <v>Anteil KWK gemäß Anlage 3</v>
      </c>
      <c r="AX938" s="215" t="str">
        <f t="shared" si="414"/>
        <v/>
      </c>
      <c r="AY938" t="str">
        <f t="shared" si="415"/>
        <v/>
      </c>
      <c r="AZ938" t="str">
        <f t="shared" si="416"/>
        <v/>
      </c>
    </row>
    <row r="939" spans="1:52" x14ac:dyDescent="0.25">
      <c r="A939" s="610" t="s">
        <v>4766</v>
      </c>
      <c r="B939" s="30" t="s">
        <v>5548</v>
      </c>
      <c r="C939" s="30" t="s">
        <v>1288</v>
      </c>
      <c r="D939" s="30" t="s">
        <v>6830</v>
      </c>
      <c r="E939" s="30" t="s">
        <v>674</v>
      </c>
      <c r="F939" s="454">
        <f t="shared" si="422"/>
        <v>26.67</v>
      </c>
      <c r="G939" s="529">
        <v>26.67</v>
      </c>
      <c r="H939" s="487">
        <f t="shared" si="423"/>
        <v>21.34</v>
      </c>
      <c r="I939" s="706"/>
      <c r="J939" s="669" t="s">
        <v>5805</v>
      </c>
      <c r="K939" s="15"/>
      <c r="M939" s="49">
        <f t="shared" si="424"/>
        <v>26.67</v>
      </c>
      <c r="N939" s="41">
        <v>11.67</v>
      </c>
      <c r="O939" s="187"/>
      <c r="P939" s="183"/>
      <c r="Q939" s="184" t="s">
        <v>1017</v>
      </c>
      <c r="R939" s="184"/>
      <c r="S939" s="184" t="s">
        <v>4180</v>
      </c>
      <c r="T939" t="s">
        <v>4180</v>
      </c>
      <c r="U939" s="185" t="s">
        <v>1017</v>
      </c>
      <c r="V939" s="184"/>
      <c r="W939" s="180"/>
      <c r="X939" s="180"/>
      <c r="Y939" s="178"/>
      <c r="Z939" s="184" t="s">
        <v>1017</v>
      </c>
      <c r="AA939" s="180"/>
      <c r="AB939" s="184"/>
      <c r="AC939" s="184"/>
      <c r="AD939" s="201"/>
      <c r="AE939" s="181"/>
      <c r="AF939" s="180"/>
      <c r="AG939" s="201"/>
      <c r="AH939" s="212" t="str">
        <f t="shared" si="431"/>
        <v/>
      </c>
      <c r="AI939" s="214" t="str">
        <f t="shared" si="417"/>
        <v/>
      </c>
      <c r="AJ939" s="214" t="str">
        <f t="shared" si="418"/>
        <v/>
      </c>
      <c r="AK939" s="214" t="str">
        <f t="shared" si="419"/>
        <v/>
      </c>
      <c r="AL939" s="214" t="str">
        <f t="shared" si="420"/>
        <v/>
      </c>
      <c r="AM939" s="214" t="str">
        <f t="shared" si="421"/>
        <v/>
      </c>
      <c r="AN939" s="213" t="str">
        <f t="shared" si="404"/>
        <v/>
      </c>
      <c r="AO939" s="213" t="str">
        <f t="shared" si="405"/>
        <v/>
      </c>
      <c r="AP939" s="213" t="str">
        <f t="shared" si="406"/>
        <v/>
      </c>
      <c r="AQ939" s="215" t="str">
        <f t="shared" si="407"/>
        <v/>
      </c>
      <c r="AR939" s="216" t="str">
        <f t="shared" si="408"/>
        <v>BiK81M1K09y-05</v>
      </c>
      <c r="AS939" s="215" t="str">
        <f t="shared" si="409"/>
        <v/>
      </c>
      <c r="AT939">
        <f t="shared" si="410"/>
        <v>14</v>
      </c>
      <c r="AU939" s="216" t="str">
        <f t="shared" si="411"/>
        <v>0-0,15 MW, Bonusregeln M1, y und K erstmals 2009</v>
      </c>
      <c r="AV939" s="215" t="str">
        <f t="shared" si="412"/>
        <v/>
      </c>
      <c r="AW939" s="216" t="str">
        <f t="shared" si="413"/>
        <v>Anteil KWK, erstmals 2009</v>
      </c>
      <c r="AX939" s="215" t="str">
        <f t="shared" si="414"/>
        <v/>
      </c>
      <c r="AY939" t="str">
        <f t="shared" si="415"/>
        <v/>
      </c>
      <c r="AZ939" t="str">
        <f t="shared" si="416"/>
        <v/>
      </c>
    </row>
    <row r="940" spans="1:52" x14ac:dyDescent="0.25">
      <c r="A940" s="610" t="s">
        <v>3575</v>
      </c>
      <c r="B940" s="30" t="s">
        <v>5548</v>
      </c>
      <c r="C940" s="30" t="s">
        <v>1288</v>
      </c>
      <c r="D940" s="30" t="s">
        <v>6831</v>
      </c>
      <c r="E940" s="30" t="s">
        <v>3567</v>
      </c>
      <c r="F940" s="454">
        <f t="shared" si="422"/>
        <v>26.64</v>
      </c>
      <c r="G940" s="529">
        <v>26.64</v>
      </c>
      <c r="H940" s="487">
        <f t="shared" si="423"/>
        <v>21.31</v>
      </c>
      <c r="I940" s="706"/>
      <c r="J940" s="669" t="s">
        <v>5805</v>
      </c>
      <c r="K940" s="15"/>
      <c r="M940" s="49">
        <f t="shared" si="424"/>
        <v>26.64</v>
      </c>
      <c r="N940" s="41">
        <v>11.67</v>
      </c>
      <c r="O940" s="187"/>
      <c r="P940" s="183"/>
      <c r="Q940" s="184"/>
      <c r="R940" s="184" t="s">
        <v>1017</v>
      </c>
      <c r="S940" s="184" t="s">
        <v>4180</v>
      </c>
      <c r="T940" t="s">
        <v>4180</v>
      </c>
      <c r="U940" s="185" t="s">
        <v>1017</v>
      </c>
      <c r="V940" s="184"/>
      <c r="W940" s="180"/>
      <c r="X940" s="180"/>
      <c r="Y940" s="178"/>
      <c r="Z940" s="184" t="s">
        <v>1017</v>
      </c>
      <c r="AA940" s="180"/>
      <c r="AB940" s="184"/>
      <c r="AC940" s="184"/>
      <c r="AD940" s="201"/>
      <c r="AE940" s="181"/>
      <c r="AF940" s="180"/>
      <c r="AG940" s="201"/>
      <c r="AH940" s="212" t="str">
        <f t="shared" si="431"/>
        <v>2010</v>
      </c>
      <c r="AI940" s="214" t="str">
        <f t="shared" si="417"/>
        <v/>
      </c>
      <c r="AJ940" s="214" t="str">
        <f t="shared" si="418"/>
        <v/>
      </c>
      <c r="AK940" s="214" t="str">
        <f t="shared" si="419"/>
        <v/>
      </c>
      <c r="AL940" s="214" t="str">
        <f t="shared" si="420"/>
        <v/>
      </c>
      <c r="AM940" s="214" t="str">
        <f t="shared" si="421"/>
        <v/>
      </c>
      <c r="AN940" s="213" t="str">
        <f t="shared" si="404"/>
        <v>2010</v>
      </c>
      <c r="AO940" s="213" t="str">
        <f t="shared" si="405"/>
        <v>2010</v>
      </c>
      <c r="AP940" s="213" t="str">
        <f t="shared" si="406"/>
        <v>2010</v>
      </c>
      <c r="AQ940" s="215" t="str">
        <f t="shared" si="407"/>
        <v/>
      </c>
      <c r="AR940" s="216" t="str">
        <f t="shared" si="408"/>
        <v>BiK81M1K10y-05</v>
      </c>
      <c r="AS940" s="215" t="str">
        <f t="shared" si="409"/>
        <v/>
      </c>
      <c r="AT940">
        <f t="shared" si="410"/>
        <v>14</v>
      </c>
      <c r="AU940" s="216" t="str">
        <f t="shared" si="411"/>
        <v>0-0,15 MW, Bonusregeln M1, y und K erstmals 2010</v>
      </c>
      <c r="AV940" s="215" t="str">
        <f t="shared" si="412"/>
        <v/>
      </c>
      <c r="AW940" s="216" t="str">
        <f t="shared" si="413"/>
        <v>Anteil KWK, erstmals 2010</v>
      </c>
      <c r="AX940" s="215" t="str">
        <f t="shared" si="414"/>
        <v/>
      </c>
      <c r="AY940" t="str">
        <f t="shared" si="415"/>
        <v/>
      </c>
      <c r="AZ940" t="str">
        <f t="shared" si="416"/>
        <v/>
      </c>
    </row>
    <row r="941" spans="1:52" x14ac:dyDescent="0.25">
      <c r="A941" s="610" t="s">
        <v>5306</v>
      </c>
      <c r="B941" s="30" t="s">
        <v>5548</v>
      </c>
      <c r="C941" s="30" t="s">
        <v>1288</v>
      </c>
      <c r="D941" s="30" t="s">
        <v>6832</v>
      </c>
      <c r="E941" s="30" t="s">
        <v>3055</v>
      </c>
      <c r="F941" s="454">
        <f t="shared" si="422"/>
        <v>26.61</v>
      </c>
      <c r="G941" s="529">
        <v>26.61</v>
      </c>
      <c r="H941" s="487">
        <f t="shared" si="423"/>
        <v>21.29</v>
      </c>
      <c r="I941" s="706"/>
      <c r="J941" s="669" t="s">
        <v>5805</v>
      </c>
      <c r="K941" s="15"/>
      <c r="M941" s="49">
        <f t="shared" si="424"/>
        <v>26.61</v>
      </c>
      <c r="N941" s="41">
        <v>11.67</v>
      </c>
      <c r="O941" s="187"/>
      <c r="P941" s="183"/>
      <c r="Q941" s="184"/>
      <c r="R941" s="178"/>
      <c r="S941" s="184" t="s">
        <v>1017</v>
      </c>
      <c r="T941" t="s">
        <v>4180</v>
      </c>
      <c r="U941" s="185" t="s">
        <v>1017</v>
      </c>
      <c r="V941" s="184"/>
      <c r="W941" s="180"/>
      <c r="X941" s="180"/>
      <c r="Y941" s="178"/>
      <c r="Z941" s="184" t="s">
        <v>1017</v>
      </c>
      <c r="AA941" s="180"/>
      <c r="AB941" s="184"/>
      <c r="AC941" s="184"/>
      <c r="AD941" s="201"/>
      <c r="AE941" s="181"/>
      <c r="AF941" s="180"/>
      <c r="AG941" s="201"/>
      <c r="AH941" s="212" t="str">
        <f t="shared" si="431"/>
        <v>2011</v>
      </c>
      <c r="AI941" s="214" t="str">
        <f t="shared" si="417"/>
        <v/>
      </c>
      <c r="AJ941" s="214" t="str">
        <f t="shared" si="418"/>
        <v/>
      </c>
      <c r="AK941" s="214" t="str">
        <f t="shared" si="419"/>
        <v/>
      </c>
      <c r="AL941" s="214" t="str">
        <f t="shared" si="420"/>
        <v/>
      </c>
      <c r="AM941" s="214" t="str">
        <f t="shared" si="421"/>
        <v/>
      </c>
      <c r="AN941" s="213" t="str">
        <f t="shared" si="404"/>
        <v>2011</v>
      </c>
      <c r="AO941" s="213" t="str">
        <f t="shared" si="405"/>
        <v>2011</v>
      </c>
      <c r="AP941" s="213" t="str">
        <f t="shared" si="406"/>
        <v>2011</v>
      </c>
      <c r="AQ941" s="215" t="str">
        <f t="shared" si="407"/>
        <v/>
      </c>
      <c r="AR941" s="216" t="str">
        <f t="shared" si="408"/>
        <v>BiK81M1K11y-05</v>
      </c>
      <c r="AS941" s="215" t="str">
        <f t="shared" si="409"/>
        <v/>
      </c>
      <c r="AT941">
        <f t="shared" si="410"/>
        <v>14</v>
      </c>
      <c r="AU941" s="216" t="str">
        <f t="shared" si="411"/>
        <v>0-0,15 MW, Bonusregeln M1, y und K erstmals 2011</v>
      </c>
      <c r="AV941" s="215" t="str">
        <f t="shared" si="412"/>
        <v/>
      </c>
      <c r="AW941" s="216" t="str">
        <f t="shared" si="413"/>
        <v>Anteil KWK, erstmals 2011</v>
      </c>
      <c r="AX941" s="215" t="str">
        <f t="shared" si="414"/>
        <v/>
      </c>
      <c r="AY941" t="str">
        <f t="shared" si="415"/>
        <v>x</v>
      </c>
      <c r="AZ941" t="str">
        <f t="shared" si="416"/>
        <v/>
      </c>
    </row>
    <row r="942" spans="1:52" x14ac:dyDescent="0.25">
      <c r="A942" s="625" t="s">
        <v>1556</v>
      </c>
      <c r="B942" s="219" t="s">
        <v>5548</v>
      </c>
      <c r="C942" s="219" t="s">
        <v>1288</v>
      </c>
      <c r="D942" s="219" t="s">
        <v>6833</v>
      </c>
      <c r="E942" s="219" t="s">
        <v>1980</v>
      </c>
      <c r="F942" s="455">
        <f t="shared" si="422"/>
        <v>26.58</v>
      </c>
      <c r="G942" s="530">
        <v>26.58</v>
      </c>
      <c r="H942" s="488">
        <f t="shared" si="423"/>
        <v>21.26</v>
      </c>
      <c r="I942" s="707"/>
      <c r="J942" s="669" t="s">
        <v>5805</v>
      </c>
      <c r="K942" s="15"/>
      <c r="M942" s="49">
        <f t="shared" si="424"/>
        <v>26.58</v>
      </c>
      <c r="N942" s="41">
        <v>11.67</v>
      </c>
      <c r="O942" s="187"/>
      <c r="P942" s="183"/>
      <c r="Q942" s="184"/>
      <c r="R942" s="178"/>
      <c r="S942" s="184" t="s">
        <v>4180</v>
      </c>
      <c r="T942" t="s">
        <v>1017</v>
      </c>
      <c r="U942" s="185" t="s">
        <v>1017</v>
      </c>
      <c r="V942" s="184"/>
      <c r="W942" s="180"/>
      <c r="X942" s="180"/>
      <c r="Y942" s="178"/>
      <c r="Z942" s="184" t="s">
        <v>1017</v>
      </c>
      <c r="AA942" s="180"/>
      <c r="AB942" s="184"/>
      <c r="AC942" s="184"/>
      <c r="AD942" s="201"/>
      <c r="AE942" s="181"/>
      <c r="AF942" s="180"/>
      <c r="AG942" s="201"/>
      <c r="AH942" s="217" t="s">
        <v>4179</v>
      </c>
      <c r="AI942" s="214" t="str">
        <f t="shared" si="417"/>
        <v/>
      </c>
      <c r="AJ942" s="214" t="str">
        <f t="shared" si="418"/>
        <v/>
      </c>
      <c r="AK942" s="214" t="str">
        <f t="shared" si="419"/>
        <v/>
      </c>
      <c r="AL942" s="214" t="str">
        <f t="shared" si="420"/>
        <v/>
      </c>
      <c r="AM942" s="214" t="str">
        <f t="shared" si="421"/>
        <v/>
      </c>
      <c r="AN942" s="213" t="str">
        <f t="shared" si="404"/>
        <v>2012</v>
      </c>
      <c r="AO942" s="213" t="str">
        <f t="shared" si="405"/>
        <v>2012</v>
      </c>
      <c r="AP942" s="213" t="str">
        <f t="shared" si="406"/>
        <v>2012</v>
      </c>
      <c r="AQ942" s="215" t="str">
        <f t="shared" si="407"/>
        <v/>
      </c>
      <c r="AR942" s="216" t="str">
        <f t="shared" si="408"/>
        <v>BiK81M1K12y-05</v>
      </c>
      <c r="AS942" s="215" t="str">
        <f t="shared" si="409"/>
        <v/>
      </c>
      <c r="AT942">
        <f t="shared" si="410"/>
        <v>14</v>
      </c>
      <c r="AU942" s="216" t="str">
        <f t="shared" si="411"/>
        <v>0-0,15 MW, Bonusregeln M1, y und K erstmals 2012</v>
      </c>
      <c r="AV942" s="215" t="str">
        <f t="shared" si="412"/>
        <v/>
      </c>
      <c r="AW942" s="216" t="str">
        <f t="shared" si="413"/>
        <v>Anteil KWK, erstmals 2012</v>
      </c>
      <c r="AX942" s="215" t="str">
        <f t="shared" si="414"/>
        <v/>
      </c>
      <c r="AY942" t="str">
        <f t="shared" si="415"/>
        <v/>
      </c>
      <c r="AZ942" t="str">
        <f t="shared" si="416"/>
        <v>x</v>
      </c>
    </row>
    <row r="943" spans="1:52" x14ac:dyDescent="0.25">
      <c r="A943" s="610" t="s">
        <v>4767</v>
      </c>
      <c r="B943" s="30" t="s">
        <v>5548</v>
      </c>
      <c r="C943" s="30" t="s">
        <v>1288</v>
      </c>
      <c r="D943" s="30" t="s">
        <v>6834</v>
      </c>
      <c r="E943" s="30" t="s">
        <v>4810</v>
      </c>
      <c r="F943" s="454">
        <f t="shared" si="422"/>
        <v>20.67</v>
      </c>
      <c r="G943" s="529">
        <v>20.67</v>
      </c>
      <c r="H943" s="487">
        <f t="shared" si="423"/>
        <v>16.54</v>
      </c>
      <c r="I943" s="706"/>
      <c r="J943" s="669" t="s">
        <v>5805</v>
      </c>
      <c r="K943" s="15"/>
      <c r="M943" s="49">
        <f t="shared" si="424"/>
        <v>20.67</v>
      </c>
      <c r="N943" s="41">
        <v>11.67</v>
      </c>
      <c r="O943" s="186"/>
      <c r="P943" s="177"/>
      <c r="Q943" s="178"/>
      <c r="R943" s="178"/>
      <c r="S943" s="178" t="s">
        <v>4180</v>
      </c>
      <c r="T943" t="s">
        <v>4180</v>
      </c>
      <c r="U943" s="179"/>
      <c r="V943" s="178"/>
      <c r="W943" s="180"/>
      <c r="X943" s="180"/>
      <c r="Y943" s="178"/>
      <c r="Z943" s="178"/>
      <c r="AA943" s="180"/>
      <c r="AB943" s="178" t="s">
        <v>1017</v>
      </c>
      <c r="AC943" s="178"/>
      <c r="AD943" s="201"/>
      <c r="AE943" s="200"/>
      <c r="AF943" s="180"/>
      <c r="AG943" s="201"/>
      <c r="AH943" s="212" t="str">
        <f t="shared" ref="AH943:AH948" si="432">IF(ISERROR(SEARCH("K erstmals 201",D943)),"",RIGHT(D943,4))</f>
        <v/>
      </c>
      <c r="AI943" s="214" t="str">
        <f t="shared" si="417"/>
        <v/>
      </c>
      <c r="AJ943" s="214" t="str">
        <f t="shared" si="418"/>
        <v/>
      </c>
      <c r="AK943" s="214" t="str">
        <f t="shared" si="419"/>
        <v/>
      </c>
      <c r="AL943" s="214" t="str">
        <f t="shared" si="420"/>
        <v/>
      </c>
      <c r="AM943" s="214" t="str">
        <f t="shared" si="421"/>
        <v/>
      </c>
      <c r="AN943" s="213" t="str">
        <f t="shared" si="404"/>
        <v/>
      </c>
      <c r="AO943" s="213" t="str">
        <f t="shared" si="405"/>
        <v/>
      </c>
      <c r="AP943" s="213" t="str">
        <f t="shared" si="406"/>
        <v/>
      </c>
      <c r="AQ943" s="215" t="str">
        <f t="shared" si="407"/>
        <v/>
      </c>
      <c r="AR943" s="216" t="str">
        <f t="shared" si="408"/>
        <v>BiK81L------05</v>
      </c>
      <c r="AS943" s="215" t="str">
        <f t="shared" si="409"/>
        <v/>
      </c>
      <c r="AT943">
        <f t="shared" si="410"/>
        <v>14</v>
      </c>
      <c r="AU943" s="216" t="str">
        <f t="shared" si="411"/>
        <v>0-0,15 MW, Bonusregel L</v>
      </c>
      <c r="AV943" s="215" t="str">
        <f t="shared" si="412"/>
        <v/>
      </c>
      <c r="AW943" s="216" t="str">
        <f t="shared" si="413"/>
        <v>Anteil Nicht-KWK</v>
      </c>
      <c r="AX943" s="215" t="str">
        <f t="shared" si="414"/>
        <v/>
      </c>
      <c r="AY943" t="str">
        <f t="shared" si="415"/>
        <v/>
      </c>
      <c r="AZ943" t="str">
        <f t="shared" si="416"/>
        <v/>
      </c>
    </row>
    <row r="944" spans="1:52" x14ac:dyDescent="0.25">
      <c r="A944" s="610" t="s">
        <v>4768</v>
      </c>
      <c r="B944" s="30" t="s">
        <v>5548</v>
      </c>
      <c r="C944" s="30" t="s">
        <v>1288</v>
      </c>
      <c r="D944" s="30" t="s">
        <v>6903</v>
      </c>
      <c r="E944" s="30" t="s">
        <v>4812</v>
      </c>
      <c r="F944" s="454">
        <f t="shared" si="422"/>
        <v>22.67</v>
      </c>
      <c r="G944" s="529">
        <v>22.67</v>
      </c>
      <c r="H944" s="487">
        <f t="shared" si="423"/>
        <v>18.14</v>
      </c>
      <c r="I944" s="706"/>
      <c r="J944" s="669" t="s">
        <v>5805</v>
      </c>
      <c r="K944" s="15"/>
      <c r="M944" s="49">
        <f t="shared" si="424"/>
        <v>22.67</v>
      </c>
      <c r="N944" s="41">
        <v>11.67</v>
      </c>
      <c r="O944" s="186" t="s">
        <v>1017</v>
      </c>
      <c r="P944" s="177"/>
      <c r="Q944" s="178"/>
      <c r="R944" s="178"/>
      <c r="S944" s="178" t="s">
        <v>4180</v>
      </c>
      <c r="T944" t="s">
        <v>4180</v>
      </c>
      <c r="U944" s="179"/>
      <c r="V944" s="178"/>
      <c r="W944" s="180"/>
      <c r="X944" s="180"/>
      <c r="Y944" s="178"/>
      <c r="Z944" s="178"/>
      <c r="AA944" s="180"/>
      <c r="AB944" s="178" t="s">
        <v>1017</v>
      </c>
      <c r="AC944" s="178"/>
      <c r="AD944" s="201"/>
      <c r="AE944" s="200"/>
      <c r="AF944" s="180"/>
      <c r="AG944" s="201"/>
      <c r="AH944" s="212" t="str">
        <f t="shared" si="432"/>
        <v/>
      </c>
      <c r="AI944" s="214" t="str">
        <f t="shared" si="417"/>
        <v/>
      </c>
      <c r="AJ944" s="214" t="str">
        <f t="shared" si="418"/>
        <v/>
      </c>
      <c r="AK944" s="214" t="str">
        <f t="shared" si="419"/>
        <v/>
      </c>
      <c r="AL944" s="214" t="str">
        <f t="shared" si="420"/>
        <v/>
      </c>
      <c r="AM944" s="214" t="str">
        <f t="shared" si="421"/>
        <v/>
      </c>
      <c r="AN944" s="213" t="str">
        <f t="shared" si="404"/>
        <v/>
      </c>
      <c r="AO944" s="213" t="str">
        <f t="shared" si="405"/>
        <v/>
      </c>
      <c r="AP944" s="213" t="str">
        <f t="shared" si="406"/>
        <v/>
      </c>
      <c r="AQ944" s="215" t="str">
        <f t="shared" si="407"/>
        <v/>
      </c>
      <c r="AR944" s="216" t="str">
        <f t="shared" si="408"/>
        <v>BiK81LKWK---05</v>
      </c>
      <c r="AS944" s="215" t="str">
        <f t="shared" si="409"/>
        <v/>
      </c>
      <c r="AT944">
        <f t="shared" si="410"/>
        <v>14</v>
      </c>
      <c r="AU944" s="216" t="str">
        <f t="shared" si="411"/>
        <v>0-0,15 MW, Bonusregeln L und KWK</v>
      </c>
      <c r="AV944" s="215" t="str">
        <f t="shared" si="412"/>
        <v/>
      </c>
      <c r="AW944" s="216" t="str">
        <f t="shared" si="413"/>
        <v>Anteil KWK</v>
      </c>
      <c r="AX944" s="215" t="str">
        <f t="shared" si="414"/>
        <v/>
      </c>
      <c r="AY944" t="str">
        <f t="shared" si="415"/>
        <v/>
      </c>
      <c r="AZ944" t="str">
        <f t="shared" si="416"/>
        <v/>
      </c>
    </row>
    <row r="945" spans="1:52" x14ac:dyDescent="0.25">
      <c r="A945" s="610" t="s">
        <v>4769</v>
      </c>
      <c r="B945" s="30" t="s">
        <v>5548</v>
      </c>
      <c r="C945" s="30" t="s">
        <v>1288</v>
      </c>
      <c r="D945" s="30" t="s">
        <v>6835</v>
      </c>
      <c r="E945" s="30" t="s">
        <v>4331</v>
      </c>
      <c r="F945" s="454">
        <f t="shared" si="422"/>
        <v>23.67</v>
      </c>
      <c r="G945" s="529">
        <v>23.67</v>
      </c>
      <c r="H945" s="487">
        <f t="shared" si="423"/>
        <v>18.940000000000001</v>
      </c>
      <c r="I945" s="706"/>
      <c r="J945" s="669" t="s">
        <v>5805</v>
      </c>
      <c r="K945" s="15"/>
      <c r="M945" s="49">
        <f t="shared" si="424"/>
        <v>23.67</v>
      </c>
      <c r="N945" s="41">
        <v>11.67</v>
      </c>
      <c r="O945" s="186"/>
      <c r="P945" s="178" t="s">
        <v>1017</v>
      </c>
      <c r="Q945" s="178"/>
      <c r="R945" s="178"/>
      <c r="S945" s="178" t="s">
        <v>4180</v>
      </c>
      <c r="T945" t="s">
        <v>4180</v>
      </c>
      <c r="U945" s="179"/>
      <c r="V945" s="178"/>
      <c r="W945" s="180"/>
      <c r="X945" s="180"/>
      <c r="Y945" s="178"/>
      <c r="Z945" s="178"/>
      <c r="AA945" s="180"/>
      <c r="AB945" s="178" t="s">
        <v>1017</v>
      </c>
      <c r="AC945" s="178"/>
      <c r="AD945" s="201"/>
      <c r="AE945" s="200"/>
      <c r="AF945" s="180"/>
      <c r="AG945" s="201"/>
      <c r="AH945" s="212" t="str">
        <f t="shared" si="432"/>
        <v/>
      </c>
      <c r="AI945" s="214" t="str">
        <f t="shared" si="417"/>
        <v/>
      </c>
      <c r="AJ945" s="214" t="str">
        <f t="shared" si="418"/>
        <v/>
      </c>
      <c r="AK945" s="214" t="str">
        <f t="shared" si="419"/>
        <v/>
      </c>
      <c r="AL945" s="214" t="str">
        <f t="shared" si="420"/>
        <v/>
      </c>
      <c r="AM945" s="214" t="str">
        <f t="shared" si="421"/>
        <v/>
      </c>
      <c r="AN945" s="213" t="str">
        <f t="shared" si="404"/>
        <v/>
      </c>
      <c r="AO945" s="213" t="str">
        <f t="shared" si="405"/>
        <v/>
      </c>
      <c r="AP945" s="213" t="str">
        <f t="shared" si="406"/>
        <v/>
      </c>
      <c r="AQ945" s="215" t="str">
        <f t="shared" si="407"/>
        <v/>
      </c>
      <c r="AR945" s="216" t="str">
        <f t="shared" si="408"/>
        <v>BiK81LKA3---05</v>
      </c>
      <c r="AS945" s="215" t="str">
        <f t="shared" si="409"/>
        <v/>
      </c>
      <c r="AT945">
        <f t="shared" si="410"/>
        <v>14</v>
      </c>
      <c r="AU945" s="216" t="str">
        <f t="shared" si="411"/>
        <v>0-0,15 MW, Bonusregeln L und K wenn Anlage 3 erfüllt</v>
      </c>
      <c r="AV945" s="215" t="str">
        <f t="shared" si="412"/>
        <v/>
      </c>
      <c r="AW945" s="216" t="str">
        <f t="shared" si="413"/>
        <v>Anteil KWK gemäß Anlage 3</v>
      </c>
      <c r="AX945" s="215" t="str">
        <f t="shared" si="414"/>
        <v/>
      </c>
      <c r="AY945" t="str">
        <f t="shared" si="415"/>
        <v/>
      </c>
      <c r="AZ945" t="str">
        <f t="shared" si="416"/>
        <v/>
      </c>
    </row>
    <row r="946" spans="1:52" x14ac:dyDescent="0.25">
      <c r="A946" s="610" t="s">
        <v>4770</v>
      </c>
      <c r="B946" s="30" t="s">
        <v>5548</v>
      </c>
      <c r="C946" s="30" t="s">
        <v>1288</v>
      </c>
      <c r="D946" s="30" t="s">
        <v>6836</v>
      </c>
      <c r="E946" s="30" t="s">
        <v>674</v>
      </c>
      <c r="F946" s="454">
        <f t="shared" si="422"/>
        <v>23.67</v>
      </c>
      <c r="G946" s="529">
        <v>23.67</v>
      </c>
      <c r="H946" s="487">
        <f t="shared" si="423"/>
        <v>18.940000000000001</v>
      </c>
      <c r="I946" s="706"/>
      <c r="J946" s="669" t="s">
        <v>5805</v>
      </c>
      <c r="K946" s="15"/>
      <c r="M946" s="49">
        <f t="shared" si="424"/>
        <v>23.67</v>
      </c>
      <c r="N946" s="41">
        <v>11.67</v>
      </c>
      <c r="O946" s="186"/>
      <c r="P946" s="177"/>
      <c r="Q946" s="178" t="s">
        <v>1017</v>
      </c>
      <c r="R946" s="178"/>
      <c r="S946" s="178" t="s">
        <v>4180</v>
      </c>
      <c r="T946" t="s">
        <v>4180</v>
      </c>
      <c r="U946" s="179"/>
      <c r="V946" s="178"/>
      <c r="W946" s="180"/>
      <c r="X946" s="180"/>
      <c r="Y946" s="178"/>
      <c r="Z946" s="178"/>
      <c r="AA946" s="180"/>
      <c r="AB946" s="178" t="s">
        <v>1017</v>
      </c>
      <c r="AC946" s="178"/>
      <c r="AD946" s="201"/>
      <c r="AE946" s="200"/>
      <c r="AF946" s="180"/>
      <c r="AG946" s="201"/>
      <c r="AH946" s="212" t="str">
        <f t="shared" si="432"/>
        <v/>
      </c>
      <c r="AI946" s="214" t="str">
        <f t="shared" si="417"/>
        <v/>
      </c>
      <c r="AJ946" s="214" t="str">
        <f t="shared" si="418"/>
        <v/>
      </c>
      <c r="AK946" s="214" t="str">
        <f t="shared" si="419"/>
        <v/>
      </c>
      <c r="AL946" s="214" t="str">
        <f t="shared" si="420"/>
        <v/>
      </c>
      <c r="AM946" s="214" t="str">
        <f t="shared" si="421"/>
        <v/>
      </c>
      <c r="AN946" s="213" t="str">
        <f t="shared" ref="AN946:AN1009" si="433">IF(ISERROR(SEARCH("K1",A946)),"","20"&amp;MID(A946,SEARCH("K1",A946)+1,2))</f>
        <v/>
      </c>
      <c r="AO946" s="213" t="str">
        <f t="shared" ref="AO946:AO1009" si="434">IF(ISERROR(SEARCH("erstmals 201",E946)),"",MID(E946,SEARCH("erstmals ",E946)+9,4))</f>
        <v/>
      </c>
      <c r="AP946" s="213" t="str">
        <f t="shared" ref="AP946:AP1009" si="435">IF(R946="x","2010",IF(S946="x","2011",IF(T946="x","2012","")))</f>
        <v/>
      </c>
      <c r="AQ946" s="215" t="str">
        <f t="shared" ref="AQ946:AQ1009" si="436">IF(OR(AH946&lt;&gt;AN946,AH946&lt;&gt;AO946,AH946&lt;&gt;AP946),"DIFF","")</f>
        <v/>
      </c>
      <c r="AR946" s="216" t="str">
        <f t="shared" ref="AR946:AR1009" si="437">IF(A946="","",IF(ISERROR(SEARCH("K1",A946)),A946,LEFT(A946,SEARCH("K1",A946)+1)&amp;RIGHT(AH946,1)&amp;MID(A946,SEARCH("K1",A946)+3,14)))</f>
        <v>BiK81LK09---05</v>
      </c>
      <c r="AS946" s="215" t="str">
        <f t="shared" ref="AS946:AS1009" si="438">IF(OR(A946&lt;&gt;AR946),"DIFF","")</f>
        <v/>
      </c>
      <c r="AT946">
        <f t="shared" ref="AT946:AT1009" si="439">LEN(AR946)</f>
        <v>14</v>
      </c>
      <c r="AU946" s="216" t="str">
        <f t="shared" ref="AU946:AU1009" si="440">IF(D946="","",IF(OR(A946="",ISERROR(SEARCH("erstmals 201",D946))),D946,LEFT(D946,SEARCH("erstmals 201",D946)+8) &amp; AH946 &amp; MID(D946,SEARCH("erstmals 201",D946)+13,255)))</f>
        <v>0-0,15 MW, Bonusregeln L und K erstmals 2009</v>
      </c>
      <c r="AV946" s="215" t="str">
        <f t="shared" ref="AV946:AV1009" si="441">IF(OR(D946&lt;&gt;AU946),"DIFF","")</f>
        <v/>
      </c>
      <c r="AW946" s="216" t="str">
        <f t="shared" ref="AW946:AW1009" si="442">IF(E946="","",IF(OR(E946="",ISERROR(SEARCH("erstmals 201",E946))),E946,LEFT(E946,SEARCH("erstmals 201",E946)+8) &amp; AH946 &amp; MID(E946,SEARCH("erstmals 201",E946)+13,255)))</f>
        <v>Anteil KWK, erstmals 2009</v>
      </c>
      <c r="AX946" s="215" t="str">
        <f t="shared" ref="AX946:AX1009" si="443">IF(OR(E946&lt;&gt;AW946),"DIFF","")</f>
        <v/>
      </c>
      <c r="AY946" t="str">
        <f t="shared" ref="AY946:AY1009" si="444">IF(AH946="2011","x",IF(AH946="2012","","" &amp; S946))</f>
        <v/>
      </c>
      <c r="AZ946" t="str">
        <f t="shared" ref="AZ946:AZ1009" si="445">IF(AH946="2012","x",IF(AH946="2011","","" &amp; T946))</f>
        <v/>
      </c>
    </row>
    <row r="947" spans="1:52" x14ac:dyDescent="0.25">
      <c r="A947" s="610" t="s">
        <v>3576</v>
      </c>
      <c r="B947" s="30" t="s">
        <v>5548</v>
      </c>
      <c r="C947" s="30" t="s">
        <v>1288</v>
      </c>
      <c r="D947" s="30" t="s">
        <v>6837</v>
      </c>
      <c r="E947" s="30" t="s">
        <v>3567</v>
      </c>
      <c r="F947" s="454">
        <f t="shared" si="422"/>
        <v>23.64</v>
      </c>
      <c r="G947" s="529">
        <v>23.64</v>
      </c>
      <c r="H947" s="487">
        <f t="shared" si="423"/>
        <v>18.91</v>
      </c>
      <c r="I947" s="706"/>
      <c r="J947" s="669" t="s">
        <v>5805</v>
      </c>
      <c r="K947" s="15"/>
      <c r="M947" s="49">
        <f t="shared" si="424"/>
        <v>23.64</v>
      </c>
      <c r="N947" s="41">
        <v>11.67</v>
      </c>
      <c r="O947" s="186"/>
      <c r="P947" s="177"/>
      <c r="Q947" s="178"/>
      <c r="R947" s="178" t="s">
        <v>1017</v>
      </c>
      <c r="S947" s="178" t="s">
        <v>4180</v>
      </c>
      <c r="T947" t="s">
        <v>4180</v>
      </c>
      <c r="U947" s="179"/>
      <c r="V947" s="178"/>
      <c r="W947" s="180"/>
      <c r="X947" s="180"/>
      <c r="Y947" s="178"/>
      <c r="Z947" s="178"/>
      <c r="AA947" s="180"/>
      <c r="AB947" s="178" t="s">
        <v>1017</v>
      </c>
      <c r="AC947" s="178"/>
      <c r="AD947" s="201"/>
      <c r="AE947" s="200"/>
      <c r="AF947" s="180"/>
      <c r="AG947" s="201"/>
      <c r="AH947" s="212" t="str">
        <f t="shared" si="432"/>
        <v>2010</v>
      </c>
      <c r="AI947" s="214" t="str">
        <f t="shared" ref="AI947:AI1010" si="446">IF(AND($AH947&lt;&gt;"",AH947 =AH946),"Gleich","")</f>
        <v/>
      </c>
      <c r="AJ947" s="214" t="str">
        <f t="shared" ref="AJ947:AJ1010" si="447">IF(AND($AH947&lt;&gt;"",A947 =A946),"Gleich","")</f>
        <v/>
      </c>
      <c r="AK947" s="214" t="str">
        <f t="shared" ref="AK947:AK1010" si="448">IF(AND($AH947&lt;&gt;"",D947 =D946),"Gleich","")</f>
        <v/>
      </c>
      <c r="AL947" s="214" t="str">
        <f t="shared" ref="AL947:AL1010" si="449">IF(AND($AH947&lt;&gt;"",E947 =E946),"Gleich","")</f>
        <v/>
      </c>
      <c r="AM947" s="214" t="str">
        <f t="shared" ref="AM947:AM1010" si="450">IF(AND($AH947&lt;&gt;"",F947 =F946),"Gleich","")</f>
        <v/>
      </c>
      <c r="AN947" s="213" t="str">
        <f t="shared" si="433"/>
        <v>2010</v>
      </c>
      <c r="AO947" s="213" t="str">
        <f t="shared" si="434"/>
        <v>2010</v>
      </c>
      <c r="AP947" s="213" t="str">
        <f t="shared" si="435"/>
        <v>2010</v>
      </c>
      <c r="AQ947" s="215" t="str">
        <f t="shared" si="436"/>
        <v/>
      </c>
      <c r="AR947" s="216" t="str">
        <f t="shared" si="437"/>
        <v>BiK81LK10---05</v>
      </c>
      <c r="AS947" s="215" t="str">
        <f t="shared" si="438"/>
        <v/>
      </c>
      <c r="AT947">
        <f t="shared" si="439"/>
        <v>14</v>
      </c>
      <c r="AU947" s="216" t="str">
        <f t="shared" si="440"/>
        <v>0-0,15 MW, Bonusregeln L und K erstmals 2010</v>
      </c>
      <c r="AV947" s="215" t="str">
        <f t="shared" si="441"/>
        <v/>
      </c>
      <c r="AW947" s="216" t="str">
        <f t="shared" si="442"/>
        <v>Anteil KWK, erstmals 2010</v>
      </c>
      <c r="AX947" s="215" t="str">
        <f t="shared" si="443"/>
        <v/>
      </c>
      <c r="AY947" t="str">
        <f t="shared" si="444"/>
        <v/>
      </c>
      <c r="AZ947" t="str">
        <f t="shared" si="445"/>
        <v/>
      </c>
    </row>
    <row r="948" spans="1:52" x14ac:dyDescent="0.25">
      <c r="A948" s="610" t="s">
        <v>5307</v>
      </c>
      <c r="B948" s="30" t="s">
        <v>5548</v>
      </c>
      <c r="C948" s="30" t="s">
        <v>1288</v>
      </c>
      <c r="D948" s="30" t="s">
        <v>6838</v>
      </c>
      <c r="E948" s="30" t="s">
        <v>3055</v>
      </c>
      <c r="F948" s="454">
        <f t="shared" si="422"/>
        <v>23.61</v>
      </c>
      <c r="G948" s="529">
        <v>23.61</v>
      </c>
      <c r="H948" s="487">
        <f t="shared" si="423"/>
        <v>18.89</v>
      </c>
      <c r="I948" s="706"/>
      <c r="J948" s="669" t="s">
        <v>5805</v>
      </c>
      <c r="K948" s="15"/>
      <c r="M948" s="49">
        <f t="shared" si="424"/>
        <v>23.61</v>
      </c>
      <c r="N948" s="41">
        <v>11.67</v>
      </c>
      <c r="O948" s="186"/>
      <c r="P948" s="177"/>
      <c r="Q948" s="178"/>
      <c r="R948" s="178"/>
      <c r="S948" s="178" t="s">
        <v>1017</v>
      </c>
      <c r="T948" t="s">
        <v>4180</v>
      </c>
      <c r="U948" s="179"/>
      <c r="V948" s="178"/>
      <c r="W948" s="180"/>
      <c r="X948" s="180"/>
      <c r="Y948" s="178"/>
      <c r="Z948" s="178"/>
      <c r="AA948" s="180"/>
      <c r="AB948" s="178" t="s">
        <v>1017</v>
      </c>
      <c r="AC948" s="178"/>
      <c r="AD948" s="201"/>
      <c r="AE948" s="200"/>
      <c r="AF948" s="180"/>
      <c r="AG948" s="201"/>
      <c r="AH948" s="212" t="str">
        <f t="shared" si="432"/>
        <v>2011</v>
      </c>
      <c r="AI948" s="214" t="str">
        <f t="shared" si="446"/>
        <v/>
      </c>
      <c r="AJ948" s="214" t="str">
        <f t="shared" si="447"/>
        <v/>
      </c>
      <c r="AK948" s="214" t="str">
        <f t="shared" si="448"/>
        <v/>
      </c>
      <c r="AL948" s="214" t="str">
        <f t="shared" si="449"/>
        <v/>
      </c>
      <c r="AM948" s="214" t="str">
        <f t="shared" si="450"/>
        <v/>
      </c>
      <c r="AN948" s="213" t="str">
        <f t="shared" si="433"/>
        <v>2011</v>
      </c>
      <c r="AO948" s="213" t="str">
        <f t="shared" si="434"/>
        <v>2011</v>
      </c>
      <c r="AP948" s="213" t="str">
        <f t="shared" si="435"/>
        <v>2011</v>
      </c>
      <c r="AQ948" s="215" t="str">
        <f t="shared" si="436"/>
        <v/>
      </c>
      <c r="AR948" s="216" t="str">
        <f t="shared" si="437"/>
        <v>BiK81LK11---05</v>
      </c>
      <c r="AS948" s="215" t="str">
        <f t="shared" si="438"/>
        <v/>
      </c>
      <c r="AT948">
        <f t="shared" si="439"/>
        <v>14</v>
      </c>
      <c r="AU948" s="216" t="str">
        <f t="shared" si="440"/>
        <v>0-0,15 MW, Bonusregeln L und K erstmals 2011</v>
      </c>
      <c r="AV948" s="215" t="str">
        <f t="shared" si="441"/>
        <v/>
      </c>
      <c r="AW948" s="216" t="str">
        <f t="shared" si="442"/>
        <v>Anteil KWK, erstmals 2011</v>
      </c>
      <c r="AX948" s="215" t="str">
        <f t="shared" si="443"/>
        <v/>
      </c>
      <c r="AY948" t="str">
        <f t="shared" si="444"/>
        <v>x</v>
      </c>
      <c r="AZ948" t="str">
        <f t="shared" si="445"/>
        <v/>
      </c>
    </row>
    <row r="949" spans="1:52" x14ac:dyDescent="0.25">
      <c r="A949" s="625" t="s">
        <v>1557</v>
      </c>
      <c r="B949" s="219" t="s">
        <v>5548</v>
      </c>
      <c r="C949" s="219" t="s">
        <v>1288</v>
      </c>
      <c r="D949" s="219" t="s">
        <v>6839</v>
      </c>
      <c r="E949" s="219" t="s">
        <v>1980</v>
      </c>
      <c r="F949" s="455">
        <f t="shared" si="422"/>
        <v>23.58</v>
      </c>
      <c r="G949" s="530">
        <v>23.58</v>
      </c>
      <c r="H949" s="488">
        <f t="shared" si="423"/>
        <v>18.86</v>
      </c>
      <c r="I949" s="707"/>
      <c r="J949" s="669" t="s">
        <v>5805</v>
      </c>
      <c r="K949" s="15"/>
      <c r="M949" s="49">
        <f t="shared" si="424"/>
        <v>23.58</v>
      </c>
      <c r="N949" s="41">
        <v>11.67</v>
      </c>
      <c r="O949" s="186"/>
      <c r="P949" s="177"/>
      <c r="Q949" s="178"/>
      <c r="R949" s="178"/>
      <c r="S949" s="178" t="s">
        <v>4180</v>
      </c>
      <c r="T949" t="s">
        <v>1017</v>
      </c>
      <c r="U949" s="179"/>
      <c r="V949" s="178"/>
      <c r="W949" s="180"/>
      <c r="X949" s="180"/>
      <c r="Y949" s="178"/>
      <c r="Z949" s="178"/>
      <c r="AA949" s="180"/>
      <c r="AB949" s="178" t="s">
        <v>1017</v>
      </c>
      <c r="AC949" s="178"/>
      <c r="AD949" s="201"/>
      <c r="AE949" s="200"/>
      <c r="AF949" s="180"/>
      <c r="AG949" s="201"/>
      <c r="AH949" s="217" t="s">
        <v>4179</v>
      </c>
      <c r="AI949" s="214" t="str">
        <f t="shared" si="446"/>
        <v/>
      </c>
      <c r="AJ949" s="214" t="str">
        <f t="shared" si="447"/>
        <v/>
      </c>
      <c r="AK949" s="214" t="str">
        <f t="shared" si="448"/>
        <v/>
      </c>
      <c r="AL949" s="214" t="str">
        <f t="shared" si="449"/>
        <v/>
      </c>
      <c r="AM949" s="214" t="str">
        <f t="shared" si="450"/>
        <v/>
      </c>
      <c r="AN949" s="213" t="str">
        <f t="shared" si="433"/>
        <v>2012</v>
      </c>
      <c r="AO949" s="213" t="str">
        <f t="shared" si="434"/>
        <v>2012</v>
      </c>
      <c r="AP949" s="213" t="str">
        <f t="shared" si="435"/>
        <v>2012</v>
      </c>
      <c r="AQ949" s="215" t="str">
        <f t="shared" si="436"/>
        <v/>
      </c>
      <c r="AR949" s="216" t="str">
        <f t="shared" si="437"/>
        <v>BiK81LK12---05</v>
      </c>
      <c r="AS949" s="215" t="str">
        <f t="shared" si="438"/>
        <v/>
      </c>
      <c r="AT949">
        <f t="shared" si="439"/>
        <v>14</v>
      </c>
      <c r="AU949" s="216" t="str">
        <f t="shared" si="440"/>
        <v>0-0,15 MW, Bonusregeln L und K erstmals 2012</v>
      </c>
      <c r="AV949" s="215" t="str">
        <f t="shared" si="441"/>
        <v/>
      </c>
      <c r="AW949" s="216" t="str">
        <f t="shared" si="442"/>
        <v>Anteil KWK, erstmals 2012</v>
      </c>
      <c r="AX949" s="215" t="str">
        <f t="shared" si="443"/>
        <v/>
      </c>
      <c r="AY949" t="str">
        <f t="shared" si="444"/>
        <v/>
      </c>
      <c r="AZ949" t="str">
        <f t="shared" si="445"/>
        <v>x</v>
      </c>
    </row>
    <row r="950" spans="1:52" x14ac:dyDescent="0.25">
      <c r="A950" s="610" t="s">
        <v>4771</v>
      </c>
      <c r="B950" s="30" t="s">
        <v>5548</v>
      </c>
      <c r="C950" s="30" t="s">
        <v>1288</v>
      </c>
      <c r="D950" s="30" t="s">
        <v>6840</v>
      </c>
      <c r="E950" s="30" t="s">
        <v>4810</v>
      </c>
      <c r="F950" s="454">
        <f t="shared" si="422"/>
        <v>21.67</v>
      </c>
      <c r="G950" s="529">
        <v>21.67</v>
      </c>
      <c r="H950" s="487">
        <f t="shared" si="423"/>
        <v>17.34</v>
      </c>
      <c r="I950" s="706"/>
      <c r="J950" s="669" t="s">
        <v>5805</v>
      </c>
      <c r="K950" s="15"/>
      <c r="M950" s="49">
        <f t="shared" si="424"/>
        <v>21.67</v>
      </c>
      <c r="N950" s="41">
        <v>11.67</v>
      </c>
      <c r="O950" s="187"/>
      <c r="P950" s="183"/>
      <c r="Q950" s="184"/>
      <c r="R950" s="184"/>
      <c r="S950" s="184" t="s">
        <v>4180</v>
      </c>
      <c r="T950" t="s">
        <v>4180</v>
      </c>
      <c r="U950" s="185" t="s">
        <v>1017</v>
      </c>
      <c r="V950" s="184"/>
      <c r="W950" s="180"/>
      <c r="X950" s="180"/>
      <c r="Y950" s="178"/>
      <c r="Z950" s="178"/>
      <c r="AA950" s="180"/>
      <c r="AB950" s="184" t="s">
        <v>1017</v>
      </c>
      <c r="AC950" s="184"/>
      <c r="AD950" s="201"/>
      <c r="AE950" s="181"/>
      <c r="AF950" s="180"/>
      <c r="AG950" s="201"/>
      <c r="AH950" s="212" t="str">
        <f t="shared" ref="AH950:AH955" si="451">IF(ISERROR(SEARCH("K erstmals 201",D950)),"",RIGHT(D950,4))</f>
        <v/>
      </c>
      <c r="AI950" s="214" t="str">
        <f t="shared" si="446"/>
        <v/>
      </c>
      <c r="AJ950" s="214" t="str">
        <f t="shared" si="447"/>
        <v/>
      </c>
      <c r="AK950" s="214" t="str">
        <f t="shared" si="448"/>
        <v/>
      </c>
      <c r="AL950" s="214" t="str">
        <f t="shared" si="449"/>
        <v/>
      </c>
      <c r="AM950" s="214" t="str">
        <f t="shared" si="450"/>
        <v/>
      </c>
      <c r="AN950" s="213" t="str">
        <f t="shared" si="433"/>
        <v/>
      </c>
      <c r="AO950" s="213" t="str">
        <f t="shared" si="434"/>
        <v/>
      </c>
      <c r="AP950" s="213" t="str">
        <f t="shared" si="435"/>
        <v/>
      </c>
      <c r="AQ950" s="215" t="str">
        <f t="shared" si="436"/>
        <v/>
      </c>
      <c r="AR950" s="216" t="str">
        <f t="shared" si="437"/>
        <v>BiK81Ly-----05</v>
      </c>
      <c r="AS950" s="215" t="str">
        <f t="shared" si="438"/>
        <v/>
      </c>
      <c r="AT950">
        <f t="shared" si="439"/>
        <v>14</v>
      </c>
      <c r="AU950" s="216" t="str">
        <f t="shared" si="440"/>
        <v>0-0,15 MW, Bonusregeln L, y</v>
      </c>
      <c r="AV950" s="215" t="str">
        <f t="shared" si="441"/>
        <v/>
      </c>
      <c r="AW950" s="216" t="str">
        <f t="shared" si="442"/>
        <v>Anteil Nicht-KWK</v>
      </c>
      <c r="AX950" s="215" t="str">
        <f t="shared" si="443"/>
        <v/>
      </c>
      <c r="AY950" t="str">
        <f t="shared" si="444"/>
        <v/>
      </c>
      <c r="AZ950" t="str">
        <f t="shared" si="445"/>
        <v/>
      </c>
    </row>
    <row r="951" spans="1:52" x14ac:dyDescent="0.25">
      <c r="A951" s="610" t="s">
        <v>4772</v>
      </c>
      <c r="B951" s="30" t="s">
        <v>5548</v>
      </c>
      <c r="C951" s="30" t="s">
        <v>1288</v>
      </c>
      <c r="D951" s="30" t="s">
        <v>6904</v>
      </c>
      <c r="E951" s="30" t="s">
        <v>4812</v>
      </c>
      <c r="F951" s="454">
        <f t="shared" ref="F951:F1014" si="452">M951</f>
        <v>23.67</v>
      </c>
      <c r="G951" s="529">
        <v>23.67</v>
      </c>
      <c r="H951" s="487">
        <f t="shared" ref="H951:H1014" si="453">IF(ISNUMBER(G951),ROUND(0.8*G951,2),"")</f>
        <v>18.940000000000001</v>
      </c>
      <c r="I951" s="706"/>
      <c r="J951" s="669" t="s">
        <v>5805</v>
      </c>
      <c r="K951" s="15"/>
      <c r="M951" s="49">
        <f t="shared" ref="M951:M1014" si="454">N951+SUMIF(O951:AG951,"x",O$886:AG$886)</f>
        <v>23.67</v>
      </c>
      <c r="N951" s="41">
        <v>11.67</v>
      </c>
      <c r="O951" s="187" t="s">
        <v>1017</v>
      </c>
      <c r="P951" s="183"/>
      <c r="Q951" s="184"/>
      <c r="R951" s="184"/>
      <c r="S951" s="184" t="s">
        <v>4180</v>
      </c>
      <c r="T951" t="s">
        <v>4180</v>
      </c>
      <c r="U951" s="185" t="s">
        <v>1017</v>
      </c>
      <c r="V951" s="184"/>
      <c r="W951" s="180"/>
      <c r="X951" s="180"/>
      <c r="Y951" s="178"/>
      <c r="Z951" s="178"/>
      <c r="AA951" s="180"/>
      <c r="AB951" s="184" t="s">
        <v>1017</v>
      </c>
      <c r="AC951" s="184"/>
      <c r="AD951" s="201"/>
      <c r="AE951" s="181"/>
      <c r="AF951" s="180"/>
      <c r="AG951" s="201"/>
      <c r="AH951" s="212" t="str">
        <f t="shared" si="451"/>
        <v/>
      </c>
      <c r="AI951" s="214" t="str">
        <f t="shared" si="446"/>
        <v/>
      </c>
      <c r="AJ951" s="214" t="str">
        <f t="shared" si="447"/>
        <v/>
      </c>
      <c r="AK951" s="214" t="str">
        <f t="shared" si="448"/>
        <v/>
      </c>
      <c r="AL951" s="214" t="str">
        <f t="shared" si="449"/>
        <v/>
      </c>
      <c r="AM951" s="214" t="str">
        <f t="shared" si="450"/>
        <v/>
      </c>
      <c r="AN951" s="213" t="str">
        <f t="shared" si="433"/>
        <v/>
      </c>
      <c r="AO951" s="213" t="str">
        <f t="shared" si="434"/>
        <v/>
      </c>
      <c r="AP951" s="213" t="str">
        <f t="shared" si="435"/>
        <v/>
      </c>
      <c r="AQ951" s="215" t="str">
        <f t="shared" si="436"/>
        <v/>
      </c>
      <c r="AR951" s="216" t="str">
        <f t="shared" si="437"/>
        <v>BiK81LKWKy--05</v>
      </c>
      <c r="AS951" s="215" t="str">
        <f t="shared" si="438"/>
        <v/>
      </c>
      <c r="AT951">
        <f t="shared" si="439"/>
        <v>14</v>
      </c>
      <c r="AU951" s="216" t="str">
        <f t="shared" si="440"/>
        <v>0-0,15 MW, Bonusregeln L, y und KWK</v>
      </c>
      <c r="AV951" s="215" t="str">
        <f t="shared" si="441"/>
        <v/>
      </c>
      <c r="AW951" s="216" t="str">
        <f t="shared" si="442"/>
        <v>Anteil KWK</v>
      </c>
      <c r="AX951" s="215" t="str">
        <f t="shared" si="443"/>
        <v/>
      </c>
      <c r="AY951" t="str">
        <f t="shared" si="444"/>
        <v/>
      </c>
      <c r="AZ951" t="str">
        <f t="shared" si="445"/>
        <v/>
      </c>
    </row>
    <row r="952" spans="1:52" x14ac:dyDescent="0.25">
      <c r="A952" s="610" t="s">
        <v>4773</v>
      </c>
      <c r="B952" s="30" t="s">
        <v>5548</v>
      </c>
      <c r="C952" s="30" t="s">
        <v>1288</v>
      </c>
      <c r="D952" s="109" t="s">
        <v>6841</v>
      </c>
      <c r="E952" s="30" t="s">
        <v>4331</v>
      </c>
      <c r="F952" s="454">
        <f t="shared" si="452"/>
        <v>24.67</v>
      </c>
      <c r="G952" s="529">
        <v>24.67</v>
      </c>
      <c r="H952" s="487">
        <f t="shared" si="453"/>
        <v>19.739999999999998</v>
      </c>
      <c r="I952" s="706"/>
      <c r="J952" s="669" t="s">
        <v>5805</v>
      </c>
      <c r="K952" s="15"/>
      <c r="M952" s="49">
        <f t="shared" si="454"/>
        <v>24.67</v>
      </c>
      <c r="N952" s="41">
        <v>11.67</v>
      </c>
      <c r="O952" s="187"/>
      <c r="P952" s="184" t="s">
        <v>1017</v>
      </c>
      <c r="Q952" s="184"/>
      <c r="R952" s="184"/>
      <c r="S952" s="184" t="s">
        <v>4180</v>
      </c>
      <c r="T952" t="s">
        <v>4180</v>
      </c>
      <c r="U952" s="185" t="s">
        <v>1017</v>
      </c>
      <c r="V952" s="184"/>
      <c r="W952" s="180"/>
      <c r="X952" s="180"/>
      <c r="Y952" s="178"/>
      <c r="Z952" s="178"/>
      <c r="AA952" s="180"/>
      <c r="AB952" s="184" t="s">
        <v>1017</v>
      </c>
      <c r="AC952" s="184"/>
      <c r="AD952" s="201"/>
      <c r="AE952" s="181"/>
      <c r="AF952" s="180"/>
      <c r="AG952" s="201"/>
      <c r="AH952" s="212" t="str">
        <f t="shared" si="451"/>
        <v/>
      </c>
      <c r="AI952" s="214" t="str">
        <f t="shared" si="446"/>
        <v/>
      </c>
      <c r="AJ952" s="214" t="str">
        <f t="shared" si="447"/>
        <v/>
      </c>
      <c r="AK952" s="214" t="str">
        <f t="shared" si="448"/>
        <v/>
      </c>
      <c r="AL952" s="214" t="str">
        <f t="shared" si="449"/>
        <v/>
      </c>
      <c r="AM952" s="214" t="str">
        <f t="shared" si="450"/>
        <v/>
      </c>
      <c r="AN952" s="213" t="str">
        <f t="shared" si="433"/>
        <v/>
      </c>
      <c r="AO952" s="213" t="str">
        <f t="shared" si="434"/>
        <v/>
      </c>
      <c r="AP952" s="213" t="str">
        <f t="shared" si="435"/>
        <v/>
      </c>
      <c r="AQ952" s="215" t="str">
        <f t="shared" si="436"/>
        <v/>
      </c>
      <c r="AR952" s="216" t="str">
        <f t="shared" si="437"/>
        <v>BiK81LKA3y--05</v>
      </c>
      <c r="AS952" s="215" t="str">
        <f t="shared" si="438"/>
        <v/>
      </c>
      <c r="AT952">
        <f t="shared" si="439"/>
        <v>14</v>
      </c>
      <c r="AU952" s="216" t="str">
        <f t="shared" si="440"/>
        <v>0-0,15 MW, Bonusregeln L, y und K wenn Anlage 3 erfüllt</v>
      </c>
      <c r="AV952" s="215" t="str">
        <f t="shared" si="441"/>
        <v/>
      </c>
      <c r="AW952" s="216" t="str">
        <f t="shared" si="442"/>
        <v>Anteil KWK gemäß Anlage 3</v>
      </c>
      <c r="AX952" s="215" t="str">
        <f t="shared" si="443"/>
        <v/>
      </c>
      <c r="AY952" t="str">
        <f t="shared" si="444"/>
        <v/>
      </c>
      <c r="AZ952" t="str">
        <f t="shared" si="445"/>
        <v/>
      </c>
    </row>
    <row r="953" spans="1:52" x14ac:dyDescent="0.25">
      <c r="A953" s="610" t="s">
        <v>4774</v>
      </c>
      <c r="B953" s="30" t="s">
        <v>5548</v>
      </c>
      <c r="C953" s="30" t="s">
        <v>1288</v>
      </c>
      <c r="D953" s="30" t="s">
        <v>6842</v>
      </c>
      <c r="E953" s="30" t="s">
        <v>674</v>
      </c>
      <c r="F953" s="454">
        <f t="shared" si="452"/>
        <v>24.67</v>
      </c>
      <c r="G953" s="529">
        <v>24.67</v>
      </c>
      <c r="H953" s="487">
        <f t="shared" si="453"/>
        <v>19.739999999999998</v>
      </c>
      <c r="I953" s="706"/>
      <c r="J953" s="669" t="s">
        <v>5805</v>
      </c>
      <c r="K953" s="15"/>
      <c r="M953" s="49">
        <f t="shared" si="454"/>
        <v>24.67</v>
      </c>
      <c r="N953" s="41">
        <v>11.67</v>
      </c>
      <c r="O953" s="187"/>
      <c r="P953" s="183"/>
      <c r="Q953" s="184" t="s">
        <v>1017</v>
      </c>
      <c r="R953" s="184"/>
      <c r="S953" s="184" t="s">
        <v>4180</v>
      </c>
      <c r="T953" t="s">
        <v>4180</v>
      </c>
      <c r="U953" s="185" t="s">
        <v>1017</v>
      </c>
      <c r="V953" s="184"/>
      <c r="W953" s="180"/>
      <c r="X953" s="180"/>
      <c r="Y953" s="178"/>
      <c r="Z953" s="178"/>
      <c r="AA953" s="180"/>
      <c r="AB953" s="184" t="s">
        <v>1017</v>
      </c>
      <c r="AC953" s="184"/>
      <c r="AD953" s="201"/>
      <c r="AE953" s="181"/>
      <c r="AF953" s="180"/>
      <c r="AG953" s="201"/>
      <c r="AH953" s="212" t="str">
        <f t="shared" si="451"/>
        <v/>
      </c>
      <c r="AI953" s="214" t="str">
        <f t="shared" si="446"/>
        <v/>
      </c>
      <c r="AJ953" s="214" t="str">
        <f t="shared" si="447"/>
        <v/>
      </c>
      <c r="AK953" s="214" t="str">
        <f t="shared" si="448"/>
        <v/>
      </c>
      <c r="AL953" s="214" t="str">
        <f t="shared" si="449"/>
        <v/>
      </c>
      <c r="AM953" s="214" t="str">
        <f t="shared" si="450"/>
        <v/>
      </c>
      <c r="AN953" s="213" t="str">
        <f t="shared" si="433"/>
        <v/>
      </c>
      <c r="AO953" s="213" t="str">
        <f t="shared" si="434"/>
        <v/>
      </c>
      <c r="AP953" s="213" t="str">
        <f t="shared" si="435"/>
        <v/>
      </c>
      <c r="AQ953" s="215" t="str">
        <f t="shared" si="436"/>
        <v/>
      </c>
      <c r="AR953" s="216" t="str">
        <f t="shared" si="437"/>
        <v>BiK81LK09y--05</v>
      </c>
      <c r="AS953" s="215" t="str">
        <f t="shared" si="438"/>
        <v/>
      </c>
      <c r="AT953">
        <f t="shared" si="439"/>
        <v>14</v>
      </c>
      <c r="AU953" s="216" t="str">
        <f t="shared" si="440"/>
        <v>0-0,15 MW, Bonusregeln L, y und K erstmals 2009</v>
      </c>
      <c r="AV953" s="215" t="str">
        <f t="shared" si="441"/>
        <v/>
      </c>
      <c r="AW953" s="216" t="str">
        <f t="shared" si="442"/>
        <v>Anteil KWK, erstmals 2009</v>
      </c>
      <c r="AX953" s="215" t="str">
        <f t="shared" si="443"/>
        <v/>
      </c>
      <c r="AY953" t="str">
        <f t="shared" si="444"/>
        <v/>
      </c>
      <c r="AZ953" t="str">
        <f t="shared" si="445"/>
        <v/>
      </c>
    </row>
    <row r="954" spans="1:52" x14ac:dyDescent="0.25">
      <c r="A954" s="610" t="s">
        <v>3577</v>
      </c>
      <c r="B954" s="30" t="s">
        <v>5548</v>
      </c>
      <c r="C954" s="30" t="s">
        <v>1288</v>
      </c>
      <c r="D954" s="30" t="s">
        <v>6843</v>
      </c>
      <c r="E954" s="30" t="s">
        <v>3567</v>
      </c>
      <c r="F954" s="454">
        <f t="shared" si="452"/>
        <v>24.64</v>
      </c>
      <c r="G954" s="529">
        <v>24.64</v>
      </c>
      <c r="H954" s="487">
        <f t="shared" si="453"/>
        <v>19.71</v>
      </c>
      <c r="I954" s="706"/>
      <c r="J954" s="669" t="s">
        <v>5805</v>
      </c>
      <c r="K954" s="15"/>
      <c r="M954" s="49">
        <f t="shared" si="454"/>
        <v>24.64</v>
      </c>
      <c r="N954" s="41">
        <v>11.67</v>
      </c>
      <c r="O954" s="187"/>
      <c r="P954" s="183"/>
      <c r="Q954" s="184"/>
      <c r="R954" s="184" t="s">
        <v>1017</v>
      </c>
      <c r="S954" s="184" t="s">
        <v>4180</v>
      </c>
      <c r="T954" t="s">
        <v>4180</v>
      </c>
      <c r="U954" s="185" t="s">
        <v>1017</v>
      </c>
      <c r="V954" s="184"/>
      <c r="W954" s="180"/>
      <c r="X954" s="180"/>
      <c r="Y954" s="178"/>
      <c r="Z954" s="178"/>
      <c r="AA954" s="180"/>
      <c r="AB954" s="184" t="s">
        <v>1017</v>
      </c>
      <c r="AC954" s="184"/>
      <c r="AD954" s="201"/>
      <c r="AE954" s="181"/>
      <c r="AF954" s="180"/>
      <c r="AG954" s="201"/>
      <c r="AH954" s="212" t="str">
        <f t="shared" si="451"/>
        <v>2010</v>
      </c>
      <c r="AI954" s="214" t="str">
        <f t="shared" si="446"/>
        <v/>
      </c>
      <c r="AJ954" s="214" t="str">
        <f t="shared" si="447"/>
        <v/>
      </c>
      <c r="AK954" s="214" t="str">
        <f t="shared" si="448"/>
        <v/>
      </c>
      <c r="AL954" s="214" t="str">
        <f t="shared" si="449"/>
        <v/>
      </c>
      <c r="AM954" s="214" t="str">
        <f t="shared" si="450"/>
        <v/>
      </c>
      <c r="AN954" s="213" t="str">
        <f t="shared" si="433"/>
        <v>2010</v>
      </c>
      <c r="AO954" s="213" t="str">
        <f t="shared" si="434"/>
        <v>2010</v>
      </c>
      <c r="AP954" s="213" t="str">
        <f t="shared" si="435"/>
        <v>2010</v>
      </c>
      <c r="AQ954" s="215" t="str">
        <f t="shared" si="436"/>
        <v/>
      </c>
      <c r="AR954" s="216" t="str">
        <f t="shared" si="437"/>
        <v>BiK81LK10y--05</v>
      </c>
      <c r="AS954" s="215" t="str">
        <f t="shared" si="438"/>
        <v/>
      </c>
      <c r="AT954">
        <f t="shared" si="439"/>
        <v>14</v>
      </c>
      <c r="AU954" s="216" t="str">
        <f t="shared" si="440"/>
        <v>0-0,15 MW, Bonusregeln L, y und K erstmals 2010</v>
      </c>
      <c r="AV954" s="215" t="str">
        <f t="shared" si="441"/>
        <v/>
      </c>
      <c r="AW954" s="216" t="str">
        <f t="shared" si="442"/>
        <v>Anteil KWK, erstmals 2010</v>
      </c>
      <c r="AX954" s="215" t="str">
        <f t="shared" si="443"/>
        <v/>
      </c>
      <c r="AY954" t="str">
        <f t="shared" si="444"/>
        <v/>
      </c>
      <c r="AZ954" t="str">
        <f t="shared" si="445"/>
        <v/>
      </c>
    </row>
    <row r="955" spans="1:52" x14ac:dyDescent="0.25">
      <c r="A955" s="610" t="s">
        <v>5308</v>
      </c>
      <c r="B955" s="30" t="s">
        <v>5548</v>
      </c>
      <c r="C955" s="30" t="s">
        <v>1288</v>
      </c>
      <c r="D955" s="30" t="s">
        <v>6844</v>
      </c>
      <c r="E955" s="30" t="s">
        <v>3055</v>
      </c>
      <c r="F955" s="454">
        <f t="shared" si="452"/>
        <v>24.61</v>
      </c>
      <c r="G955" s="529">
        <v>24.61</v>
      </c>
      <c r="H955" s="487">
        <f t="shared" si="453"/>
        <v>19.690000000000001</v>
      </c>
      <c r="I955" s="706"/>
      <c r="J955" s="669" t="s">
        <v>5805</v>
      </c>
      <c r="K955" s="15"/>
      <c r="M955" s="49">
        <f t="shared" si="454"/>
        <v>24.61</v>
      </c>
      <c r="N955" s="41">
        <v>11.67</v>
      </c>
      <c r="O955" s="187"/>
      <c r="P955" s="183"/>
      <c r="Q955" s="184"/>
      <c r="R955" s="178"/>
      <c r="S955" s="184" t="s">
        <v>1017</v>
      </c>
      <c r="T955" t="s">
        <v>4180</v>
      </c>
      <c r="U955" s="185" t="s">
        <v>1017</v>
      </c>
      <c r="V955" s="184"/>
      <c r="W955" s="180"/>
      <c r="X955" s="180"/>
      <c r="Y955" s="178"/>
      <c r="Z955" s="178"/>
      <c r="AA955" s="180"/>
      <c r="AB955" s="184" t="s">
        <v>1017</v>
      </c>
      <c r="AC955" s="184"/>
      <c r="AD955" s="201"/>
      <c r="AE955" s="181"/>
      <c r="AF955" s="180"/>
      <c r="AG955" s="201"/>
      <c r="AH955" s="212" t="str">
        <f t="shared" si="451"/>
        <v>2011</v>
      </c>
      <c r="AI955" s="214" t="str">
        <f t="shared" si="446"/>
        <v/>
      </c>
      <c r="AJ955" s="214" t="str">
        <f t="shared" si="447"/>
        <v/>
      </c>
      <c r="AK955" s="214" t="str">
        <f t="shared" si="448"/>
        <v/>
      </c>
      <c r="AL955" s="214" t="str">
        <f t="shared" si="449"/>
        <v/>
      </c>
      <c r="AM955" s="214" t="str">
        <f t="shared" si="450"/>
        <v/>
      </c>
      <c r="AN955" s="213" t="str">
        <f t="shared" si="433"/>
        <v>2011</v>
      </c>
      <c r="AO955" s="213" t="str">
        <f t="shared" si="434"/>
        <v>2011</v>
      </c>
      <c r="AP955" s="213" t="str">
        <f t="shared" si="435"/>
        <v>2011</v>
      </c>
      <c r="AQ955" s="215" t="str">
        <f t="shared" si="436"/>
        <v/>
      </c>
      <c r="AR955" s="216" t="str">
        <f t="shared" si="437"/>
        <v>BiK81LK11y--05</v>
      </c>
      <c r="AS955" s="215" t="str">
        <f t="shared" si="438"/>
        <v/>
      </c>
      <c r="AT955">
        <f t="shared" si="439"/>
        <v>14</v>
      </c>
      <c r="AU955" s="216" t="str">
        <f t="shared" si="440"/>
        <v>0-0,15 MW, Bonusregeln L, y und K erstmals 2011</v>
      </c>
      <c r="AV955" s="215" t="str">
        <f t="shared" si="441"/>
        <v/>
      </c>
      <c r="AW955" s="216" t="str">
        <f t="shared" si="442"/>
        <v>Anteil KWK, erstmals 2011</v>
      </c>
      <c r="AX955" s="215" t="str">
        <f t="shared" si="443"/>
        <v/>
      </c>
      <c r="AY955" t="str">
        <f t="shared" si="444"/>
        <v>x</v>
      </c>
      <c r="AZ955" t="str">
        <f t="shared" si="445"/>
        <v/>
      </c>
    </row>
    <row r="956" spans="1:52" x14ac:dyDescent="0.25">
      <c r="A956" s="625" t="s">
        <v>1558</v>
      </c>
      <c r="B956" s="219" t="s">
        <v>5548</v>
      </c>
      <c r="C956" s="219" t="s">
        <v>1288</v>
      </c>
      <c r="D956" s="219" t="s">
        <v>6845</v>
      </c>
      <c r="E956" s="219" t="s">
        <v>1980</v>
      </c>
      <c r="F956" s="455">
        <f t="shared" si="452"/>
        <v>24.58</v>
      </c>
      <c r="G956" s="530">
        <v>24.58</v>
      </c>
      <c r="H956" s="488">
        <f t="shared" si="453"/>
        <v>19.66</v>
      </c>
      <c r="I956" s="707"/>
      <c r="J956" s="669" t="s">
        <v>5805</v>
      </c>
      <c r="K956" s="15"/>
      <c r="M956" s="49">
        <f t="shared" si="454"/>
        <v>24.58</v>
      </c>
      <c r="N956" s="41">
        <v>11.67</v>
      </c>
      <c r="O956" s="187"/>
      <c r="P956" s="183"/>
      <c r="Q956" s="184"/>
      <c r="R956" s="178"/>
      <c r="S956" s="184" t="s">
        <v>4180</v>
      </c>
      <c r="T956" t="s">
        <v>1017</v>
      </c>
      <c r="U956" s="185" t="s">
        <v>1017</v>
      </c>
      <c r="V956" s="184"/>
      <c r="W956" s="180"/>
      <c r="X956" s="180"/>
      <c r="Y956" s="178"/>
      <c r="Z956" s="178"/>
      <c r="AA956" s="180"/>
      <c r="AB956" s="184" t="s">
        <v>1017</v>
      </c>
      <c r="AC956" s="184"/>
      <c r="AD956" s="201"/>
      <c r="AE956" s="181"/>
      <c r="AF956" s="180"/>
      <c r="AG956" s="201"/>
      <c r="AH956" s="217" t="s">
        <v>4179</v>
      </c>
      <c r="AI956" s="214" t="str">
        <f t="shared" si="446"/>
        <v/>
      </c>
      <c r="AJ956" s="214" t="str">
        <f t="shared" si="447"/>
        <v/>
      </c>
      <c r="AK956" s="214" t="str">
        <f t="shared" si="448"/>
        <v/>
      </c>
      <c r="AL956" s="214" t="str">
        <f t="shared" si="449"/>
        <v/>
      </c>
      <c r="AM956" s="214" t="str">
        <f t="shared" si="450"/>
        <v/>
      </c>
      <c r="AN956" s="213" t="str">
        <f t="shared" si="433"/>
        <v>2012</v>
      </c>
      <c r="AO956" s="213" t="str">
        <f t="shared" si="434"/>
        <v>2012</v>
      </c>
      <c r="AP956" s="213" t="str">
        <f t="shared" si="435"/>
        <v>2012</v>
      </c>
      <c r="AQ956" s="215" t="str">
        <f t="shared" si="436"/>
        <v/>
      </c>
      <c r="AR956" s="216" t="str">
        <f t="shared" si="437"/>
        <v>BiK81LK12y--05</v>
      </c>
      <c r="AS956" s="215" t="str">
        <f t="shared" si="438"/>
        <v/>
      </c>
      <c r="AT956">
        <f t="shared" si="439"/>
        <v>14</v>
      </c>
      <c r="AU956" s="216" t="str">
        <f t="shared" si="440"/>
        <v>0-0,15 MW, Bonusregeln L, y und K erstmals 2012</v>
      </c>
      <c r="AV956" s="215" t="str">
        <f t="shared" si="441"/>
        <v/>
      </c>
      <c r="AW956" s="216" t="str">
        <f t="shared" si="442"/>
        <v>Anteil KWK, erstmals 2012</v>
      </c>
      <c r="AX956" s="215" t="str">
        <f t="shared" si="443"/>
        <v/>
      </c>
      <c r="AY956" t="str">
        <f t="shared" si="444"/>
        <v/>
      </c>
      <c r="AZ956" t="str">
        <f t="shared" si="445"/>
        <v>x</v>
      </c>
    </row>
    <row r="957" spans="1:52" x14ac:dyDescent="0.25">
      <c r="A957" s="610" t="s">
        <v>4775</v>
      </c>
      <c r="B957" s="30" t="s">
        <v>5548</v>
      </c>
      <c r="C957" s="30" t="s">
        <v>1288</v>
      </c>
      <c r="D957" s="30" t="s">
        <v>6846</v>
      </c>
      <c r="E957" s="30" t="s">
        <v>4810</v>
      </c>
      <c r="F957" s="454">
        <f t="shared" si="452"/>
        <v>24.67</v>
      </c>
      <c r="G957" s="529">
        <v>24.67</v>
      </c>
      <c r="H957" s="487">
        <f t="shared" si="453"/>
        <v>19.739999999999998</v>
      </c>
      <c r="I957" s="706"/>
      <c r="J957" s="669" t="s">
        <v>5805</v>
      </c>
      <c r="K957" s="15"/>
      <c r="M957" s="49">
        <f t="shared" si="454"/>
        <v>24.67</v>
      </c>
      <c r="N957" s="41">
        <v>11.67</v>
      </c>
      <c r="O957" s="186"/>
      <c r="P957" s="177"/>
      <c r="Q957" s="178"/>
      <c r="R957" s="178"/>
      <c r="S957" s="178" t="s">
        <v>4180</v>
      </c>
      <c r="T957" t="s">
        <v>4180</v>
      </c>
      <c r="U957" s="179"/>
      <c r="V957" s="178"/>
      <c r="W957" s="180"/>
      <c r="X957" s="180"/>
      <c r="Y957" s="178"/>
      <c r="Z957" s="178"/>
      <c r="AA957" s="180"/>
      <c r="AB957" s="178"/>
      <c r="AC957" s="178" t="s">
        <v>1017</v>
      </c>
      <c r="AD957" s="201"/>
      <c r="AE957" s="200"/>
      <c r="AF957" s="180"/>
      <c r="AG957" s="201"/>
      <c r="AH957" s="212" t="str">
        <f t="shared" ref="AH957:AH962" si="455">IF(ISERROR(SEARCH("K erstmals 201",D957)),"",RIGHT(D957,4))</f>
        <v/>
      </c>
      <c r="AI957" s="214" t="str">
        <f t="shared" si="446"/>
        <v/>
      </c>
      <c r="AJ957" s="214" t="str">
        <f t="shared" si="447"/>
        <v/>
      </c>
      <c r="AK957" s="214" t="str">
        <f t="shared" si="448"/>
        <v/>
      </c>
      <c r="AL957" s="214" t="str">
        <f t="shared" si="449"/>
        <v/>
      </c>
      <c r="AM957" s="214" t="str">
        <f t="shared" si="450"/>
        <v/>
      </c>
      <c r="AN957" s="213" t="str">
        <f t="shared" si="433"/>
        <v/>
      </c>
      <c r="AO957" s="213" t="str">
        <f t="shared" si="434"/>
        <v/>
      </c>
      <c r="AP957" s="213" t="str">
        <f t="shared" si="435"/>
        <v/>
      </c>
      <c r="AQ957" s="215" t="str">
        <f t="shared" si="436"/>
        <v/>
      </c>
      <c r="AR957" s="216" t="str">
        <f t="shared" si="437"/>
        <v>BiK81X1-----05</v>
      </c>
      <c r="AS957" s="215" t="str">
        <f t="shared" si="438"/>
        <v/>
      </c>
      <c r="AT957">
        <f t="shared" si="439"/>
        <v>14</v>
      </c>
      <c r="AU957" s="216" t="str">
        <f t="shared" si="440"/>
        <v>0-0,15 MW, Bonusregel X1</v>
      </c>
      <c r="AV957" s="215" t="str">
        <f t="shared" si="441"/>
        <v/>
      </c>
      <c r="AW957" s="216" t="str">
        <f t="shared" si="442"/>
        <v>Anteil Nicht-KWK</v>
      </c>
      <c r="AX957" s="215" t="str">
        <f t="shared" si="443"/>
        <v/>
      </c>
      <c r="AY957" t="str">
        <f t="shared" si="444"/>
        <v/>
      </c>
      <c r="AZ957" t="str">
        <f t="shared" si="445"/>
        <v/>
      </c>
    </row>
    <row r="958" spans="1:52" x14ac:dyDescent="0.25">
      <c r="A958" s="610" t="s">
        <v>4776</v>
      </c>
      <c r="B958" s="30" t="s">
        <v>5548</v>
      </c>
      <c r="C958" s="30" t="s">
        <v>1288</v>
      </c>
      <c r="D958" s="30" t="s">
        <v>6905</v>
      </c>
      <c r="E958" s="30" t="s">
        <v>4812</v>
      </c>
      <c r="F958" s="454">
        <f t="shared" si="452"/>
        <v>26.67</v>
      </c>
      <c r="G958" s="529">
        <v>26.67</v>
      </c>
      <c r="H958" s="487">
        <f t="shared" si="453"/>
        <v>21.34</v>
      </c>
      <c r="I958" s="706"/>
      <c r="J958" s="669" t="s">
        <v>5805</v>
      </c>
      <c r="K958" s="15"/>
      <c r="M958" s="49">
        <f t="shared" si="454"/>
        <v>26.67</v>
      </c>
      <c r="N958" s="41">
        <v>11.67</v>
      </c>
      <c r="O958" s="186" t="s">
        <v>1017</v>
      </c>
      <c r="P958" s="177"/>
      <c r="Q958" s="178"/>
      <c r="R958" s="178"/>
      <c r="S958" s="178" t="s">
        <v>4180</v>
      </c>
      <c r="T958" t="s">
        <v>4180</v>
      </c>
      <c r="U958" s="179"/>
      <c r="V958" s="178"/>
      <c r="W958" s="180"/>
      <c r="X958" s="180"/>
      <c r="Y958" s="178"/>
      <c r="Z958" s="178"/>
      <c r="AA958" s="180"/>
      <c r="AB958" s="178"/>
      <c r="AC958" s="178" t="s">
        <v>1017</v>
      </c>
      <c r="AD958" s="201"/>
      <c r="AE958" s="200"/>
      <c r="AF958" s="180"/>
      <c r="AG958" s="201"/>
      <c r="AH958" s="212" t="str">
        <f t="shared" si="455"/>
        <v/>
      </c>
      <c r="AI958" s="214" t="str">
        <f t="shared" si="446"/>
        <v/>
      </c>
      <c r="AJ958" s="214" t="str">
        <f t="shared" si="447"/>
        <v/>
      </c>
      <c r="AK958" s="214" t="str">
        <f t="shared" si="448"/>
        <v/>
      </c>
      <c r="AL958" s="214" t="str">
        <f t="shared" si="449"/>
        <v/>
      </c>
      <c r="AM958" s="214" t="str">
        <f t="shared" si="450"/>
        <v/>
      </c>
      <c r="AN958" s="213" t="str">
        <f t="shared" si="433"/>
        <v/>
      </c>
      <c r="AO958" s="213" t="str">
        <f t="shared" si="434"/>
        <v/>
      </c>
      <c r="AP958" s="213" t="str">
        <f t="shared" si="435"/>
        <v/>
      </c>
      <c r="AQ958" s="215" t="str">
        <f t="shared" si="436"/>
        <v/>
      </c>
      <c r="AR958" s="216" t="str">
        <f t="shared" si="437"/>
        <v>BiK81X1KWK--05</v>
      </c>
      <c r="AS958" s="215" t="str">
        <f t="shared" si="438"/>
        <v/>
      </c>
      <c r="AT958">
        <f t="shared" si="439"/>
        <v>14</v>
      </c>
      <c r="AU958" s="216" t="str">
        <f t="shared" si="440"/>
        <v>0-0,15 MW, Bonusregeln X1 und KWK</v>
      </c>
      <c r="AV958" s="215" t="str">
        <f t="shared" si="441"/>
        <v/>
      </c>
      <c r="AW958" s="216" t="str">
        <f t="shared" si="442"/>
        <v>Anteil KWK</v>
      </c>
      <c r="AX958" s="215" t="str">
        <f t="shared" si="443"/>
        <v/>
      </c>
      <c r="AY958" t="str">
        <f t="shared" si="444"/>
        <v/>
      </c>
      <c r="AZ958" t="str">
        <f t="shared" si="445"/>
        <v/>
      </c>
    </row>
    <row r="959" spans="1:52" x14ac:dyDescent="0.25">
      <c r="A959" s="610" t="s">
        <v>4777</v>
      </c>
      <c r="B959" s="30" t="s">
        <v>5548</v>
      </c>
      <c r="C959" s="30" t="s">
        <v>1288</v>
      </c>
      <c r="D959" s="30" t="s">
        <v>6847</v>
      </c>
      <c r="E959" s="30" t="s">
        <v>4331</v>
      </c>
      <c r="F959" s="454">
        <f t="shared" si="452"/>
        <v>27.67</v>
      </c>
      <c r="G959" s="529">
        <v>27.67</v>
      </c>
      <c r="H959" s="487">
        <f t="shared" si="453"/>
        <v>22.14</v>
      </c>
      <c r="I959" s="706"/>
      <c r="J959" s="669" t="s">
        <v>5805</v>
      </c>
      <c r="K959" s="15"/>
      <c r="M959" s="49">
        <f t="shared" si="454"/>
        <v>27.67</v>
      </c>
      <c r="N959" s="41">
        <v>11.67</v>
      </c>
      <c r="O959" s="186"/>
      <c r="P959" s="178" t="s">
        <v>1017</v>
      </c>
      <c r="Q959" s="178"/>
      <c r="R959" s="178"/>
      <c r="S959" s="178" t="s">
        <v>4180</v>
      </c>
      <c r="T959" t="s">
        <v>4180</v>
      </c>
      <c r="U959" s="179"/>
      <c r="V959" s="178"/>
      <c r="W959" s="180"/>
      <c r="X959" s="180"/>
      <c r="Y959" s="178"/>
      <c r="Z959" s="178"/>
      <c r="AA959" s="180"/>
      <c r="AB959" s="178"/>
      <c r="AC959" s="178" t="s">
        <v>1017</v>
      </c>
      <c r="AD959" s="201"/>
      <c r="AE959" s="200"/>
      <c r="AF959" s="180"/>
      <c r="AG959" s="201"/>
      <c r="AH959" s="212" t="str">
        <f t="shared" si="455"/>
        <v/>
      </c>
      <c r="AI959" s="214" t="str">
        <f t="shared" si="446"/>
        <v/>
      </c>
      <c r="AJ959" s="214" t="str">
        <f t="shared" si="447"/>
        <v/>
      </c>
      <c r="AK959" s="214" t="str">
        <f t="shared" si="448"/>
        <v/>
      </c>
      <c r="AL959" s="214" t="str">
        <f t="shared" si="449"/>
        <v/>
      </c>
      <c r="AM959" s="214" t="str">
        <f t="shared" si="450"/>
        <v/>
      </c>
      <c r="AN959" s="213" t="str">
        <f t="shared" si="433"/>
        <v/>
      </c>
      <c r="AO959" s="213" t="str">
        <f t="shared" si="434"/>
        <v/>
      </c>
      <c r="AP959" s="213" t="str">
        <f t="shared" si="435"/>
        <v/>
      </c>
      <c r="AQ959" s="215" t="str">
        <f t="shared" si="436"/>
        <v/>
      </c>
      <c r="AR959" s="216" t="str">
        <f t="shared" si="437"/>
        <v>BiK81X1KA3--05</v>
      </c>
      <c r="AS959" s="215" t="str">
        <f t="shared" si="438"/>
        <v/>
      </c>
      <c r="AT959">
        <f t="shared" si="439"/>
        <v>14</v>
      </c>
      <c r="AU959" s="216" t="str">
        <f t="shared" si="440"/>
        <v>0-0,15 MW, Bonusregeln X1 und K wenn Anlage 3 erfüllt</v>
      </c>
      <c r="AV959" s="215" t="str">
        <f t="shared" si="441"/>
        <v/>
      </c>
      <c r="AW959" s="216" t="str">
        <f t="shared" si="442"/>
        <v>Anteil KWK gemäß Anlage 3</v>
      </c>
      <c r="AX959" s="215" t="str">
        <f t="shared" si="443"/>
        <v/>
      </c>
      <c r="AY959" t="str">
        <f t="shared" si="444"/>
        <v/>
      </c>
      <c r="AZ959" t="str">
        <f t="shared" si="445"/>
        <v/>
      </c>
    </row>
    <row r="960" spans="1:52" x14ac:dyDescent="0.25">
      <c r="A960" s="610" t="s">
        <v>4778</v>
      </c>
      <c r="B960" s="30" t="s">
        <v>5548</v>
      </c>
      <c r="C960" s="30" t="s">
        <v>1288</v>
      </c>
      <c r="D960" s="30" t="s">
        <v>6848</v>
      </c>
      <c r="E960" s="30" t="s">
        <v>674</v>
      </c>
      <c r="F960" s="454">
        <f t="shared" si="452"/>
        <v>27.67</v>
      </c>
      <c r="G960" s="529">
        <v>27.67</v>
      </c>
      <c r="H960" s="487">
        <f t="shared" si="453"/>
        <v>22.14</v>
      </c>
      <c r="I960" s="706"/>
      <c r="J960" s="669" t="s">
        <v>5805</v>
      </c>
      <c r="K960" s="15"/>
      <c r="M960" s="49">
        <f t="shared" si="454"/>
        <v>27.67</v>
      </c>
      <c r="N960" s="41">
        <v>11.67</v>
      </c>
      <c r="O960" s="186"/>
      <c r="P960" s="177"/>
      <c r="Q960" s="178" t="s">
        <v>1017</v>
      </c>
      <c r="R960" s="178"/>
      <c r="S960" s="178" t="s">
        <v>4180</v>
      </c>
      <c r="T960" t="s">
        <v>4180</v>
      </c>
      <c r="U960" s="179"/>
      <c r="V960" s="178"/>
      <c r="W960" s="180"/>
      <c r="X960" s="180"/>
      <c r="Y960" s="178"/>
      <c r="Z960" s="178"/>
      <c r="AA960" s="180"/>
      <c r="AB960" s="178"/>
      <c r="AC960" s="178" t="s">
        <v>1017</v>
      </c>
      <c r="AD960" s="201"/>
      <c r="AE960" s="200"/>
      <c r="AF960" s="180"/>
      <c r="AG960" s="201"/>
      <c r="AH960" s="212" t="str">
        <f t="shared" si="455"/>
        <v/>
      </c>
      <c r="AI960" s="214" t="str">
        <f t="shared" si="446"/>
        <v/>
      </c>
      <c r="AJ960" s="214" t="str">
        <f t="shared" si="447"/>
        <v/>
      </c>
      <c r="AK960" s="214" t="str">
        <f t="shared" si="448"/>
        <v/>
      </c>
      <c r="AL960" s="214" t="str">
        <f t="shared" si="449"/>
        <v/>
      </c>
      <c r="AM960" s="214" t="str">
        <f t="shared" si="450"/>
        <v/>
      </c>
      <c r="AN960" s="213" t="str">
        <f t="shared" si="433"/>
        <v/>
      </c>
      <c r="AO960" s="213" t="str">
        <f t="shared" si="434"/>
        <v/>
      </c>
      <c r="AP960" s="213" t="str">
        <f t="shared" si="435"/>
        <v/>
      </c>
      <c r="AQ960" s="215" t="str">
        <f t="shared" si="436"/>
        <v/>
      </c>
      <c r="AR960" s="216" t="str">
        <f t="shared" si="437"/>
        <v>BiK81X1K09--05</v>
      </c>
      <c r="AS960" s="215" t="str">
        <f t="shared" si="438"/>
        <v/>
      </c>
      <c r="AT960">
        <f t="shared" si="439"/>
        <v>14</v>
      </c>
      <c r="AU960" s="216" t="str">
        <f t="shared" si="440"/>
        <v>0-0,15 MW, Bonusregeln X1 und K erstmals 2009</v>
      </c>
      <c r="AV960" s="215" t="str">
        <f t="shared" si="441"/>
        <v/>
      </c>
      <c r="AW960" s="216" t="str">
        <f t="shared" si="442"/>
        <v>Anteil KWK, erstmals 2009</v>
      </c>
      <c r="AX960" s="215" t="str">
        <f t="shared" si="443"/>
        <v/>
      </c>
      <c r="AY960" t="str">
        <f t="shared" si="444"/>
        <v/>
      </c>
      <c r="AZ960" t="str">
        <f t="shared" si="445"/>
        <v/>
      </c>
    </row>
    <row r="961" spans="1:52" s="178" customFormat="1" x14ac:dyDescent="0.25">
      <c r="A961" s="610" t="s">
        <v>3578</v>
      </c>
      <c r="B961" s="30" t="s">
        <v>5548</v>
      </c>
      <c r="C961" s="30" t="s">
        <v>1288</v>
      </c>
      <c r="D961" s="30" t="s">
        <v>6849</v>
      </c>
      <c r="E961" s="30" t="s">
        <v>3567</v>
      </c>
      <c r="F961" s="454">
        <f t="shared" si="452"/>
        <v>27.64</v>
      </c>
      <c r="G961" s="529">
        <v>27.64</v>
      </c>
      <c r="H961" s="487">
        <f t="shared" si="453"/>
        <v>22.11</v>
      </c>
      <c r="I961" s="706"/>
      <c r="J961" s="669" t="s">
        <v>5805</v>
      </c>
      <c r="K961" s="15"/>
      <c r="L961"/>
      <c r="M961" s="49">
        <f t="shared" si="454"/>
        <v>27.64</v>
      </c>
      <c r="N961" s="41">
        <v>11.67</v>
      </c>
      <c r="O961" s="186"/>
      <c r="P961" s="177"/>
      <c r="R961" s="178" t="s">
        <v>1017</v>
      </c>
      <c r="S961" s="178" t="s">
        <v>4180</v>
      </c>
      <c r="T961" s="178" t="s">
        <v>4180</v>
      </c>
      <c r="U961" s="179"/>
      <c r="W961" s="180"/>
      <c r="X961" s="180"/>
      <c r="AA961" s="180"/>
      <c r="AC961" s="178" t="s">
        <v>1017</v>
      </c>
      <c r="AD961" s="201"/>
      <c r="AE961" s="200"/>
      <c r="AF961" s="180"/>
      <c r="AG961" s="201"/>
      <c r="AH961" s="212" t="str">
        <f t="shared" si="455"/>
        <v>2010</v>
      </c>
      <c r="AI961" s="214" t="str">
        <f t="shared" si="446"/>
        <v/>
      </c>
      <c r="AJ961" s="214" t="str">
        <f t="shared" si="447"/>
        <v/>
      </c>
      <c r="AK961" s="214" t="str">
        <f t="shared" si="448"/>
        <v/>
      </c>
      <c r="AL961" s="214" t="str">
        <f t="shared" si="449"/>
        <v/>
      </c>
      <c r="AM961" s="214" t="str">
        <f t="shared" si="450"/>
        <v/>
      </c>
      <c r="AN961" s="213" t="str">
        <f t="shared" si="433"/>
        <v>2010</v>
      </c>
      <c r="AO961" s="213" t="str">
        <f t="shared" si="434"/>
        <v>2010</v>
      </c>
      <c r="AP961" s="213" t="str">
        <f t="shared" si="435"/>
        <v>2010</v>
      </c>
      <c r="AQ961" s="215" t="str">
        <f t="shared" si="436"/>
        <v/>
      </c>
      <c r="AR961" s="216" t="str">
        <f t="shared" si="437"/>
        <v>BiK81X1K10--05</v>
      </c>
      <c r="AS961" s="215" t="str">
        <f t="shared" si="438"/>
        <v/>
      </c>
      <c r="AT961">
        <f t="shared" si="439"/>
        <v>14</v>
      </c>
      <c r="AU961" s="216" t="str">
        <f t="shared" si="440"/>
        <v>0-0,15 MW, Bonusregeln X1 und K erstmals 2010</v>
      </c>
      <c r="AV961" s="215" t="str">
        <f t="shared" si="441"/>
        <v/>
      </c>
      <c r="AW961" s="216" t="str">
        <f t="shared" si="442"/>
        <v>Anteil KWK, erstmals 2010</v>
      </c>
      <c r="AX961" s="215" t="str">
        <f t="shared" si="443"/>
        <v/>
      </c>
      <c r="AY961" t="str">
        <f t="shared" si="444"/>
        <v/>
      </c>
      <c r="AZ961" t="str">
        <f t="shared" si="445"/>
        <v/>
      </c>
    </row>
    <row r="962" spans="1:52" s="178" customFormat="1" x14ac:dyDescent="0.25">
      <c r="A962" s="610" t="s">
        <v>5309</v>
      </c>
      <c r="B962" s="30" t="s">
        <v>5548</v>
      </c>
      <c r="C962" s="30" t="s">
        <v>1288</v>
      </c>
      <c r="D962" s="30" t="s">
        <v>6850</v>
      </c>
      <c r="E962" s="30" t="s">
        <v>3055</v>
      </c>
      <c r="F962" s="454">
        <f t="shared" si="452"/>
        <v>27.61</v>
      </c>
      <c r="G962" s="529">
        <v>27.61</v>
      </c>
      <c r="H962" s="487">
        <f t="shared" si="453"/>
        <v>22.09</v>
      </c>
      <c r="I962" s="706"/>
      <c r="J962" s="669" t="s">
        <v>5805</v>
      </c>
      <c r="K962" s="15"/>
      <c r="L962"/>
      <c r="M962" s="49">
        <f t="shared" si="454"/>
        <v>27.61</v>
      </c>
      <c r="N962" s="41">
        <v>11.67</v>
      </c>
      <c r="O962" s="186"/>
      <c r="P962" s="177"/>
      <c r="S962" s="178" t="s">
        <v>1017</v>
      </c>
      <c r="T962" s="178" t="s">
        <v>4180</v>
      </c>
      <c r="U962" s="179"/>
      <c r="W962" s="180"/>
      <c r="X962" s="180"/>
      <c r="AA962" s="180"/>
      <c r="AC962" s="178" t="s">
        <v>1017</v>
      </c>
      <c r="AD962" s="201"/>
      <c r="AE962" s="200"/>
      <c r="AF962" s="180"/>
      <c r="AG962" s="201"/>
      <c r="AH962" s="212" t="str">
        <f t="shared" si="455"/>
        <v>2011</v>
      </c>
      <c r="AI962" s="214" t="str">
        <f t="shared" si="446"/>
        <v/>
      </c>
      <c r="AJ962" s="214" t="str">
        <f t="shared" si="447"/>
        <v/>
      </c>
      <c r="AK962" s="214" t="str">
        <f t="shared" si="448"/>
        <v/>
      </c>
      <c r="AL962" s="214" t="str">
        <f t="shared" si="449"/>
        <v/>
      </c>
      <c r="AM962" s="214" t="str">
        <f t="shared" si="450"/>
        <v/>
      </c>
      <c r="AN962" s="213" t="str">
        <f t="shared" si="433"/>
        <v>2011</v>
      </c>
      <c r="AO962" s="213" t="str">
        <f t="shared" si="434"/>
        <v>2011</v>
      </c>
      <c r="AP962" s="213" t="str">
        <f t="shared" si="435"/>
        <v>2011</v>
      </c>
      <c r="AQ962" s="215" t="str">
        <f t="shared" si="436"/>
        <v/>
      </c>
      <c r="AR962" s="216" t="str">
        <f t="shared" si="437"/>
        <v>BiK81X1K11--05</v>
      </c>
      <c r="AS962" s="215" t="str">
        <f t="shared" si="438"/>
        <v/>
      </c>
      <c r="AT962">
        <f t="shared" si="439"/>
        <v>14</v>
      </c>
      <c r="AU962" s="216" t="str">
        <f t="shared" si="440"/>
        <v>0-0,15 MW, Bonusregeln X1 und K erstmals 2011</v>
      </c>
      <c r="AV962" s="215" t="str">
        <f t="shared" si="441"/>
        <v/>
      </c>
      <c r="AW962" s="216" t="str">
        <f t="shared" si="442"/>
        <v>Anteil KWK, erstmals 2011</v>
      </c>
      <c r="AX962" s="215" t="str">
        <f t="shared" si="443"/>
        <v/>
      </c>
      <c r="AY962" t="str">
        <f t="shared" si="444"/>
        <v>x</v>
      </c>
      <c r="AZ962" t="str">
        <f t="shared" si="445"/>
        <v/>
      </c>
    </row>
    <row r="963" spans="1:52" s="178" customFormat="1" x14ac:dyDescent="0.25">
      <c r="A963" s="625" t="s">
        <v>1559</v>
      </c>
      <c r="B963" s="219" t="s">
        <v>5548</v>
      </c>
      <c r="C963" s="219" t="s">
        <v>1288</v>
      </c>
      <c r="D963" s="219" t="s">
        <v>6851</v>
      </c>
      <c r="E963" s="219" t="s">
        <v>1980</v>
      </c>
      <c r="F963" s="455">
        <f t="shared" si="452"/>
        <v>27.58</v>
      </c>
      <c r="G963" s="530">
        <v>27.58</v>
      </c>
      <c r="H963" s="488">
        <f t="shared" si="453"/>
        <v>22.06</v>
      </c>
      <c r="I963" s="707"/>
      <c r="J963" s="669" t="s">
        <v>5805</v>
      </c>
      <c r="K963" s="15"/>
      <c r="L963"/>
      <c r="M963" s="49">
        <f t="shared" si="454"/>
        <v>27.58</v>
      </c>
      <c r="N963" s="41">
        <v>11.67</v>
      </c>
      <c r="O963" s="186"/>
      <c r="P963" s="177"/>
      <c r="S963" s="178" t="s">
        <v>4180</v>
      </c>
      <c r="T963" s="178" t="s">
        <v>1017</v>
      </c>
      <c r="U963" s="179"/>
      <c r="W963" s="180"/>
      <c r="X963" s="180"/>
      <c r="AA963" s="180"/>
      <c r="AC963" s="178" t="s">
        <v>1017</v>
      </c>
      <c r="AD963" s="201"/>
      <c r="AE963" s="200"/>
      <c r="AF963" s="180"/>
      <c r="AG963" s="201"/>
      <c r="AH963" s="217" t="s">
        <v>4179</v>
      </c>
      <c r="AI963" s="214" t="str">
        <f t="shared" si="446"/>
        <v/>
      </c>
      <c r="AJ963" s="214" t="str">
        <f t="shared" si="447"/>
        <v/>
      </c>
      <c r="AK963" s="214" t="str">
        <f t="shared" si="448"/>
        <v/>
      </c>
      <c r="AL963" s="214" t="str">
        <f t="shared" si="449"/>
        <v/>
      </c>
      <c r="AM963" s="214" t="str">
        <f t="shared" si="450"/>
        <v/>
      </c>
      <c r="AN963" s="213" t="str">
        <f t="shared" si="433"/>
        <v>2012</v>
      </c>
      <c r="AO963" s="213" t="str">
        <f t="shared" si="434"/>
        <v>2012</v>
      </c>
      <c r="AP963" s="213" t="str">
        <f t="shared" si="435"/>
        <v>2012</v>
      </c>
      <c r="AQ963" s="215" t="str">
        <f t="shared" si="436"/>
        <v/>
      </c>
      <c r="AR963" s="216" t="str">
        <f t="shared" si="437"/>
        <v>BiK81X1K12--05</v>
      </c>
      <c r="AS963" s="215" t="str">
        <f t="shared" si="438"/>
        <v/>
      </c>
      <c r="AT963">
        <f t="shared" si="439"/>
        <v>14</v>
      </c>
      <c r="AU963" s="216" t="str">
        <f t="shared" si="440"/>
        <v>0-0,15 MW, Bonusregeln X1 und K erstmals 2012</v>
      </c>
      <c r="AV963" s="215" t="str">
        <f t="shared" si="441"/>
        <v/>
      </c>
      <c r="AW963" s="216" t="str">
        <f t="shared" si="442"/>
        <v>Anteil KWK, erstmals 2012</v>
      </c>
      <c r="AX963" s="215" t="str">
        <f t="shared" si="443"/>
        <v/>
      </c>
      <c r="AY963" t="str">
        <f t="shared" si="444"/>
        <v/>
      </c>
      <c r="AZ963" t="str">
        <f t="shared" si="445"/>
        <v>x</v>
      </c>
    </row>
    <row r="964" spans="1:52" s="178" customFormat="1" x14ac:dyDescent="0.25">
      <c r="A964" s="610" t="s">
        <v>4779</v>
      </c>
      <c r="B964" s="30" t="s">
        <v>5548</v>
      </c>
      <c r="C964" s="30" t="s">
        <v>1288</v>
      </c>
      <c r="D964" s="30" t="s">
        <v>6852</v>
      </c>
      <c r="E964" s="30" t="s">
        <v>4810</v>
      </c>
      <c r="F964" s="454">
        <f t="shared" si="452"/>
        <v>25.67</v>
      </c>
      <c r="G964" s="529">
        <v>25.67</v>
      </c>
      <c r="H964" s="487">
        <f t="shared" si="453"/>
        <v>20.54</v>
      </c>
      <c r="I964" s="706"/>
      <c r="J964" s="669" t="s">
        <v>5805</v>
      </c>
      <c r="K964" s="15"/>
      <c r="L964"/>
      <c r="M964" s="49">
        <f t="shared" si="454"/>
        <v>25.67</v>
      </c>
      <c r="N964" s="41">
        <v>11.67</v>
      </c>
      <c r="O964" s="187"/>
      <c r="P964" s="183"/>
      <c r="Q964" s="184"/>
      <c r="R964" s="184"/>
      <c r="S964" s="184" t="s">
        <v>4180</v>
      </c>
      <c r="T964" s="178" t="s">
        <v>4180</v>
      </c>
      <c r="U964" s="185" t="s">
        <v>1017</v>
      </c>
      <c r="V964" s="184"/>
      <c r="W964" s="180"/>
      <c r="X964" s="180"/>
      <c r="AA964" s="180"/>
      <c r="AC964" s="184" t="s">
        <v>1017</v>
      </c>
      <c r="AD964" s="201"/>
      <c r="AE964" s="181"/>
      <c r="AF964" s="180"/>
      <c r="AG964" s="201"/>
      <c r="AH964" s="212" t="str">
        <f t="shared" ref="AH964:AH969" si="456">IF(ISERROR(SEARCH("K erstmals 201",D964)),"",RIGHT(D964,4))</f>
        <v/>
      </c>
      <c r="AI964" s="214" t="str">
        <f t="shared" si="446"/>
        <v/>
      </c>
      <c r="AJ964" s="214" t="str">
        <f t="shared" si="447"/>
        <v/>
      </c>
      <c r="AK964" s="214" t="str">
        <f t="shared" si="448"/>
        <v/>
      </c>
      <c r="AL964" s="214" t="str">
        <f t="shared" si="449"/>
        <v/>
      </c>
      <c r="AM964" s="214" t="str">
        <f t="shared" si="450"/>
        <v/>
      </c>
      <c r="AN964" s="213" t="str">
        <f t="shared" si="433"/>
        <v/>
      </c>
      <c r="AO964" s="213" t="str">
        <f t="shared" si="434"/>
        <v/>
      </c>
      <c r="AP964" s="213" t="str">
        <f t="shared" si="435"/>
        <v/>
      </c>
      <c r="AQ964" s="215" t="str">
        <f t="shared" si="436"/>
        <v/>
      </c>
      <c r="AR964" s="216" t="str">
        <f t="shared" si="437"/>
        <v>BiK81X1y----05</v>
      </c>
      <c r="AS964" s="215" t="str">
        <f t="shared" si="438"/>
        <v/>
      </c>
      <c r="AT964">
        <f t="shared" si="439"/>
        <v>14</v>
      </c>
      <c r="AU964" s="216" t="str">
        <f t="shared" si="440"/>
        <v>0-0,15 MW, Bonusregeln X1, y</v>
      </c>
      <c r="AV964" s="215" t="str">
        <f t="shared" si="441"/>
        <v/>
      </c>
      <c r="AW964" s="216" t="str">
        <f t="shared" si="442"/>
        <v>Anteil Nicht-KWK</v>
      </c>
      <c r="AX964" s="215" t="str">
        <f t="shared" si="443"/>
        <v/>
      </c>
      <c r="AY964" t="str">
        <f t="shared" si="444"/>
        <v/>
      </c>
      <c r="AZ964" t="str">
        <f t="shared" si="445"/>
        <v/>
      </c>
    </row>
    <row r="965" spans="1:52" s="178" customFormat="1" x14ac:dyDescent="0.25">
      <c r="A965" s="610" t="s">
        <v>4780</v>
      </c>
      <c r="B965" s="30" t="s">
        <v>5548</v>
      </c>
      <c r="C965" s="30" t="s">
        <v>1288</v>
      </c>
      <c r="D965" s="30" t="s">
        <v>6906</v>
      </c>
      <c r="E965" s="30" t="s">
        <v>4812</v>
      </c>
      <c r="F965" s="454">
        <f t="shared" si="452"/>
        <v>27.67</v>
      </c>
      <c r="G965" s="529">
        <v>27.67</v>
      </c>
      <c r="H965" s="487">
        <f t="shared" si="453"/>
        <v>22.14</v>
      </c>
      <c r="I965" s="706"/>
      <c r="J965" s="669" t="s">
        <v>5805</v>
      </c>
      <c r="K965" s="15"/>
      <c r="L965"/>
      <c r="M965" s="49">
        <f t="shared" si="454"/>
        <v>27.67</v>
      </c>
      <c r="N965" s="41">
        <v>11.67</v>
      </c>
      <c r="O965" s="187" t="s">
        <v>1017</v>
      </c>
      <c r="P965" s="183"/>
      <c r="Q965" s="184"/>
      <c r="R965" s="184"/>
      <c r="S965" s="184" t="s">
        <v>4180</v>
      </c>
      <c r="T965" s="178" t="s">
        <v>4180</v>
      </c>
      <c r="U965" s="185" t="s">
        <v>1017</v>
      </c>
      <c r="V965" s="184"/>
      <c r="W965" s="180"/>
      <c r="X965" s="180"/>
      <c r="AA965" s="180"/>
      <c r="AC965" s="184" t="s">
        <v>1017</v>
      </c>
      <c r="AD965" s="201"/>
      <c r="AE965" s="181"/>
      <c r="AF965" s="180"/>
      <c r="AG965" s="201"/>
      <c r="AH965" s="212" t="str">
        <f t="shared" si="456"/>
        <v/>
      </c>
      <c r="AI965" s="214" t="str">
        <f t="shared" si="446"/>
        <v/>
      </c>
      <c r="AJ965" s="214" t="str">
        <f t="shared" si="447"/>
        <v/>
      </c>
      <c r="AK965" s="214" t="str">
        <f t="shared" si="448"/>
        <v/>
      </c>
      <c r="AL965" s="214" t="str">
        <f t="shared" si="449"/>
        <v/>
      </c>
      <c r="AM965" s="214" t="str">
        <f t="shared" si="450"/>
        <v/>
      </c>
      <c r="AN965" s="213" t="str">
        <f t="shared" si="433"/>
        <v/>
      </c>
      <c r="AO965" s="213" t="str">
        <f t="shared" si="434"/>
        <v/>
      </c>
      <c r="AP965" s="213" t="str">
        <f t="shared" si="435"/>
        <v/>
      </c>
      <c r="AQ965" s="215" t="str">
        <f t="shared" si="436"/>
        <v/>
      </c>
      <c r="AR965" s="216" t="str">
        <f t="shared" si="437"/>
        <v>BiK81X1KWKy-05</v>
      </c>
      <c r="AS965" s="215" t="str">
        <f t="shared" si="438"/>
        <v/>
      </c>
      <c r="AT965">
        <f t="shared" si="439"/>
        <v>14</v>
      </c>
      <c r="AU965" s="216" t="str">
        <f t="shared" si="440"/>
        <v>0-0,15 MW, Bonusregeln X1, y und KWK</v>
      </c>
      <c r="AV965" s="215" t="str">
        <f t="shared" si="441"/>
        <v/>
      </c>
      <c r="AW965" s="216" t="str">
        <f t="shared" si="442"/>
        <v>Anteil KWK</v>
      </c>
      <c r="AX965" s="215" t="str">
        <f t="shared" si="443"/>
        <v/>
      </c>
      <c r="AY965" t="str">
        <f t="shared" si="444"/>
        <v/>
      </c>
      <c r="AZ965" t="str">
        <f t="shared" si="445"/>
        <v/>
      </c>
    </row>
    <row r="966" spans="1:52" s="178" customFormat="1" x14ac:dyDescent="0.25">
      <c r="A966" s="610" t="s">
        <v>4781</v>
      </c>
      <c r="B966" s="30" t="s">
        <v>5548</v>
      </c>
      <c r="C966" s="30" t="s">
        <v>1288</v>
      </c>
      <c r="D966" s="109" t="s">
        <v>6853</v>
      </c>
      <c r="E966" s="30" t="s">
        <v>4331</v>
      </c>
      <c r="F966" s="454">
        <f t="shared" si="452"/>
        <v>28.67</v>
      </c>
      <c r="G966" s="529">
        <v>28.67</v>
      </c>
      <c r="H966" s="487">
        <f t="shared" si="453"/>
        <v>22.94</v>
      </c>
      <c r="I966" s="706"/>
      <c r="J966" s="669" t="s">
        <v>5805</v>
      </c>
      <c r="K966" s="15"/>
      <c r="L966"/>
      <c r="M966" s="49">
        <f t="shared" si="454"/>
        <v>28.67</v>
      </c>
      <c r="N966" s="41">
        <v>11.67</v>
      </c>
      <c r="O966" s="187"/>
      <c r="P966" s="184" t="s">
        <v>1017</v>
      </c>
      <c r="Q966" s="184"/>
      <c r="R966" s="184"/>
      <c r="S966" s="184" t="s">
        <v>4180</v>
      </c>
      <c r="T966" s="178" t="s">
        <v>4180</v>
      </c>
      <c r="U966" s="185" t="s">
        <v>1017</v>
      </c>
      <c r="V966" s="184"/>
      <c r="W966" s="180"/>
      <c r="X966" s="180"/>
      <c r="AA966" s="180"/>
      <c r="AC966" s="184" t="s">
        <v>1017</v>
      </c>
      <c r="AD966" s="201"/>
      <c r="AE966" s="181"/>
      <c r="AF966" s="180"/>
      <c r="AG966" s="201"/>
      <c r="AH966" s="212" t="str">
        <f t="shared" si="456"/>
        <v/>
      </c>
      <c r="AI966" s="214" t="str">
        <f t="shared" si="446"/>
        <v/>
      </c>
      <c r="AJ966" s="214" t="str">
        <f t="shared" si="447"/>
        <v/>
      </c>
      <c r="AK966" s="214" t="str">
        <f t="shared" si="448"/>
        <v/>
      </c>
      <c r="AL966" s="214" t="str">
        <f t="shared" si="449"/>
        <v/>
      </c>
      <c r="AM966" s="214" t="str">
        <f t="shared" si="450"/>
        <v/>
      </c>
      <c r="AN966" s="213" t="str">
        <f t="shared" si="433"/>
        <v/>
      </c>
      <c r="AO966" s="213" t="str">
        <f t="shared" si="434"/>
        <v/>
      </c>
      <c r="AP966" s="213" t="str">
        <f t="shared" si="435"/>
        <v/>
      </c>
      <c r="AQ966" s="215" t="str">
        <f t="shared" si="436"/>
        <v/>
      </c>
      <c r="AR966" s="216" t="str">
        <f t="shared" si="437"/>
        <v>BiK81X1KA3y-05</v>
      </c>
      <c r="AS966" s="215" t="str">
        <f t="shared" si="438"/>
        <v/>
      </c>
      <c r="AT966">
        <f t="shared" si="439"/>
        <v>14</v>
      </c>
      <c r="AU966" s="216" t="str">
        <f t="shared" si="440"/>
        <v>0-0,15 MW, Bonusregeln X1, y und K wenn Anlage 3 erfüllt</v>
      </c>
      <c r="AV966" s="215" t="str">
        <f t="shared" si="441"/>
        <v/>
      </c>
      <c r="AW966" s="216" t="str">
        <f t="shared" si="442"/>
        <v>Anteil KWK gemäß Anlage 3</v>
      </c>
      <c r="AX966" s="215" t="str">
        <f t="shared" si="443"/>
        <v/>
      </c>
      <c r="AY966" t="str">
        <f t="shared" si="444"/>
        <v/>
      </c>
      <c r="AZ966" t="str">
        <f t="shared" si="445"/>
        <v/>
      </c>
    </row>
    <row r="967" spans="1:52" s="178" customFormat="1" x14ac:dyDescent="0.25">
      <c r="A967" s="610" t="s">
        <v>4522</v>
      </c>
      <c r="B967" s="30" t="s">
        <v>5548</v>
      </c>
      <c r="C967" s="30" t="s">
        <v>1288</v>
      </c>
      <c r="D967" s="30" t="s">
        <v>6854</v>
      </c>
      <c r="E967" s="30" t="s">
        <v>674</v>
      </c>
      <c r="F967" s="454">
        <f t="shared" si="452"/>
        <v>28.67</v>
      </c>
      <c r="G967" s="529">
        <v>28.67</v>
      </c>
      <c r="H967" s="487">
        <f t="shared" si="453"/>
        <v>22.94</v>
      </c>
      <c r="I967" s="706"/>
      <c r="J967" s="669" t="s">
        <v>5805</v>
      </c>
      <c r="K967" s="15"/>
      <c r="L967"/>
      <c r="M967" s="49">
        <f t="shared" si="454"/>
        <v>28.67</v>
      </c>
      <c r="N967" s="41">
        <v>11.67</v>
      </c>
      <c r="O967" s="187"/>
      <c r="P967" s="183"/>
      <c r="Q967" s="184" t="s">
        <v>1017</v>
      </c>
      <c r="R967" s="184"/>
      <c r="S967" s="184" t="s">
        <v>4180</v>
      </c>
      <c r="T967" s="178" t="s">
        <v>4180</v>
      </c>
      <c r="U967" s="185" t="s">
        <v>1017</v>
      </c>
      <c r="V967" s="184"/>
      <c r="W967" s="180"/>
      <c r="X967" s="180"/>
      <c r="AA967" s="180"/>
      <c r="AC967" s="184" t="s">
        <v>1017</v>
      </c>
      <c r="AD967" s="201"/>
      <c r="AE967" s="181"/>
      <c r="AF967" s="180"/>
      <c r="AG967" s="201"/>
      <c r="AH967" s="212" t="str">
        <f t="shared" si="456"/>
        <v/>
      </c>
      <c r="AI967" s="214" t="str">
        <f t="shared" si="446"/>
        <v/>
      </c>
      <c r="AJ967" s="214" t="str">
        <f t="shared" si="447"/>
        <v/>
      </c>
      <c r="AK967" s="214" t="str">
        <f t="shared" si="448"/>
        <v/>
      </c>
      <c r="AL967" s="214" t="str">
        <f t="shared" si="449"/>
        <v/>
      </c>
      <c r="AM967" s="214" t="str">
        <f t="shared" si="450"/>
        <v/>
      </c>
      <c r="AN967" s="213" t="str">
        <f t="shared" si="433"/>
        <v/>
      </c>
      <c r="AO967" s="213" t="str">
        <f t="shared" si="434"/>
        <v/>
      </c>
      <c r="AP967" s="213" t="str">
        <f t="shared" si="435"/>
        <v/>
      </c>
      <c r="AQ967" s="215" t="str">
        <f t="shared" si="436"/>
        <v/>
      </c>
      <c r="AR967" s="216" t="str">
        <f t="shared" si="437"/>
        <v>BiK81X1K09y-05</v>
      </c>
      <c r="AS967" s="215" t="str">
        <f t="shared" si="438"/>
        <v/>
      </c>
      <c r="AT967">
        <f t="shared" si="439"/>
        <v>14</v>
      </c>
      <c r="AU967" s="216" t="str">
        <f t="shared" si="440"/>
        <v>0-0,15 MW, Bonusregeln X1, y und K erstmals 2009</v>
      </c>
      <c r="AV967" s="215" t="str">
        <f t="shared" si="441"/>
        <v/>
      </c>
      <c r="AW967" s="216" t="str">
        <f t="shared" si="442"/>
        <v>Anteil KWK, erstmals 2009</v>
      </c>
      <c r="AX967" s="215" t="str">
        <f t="shared" si="443"/>
        <v/>
      </c>
      <c r="AY967" t="str">
        <f t="shared" si="444"/>
        <v/>
      </c>
      <c r="AZ967" t="str">
        <f t="shared" si="445"/>
        <v/>
      </c>
    </row>
    <row r="968" spans="1:52" s="178" customFormat="1" x14ac:dyDescent="0.25">
      <c r="A968" s="610" t="s">
        <v>3579</v>
      </c>
      <c r="B968" s="30" t="s">
        <v>5548</v>
      </c>
      <c r="C968" s="30" t="s">
        <v>1288</v>
      </c>
      <c r="D968" s="30" t="s">
        <v>6855</v>
      </c>
      <c r="E968" s="30" t="s">
        <v>3567</v>
      </c>
      <c r="F968" s="454">
        <f t="shared" si="452"/>
        <v>28.64</v>
      </c>
      <c r="G968" s="529">
        <v>28.64</v>
      </c>
      <c r="H968" s="487">
        <f t="shared" si="453"/>
        <v>22.91</v>
      </c>
      <c r="I968" s="706"/>
      <c r="J968" s="669" t="s">
        <v>5805</v>
      </c>
      <c r="K968" s="15"/>
      <c r="L968"/>
      <c r="M968" s="49">
        <f t="shared" si="454"/>
        <v>28.64</v>
      </c>
      <c r="N968" s="41">
        <v>11.67</v>
      </c>
      <c r="O968" s="187"/>
      <c r="P968" s="183"/>
      <c r="Q968" s="184"/>
      <c r="R968" s="184" t="s">
        <v>1017</v>
      </c>
      <c r="S968" s="184" t="s">
        <v>4180</v>
      </c>
      <c r="T968" s="178" t="s">
        <v>4180</v>
      </c>
      <c r="U968" s="185" t="s">
        <v>1017</v>
      </c>
      <c r="V968" s="184"/>
      <c r="W968" s="180"/>
      <c r="X968" s="180"/>
      <c r="AA968" s="180"/>
      <c r="AC968" s="184" t="s">
        <v>1017</v>
      </c>
      <c r="AD968" s="201"/>
      <c r="AE968" s="181"/>
      <c r="AF968" s="180"/>
      <c r="AG968" s="201"/>
      <c r="AH968" s="212" t="str">
        <f t="shared" si="456"/>
        <v>2010</v>
      </c>
      <c r="AI968" s="214" t="str">
        <f t="shared" si="446"/>
        <v/>
      </c>
      <c r="AJ968" s="214" t="str">
        <f t="shared" si="447"/>
        <v/>
      </c>
      <c r="AK968" s="214" t="str">
        <f t="shared" si="448"/>
        <v/>
      </c>
      <c r="AL968" s="214" t="str">
        <f t="shared" si="449"/>
        <v/>
      </c>
      <c r="AM968" s="214" t="str">
        <f t="shared" si="450"/>
        <v/>
      </c>
      <c r="AN968" s="213" t="str">
        <f t="shared" si="433"/>
        <v>2010</v>
      </c>
      <c r="AO968" s="213" t="str">
        <f t="shared" si="434"/>
        <v>2010</v>
      </c>
      <c r="AP968" s="213" t="str">
        <f t="shared" si="435"/>
        <v>2010</v>
      </c>
      <c r="AQ968" s="215" t="str">
        <f t="shared" si="436"/>
        <v/>
      </c>
      <c r="AR968" s="216" t="str">
        <f t="shared" si="437"/>
        <v>BiK81X1K10y-05</v>
      </c>
      <c r="AS968" s="215" t="str">
        <f t="shared" si="438"/>
        <v/>
      </c>
      <c r="AT968">
        <f t="shared" si="439"/>
        <v>14</v>
      </c>
      <c r="AU968" s="216" t="str">
        <f t="shared" si="440"/>
        <v>0-0,15 MW, Bonusregeln X1, y und K erstmals 2010</v>
      </c>
      <c r="AV968" s="215" t="str">
        <f t="shared" si="441"/>
        <v/>
      </c>
      <c r="AW968" s="216" t="str">
        <f t="shared" si="442"/>
        <v>Anteil KWK, erstmals 2010</v>
      </c>
      <c r="AX968" s="215" t="str">
        <f t="shared" si="443"/>
        <v/>
      </c>
      <c r="AY968" t="str">
        <f t="shared" si="444"/>
        <v/>
      </c>
      <c r="AZ968" t="str">
        <f t="shared" si="445"/>
        <v/>
      </c>
    </row>
    <row r="969" spans="1:52" s="178" customFormat="1" x14ac:dyDescent="0.25">
      <c r="A969" s="610" t="s">
        <v>5310</v>
      </c>
      <c r="B969" s="30" t="s">
        <v>5548</v>
      </c>
      <c r="C969" s="30" t="s">
        <v>1288</v>
      </c>
      <c r="D969" s="30" t="s">
        <v>6856</v>
      </c>
      <c r="E969" s="30" t="s">
        <v>3055</v>
      </c>
      <c r="F969" s="454">
        <f t="shared" si="452"/>
        <v>28.61</v>
      </c>
      <c r="G969" s="529">
        <v>28.61</v>
      </c>
      <c r="H969" s="487">
        <f t="shared" si="453"/>
        <v>22.89</v>
      </c>
      <c r="I969" s="706"/>
      <c r="J969" s="669" t="s">
        <v>5805</v>
      </c>
      <c r="K969" s="15"/>
      <c r="L969"/>
      <c r="M969" s="49">
        <f t="shared" si="454"/>
        <v>28.61</v>
      </c>
      <c r="N969" s="41">
        <v>11.67</v>
      </c>
      <c r="O969" s="187"/>
      <c r="P969" s="183"/>
      <c r="Q969" s="184"/>
      <c r="S969" s="184" t="s">
        <v>1017</v>
      </c>
      <c r="T969" s="178" t="s">
        <v>4180</v>
      </c>
      <c r="U969" s="185" t="s">
        <v>1017</v>
      </c>
      <c r="V969" s="184"/>
      <c r="W969" s="180"/>
      <c r="X969" s="180"/>
      <c r="AA969" s="180"/>
      <c r="AC969" s="184" t="s">
        <v>1017</v>
      </c>
      <c r="AD969" s="201"/>
      <c r="AE969" s="181"/>
      <c r="AF969" s="180"/>
      <c r="AG969" s="201"/>
      <c r="AH969" s="212" t="str">
        <f t="shared" si="456"/>
        <v>2011</v>
      </c>
      <c r="AI969" s="214" t="str">
        <f t="shared" si="446"/>
        <v/>
      </c>
      <c r="AJ969" s="214" t="str">
        <f t="shared" si="447"/>
        <v/>
      </c>
      <c r="AK969" s="214" t="str">
        <f t="shared" si="448"/>
        <v/>
      </c>
      <c r="AL969" s="214" t="str">
        <f t="shared" si="449"/>
        <v/>
      </c>
      <c r="AM969" s="214" t="str">
        <f t="shared" si="450"/>
        <v/>
      </c>
      <c r="AN969" s="213" t="str">
        <f t="shared" si="433"/>
        <v>2011</v>
      </c>
      <c r="AO969" s="213" t="str">
        <f t="shared" si="434"/>
        <v>2011</v>
      </c>
      <c r="AP969" s="213" t="str">
        <f t="shared" si="435"/>
        <v>2011</v>
      </c>
      <c r="AQ969" s="215" t="str">
        <f t="shared" si="436"/>
        <v/>
      </c>
      <c r="AR969" s="216" t="str">
        <f t="shared" si="437"/>
        <v>BiK81X1K11y-05</v>
      </c>
      <c r="AS969" s="215" t="str">
        <f t="shared" si="438"/>
        <v/>
      </c>
      <c r="AT969">
        <f t="shared" si="439"/>
        <v>14</v>
      </c>
      <c r="AU969" s="216" t="str">
        <f t="shared" si="440"/>
        <v>0-0,15 MW, Bonusregeln X1, y und K erstmals 2011</v>
      </c>
      <c r="AV969" s="215" t="str">
        <f t="shared" si="441"/>
        <v/>
      </c>
      <c r="AW969" s="216" t="str">
        <f t="shared" si="442"/>
        <v>Anteil KWK, erstmals 2011</v>
      </c>
      <c r="AX969" s="215" t="str">
        <f t="shared" si="443"/>
        <v/>
      </c>
      <c r="AY969" t="str">
        <f t="shared" si="444"/>
        <v>x</v>
      </c>
      <c r="AZ969" t="str">
        <f t="shared" si="445"/>
        <v/>
      </c>
    </row>
    <row r="970" spans="1:52" s="178" customFormat="1" x14ac:dyDescent="0.25">
      <c r="A970" s="625" t="s">
        <v>1560</v>
      </c>
      <c r="B970" s="219" t="s">
        <v>5548</v>
      </c>
      <c r="C970" s="219" t="s">
        <v>1288</v>
      </c>
      <c r="D970" s="219" t="s">
        <v>6857</v>
      </c>
      <c r="E970" s="219" t="s">
        <v>1980</v>
      </c>
      <c r="F970" s="455">
        <f t="shared" si="452"/>
        <v>28.58</v>
      </c>
      <c r="G970" s="530">
        <v>28.58</v>
      </c>
      <c r="H970" s="488">
        <f t="shared" si="453"/>
        <v>22.86</v>
      </c>
      <c r="I970" s="707"/>
      <c r="J970" s="669" t="s">
        <v>5805</v>
      </c>
      <c r="K970" s="15"/>
      <c r="L970"/>
      <c r="M970" s="49">
        <f t="shared" si="454"/>
        <v>28.58</v>
      </c>
      <c r="N970" s="41">
        <v>11.67</v>
      </c>
      <c r="O970" s="187"/>
      <c r="P970" s="183"/>
      <c r="Q970" s="184"/>
      <c r="S970" s="184" t="s">
        <v>4180</v>
      </c>
      <c r="T970" s="178" t="s">
        <v>1017</v>
      </c>
      <c r="U970" s="185" t="s">
        <v>1017</v>
      </c>
      <c r="V970" s="184"/>
      <c r="W970" s="180"/>
      <c r="X970" s="180"/>
      <c r="AA970" s="180"/>
      <c r="AC970" s="184" t="s">
        <v>1017</v>
      </c>
      <c r="AD970" s="201"/>
      <c r="AE970" s="181"/>
      <c r="AF970" s="180"/>
      <c r="AG970" s="201"/>
      <c r="AH970" s="217" t="s">
        <v>4179</v>
      </c>
      <c r="AI970" s="214" t="str">
        <f t="shared" si="446"/>
        <v/>
      </c>
      <c r="AJ970" s="214" t="str">
        <f t="shared" si="447"/>
        <v/>
      </c>
      <c r="AK970" s="214" t="str">
        <f t="shared" si="448"/>
        <v/>
      </c>
      <c r="AL970" s="214" t="str">
        <f t="shared" si="449"/>
        <v/>
      </c>
      <c r="AM970" s="214" t="str">
        <f t="shared" si="450"/>
        <v/>
      </c>
      <c r="AN970" s="213" t="str">
        <f t="shared" si="433"/>
        <v>2012</v>
      </c>
      <c r="AO970" s="213" t="str">
        <f t="shared" si="434"/>
        <v>2012</v>
      </c>
      <c r="AP970" s="213" t="str">
        <f t="shared" si="435"/>
        <v>2012</v>
      </c>
      <c r="AQ970" s="215" t="str">
        <f t="shared" si="436"/>
        <v/>
      </c>
      <c r="AR970" s="216" t="str">
        <f t="shared" si="437"/>
        <v>BiK81X1K12y-05</v>
      </c>
      <c r="AS970" s="215" t="str">
        <f t="shared" si="438"/>
        <v/>
      </c>
      <c r="AT970">
        <f t="shared" si="439"/>
        <v>14</v>
      </c>
      <c r="AU970" s="216" t="str">
        <f t="shared" si="440"/>
        <v>0-0,15 MW, Bonusregeln X1, y und K erstmals 2012</v>
      </c>
      <c r="AV970" s="215" t="str">
        <f t="shared" si="441"/>
        <v/>
      </c>
      <c r="AW970" s="216" t="str">
        <f t="shared" si="442"/>
        <v>Anteil KWK, erstmals 2012</v>
      </c>
      <c r="AX970" s="215" t="str">
        <f t="shared" si="443"/>
        <v/>
      </c>
      <c r="AY970" t="str">
        <f t="shared" si="444"/>
        <v/>
      </c>
      <c r="AZ970" t="str">
        <f t="shared" si="445"/>
        <v>x</v>
      </c>
    </row>
    <row r="971" spans="1:52" s="178" customFormat="1" x14ac:dyDescent="0.25">
      <c r="A971" s="618" t="s">
        <v>4510</v>
      </c>
      <c r="B971" s="31" t="s">
        <v>5548</v>
      </c>
      <c r="C971" s="31" t="s">
        <v>1288</v>
      </c>
      <c r="D971" s="31" t="s">
        <v>6907</v>
      </c>
      <c r="E971" s="31" t="s">
        <v>4810</v>
      </c>
      <c r="F971" s="460">
        <f t="shared" si="452"/>
        <v>13.67</v>
      </c>
      <c r="G971" s="536">
        <v>13.67</v>
      </c>
      <c r="H971" s="494">
        <f t="shared" si="453"/>
        <v>10.94</v>
      </c>
      <c r="I971" s="713"/>
      <c r="J971" s="669" t="s">
        <v>5805</v>
      </c>
      <c r="K971" s="15"/>
      <c r="L971"/>
      <c r="M971" s="49">
        <f t="shared" si="454"/>
        <v>13.67</v>
      </c>
      <c r="N971" s="41">
        <v>11.67</v>
      </c>
      <c r="O971" s="54"/>
      <c r="P971" s="15"/>
      <c r="Q971"/>
      <c r="R971"/>
      <c r="S971" t="s">
        <v>4180</v>
      </c>
      <c r="T971" s="178" t="s">
        <v>4180</v>
      </c>
      <c r="U971" s="55"/>
      <c r="V971"/>
      <c r="W971" s="65"/>
      <c r="X971" s="65"/>
      <c r="Y971"/>
      <c r="Z971"/>
      <c r="AA971" s="65"/>
      <c r="AB971"/>
      <c r="AC971"/>
      <c r="AD971" s="91"/>
      <c r="AE971" s="124" t="s">
        <v>1017</v>
      </c>
      <c r="AF971" s="65"/>
      <c r="AG971" s="91"/>
      <c r="AH971" s="212" t="str">
        <f t="shared" ref="AH971:AH976" si="457">IF(ISERROR(SEARCH("K erstmals 201",D971)),"",RIGHT(D971,4))</f>
        <v/>
      </c>
      <c r="AI971" s="214" t="str">
        <f t="shared" si="446"/>
        <v/>
      </c>
      <c r="AJ971" s="214" t="str">
        <f t="shared" si="447"/>
        <v/>
      </c>
      <c r="AK971" s="214" t="str">
        <f t="shared" si="448"/>
        <v/>
      </c>
      <c r="AL971" s="214" t="str">
        <f t="shared" si="449"/>
        <v/>
      </c>
      <c r="AM971" s="214" t="str">
        <f t="shared" si="450"/>
        <v/>
      </c>
      <c r="AN971" s="213" t="str">
        <f t="shared" si="433"/>
        <v/>
      </c>
      <c r="AO971" s="213" t="str">
        <f t="shared" si="434"/>
        <v/>
      </c>
      <c r="AP971" s="213" t="str">
        <f t="shared" si="435"/>
        <v/>
      </c>
      <c r="AQ971" s="215" t="str">
        <f t="shared" si="436"/>
        <v/>
      </c>
      <c r="AR971" s="216" t="str">
        <f t="shared" si="437"/>
        <v>BiK81b------05</v>
      </c>
      <c r="AS971" s="215" t="str">
        <f t="shared" si="438"/>
        <v/>
      </c>
      <c r="AT971">
        <f t="shared" si="439"/>
        <v>14</v>
      </c>
      <c r="AU971" s="216" t="str">
        <f t="shared" si="440"/>
        <v>0-0,15 MW, Bonusregel b</v>
      </c>
      <c r="AV971" s="215" t="str">
        <f t="shared" si="441"/>
        <v/>
      </c>
      <c r="AW971" s="216" t="str">
        <f t="shared" si="442"/>
        <v>Anteil Nicht-KWK</v>
      </c>
      <c r="AX971" s="215" t="str">
        <f t="shared" si="443"/>
        <v/>
      </c>
      <c r="AY971" t="str">
        <f t="shared" si="444"/>
        <v/>
      </c>
      <c r="AZ971" t="str">
        <f t="shared" si="445"/>
        <v/>
      </c>
    </row>
    <row r="972" spans="1:52" s="178" customFormat="1" x14ac:dyDescent="0.25">
      <c r="A972" s="618" t="s">
        <v>4511</v>
      </c>
      <c r="B972" s="31" t="s">
        <v>5548</v>
      </c>
      <c r="C972" s="31" t="s">
        <v>1288</v>
      </c>
      <c r="D972" s="33" t="s">
        <v>6908</v>
      </c>
      <c r="E972" s="31" t="s">
        <v>4812</v>
      </c>
      <c r="F972" s="460">
        <f t="shared" si="452"/>
        <v>15.67</v>
      </c>
      <c r="G972" s="536">
        <v>15.67</v>
      </c>
      <c r="H972" s="494">
        <f t="shared" si="453"/>
        <v>12.54</v>
      </c>
      <c r="I972" s="713"/>
      <c r="J972" s="669" t="s">
        <v>5805</v>
      </c>
      <c r="K972" s="15"/>
      <c r="L972"/>
      <c r="M972" s="49">
        <f t="shared" si="454"/>
        <v>15.67</v>
      </c>
      <c r="N972" s="41">
        <v>11.67</v>
      </c>
      <c r="O972" s="54" t="s">
        <v>1017</v>
      </c>
      <c r="P972" s="15"/>
      <c r="Q972"/>
      <c r="R972"/>
      <c r="S972" t="s">
        <v>4180</v>
      </c>
      <c r="T972" s="178" t="s">
        <v>4180</v>
      </c>
      <c r="U972" s="55"/>
      <c r="V972"/>
      <c r="W972" s="65"/>
      <c r="X972" s="65"/>
      <c r="Y972"/>
      <c r="Z972"/>
      <c r="AA972" s="65"/>
      <c r="AB972"/>
      <c r="AC972"/>
      <c r="AD972" s="91"/>
      <c r="AE972" s="124" t="s">
        <v>1017</v>
      </c>
      <c r="AF972" s="65"/>
      <c r="AG972" s="91"/>
      <c r="AH972" s="212" t="str">
        <f t="shared" si="457"/>
        <v/>
      </c>
      <c r="AI972" s="214" t="str">
        <f t="shared" si="446"/>
        <v/>
      </c>
      <c r="AJ972" s="214" t="str">
        <f t="shared" si="447"/>
        <v/>
      </c>
      <c r="AK972" s="214" t="str">
        <f t="shared" si="448"/>
        <v/>
      </c>
      <c r="AL972" s="214" t="str">
        <f t="shared" si="449"/>
        <v/>
      </c>
      <c r="AM972" s="214" t="str">
        <f t="shared" si="450"/>
        <v/>
      </c>
      <c r="AN972" s="213" t="str">
        <f t="shared" si="433"/>
        <v/>
      </c>
      <c r="AO972" s="213" t="str">
        <f t="shared" si="434"/>
        <v/>
      </c>
      <c r="AP972" s="213" t="str">
        <f t="shared" si="435"/>
        <v/>
      </c>
      <c r="AQ972" s="215" t="str">
        <f t="shared" si="436"/>
        <v/>
      </c>
      <c r="AR972" s="216" t="str">
        <f t="shared" si="437"/>
        <v>BiK81bKWK---05</v>
      </c>
      <c r="AS972" s="215" t="str">
        <f t="shared" si="438"/>
        <v/>
      </c>
      <c r="AT972">
        <f t="shared" si="439"/>
        <v>14</v>
      </c>
      <c r="AU972" s="216" t="str">
        <f t="shared" si="440"/>
        <v>0-0,15 MW, Bonusregeln b und KWK</v>
      </c>
      <c r="AV972" s="215" t="str">
        <f t="shared" si="441"/>
        <v/>
      </c>
      <c r="AW972" s="216" t="str">
        <f t="shared" si="442"/>
        <v>Anteil KWK</v>
      </c>
      <c r="AX972" s="215" t="str">
        <f t="shared" si="443"/>
        <v/>
      </c>
      <c r="AY972" t="str">
        <f t="shared" si="444"/>
        <v/>
      </c>
      <c r="AZ972" t="str">
        <f t="shared" si="445"/>
        <v/>
      </c>
    </row>
    <row r="973" spans="1:52" s="178" customFormat="1" x14ac:dyDescent="0.25">
      <c r="A973" s="610" t="s">
        <v>4344</v>
      </c>
      <c r="B973" s="17" t="s">
        <v>5548</v>
      </c>
      <c r="C973" s="30" t="s">
        <v>1288</v>
      </c>
      <c r="D973" s="30" t="s">
        <v>6909</v>
      </c>
      <c r="E973" s="30" t="s">
        <v>4331</v>
      </c>
      <c r="F973" s="454">
        <f t="shared" si="452"/>
        <v>16.670000000000002</v>
      </c>
      <c r="G973" s="529">
        <v>16.670000000000002</v>
      </c>
      <c r="H973" s="487">
        <f t="shared" si="453"/>
        <v>13.34</v>
      </c>
      <c r="I973" s="706"/>
      <c r="J973" s="669" t="s">
        <v>5805</v>
      </c>
      <c r="K973" s="15"/>
      <c r="L973"/>
      <c r="M973" s="49">
        <f t="shared" si="454"/>
        <v>16.670000000000002</v>
      </c>
      <c r="N973" s="41">
        <v>11.67</v>
      </c>
      <c r="O973" s="54"/>
      <c r="P973" t="s">
        <v>1017</v>
      </c>
      <c r="Q973"/>
      <c r="R973"/>
      <c r="S973" t="s">
        <v>4180</v>
      </c>
      <c r="T973" s="178" t="s">
        <v>4180</v>
      </c>
      <c r="U973" s="55"/>
      <c r="V973"/>
      <c r="W973" s="65"/>
      <c r="X973" s="65"/>
      <c r="Y973"/>
      <c r="Z973"/>
      <c r="AA973" s="65"/>
      <c r="AB973"/>
      <c r="AC973"/>
      <c r="AD973" s="91"/>
      <c r="AE973" s="124" t="s">
        <v>1017</v>
      </c>
      <c r="AF973" s="65"/>
      <c r="AG973" s="91"/>
      <c r="AH973" s="212" t="str">
        <f t="shared" si="457"/>
        <v/>
      </c>
      <c r="AI973" s="214" t="str">
        <f t="shared" si="446"/>
        <v/>
      </c>
      <c r="AJ973" s="214" t="str">
        <f t="shared" si="447"/>
        <v/>
      </c>
      <c r="AK973" s="214" t="str">
        <f t="shared" si="448"/>
        <v/>
      </c>
      <c r="AL973" s="214" t="str">
        <f t="shared" si="449"/>
        <v/>
      </c>
      <c r="AM973" s="214" t="str">
        <f t="shared" si="450"/>
        <v/>
      </c>
      <c r="AN973" s="213" t="str">
        <f t="shared" si="433"/>
        <v/>
      </c>
      <c r="AO973" s="213" t="str">
        <f t="shared" si="434"/>
        <v/>
      </c>
      <c r="AP973" s="213" t="str">
        <f t="shared" si="435"/>
        <v/>
      </c>
      <c r="AQ973" s="215" t="str">
        <f t="shared" si="436"/>
        <v/>
      </c>
      <c r="AR973" s="216" t="str">
        <f t="shared" si="437"/>
        <v>BiK81bKA3---05</v>
      </c>
      <c r="AS973" s="215" t="str">
        <f t="shared" si="438"/>
        <v/>
      </c>
      <c r="AT973">
        <f t="shared" si="439"/>
        <v>14</v>
      </c>
      <c r="AU973" s="216" t="str">
        <f t="shared" si="440"/>
        <v>0-0,15 MW, Bonusregeln b und K wenn Anlage 3 erfüllt</v>
      </c>
      <c r="AV973" s="215" t="str">
        <f t="shared" si="441"/>
        <v/>
      </c>
      <c r="AW973" s="216" t="str">
        <f t="shared" si="442"/>
        <v>Anteil KWK gemäß Anlage 3</v>
      </c>
      <c r="AX973" s="215" t="str">
        <f t="shared" si="443"/>
        <v/>
      </c>
      <c r="AY973" t="str">
        <f t="shared" si="444"/>
        <v/>
      </c>
      <c r="AZ973" t="str">
        <f t="shared" si="445"/>
        <v/>
      </c>
    </row>
    <row r="974" spans="1:52" s="178" customFormat="1" x14ac:dyDescent="0.25">
      <c r="A974" s="610" t="s">
        <v>2346</v>
      </c>
      <c r="B974" s="17" t="s">
        <v>5548</v>
      </c>
      <c r="C974" s="17" t="s">
        <v>1288</v>
      </c>
      <c r="D974" s="30" t="s">
        <v>6910</v>
      </c>
      <c r="E974" s="17" t="s">
        <v>674</v>
      </c>
      <c r="F974" s="454">
        <f t="shared" si="452"/>
        <v>16.670000000000002</v>
      </c>
      <c r="G974" s="529">
        <v>16.670000000000002</v>
      </c>
      <c r="H974" s="487">
        <f t="shared" si="453"/>
        <v>13.34</v>
      </c>
      <c r="I974" s="706"/>
      <c r="J974" s="669" t="s">
        <v>5805</v>
      </c>
      <c r="K974" s="15"/>
      <c r="L974"/>
      <c r="M974" s="49">
        <f t="shared" si="454"/>
        <v>16.670000000000002</v>
      </c>
      <c r="N974" s="41">
        <v>11.67</v>
      </c>
      <c r="O974" s="54"/>
      <c r="P974" s="15"/>
      <c r="Q974" t="s">
        <v>1017</v>
      </c>
      <c r="R974"/>
      <c r="S974" t="s">
        <v>4180</v>
      </c>
      <c r="T974" s="178" t="s">
        <v>4180</v>
      </c>
      <c r="U974" s="55"/>
      <c r="V974"/>
      <c r="W974" s="65"/>
      <c r="X974" s="65"/>
      <c r="Y974"/>
      <c r="Z974"/>
      <c r="AA974" s="65"/>
      <c r="AB974"/>
      <c r="AC974"/>
      <c r="AD974" s="91"/>
      <c r="AE974" s="124" t="s">
        <v>1017</v>
      </c>
      <c r="AF974" s="65"/>
      <c r="AG974" s="91"/>
      <c r="AH974" s="212" t="str">
        <f t="shared" si="457"/>
        <v/>
      </c>
      <c r="AI974" s="214" t="str">
        <f t="shared" si="446"/>
        <v/>
      </c>
      <c r="AJ974" s="214" t="str">
        <f t="shared" si="447"/>
        <v/>
      </c>
      <c r="AK974" s="214" t="str">
        <f t="shared" si="448"/>
        <v/>
      </c>
      <c r="AL974" s="214" t="str">
        <f t="shared" si="449"/>
        <v/>
      </c>
      <c r="AM974" s="214" t="str">
        <f t="shared" si="450"/>
        <v/>
      </c>
      <c r="AN974" s="213" t="str">
        <f t="shared" si="433"/>
        <v/>
      </c>
      <c r="AO974" s="213" t="str">
        <f t="shared" si="434"/>
        <v/>
      </c>
      <c r="AP974" s="213" t="str">
        <f t="shared" si="435"/>
        <v/>
      </c>
      <c r="AQ974" s="215" t="str">
        <f t="shared" si="436"/>
        <v/>
      </c>
      <c r="AR974" s="216" t="str">
        <f t="shared" si="437"/>
        <v>BiK81bK09---05</v>
      </c>
      <c r="AS974" s="215" t="str">
        <f t="shared" si="438"/>
        <v/>
      </c>
      <c r="AT974">
        <f t="shared" si="439"/>
        <v>14</v>
      </c>
      <c r="AU974" s="216" t="str">
        <f t="shared" si="440"/>
        <v>0-0,15 MW, Bonusregeln b und K erstmals 2009</v>
      </c>
      <c r="AV974" s="215" t="str">
        <f t="shared" si="441"/>
        <v/>
      </c>
      <c r="AW974" s="216" t="str">
        <f t="shared" si="442"/>
        <v>Anteil KWK, erstmals 2009</v>
      </c>
      <c r="AX974" s="215" t="str">
        <f t="shared" si="443"/>
        <v/>
      </c>
      <c r="AY974" t="str">
        <f t="shared" si="444"/>
        <v/>
      </c>
      <c r="AZ974" t="str">
        <f t="shared" si="445"/>
        <v/>
      </c>
    </row>
    <row r="975" spans="1:52" s="178" customFormat="1" x14ac:dyDescent="0.25">
      <c r="A975" s="610" t="s">
        <v>3580</v>
      </c>
      <c r="B975" s="17" t="s">
        <v>5548</v>
      </c>
      <c r="C975" s="17" t="s">
        <v>1288</v>
      </c>
      <c r="D975" s="30" t="s">
        <v>6911</v>
      </c>
      <c r="E975" s="17" t="s">
        <v>3567</v>
      </c>
      <c r="F975" s="454">
        <f t="shared" si="452"/>
        <v>16.64</v>
      </c>
      <c r="G975" s="529">
        <v>16.64</v>
      </c>
      <c r="H975" s="487">
        <f t="shared" si="453"/>
        <v>13.31</v>
      </c>
      <c r="I975" s="706"/>
      <c r="J975" s="669" t="s">
        <v>5805</v>
      </c>
      <c r="K975" s="15"/>
      <c r="L975"/>
      <c r="M975" s="49">
        <f t="shared" si="454"/>
        <v>16.64</v>
      </c>
      <c r="N975" s="41">
        <v>11.67</v>
      </c>
      <c r="O975" s="54"/>
      <c r="P975" s="15"/>
      <c r="Q975"/>
      <c r="R975" t="s">
        <v>1017</v>
      </c>
      <c r="S975" t="s">
        <v>4180</v>
      </c>
      <c r="T975" s="178" t="s">
        <v>4180</v>
      </c>
      <c r="U975" s="55"/>
      <c r="V975"/>
      <c r="W975" s="65"/>
      <c r="X975" s="65"/>
      <c r="Y975"/>
      <c r="Z975"/>
      <c r="AA975" s="65"/>
      <c r="AB975"/>
      <c r="AC975"/>
      <c r="AD975" s="91"/>
      <c r="AE975" s="124" t="s">
        <v>1017</v>
      </c>
      <c r="AF975" s="65"/>
      <c r="AG975" s="91"/>
      <c r="AH975" s="212" t="str">
        <f t="shared" si="457"/>
        <v>2010</v>
      </c>
      <c r="AI975" s="214" t="str">
        <f t="shared" si="446"/>
        <v/>
      </c>
      <c r="AJ975" s="214" t="str">
        <f t="shared" si="447"/>
        <v/>
      </c>
      <c r="AK975" s="214" t="str">
        <f t="shared" si="448"/>
        <v/>
      </c>
      <c r="AL975" s="214" t="str">
        <f t="shared" si="449"/>
        <v/>
      </c>
      <c r="AM975" s="214" t="str">
        <f t="shared" si="450"/>
        <v/>
      </c>
      <c r="AN975" s="213" t="str">
        <f t="shared" si="433"/>
        <v>2010</v>
      </c>
      <c r="AO975" s="213" t="str">
        <f t="shared" si="434"/>
        <v>2010</v>
      </c>
      <c r="AP975" s="213" t="str">
        <f t="shared" si="435"/>
        <v>2010</v>
      </c>
      <c r="AQ975" s="215" t="str">
        <f t="shared" si="436"/>
        <v/>
      </c>
      <c r="AR975" s="216" t="str">
        <f t="shared" si="437"/>
        <v>BiK81bK10---05</v>
      </c>
      <c r="AS975" s="215" t="str">
        <f t="shared" si="438"/>
        <v/>
      </c>
      <c r="AT975">
        <f t="shared" si="439"/>
        <v>14</v>
      </c>
      <c r="AU975" s="216" t="str">
        <f t="shared" si="440"/>
        <v>0-0,15 MW, Bonusregeln b und K erstmals 2010</v>
      </c>
      <c r="AV975" s="215" t="str">
        <f t="shared" si="441"/>
        <v/>
      </c>
      <c r="AW975" s="216" t="str">
        <f t="shared" si="442"/>
        <v>Anteil KWK, erstmals 2010</v>
      </c>
      <c r="AX975" s="215" t="str">
        <f t="shared" si="443"/>
        <v/>
      </c>
      <c r="AY975" t="str">
        <f t="shared" si="444"/>
        <v/>
      </c>
      <c r="AZ975" t="str">
        <f t="shared" si="445"/>
        <v/>
      </c>
    </row>
    <row r="976" spans="1:52" s="178" customFormat="1" x14ac:dyDescent="0.25">
      <c r="A976" s="610" t="s">
        <v>5311</v>
      </c>
      <c r="B976" s="17" t="s">
        <v>5548</v>
      </c>
      <c r="C976" s="17" t="s">
        <v>1288</v>
      </c>
      <c r="D976" s="30" t="s">
        <v>6912</v>
      </c>
      <c r="E976" s="17" t="s">
        <v>3055</v>
      </c>
      <c r="F976" s="454">
        <f t="shared" si="452"/>
        <v>16.61</v>
      </c>
      <c r="G976" s="529">
        <v>16.61</v>
      </c>
      <c r="H976" s="487">
        <f t="shared" si="453"/>
        <v>13.29</v>
      </c>
      <c r="I976" s="706"/>
      <c r="J976" s="669" t="s">
        <v>5805</v>
      </c>
      <c r="K976" s="15"/>
      <c r="L976"/>
      <c r="M976" s="49">
        <f t="shared" si="454"/>
        <v>16.61</v>
      </c>
      <c r="N976" s="41">
        <v>11.67</v>
      </c>
      <c r="O976" s="54"/>
      <c r="P976" s="15"/>
      <c r="Q976"/>
      <c r="R976"/>
      <c r="S976" t="s">
        <v>1017</v>
      </c>
      <c r="T976" s="178" t="s">
        <v>4180</v>
      </c>
      <c r="U976" s="55"/>
      <c r="V976"/>
      <c r="W976" s="65"/>
      <c r="X976" s="65"/>
      <c r="Y976"/>
      <c r="Z976"/>
      <c r="AA976" s="65"/>
      <c r="AB976"/>
      <c r="AC976"/>
      <c r="AD976" s="91"/>
      <c r="AE976" s="124" t="s">
        <v>1017</v>
      </c>
      <c r="AF976" s="65"/>
      <c r="AG976" s="91"/>
      <c r="AH976" s="212" t="str">
        <f t="shared" si="457"/>
        <v>2011</v>
      </c>
      <c r="AI976" s="214" t="str">
        <f t="shared" si="446"/>
        <v/>
      </c>
      <c r="AJ976" s="214" t="str">
        <f t="shared" si="447"/>
        <v/>
      </c>
      <c r="AK976" s="214" t="str">
        <f t="shared" si="448"/>
        <v/>
      </c>
      <c r="AL976" s="214" t="str">
        <f t="shared" si="449"/>
        <v/>
      </c>
      <c r="AM976" s="214" t="str">
        <f t="shared" si="450"/>
        <v/>
      </c>
      <c r="AN976" s="213" t="str">
        <f t="shared" si="433"/>
        <v>2011</v>
      </c>
      <c r="AO976" s="213" t="str">
        <f t="shared" si="434"/>
        <v>2011</v>
      </c>
      <c r="AP976" s="213" t="str">
        <f t="shared" si="435"/>
        <v>2011</v>
      </c>
      <c r="AQ976" s="215" t="str">
        <f t="shared" si="436"/>
        <v/>
      </c>
      <c r="AR976" s="216" t="str">
        <f t="shared" si="437"/>
        <v>BiK81bK11---05</v>
      </c>
      <c r="AS976" s="215" t="str">
        <f t="shared" si="438"/>
        <v/>
      </c>
      <c r="AT976">
        <f t="shared" si="439"/>
        <v>14</v>
      </c>
      <c r="AU976" s="216" t="str">
        <f t="shared" si="440"/>
        <v>0-0,15 MW, Bonusregeln b und K erstmals 2011</v>
      </c>
      <c r="AV976" s="215" t="str">
        <f t="shared" si="441"/>
        <v/>
      </c>
      <c r="AW976" s="216" t="str">
        <f t="shared" si="442"/>
        <v>Anteil KWK, erstmals 2011</v>
      </c>
      <c r="AX976" s="215" t="str">
        <f t="shared" si="443"/>
        <v/>
      </c>
      <c r="AY976" t="str">
        <f t="shared" si="444"/>
        <v>x</v>
      </c>
      <c r="AZ976" t="str">
        <f t="shared" si="445"/>
        <v/>
      </c>
    </row>
    <row r="977" spans="1:52" s="178" customFormat="1" x14ac:dyDescent="0.25">
      <c r="A977" s="625" t="s">
        <v>1561</v>
      </c>
      <c r="B977" s="221" t="s">
        <v>5548</v>
      </c>
      <c r="C977" s="221" t="s">
        <v>1288</v>
      </c>
      <c r="D977" s="219" t="s">
        <v>6913</v>
      </c>
      <c r="E977" s="221" t="s">
        <v>1980</v>
      </c>
      <c r="F977" s="455">
        <f t="shared" si="452"/>
        <v>16.579999999999998</v>
      </c>
      <c r="G977" s="530">
        <v>16.579999999999998</v>
      </c>
      <c r="H977" s="488">
        <f t="shared" si="453"/>
        <v>13.26</v>
      </c>
      <c r="I977" s="707"/>
      <c r="J977" s="669" t="s">
        <v>5805</v>
      </c>
      <c r="K977" s="15"/>
      <c r="L977"/>
      <c r="M977" s="49">
        <f t="shared" si="454"/>
        <v>16.579999999999998</v>
      </c>
      <c r="N977" s="41">
        <v>11.67</v>
      </c>
      <c r="O977" s="54"/>
      <c r="P977" s="15"/>
      <c r="Q977"/>
      <c r="R977"/>
      <c r="S977" t="s">
        <v>4180</v>
      </c>
      <c r="T977" s="178" t="s">
        <v>1017</v>
      </c>
      <c r="U977" s="55"/>
      <c r="V977"/>
      <c r="W977" s="65"/>
      <c r="X977" s="65"/>
      <c r="Y977"/>
      <c r="Z977"/>
      <c r="AA977" s="65"/>
      <c r="AB977"/>
      <c r="AC977"/>
      <c r="AD977" s="91"/>
      <c r="AE977" s="124" t="s">
        <v>1017</v>
      </c>
      <c r="AF977" s="65"/>
      <c r="AG977" s="91"/>
      <c r="AH977" s="217" t="s">
        <v>4179</v>
      </c>
      <c r="AI977" s="214" t="str">
        <f t="shared" si="446"/>
        <v/>
      </c>
      <c r="AJ977" s="214" t="str">
        <f t="shared" si="447"/>
        <v/>
      </c>
      <c r="AK977" s="214" t="str">
        <f t="shared" si="448"/>
        <v/>
      </c>
      <c r="AL977" s="214" t="str">
        <f t="shared" si="449"/>
        <v/>
      </c>
      <c r="AM977" s="214" t="str">
        <f t="shared" si="450"/>
        <v/>
      </c>
      <c r="AN977" s="213" t="str">
        <f t="shared" si="433"/>
        <v>2012</v>
      </c>
      <c r="AO977" s="213" t="str">
        <f t="shared" si="434"/>
        <v>2012</v>
      </c>
      <c r="AP977" s="213" t="str">
        <f t="shared" si="435"/>
        <v>2012</v>
      </c>
      <c r="AQ977" s="215" t="str">
        <f t="shared" si="436"/>
        <v/>
      </c>
      <c r="AR977" s="216" t="str">
        <f t="shared" si="437"/>
        <v>BiK81bK12---05</v>
      </c>
      <c r="AS977" s="215" t="str">
        <f t="shared" si="438"/>
        <v/>
      </c>
      <c r="AT977">
        <f t="shared" si="439"/>
        <v>14</v>
      </c>
      <c r="AU977" s="216" t="str">
        <f t="shared" si="440"/>
        <v>0-0,15 MW, Bonusregeln b und K erstmals 2012</v>
      </c>
      <c r="AV977" s="215" t="str">
        <f t="shared" si="441"/>
        <v/>
      </c>
      <c r="AW977" s="216" t="str">
        <f t="shared" si="442"/>
        <v>Anteil KWK, erstmals 2012</v>
      </c>
      <c r="AX977" s="215" t="str">
        <f t="shared" si="443"/>
        <v/>
      </c>
      <c r="AY977" t="str">
        <f t="shared" si="444"/>
        <v/>
      </c>
      <c r="AZ977" t="str">
        <f t="shared" si="445"/>
        <v>x</v>
      </c>
    </row>
    <row r="978" spans="1:52" s="178" customFormat="1" x14ac:dyDescent="0.25">
      <c r="A978" s="610" t="s">
        <v>1317</v>
      </c>
      <c r="B978" s="17" t="s">
        <v>5548</v>
      </c>
      <c r="C978" s="17" t="s">
        <v>1288</v>
      </c>
      <c r="D978" s="30" t="s">
        <v>6914</v>
      </c>
      <c r="E978" s="17" t="s">
        <v>4810</v>
      </c>
      <c r="F978" s="454">
        <f t="shared" si="452"/>
        <v>14.67</v>
      </c>
      <c r="G978" s="529">
        <v>14.67</v>
      </c>
      <c r="H978" s="487">
        <f t="shared" si="453"/>
        <v>11.74</v>
      </c>
      <c r="I978" s="706"/>
      <c r="J978" s="669" t="s">
        <v>5805</v>
      </c>
      <c r="K978" s="15"/>
      <c r="L978"/>
      <c r="M978" s="49">
        <f t="shared" si="454"/>
        <v>14.67</v>
      </c>
      <c r="N978" s="41">
        <v>11.67</v>
      </c>
      <c r="O978" s="54"/>
      <c r="P978" s="15"/>
      <c r="Q978"/>
      <c r="R978"/>
      <c r="S978" t="s">
        <v>4180</v>
      </c>
      <c r="T978" s="178" t="s">
        <v>4180</v>
      </c>
      <c r="U978" s="55" t="s">
        <v>1017</v>
      </c>
      <c r="V978"/>
      <c r="W978" s="65"/>
      <c r="X978" s="65"/>
      <c r="Y978"/>
      <c r="Z978"/>
      <c r="AA978" s="65"/>
      <c r="AB978"/>
      <c r="AC978"/>
      <c r="AD978" s="91"/>
      <c r="AE978" s="124" t="s">
        <v>1017</v>
      </c>
      <c r="AF978" s="65"/>
      <c r="AG978" s="91"/>
      <c r="AH978" s="212" t="str">
        <f t="shared" ref="AH978:AH983" si="458">IF(ISERROR(SEARCH("K erstmals 201",D978)),"",RIGHT(D978,4))</f>
        <v/>
      </c>
      <c r="AI978" s="214" t="str">
        <f t="shared" si="446"/>
        <v/>
      </c>
      <c r="AJ978" s="214" t="str">
        <f t="shared" si="447"/>
        <v/>
      </c>
      <c r="AK978" s="214" t="str">
        <f t="shared" si="448"/>
        <v/>
      </c>
      <c r="AL978" s="214" t="str">
        <f t="shared" si="449"/>
        <v/>
      </c>
      <c r="AM978" s="214" t="str">
        <f t="shared" si="450"/>
        <v/>
      </c>
      <c r="AN978" s="213" t="str">
        <f t="shared" si="433"/>
        <v/>
      </c>
      <c r="AO978" s="213" t="str">
        <f t="shared" si="434"/>
        <v/>
      </c>
      <c r="AP978" s="213" t="str">
        <f t="shared" si="435"/>
        <v/>
      </c>
      <c r="AQ978" s="215" t="str">
        <f t="shared" si="436"/>
        <v/>
      </c>
      <c r="AR978" s="216" t="str">
        <f t="shared" si="437"/>
        <v>BiK81by-----05</v>
      </c>
      <c r="AS978" s="215" t="str">
        <f t="shared" si="438"/>
        <v/>
      </c>
      <c r="AT978">
        <f t="shared" si="439"/>
        <v>14</v>
      </c>
      <c r="AU978" s="216" t="str">
        <f t="shared" si="440"/>
        <v>0-0,15 MW, Bonusregeln b, y</v>
      </c>
      <c r="AV978" s="215" t="str">
        <f t="shared" si="441"/>
        <v/>
      </c>
      <c r="AW978" s="216" t="str">
        <f t="shared" si="442"/>
        <v>Anteil Nicht-KWK</v>
      </c>
      <c r="AX978" s="215" t="str">
        <f t="shared" si="443"/>
        <v/>
      </c>
      <c r="AY978" t="str">
        <f t="shared" si="444"/>
        <v/>
      </c>
      <c r="AZ978" t="str">
        <f t="shared" si="445"/>
        <v/>
      </c>
    </row>
    <row r="979" spans="1:52" s="178" customFormat="1" x14ac:dyDescent="0.25">
      <c r="A979" s="610" t="s">
        <v>1318</v>
      </c>
      <c r="B979" s="17" t="s">
        <v>5548</v>
      </c>
      <c r="C979" s="17" t="s">
        <v>1288</v>
      </c>
      <c r="D979" s="30" t="s">
        <v>6915</v>
      </c>
      <c r="E979" s="17" t="s">
        <v>4812</v>
      </c>
      <c r="F979" s="454">
        <f t="shared" si="452"/>
        <v>16.670000000000002</v>
      </c>
      <c r="G979" s="529">
        <v>16.670000000000002</v>
      </c>
      <c r="H979" s="487">
        <f t="shared" si="453"/>
        <v>13.34</v>
      </c>
      <c r="I979" s="706"/>
      <c r="J979" s="669" t="s">
        <v>5805</v>
      </c>
      <c r="K979" s="15"/>
      <c r="L979"/>
      <c r="M979" s="49">
        <f t="shared" si="454"/>
        <v>16.670000000000002</v>
      </c>
      <c r="N979" s="41">
        <v>11.67</v>
      </c>
      <c r="O979" s="54" t="s">
        <v>1017</v>
      </c>
      <c r="P979" s="15"/>
      <c r="Q979"/>
      <c r="R979"/>
      <c r="S979" t="s">
        <v>4180</v>
      </c>
      <c r="T979" s="178" t="s">
        <v>4180</v>
      </c>
      <c r="U979" s="55" t="s">
        <v>1017</v>
      </c>
      <c r="V979"/>
      <c r="W979" s="65"/>
      <c r="X979" s="65"/>
      <c r="Y979"/>
      <c r="Z979"/>
      <c r="AA979" s="65"/>
      <c r="AB979"/>
      <c r="AC979"/>
      <c r="AD979" s="91"/>
      <c r="AE979" s="124" t="s">
        <v>1017</v>
      </c>
      <c r="AF979" s="65"/>
      <c r="AG979" s="91"/>
      <c r="AH979" s="212" t="str">
        <f t="shared" si="458"/>
        <v/>
      </c>
      <c r="AI979" s="214" t="str">
        <f t="shared" si="446"/>
        <v/>
      </c>
      <c r="AJ979" s="214" t="str">
        <f t="shared" si="447"/>
        <v/>
      </c>
      <c r="AK979" s="214" t="str">
        <f t="shared" si="448"/>
        <v/>
      </c>
      <c r="AL979" s="214" t="str">
        <f t="shared" si="449"/>
        <v/>
      </c>
      <c r="AM979" s="214" t="str">
        <f t="shared" si="450"/>
        <v/>
      </c>
      <c r="AN979" s="213" t="str">
        <f t="shared" si="433"/>
        <v/>
      </c>
      <c r="AO979" s="213" t="str">
        <f t="shared" si="434"/>
        <v/>
      </c>
      <c r="AP979" s="213" t="str">
        <f t="shared" si="435"/>
        <v/>
      </c>
      <c r="AQ979" s="215" t="str">
        <f t="shared" si="436"/>
        <v/>
      </c>
      <c r="AR979" s="216" t="str">
        <f t="shared" si="437"/>
        <v>BiK81bKWKy--05</v>
      </c>
      <c r="AS979" s="215" t="str">
        <f t="shared" si="438"/>
        <v/>
      </c>
      <c r="AT979">
        <f t="shared" si="439"/>
        <v>14</v>
      </c>
      <c r="AU979" s="216" t="str">
        <f t="shared" si="440"/>
        <v>0-0,15 MW, Bonusregeln b, y und KWK</v>
      </c>
      <c r="AV979" s="215" t="str">
        <f t="shared" si="441"/>
        <v/>
      </c>
      <c r="AW979" s="216" t="str">
        <f t="shared" si="442"/>
        <v>Anteil KWK</v>
      </c>
      <c r="AX979" s="215" t="str">
        <f t="shared" si="443"/>
        <v/>
      </c>
      <c r="AY979" t="str">
        <f t="shared" si="444"/>
        <v/>
      </c>
      <c r="AZ979" t="str">
        <f t="shared" si="445"/>
        <v/>
      </c>
    </row>
    <row r="980" spans="1:52" s="178" customFormat="1" x14ac:dyDescent="0.25">
      <c r="A980" s="610" t="s">
        <v>1319</v>
      </c>
      <c r="B980" s="17" t="s">
        <v>5548</v>
      </c>
      <c r="C980" s="30" t="s">
        <v>1288</v>
      </c>
      <c r="D980" s="30" t="s">
        <v>6916</v>
      </c>
      <c r="E980" s="30" t="s">
        <v>4331</v>
      </c>
      <c r="F980" s="454">
        <f t="shared" si="452"/>
        <v>17.670000000000002</v>
      </c>
      <c r="G980" s="529">
        <v>17.670000000000002</v>
      </c>
      <c r="H980" s="487">
        <f t="shared" si="453"/>
        <v>14.14</v>
      </c>
      <c r="I980" s="706"/>
      <c r="J980" s="669" t="s">
        <v>5805</v>
      </c>
      <c r="K980" s="15"/>
      <c r="L980"/>
      <c r="M980" s="49">
        <f t="shared" si="454"/>
        <v>17.670000000000002</v>
      </c>
      <c r="N980" s="41">
        <v>11.67</v>
      </c>
      <c r="O980" s="54"/>
      <c r="P980" t="s">
        <v>1017</v>
      </c>
      <c r="Q980"/>
      <c r="R980"/>
      <c r="S980" t="s">
        <v>4180</v>
      </c>
      <c r="T980" s="178" t="s">
        <v>4180</v>
      </c>
      <c r="U980" s="55" t="s">
        <v>1017</v>
      </c>
      <c r="V980"/>
      <c r="W980" s="65"/>
      <c r="X980" s="65"/>
      <c r="Y980"/>
      <c r="Z980"/>
      <c r="AA980" s="65"/>
      <c r="AB980"/>
      <c r="AC980"/>
      <c r="AD980" s="91"/>
      <c r="AE980" s="124" t="s">
        <v>1017</v>
      </c>
      <c r="AF980" s="65"/>
      <c r="AG980" s="91"/>
      <c r="AH980" s="212" t="str">
        <f t="shared" si="458"/>
        <v/>
      </c>
      <c r="AI980" s="214" t="str">
        <f t="shared" si="446"/>
        <v/>
      </c>
      <c r="AJ980" s="214" t="str">
        <f t="shared" si="447"/>
        <v/>
      </c>
      <c r="AK980" s="214" t="str">
        <f t="shared" si="448"/>
        <v/>
      </c>
      <c r="AL980" s="214" t="str">
        <f t="shared" si="449"/>
        <v/>
      </c>
      <c r="AM980" s="214" t="str">
        <f t="shared" si="450"/>
        <v/>
      </c>
      <c r="AN980" s="213" t="str">
        <f t="shared" si="433"/>
        <v/>
      </c>
      <c r="AO980" s="213" t="str">
        <f t="shared" si="434"/>
        <v/>
      </c>
      <c r="AP980" s="213" t="str">
        <f t="shared" si="435"/>
        <v/>
      </c>
      <c r="AQ980" s="215" t="str">
        <f t="shared" si="436"/>
        <v/>
      </c>
      <c r="AR980" s="216" t="str">
        <f t="shared" si="437"/>
        <v>BiK81bKA3y--05</v>
      </c>
      <c r="AS980" s="215" t="str">
        <f t="shared" si="438"/>
        <v/>
      </c>
      <c r="AT980">
        <f t="shared" si="439"/>
        <v>14</v>
      </c>
      <c r="AU980" s="216" t="str">
        <f t="shared" si="440"/>
        <v>0-0,15 MW, Bonusregeln b, y und K wenn Anlage 3 erfüllt</v>
      </c>
      <c r="AV980" s="215" t="str">
        <f t="shared" si="441"/>
        <v/>
      </c>
      <c r="AW980" s="216" t="str">
        <f t="shared" si="442"/>
        <v>Anteil KWK gemäß Anlage 3</v>
      </c>
      <c r="AX980" s="215" t="str">
        <f t="shared" si="443"/>
        <v/>
      </c>
      <c r="AY980" t="str">
        <f t="shared" si="444"/>
        <v/>
      </c>
      <c r="AZ980" t="str">
        <f t="shared" si="445"/>
        <v/>
      </c>
    </row>
    <row r="981" spans="1:52" s="178" customFormat="1" x14ac:dyDescent="0.25">
      <c r="A981" s="610" t="s">
        <v>1320</v>
      </c>
      <c r="B981" s="17" t="s">
        <v>5548</v>
      </c>
      <c r="C981" s="17" t="s">
        <v>1288</v>
      </c>
      <c r="D981" s="30" t="s">
        <v>6917</v>
      </c>
      <c r="E981" s="17" t="s">
        <v>674</v>
      </c>
      <c r="F981" s="454">
        <f t="shared" si="452"/>
        <v>17.670000000000002</v>
      </c>
      <c r="G981" s="529">
        <v>17.670000000000002</v>
      </c>
      <c r="H981" s="487">
        <f t="shared" si="453"/>
        <v>14.14</v>
      </c>
      <c r="I981" s="706"/>
      <c r="J981" s="669" t="s">
        <v>5805</v>
      </c>
      <c r="K981" s="15"/>
      <c r="L981"/>
      <c r="M981" s="49">
        <f t="shared" si="454"/>
        <v>17.670000000000002</v>
      </c>
      <c r="N981" s="41">
        <v>11.67</v>
      </c>
      <c r="O981" s="54"/>
      <c r="P981" s="15"/>
      <c r="Q981" t="s">
        <v>1017</v>
      </c>
      <c r="R981"/>
      <c r="S981" t="s">
        <v>4180</v>
      </c>
      <c r="T981" s="178" t="s">
        <v>4180</v>
      </c>
      <c r="U981" s="55" t="s">
        <v>1017</v>
      </c>
      <c r="V981"/>
      <c r="W981" s="65"/>
      <c r="X981" s="65"/>
      <c r="Y981"/>
      <c r="Z981"/>
      <c r="AA981" s="65"/>
      <c r="AB981"/>
      <c r="AC981"/>
      <c r="AD981" s="91"/>
      <c r="AE981" s="124" t="s">
        <v>1017</v>
      </c>
      <c r="AF981" s="65"/>
      <c r="AG981" s="91"/>
      <c r="AH981" s="212" t="str">
        <f t="shared" si="458"/>
        <v/>
      </c>
      <c r="AI981" s="214" t="str">
        <f t="shared" si="446"/>
        <v/>
      </c>
      <c r="AJ981" s="214" t="str">
        <f t="shared" si="447"/>
        <v/>
      </c>
      <c r="AK981" s="214" t="str">
        <f t="shared" si="448"/>
        <v/>
      </c>
      <c r="AL981" s="214" t="str">
        <f t="shared" si="449"/>
        <v/>
      </c>
      <c r="AM981" s="214" t="str">
        <f t="shared" si="450"/>
        <v/>
      </c>
      <c r="AN981" s="213" t="str">
        <f t="shared" si="433"/>
        <v/>
      </c>
      <c r="AO981" s="213" t="str">
        <f t="shared" si="434"/>
        <v/>
      </c>
      <c r="AP981" s="213" t="str">
        <f t="shared" si="435"/>
        <v/>
      </c>
      <c r="AQ981" s="215" t="str">
        <f t="shared" si="436"/>
        <v/>
      </c>
      <c r="AR981" s="216" t="str">
        <f t="shared" si="437"/>
        <v>BiK81bK09y--05</v>
      </c>
      <c r="AS981" s="215" t="str">
        <f t="shared" si="438"/>
        <v/>
      </c>
      <c r="AT981">
        <f t="shared" si="439"/>
        <v>14</v>
      </c>
      <c r="AU981" s="216" t="str">
        <f t="shared" si="440"/>
        <v>0-0,15 MW, Bonusregeln b, y und K erstmals 2009</v>
      </c>
      <c r="AV981" s="215" t="str">
        <f t="shared" si="441"/>
        <v/>
      </c>
      <c r="AW981" s="216" t="str">
        <f t="shared" si="442"/>
        <v>Anteil KWK, erstmals 2009</v>
      </c>
      <c r="AX981" s="215" t="str">
        <f t="shared" si="443"/>
        <v/>
      </c>
      <c r="AY981" t="str">
        <f t="shared" si="444"/>
        <v/>
      </c>
      <c r="AZ981" t="str">
        <f t="shared" si="445"/>
        <v/>
      </c>
    </row>
    <row r="982" spans="1:52" s="178" customFormat="1" x14ac:dyDescent="0.25">
      <c r="A982" s="610" t="s">
        <v>3581</v>
      </c>
      <c r="B982" s="17" t="s">
        <v>5548</v>
      </c>
      <c r="C982" s="17" t="s">
        <v>1288</v>
      </c>
      <c r="D982" s="30" t="s">
        <v>6918</v>
      </c>
      <c r="E982" s="17" t="s">
        <v>3567</v>
      </c>
      <c r="F982" s="454">
        <f t="shared" si="452"/>
        <v>17.64</v>
      </c>
      <c r="G982" s="529">
        <v>17.64</v>
      </c>
      <c r="H982" s="487">
        <f t="shared" si="453"/>
        <v>14.11</v>
      </c>
      <c r="I982" s="706"/>
      <c r="J982" s="669" t="s">
        <v>5805</v>
      </c>
      <c r="K982" s="15"/>
      <c r="L982"/>
      <c r="M982" s="49">
        <f t="shared" si="454"/>
        <v>17.64</v>
      </c>
      <c r="N982" s="41">
        <v>11.67</v>
      </c>
      <c r="O982" s="54"/>
      <c r="P982" s="15"/>
      <c r="Q982"/>
      <c r="R982" t="s">
        <v>1017</v>
      </c>
      <c r="S982" t="s">
        <v>4180</v>
      </c>
      <c r="T982" s="178" t="s">
        <v>4180</v>
      </c>
      <c r="U982" s="55" t="s">
        <v>1017</v>
      </c>
      <c r="V982"/>
      <c r="W982" s="65"/>
      <c r="X982" s="65"/>
      <c r="Y982"/>
      <c r="Z982"/>
      <c r="AA982" s="65"/>
      <c r="AB982"/>
      <c r="AC982"/>
      <c r="AD982" s="91"/>
      <c r="AE982" s="124" t="s">
        <v>1017</v>
      </c>
      <c r="AF982" s="65"/>
      <c r="AG982" s="91"/>
      <c r="AH982" s="212" t="str">
        <f t="shared" si="458"/>
        <v>2010</v>
      </c>
      <c r="AI982" s="214" t="str">
        <f t="shared" si="446"/>
        <v/>
      </c>
      <c r="AJ982" s="214" t="str">
        <f t="shared" si="447"/>
        <v/>
      </c>
      <c r="AK982" s="214" t="str">
        <f t="shared" si="448"/>
        <v/>
      </c>
      <c r="AL982" s="214" t="str">
        <f t="shared" si="449"/>
        <v/>
      </c>
      <c r="AM982" s="214" t="str">
        <f t="shared" si="450"/>
        <v/>
      </c>
      <c r="AN982" s="213" t="str">
        <f t="shared" si="433"/>
        <v>2010</v>
      </c>
      <c r="AO982" s="213" t="str">
        <f t="shared" si="434"/>
        <v>2010</v>
      </c>
      <c r="AP982" s="213" t="str">
        <f t="shared" si="435"/>
        <v>2010</v>
      </c>
      <c r="AQ982" s="215" t="str">
        <f t="shared" si="436"/>
        <v/>
      </c>
      <c r="AR982" s="216" t="str">
        <f t="shared" si="437"/>
        <v>BiK81bK10y--05</v>
      </c>
      <c r="AS982" s="215" t="str">
        <f t="shared" si="438"/>
        <v/>
      </c>
      <c r="AT982">
        <f t="shared" si="439"/>
        <v>14</v>
      </c>
      <c r="AU982" s="216" t="str">
        <f t="shared" si="440"/>
        <v>0-0,15 MW, Bonusregeln b, y und K erstmals 2010</v>
      </c>
      <c r="AV982" s="215" t="str">
        <f t="shared" si="441"/>
        <v/>
      </c>
      <c r="AW982" s="216" t="str">
        <f t="shared" si="442"/>
        <v>Anteil KWK, erstmals 2010</v>
      </c>
      <c r="AX982" s="215" t="str">
        <f t="shared" si="443"/>
        <v/>
      </c>
      <c r="AY982" t="str">
        <f t="shared" si="444"/>
        <v/>
      </c>
      <c r="AZ982" t="str">
        <f t="shared" si="445"/>
        <v/>
      </c>
    </row>
    <row r="983" spans="1:52" s="178" customFormat="1" x14ac:dyDescent="0.25">
      <c r="A983" s="610" t="s">
        <v>5312</v>
      </c>
      <c r="B983" s="17" t="s">
        <v>5548</v>
      </c>
      <c r="C983" s="17" t="s">
        <v>1288</v>
      </c>
      <c r="D983" s="30" t="s">
        <v>6919</v>
      </c>
      <c r="E983" s="17" t="s">
        <v>3055</v>
      </c>
      <c r="F983" s="454">
        <f t="shared" si="452"/>
        <v>17.61</v>
      </c>
      <c r="G983" s="529">
        <v>17.61</v>
      </c>
      <c r="H983" s="487">
        <f t="shared" si="453"/>
        <v>14.09</v>
      </c>
      <c r="I983" s="706"/>
      <c r="J983" s="669" t="s">
        <v>5805</v>
      </c>
      <c r="K983" s="15"/>
      <c r="L983"/>
      <c r="M983" s="49">
        <f t="shared" si="454"/>
        <v>17.61</v>
      </c>
      <c r="N983" s="41">
        <v>11.67</v>
      </c>
      <c r="O983" s="54"/>
      <c r="P983" s="15"/>
      <c r="Q983"/>
      <c r="R983"/>
      <c r="S983" t="s">
        <v>1017</v>
      </c>
      <c r="T983" s="178" t="s">
        <v>4180</v>
      </c>
      <c r="U983" s="55" t="s">
        <v>1017</v>
      </c>
      <c r="V983"/>
      <c r="W983" s="65"/>
      <c r="X983" s="65"/>
      <c r="Y983"/>
      <c r="Z983"/>
      <c r="AA983" s="65"/>
      <c r="AB983"/>
      <c r="AC983"/>
      <c r="AD983" s="91"/>
      <c r="AE983" s="124" t="s">
        <v>1017</v>
      </c>
      <c r="AF983" s="65"/>
      <c r="AG983" s="91"/>
      <c r="AH983" s="212" t="str">
        <f t="shared" si="458"/>
        <v>2011</v>
      </c>
      <c r="AI983" s="214" t="str">
        <f t="shared" si="446"/>
        <v/>
      </c>
      <c r="AJ983" s="214" t="str">
        <f t="shared" si="447"/>
        <v/>
      </c>
      <c r="AK983" s="214" t="str">
        <f t="shared" si="448"/>
        <v/>
      </c>
      <c r="AL983" s="214" t="str">
        <f t="shared" si="449"/>
        <v/>
      </c>
      <c r="AM983" s="214" t="str">
        <f t="shared" si="450"/>
        <v/>
      </c>
      <c r="AN983" s="213" t="str">
        <f t="shared" si="433"/>
        <v>2011</v>
      </c>
      <c r="AO983" s="213" t="str">
        <f t="shared" si="434"/>
        <v>2011</v>
      </c>
      <c r="AP983" s="213" t="str">
        <f t="shared" si="435"/>
        <v>2011</v>
      </c>
      <c r="AQ983" s="215" t="str">
        <f t="shared" si="436"/>
        <v/>
      </c>
      <c r="AR983" s="216" t="str">
        <f t="shared" si="437"/>
        <v>BiK81bK11y--05</v>
      </c>
      <c r="AS983" s="215" t="str">
        <f t="shared" si="438"/>
        <v/>
      </c>
      <c r="AT983">
        <f t="shared" si="439"/>
        <v>14</v>
      </c>
      <c r="AU983" s="216" t="str">
        <f t="shared" si="440"/>
        <v>0-0,15 MW, Bonusregeln b, y und K erstmals 2011</v>
      </c>
      <c r="AV983" s="215" t="str">
        <f t="shared" si="441"/>
        <v/>
      </c>
      <c r="AW983" s="216" t="str">
        <f t="shared" si="442"/>
        <v>Anteil KWK, erstmals 2011</v>
      </c>
      <c r="AX983" s="215" t="str">
        <f t="shared" si="443"/>
        <v/>
      </c>
      <c r="AY983" t="str">
        <f t="shared" si="444"/>
        <v>x</v>
      </c>
      <c r="AZ983" t="str">
        <f t="shared" si="445"/>
        <v/>
      </c>
    </row>
    <row r="984" spans="1:52" s="178" customFormat="1" x14ac:dyDescent="0.25">
      <c r="A984" s="625" t="s">
        <v>1562</v>
      </c>
      <c r="B984" s="221" t="s">
        <v>5548</v>
      </c>
      <c r="C984" s="221" t="s">
        <v>1288</v>
      </c>
      <c r="D984" s="219" t="s">
        <v>6920</v>
      </c>
      <c r="E984" s="221" t="s">
        <v>1980</v>
      </c>
      <c r="F984" s="455">
        <f t="shared" si="452"/>
        <v>17.579999999999998</v>
      </c>
      <c r="G984" s="530">
        <v>17.579999999999998</v>
      </c>
      <c r="H984" s="488">
        <f t="shared" si="453"/>
        <v>14.06</v>
      </c>
      <c r="I984" s="707"/>
      <c r="J984" s="669" t="s">
        <v>5805</v>
      </c>
      <c r="K984" s="15"/>
      <c r="L984"/>
      <c r="M984" s="49">
        <f t="shared" si="454"/>
        <v>17.579999999999998</v>
      </c>
      <c r="N984" s="41">
        <v>11.67</v>
      </c>
      <c r="O984" s="54"/>
      <c r="P984" s="15"/>
      <c r="Q984"/>
      <c r="R984"/>
      <c r="S984" t="s">
        <v>4180</v>
      </c>
      <c r="T984" s="178" t="s">
        <v>1017</v>
      </c>
      <c r="U984" s="55" t="s">
        <v>1017</v>
      </c>
      <c r="V984"/>
      <c r="W984" s="65"/>
      <c r="X984" s="65"/>
      <c r="Y984"/>
      <c r="Z984"/>
      <c r="AA984" s="65"/>
      <c r="AB984"/>
      <c r="AC984"/>
      <c r="AD984" s="91"/>
      <c r="AE984" s="124" t="s">
        <v>1017</v>
      </c>
      <c r="AF984" s="65"/>
      <c r="AG984" s="91"/>
      <c r="AH984" s="217" t="s">
        <v>4179</v>
      </c>
      <c r="AI984" s="214" t="str">
        <f t="shared" si="446"/>
        <v/>
      </c>
      <c r="AJ984" s="214" t="str">
        <f t="shared" si="447"/>
        <v/>
      </c>
      <c r="AK984" s="214" t="str">
        <f t="shared" si="448"/>
        <v/>
      </c>
      <c r="AL984" s="214" t="str">
        <f t="shared" si="449"/>
        <v/>
      </c>
      <c r="AM984" s="214" t="str">
        <f t="shared" si="450"/>
        <v/>
      </c>
      <c r="AN984" s="213" t="str">
        <f t="shared" si="433"/>
        <v>2012</v>
      </c>
      <c r="AO984" s="213" t="str">
        <f t="shared" si="434"/>
        <v>2012</v>
      </c>
      <c r="AP984" s="213" t="str">
        <f t="shared" si="435"/>
        <v>2012</v>
      </c>
      <c r="AQ984" s="215" t="str">
        <f t="shared" si="436"/>
        <v/>
      </c>
      <c r="AR984" s="216" t="str">
        <f t="shared" si="437"/>
        <v>BiK81bK12y--05</v>
      </c>
      <c r="AS984" s="215" t="str">
        <f t="shared" si="438"/>
        <v/>
      </c>
      <c r="AT984">
        <f t="shared" si="439"/>
        <v>14</v>
      </c>
      <c r="AU984" s="216" t="str">
        <f t="shared" si="440"/>
        <v>0-0,15 MW, Bonusregeln b, y und K erstmals 2012</v>
      </c>
      <c r="AV984" s="215" t="str">
        <f t="shared" si="441"/>
        <v/>
      </c>
      <c r="AW984" s="216" t="str">
        <f t="shared" si="442"/>
        <v>Anteil KWK, erstmals 2012</v>
      </c>
      <c r="AX984" s="215" t="str">
        <f t="shared" si="443"/>
        <v/>
      </c>
      <c r="AY984" t="str">
        <f t="shared" si="444"/>
        <v/>
      </c>
      <c r="AZ984" t="str">
        <f t="shared" si="445"/>
        <v>x</v>
      </c>
    </row>
    <row r="985" spans="1:52" s="178" customFormat="1" x14ac:dyDescent="0.25">
      <c r="A985" s="618" t="s">
        <v>4512</v>
      </c>
      <c r="B985" s="31" t="s">
        <v>5548</v>
      </c>
      <c r="C985" s="31" t="s">
        <v>1288</v>
      </c>
      <c r="D985" s="31" t="s">
        <v>6921</v>
      </c>
      <c r="E985" s="31" t="s">
        <v>4810</v>
      </c>
      <c r="F985" s="460">
        <f t="shared" si="452"/>
        <v>19.670000000000002</v>
      </c>
      <c r="G985" s="536">
        <v>19.670000000000002</v>
      </c>
      <c r="H985" s="494">
        <f t="shared" si="453"/>
        <v>15.74</v>
      </c>
      <c r="I985" s="713"/>
      <c r="J985" s="669" t="s">
        <v>5805</v>
      </c>
      <c r="K985" s="15"/>
      <c r="L985"/>
      <c r="M985" s="49">
        <f t="shared" si="454"/>
        <v>19.670000000000002</v>
      </c>
      <c r="N985" s="41">
        <v>11.67</v>
      </c>
      <c r="O985" s="54"/>
      <c r="P985" s="15"/>
      <c r="Q985"/>
      <c r="R985"/>
      <c r="S985" t="s">
        <v>4180</v>
      </c>
      <c r="T985" s="178" t="s">
        <v>4180</v>
      </c>
      <c r="U985" s="55"/>
      <c r="V985" t="s">
        <v>1017</v>
      </c>
      <c r="W985" s="65"/>
      <c r="X985" s="65"/>
      <c r="Y985"/>
      <c r="Z985"/>
      <c r="AA985" s="65"/>
      <c r="AB985"/>
      <c r="AC985"/>
      <c r="AD985" s="91"/>
      <c r="AE985" s="124" t="s">
        <v>1017</v>
      </c>
      <c r="AF985" s="65"/>
      <c r="AG985" s="91"/>
      <c r="AH985" s="212" t="str">
        <f t="shared" ref="AH985:AH990" si="459">IF(ISERROR(SEARCH("K erstmals 201",D985)),"",RIGHT(D985,4))</f>
        <v/>
      </c>
      <c r="AI985" s="214" t="str">
        <f t="shared" si="446"/>
        <v/>
      </c>
      <c r="AJ985" s="214" t="str">
        <f t="shared" si="447"/>
        <v/>
      </c>
      <c r="AK985" s="214" t="str">
        <f t="shared" si="448"/>
        <v/>
      </c>
      <c r="AL985" s="214" t="str">
        <f t="shared" si="449"/>
        <v/>
      </c>
      <c r="AM985" s="214" t="str">
        <f t="shared" si="450"/>
        <v/>
      </c>
      <c r="AN985" s="213" t="str">
        <f t="shared" si="433"/>
        <v/>
      </c>
      <c r="AO985" s="213" t="str">
        <f t="shared" si="434"/>
        <v/>
      </c>
      <c r="AP985" s="213" t="str">
        <f t="shared" si="435"/>
        <v/>
      </c>
      <c r="AQ985" s="215" t="str">
        <f t="shared" si="436"/>
        <v/>
      </c>
      <c r="AR985" s="216" t="str">
        <f t="shared" si="437"/>
        <v>BiK81a1b----05</v>
      </c>
      <c r="AS985" s="215" t="str">
        <f t="shared" si="438"/>
        <v/>
      </c>
      <c r="AT985">
        <f t="shared" si="439"/>
        <v>14</v>
      </c>
      <c r="AU985" s="216" t="str">
        <f t="shared" si="440"/>
        <v>0-0,15 MW, Bonusregeln a1 und b</v>
      </c>
      <c r="AV985" s="215" t="str">
        <f t="shared" si="441"/>
        <v/>
      </c>
      <c r="AW985" s="216" t="str">
        <f t="shared" si="442"/>
        <v>Anteil Nicht-KWK</v>
      </c>
      <c r="AX985" s="215" t="str">
        <f t="shared" si="443"/>
        <v/>
      </c>
      <c r="AY985" t="str">
        <f t="shared" si="444"/>
        <v/>
      </c>
      <c r="AZ985" t="str">
        <f t="shared" si="445"/>
        <v/>
      </c>
    </row>
    <row r="986" spans="1:52" s="178" customFormat="1" x14ac:dyDescent="0.25">
      <c r="A986" s="618" t="s">
        <v>4513</v>
      </c>
      <c r="B986" s="31" t="s">
        <v>5548</v>
      </c>
      <c r="C986" s="31" t="s">
        <v>1288</v>
      </c>
      <c r="D986" s="31" t="s">
        <v>6922</v>
      </c>
      <c r="E986" s="31" t="s">
        <v>4812</v>
      </c>
      <c r="F986" s="460">
        <f t="shared" si="452"/>
        <v>21.67</v>
      </c>
      <c r="G986" s="536">
        <v>21.67</v>
      </c>
      <c r="H986" s="494">
        <f t="shared" si="453"/>
        <v>17.34</v>
      </c>
      <c r="I986" s="713"/>
      <c r="J986" s="669" t="s">
        <v>5805</v>
      </c>
      <c r="K986" s="15"/>
      <c r="L986"/>
      <c r="M986" s="49">
        <f t="shared" si="454"/>
        <v>21.67</v>
      </c>
      <c r="N986" s="41">
        <v>11.67</v>
      </c>
      <c r="O986" s="54" t="s">
        <v>1017</v>
      </c>
      <c r="P986" s="15"/>
      <c r="Q986"/>
      <c r="R986"/>
      <c r="S986" t="s">
        <v>4180</v>
      </c>
      <c r="T986" s="178" t="s">
        <v>4180</v>
      </c>
      <c r="U986" s="55"/>
      <c r="V986" t="s">
        <v>1017</v>
      </c>
      <c r="W986" s="65"/>
      <c r="X986" s="65"/>
      <c r="Y986"/>
      <c r="Z986"/>
      <c r="AA986" s="65"/>
      <c r="AB986"/>
      <c r="AC986"/>
      <c r="AD986" s="91"/>
      <c r="AE986" s="124" t="s">
        <v>1017</v>
      </c>
      <c r="AF986" s="65"/>
      <c r="AG986" s="91"/>
      <c r="AH986" s="212" t="str">
        <f t="shared" si="459"/>
        <v/>
      </c>
      <c r="AI986" s="214" t="str">
        <f t="shared" si="446"/>
        <v/>
      </c>
      <c r="AJ986" s="214" t="str">
        <f t="shared" si="447"/>
        <v/>
      </c>
      <c r="AK986" s="214" t="str">
        <f t="shared" si="448"/>
        <v/>
      </c>
      <c r="AL986" s="214" t="str">
        <f t="shared" si="449"/>
        <v/>
      </c>
      <c r="AM986" s="214" t="str">
        <f t="shared" si="450"/>
        <v/>
      </c>
      <c r="AN986" s="213" t="str">
        <f t="shared" si="433"/>
        <v/>
      </c>
      <c r="AO986" s="213" t="str">
        <f t="shared" si="434"/>
        <v/>
      </c>
      <c r="AP986" s="213" t="str">
        <f t="shared" si="435"/>
        <v/>
      </c>
      <c r="AQ986" s="215" t="str">
        <f t="shared" si="436"/>
        <v/>
      </c>
      <c r="AR986" s="216" t="str">
        <f t="shared" si="437"/>
        <v>BiK81a1bKWK-05</v>
      </c>
      <c r="AS986" s="215" t="str">
        <f t="shared" si="438"/>
        <v/>
      </c>
      <c r="AT986">
        <f t="shared" si="439"/>
        <v>14</v>
      </c>
      <c r="AU986" s="216" t="str">
        <f t="shared" si="440"/>
        <v>0-0,15 MW, Bonusregeln a1, b und KWK</v>
      </c>
      <c r="AV986" s="215" t="str">
        <f t="shared" si="441"/>
        <v/>
      </c>
      <c r="AW986" s="216" t="str">
        <f t="shared" si="442"/>
        <v>Anteil KWK</v>
      </c>
      <c r="AX986" s="215" t="str">
        <f t="shared" si="443"/>
        <v/>
      </c>
      <c r="AY986" t="str">
        <f t="shared" si="444"/>
        <v/>
      </c>
      <c r="AZ986" t="str">
        <f t="shared" si="445"/>
        <v/>
      </c>
    </row>
    <row r="987" spans="1:52" s="178" customFormat="1" x14ac:dyDescent="0.25">
      <c r="A987" s="610" t="s">
        <v>4345</v>
      </c>
      <c r="B987" s="17" t="s">
        <v>5548</v>
      </c>
      <c r="C987" s="30" t="s">
        <v>1288</v>
      </c>
      <c r="D987" s="30" t="s">
        <v>6923</v>
      </c>
      <c r="E987" s="30" t="s">
        <v>4331</v>
      </c>
      <c r="F987" s="454">
        <f t="shared" si="452"/>
        <v>22.67</v>
      </c>
      <c r="G987" s="529">
        <v>22.67</v>
      </c>
      <c r="H987" s="487">
        <f t="shared" si="453"/>
        <v>18.14</v>
      </c>
      <c r="I987" s="706"/>
      <c r="J987" s="669" t="s">
        <v>5805</v>
      </c>
      <c r="K987" s="15"/>
      <c r="L987"/>
      <c r="M987" s="49">
        <f t="shared" si="454"/>
        <v>22.67</v>
      </c>
      <c r="N987" s="41">
        <v>11.67</v>
      </c>
      <c r="O987" s="54"/>
      <c r="P987" t="s">
        <v>1017</v>
      </c>
      <c r="Q987"/>
      <c r="R987"/>
      <c r="S987" t="s">
        <v>4180</v>
      </c>
      <c r="T987" s="178" t="s">
        <v>4180</v>
      </c>
      <c r="U987" s="55"/>
      <c r="V987" t="s">
        <v>1017</v>
      </c>
      <c r="W987" s="65"/>
      <c r="X987" s="65"/>
      <c r="Y987"/>
      <c r="Z987"/>
      <c r="AA987" s="65"/>
      <c r="AB987"/>
      <c r="AC987"/>
      <c r="AD987" s="91"/>
      <c r="AE987" s="124" t="s">
        <v>1017</v>
      </c>
      <c r="AF987" s="65"/>
      <c r="AG987" s="91"/>
      <c r="AH987" s="212" t="str">
        <f t="shared" si="459"/>
        <v/>
      </c>
      <c r="AI987" s="214" t="str">
        <f t="shared" si="446"/>
        <v/>
      </c>
      <c r="AJ987" s="214" t="str">
        <f t="shared" si="447"/>
        <v/>
      </c>
      <c r="AK987" s="214" t="str">
        <f t="shared" si="448"/>
        <v/>
      </c>
      <c r="AL987" s="214" t="str">
        <f t="shared" si="449"/>
        <v/>
      </c>
      <c r="AM987" s="214" t="str">
        <f t="shared" si="450"/>
        <v/>
      </c>
      <c r="AN987" s="213" t="str">
        <f t="shared" si="433"/>
        <v/>
      </c>
      <c r="AO987" s="213" t="str">
        <f t="shared" si="434"/>
        <v/>
      </c>
      <c r="AP987" s="213" t="str">
        <f t="shared" si="435"/>
        <v/>
      </c>
      <c r="AQ987" s="215" t="str">
        <f t="shared" si="436"/>
        <v/>
      </c>
      <c r="AR987" s="216" t="str">
        <f t="shared" si="437"/>
        <v>BiK81a1bKA3-05</v>
      </c>
      <c r="AS987" s="215" t="str">
        <f t="shared" si="438"/>
        <v/>
      </c>
      <c r="AT987">
        <f t="shared" si="439"/>
        <v>14</v>
      </c>
      <c r="AU987" s="216" t="str">
        <f t="shared" si="440"/>
        <v>0-0,15 MW, Bonusregeln a1, b und K wenn Anlage 3 erfüllt</v>
      </c>
      <c r="AV987" s="215" t="str">
        <f t="shared" si="441"/>
        <v/>
      </c>
      <c r="AW987" s="216" t="str">
        <f t="shared" si="442"/>
        <v>Anteil KWK gemäß Anlage 3</v>
      </c>
      <c r="AX987" s="215" t="str">
        <f t="shared" si="443"/>
        <v/>
      </c>
      <c r="AY987" t="str">
        <f t="shared" si="444"/>
        <v/>
      </c>
      <c r="AZ987" t="str">
        <f t="shared" si="445"/>
        <v/>
      </c>
    </row>
    <row r="988" spans="1:52" s="178" customFormat="1" x14ac:dyDescent="0.25">
      <c r="A988" s="610" t="s">
        <v>2347</v>
      </c>
      <c r="B988" s="17" t="s">
        <v>5548</v>
      </c>
      <c r="C988" s="17" t="s">
        <v>1288</v>
      </c>
      <c r="D988" s="30" t="s">
        <v>6924</v>
      </c>
      <c r="E988" s="17" t="s">
        <v>674</v>
      </c>
      <c r="F988" s="454">
        <f t="shared" si="452"/>
        <v>22.67</v>
      </c>
      <c r="G988" s="529">
        <v>22.67</v>
      </c>
      <c r="H988" s="487">
        <f t="shared" si="453"/>
        <v>18.14</v>
      </c>
      <c r="I988" s="706"/>
      <c r="J988" s="669" t="s">
        <v>5805</v>
      </c>
      <c r="K988" s="15"/>
      <c r="L988"/>
      <c r="M988" s="49">
        <f t="shared" si="454"/>
        <v>22.67</v>
      </c>
      <c r="N988" s="41">
        <v>11.67</v>
      </c>
      <c r="O988" s="54"/>
      <c r="P988" s="15"/>
      <c r="Q988" t="s">
        <v>1017</v>
      </c>
      <c r="R988"/>
      <c r="S988" t="s">
        <v>4180</v>
      </c>
      <c r="T988" s="178" t="s">
        <v>4180</v>
      </c>
      <c r="U988" s="55"/>
      <c r="V988" t="s">
        <v>1017</v>
      </c>
      <c r="W988" s="65"/>
      <c r="X988" s="65"/>
      <c r="Y988"/>
      <c r="Z988"/>
      <c r="AA988" s="65"/>
      <c r="AB988"/>
      <c r="AC988"/>
      <c r="AD988" s="91"/>
      <c r="AE988" s="124" t="s">
        <v>1017</v>
      </c>
      <c r="AF988" s="65"/>
      <c r="AG988" s="91"/>
      <c r="AH988" s="212" t="str">
        <f t="shared" si="459"/>
        <v/>
      </c>
      <c r="AI988" s="214" t="str">
        <f t="shared" si="446"/>
        <v/>
      </c>
      <c r="AJ988" s="214" t="str">
        <f t="shared" si="447"/>
        <v/>
      </c>
      <c r="AK988" s="214" t="str">
        <f t="shared" si="448"/>
        <v/>
      </c>
      <c r="AL988" s="214" t="str">
        <f t="shared" si="449"/>
        <v/>
      </c>
      <c r="AM988" s="214" t="str">
        <f t="shared" si="450"/>
        <v/>
      </c>
      <c r="AN988" s="213" t="str">
        <f t="shared" si="433"/>
        <v/>
      </c>
      <c r="AO988" s="213" t="str">
        <f t="shared" si="434"/>
        <v/>
      </c>
      <c r="AP988" s="213" t="str">
        <f t="shared" si="435"/>
        <v/>
      </c>
      <c r="AQ988" s="215" t="str">
        <f t="shared" si="436"/>
        <v/>
      </c>
      <c r="AR988" s="216" t="str">
        <f t="shared" si="437"/>
        <v>BiK81a1bK09-05</v>
      </c>
      <c r="AS988" s="215" t="str">
        <f t="shared" si="438"/>
        <v/>
      </c>
      <c r="AT988">
        <f t="shared" si="439"/>
        <v>14</v>
      </c>
      <c r="AU988" s="216" t="str">
        <f t="shared" si="440"/>
        <v>0-0,15 MW, Bonusregeln a1, b und K erstmals 2009</v>
      </c>
      <c r="AV988" s="215" t="str">
        <f t="shared" si="441"/>
        <v/>
      </c>
      <c r="AW988" s="216" t="str">
        <f t="shared" si="442"/>
        <v>Anteil KWK, erstmals 2009</v>
      </c>
      <c r="AX988" s="215" t="str">
        <f t="shared" si="443"/>
        <v/>
      </c>
      <c r="AY988" t="str">
        <f t="shared" si="444"/>
        <v/>
      </c>
      <c r="AZ988" t="str">
        <f t="shared" si="445"/>
        <v/>
      </c>
    </row>
    <row r="989" spans="1:52" s="178" customFormat="1" x14ac:dyDescent="0.25">
      <c r="A989" s="610" t="s">
        <v>3582</v>
      </c>
      <c r="B989" s="17" t="s">
        <v>5548</v>
      </c>
      <c r="C989" s="17" t="s">
        <v>1288</v>
      </c>
      <c r="D989" s="30" t="s">
        <v>6925</v>
      </c>
      <c r="E989" s="17" t="s">
        <v>3567</v>
      </c>
      <c r="F989" s="454">
        <f t="shared" si="452"/>
        <v>22.64</v>
      </c>
      <c r="G989" s="529">
        <v>22.64</v>
      </c>
      <c r="H989" s="487">
        <f t="shared" si="453"/>
        <v>18.11</v>
      </c>
      <c r="I989" s="706"/>
      <c r="J989" s="669" t="s">
        <v>5805</v>
      </c>
      <c r="K989" s="15"/>
      <c r="L989"/>
      <c r="M989" s="49">
        <f t="shared" si="454"/>
        <v>22.64</v>
      </c>
      <c r="N989" s="41">
        <v>11.67</v>
      </c>
      <c r="O989" s="54"/>
      <c r="P989" s="15"/>
      <c r="Q989"/>
      <c r="R989" t="s">
        <v>1017</v>
      </c>
      <c r="S989" t="s">
        <v>4180</v>
      </c>
      <c r="T989" s="178" t="s">
        <v>4180</v>
      </c>
      <c r="U989" s="55"/>
      <c r="V989" t="s">
        <v>1017</v>
      </c>
      <c r="W989" s="65"/>
      <c r="X989" s="65"/>
      <c r="Y989"/>
      <c r="Z989"/>
      <c r="AA989" s="65"/>
      <c r="AB989"/>
      <c r="AC989"/>
      <c r="AD989" s="91"/>
      <c r="AE989" s="124" t="s">
        <v>1017</v>
      </c>
      <c r="AF989" s="65"/>
      <c r="AG989" s="91"/>
      <c r="AH989" s="212" t="str">
        <f t="shared" si="459"/>
        <v>2010</v>
      </c>
      <c r="AI989" s="214" t="str">
        <f t="shared" si="446"/>
        <v/>
      </c>
      <c r="AJ989" s="214" t="str">
        <f t="shared" si="447"/>
        <v/>
      </c>
      <c r="AK989" s="214" t="str">
        <f t="shared" si="448"/>
        <v/>
      </c>
      <c r="AL989" s="214" t="str">
        <f t="shared" si="449"/>
        <v/>
      </c>
      <c r="AM989" s="214" t="str">
        <f t="shared" si="450"/>
        <v/>
      </c>
      <c r="AN989" s="213" t="str">
        <f t="shared" si="433"/>
        <v>2010</v>
      </c>
      <c r="AO989" s="213" t="str">
        <f t="shared" si="434"/>
        <v>2010</v>
      </c>
      <c r="AP989" s="213" t="str">
        <f t="shared" si="435"/>
        <v>2010</v>
      </c>
      <c r="AQ989" s="215" t="str">
        <f t="shared" si="436"/>
        <v/>
      </c>
      <c r="AR989" s="216" t="str">
        <f t="shared" si="437"/>
        <v>BiK81a1bK10-05</v>
      </c>
      <c r="AS989" s="215" t="str">
        <f t="shared" si="438"/>
        <v/>
      </c>
      <c r="AT989">
        <f t="shared" si="439"/>
        <v>14</v>
      </c>
      <c r="AU989" s="216" t="str">
        <f t="shared" si="440"/>
        <v>0-0,15 MW, Bonusregeln a1, b und K erstmals 2010</v>
      </c>
      <c r="AV989" s="215" t="str">
        <f t="shared" si="441"/>
        <v/>
      </c>
      <c r="AW989" s="216" t="str">
        <f t="shared" si="442"/>
        <v>Anteil KWK, erstmals 2010</v>
      </c>
      <c r="AX989" s="215" t="str">
        <f t="shared" si="443"/>
        <v/>
      </c>
      <c r="AY989" t="str">
        <f t="shared" si="444"/>
        <v/>
      </c>
      <c r="AZ989" t="str">
        <f t="shared" si="445"/>
        <v/>
      </c>
    </row>
    <row r="990" spans="1:52" s="178" customFormat="1" x14ac:dyDescent="0.25">
      <c r="A990" s="610" t="s">
        <v>5313</v>
      </c>
      <c r="B990" s="17" t="s">
        <v>5548</v>
      </c>
      <c r="C990" s="17" t="s">
        <v>1288</v>
      </c>
      <c r="D990" s="30" t="s">
        <v>6926</v>
      </c>
      <c r="E990" s="17" t="s">
        <v>3055</v>
      </c>
      <c r="F990" s="454">
        <f t="shared" si="452"/>
        <v>22.61</v>
      </c>
      <c r="G990" s="529">
        <v>22.61</v>
      </c>
      <c r="H990" s="487">
        <f t="shared" si="453"/>
        <v>18.09</v>
      </c>
      <c r="I990" s="706"/>
      <c r="J990" s="669" t="s">
        <v>5805</v>
      </c>
      <c r="K990" s="15"/>
      <c r="L990"/>
      <c r="M990" s="49">
        <f t="shared" si="454"/>
        <v>22.61</v>
      </c>
      <c r="N990" s="41">
        <v>11.67</v>
      </c>
      <c r="O990" s="54"/>
      <c r="P990" s="15"/>
      <c r="Q990"/>
      <c r="R990"/>
      <c r="S990" t="s">
        <v>1017</v>
      </c>
      <c r="T990" s="178" t="s">
        <v>4180</v>
      </c>
      <c r="U990" s="55"/>
      <c r="V990" t="s">
        <v>1017</v>
      </c>
      <c r="W990" s="65"/>
      <c r="X990" s="65"/>
      <c r="Y990"/>
      <c r="Z990"/>
      <c r="AA990" s="65"/>
      <c r="AB990"/>
      <c r="AC990"/>
      <c r="AD990" s="91"/>
      <c r="AE990" s="124" t="s">
        <v>1017</v>
      </c>
      <c r="AF990" s="65"/>
      <c r="AG990" s="91"/>
      <c r="AH990" s="212" t="str">
        <f t="shared" si="459"/>
        <v>2011</v>
      </c>
      <c r="AI990" s="214" t="str">
        <f t="shared" si="446"/>
        <v/>
      </c>
      <c r="AJ990" s="214" t="str">
        <f t="shared" si="447"/>
        <v/>
      </c>
      <c r="AK990" s="214" t="str">
        <f t="shared" si="448"/>
        <v/>
      </c>
      <c r="AL990" s="214" t="str">
        <f t="shared" si="449"/>
        <v/>
      </c>
      <c r="AM990" s="214" t="str">
        <f t="shared" si="450"/>
        <v/>
      </c>
      <c r="AN990" s="213" t="str">
        <f t="shared" si="433"/>
        <v>2011</v>
      </c>
      <c r="AO990" s="213" t="str">
        <f t="shared" si="434"/>
        <v>2011</v>
      </c>
      <c r="AP990" s="213" t="str">
        <f t="shared" si="435"/>
        <v>2011</v>
      </c>
      <c r="AQ990" s="215" t="str">
        <f t="shared" si="436"/>
        <v/>
      </c>
      <c r="AR990" s="216" t="str">
        <f t="shared" si="437"/>
        <v>BiK81a1bK11-05</v>
      </c>
      <c r="AS990" s="215" t="str">
        <f t="shared" si="438"/>
        <v/>
      </c>
      <c r="AT990">
        <f t="shared" si="439"/>
        <v>14</v>
      </c>
      <c r="AU990" s="216" t="str">
        <f t="shared" si="440"/>
        <v>0-0,15 MW, Bonusregeln a1, b und K erstmals 2011</v>
      </c>
      <c r="AV990" s="215" t="str">
        <f t="shared" si="441"/>
        <v/>
      </c>
      <c r="AW990" s="216" t="str">
        <f t="shared" si="442"/>
        <v>Anteil KWK, erstmals 2011</v>
      </c>
      <c r="AX990" s="215" t="str">
        <f t="shared" si="443"/>
        <v/>
      </c>
      <c r="AY990" t="str">
        <f t="shared" si="444"/>
        <v>x</v>
      </c>
      <c r="AZ990" t="str">
        <f t="shared" si="445"/>
        <v/>
      </c>
    </row>
    <row r="991" spans="1:52" s="178" customFormat="1" x14ac:dyDescent="0.25">
      <c r="A991" s="625" t="s">
        <v>1563</v>
      </c>
      <c r="B991" s="221" t="s">
        <v>5548</v>
      </c>
      <c r="C991" s="221" t="s">
        <v>1288</v>
      </c>
      <c r="D991" s="219" t="s">
        <v>6927</v>
      </c>
      <c r="E991" s="221" t="s">
        <v>1980</v>
      </c>
      <c r="F991" s="455">
        <f t="shared" si="452"/>
        <v>22.58</v>
      </c>
      <c r="G991" s="530">
        <v>22.58</v>
      </c>
      <c r="H991" s="488">
        <f t="shared" si="453"/>
        <v>18.059999999999999</v>
      </c>
      <c r="I991" s="707"/>
      <c r="J991" s="669" t="s">
        <v>5805</v>
      </c>
      <c r="K991" s="15"/>
      <c r="L991"/>
      <c r="M991" s="49">
        <f t="shared" si="454"/>
        <v>22.58</v>
      </c>
      <c r="N991" s="41">
        <v>11.67</v>
      </c>
      <c r="O991" s="54"/>
      <c r="P991" s="15"/>
      <c r="Q991"/>
      <c r="R991"/>
      <c r="S991" t="s">
        <v>4180</v>
      </c>
      <c r="T991" s="178" t="s">
        <v>1017</v>
      </c>
      <c r="U991" s="55"/>
      <c r="V991" t="s">
        <v>1017</v>
      </c>
      <c r="W991" s="65"/>
      <c r="X991" s="65"/>
      <c r="Y991"/>
      <c r="Z991"/>
      <c r="AA991" s="65"/>
      <c r="AB991"/>
      <c r="AC991"/>
      <c r="AD991" s="91"/>
      <c r="AE991" s="124" t="s">
        <v>1017</v>
      </c>
      <c r="AF991" s="65"/>
      <c r="AG991" s="91"/>
      <c r="AH991" s="217" t="s">
        <v>4179</v>
      </c>
      <c r="AI991" s="214" t="str">
        <f t="shared" si="446"/>
        <v/>
      </c>
      <c r="AJ991" s="214" t="str">
        <f t="shared" si="447"/>
        <v/>
      </c>
      <c r="AK991" s="214" t="str">
        <f t="shared" si="448"/>
        <v/>
      </c>
      <c r="AL991" s="214" t="str">
        <f t="shared" si="449"/>
        <v/>
      </c>
      <c r="AM991" s="214" t="str">
        <f t="shared" si="450"/>
        <v/>
      </c>
      <c r="AN991" s="213" t="str">
        <f t="shared" si="433"/>
        <v>2012</v>
      </c>
      <c r="AO991" s="213" t="str">
        <f t="shared" si="434"/>
        <v>2012</v>
      </c>
      <c r="AP991" s="213" t="str">
        <f t="shared" si="435"/>
        <v>2012</v>
      </c>
      <c r="AQ991" s="215" t="str">
        <f t="shared" si="436"/>
        <v/>
      </c>
      <c r="AR991" s="216" t="str">
        <f t="shared" si="437"/>
        <v>BiK81a1bK12-05</v>
      </c>
      <c r="AS991" s="215" t="str">
        <f t="shared" si="438"/>
        <v/>
      </c>
      <c r="AT991">
        <f t="shared" si="439"/>
        <v>14</v>
      </c>
      <c r="AU991" s="216" t="str">
        <f t="shared" si="440"/>
        <v>0-0,15 MW, Bonusregeln a1, b und K erstmals 2012</v>
      </c>
      <c r="AV991" s="215" t="str">
        <f t="shared" si="441"/>
        <v/>
      </c>
      <c r="AW991" s="216" t="str">
        <f t="shared" si="442"/>
        <v>Anteil KWK, erstmals 2012</v>
      </c>
      <c r="AX991" s="215" t="str">
        <f t="shared" si="443"/>
        <v/>
      </c>
      <c r="AY991" t="str">
        <f t="shared" si="444"/>
        <v/>
      </c>
      <c r="AZ991" t="str">
        <f t="shared" si="445"/>
        <v>x</v>
      </c>
    </row>
    <row r="992" spans="1:52" s="178" customFormat="1" x14ac:dyDescent="0.25">
      <c r="A992" s="610" t="s">
        <v>1321</v>
      </c>
      <c r="B992" s="17" t="s">
        <v>5548</v>
      </c>
      <c r="C992" s="17" t="s">
        <v>1288</v>
      </c>
      <c r="D992" s="30" t="s">
        <v>6928</v>
      </c>
      <c r="E992" s="17" t="s">
        <v>4810</v>
      </c>
      <c r="F992" s="454">
        <f t="shared" si="452"/>
        <v>20.67</v>
      </c>
      <c r="G992" s="529">
        <v>20.67</v>
      </c>
      <c r="H992" s="487">
        <f t="shared" si="453"/>
        <v>16.54</v>
      </c>
      <c r="I992" s="706"/>
      <c r="J992" s="669" t="s">
        <v>5805</v>
      </c>
      <c r="K992" s="15"/>
      <c r="L992"/>
      <c r="M992" s="49">
        <f t="shared" si="454"/>
        <v>20.67</v>
      </c>
      <c r="N992" s="41">
        <v>11.67</v>
      </c>
      <c r="O992" s="54"/>
      <c r="P992" s="15"/>
      <c r="Q992"/>
      <c r="R992"/>
      <c r="S992" t="s">
        <v>4180</v>
      </c>
      <c r="T992" s="178" t="s">
        <v>4180</v>
      </c>
      <c r="U992" s="55" t="s">
        <v>1017</v>
      </c>
      <c r="V992" t="s">
        <v>1017</v>
      </c>
      <c r="W992" s="65"/>
      <c r="X992" s="65"/>
      <c r="Y992"/>
      <c r="Z992"/>
      <c r="AA992" s="65"/>
      <c r="AB992"/>
      <c r="AC992"/>
      <c r="AD992" s="91"/>
      <c r="AE992" s="124" t="s">
        <v>1017</v>
      </c>
      <c r="AF992" s="65"/>
      <c r="AG992" s="91"/>
      <c r="AH992" s="212" t="str">
        <f t="shared" ref="AH992:AH997" si="460">IF(ISERROR(SEARCH("K erstmals 201",D992)),"",RIGHT(D992,4))</f>
        <v/>
      </c>
      <c r="AI992" s="214" t="str">
        <f t="shared" si="446"/>
        <v/>
      </c>
      <c r="AJ992" s="214" t="str">
        <f t="shared" si="447"/>
        <v/>
      </c>
      <c r="AK992" s="214" t="str">
        <f t="shared" si="448"/>
        <v/>
      </c>
      <c r="AL992" s="214" t="str">
        <f t="shared" si="449"/>
        <v/>
      </c>
      <c r="AM992" s="214" t="str">
        <f t="shared" si="450"/>
        <v/>
      </c>
      <c r="AN992" s="213" t="str">
        <f t="shared" si="433"/>
        <v/>
      </c>
      <c r="AO992" s="213" t="str">
        <f t="shared" si="434"/>
        <v/>
      </c>
      <c r="AP992" s="213" t="str">
        <f t="shared" si="435"/>
        <v/>
      </c>
      <c r="AQ992" s="215" t="str">
        <f t="shared" si="436"/>
        <v/>
      </c>
      <c r="AR992" s="216" t="str">
        <f t="shared" si="437"/>
        <v>BiK81a1by---05</v>
      </c>
      <c r="AS992" s="215" t="str">
        <f t="shared" si="438"/>
        <v/>
      </c>
      <c r="AT992">
        <f t="shared" si="439"/>
        <v>14</v>
      </c>
      <c r="AU992" s="216" t="str">
        <f t="shared" si="440"/>
        <v>0-0,15 MW, Bonusregeln a1, b, y</v>
      </c>
      <c r="AV992" s="215" t="str">
        <f t="shared" si="441"/>
        <v/>
      </c>
      <c r="AW992" s="216" t="str">
        <f t="shared" si="442"/>
        <v>Anteil Nicht-KWK</v>
      </c>
      <c r="AX992" s="215" t="str">
        <f t="shared" si="443"/>
        <v/>
      </c>
      <c r="AY992" t="str">
        <f t="shared" si="444"/>
        <v/>
      </c>
      <c r="AZ992" t="str">
        <f t="shared" si="445"/>
        <v/>
      </c>
    </row>
    <row r="993" spans="1:52" s="178" customFormat="1" x14ac:dyDescent="0.25">
      <c r="A993" s="610" t="s">
        <v>1322</v>
      </c>
      <c r="B993" s="17" t="s">
        <v>5548</v>
      </c>
      <c r="C993" s="17" t="s">
        <v>1288</v>
      </c>
      <c r="D993" s="17" t="s">
        <v>6929</v>
      </c>
      <c r="E993" s="17" t="s">
        <v>4812</v>
      </c>
      <c r="F993" s="454">
        <f t="shared" si="452"/>
        <v>22.67</v>
      </c>
      <c r="G993" s="529">
        <v>22.67</v>
      </c>
      <c r="H993" s="487">
        <f t="shared" si="453"/>
        <v>18.14</v>
      </c>
      <c r="I993" s="706"/>
      <c r="J993" s="669" t="s">
        <v>5805</v>
      </c>
      <c r="K993" s="15"/>
      <c r="L993"/>
      <c r="M993" s="49">
        <f t="shared" si="454"/>
        <v>22.67</v>
      </c>
      <c r="N993" s="41">
        <v>11.67</v>
      </c>
      <c r="O993" s="54" t="s">
        <v>1017</v>
      </c>
      <c r="P993" s="15"/>
      <c r="Q993"/>
      <c r="R993"/>
      <c r="S993" t="s">
        <v>4180</v>
      </c>
      <c r="T993" s="178" t="s">
        <v>4180</v>
      </c>
      <c r="U993" s="55" t="s">
        <v>1017</v>
      </c>
      <c r="V993" t="s">
        <v>1017</v>
      </c>
      <c r="W993" s="65"/>
      <c r="X993" s="65"/>
      <c r="Y993"/>
      <c r="Z993"/>
      <c r="AA993" s="65"/>
      <c r="AB993"/>
      <c r="AC993"/>
      <c r="AD993" s="91"/>
      <c r="AE993" s="124" t="s">
        <v>1017</v>
      </c>
      <c r="AF993" s="65"/>
      <c r="AG993" s="91"/>
      <c r="AH993" s="212" t="str">
        <f t="shared" si="460"/>
        <v/>
      </c>
      <c r="AI993" s="214" t="str">
        <f t="shared" si="446"/>
        <v/>
      </c>
      <c r="AJ993" s="214" t="str">
        <f t="shared" si="447"/>
        <v/>
      </c>
      <c r="AK993" s="214" t="str">
        <f t="shared" si="448"/>
        <v/>
      </c>
      <c r="AL993" s="214" t="str">
        <f t="shared" si="449"/>
        <v/>
      </c>
      <c r="AM993" s="214" t="str">
        <f t="shared" si="450"/>
        <v/>
      </c>
      <c r="AN993" s="213" t="str">
        <f t="shared" si="433"/>
        <v/>
      </c>
      <c r="AO993" s="213" t="str">
        <f t="shared" si="434"/>
        <v/>
      </c>
      <c r="AP993" s="213" t="str">
        <f t="shared" si="435"/>
        <v/>
      </c>
      <c r="AQ993" s="215" t="str">
        <f t="shared" si="436"/>
        <v/>
      </c>
      <c r="AR993" s="216" t="str">
        <f t="shared" si="437"/>
        <v>BiK81a1bKWKy05</v>
      </c>
      <c r="AS993" s="215" t="str">
        <f t="shared" si="438"/>
        <v/>
      </c>
      <c r="AT993">
        <f t="shared" si="439"/>
        <v>14</v>
      </c>
      <c r="AU993" s="216" t="str">
        <f t="shared" si="440"/>
        <v>0-0,15 MW, Bonusregeln a1, b, y und KWK</v>
      </c>
      <c r="AV993" s="215" t="str">
        <f t="shared" si="441"/>
        <v/>
      </c>
      <c r="AW993" s="216" t="str">
        <f t="shared" si="442"/>
        <v>Anteil KWK</v>
      </c>
      <c r="AX993" s="215" t="str">
        <f t="shared" si="443"/>
        <v/>
      </c>
      <c r="AY993" t="str">
        <f t="shared" si="444"/>
        <v/>
      </c>
      <c r="AZ993" t="str">
        <f t="shared" si="445"/>
        <v/>
      </c>
    </row>
    <row r="994" spans="1:52" s="178" customFormat="1" x14ac:dyDescent="0.25">
      <c r="A994" s="610" t="s">
        <v>1323</v>
      </c>
      <c r="B994" s="17" t="s">
        <v>5548</v>
      </c>
      <c r="C994" s="30" t="s">
        <v>1288</v>
      </c>
      <c r="D994" s="30" t="s">
        <v>6930</v>
      </c>
      <c r="E994" s="30" t="s">
        <v>4331</v>
      </c>
      <c r="F994" s="454">
        <f t="shared" si="452"/>
        <v>23.67</v>
      </c>
      <c r="G994" s="529">
        <v>23.67</v>
      </c>
      <c r="H994" s="487">
        <f t="shared" si="453"/>
        <v>18.940000000000001</v>
      </c>
      <c r="I994" s="706"/>
      <c r="J994" s="669" t="s">
        <v>5805</v>
      </c>
      <c r="K994" s="15"/>
      <c r="L994"/>
      <c r="M994" s="49">
        <f t="shared" si="454"/>
        <v>23.67</v>
      </c>
      <c r="N994" s="41">
        <v>11.67</v>
      </c>
      <c r="O994" s="54"/>
      <c r="P994" t="s">
        <v>1017</v>
      </c>
      <c r="Q994"/>
      <c r="R994"/>
      <c r="S994" t="s">
        <v>4180</v>
      </c>
      <c r="T994" s="178" t="s">
        <v>4180</v>
      </c>
      <c r="U994" s="55" t="s">
        <v>1017</v>
      </c>
      <c r="V994" t="s">
        <v>1017</v>
      </c>
      <c r="W994" s="65"/>
      <c r="X994" s="65"/>
      <c r="Y994"/>
      <c r="Z994"/>
      <c r="AA994" s="65"/>
      <c r="AB994"/>
      <c r="AC994"/>
      <c r="AD994" s="91"/>
      <c r="AE994" s="124" t="s">
        <v>1017</v>
      </c>
      <c r="AF994" s="65"/>
      <c r="AG994" s="91"/>
      <c r="AH994" s="212" t="str">
        <f t="shared" si="460"/>
        <v/>
      </c>
      <c r="AI994" s="214" t="str">
        <f t="shared" si="446"/>
        <v/>
      </c>
      <c r="AJ994" s="214" t="str">
        <f t="shared" si="447"/>
        <v/>
      </c>
      <c r="AK994" s="214" t="str">
        <f t="shared" si="448"/>
        <v/>
      </c>
      <c r="AL994" s="214" t="str">
        <f t="shared" si="449"/>
        <v/>
      </c>
      <c r="AM994" s="214" t="str">
        <f t="shared" si="450"/>
        <v/>
      </c>
      <c r="AN994" s="213" t="str">
        <f t="shared" si="433"/>
        <v/>
      </c>
      <c r="AO994" s="213" t="str">
        <f t="shared" si="434"/>
        <v/>
      </c>
      <c r="AP994" s="213" t="str">
        <f t="shared" si="435"/>
        <v/>
      </c>
      <c r="AQ994" s="215" t="str">
        <f t="shared" si="436"/>
        <v/>
      </c>
      <c r="AR994" s="216" t="str">
        <f t="shared" si="437"/>
        <v>BiK81a1bKA3y05</v>
      </c>
      <c r="AS994" s="215" t="str">
        <f t="shared" si="438"/>
        <v/>
      </c>
      <c r="AT994">
        <f t="shared" si="439"/>
        <v>14</v>
      </c>
      <c r="AU994" s="216" t="str">
        <f t="shared" si="440"/>
        <v>0-0,15 MW, Bonusregeln a1, b, y und K wenn Anlage 3 erfüllt</v>
      </c>
      <c r="AV994" s="215" t="str">
        <f t="shared" si="441"/>
        <v/>
      </c>
      <c r="AW994" s="216" t="str">
        <f t="shared" si="442"/>
        <v>Anteil KWK gemäß Anlage 3</v>
      </c>
      <c r="AX994" s="215" t="str">
        <f t="shared" si="443"/>
        <v/>
      </c>
      <c r="AY994" t="str">
        <f t="shared" si="444"/>
        <v/>
      </c>
      <c r="AZ994" t="str">
        <f t="shared" si="445"/>
        <v/>
      </c>
    </row>
    <row r="995" spans="1:52" s="178" customFormat="1" x14ac:dyDescent="0.25">
      <c r="A995" s="610" t="s">
        <v>1324</v>
      </c>
      <c r="B995" s="17" t="s">
        <v>5548</v>
      </c>
      <c r="C995" s="17" t="s">
        <v>1288</v>
      </c>
      <c r="D995" s="30" t="s">
        <v>6931</v>
      </c>
      <c r="E995" s="17" t="s">
        <v>674</v>
      </c>
      <c r="F995" s="454">
        <f t="shared" si="452"/>
        <v>23.67</v>
      </c>
      <c r="G995" s="529">
        <v>23.67</v>
      </c>
      <c r="H995" s="487">
        <f t="shared" si="453"/>
        <v>18.940000000000001</v>
      </c>
      <c r="I995" s="706"/>
      <c r="J995" s="669" t="s">
        <v>5805</v>
      </c>
      <c r="K995" s="15"/>
      <c r="L995"/>
      <c r="M995" s="49">
        <f t="shared" si="454"/>
        <v>23.67</v>
      </c>
      <c r="N995" s="41">
        <v>11.67</v>
      </c>
      <c r="O995" s="54"/>
      <c r="P995" s="15"/>
      <c r="Q995" t="s">
        <v>1017</v>
      </c>
      <c r="R995"/>
      <c r="S995" t="s">
        <v>4180</v>
      </c>
      <c r="T995" s="178" t="s">
        <v>4180</v>
      </c>
      <c r="U995" s="55" t="s">
        <v>1017</v>
      </c>
      <c r="V995" t="s">
        <v>1017</v>
      </c>
      <c r="W995" s="65"/>
      <c r="X995" s="65"/>
      <c r="Y995"/>
      <c r="Z995"/>
      <c r="AA995" s="65"/>
      <c r="AB995"/>
      <c r="AC995"/>
      <c r="AD995" s="91"/>
      <c r="AE995" s="124" t="s">
        <v>1017</v>
      </c>
      <c r="AF995" s="65"/>
      <c r="AG995" s="91"/>
      <c r="AH995" s="212" t="str">
        <f t="shared" si="460"/>
        <v/>
      </c>
      <c r="AI995" s="214" t="str">
        <f t="shared" si="446"/>
        <v/>
      </c>
      <c r="AJ995" s="214" t="str">
        <f t="shared" si="447"/>
        <v/>
      </c>
      <c r="AK995" s="214" t="str">
        <f t="shared" si="448"/>
        <v/>
      </c>
      <c r="AL995" s="214" t="str">
        <f t="shared" si="449"/>
        <v/>
      </c>
      <c r="AM995" s="214" t="str">
        <f t="shared" si="450"/>
        <v/>
      </c>
      <c r="AN995" s="213" t="str">
        <f t="shared" si="433"/>
        <v/>
      </c>
      <c r="AO995" s="213" t="str">
        <f t="shared" si="434"/>
        <v/>
      </c>
      <c r="AP995" s="213" t="str">
        <f t="shared" si="435"/>
        <v/>
      </c>
      <c r="AQ995" s="215" t="str">
        <f t="shared" si="436"/>
        <v/>
      </c>
      <c r="AR995" s="216" t="str">
        <f t="shared" si="437"/>
        <v>BiK81a1bK09y05</v>
      </c>
      <c r="AS995" s="215" t="str">
        <f t="shared" si="438"/>
        <v/>
      </c>
      <c r="AT995">
        <f t="shared" si="439"/>
        <v>14</v>
      </c>
      <c r="AU995" s="216" t="str">
        <f t="shared" si="440"/>
        <v>0-0,15 MW, Bonusregeln a1, b, y und K erstmals 2009</v>
      </c>
      <c r="AV995" s="215" t="str">
        <f t="shared" si="441"/>
        <v/>
      </c>
      <c r="AW995" s="216" t="str">
        <f t="shared" si="442"/>
        <v>Anteil KWK, erstmals 2009</v>
      </c>
      <c r="AX995" s="215" t="str">
        <f t="shared" si="443"/>
        <v/>
      </c>
      <c r="AY995" t="str">
        <f t="shared" si="444"/>
        <v/>
      </c>
      <c r="AZ995" t="str">
        <f t="shared" si="445"/>
        <v/>
      </c>
    </row>
    <row r="996" spans="1:52" s="178" customFormat="1" x14ac:dyDescent="0.25">
      <c r="A996" s="610" t="s">
        <v>3583</v>
      </c>
      <c r="B996" s="17" t="s">
        <v>5548</v>
      </c>
      <c r="C996" s="17" t="s">
        <v>1288</v>
      </c>
      <c r="D996" s="30" t="s">
        <v>6932</v>
      </c>
      <c r="E996" s="17" t="s">
        <v>3567</v>
      </c>
      <c r="F996" s="454">
        <f t="shared" si="452"/>
        <v>23.64</v>
      </c>
      <c r="G996" s="529">
        <v>23.64</v>
      </c>
      <c r="H996" s="487">
        <f t="shared" si="453"/>
        <v>18.91</v>
      </c>
      <c r="I996" s="706"/>
      <c r="J996" s="669" t="s">
        <v>5805</v>
      </c>
      <c r="K996" s="15"/>
      <c r="L996"/>
      <c r="M996" s="49">
        <f t="shared" si="454"/>
        <v>23.64</v>
      </c>
      <c r="N996" s="41">
        <v>11.67</v>
      </c>
      <c r="O996" s="54"/>
      <c r="P996" s="15"/>
      <c r="Q996"/>
      <c r="R996" t="s">
        <v>1017</v>
      </c>
      <c r="S996" t="s">
        <v>4180</v>
      </c>
      <c r="T996" s="178" t="s">
        <v>4180</v>
      </c>
      <c r="U996" s="55" t="s">
        <v>1017</v>
      </c>
      <c r="V996" t="s">
        <v>1017</v>
      </c>
      <c r="W996" s="65"/>
      <c r="X996" s="65"/>
      <c r="Y996"/>
      <c r="Z996"/>
      <c r="AA996" s="65"/>
      <c r="AB996"/>
      <c r="AC996"/>
      <c r="AD996" s="91"/>
      <c r="AE996" s="124" t="s">
        <v>1017</v>
      </c>
      <c r="AF996" s="65"/>
      <c r="AG996" s="91"/>
      <c r="AH996" s="212" t="str">
        <f t="shared" si="460"/>
        <v>2010</v>
      </c>
      <c r="AI996" s="214" t="str">
        <f t="shared" si="446"/>
        <v/>
      </c>
      <c r="AJ996" s="214" t="str">
        <f t="shared" si="447"/>
        <v/>
      </c>
      <c r="AK996" s="214" t="str">
        <f t="shared" si="448"/>
        <v/>
      </c>
      <c r="AL996" s="214" t="str">
        <f t="shared" si="449"/>
        <v/>
      </c>
      <c r="AM996" s="214" t="str">
        <f t="shared" si="450"/>
        <v/>
      </c>
      <c r="AN996" s="213" t="str">
        <f t="shared" si="433"/>
        <v>2010</v>
      </c>
      <c r="AO996" s="213" t="str">
        <f t="shared" si="434"/>
        <v>2010</v>
      </c>
      <c r="AP996" s="213" t="str">
        <f t="shared" si="435"/>
        <v>2010</v>
      </c>
      <c r="AQ996" s="215" t="str">
        <f t="shared" si="436"/>
        <v/>
      </c>
      <c r="AR996" s="216" t="str">
        <f t="shared" si="437"/>
        <v>BiK81a1bK10y05</v>
      </c>
      <c r="AS996" s="215" t="str">
        <f t="shared" si="438"/>
        <v/>
      </c>
      <c r="AT996">
        <f t="shared" si="439"/>
        <v>14</v>
      </c>
      <c r="AU996" s="216" t="str">
        <f t="shared" si="440"/>
        <v>0-0,15 MW, Bonusregeln a1, b, y und K erstmals 2010</v>
      </c>
      <c r="AV996" s="215" t="str">
        <f t="shared" si="441"/>
        <v/>
      </c>
      <c r="AW996" s="216" t="str">
        <f t="shared" si="442"/>
        <v>Anteil KWK, erstmals 2010</v>
      </c>
      <c r="AX996" s="215" t="str">
        <f t="shared" si="443"/>
        <v/>
      </c>
      <c r="AY996" t="str">
        <f t="shared" si="444"/>
        <v/>
      </c>
      <c r="AZ996" t="str">
        <f t="shared" si="445"/>
        <v/>
      </c>
    </row>
    <row r="997" spans="1:52" s="178" customFormat="1" x14ac:dyDescent="0.25">
      <c r="A997" s="610" t="s">
        <v>5314</v>
      </c>
      <c r="B997" s="17" t="s">
        <v>5548</v>
      </c>
      <c r="C997" s="17" t="s">
        <v>1288</v>
      </c>
      <c r="D997" s="30" t="s">
        <v>6933</v>
      </c>
      <c r="E997" s="17" t="s">
        <v>3055</v>
      </c>
      <c r="F997" s="454">
        <f t="shared" si="452"/>
        <v>23.61</v>
      </c>
      <c r="G997" s="529">
        <v>23.61</v>
      </c>
      <c r="H997" s="487">
        <f t="shared" si="453"/>
        <v>18.89</v>
      </c>
      <c r="I997" s="706"/>
      <c r="J997" s="669" t="s">
        <v>5805</v>
      </c>
      <c r="K997" s="15"/>
      <c r="L997"/>
      <c r="M997" s="49">
        <f t="shared" si="454"/>
        <v>23.61</v>
      </c>
      <c r="N997" s="41">
        <v>11.67</v>
      </c>
      <c r="O997" s="54"/>
      <c r="P997" s="15"/>
      <c r="Q997"/>
      <c r="R997"/>
      <c r="S997" t="s">
        <v>1017</v>
      </c>
      <c r="T997" s="178" t="s">
        <v>4180</v>
      </c>
      <c r="U997" s="55" t="s">
        <v>1017</v>
      </c>
      <c r="V997" t="s">
        <v>1017</v>
      </c>
      <c r="W997" s="65"/>
      <c r="X997" s="65"/>
      <c r="Y997"/>
      <c r="Z997"/>
      <c r="AA997" s="65"/>
      <c r="AB997"/>
      <c r="AC997"/>
      <c r="AD997" s="91"/>
      <c r="AE997" s="124" t="s">
        <v>1017</v>
      </c>
      <c r="AF997" s="65"/>
      <c r="AG997" s="91"/>
      <c r="AH997" s="212" t="str">
        <f t="shared" si="460"/>
        <v>2011</v>
      </c>
      <c r="AI997" s="214" t="str">
        <f t="shared" si="446"/>
        <v/>
      </c>
      <c r="AJ997" s="214" t="str">
        <f t="shared" si="447"/>
        <v/>
      </c>
      <c r="AK997" s="214" t="str">
        <f t="shared" si="448"/>
        <v/>
      </c>
      <c r="AL997" s="214" t="str">
        <f t="shared" si="449"/>
        <v/>
      </c>
      <c r="AM997" s="214" t="str">
        <f t="shared" si="450"/>
        <v/>
      </c>
      <c r="AN997" s="213" t="str">
        <f t="shared" si="433"/>
        <v>2011</v>
      </c>
      <c r="AO997" s="213" t="str">
        <f t="shared" si="434"/>
        <v>2011</v>
      </c>
      <c r="AP997" s="213" t="str">
        <f t="shared" si="435"/>
        <v>2011</v>
      </c>
      <c r="AQ997" s="215" t="str">
        <f t="shared" si="436"/>
        <v/>
      </c>
      <c r="AR997" s="216" t="str">
        <f t="shared" si="437"/>
        <v>BiK81a1bK11y05</v>
      </c>
      <c r="AS997" s="215" t="str">
        <f t="shared" si="438"/>
        <v/>
      </c>
      <c r="AT997">
        <f t="shared" si="439"/>
        <v>14</v>
      </c>
      <c r="AU997" s="216" t="str">
        <f t="shared" si="440"/>
        <v>0-0,15 MW, Bonusregeln a1, b, y und K erstmals 2011</v>
      </c>
      <c r="AV997" s="215" t="str">
        <f t="shared" si="441"/>
        <v/>
      </c>
      <c r="AW997" s="216" t="str">
        <f t="shared" si="442"/>
        <v>Anteil KWK, erstmals 2011</v>
      </c>
      <c r="AX997" s="215" t="str">
        <f t="shared" si="443"/>
        <v/>
      </c>
      <c r="AY997" t="str">
        <f t="shared" si="444"/>
        <v>x</v>
      </c>
      <c r="AZ997" t="str">
        <f t="shared" si="445"/>
        <v/>
      </c>
    </row>
    <row r="998" spans="1:52" s="178" customFormat="1" x14ac:dyDescent="0.25">
      <c r="A998" s="625" t="s">
        <v>1564</v>
      </c>
      <c r="B998" s="221" t="s">
        <v>5548</v>
      </c>
      <c r="C998" s="221" t="s">
        <v>1288</v>
      </c>
      <c r="D998" s="219" t="s">
        <v>6934</v>
      </c>
      <c r="E998" s="221" t="s">
        <v>1980</v>
      </c>
      <c r="F998" s="455">
        <f t="shared" si="452"/>
        <v>23.58</v>
      </c>
      <c r="G998" s="530">
        <v>23.58</v>
      </c>
      <c r="H998" s="488">
        <f t="shared" si="453"/>
        <v>18.86</v>
      </c>
      <c r="I998" s="707"/>
      <c r="J998" s="669" t="s">
        <v>5805</v>
      </c>
      <c r="K998" s="15"/>
      <c r="L998"/>
      <c r="M998" s="49">
        <f t="shared" si="454"/>
        <v>23.58</v>
      </c>
      <c r="N998" s="41">
        <v>11.67</v>
      </c>
      <c r="O998" s="54"/>
      <c r="P998" s="15"/>
      <c r="Q998"/>
      <c r="R998"/>
      <c r="S998" t="s">
        <v>4180</v>
      </c>
      <c r="T998" s="178" t="s">
        <v>1017</v>
      </c>
      <c r="U998" s="55" t="s">
        <v>1017</v>
      </c>
      <c r="V998" t="s">
        <v>1017</v>
      </c>
      <c r="W998" s="65"/>
      <c r="X998" s="65"/>
      <c r="Y998"/>
      <c r="Z998"/>
      <c r="AA998" s="65"/>
      <c r="AB998"/>
      <c r="AC998"/>
      <c r="AD998" s="91"/>
      <c r="AE998" s="124" t="s">
        <v>1017</v>
      </c>
      <c r="AF998" s="65"/>
      <c r="AG998" s="91"/>
      <c r="AH998" s="217" t="s">
        <v>4179</v>
      </c>
      <c r="AI998" s="214" t="str">
        <f t="shared" si="446"/>
        <v/>
      </c>
      <c r="AJ998" s="214" t="str">
        <f t="shared" si="447"/>
        <v/>
      </c>
      <c r="AK998" s="214" t="str">
        <f t="shared" si="448"/>
        <v/>
      </c>
      <c r="AL998" s="214" t="str">
        <f t="shared" si="449"/>
        <v/>
      </c>
      <c r="AM998" s="214" t="str">
        <f t="shared" si="450"/>
        <v/>
      </c>
      <c r="AN998" s="213" t="str">
        <f t="shared" si="433"/>
        <v>2012</v>
      </c>
      <c r="AO998" s="213" t="str">
        <f t="shared" si="434"/>
        <v>2012</v>
      </c>
      <c r="AP998" s="213" t="str">
        <f t="shared" si="435"/>
        <v>2012</v>
      </c>
      <c r="AQ998" s="215" t="str">
        <f t="shared" si="436"/>
        <v/>
      </c>
      <c r="AR998" s="216" t="str">
        <f t="shared" si="437"/>
        <v>BiK81a1bK12y05</v>
      </c>
      <c r="AS998" s="215" t="str">
        <f t="shared" si="438"/>
        <v/>
      </c>
      <c r="AT998">
        <f t="shared" si="439"/>
        <v>14</v>
      </c>
      <c r="AU998" s="216" t="str">
        <f t="shared" si="440"/>
        <v>0-0,15 MW, Bonusregeln a1, b, y und K erstmals 2012</v>
      </c>
      <c r="AV998" s="215" t="str">
        <f t="shared" si="441"/>
        <v/>
      </c>
      <c r="AW998" s="216" t="str">
        <f t="shared" si="442"/>
        <v>Anteil KWK, erstmals 2012</v>
      </c>
      <c r="AX998" s="215" t="str">
        <f t="shared" si="443"/>
        <v/>
      </c>
      <c r="AY998" t="str">
        <f t="shared" si="444"/>
        <v/>
      </c>
      <c r="AZ998" t="str">
        <f t="shared" si="445"/>
        <v>x</v>
      </c>
    </row>
    <row r="999" spans="1:52" s="178" customFormat="1" x14ac:dyDescent="0.25">
      <c r="A999" s="610" t="s">
        <v>4523</v>
      </c>
      <c r="B999" s="30" t="s">
        <v>5548</v>
      </c>
      <c r="C999" s="30" t="s">
        <v>1288</v>
      </c>
      <c r="D999" s="30" t="s">
        <v>6935</v>
      </c>
      <c r="E999" s="30" t="s">
        <v>4810</v>
      </c>
      <c r="F999" s="454">
        <f t="shared" si="452"/>
        <v>20.67</v>
      </c>
      <c r="G999" s="529">
        <v>20.67</v>
      </c>
      <c r="H999" s="487">
        <f t="shared" si="453"/>
        <v>16.54</v>
      </c>
      <c r="I999" s="706"/>
      <c r="J999" s="669" t="s">
        <v>5805</v>
      </c>
      <c r="K999" s="15"/>
      <c r="L999"/>
      <c r="M999" s="49">
        <f t="shared" si="454"/>
        <v>20.67</v>
      </c>
      <c r="N999" s="41">
        <v>11.67</v>
      </c>
      <c r="O999" s="186"/>
      <c r="P999" s="177"/>
      <c r="S999" s="178" t="s">
        <v>4180</v>
      </c>
      <c r="T999" s="178" t="s">
        <v>4180</v>
      </c>
      <c r="U999" s="179"/>
      <c r="W999" s="180"/>
      <c r="X999" s="180"/>
      <c r="Y999" s="178" t="s">
        <v>1017</v>
      </c>
      <c r="AA999" s="180"/>
      <c r="AD999" s="201"/>
      <c r="AE999" s="200" t="s">
        <v>1017</v>
      </c>
      <c r="AF999" s="180"/>
      <c r="AG999" s="201"/>
      <c r="AH999" s="212" t="str">
        <f t="shared" ref="AH999:AH1004" si="461">IF(ISERROR(SEARCH("K erstmals 201",D999)),"",RIGHT(D999,4))</f>
        <v/>
      </c>
      <c r="AI999" s="214" t="str">
        <f t="shared" si="446"/>
        <v/>
      </c>
      <c r="AJ999" s="214" t="str">
        <f t="shared" si="447"/>
        <v/>
      </c>
      <c r="AK999" s="214" t="str">
        <f t="shared" si="448"/>
        <v/>
      </c>
      <c r="AL999" s="214" t="str">
        <f t="shared" si="449"/>
        <v/>
      </c>
      <c r="AM999" s="214" t="str">
        <f t="shared" si="450"/>
        <v/>
      </c>
      <c r="AN999" s="213" t="str">
        <f t="shared" si="433"/>
        <v/>
      </c>
      <c r="AO999" s="213" t="str">
        <f t="shared" si="434"/>
        <v/>
      </c>
      <c r="AP999" s="213" t="str">
        <f t="shared" si="435"/>
        <v/>
      </c>
      <c r="AQ999" s="215" t="str">
        <f t="shared" si="436"/>
        <v/>
      </c>
      <c r="AR999" s="216" t="str">
        <f t="shared" si="437"/>
        <v>BiK81Gb-----05</v>
      </c>
      <c r="AS999" s="215" t="str">
        <f t="shared" si="438"/>
        <v/>
      </c>
      <c r="AT999">
        <f t="shared" si="439"/>
        <v>14</v>
      </c>
      <c r="AU999" s="216" t="str">
        <f t="shared" si="440"/>
        <v>0-0,15 MW, Bonusregeln G, b</v>
      </c>
      <c r="AV999" s="215" t="str">
        <f t="shared" si="441"/>
        <v/>
      </c>
      <c r="AW999" s="216" t="str">
        <f t="shared" si="442"/>
        <v>Anteil Nicht-KWK</v>
      </c>
      <c r="AX999" s="215" t="str">
        <f t="shared" si="443"/>
        <v/>
      </c>
      <c r="AY999" t="str">
        <f t="shared" si="444"/>
        <v/>
      </c>
      <c r="AZ999" t="str">
        <f t="shared" si="445"/>
        <v/>
      </c>
    </row>
    <row r="1000" spans="1:52" s="178" customFormat="1" x14ac:dyDescent="0.25">
      <c r="A1000" s="610" t="s">
        <v>4524</v>
      </c>
      <c r="B1000" s="30" t="s">
        <v>5548</v>
      </c>
      <c r="C1000" s="30" t="s">
        <v>1288</v>
      </c>
      <c r="D1000" s="30" t="s">
        <v>6936</v>
      </c>
      <c r="E1000" s="30" t="s">
        <v>4812</v>
      </c>
      <c r="F1000" s="454">
        <f t="shared" si="452"/>
        <v>22.67</v>
      </c>
      <c r="G1000" s="529">
        <v>22.67</v>
      </c>
      <c r="H1000" s="487">
        <f t="shared" si="453"/>
        <v>18.14</v>
      </c>
      <c r="I1000" s="706"/>
      <c r="J1000" s="669" t="s">
        <v>5805</v>
      </c>
      <c r="K1000" s="15"/>
      <c r="L1000"/>
      <c r="M1000" s="49">
        <f t="shared" si="454"/>
        <v>22.67</v>
      </c>
      <c r="N1000" s="41">
        <v>11.67</v>
      </c>
      <c r="O1000" s="186" t="s">
        <v>1017</v>
      </c>
      <c r="P1000" s="177"/>
      <c r="S1000" s="178" t="s">
        <v>4180</v>
      </c>
      <c r="T1000" s="178" t="s">
        <v>4180</v>
      </c>
      <c r="U1000" s="179"/>
      <c r="W1000" s="180"/>
      <c r="X1000" s="180"/>
      <c r="Y1000" s="178" t="s">
        <v>1017</v>
      </c>
      <c r="AA1000" s="180"/>
      <c r="AD1000" s="201"/>
      <c r="AE1000" s="200" t="s">
        <v>1017</v>
      </c>
      <c r="AF1000" s="180"/>
      <c r="AG1000" s="201"/>
      <c r="AH1000" s="212" t="str">
        <f t="shared" si="461"/>
        <v/>
      </c>
      <c r="AI1000" s="214" t="str">
        <f t="shared" si="446"/>
        <v/>
      </c>
      <c r="AJ1000" s="214" t="str">
        <f t="shared" si="447"/>
        <v/>
      </c>
      <c r="AK1000" s="214" t="str">
        <f t="shared" si="448"/>
        <v/>
      </c>
      <c r="AL1000" s="214" t="str">
        <f t="shared" si="449"/>
        <v/>
      </c>
      <c r="AM1000" s="214" t="str">
        <f t="shared" si="450"/>
        <v/>
      </c>
      <c r="AN1000" s="213" t="str">
        <f t="shared" si="433"/>
        <v/>
      </c>
      <c r="AO1000" s="213" t="str">
        <f t="shared" si="434"/>
        <v/>
      </c>
      <c r="AP1000" s="213" t="str">
        <f t="shared" si="435"/>
        <v/>
      </c>
      <c r="AQ1000" s="215" t="str">
        <f t="shared" si="436"/>
        <v/>
      </c>
      <c r="AR1000" s="216" t="str">
        <f t="shared" si="437"/>
        <v>BiK81GbKWK--05</v>
      </c>
      <c r="AS1000" s="215" t="str">
        <f t="shared" si="438"/>
        <v/>
      </c>
      <c r="AT1000">
        <f t="shared" si="439"/>
        <v>14</v>
      </c>
      <c r="AU1000" s="216" t="str">
        <f t="shared" si="440"/>
        <v>0-0,15 MW, Bonusregeln G, b und KWK</v>
      </c>
      <c r="AV1000" s="215" t="str">
        <f t="shared" si="441"/>
        <v/>
      </c>
      <c r="AW1000" s="216" t="str">
        <f t="shared" si="442"/>
        <v>Anteil KWK</v>
      </c>
      <c r="AX1000" s="215" t="str">
        <f t="shared" si="443"/>
        <v/>
      </c>
      <c r="AY1000" t="str">
        <f t="shared" si="444"/>
        <v/>
      </c>
      <c r="AZ1000" t="str">
        <f t="shared" si="445"/>
        <v/>
      </c>
    </row>
    <row r="1001" spans="1:52" s="178" customFormat="1" x14ac:dyDescent="0.25">
      <c r="A1001" s="610" t="s">
        <v>4525</v>
      </c>
      <c r="B1001" s="30" t="s">
        <v>5548</v>
      </c>
      <c r="C1001" s="30" t="s">
        <v>1288</v>
      </c>
      <c r="D1001" s="30" t="s">
        <v>6937</v>
      </c>
      <c r="E1001" s="30" t="s">
        <v>4331</v>
      </c>
      <c r="F1001" s="454">
        <f t="shared" si="452"/>
        <v>23.67</v>
      </c>
      <c r="G1001" s="529">
        <v>23.67</v>
      </c>
      <c r="H1001" s="487">
        <f t="shared" si="453"/>
        <v>18.940000000000001</v>
      </c>
      <c r="I1001" s="706"/>
      <c r="J1001" s="669" t="s">
        <v>5805</v>
      </c>
      <c r="K1001" s="15"/>
      <c r="L1001"/>
      <c r="M1001" s="49">
        <f t="shared" si="454"/>
        <v>23.67</v>
      </c>
      <c r="N1001" s="41">
        <v>11.67</v>
      </c>
      <c r="O1001" s="186"/>
      <c r="P1001" s="178" t="s">
        <v>1017</v>
      </c>
      <c r="S1001" s="178" t="s">
        <v>4180</v>
      </c>
      <c r="T1001" s="178" t="s">
        <v>4180</v>
      </c>
      <c r="U1001" s="179"/>
      <c r="W1001" s="180"/>
      <c r="X1001" s="180"/>
      <c r="Y1001" s="178" t="s">
        <v>1017</v>
      </c>
      <c r="AA1001" s="180"/>
      <c r="AD1001" s="201"/>
      <c r="AE1001" s="200" t="s">
        <v>1017</v>
      </c>
      <c r="AF1001" s="180"/>
      <c r="AG1001" s="201"/>
      <c r="AH1001" s="212" t="str">
        <f t="shared" si="461"/>
        <v/>
      </c>
      <c r="AI1001" s="214" t="str">
        <f t="shared" si="446"/>
        <v/>
      </c>
      <c r="AJ1001" s="214" t="str">
        <f t="shared" si="447"/>
        <v/>
      </c>
      <c r="AK1001" s="214" t="str">
        <f t="shared" si="448"/>
        <v/>
      </c>
      <c r="AL1001" s="214" t="str">
        <f t="shared" si="449"/>
        <v/>
      </c>
      <c r="AM1001" s="214" t="str">
        <f t="shared" si="450"/>
        <v/>
      </c>
      <c r="AN1001" s="213" t="str">
        <f t="shared" si="433"/>
        <v/>
      </c>
      <c r="AO1001" s="213" t="str">
        <f t="shared" si="434"/>
        <v/>
      </c>
      <c r="AP1001" s="213" t="str">
        <f t="shared" si="435"/>
        <v/>
      </c>
      <c r="AQ1001" s="215" t="str">
        <f t="shared" si="436"/>
        <v/>
      </c>
      <c r="AR1001" s="216" t="str">
        <f t="shared" si="437"/>
        <v>BiK81GbKA3--05</v>
      </c>
      <c r="AS1001" s="215" t="str">
        <f t="shared" si="438"/>
        <v/>
      </c>
      <c r="AT1001">
        <f t="shared" si="439"/>
        <v>14</v>
      </c>
      <c r="AU1001" s="216" t="str">
        <f t="shared" si="440"/>
        <v>0-0,15 MW, Bonusregeln G, b und K wenn Anlage 3 erfüllt</v>
      </c>
      <c r="AV1001" s="215" t="str">
        <f t="shared" si="441"/>
        <v/>
      </c>
      <c r="AW1001" s="216" t="str">
        <f t="shared" si="442"/>
        <v>Anteil KWK gemäß Anlage 3</v>
      </c>
      <c r="AX1001" s="215" t="str">
        <f t="shared" si="443"/>
        <v/>
      </c>
      <c r="AY1001" t="str">
        <f t="shared" si="444"/>
        <v/>
      </c>
      <c r="AZ1001" t="str">
        <f t="shared" si="445"/>
        <v/>
      </c>
    </row>
    <row r="1002" spans="1:52" s="178" customFormat="1" x14ac:dyDescent="0.25">
      <c r="A1002" s="610" t="s">
        <v>4526</v>
      </c>
      <c r="B1002" s="30" t="s">
        <v>5548</v>
      </c>
      <c r="C1002" s="30" t="s">
        <v>1288</v>
      </c>
      <c r="D1002" s="30" t="s">
        <v>6938</v>
      </c>
      <c r="E1002" s="30" t="s">
        <v>674</v>
      </c>
      <c r="F1002" s="454">
        <f t="shared" si="452"/>
        <v>23.67</v>
      </c>
      <c r="G1002" s="529">
        <v>23.67</v>
      </c>
      <c r="H1002" s="487">
        <f t="shared" si="453"/>
        <v>18.940000000000001</v>
      </c>
      <c r="I1002" s="706"/>
      <c r="J1002" s="669" t="s">
        <v>5805</v>
      </c>
      <c r="K1002" s="15"/>
      <c r="L1002"/>
      <c r="M1002" s="49">
        <f t="shared" si="454"/>
        <v>23.67</v>
      </c>
      <c r="N1002" s="41">
        <v>11.67</v>
      </c>
      <c r="O1002" s="186"/>
      <c r="P1002" s="177"/>
      <c r="Q1002" s="178" t="s">
        <v>1017</v>
      </c>
      <c r="S1002" s="178" t="s">
        <v>4180</v>
      </c>
      <c r="T1002" s="178" t="s">
        <v>4180</v>
      </c>
      <c r="U1002" s="179"/>
      <c r="W1002" s="180"/>
      <c r="X1002" s="180"/>
      <c r="Y1002" s="178" t="s">
        <v>1017</v>
      </c>
      <c r="AA1002" s="180"/>
      <c r="AD1002" s="201"/>
      <c r="AE1002" s="200" t="s">
        <v>1017</v>
      </c>
      <c r="AF1002" s="180"/>
      <c r="AG1002" s="201"/>
      <c r="AH1002" s="212" t="str">
        <f t="shared" si="461"/>
        <v/>
      </c>
      <c r="AI1002" s="214" t="str">
        <f t="shared" si="446"/>
        <v/>
      </c>
      <c r="AJ1002" s="214" t="str">
        <f t="shared" si="447"/>
        <v/>
      </c>
      <c r="AK1002" s="214" t="str">
        <f t="shared" si="448"/>
        <v/>
      </c>
      <c r="AL1002" s="214" t="str">
        <f t="shared" si="449"/>
        <v/>
      </c>
      <c r="AM1002" s="214" t="str">
        <f t="shared" si="450"/>
        <v/>
      </c>
      <c r="AN1002" s="213" t="str">
        <f t="shared" si="433"/>
        <v/>
      </c>
      <c r="AO1002" s="213" t="str">
        <f t="shared" si="434"/>
        <v/>
      </c>
      <c r="AP1002" s="213" t="str">
        <f t="shared" si="435"/>
        <v/>
      </c>
      <c r="AQ1002" s="215" t="str">
        <f t="shared" si="436"/>
        <v/>
      </c>
      <c r="AR1002" s="216" t="str">
        <f t="shared" si="437"/>
        <v>BiK81GbK09--05</v>
      </c>
      <c r="AS1002" s="215" t="str">
        <f t="shared" si="438"/>
        <v/>
      </c>
      <c r="AT1002">
        <f t="shared" si="439"/>
        <v>14</v>
      </c>
      <c r="AU1002" s="216" t="str">
        <f t="shared" si="440"/>
        <v>0-0,15 MW, Bonusregeln G, b und K erstmals 2009</v>
      </c>
      <c r="AV1002" s="215" t="str">
        <f t="shared" si="441"/>
        <v/>
      </c>
      <c r="AW1002" s="216" t="str">
        <f t="shared" si="442"/>
        <v>Anteil KWK, erstmals 2009</v>
      </c>
      <c r="AX1002" s="215" t="str">
        <f t="shared" si="443"/>
        <v/>
      </c>
      <c r="AY1002" t="str">
        <f t="shared" si="444"/>
        <v/>
      </c>
      <c r="AZ1002" t="str">
        <f t="shared" si="445"/>
        <v/>
      </c>
    </row>
    <row r="1003" spans="1:52" s="178" customFormat="1" x14ac:dyDescent="0.25">
      <c r="A1003" s="610" t="s">
        <v>3584</v>
      </c>
      <c r="B1003" s="30" t="s">
        <v>5548</v>
      </c>
      <c r="C1003" s="30" t="s">
        <v>1288</v>
      </c>
      <c r="D1003" s="30" t="s">
        <v>6939</v>
      </c>
      <c r="E1003" s="30" t="s">
        <v>3567</v>
      </c>
      <c r="F1003" s="454">
        <f t="shared" si="452"/>
        <v>23.64</v>
      </c>
      <c r="G1003" s="529">
        <v>23.64</v>
      </c>
      <c r="H1003" s="487">
        <f t="shared" si="453"/>
        <v>18.91</v>
      </c>
      <c r="I1003" s="706"/>
      <c r="J1003" s="669" t="s">
        <v>5805</v>
      </c>
      <c r="K1003" s="15"/>
      <c r="L1003"/>
      <c r="M1003" s="49">
        <f t="shared" si="454"/>
        <v>23.64</v>
      </c>
      <c r="N1003" s="41">
        <v>11.67</v>
      </c>
      <c r="O1003" s="186"/>
      <c r="P1003" s="177"/>
      <c r="R1003" s="178" t="s">
        <v>1017</v>
      </c>
      <c r="S1003" s="178" t="s">
        <v>4180</v>
      </c>
      <c r="T1003" s="178" t="s">
        <v>4180</v>
      </c>
      <c r="U1003" s="179"/>
      <c r="W1003" s="180"/>
      <c r="X1003" s="180"/>
      <c r="Y1003" s="178" t="s">
        <v>1017</v>
      </c>
      <c r="AA1003" s="180"/>
      <c r="AD1003" s="201"/>
      <c r="AE1003" s="200" t="s">
        <v>1017</v>
      </c>
      <c r="AF1003" s="180"/>
      <c r="AG1003" s="201"/>
      <c r="AH1003" s="212" t="str">
        <f t="shared" si="461"/>
        <v>2010</v>
      </c>
      <c r="AI1003" s="214" t="str">
        <f t="shared" si="446"/>
        <v/>
      </c>
      <c r="AJ1003" s="214" t="str">
        <f t="shared" si="447"/>
        <v/>
      </c>
      <c r="AK1003" s="214" t="str">
        <f t="shared" si="448"/>
        <v/>
      </c>
      <c r="AL1003" s="214" t="str">
        <f t="shared" si="449"/>
        <v/>
      </c>
      <c r="AM1003" s="214" t="str">
        <f t="shared" si="450"/>
        <v/>
      </c>
      <c r="AN1003" s="213" t="str">
        <f t="shared" si="433"/>
        <v>2010</v>
      </c>
      <c r="AO1003" s="213" t="str">
        <f t="shared" si="434"/>
        <v>2010</v>
      </c>
      <c r="AP1003" s="213" t="str">
        <f t="shared" si="435"/>
        <v>2010</v>
      </c>
      <c r="AQ1003" s="215" t="str">
        <f t="shared" si="436"/>
        <v/>
      </c>
      <c r="AR1003" s="216" t="str">
        <f t="shared" si="437"/>
        <v>BiK81GbK10--05</v>
      </c>
      <c r="AS1003" s="215" t="str">
        <f t="shared" si="438"/>
        <v/>
      </c>
      <c r="AT1003">
        <f t="shared" si="439"/>
        <v>14</v>
      </c>
      <c r="AU1003" s="216" t="str">
        <f t="shared" si="440"/>
        <v>0-0,15 MW, Bonusregeln G, b und K erstmals 2010</v>
      </c>
      <c r="AV1003" s="215" t="str">
        <f t="shared" si="441"/>
        <v/>
      </c>
      <c r="AW1003" s="216" t="str">
        <f t="shared" si="442"/>
        <v>Anteil KWK, erstmals 2010</v>
      </c>
      <c r="AX1003" s="215" t="str">
        <f t="shared" si="443"/>
        <v/>
      </c>
      <c r="AY1003" t="str">
        <f t="shared" si="444"/>
        <v/>
      </c>
      <c r="AZ1003" t="str">
        <f t="shared" si="445"/>
        <v/>
      </c>
    </row>
    <row r="1004" spans="1:52" s="178" customFormat="1" x14ac:dyDescent="0.25">
      <c r="A1004" s="610" t="s">
        <v>5315</v>
      </c>
      <c r="B1004" s="30" t="s">
        <v>5548</v>
      </c>
      <c r="C1004" s="30" t="s">
        <v>1288</v>
      </c>
      <c r="D1004" s="30" t="s">
        <v>6940</v>
      </c>
      <c r="E1004" s="30" t="s">
        <v>3055</v>
      </c>
      <c r="F1004" s="454">
        <f t="shared" si="452"/>
        <v>23.61</v>
      </c>
      <c r="G1004" s="529">
        <v>23.61</v>
      </c>
      <c r="H1004" s="487">
        <f t="shared" si="453"/>
        <v>18.89</v>
      </c>
      <c r="I1004" s="706"/>
      <c r="J1004" s="669" t="s">
        <v>5805</v>
      </c>
      <c r="K1004" s="15"/>
      <c r="L1004"/>
      <c r="M1004" s="49">
        <f t="shared" si="454"/>
        <v>23.61</v>
      </c>
      <c r="N1004" s="41">
        <v>11.67</v>
      </c>
      <c r="O1004" s="186"/>
      <c r="P1004" s="177"/>
      <c r="S1004" s="178" t="s">
        <v>1017</v>
      </c>
      <c r="T1004" s="178" t="s">
        <v>4180</v>
      </c>
      <c r="U1004" s="179"/>
      <c r="W1004" s="180"/>
      <c r="X1004" s="180"/>
      <c r="Y1004" s="178" t="s">
        <v>1017</v>
      </c>
      <c r="AA1004" s="180"/>
      <c r="AD1004" s="201"/>
      <c r="AE1004" s="200" t="s">
        <v>1017</v>
      </c>
      <c r="AF1004" s="180"/>
      <c r="AG1004" s="201"/>
      <c r="AH1004" s="212" t="str">
        <f t="shared" si="461"/>
        <v>2011</v>
      </c>
      <c r="AI1004" s="214" t="str">
        <f t="shared" si="446"/>
        <v/>
      </c>
      <c r="AJ1004" s="214" t="str">
        <f t="shared" si="447"/>
        <v/>
      </c>
      <c r="AK1004" s="214" t="str">
        <f t="shared" si="448"/>
        <v/>
      </c>
      <c r="AL1004" s="214" t="str">
        <f t="shared" si="449"/>
        <v/>
      </c>
      <c r="AM1004" s="214" t="str">
        <f t="shared" si="450"/>
        <v/>
      </c>
      <c r="AN1004" s="213" t="str">
        <f t="shared" si="433"/>
        <v>2011</v>
      </c>
      <c r="AO1004" s="213" t="str">
        <f t="shared" si="434"/>
        <v>2011</v>
      </c>
      <c r="AP1004" s="213" t="str">
        <f t="shared" si="435"/>
        <v>2011</v>
      </c>
      <c r="AQ1004" s="215" t="str">
        <f t="shared" si="436"/>
        <v/>
      </c>
      <c r="AR1004" s="216" t="str">
        <f t="shared" si="437"/>
        <v>BiK81GbK11--05</v>
      </c>
      <c r="AS1004" s="215" t="str">
        <f t="shared" si="438"/>
        <v/>
      </c>
      <c r="AT1004">
        <f t="shared" si="439"/>
        <v>14</v>
      </c>
      <c r="AU1004" s="216" t="str">
        <f t="shared" si="440"/>
        <v>0-0,15 MW, Bonusregeln G, b und K erstmals 2011</v>
      </c>
      <c r="AV1004" s="215" t="str">
        <f t="shared" si="441"/>
        <v/>
      </c>
      <c r="AW1004" s="216" t="str">
        <f t="shared" si="442"/>
        <v>Anteil KWK, erstmals 2011</v>
      </c>
      <c r="AX1004" s="215" t="str">
        <f t="shared" si="443"/>
        <v/>
      </c>
      <c r="AY1004" t="str">
        <f t="shared" si="444"/>
        <v>x</v>
      </c>
      <c r="AZ1004" t="str">
        <f t="shared" si="445"/>
        <v/>
      </c>
    </row>
    <row r="1005" spans="1:52" s="178" customFormat="1" x14ac:dyDescent="0.25">
      <c r="A1005" s="625" t="s">
        <v>1565</v>
      </c>
      <c r="B1005" s="219" t="s">
        <v>5548</v>
      </c>
      <c r="C1005" s="219" t="s">
        <v>1288</v>
      </c>
      <c r="D1005" s="219" t="s">
        <v>6941</v>
      </c>
      <c r="E1005" s="219" t="s">
        <v>1980</v>
      </c>
      <c r="F1005" s="455">
        <f t="shared" si="452"/>
        <v>23.58</v>
      </c>
      <c r="G1005" s="530">
        <v>23.58</v>
      </c>
      <c r="H1005" s="488">
        <f t="shared" si="453"/>
        <v>18.86</v>
      </c>
      <c r="I1005" s="707"/>
      <c r="J1005" s="669" t="s">
        <v>5805</v>
      </c>
      <c r="K1005" s="15"/>
      <c r="L1005"/>
      <c r="M1005" s="49">
        <f t="shared" si="454"/>
        <v>23.58</v>
      </c>
      <c r="N1005" s="41">
        <v>11.67</v>
      </c>
      <c r="O1005" s="186"/>
      <c r="P1005" s="177"/>
      <c r="S1005" s="178" t="s">
        <v>4180</v>
      </c>
      <c r="T1005" s="178" t="s">
        <v>1017</v>
      </c>
      <c r="U1005" s="179"/>
      <c r="W1005" s="180"/>
      <c r="X1005" s="180"/>
      <c r="Y1005" s="178" t="s">
        <v>1017</v>
      </c>
      <c r="AA1005" s="180"/>
      <c r="AD1005" s="201"/>
      <c r="AE1005" s="200" t="s">
        <v>1017</v>
      </c>
      <c r="AF1005" s="180"/>
      <c r="AG1005" s="201"/>
      <c r="AH1005" s="217" t="s">
        <v>4179</v>
      </c>
      <c r="AI1005" s="214" t="str">
        <f t="shared" si="446"/>
        <v/>
      </c>
      <c r="AJ1005" s="214" t="str">
        <f t="shared" si="447"/>
        <v/>
      </c>
      <c r="AK1005" s="214" t="str">
        <f t="shared" si="448"/>
        <v/>
      </c>
      <c r="AL1005" s="214" t="str">
        <f t="shared" si="449"/>
        <v/>
      </c>
      <c r="AM1005" s="214" t="str">
        <f t="shared" si="450"/>
        <v/>
      </c>
      <c r="AN1005" s="213" t="str">
        <f t="shared" si="433"/>
        <v>2012</v>
      </c>
      <c r="AO1005" s="213" t="str">
        <f t="shared" si="434"/>
        <v>2012</v>
      </c>
      <c r="AP1005" s="213" t="str">
        <f t="shared" si="435"/>
        <v>2012</v>
      </c>
      <c r="AQ1005" s="215" t="str">
        <f t="shared" si="436"/>
        <v/>
      </c>
      <c r="AR1005" s="216" t="str">
        <f t="shared" si="437"/>
        <v>BiK81GbK12--05</v>
      </c>
      <c r="AS1005" s="215" t="str">
        <f t="shared" si="438"/>
        <v/>
      </c>
      <c r="AT1005">
        <f t="shared" si="439"/>
        <v>14</v>
      </c>
      <c r="AU1005" s="216" t="str">
        <f t="shared" si="440"/>
        <v>0-0,15 MW, Bonusregeln G, b und K erstmals 2012</v>
      </c>
      <c r="AV1005" s="215" t="str">
        <f t="shared" si="441"/>
        <v/>
      </c>
      <c r="AW1005" s="216" t="str">
        <f t="shared" si="442"/>
        <v>Anteil KWK, erstmals 2012</v>
      </c>
      <c r="AX1005" s="215" t="str">
        <f t="shared" si="443"/>
        <v/>
      </c>
      <c r="AY1005" t="str">
        <f t="shared" si="444"/>
        <v/>
      </c>
      <c r="AZ1005" t="str">
        <f t="shared" si="445"/>
        <v>x</v>
      </c>
    </row>
    <row r="1006" spans="1:52" s="178" customFormat="1" x14ac:dyDescent="0.25">
      <c r="A1006" s="610" t="s">
        <v>4527</v>
      </c>
      <c r="B1006" s="30" t="s">
        <v>5548</v>
      </c>
      <c r="C1006" s="30" t="s">
        <v>1288</v>
      </c>
      <c r="D1006" s="30" t="s">
        <v>6942</v>
      </c>
      <c r="E1006" s="30" t="s">
        <v>4810</v>
      </c>
      <c r="F1006" s="454">
        <f t="shared" si="452"/>
        <v>21.67</v>
      </c>
      <c r="G1006" s="529">
        <v>21.67</v>
      </c>
      <c r="H1006" s="487">
        <f t="shared" si="453"/>
        <v>17.34</v>
      </c>
      <c r="I1006" s="706"/>
      <c r="J1006" s="669" t="s">
        <v>5805</v>
      </c>
      <c r="K1006" s="15"/>
      <c r="L1006"/>
      <c r="M1006" s="49">
        <f t="shared" si="454"/>
        <v>21.67</v>
      </c>
      <c r="N1006" s="41">
        <v>11.67</v>
      </c>
      <c r="O1006" s="187"/>
      <c r="P1006" s="183"/>
      <c r="Q1006" s="184"/>
      <c r="R1006" s="184"/>
      <c r="S1006" s="184" t="s">
        <v>4180</v>
      </c>
      <c r="T1006" s="178" t="s">
        <v>4180</v>
      </c>
      <c r="U1006" s="185" t="s">
        <v>1017</v>
      </c>
      <c r="V1006" s="184"/>
      <c r="W1006" s="180"/>
      <c r="X1006" s="180"/>
      <c r="Y1006" s="184" t="s">
        <v>1017</v>
      </c>
      <c r="Z1006" s="184"/>
      <c r="AA1006" s="180"/>
      <c r="AB1006" s="184"/>
      <c r="AC1006" s="184"/>
      <c r="AD1006" s="201"/>
      <c r="AE1006" s="181" t="s">
        <v>1017</v>
      </c>
      <c r="AF1006" s="180"/>
      <c r="AG1006" s="201"/>
      <c r="AH1006" s="212" t="str">
        <f t="shared" ref="AH1006:AH1011" si="462">IF(ISERROR(SEARCH("K erstmals 201",D1006)),"",RIGHT(D1006,4))</f>
        <v/>
      </c>
      <c r="AI1006" s="214" t="str">
        <f t="shared" si="446"/>
        <v/>
      </c>
      <c r="AJ1006" s="214" t="str">
        <f t="shared" si="447"/>
        <v/>
      </c>
      <c r="AK1006" s="214" t="str">
        <f t="shared" si="448"/>
        <v/>
      </c>
      <c r="AL1006" s="214" t="str">
        <f t="shared" si="449"/>
        <v/>
      </c>
      <c r="AM1006" s="214" t="str">
        <f t="shared" si="450"/>
        <v/>
      </c>
      <c r="AN1006" s="213" t="str">
        <f t="shared" si="433"/>
        <v/>
      </c>
      <c r="AO1006" s="213" t="str">
        <f t="shared" si="434"/>
        <v/>
      </c>
      <c r="AP1006" s="213" t="str">
        <f t="shared" si="435"/>
        <v/>
      </c>
      <c r="AQ1006" s="215" t="str">
        <f t="shared" si="436"/>
        <v/>
      </c>
      <c r="AR1006" s="216" t="str">
        <f t="shared" si="437"/>
        <v>BiK81Gby----05</v>
      </c>
      <c r="AS1006" s="215" t="str">
        <f t="shared" si="438"/>
        <v/>
      </c>
      <c r="AT1006">
        <f t="shared" si="439"/>
        <v>14</v>
      </c>
      <c r="AU1006" s="216" t="str">
        <f t="shared" si="440"/>
        <v>0-0,15 MW, Bonusregeln G, y, b</v>
      </c>
      <c r="AV1006" s="215" t="str">
        <f t="shared" si="441"/>
        <v/>
      </c>
      <c r="AW1006" s="216" t="str">
        <f t="shared" si="442"/>
        <v>Anteil Nicht-KWK</v>
      </c>
      <c r="AX1006" s="215" t="str">
        <f t="shared" si="443"/>
        <v/>
      </c>
      <c r="AY1006" t="str">
        <f t="shared" si="444"/>
        <v/>
      </c>
      <c r="AZ1006" t="str">
        <f t="shared" si="445"/>
        <v/>
      </c>
    </row>
    <row r="1007" spans="1:52" s="178" customFormat="1" x14ac:dyDescent="0.25">
      <c r="A1007" s="610" t="s">
        <v>4528</v>
      </c>
      <c r="B1007" s="30" t="s">
        <v>5548</v>
      </c>
      <c r="C1007" s="30" t="s">
        <v>1288</v>
      </c>
      <c r="D1007" s="30" t="s">
        <v>6943</v>
      </c>
      <c r="E1007" s="30" t="s">
        <v>4812</v>
      </c>
      <c r="F1007" s="454">
        <f t="shared" si="452"/>
        <v>23.67</v>
      </c>
      <c r="G1007" s="529">
        <v>23.67</v>
      </c>
      <c r="H1007" s="487">
        <f t="shared" si="453"/>
        <v>18.940000000000001</v>
      </c>
      <c r="I1007" s="706"/>
      <c r="J1007" s="669" t="s">
        <v>5805</v>
      </c>
      <c r="K1007" s="15"/>
      <c r="L1007"/>
      <c r="M1007" s="49">
        <f t="shared" si="454"/>
        <v>23.67</v>
      </c>
      <c r="N1007" s="41">
        <v>11.67</v>
      </c>
      <c r="O1007" s="187" t="s">
        <v>1017</v>
      </c>
      <c r="P1007" s="183"/>
      <c r="Q1007" s="184"/>
      <c r="R1007" s="184"/>
      <c r="S1007" s="184" t="s">
        <v>4180</v>
      </c>
      <c r="T1007" s="178" t="s">
        <v>4180</v>
      </c>
      <c r="U1007" s="185" t="s">
        <v>1017</v>
      </c>
      <c r="V1007" s="184"/>
      <c r="W1007" s="180"/>
      <c r="X1007" s="180"/>
      <c r="Y1007" s="184" t="s">
        <v>1017</v>
      </c>
      <c r="Z1007" s="184"/>
      <c r="AA1007" s="180"/>
      <c r="AB1007" s="184"/>
      <c r="AC1007" s="184"/>
      <c r="AD1007" s="201"/>
      <c r="AE1007" s="181" t="s">
        <v>1017</v>
      </c>
      <c r="AF1007" s="180"/>
      <c r="AG1007" s="201"/>
      <c r="AH1007" s="212" t="str">
        <f t="shared" si="462"/>
        <v/>
      </c>
      <c r="AI1007" s="214" t="str">
        <f t="shared" si="446"/>
        <v/>
      </c>
      <c r="AJ1007" s="214" t="str">
        <f t="shared" si="447"/>
        <v/>
      </c>
      <c r="AK1007" s="214" t="str">
        <f t="shared" si="448"/>
        <v/>
      </c>
      <c r="AL1007" s="214" t="str">
        <f t="shared" si="449"/>
        <v/>
      </c>
      <c r="AM1007" s="214" t="str">
        <f t="shared" si="450"/>
        <v/>
      </c>
      <c r="AN1007" s="213" t="str">
        <f t="shared" si="433"/>
        <v/>
      </c>
      <c r="AO1007" s="213" t="str">
        <f t="shared" si="434"/>
        <v/>
      </c>
      <c r="AP1007" s="213" t="str">
        <f t="shared" si="435"/>
        <v/>
      </c>
      <c r="AQ1007" s="215" t="str">
        <f t="shared" si="436"/>
        <v/>
      </c>
      <c r="AR1007" s="216" t="str">
        <f t="shared" si="437"/>
        <v>BiK81GbKWKy-05</v>
      </c>
      <c r="AS1007" s="215" t="str">
        <f t="shared" si="438"/>
        <v/>
      </c>
      <c r="AT1007">
        <f t="shared" si="439"/>
        <v>14</v>
      </c>
      <c r="AU1007" s="216" t="str">
        <f t="shared" si="440"/>
        <v>0-0,15 MW, Bonusregeln G, y, b und KWK</v>
      </c>
      <c r="AV1007" s="215" t="str">
        <f t="shared" si="441"/>
        <v/>
      </c>
      <c r="AW1007" s="216" t="str">
        <f t="shared" si="442"/>
        <v>Anteil KWK</v>
      </c>
      <c r="AX1007" s="215" t="str">
        <f t="shared" si="443"/>
        <v/>
      </c>
      <c r="AY1007" t="str">
        <f t="shared" si="444"/>
        <v/>
      </c>
      <c r="AZ1007" t="str">
        <f t="shared" si="445"/>
        <v/>
      </c>
    </row>
    <row r="1008" spans="1:52" x14ac:dyDescent="0.25">
      <c r="A1008" s="610" t="s">
        <v>4529</v>
      </c>
      <c r="B1008" s="30" t="s">
        <v>5548</v>
      </c>
      <c r="C1008" s="30" t="s">
        <v>1288</v>
      </c>
      <c r="D1008" s="109" t="s">
        <v>6944</v>
      </c>
      <c r="E1008" s="30" t="s">
        <v>4331</v>
      </c>
      <c r="F1008" s="454">
        <f t="shared" si="452"/>
        <v>24.67</v>
      </c>
      <c r="G1008" s="529">
        <v>24.67</v>
      </c>
      <c r="H1008" s="487">
        <f t="shared" si="453"/>
        <v>19.739999999999998</v>
      </c>
      <c r="I1008" s="706"/>
      <c r="J1008" s="669" t="s">
        <v>5805</v>
      </c>
      <c r="K1008" s="15"/>
      <c r="M1008" s="49">
        <f t="shared" si="454"/>
        <v>24.67</v>
      </c>
      <c r="N1008" s="41">
        <v>11.67</v>
      </c>
      <c r="O1008" s="187"/>
      <c r="P1008" s="184" t="s">
        <v>1017</v>
      </c>
      <c r="Q1008" s="184"/>
      <c r="R1008" s="184"/>
      <c r="S1008" s="184" t="s">
        <v>4180</v>
      </c>
      <c r="T1008" t="s">
        <v>4180</v>
      </c>
      <c r="U1008" s="185" t="s">
        <v>1017</v>
      </c>
      <c r="V1008" s="184"/>
      <c r="W1008" s="180"/>
      <c r="X1008" s="180"/>
      <c r="Y1008" s="184" t="s">
        <v>1017</v>
      </c>
      <c r="Z1008" s="184"/>
      <c r="AA1008" s="180"/>
      <c r="AB1008" s="184"/>
      <c r="AC1008" s="184"/>
      <c r="AD1008" s="201"/>
      <c r="AE1008" s="181" t="s">
        <v>1017</v>
      </c>
      <c r="AF1008" s="180"/>
      <c r="AG1008" s="201"/>
      <c r="AH1008" s="212" t="str">
        <f t="shared" si="462"/>
        <v/>
      </c>
      <c r="AI1008" s="214" t="str">
        <f t="shared" si="446"/>
        <v/>
      </c>
      <c r="AJ1008" s="214" t="str">
        <f t="shared" si="447"/>
        <v/>
      </c>
      <c r="AK1008" s="214" t="str">
        <f t="shared" si="448"/>
        <v/>
      </c>
      <c r="AL1008" s="214" t="str">
        <f t="shared" si="449"/>
        <v/>
      </c>
      <c r="AM1008" s="214" t="str">
        <f t="shared" si="450"/>
        <v/>
      </c>
      <c r="AN1008" s="213" t="str">
        <f t="shared" si="433"/>
        <v/>
      </c>
      <c r="AO1008" s="213" t="str">
        <f t="shared" si="434"/>
        <v/>
      </c>
      <c r="AP1008" s="213" t="str">
        <f t="shared" si="435"/>
        <v/>
      </c>
      <c r="AQ1008" s="215" t="str">
        <f t="shared" si="436"/>
        <v/>
      </c>
      <c r="AR1008" s="216" t="str">
        <f t="shared" si="437"/>
        <v>BiK81GbKA3y-05</v>
      </c>
      <c r="AS1008" s="215" t="str">
        <f t="shared" si="438"/>
        <v/>
      </c>
      <c r="AT1008">
        <f t="shared" si="439"/>
        <v>14</v>
      </c>
      <c r="AU1008" s="216" t="str">
        <f t="shared" si="440"/>
        <v>0-0,15 MW, Bonusregeln G, y, b und K wenn Anlage 3 erfüllt</v>
      </c>
      <c r="AV1008" s="215" t="str">
        <f t="shared" si="441"/>
        <v/>
      </c>
      <c r="AW1008" s="216" t="str">
        <f t="shared" si="442"/>
        <v>Anteil KWK gemäß Anlage 3</v>
      </c>
      <c r="AX1008" s="215" t="str">
        <f t="shared" si="443"/>
        <v/>
      </c>
      <c r="AY1008" t="str">
        <f t="shared" si="444"/>
        <v/>
      </c>
      <c r="AZ1008" t="str">
        <f t="shared" si="445"/>
        <v/>
      </c>
    </row>
    <row r="1009" spans="1:52" x14ac:dyDescent="0.25">
      <c r="A1009" s="610" t="s">
        <v>3040</v>
      </c>
      <c r="B1009" s="30" t="s">
        <v>5548</v>
      </c>
      <c r="C1009" s="30" t="s">
        <v>1288</v>
      </c>
      <c r="D1009" s="30" t="s">
        <v>6945</v>
      </c>
      <c r="E1009" s="30" t="s">
        <v>674</v>
      </c>
      <c r="F1009" s="454">
        <f t="shared" si="452"/>
        <v>24.67</v>
      </c>
      <c r="G1009" s="529">
        <v>24.67</v>
      </c>
      <c r="H1009" s="487">
        <f t="shared" si="453"/>
        <v>19.739999999999998</v>
      </c>
      <c r="I1009" s="706"/>
      <c r="J1009" s="669" t="s">
        <v>5805</v>
      </c>
      <c r="K1009" s="15"/>
      <c r="M1009" s="49">
        <f t="shared" si="454"/>
        <v>24.67</v>
      </c>
      <c r="N1009" s="41">
        <v>11.67</v>
      </c>
      <c r="O1009" s="187"/>
      <c r="P1009" s="183"/>
      <c r="Q1009" s="184" t="s">
        <v>1017</v>
      </c>
      <c r="R1009" s="184"/>
      <c r="S1009" s="184" t="s">
        <v>4180</v>
      </c>
      <c r="T1009" t="s">
        <v>4180</v>
      </c>
      <c r="U1009" s="185" t="s">
        <v>1017</v>
      </c>
      <c r="V1009" s="184"/>
      <c r="W1009" s="180"/>
      <c r="X1009" s="180"/>
      <c r="Y1009" s="184" t="s">
        <v>1017</v>
      </c>
      <c r="Z1009" s="184"/>
      <c r="AA1009" s="180"/>
      <c r="AB1009" s="184"/>
      <c r="AC1009" s="184"/>
      <c r="AD1009" s="201"/>
      <c r="AE1009" s="181" t="s">
        <v>1017</v>
      </c>
      <c r="AF1009" s="180"/>
      <c r="AG1009" s="201"/>
      <c r="AH1009" s="212" t="str">
        <f t="shared" si="462"/>
        <v/>
      </c>
      <c r="AI1009" s="214" t="str">
        <f t="shared" si="446"/>
        <v/>
      </c>
      <c r="AJ1009" s="214" t="str">
        <f t="shared" si="447"/>
        <v/>
      </c>
      <c r="AK1009" s="214" t="str">
        <f t="shared" si="448"/>
        <v/>
      </c>
      <c r="AL1009" s="214" t="str">
        <f t="shared" si="449"/>
        <v/>
      </c>
      <c r="AM1009" s="214" t="str">
        <f t="shared" si="450"/>
        <v/>
      </c>
      <c r="AN1009" s="213" t="str">
        <f t="shared" si="433"/>
        <v/>
      </c>
      <c r="AO1009" s="213" t="str">
        <f t="shared" si="434"/>
        <v/>
      </c>
      <c r="AP1009" s="213" t="str">
        <f t="shared" si="435"/>
        <v/>
      </c>
      <c r="AQ1009" s="215" t="str">
        <f t="shared" si="436"/>
        <v/>
      </c>
      <c r="AR1009" s="216" t="str">
        <f t="shared" si="437"/>
        <v>BiK81GbK09y-05</v>
      </c>
      <c r="AS1009" s="215" t="str">
        <f t="shared" si="438"/>
        <v/>
      </c>
      <c r="AT1009">
        <f t="shared" si="439"/>
        <v>14</v>
      </c>
      <c r="AU1009" s="216" t="str">
        <f t="shared" si="440"/>
        <v>0-0,15 MW, Bonusregeln G, y, b und K erstmals 2009</v>
      </c>
      <c r="AV1009" s="215" t="str">
        <f t="shared" si="441"/>
        <v/>
      </c>
      <c r="AW1009" s="216" t="str">
        <f t="shared" si="442"/>
        <v>Anteil KWK, erstmals 2009</v>
      </c>
      <c r="AX1009" s="215" t="str">
        <f t="shared" si="443"/>
        <v/>
      </c>
      <c r="AY1009" t="str">
        <f t="shared" si="444"/>
        <v/>
      </c>
      <c r="AZ1009" t="str">
        <f t="shared" si="445"/>
        <v/>
      </c>
    </row>
    <row r="1010" spans="1:52" x14ac:dyDescent="0.25">
      <c r="A1010" s="610" t="s">
        <v>3585</v>
      </c>
      <c r="B1010" s="30" t="s">
        <v>5548</v>
      </c>
      <c r="C1010" s="30" t="s">
        <v>1288</v>
      </c>
      <c r="D1010" s="30" t="s">
        <v>6946</v>
      </c>
      <c r="E1010" s="30" t="s">
        <v>3567</v>
      </c>
      <c r="F1010" s="454">
        <f t="shared" si="452"/>
        <v>24.64</v>
      </c>
      <c r="G1010" s="529">
        <v>24.64</v>
      </c>
      <c r="H1010" s="487">
        <f t="shared" si="453"/>
        <v>19.71</v>
      </c>
      <c r="I1010" s="706"/>
      <c r="J1010" s="669" t="s">
        <v>5805</v>
      </c>
      <c r="K1010" s="15"/>
      <c r="M1010" s="49">
        <f t="shared" si="454"/>
        <v>24.64</v>
      </c>
      <c r="N1010" s="41">
        <v>11.67</v>
      </c>
      <c r="O1010" s="187"/>
      <c r="P1010" s="183"/>
      <c r="Q1010" s="184"/>
      <c r="R1010" s="184" t="s">
        <v>1017</v>
      </c>
      <c r="S1010" s="184" t="s">
        <v>4180</v>
      </c>
      <c r="T1010" t="s">
        <v>4180</v>
      </c>
      <c r="U1010" s="185" t="s">
        <v>1017</v>
      </c>
      <c r="V1010" s="184"/>
      <c r="W1010" s="180"/>
      <c r="X1010" s="180"/>
      <c r="Y1010" s="184" t="s">
        <v>1017</v>
      </c>
      <c r="Z1010" s="184"/>
      <c r="AA1010" s="180"/>
      <c r="AB1010" s="184"/>
      <c r="AC1010" s="184"/>
      <c r="AD1010" s="201"/>
      <c r="AE1010" s="181" t="s">
        <v>1017</v>
      </c>
      <c r="AF1010" s="180"/>
      <c r="AG1010" s="201"/>
      <c r="AH1010" s="212" t="str">
        <f t="shared" si="462"/>
        <v>2010</v>
      </c>
      <c r="AI1010" s="214" t="str">
        <f t="shared" si="446"/>
        <v/>
      </c>
      <c r="AJ1010" s="214" t="str">
        <f t="shared" si="447"/>
        <v/>
      </c>
      <c r="AK1010" s="214" t="str">
        <f t="shared" si="448"/>
        <v/>
      </c>
      <c r="AL1010" s="214" t="str">
        <f t="shared" si="449"/>
        <v/>
      </c>
      <c r="AM1010" s="214" t="str">
        <f t="shared" si="450"/>
        <v/>
      </c>
      <c r="AN1010" s="213" t="str">
        <f t="shared" ref="AN1010:AN1073" si="463">IF(ISERROR(SEARCH("K1",A1010)),"","20"&amp;MID(A1010,SEARCH("K1",A1010)+1,2))</f>
        <v>2010</v>
      </c>
      <c r="AO1010" s="213" t="str">
        <f t="shared" ref="AO1010:AO1073" si="464">IF(ISERROR(SEARCH("erstmals 201",E1010)),"",MID(E1010,SEARCH("erstmals ",E1010)+9,4))</f>
        <v>2010</v>
      </c>
      <c r="AP1010" s="213" t="str">
        <f t="shared" ref="AP1010:AP1073" si="465">IF(R1010="x","2010",IF(S1010="x","2011",IF(T1010="x","2012","")))</f>
        <v>2010</v>
      </c>
      <c r="AQ1010" s="215" t="str">
        <f t="shared" ref="AQ1010:AQ1073" si="466">IF(OR(AH1010&lt;&gt;AN1010,AH1010&lt;&gt;AO1010,AH1010&lt;&gt;AP1010),"DIFF","")</f>
        <v/>
      </c>
      <c r="AR1010" s="216" t="str">
        <f t="shared" ref="AR1010:AR1073" si="467">IF(A1010="","",IF(ISERROR(SEARCH("K1",A1010)),A1010,LEFT(A1010,SEARCH("K1",A1010)+1)&amp;RIGHT(AH1010,1)&amp;MID(A1010,SEARCH("K1",A1010)+3,14)))</f>
        <v>BiK81GbK10y-05</v>
      </c>
      <c r="AS1010" s="215" t="str">
        <f t="shared" ref="AS1010:AS1073" si="468">IF(OR(A1010&lt;&gt;AR1010),"DIFF","")</f>
        <v/>
      </c>
      <c r="AT1010">
        <f t="shared" ref="AT1010:AT1073" si="469">LEN(AR1010)</f>
        <v>14</v>
      </c>
      <c r="AU1010" s="216" t="str">
        <f t="shared" ref="AU1010:AU1073" si="470">IF(D1010="","",IF(OR(A1010="",ISERROR(SEARCH("erstmals 201",D1010))),D1010,LEFT(D1010,SEARCH("erstmals 201",D1010)+8) &amp; AH1010 &amp; MID(D1010,SEARCH("erstmals 201",D1010)+13,255)))</f>
        <v>0-0,15 MW, Bonusregeln G, y, b und K erstmals 2010</v>
      </c>
      <c r="AV1010" s="215" t="str">
        <f t="shared" ref="AV1010:AV1073" si="471">IF(OR(D1010&lt;&gt;AU1010),"DIFF","")</f>
        <v/>
      </c>
      <c r="AW1010" s="216" t="str">
        <f t="shared" ref="AW1010:AW1073" si="472">IF(E1010="","",IF(OR(E1010="",ISERROR(SEARCH("erstmals 201",E1010))),E1010,LEFT(E1010,SEARCH("erstmals 201",E1010)+8) &amp; AH1010 &amp; MID(E1010,SEARCH("erstmals 201",E1010)+13,255)))</f>
        <v>Anteil KWK, erstmals 2010</v>
      </c>
      <c r="AX1010" s="215" t="str">
        <f t="shared" ref="AX1010:AX1073" si="473">IF(OR(E1010&lt;&gt;AW1010),"DIFF","")</f>
        <v/>
      </c>
      <c r="AY1010" t="str">
        <f t="shared" ref="AY1010:AY1073" si="474">IF(AH1010="2011","x",IF(AH1010="2012","","" &amp; S1010))</f>
        <v/>
      </c>
      <c r="AZ1010" t="str">
        <f t="shared" ref="AZ1010:AZ1073" si="475">IF(AH1010="2012","x",IF(AH1010="2011","","" &amp; T1010))</f>
        <v/>
      </c>
    </row>
    <row r="1011" spans="1:52" x14ac:dyDescent="0.25">
      <c r="A1011" s="610" t="s">
        <v>5316</v>
      </c>
      <c r="B1011" s="30" t="s">
        <v>5548</v>
      </c>
      <c r="C1011" s="30" t="s">
        <v>1288</v>
      </c>
      <c r="D1011" s="30" t="s">
        <v>6947</v>
      </c>
      <c r="E1011" s="30" t="s">
        <v>3055</v>
      </c>
      <c r="F1011" s="454">
        <f t="shared" si="452"/>
        <v>24.61</v>
      </c>
      <c r="G1011" s="529">
        <v>24.61</v>
      </c>
      <c r="H1011" s="487">
        <f t="shared" si="453"/>
        <v>19.690000000000001</v>
      </c>
      <c r="I1011" s="706"/>
      <c r="J1011" s="669" t="s">
        <v>5805</v>
      </c>
      <c r="K1011" s="15"/>
      <c r="M1011" s="49">
        <f t="shared" si="454"/>
        <v>24.61</v>
      </c>
      <c r="N1011" s="41">
        <v>11.67</v>
      </c>
      <c r="O1011" s="187"/>
      <c r="P1011" s="183"/>
      <c r="Q1011" s="184"/>
      <c r="R1011" s="178"/>
      <c r="S1011" s="184" t="s">
        <v>1017</v>
      </c>
      <c r="T1011" t="s">
        <v>4180</v>
      </c>
      <c r="U1011" s="185" t="s">
        <v>1017</v>
      </c>
      <c r="V1011" s="184"/>
      <c r="W1011" s="180"/>
      <c r="X1011" s="180"/>
      <c r="Y1011" s="184" t="s">
        <v>1017</v>
      </c>
      <c r="Z1011" s="184"/>
      <c r="AA1011" s="180"/>
      <c r="AB1011" s="184"/>
      <c r="AC1011" s="184"/>
      <c r="AD1011" s="201"/>
      <c r="AE1011" s="181" t="s">
        <v>1017</v>
      </c>
      <c r="AF1011" s="180"/>
      <c r="AG1011" s="201"/>
      <c r="AH1011" s="212" t="str">
        <f t="shared" si="462"/>
        <v>2011</v>
      </c>
      <c r="AI1011" s="214" t="str">
        <f t="shared" ref="AI1011:AI1074" si="476">IF(AND($AH1011&lt;&gt;"",AH1011 =AH1010),"Gleich","")</f>
        <v/>
      </c>
      <c r="AJ1011" s="214" t="str">
        <f t="shared" ref="AJ1011:AJ1074" si="477">IF(AND($AH1011&lt;&gt;"",A1011 =A1010),"Gleich","")</f>
        <v/>
      </c>
      <c r="AK1011" s="214" t="str">
        <f t="shared" ref="AK1011:AK1074" si="478">IF(AND($AH1011&lt;&gt;"",D1011 =D1010),"Gleich","")</f>
        <v/>
      </c>
      <c r="AL1011" s="214" t="str">
        <f t="shared" ref="AL1011:AL1074" si="479">IF(AND($AH1011&lt;&gt;"",E1011 =E1010),"Gleich","")</f>
        <v/>
      </c>
      <c r="AM1011" s="214" t="str">
        <f t="shared" ref="AM1011:AM1074" si="480">IF(AND($AH1011&lt;&gt;"",F1011 =F1010),"Gleich","")</f>
        <v/>
      </c>
      <c r="AN1011" s="213" t="str">
        <f t="shared" si="463"/>
        <v>2011</v>
      </c>
      <c r="AO1011" s="213" t="str">
        <f t="shared" si="464"/>
        <v>2011</v>
      </c>
      <c r="AP1011" s="213" t="str">
        <f t="shared" si="465"/>
        <v>2011</v>
      </c>
      <c r="AQ1011" s="215" t="str">
        <f t="shared" si="466"/>
        <v/>
      </c>
      <c r="AR1011" s="216" t="str">
        <f t="shared" si="467"/>
        <v>BiK81GbK11y-05</v>
      </c>
      <c r="AS1011" s="215" t="str">
        <f t="shared" si="468"/>
        <v/>
      </c>
      <c r="AT1011">
        <f t="shared" si="469"/>
        <v>14</v>
      </c>
      <c r="AU1011" s="216" t="str">
        <f t="shared" si="470"/>
        <v>0-0,15 MW, Bonusregeln G, y, b und K erstmals 2011</v>
      </c>
      <c r="AV1011" s="215" t="str">
        <f t="shared" si="471"/>
        <v/>
      </c>
      <c r="AW1011" s="216" t="str">
        <f t="shared" si="472"/>
        <v>Anteil KWK, erstmals 2011</v>
      </c>
      <c r="AX1011" s="215" t="str">
        <f t="shared" si="473"/>
        <v/>
      </c>
      <c r="AY1011" t="str">
        <f t="shared" si="474"/>
        <v>x</v>
      </c>
      <c r="AZ1011" t="str">
        <f t="shared" si="475"/>
        <v/>
      </c>
    </row>
    <row r="1012" spans="1:52" x14ac:dyDescent="0.25">
      <c r="A1012" s="625" t="s">
        <v>1566</v>
      </c>
      <c r="B1012" s="219" t="s">
        <v>5548</v>
      </c>
      <c r="C1012" s="219" t="s">
        <v>1288</v>
      </c>
      <c r="D1012" s="219" t="s">
        <v>6948</v>
      </c>
      <c r="E1012" s="219" t="s">
        <v>1980</v>
      </c>
      <c r="F1012" s="455">
        <f t="shared" si="452"/>
        <v>24.58</v>
      </c>
      <c r="G1012" s="530">
        <v>24.58</v>
      </c>
      <c r="H1012" s="488">
        <f t="shared" si="453"/>
        <v>19.66</v>
      </c>
      <c r="I1012" s="707"/>
      <c r="J1012" s="669" t="s">
        <v>5805</v>
      </c>
      <c r="K1012" s="15"/>
      <c r="M1012" s="49">
        <f t="shared" si="454"/>
        <v>24.58</v>
      </c>
      <c r="N1012" s="41">
        <v>11.67</v>
      </c>
      <c r="O1012" s="187"/>
      <c r="P1012" s="183"/>
      <c r="Q1012" s="184"/>
      <c r="R1012" s="178"/>
      <c r="S1012" s="184" t="s">
        <v>4180</v>
      </c>
      <c r="T1012" t="s">
        <v>1017</v>
      </c>
      <c r="U1012" s="185" t="s">
        <v>1017</v>
      </c>
      <c r="V1012" s="184"/>
      <c r="W1012" s="180"/>
      <c r="X1012" s="180"/>
      <c r="Y1012" s="184" t="s">
        <v>1017</v>
      </c>
      <c r="Z1012" s="184"/>
      <c r="AA1012" s="180"/>
      <c r="AB1012" s="184"/>
      <c r="AC1012" s="184"/>
      <c r="AD1012" s="201"/>
      <c r="AE1012" s="181" t="s">
        <v>1017</v>
      </c>
      <c r="AF1012" s="180"/>
      <c r="AG1012" s="201"/>
      <c r="AH1012" s="217" t="s">
        <v>4179</v>
      </c>
      <c r="AI1012" s="214" t="str">
        <f t="shared" si="476"/>
        <v/>
      </c>
      <c r="AJ1012" s="214" t="str">
        <f t="shared" si="477"/>
        <v/>
      </c>
      <c r="AK1012" s="214" t="str">
        <f t="shared" si="478"/>
        <v/>
      </c>
      <c r="AL1012" s="214" t="str">
        <f t="shared" si="479"/>
        <v/>
      </c>
      <c r="AM1012" s="214" t="str">
        <f t="shared" si="480"/>
        <v/>
      </c>
      <c r="AN1012" s="213" t="str">
        <f t="shared" si="463"/>
        <v>2012</v>
      </c>
      <c r="AO1012" s="213" t="str">
        <f t="shared" si="464"/>
        <v>2012</v>
      </c>
      <c r="AP1012" s="213" t="str">
        <f t="shared" si="465"/>
        <v>2012</v>
      </c>
      <c r="AQ1012" s="215" t="str">
        <f t="shared" si="466"/>
        <v/>
      </c>
      <c r="AR1012" s="216" t="str">
        <f t="shared" si="467"/>
        <v>BiK81GbK12y-05</v>
      </c>
      <c r="AS1012" s="215" t="str">
        <f t="shared" si="468"/>
        <v/>
      </c>
      <c r="AT1012">
        <f t="shared" si="469"/>
        <v>14</v>
      </c>
      <c r="AU1012" s="216" t="str">
        <f t="shared" si="470"/>
        <v>0-0,15 MW, Bonusregeln G, y, b und K erstmals 2012</v>
      </c>
      <c r="AV1012" s="215" t="str">
        <f t="shared" si="471"/>
        <v/>
      </c>
      <c r="AW1012" s="216" t="str">
        <f t="shared" si="472"/>
        <v>Anteil KWK, erstmals 2012</v>
      </c>
      <c r="AX1012" s="215" t="str">
        <f t="shared" si="473"/>
        <v/>
      </c>
      <c r="AY1012" t="str">
        <f t="shared" si="474"/>
        <v/>
      </c>
      <c r="AZ1012" t="str">
        <f t="shared" si="475"/>
        <v>x</v>
      </c>
    </row>
    <row r="1013" spans="1:52" x14ac:dyDescent="0.25">
      <c r="A1013" s="610" t="s">
        <v>2434</v>
      </c>
      <c r="B1013" s="30" t="s">
        <v>5548</v>
      </c>
      <c r="C1013" s="30" t="s">
        <v>1288</v>
      </c>
      <c r="D1013" s="30" t="s">
        <v>6949</v>
      </c>
      <c r="E1013" s="30" t="s">
        <v>4810</v>
      </c>
      <c r="F1013" s="454">
        <f t="shared" si="452"/>
        <v>24.67</v>
      </c>
      <c r="G1013" s="529">
        <v>24.67</v>
      </c>
      <c r="H1013" s="487">
        <f t="shared" si="453"/>
        <v>19.739999999999998</v>
      </c>
      <c r="I1013" s="706"/>
      <c r="J1013" s="669" t="s">
        <v>5805</v>
      </c>
      <c r="K1013" s="15"/>
      <c r="M1013" s="49">
        <f t="shared" si="454"/>
        <v>24.67</v>
      </c>
      <c r="N1013" s="41">
        <v>11.67</v>
      </c>
      <c r="O1013" s="186"/>
      <c r="P1013" s="177"/>
      <c r="Q1013" s="178"/>
      <c r="R1013" s="178"/>
      <c r="S1013" s="178" t="s">
        <v>4180</v>
      </c>
      <c r="T1013" t="s">
        <v>4180</v>
      </c>
      <c r="U1013" s="179"/>
      <c r="V1013" s="178"/>
      <c r="W1013" s="180"/>
      <c r="X1013" s="180"/>
      <c r="Y1013" s="178"/>
      <c r="Z1013" s="178" t="s">
        <v>1017</v>
      </c>
      <c r="AA1013" s="180"/>
      <c r="AB1013" s="178"/>
      <c r="AC1013" s="178"/>
      <c r="AD1013" s="201"/>
      <c r="AE1013" s="181" t="s">
        <v>1017</v>
      </c>
      <c r="AF1013" s="180"/>
      <c r="AG1013" s="201"/>
      <c r="AH1013" s="212" t="str">
        <f t="shared" ref="AH1013:AH1018" si="481">IF(ISERROR(SEARCH("K erstmals 201",D1013)),"",RIGHT(D1013,4))</f>
        <v/>
      </c>
      <c r="AI1013" s="214" t="str">
        <f t="shared" si="476"/>
        <v/>
      </c>
      <c r="AJ1013" s="214" t="str">
        <f t="shared" si="477"/>
        <v/>
      </c>
      <c r="AK1013" s="214" t="str">
        <f t="shared" si="478"/>
        <v/>
      </c>
      <c r="AL1013" s="214" t="str">
        <f t="shared" si="479"/>
        <v/>
      </c>
      <c r="AM1013" s="214" t="str">
        <f t="shared" si="480"/>
        <v/>
      </c>
      <c r="AN1013" s="213" t="str">
        <f t="shared" si="463"/>
        <v/>
      </c>
      <c r="AO1013" s="213" t="str">
        <f t="shared" si="464"/>
        <v/>
      </c>
      <c r="AP1013" s="213" t="str">
        <f t="shared" si="465"/>
        <v/>
      </c>
      <c r="AQ1013" s="215" t="str">
        <f t="shared" si="466"/>
        <v/>
      </c>
      <c r="AR1013" s="216" t="str">
        <f t="shared" si="467"/>
        <v>BiK81M1b----05</v>
      </c>
      <c r="AS1013" s="215" t="str">
        <f t="shared" si="468"/>
        <v/>
      </c>
      <c r="AT1013">
        <f t="shared" si="469"/>
        <v>14</v>
      </c>
      <c r="AU1013" s="216" t="str">
        <f t="shared" si="470"/>
        <v>0-0,15 MW, Bonusregeln M1, b</v>
      </c>
      <c r="AV1013" s="215" t="str">
        <f t="shared" si="471"/>
        <v/>
      </c>
      <c r="AW1013" s="216" t="str">
        <f t="shared" si="472"/>
        <v>Anteil Nicht-KWK</v>
      </c>
      <c r="AX1013" s="215" t="str">
        <f t="shared" si="473"/>
        <v/>
      </c>
      <c r="AY1013" t="str">
        <f t="shared" si="474"/>
        <v/>
      </c>
      <c r="AZ1013" t="str">
        <f t="shared" si="475"/>
        <v/>
      </c>
    </row>
    <row r="1014" spans="1:52" x14ac:dyDescent="0.25">
      <c r="A1014" s="610" t="s">
        <v>2435</v>
      </c>
      <c r="B1014" s="30" t="s">
        <v>5548</v>
      </c>
      <c r="C1014" s="30" t="s">
        <v>1288</v>
      </c>
      <c r="D1014" s="30" t="s">
        <v>6950</v>
      </c>
      <c r="E1014" s="30" t="s">
        <v>4812</v>
      </c>
      <c r="F1014" s="454">
        <f t="shared" si="452"/>
        <v>26.67</v>
      </c>
      <c r="G1014" s="529">
        <v>26.67</v>
      </c>
      <c r="H1014" s="487">
        <f t="shared" si="453"/>
        <v>21.34</v>
      </c>
      <c r="I1014" s="706"/>
      <c r="J1014" s="669" t="s">
        <v>5805</v>
      </c>
      <c r="K1014" s="15"/>
      <c r="M1014" s="49">
        <f t="shared" si="454"/>
        <v>26.67</v>
      </c>
      <c r="N1014" s="41">
        <v>11.67</v>
      </c>
      <c r="O1014" s="186" t="s">
        <v>1017</v>
      </c>
      <c r="P1014" s="177"/>
      <c r="Q1014" s="178"/>
      <c r="R1014" s="178"/>
      <c r="S1014" s="178" t="s">
        <v>4180</v>
      </c>
      <c r="T1014" t="s">
        <v>4180</v>
      </c>
      <c r="U1014" s="179"/>
      <c r="V1014" s="178"/>
      <c r="W1014" s="180"/>
      <c r="X1014" s="180"/>
      <c r="Y1014" s="178"/>
      <c r="Z1014" s="178" t="s">
        <v>1017</v>
      </c>
      <c r="AA1014" s="180"/>
      <c r="AB1014" s="178"/>
      <c r="AC1014" s="178"/>
      <c r="AD1014" s="201"/>
      <c r="AE1014" s="181" t="s">
        <v>1017</v>
      </c>
      <c r="AF1014" s="180"/>
      <c r="AG1014" s="201"/>
      <c r="AH1014" s="212" t="str">
        <f t="shared" si="481"/>
        <v/>
      </c>
      <c r="AI1014" s="214" t="str">
        <f t="shared" si="476"/>
        <v/>
      </c>
      <c r="AJ1014" s="214" t="str">
        <f t="shared" si="477"/>
        <v/>
      </c>
      <c r="AK1014" s="214" t="str">
        <f t="shared" si="478"/>
        <v/>
      </c>
      <c r="AL1014" s="214" t="str">
        <f t="shared" si="479"/>
        <v/>
      </c>
      <c r="AM1014" s="214" t="str">
        <f t="shared" si="480"/>
        <v/>
      </c>
      <c r="AN1014" s="213" t="str">
        <f t="shared" si="463"/>
        <v/>
      </c>
      <c r="AO1014" s="213" t="str">
        <f t="shared" si="464"/>
        <v/>
      </c>
      <c r="AP1014" s="213" t="str">
        <f t="shared" si="465"/>
        <v/>
      </c>
      <c r="AQ1014" s="215" t="str">
        <f t="shared" si="466"/>
        <v/>
      </c>
      <c r="AR1014" s="216" t="str">
        <f t="shared" si="467"/>
        <v>BiK81M1bKWK-05</v>
      </c>
      <c r="AS1014" s="215" t="str">
        <f t="shared" si="468"/>
        <v/>
      </c>
      <c r="AT1014">
        <f t="shared" si="469"/>
        <v>14</v>
      </c>
      <c r="AU1014" s="216" t="str">
        <f t="shared" si="470"/>
        <v>0-0,15 MW, Bonusregeln M1, b und KWK</v>
      </c>
      <c r="AV1014" s="215" t="str">
        <f t="shared" si="471"/>
        <v/>
      </c>
      <c r="AW1014" s="216" t="str">
        <f t="shared" si="472"/>
        <v>Anteil KWK</v>
      </c>
      <c r="AX1014" s="215" t="str">
        <f t="shared" si="473"/>
        <v/>
      </c>
      <c r="AY1014" t="str">
        <f t="shared" si="474"/>
        <v/>
      </c>
      <c r="AZ1014" t="str">
        <f t="shared" si="475"/>
        <v/>
      </c>
    </row>
    <row r="1015" spans="1:52" x14ac:dyDescent="0.25">
      <c r="A1015" s="610" t="s">
        <v>2436</v>
      </c>
      <c r="B1015" s="30" t="s">
        <v>5548</v>
      </c>
      <c r="C1015" s="30" t="s">
        <v>1288</v>
      </c>
      <c r="D1015" s="30" t="s">
        <v>6951</v>
      </c>
      <c r="E1015" s="30" t="s">
        <v>4331</v>
      </c>
      <c r="F1015" s="454">
        <f t="shared" ref="F1015:F1078" si="482">M1015</f>
        <v>27.67</v>
      </c>
      <c r="G1015" s="529">
        <v>27.67</v>
      </c>
      <c r="H1015" s="487">
        <f t="shared" ref="H1015:H1078" si="483">IF(ISNUMBER(G1015),ROUND(0.8*G1015,2),"")</f>
        <v>22.14</v>
      </c>
      <c r="I1015" s="706"/>
      <c r="J1015" s="669" t="s">
        <v>5805</v>
      </c>
      <c r="K1015" s="15"/>
      <c r="M1015" s="49">
        <f t="shared" ref="M1015:M1078" si="484">N1015+SUMIF(O1015:AG1015,"x",O$886:AG$886)</f>
        <v>27.67</v>
      </c>
      <c r="N1015" s="41">
        <v>11.67</v>
      </c>
      <c r="O1015" s="186"/>
      <c r="P1015" s="178" t="s">
        <v>1017</v>
      </c>
      <c r="Q1015" s="178"/>
      <c r="R1015" s="178"/>
      <c r="S1015" s="178" t="s">
        <v>4180</v>
      </c>
      <c r="T1015" t="s">
        <v>4180</v>
      </c>
      <c r="U1015" s="179"/>
      <c r="V1015" s="178"/>
      <c r="W1015" s="180"/>
      <c r="X1015" s="180"/>
      <c r="Y1015" s="178"/>
      <c r="Z1015" s="178" t="s">
        <v>1017</v>
      </c>
      <c r="AA1015" s="180"/>
      <c r="AB1015" s="178"/>
      <c r="AC1015" s="178"/>
      <c r="AD1015" s="201"/>
      <c r="AE1015" s="181" t="s">
        <v>1017</v>
      </c>
      <c r="AF1015" s="180"/>
      <c r="AG1015" s="201"/>
      <c r="AH1015" s="212" t="str">
        <f t="shared" si="481"/>
        <v/>
      </c>
      <c r="AI1015" s="214" t="str">
        <f t="shared" si="476"/>
        <v/>
      </c>
      <c r="AJ1015" s="214" t="str">
        <f t="shared" si="477"/>
        <v/>
      </c>
      <c r="AK1015" s="214" t="str">
        <f t="shared" si="478"/>
        <v/>
      </c>
      <c r="AL1015" s="214" t="str">
        <f t="shared" si="479"/>
        <v/>
      </c>
      <c r="AM1015" s="214" t="str">
        <f t="shared" si="480"/>
        <v/>
      </c>
      <c r="AN1015" s="213" t="str">
        <f t="shared" si="463"/>
        <v/>
      </c>
      <c r="AO1015" s="213" t="str">
        <f t="shared" si="464"/>
        <v/>
      </c>
      <c r="AP1015" s="213" t="str">
        <f t="shared" si="465"/>
        <v/>
      </c>
      <c r="AQ1015" s="215" t="str">
        <f t="shared" si="466"/>
        <v/>
      </c>
      <c r="AR1015" s="216" t="str">
        <f t="shared" si="467"/>
        <v>BiK81M1bKA3-05</v>
      </c>
      <c r="AS1015" s="215" t="str">
        <f t="shared" si="468"/>
        <v/>
      </c>
      <c r="AT1015">
        <f t="shared" si="469"/>
        <v>14</v>
      </c>
      <c r="AU1015" s="216" t="str">
        <f t="shared" si="470"/>
        <v>0-0,15 MW, Bonusregeln M1, b und K wenn Anlage 3 erfüllt</v>
      </c>
      <c r="AV1015" s="215" t="str">
        <f t="shared" si="471"/>
        <v/>
      </c>
      <c r="AW1015" s="216" t="str">
        <f t="shared" si="472"/>
        <v>Anteil KWK gemäß Anlage 3</v>
      </c>
      <c r="AX1015" s="215" t="str">
        <f t="shared" si="473"/>
        <v/>
      </c>
      <c r="AY1015" t="str">
        <f t="shared" si="474"/>
        <v/>
      </c>
      <c r="AZ1015" t="str">
        <f t="shared" si="475"/>
        <v/>
      </c>
    </row>
    <row r="1016" spans="1:52" x14ac:dyDescent="0.25">
      <c r="A1016" s="610" t="s">
        <v>2437</v>
      </c>
      <c r="B1016" s="30" t="s">
        <v>5548</v>
      </c>
      <c r="C1016" s="30" t="s">
        <v>1288</v>
      </c>
      <c r="D1016" s="30" t="s">
        <v>6952</v>
      </c>
      <c r="E1016" s="30" t="s">
        <v>674</v>
      </c>
      <c r="F1016" s="454">
        <f t="shared" si="482"/>
        <v>27.67</v>
      </c>
      <c r="G1016" s="529">
        <v>27.67</v>
      </c>
      <c r="H1016" s="487">
        <f t="shared" si="483"/>
        <v>22.14</v>
      </c>
      <c r="I1016" s="706"/>
      <c r="J1016" s="669" t="s">
        <v>5805</v>
      </c>
      <c r="K1016" s="15"/>
      <c r="M1016" s="49">
        <f t="shared" si="484"/>
        <v>27.67</v>
      </c>
      <c r="N1016" s="41">
        <v>11.67</v>
      </c>
      <c r="O1016" s="186"/>
      <c r="P1016" s="177"/>
      <c r="Q1016" s="178" t="s">
        <v>1017</v>
      </c>
      <c r="R1016" s="178"/>
      <c r="S1016" s="178" t="s">
        <v>4180</v>
      </c>
      <c r="T1016" t="s">
        <v>4180</v>
      </c>
      <c r="U1016" s="179"/>
      <c r="V1016" s="178"/>
      <c r="W1016" s="180"/>
      <c r="X1016" s="180"/>
      <c r="Y1016" s="178"/>
      <c r="Z1016" s="178" t="s">
        <v>1017</v>
      </c>
      <c r="AA1016" s="180"/>
      <c r="AB1016" s="178"/>
      <c r="AC1016" s="178"/>
      <c r="AD1016" s="201"/>
      <c r="AE1016" s="181" t="s">
        <v>1017</v>
      </c>
      <c r="AF1016" s="180"/>
      <c r="AG1016" s="201"/>
      <c r="AH1016" s="212" t="str">
        <f t="shared" si="481"/>
        <v/>
      </c>
      <c r="AI1016" s="214" t="str">
        <f t="shared" si="476"/>
        <v/>
      </c>
      <c r="AJ1016" s="214" t="str">
        <f t="shared" si="477"/>
        <v/>
      </c>
      <c r="AK1016" s="214" t="str">
        <f t="shared" si="478"/>
        <v/>
      </c>
      <c r="AL1016" s="214" t="str">
        <f t="shared" si="479"/>
        <v/>
      </c>
      <c r="AM1016" s="214" t="str">
        <f t="shared" si="480"/>
        <v/>
      </c>
      <c r="AN1016" s="213" t="str">
        <f t="shared" si="463"/>
        <v/>
      </c>
      <c r="AO1016" s="213" t="str">
        <f t="shared" si="464"/>
        <v/>
      </c>
      <c r="AP1016" s="213" t="str">
        <f t="shared" si="465"/>
        <v/>
      </c>
      <c r="AQ1016" s="215" t="str">
        <f t="shared" si="466"/>
        <v/>
      </c>
      <c r="AR1016" s="216" t="str">
        <f t="shared" si="467"/>
        <v>BiK81M1bK09-05</v>
      </c>
      <c r="AS1016" s="215" t="str">
        <f t="shared" si="468"/>
        <v/>
      </c>
      <c r="AT1016">
        <f t="shared" si="469"/>
        <v>14</v>
      </c>
      <c r="AU1016" s="216" t="str">
        <f t="shared" si="470"/>
        <v>0-0,15 MW, Bonusregeln M1, b und K erstmals 2009</v>
      </c>
      <c r="AV1016" s="215" t="str">
        <f t="shared" si="471"/>
        <v/>
      </c>
      <c r="AW1016" s="216" t="str">
        <f t="shared" si="472"/>
        <v>Anteil KWK, erstmals 2009</v>
      </c>
      <c r="AX1016" s="215" t="str">
        <f t="shared" si="473"/>
        <v/>
      </c>
      <c r="AY1016" t="str">
        <f t="shared" si="474"/>
        <v/>
      </c>
      <c r="AZ1016" t="str">
        <f t="shared" si="475"/>
        <v/>
      </c>
    </row>
    <row r="1017" spans="1:52" x14ac:dyDescent="0.25">
      <c r="A1017" s="610" t="s">
        <v>3586</v>
      </c>
      <c r="B1017" s="30" t="s">
        <v>5548</v>
      </c>
      <c r="C1017" s="30" t="s">
        <v>1288</v>
      </c>
      <c r="D1017" s="30" t="s">
        <v>6953</v>
      </c>
      <c r="E1017" s="30" t="s">
        <v>3567</v>
      </c>
      <c r="F1017" s="454">
        <f t="shared" si="482"/>
        <v>27.64</v>
      </c>
      <c r="G1017" s="529">
        <v>27.64</v>
      </c>
      <c r="H1017" s="487">
        <f t="shared" si="483"/>
        <v>22.11</v>
      </c>
      <c r="I1017" s="706"/>
      <c r="J1017" s="669" t="s">
        <v>5805</v>
      </c>
      <c r="K1017" s="15"/>
      <c r="M1017" s="49">
        <f t="shared" si="484"/>
        <v>27.64</v>
      </c>
      <c r="N1017" s="41">
        <v>11.67</v>
      </c>
      <c r="O1017" s="186"/>
      <c r="P1017" s="177"/>
      <c r="Q1017" s="178"/>
      <c r="R1017" s="178" t="s">
        <v>1017</v>
      </c>
      <c r="S1017" s="178" t="s">
        <v>4180</v>
      </c>
      <c r="T1017" t="s">
        <v>4180</v>
      </c>
      <c r="U1017" s="179"/>
      <c r="V1017" s="178"/>
      <c r="W1017" s="180"/>
      <c r="X1017" s="180"/>
      <c r="Y1017" s="178"/>
      <c r="Z1017" s="178" t="s">
        <v>1017</v>
      </c>
      <c r="AA1017" s="180"/>
      <c r="AB1017" s="178"/>
      <c r="AC1017" s="178"/>
      <c r="AD1017" s="201"/>
      <c r="AE1017" s="181" t="s">
        <v>1017</v>
      </c>
      <c r="AF1017" s="180"/>
      <c r="AG1017" s="201"/>
      <c r="AH1017" s="212" t="str">
        <f t="shared" si="481"/>
        <v>2010</v>
      </c>
      <c r="AI1017" s="214" t="str">
        <f t="shared" si="476"/>
        <v/>
      </c>
      <c r="AJ1017" s="214" t="str">
        <f t="shared" si="477"/>
        <v/>
      </c>
      <c r="AK1017" s="214" t="str">
        <f t="shared" si="478"/>
        <v/>
      </c>
      <c r="AL1017" s="214" t="str">
        <f t="shared" si="479"/>
        <v/>
      </c>
      <c r="AM1017" s="214" t="str">
        <f t="shared" si="480"/>
        <v/>
      </c>
      <c r="AN1017" s="213" t="str">
        <f t="shared" si="463"/>
        <v>2010</v>
      </c>
      <c r="AO1017" s="213" t="str">
        <f t="shared" si="464"/>
        <v>2010</v>
      </c>
      <c r="AP1017" s="213" t="str">
        <f t="shared" si="465"/>
        <v>2010</v>
      </c>
      <c r="AQ1017" s="215" t="str">
        <f t="shared" si="466"/>
        <v/>
      </c>
      <c r="AR1017" s="216" t="str">
        <f t="shared" si="467"/>
        <v>BiK81M1bK10-05</v>
      </c>
      <c r="AS1017" s="215" t="str">
        <f t="shared" si="468"/>
        <v/>
      </c>
      <c r="AT1017">
        <f t="shared" si="469"/>
        <v>14</v>
      </c>
      <c r="AU1017" s="216" t="str">
        <f t="shared" si="470"/>
        <v>0-0,15 MW, Bonusregeln M1, b und K erstmals 2010</v>
      </c>
      <c r="AV1017" s="215" t="str">
        <f t="shared" si="471"/>
        <v/>
      </c>
      <c r="AW1017" s="216" t="str">
        <f t="shared" si="472"/>
        <v>Anteil KWK, erstmals 2010</v>
      </c>
      <c r="AX1017" s="215" t="str">
        <f t="shared" si="473"/>
        <v/>
      </c>
      <c r="AY1017" t="str">
        <f t="shared" si="474"/>
        <v/>
      </c>
      <c r="AZ1017" t="str">
        <f t="shared" si="475"/>
        <v/>
      </c>
    </row>
    <row r="1018" spans="1:52" x14ac:dyDescent="0.25">
      <c r="A1018" s="610" t="s">
        <v>5317</v>
      </c>
      <c r="B1018" s="30" t="s">
        <v>5548</v>
      </c>
      <c r="C1018" s="30" t="s">
        <v>1288</v>
      </c>
      <c r="D1018" s="30" t="s">
        <v>6954</v>
      </c>
      <c r="E1018" s="30" t="s">
        <v>3055</v>
      </c>
      <c r="F1018" s="454">
        <f t="shared" si="482"/>
        <v>27.61</v>
      </c>
      <c r="G1018" s="529">
        <v>27.61</v>
      </c>
      <c r="H1018" s="487">
        <f t="shared" si="483"/>
        <v>22.09</v>
      </c>
      <c r="I1018" s="706"/>
      <c r="J1018" s="669" t="s">
        <v>5805</v>
      </c>
      <c r="K1018" s="15"/>
      <c r="M1018" s="49">
        <f t="shared" si="484"/>
        <v>27.61</v>
      </c>
      <c r="N1018" s="41">
        <v>11.67</v>
      </c>
      <c r="O1018" s="186"/>
      <c r="P1018" s="177"/>
      <c r="Q1018" s="178"/>
      <c r="R1018" s="178"/>
      <c r="S1018" s="178" t="s">
        <v>1017</v>
      </c>
      <c r="T1018" t="s">
        <v>4180</v>
      </c>
      <c r="U1018" s="179"/>
      <c r="V1018" s="178"/>
      <c r="W1018" s="180"/>
      <c r="X1018" s="180"/>
      <c r="Y1018" s="178"/>
      <c r="Z1018" s="178" t="s">
        <v>1017</v>
      </c>
      <c r="AA1018" s="180"/>
      <c r="AB1018" s="178"/>
      <c r="AC1018" s="178"/>
      <c r="AD1018" s="201"/>
      <c r="AE1018" s="181" t="s">
        <v>1017</v>
      </c>
      <c r="AF1018" s="180"/>
      <c r="AG1018" s="201"/>
      <c r="AH1018" s="212" t="str">
        <f t="shared" si="481"/>
        <v>2011</v>
      </c>
      <c r="AI1018" s="214" t="str">
        <f t="shared" si="476"/>
        <v/>
      </c>
      <c r="AJ1018" s="214" t="str">
        <f t="shared" si="477"/>
        <v/>
      </c>
      <c r="AK1018" s="214" t="str">
        <f t="shared" si="478"/>
        <v/>
      </c>
      <c r="AL1018" s="214" t="str">
        <f t="shared" si="479"/>
        <v/>
      </c>
      <c r="AM1018" s="214" t="str">
        <f t="shared" si="480"/>
        <v/>
      </c>
      <c r="AN1018" s="213" t="str">
        <f t="shared" si="463"/>
        <v>2011</v>
      </c>
      <c r="AO1018" s="213" t="str">
        <f t="shared" si="464"/>
        <v>2011</v>
      </c>
      <c r="AP1018" s="213" t="str">
        <f t="shared" si="465"/>
        <v>2011</v>
      </c>
      <c r="AQ1018" s="215" t="str">
        <f t="shared" si="466"/>
        <v/>
      </c>
      <c r="AR1018" s="216" t="str">
        <f t="shared" si="467"/>
        <v>BiK81M1bK11-05</v>
      </c>
      <c r="AS1018" s="215" t="str">
        <f t="shared" si="468"/>
        <v/>
      </c>
      <c r="AT1018">
        <f t="shared" si="469"/>
        <v>14</v>
      </c>
      <c r="AU1018" s="216" t="str">
        <f t="shared" si="470"/>
        <v>0-0,15 MW, Bonusregeln M1, b und K erstmals 2011</v>
      </c>
      <c r="AV1018" s="215" t="str">
        <f t="shared" si="471"/>
        <v/>
      </c>
      <c r="AW1018" s="216" t="str">
        <f t="shared" si="472"/>
        <v>Anteil KWK, erstmals 2011</v>
      </c>
      <c r="AX1018" s="215" t="str">
        <f t="shared" si="473"/>
        <v/>
      </c>
      <c r="AY1018" t="str">
        <f t="shared" si="474"/>
        <v>x</v>
      </c>
      <c r="AZ1018" t="str">
        <f t="shared" si="475"/>
        <v/>
      </c>
    </row>
    <row r="1019" spans="1:52" x14ac:dyDescent="0.25">
      <c r="A1019" s="625" t="s">
        <v>1567</v>
      </c>
      <c r="B1019" s="219" t="s">
        <v>5548</v>
      </c>
      <c r="C1019" s="219" t="s">
        <v>1288</v>
      </c>
      <c r="D1019" s="219" t="s">
        <v>6955</v>
      </c>
      <c r="E1019" s="219" t="s">
        <v>1980</v>
      </c>
      <c r="F1019" s="455">
        <f t="shared" si="482"/>
        <v>27.58</v>
      </c>
      <c r="G1019" s="530">
        <v>27.58</v>
      </c>
      <c r="H1019" s="488">
        <f t="shared" si="483"/>
        <v>22.06</v>
      </c>
      <c r="I1019" s="707"/>
      <c r="J1019" s="669" t="s">
        <v>5805</v>
      </c>
      <c r="K1019" s="15"/>
      <c r="M1019" s="49">
        <f t="shared" si="484"/>
        <v>27.58</v>
      </c>
      <c r="N1019" s="41">
        <v>11.67</v>
      </c>
      <c r="O1019" s="186"/>
      <c r="P1019" s="177"/>
      <c r="Q1019" s="178"/>
      <c r="R1019" s="178"/>
      <c r="S1019" s="178" t="s">
        <v>4180</v>
      </c>
      <c r="T1019" t="s">
        <v>1017</v>
      </c>
      <c r="U1019" s="179"/>
      <c r="V1019" s="178"/>
      <c r="W1019" s="180"/>
      <c r="X1019" s="180"/>
      <c r="Y1019" s="178"/>
      <c r="Z1019" s="178" t="s">
        <v>1017</v>
      </c>
      <c r="AA1019" s="180"/>
      <c r="AB1019" s="178"/>
      <c r="AC1019" s="178"/>
      <c r="AD1019" s="201"/>
      <c r="AE1019" s="181" t="s">
        <v>1017</v>
      </c>
      <c r="AF1019" s="180"/>
      <c r="AG1019" s="201"/>
      <c r="AH1019" s="217" t="s">
        <v>4179</v>
      </c>
      <c r="AI1019" s="214" t="str">
        <f t="shared" si="476"/>
        <v/>
      </c>
      <c r="AJ1019" s="214" t="str">
        <f t="shared" si="477"/>
        <v/>
      </c>
      <c r="AK1019" s="214" t="str">
        <f t="shared" si="478"/>
        <v/>
      </c>
      <c r="AL1019" s="214" t="str">
        <f t="shared" si="479"/>
        <v/>
      </c>
      <c r="AM1019" s="214" t="str">
        <f t="shared" si="480"/>
        <v/>
      </c>
      <c r="AN1019" s="213" t="str">
        <f t="shared" si="463"/>
        <v>2012</v>
      </c>
      <c r="AO1019" s="213" t="str">
        <f t="shared" si="464"/>
        <v>2012</v>
      </c>
      <c r="AP1019" s="213" t="str">
        <f t="shared" si="465"/>
        <v>2012</v>
      </c>
      <c r="AQ1019" s="215" t="str">
        <f t="shared" si="466"/>
        <v/>
      </c>
      <c r="AR1019" s="216" t="str">
        <f t="shared" si="467"/>
        <v>BiK81M1bK12-05</v>
      </c>
      <c r="AS1019" s="215" t="str">
        <f t="shared" si="468"/>
        <v/>
      </c>
      <c r="AT1019">
        <f t="shared" si="469"/>
        <v>14</v>
      </c>
      <c r="AU1019" s="216" t="str">
        <f t="shared" si="470"/>
        <v>0-0,15 MW, Bonusregeln M1, b und K erstmals 2012</v>
      </c>
      <c r="AV1019" s="215" t="str">
        <f t="shared" si="471"/>
        <v/>
      </c>
      <c r="AW1019" s="216" t="str">
        <f t="shared" si="472"/>
        <v>Anteil KWK, erstmals 2012</v>
      </c>
      <c r="AX1019" s="215" t="str">
        <f t="shared" si="473"/>
        <v/>
      </c>
      <c r="AY1019" t="str">
        <f t="shared" si="474"/>
        <v/>
      </c>
      <c r="AZ1019" t="str">
        <f t="shared" si="475"/>
        <v>x</v>
      </c>
    </row>
    <row r="1020" spans="1:52" x14ac:dyDescent="0.25">
      <c r="A1020" s="610" t="s">
        <v>2438</v>
      </c>
      <c r="B1020" s="30" t="s">
        <v>5548</v>
      </c>
      <c r="C1020" s="30" t="s">
        <v>1288</v>
      </c>
      <c r="D1020" s="30" t="s">
        <v>6956</v>
      </c>
      <c r="E1020" s="30" t="s">
        <v>4810</v>
      </c>
      <c r="F1020" s="454">
        <f t="shared" si="482"/>
        <v>25.67</v>
      </c>
      <c r="G1020" s="529">
        <v>25.67</v>
      </c>
      <c r="H1020" s="487">
        <f t="shared" si="483"/>
        <v>20.54</v>
      </c>
      <c r="I1020" s="706"/>
      <c r="J1020" s="669" t="s">
        <v>5805</v>
      </c>
      <c r="K1020" s="15"/>
      <c r="M1020" s="49">
        <f t="shared" si="484"/>
        <v>25.67</v>
      </c>
      <c r="N1020" s="41">
        <v>11.67</v>
      </c>
      <c r="O1020" s="187"/>
      <c r="P1020" s="183"/>
      <c r="Q1020" s="184"/>
      <c r="R1020" s="184"/>
      <c r="S1020" s="184" t="s">
        <v>4180</v>
      </c>
      <c r="T1020" t="s">
        <v>4180</v>
      </c>
      <c r="U1020" s="185" t="s">
        <v>1017</v>
      </c>
      <c r="V1020" s="184"/>
      <c r="W1020" s="180"/>
      <c r="X1020" s="180"/>
      <c r="Y1020" s="178"/>
      <c r="Z1020" s="184" t="s">
        <v>1017</v>
      </c>
      <c r="AA1020" s="180"/>
      <c r="AB1020" s="184"/>
      <c r="AC1020" s="184"/>
      <c r="AD1020" s="201"/>
      <c r="AE1020" s="181" t="s">
        <v>1017</v>
      </c>
      <c r="AF1020" s="180"/>
      <c r="AG1020" s="201"/>
      <c r="AH1020" s="212" t="str">
        <f t="shared" ref="AH1020:AH1025" si="485">IF(ISERROR(SEARCH("K erstmals 201",D1020)),"",RIGHT(D1020,4))</f>
        <v/>
      </c>
      <c r="AI1020" s="214" t="str">
        <f t="shared" si="476"/>
        <v/>
      </c>
      <c r="AJ1020" s="214" t="str">
        <f t="shared" si="477"/>
        <v/>
      </c>
      <c r="AK1020" s="214" t="str">
        <f t="shared" si="478"/>
        <v/>
      </c>
      <c r="AL1020" s="214" t="str">
        <f t="shared" si="479"/>
        <v/>
      </c>
      <c r="AM1020" s="214" t="str">
        <f t="shared" si="480"/>
        <v/>
      </c>
      <c r="AN1020" s="213" t="str">
        <f t="shared" si="463"/>
        <v/>
      </c>
      <c r="AO1020" s="213" t="str">
        <f t="shared" si="464"/>
        <v/>
      </c>
      <c r="AP1020" s="213" t="str">
        <f t="shared" si="465"/>
        <v/>
      </c>
      <c r="AQ1020" s="215" t="str">
        <f t="shared" si="466"/>
        <v/>
      </c>
      <c r="AR1020" s="216" t="str">
        <f t="shared" si="467"/>
        <v>BiK81M1by---05</v>
      </c>
      <c r="AS1020" s="215" t="str">
        <f t="shared" si="468"/>
        <v/>
      </c>
      <c r="AT1020">
        <f t="shared" si="469"/>
        <v>14</v>
      </c>
      <c r="AU1020" s="216" t="str">
        <f t="shared" si="470"/>
        <v>0-0,15 MW, Bonusregeln M1, y, b</v>
      </c>
      <c r="AV1020" s="215" t="str">
        <f t="shared" si="471"/>
        <v/>
      </c>
      <c r="AW1020" s="216" t="str">
        <f t="shared" si="472"/>
        <v>Anteil Nicht-KWK</v>
      </c>
      <c r="AX1020" s="215" t="str">
        <f t="shared" si="473"/>
        <v/>
      </c>
      <c r="AY1020" t="str">
        <f t="shared" si="474"/>
        <v/>
      </c>
      <c r="AZ1020" t="str">
        <f t="shared" si="475"/>
        <v/>
      </c>
    </row>
    <row r="1021" spans="1:52" x14ac:dyDescent="0.25">
      <c r="A1021" s="610" t="s">
        <v>2439</v>
      </c>
      <c r="B1021" s="30" t="s">
        <v>5548</v>
      </c>
      <c r="C1021" s="30" t="s">
        <v>1288</v>
      </c>
      <c r="D1021" s="30" t="s">
        <v>6957</v>
      </c>
      <c r="E1021" s="30" t="s">
        <v>4812</v>
      </c>
      <c r="F1021" s="454">
        <f t="shared" si="482"/>
        <v>27.67</v>
      </c>
      <c r="G1021" s="529">
        <v>27.67</v>
      </c>
      <c r="H1021" s="487">
        <f t="shared" si="483"/>
        <v>22.14</v>
      </c>
      <c r="I1021" s="706"/>
      <c r="J1021" s="669" t="s">
        <v>5805</v>
      </c>
      <c r="K1021" s="15"/>
      <c r="M1021" s="49">
        <f t="shared" si="484"/>
        <v>27.67</v>
      </c>
      <c r="N1021" s="41">
        <v>11.67</v>
      </c>
      <c r="O1021" s="187" t="s">
        <v>1017</v>
      </c>
      <c r="P1021" s="183"/>
      <c r="Q1021" s="184"/>
      <c r="R1021" s="184"/>
      <c r="S1021" s="184" t="s">
        <v>4180</v>
      </c>
      <c r="T1021" t="s">
        <v>4180</v>
      </c>
      <c r="U1021" s="185" t="s">
        <v>1017</v>
      </c>
      <c r="V1021" s="184"/>
      <c r="W1021" s="180"/>
      <c r="X1021" s="180"/>
      <c r="Y1021" s="178"/>
      <c r="Z1021" s="184" t="s">
        <v>1017</v>
      </c>
      <c r="AA1021" s="180"/>
      <c r="AB1021" s="184"/>
      <c r="AC1021" s="184"/>
      <c r="AD1021" s="201"/>
      <c r="AE1021" s="181" t="s">
        <v>1017</v>
      </c>
      <c r="AF1021" s="180"/>
      <c r="AG1021" s="201"/>
      <c r="AH1021" s="212" t="str">
        <f t="shared" si="485"/>
        <v/>
      </c>
      <c r="AI1021" s="214" t="str">
        <f t="shared" si="476"/>
        <v/>
      </c>
      <c r="AJ1021" s="214" t="str">
        <f t="shared" si="477"/>
        <v/>
      </c>
      <c r="AK1021" s="214" t="str">
        <f t="shared" si="478"/>
        <v/>
      </c>
      <c r="AL1021" s="214" t="str">
        <f t="shared" si="479"/>
        <v/>
      </c>
      <c r="AM1021" s="214" t="str">
        <f t="shared" si="480"/>
        <v/>
      </c>
      <c r="AN1021" s="213" t="str">
        <f t="shared" si="463"/>
        <v/>
      </c>
      <c r="AO1021" s="213" t="str">
        <f t="shared" si="464"/>
        <v/>
      </c>
      <c r="AP1021" s="213" t="str">
        <f t="shared" si="465"/>
        <v/>
      </c>
      <c r="AQ1021" s="215" t="str">
        <f t="shared" si="466"/>
        <v/>
      </c>
      <c r="AR1021" s="216" t="str">
        <f t="shared" si="467"/>
        <v>BiK81M1bKWKy05</v>
      </c>
      <c r="AS1021" s="215" t="str">
        <f t="shared" si="468"/>
        <v/>
      </c>
      <c r="AT1021">
        <f t="shared" si="469"/>
        <v>14</v>
      </c>
      <c r="AU1021" s="216" t="str">
        <f t="shared" si="470"/>
        <v>0-0,15 MW, Bonusregeln M1, y, b und KWK</v>
      </c>
      <c r="AV1021" s="215" t="str">
        <f t="shared" si="471"/>
        <v/>
      </c>
      <c r="AW1021" s="216" t="str">
        <f t="shared" si="472"/>
        <v>Anteil KWK</v>
      </c>
      <c r="AX1021" s="215" t="str">
        <f t="shared" si="473"/>
        <v/>
      </c>
      <c r="AY1021" t="str">
        <f t="shared" si="474"/>
        <v/>
      </c>
      <c r="AZ1021" t="str">
        <f t="shared" si="475"/>
        <v/>
      </c>
    </row>
    <row r="1022" spans="1:52" x14ac:dyDescent="0.25">
      <c r="A1022" s="610" t="s">
        <v>2440</v>
      </c>
      <c r="B1022" s="30" t="s">
        <v>5548</v>
      </c>
      <c r="C1022" s="30" t="s">
        <v>1288</v>
      </c>
      <c r="D1022" s="109" t="s">
        <v>6958</v>
      </c>
      <c r="E1022" s="30" t="s">
        <v>4331</v>
      </c>
      <c r="F1022" s="454">
        <f t="shared" si="482"/>
        <v>28.67</v>
      </c>
      <c r="G1022" s="529">
        <v>28.67</v>
      </c>
      <c r="H1022" s="487">
        <f t="shared" si="483"/>
        <v>22.94</v>
      </c>
      <c r="I1022" s="706"/>
      <c r="J1022" s="669" t="s">
        <v>5805</v>
      </c>
      <c r="K1022" s="15"/>
      <c r="M1022" s="49">
        <f t="shared" si="484"/>
        <v>28.67</v>
      </c>
      <c r="N1022" s="41">
        <v>11.67</v>
      </c>
      <c r="O1022" s="187"/>
      <c r="P1022" s="184" t="s">
        <v>1017</v>
      </c>
      <c r="Q1022" s="184"/>
      <c r="R1022" s="184"/>
      <c r="S1022" s="184" t="s">
        <v>4180</v>
      </c>
      <c r="T1022" t="s">
        <v>4180</v>
      </c>
      <c r="U1022" s="185" t="s">
        <v>1017</v>
      </c>
      <c r="V1022" s="184"/>
      <c r="W1022" s="180"/>
      <c r="X1022" s="180"/>
      <c r="Y1022" s="178"/>
      <c r="Z1022" s="184" t="s">
        <v>1017</v>
      </c>
      <c r="AA1022" s="180"/>
      <c r="AB1022" s="184"/>
      <c r="AC1022" s="184"/>
      <c r="AD1022" s="201"/>
      <c r="AE1022" s="181" t="s">
        <v>1017</v>
      </c>
      <c r="AF1022" s="180"/>
      <c r="AG1022" s="201"/>
      <c r="AH1022" s="212" t="str">
        <f t="shared" si="485"/>
        <v/>
      </c>
      <c r="AI1022" s="214" t="str">
        <f t="shared" si="476"/>
        <v/>
      </c>
      <c r="AJ1022" s="214" t="str">
        <f t="shared" si="477"/>
        <v/>
      </c>
      <c r="AK1022" s="214" t="str">
        <f t="shared" si="478"/>
        <v/>
      </c>
      <c r="AL1022" s="214" t="str">
        <f t="shared" si="479"/>
        <v/>
      </c>
      <c r="AM1022" s="214" t="str">
        <f t="shared" si="480"/>
        <v/>
      </c>
      <c r="AN1022" s="213" t="str">
        <f t="shared" si="463"/>
        <v/>
      </c>
      <c r="AO1022" s="213" t="str">
        <f t="shared" si="464"/>
        <v/>
      </c>
      <c r="AP1022" s="213" t="str">
        <f t="shared" si="465"/>
        <v/>
      </c>
      <c r="AQ1022" s="215" t="str">
        <f t="shared" si="466"/>
        <v/>
      </c>
      <c r="AR1022" s="216" t="str">
        <f t="shared" si="467"/>
        <v>BiK81M1bKA3y05</v>
      </c>
      <c r="AS1022" s="215" t="str">
        <f t="shared" si="468"/>
        <v/>
      </c>
      <c r="AT1022">
        <f t="shared" si="469"/>
        <v>14</v>
      </c>
      <c r="AU1022" s="216" t="str">
        <f t="shared" si="470"/>
        <v>0-0,15 MW, Bonusregeln M1, y, b und K wenn Anlage 3 erfüllt</v>
      </c>
      <c r="AV1022" s="215" t="str">
        <f t="shared" si="471"/>
        <v/>
      </c>
      <c r="AW1022" s="216" t="str">
        <f t="shared" si="472"/>
        <v>Anteil KWK gemäß Anlage 3</v>
      </c>
      <c r="AX1022" s="215" t="str">
        <f t="shared" si="473"/>
        <v/>
      </c>
      <c r="AY1022" t="str">
        <f t="shared" si="474"/>
        <v/>
      </c>
      <c r="AZ1022" t="str">
        <f t="shared" si="475"/>
        <v/>
      </c>
    </row>
    <row r="1023" spans="1:52" x14ac:dyDescent="0.25">
      <c r="A1023" s="610" t="s">
        <v>2441</v>
      </c>
      <c r="B1023" s="30" t="s">
        <v>5548</v>
      </c>
      <c r="C1023" s="30" t="s">
        <v>1288</v>
      </c>
      <c r="D1023" s="30" t="s">
        <v>6959</v>
      </c>
      <c r="E1023" s="30" t="s">
        <v>674</v>
      </c>
      <c r="F1023" s="454">
        <f t="shared" si="482"/>
        <v>28.67</v>
      </c>
      <c r="G1023" s="529">
        <v>28.67</v>
      </c>
      <c r="H1023" s="487">
        <f t="shared" si="483"/>
        <v>22.94</v>
      </c>
      <c r="I1023" s="706"/>
      <c r="J1023" s="669" t="s">
        <v>5805</v>
      </c>
      <c r="K1023" s="15"/>
      <c r="M1023" s="49">
        <f t="shared" si="484"/>
        <v>28.67</v>
      </c>
      <c r="N1023" s="41">
        <v>11.67</v>
      </c>
      <c r="O1023" s="187"/>
      <c r="P1023" s="183"/>
      <c r="Q1023" s="184" t="s">
        <v>1017</v>
      </c>
      <c r="R1023" s="184"/>
      <c r="S1023" s="184" t="s">
        <v>4180</v>
      </c>
      <c r="T1023" t="s">
        <v>4180</v>
      </c>
      <c r="U1023" s="185" t="s">
        <v>1017</v>
      </c>
      <c r="V1023" s="184"/>
      <c r="W1023" s="180"/>
      <c r="X1023" s="180"/>
      <c r="Y1023" s="178"/>
      <c r="Z1023" s="184" t="s">
        <v>1017</v>
      </c>
      <c r="AA1023" s="180"/>
      <c r="AB1023" s="184"/>
      <c r="AC1023" s="184"/>
      <c r="AD1023" s="201"/>
      <c r="AE1023" s="181" t="s">
        <v>1017</v>
      </c>
      <c r="AF1023" s="180"/>
      <c r="AG1023" s="201"/>
      <c r="AH1023" s="212" t="str">
        <f t="shared" si="485"/>
        <v/>
      </c>
      <c r="AI1023" s="214" t="str">
        <f t="shared" si="476"/>
        <v/>
      </c>
      <c r="AJ1023" s="214" t="str">
        <f t="shared" si="477"/>
        <v/>
      </c>
      <c r="AK1023" s="214" t="str">
        <f t="shared" si="478"/>
        <v/>
      </c>
      <c r="AL1023" s="214" t="str">
        <f t="shared" si="479"/>
        <v/>
      </c>
      <c r="AM1023" s="214" t="str">
        <f t="shared" si="480"/>
        <v/>
      </c>
      <c r="AN1023" s="213" t="str">
        <f t="shared" si="463"/>
        <v/>
      </c>
      <c r="AO1023" s="213" t="str">
        <f t="shared" si="464"/>
        <v/>
      </c>
      <c r="AP1023" s="213" t="str">
        <f t="shared" si="465"/>
        <v/>
      </c>
      <c r="AQ1023" s="215" t="str">
        <f t="shared" si="466"/>
        <v/>
      </c>
      <c r="AR1023" s="216" t="str">
        <f t="shared" si="467"/>
        <v>BiK81M1bK09y05</v>
      </c>
      <c r="AS1023" s="215" t="str">
        <f t="shared" si="468"/>
        <v/>
      </c>
      <c r="AT1023">
        <f t="shared" si="469"/>
        <v>14</v>
      </c>
      <c r="AU1023" s="216" t="str">
        <f t="shared" si="470"/>
        <v>0-0,15 MW, Bonusregeln M1, y, b und K erstmals 2009</v>
      </c>
      <c r="AV1023" s="215" t="str">
        <f t="shared" si="471"/>
        <v/>
      </c>
      <c r="AW1023" s="216" t="str">
        <f t="shared" si="472"/>
        <v>Anteil KWK, erstmals 2009</v>
      </c>
      <c r="AX1023" s="215" t="str">
        <f t="shared" si="473"/>
        <v/>
      </c>
      <c r="AY1023" t="str">
        <f t="shared" si="474"/>
        <v/>
      </c>
      <c r="AZ1023" t="str">
        <f t="shared" si="475"/>
        <v/>
      </c>
    </row>
    <row r="1024" spans="1:52" x14ac:dyDescent="0.25">
      <c r="A1024" s="610" t="s">
        <v>3587</v>
      </c>
      <c r="B1024" s="30" t="s">
        <v>5548</v>
      </c>
      <c r="C1024" s="30" t="s">
        <v>1288</v>
      </c>
      <c r="D1024" s="30" t="s">
        <v>6960</v>
      </c>
      <c r="E1024" s="30" t="s">
        <v>3567</v>
      </c>
      <c r="F1024" s="454">
        <f t="shared" si="482"/>
        <v>28.64</v>
      </c>
      <c r="G1024" s="529">
        <v>28.64</v>
      </c>
      <c r="H1024" s="487">
        <f t="shared" si="483"/>
        <v>22.91</v>
      </c>
      <c r="I1024" s="706"/>
      <c r="J1024" s="669" t="s">
        <v>5805</v>
      </c>
      <c r="K1024" s="15"/>
      <c r="M1024" s="49">
        <f t="shared" si="484"/>
        <v>28.64</v>
      </c>
      <c r="N1024" s="41">
        <v>11.67</v>
      </c>
      <c r="O1024" s="187"/>
      <c r="P1024" s="183"/>
      <c r="Q1024" s="184"/>
      <c r="R1024" s="184" t="s">
        <v>1017</v>
      </c>
      <c r="S1024" s="184" t="s">
        <v>4180</v>
      </c>
      <c r="T1024" t="s">
        <v>4180</v>
      </c>
      <c r="U1024" s="185" t="s">
        <v>1017</v>
      </c>
      <c r="V1024" s="184"/>
      <c r="W1024" s="180"/>
      <c r="X1024" s="180"/>
      <c r="Y1024" s="178"/>
      <c r="Z1024" s="184" t="s">
        <v>1017</v>
      </c>
      <c r="AA1024" s="180"/>
      <c r="AB1024" s="184"/>
      <c r="AC1024" s="184"/>
      <c r="AD1024" s="201"/>
      <c r="AE1024" s="181" t="s">
        <v>1017</v>
      </c>
      <c r="AF1024" s="180"/>
      <c r="AG1024" s="201"/>
      <c r="AH1024" s="212" t="str">
        <f t="shared" si="485"/>
        <v>2010</v>
      </c>
      <c r="AI1024" s="214" t="str">
        <f t="shared" si="476"/>
        <v/>
      </c>
      <c r="AJ1024" s="214" t="str">
        <f t="shared" si="477"/>
        <v/>
      </c>
      <c r="AK1024" s="214" t="str">
        <f t="shared" si="478"/>
        <v/>
      </c>
      <c r="AL1024" s="214" t="str">
        <f t="shared" si="479"/>
        <v/>
      </c>
      <c r="AM1024" s="214" t="str">
        <f t="shared" si="480"/>
        <v/>
      </c>
      <c r="AN1024" s="213" t="str">
        <f t="shared" si="463"/>
        <v>2010</v>
      </c>
      <c r="AO1024" s="213" t="str">
        <f t="shared" si="464"/>
        <v>2010</v>
      </c>
      <c r="AP1024" s="213" t="str">
        <f t="shared" si="465"/>
        <v>2010</v>
      </c>
      <c r="AQ1024" s="215" t="str">
        <f t="shared" si="466"/>
        <v/>
      </c>
      <c r="AR1024" s="216" t="str">
        <f t="shared" si="467"/>
        <v>BiK81M1bK10y05</v>
      </c>
      <c r="AS1024" s="215" t="str">
        <f t="shared" si="468"/>
        <v/>
      </c>
      <c r="AT1024">
        <f t="shared" si="469"/>
        <v>14</v>
      </c>
      <c r="AU1024" s="216" t="str">
        <f t="shared" si="470"/>
        <v>0-0,15 MW, Bonusregeln M1, y, b und K erstmals 2010</v>
      </c>
      <c r="AV1024" s="215" t="str">
        <f t="shared" si="471"/>
        <v/>
      </c>
      <c r="AW1024" s="216" t="str">
        <f t="shared" si="472"/>
        <v>Anteil KWK, erstmals 2010</v>
      </c>
      <c r="AX1024" s="215" t="str">
        <f t="shared" si="473"/>
        <v/>
      </c>
      <c r="AY1024" t="str">
        <f t="shared" si="474"/>
        <v/>
      </c>
      <c r="AZ1024" t="str">
        <f t="shared" si="475"/>
        <v/>
      </c>
    </row>
    <row r="1025" spans="1:52" x14ac:dyDescent="0.25">
      <c r="A1025" s="610" t="s">
        <v>5318</v>
      </c>
      <c r="B1025" s="30" t="s">
        <v>5548</v>
      </c>
      <c r="C1025" s="30" t="s">
        <v>1288</v>
      </c>
      <c r="D1025" s="30" t="s">
        <v>6961</v>
      </c>
      <c r="E1025" s="30" t="s">
        <v>3055</v>
      </c>
      <c r="F1025" s="454">
        <f t="shared" si="482"/>
        <v>28.61</v>
      </c>
      <c r="G1025" s="529">
        <v>28.61</v>
      </c>
      <c r="H1025" s="487">
        <f t="shared" si="483"/>
        <v>22.89</v>
      </c>
      <c r="I1025" s="706"/>
      <c r="J1025" s="669" t="s">
        <v>5805</v>
      </c>
      <c r="K1025" s="15"/>
      <c r="M1025" s="49">
        <f t="shared" si="484"/>
        <v>28.61</v>
      </c>
      <c r="N1025" s="41">
        <v>11.67</v>
      </c>
      <c r="O1025" s="187"/>
      <c r="P1025" s="183"/>
      <c r="Q1025" s="184"/>
      <c r="R1025" s="178"/>
      <c r="S1025" s="184" t="s">
        <v>1017</v>
      </c>
      <c r="T1025" t="s">
        <v>4180</v>
      </c>
      <c r="U1025" s="185" t="s">
        <v>1017</v>
      </c>
      <c r="V1025" s="184"/>
      <c r="W1025" s="180"/>
      <c r="X1025" s="180"/>
      <c r="Y1025" s="178"/>
      <c r="Z1025" s="184" t="s">
        <v>1017</v>
      </c>
      <c r="AA1025" s="180"/>
      <c r="AB1025" s="184"/>
      <c r="AC1025" s="184"/>
      <c r="AD1025" s="201"/>
      <c r="AE1025" s="181" t="s">
        <v>1017</v>
      </c>
      <c r="AF1025" s="180"/>
      <c r="AG1025" s="201"/>
      <c r="AH1025" s="212" t="str">
        <f t="shared" si="485"/>
        <v>2011</v>
      </c>
      <c r="AI1025" s="214" t="str">
        <f t="shared" si="476"/>
        <v/>
      </c>
      <c r="AJ1025" s="214" t="str">
        <f t="shared" si="477"/>
        <v/>
      </c>
      <c r="AK1025" s="214" t="str">
        <f t="shared" si="478"/>
        <v/>
      </c>
      <c r="AL1025" s="214" t="str">
        <f t="shared" si="479"/>
        <v/>
      </c>
      <c r="AM1025" s="214" t="str">
        <f t="shared" si="480"/>
        <v/>
      </c>
      <c r="AN1025" s="213" t="str">
        <f t="shared" si="463"/>
        <v>2011</v>
      </c>
      <c r="AO1025" s="213" t="str">
        <f t="shared" si="464"/>
        <v>2011</v>
      </c>
      <c r="AP1025" s="213" t="str">
        <f t="shared" si="465"/>
        <v>2011</v>
      </c>
      <c r="AQ1025" s="215" t="str">
        <f t="shared" si="466"/>
        <v/>
      </c>
      <c r="AR1025" s="216" t="str">
        <f t="shared" si="467"/>
        <v>BiK81M1bK11y05</v>
      </c>
      <c r="AS1025" s="215" t="str">
        <f t="shared" si="468"/>
        <v/>
      </c>
      <c r="AT1025">
        <f t="shared" si="469"/>
        <v>14</v>
      </c>
      <c r="AU1025" s="216" t="str">
        <f t="shared" si="470"/>
        <v>0-0,15 MW, Bonusregeln M1, y, b und K erstmals 2011</v>
      </c>
      <c r="AV1025" s="215" t="str">
        <f t="shared" si="471"/>
        <v/>
      </c>
      <c r="AW1025" s="216" t="str">
        <f t="shared" si="472"/>
        <v>Anteil KWK, erstmals 2011</v>
      </c>
      <c r="AX1025" s="215" t="str">
        <f t="shared" si="473"/>
        <v/>
      </c>
      <c r="AY1025" t="str">
        <f t="shared" si="474"/>
        <v>x</v>
      </c>
      <c r="AZ1025" t="str">
        <f t="shared" si="475"/>
        <v/>
      </c>
    </row>
    <row r="1026" spans="1:52" x14ac:dyDescent="0.25">
      <c r="A1026" s="625" t="s">
        <v>1568</v>
      </c>
      <c r="B1026" s="219" t="s">
        <v>5548</v>
      </c>
      <c r="C1026" s="219" t="s">
        <v>1288</v>
      </c>
      <c r="D1026" s="219" t="s">
        <v>6962</v>
      </c>
      <c r="E1026" s="219" t="s">
        <v>1980</v>
      </c>
      <c r="F1026" s="455">
        <f t="shared" si="482"/>
        <v>28.58</v>
      </c>
      <c r="G1026" s="530">
        <v>28.58</v>
      </c>
      <c r="H1026" s="488">
        <f t="shared" si="483"/>
        <v>22.86</v>
      </c>
      <c r="I1026" s="707"/>
      <c r="J1026" s="669" t="s">
        <v>5805</v>
      </c>
      <c r="K1026" s="15"/>
      <c r="M1026" s="49">
        <f t="shared" si="484"/>
        <v>28.58</v>
      </c>
      <c r="N1026" s="41">
        <v>11.67</v>
      </c>
      <c r="O1026" s="187"/>
      <c r="P1026" s="183"/>
      <c r="Q1026" s="184"/>
      <c r="R1026" s="178"/>
      <c r="S1026" s="184" t="s">
        <v>4180</v>
      </c>
      <c r="T1026" t="s">
        <v>1017</v>
      </c>
      <c r="U1026" s="185" t="s">
        <v>1017</v>
      </c>
      <c r="V1026" s="184"/>
      <c r="W1026" s="180"/>
      <c r="X1026" s="180"/>
      <c r="Y1026" s="178"/>
      <c r="Z1026" s="184" t="s">
        <v>1017</v>
      </c>
      <c r="AA1026" s="180"/>
      <c r="AB1026" s="184"/>
      <c r="AC1026" s="184"/>
      <c r="AD1026" s="201"/>
      <c r="AE1026" s="181" t="s">
        <v>1017</v>
      </c>
      <c r="AF1026" s="180"/>
      <c r="AG1026" s="201"/>
      <c r="AH1026" s="217" t="s">
        <v>4179</v>
      </c>
      <c r="AI1026" s="214" t="str">
        <f t="shared" si="476"/>
        <v/>
      </c>
      <c r="AJ1026" s="214" t="str">
        <f t="shared" si="477"/>
        <v/>
      </c>
      <c r="AK1026" s="214" t="str">
        <f t="shared" si="478"/>
        <v/>
      </c>
      <c r="AL1026" s="214" t="str">
        <f t="shared" si="479"/>
        <v/>
      </c>
      <c r="AM1026" s="214" t="str">
        <f t="shared" si="480"/>
        <v/>
      </c>
      <c r="AN1026" s="213" t="str">
        <f t="shared" si="463"/>
        <v>2012</v>
      </c>
      <c r="AO1026" s="213" t="str">
        <f t="shared" si="464"/>
        <v>2012</v>
      </c>
      <c r="AP1026" s="213" t="str">
        <f t="shared" si="465"/>
        <v>2012</v>
      </c>
      <c r="AQ1026" s="215" t="str">
        <f t="shared" si="466"/>
        <v/>
      </c>
      <c r="AR1026" s="216" t="str">
        <f t="shared" si="467"/>
        <v>BiK81M1bK12y05</v>
      </c>
      <c r="AS1026" s="215" t="str">
        <f t="shared" si="468"/>
        <v/>
      </c>
      <c r="AT1026">
        <f t="shared" si="469"/>
        <v>14</v>
      </c>
      <c r="AU1026" s="216" t="str">
        <f t="shared" si="470"/>
        <v>0-0,15 MW, Bonusregeln M1, y, b und K erstmals 2012</v>
      </c>
      <c r="AV1026" s="215" t="str">
        <f t="shared" si="471"/>
        <v/>
      </c>
      <c r="AW1026" s="216" t="str">
        <f t="shared" si="472"/>
        <v>Anteil KWK, erstmals 2012</v>
      </c>
      <c r="AX1026" s="215" t="str">
        <f t="shared" si="473"/>
        <v/>
      </c>
      <c r="AY1026" t="str">
        <f t="shared" si="474"/>
        <v/>
      </c>
      <c r="AZ1026" t="str">
        <f t="shared" si="475"/>
        <v>x</v>
      </c>
    </row>
    <row r="1027" spans="1:52" x14ac:dyDescent="0.25">
      <c r="A1027" s="610" t="s">
        <v>2442</v>
      </c>
      <c r="B1027" s="30" t="s">
        <v>5548</v>
      </c>
      <c r="C1027" s="30" t="s">
        <v>1288</v>
      </c>
      <c r="D1027" s="30" t="s">
        <v>6963</v>
      </c>
      <c r="E1027" s="30" t="s">
        <v>4810</v>
      </c>
      <c r="F1027" s="454">
        <f t="shared" si="482"/>
        <v>22.67</v>
      </c>
      <c r="G1027" s="529">
        <v>22.67</v>
      </c>
      <c r="H1027" s="487">
        <f t="shared" si="483"/>
        <v>18.14</v>
      </c>
      <c r="I1027" s="706"/>
      <c r="J1027" s="669" t="s">
        <v>5805</v>
      </c>
      <c r="K1027" s="15"/>
      <c r="M1027" s="49">
        <f t="shared" si="484"/>
        <v>22.67</v>
      </c>
      <c r="N1027" s="41">
        <v>11.67</v>
      </c>
      <c r="O1027" s="186"/>
      <c r="P1027" s="177"/>
      <c r="Q1027" s="178"/>
      <c r="R1027" s="178"/>
      <c r="S1027" s="178" t="s">
        <v>4180</v>
      </c>
      <c r="T1027" t="s">
        <v>4180</v>
      </c>
      <c r="U1027" s="179"/>
      <c r="V1027" s="178"/>
      <c r="W1027" s="180"/>
      <c r="X1027" s="180"/>
      <c r="Y1027" s="178"/>
      <c r="Z1027" s="178"/>
      <c r="AA1027" s="180"/>
      <c r="AB1027" s="178" t="s">
        <v>1017</v>
      </c>
      <c r="AC1027" s="178"/>
      <c r="AD1027" s="201"/>
      <c r="AE1027" s="181" t="s">
        <v>1017</v>
      </c>
      <c r="AF1027" s="180"/>
      <c r="AG1027" s="201"/>
      <c r="AH1027" s="212" t="str">
        <f t="shared" ref="AH1027:AH1032" si="486">IF(ISERROR(SEARCH("K erstmals 201",D1027)),"",RIGHT(D1027,4))</f>
        <v/>
      </c>
      <c r="AI1027" s="214" t="str">
        <f t="shared" si="476"/>
        <v/>
      </c>
      <c r="AJ1027" s="214" t="str">
        <f t="shared" si="477"/>
        <v/>
      </c>
      <c r="AK1027" s="214" t="str">
        <f t="shared" si="478"/>
        <v/>
      </c>
      <c r="AL1027" s="214" t="str">
        <f t="shared" si="479"/>
        <v/>
      </c>
      <c r="AM1027" s="214" t="str">
        <f t="shared" si="480"/>
        <v/>
      </c>
      <c r="AN1027" s="213" t="str">
        <f t="shared" si="463"/>
        <v/>
      </c>
      <c r="AO1027" s="213" t="str">
        <f t="shared" si="464"/>
        <v/>
      </c>
      <c r="AP1027" s="213" t="str">
        <f t="shared" si="465"/>
        <v/>
      </c>
      <c r="AQ1027" s="215" t="str">
        <f t="shared" si="466"/>
        <v/>
      </c>
      <c r="AR1027" s="216" t="str">
        <f t="shared" si="467"/>
        <v>BiK81Lb-----05</v>
      </c>
      <c r="AS1027" s="215" t="str">
        <f t="shared" si="468"/>
        <v/>
      </c>
      <c r="AT1027">
        <f t="shared" si="469"/>
        <v>14</v>
      </c>
      <c r="AU1027" s="216" t="str">
        <f t="shared" si="470"/>
        <v>0-0,15 MW, Bonusregeln L, b</v>
      </c>
      <c r="AV1027" s="215" t="str">
        <f t="shared" si="471"/>
        <v/>
      </c>
      <c r="AW1027" s="216" t="str">
        <f t="shared" si="472"/>
        <v>Anteil Nicht-KWK</v>
      </c>
      <c r="AX1027" s="215" t="str">
        <f t="shared" si="473"/>
        <v/>
      </c>
      <c r="AY1027" t="str">
        <f t="shared" si="474"/>
        <v/>
      </c>
      <c r="AZ1027" t="str">
        <f t="shared" si="475"/>
        <v/>
      </c>
    </row>
    <row r="1028" spans="1:52" x14ac:dyDescent="0.25">
      <c r="A1028" s="610" t="s">
        <v>2443</v>
      </c>
      <c r="B1028" s="30" t="s">
        <v>5548</v>
      </c>
      <c r="C1028" s="30" t="s">
        <v>1288</v>
      </c>
      <c r="D1028" s="30" t="s">
        <v>6964</v>
      </c>
      <c r="E1028" s="30" t="s">
        <v>4812</v>
      </c>
      <c r="F1028" s="454">
        <f t="shared" si="482"/>
        <v>24.67</v>
      </c>
      <c r="G1028" s="529">
        <v>24.67</v>
      </c>
      <c r="H1028" s="487">
        <f t="shared" si="483"/>
        <v>19.739999999999998</v>
      </c>
      <c r="I1028" s="706"/>
      <c r="J1028" s="669" t="s">
        <v>5805</v>
      </c>
      <c r="K1028" s="15"/>
      <c r="M1028" s="49">
        <f t="shared" si="484"/>
        <v>24.67</v>
      </c>
      <c r="N1028" s="41">
        <v>11.67</v>
      </c>
      <c r="O1028" s="186" t="s">
        <v>1017</v>
      </c>
      <c r="P1028" s="177"/>
      <c r="Q1028" s="178"/>
      <c r="R1028" s="178"/>
      <c r="S1028" s="178" t="s">
        <v>4180</v>
      </c>
      <c r="T1028" t="s">
        <v>4180</v>
      </c>
      <c r="U1028" s="179"/>
      <c r="V1028" s="178"/>
      <c r="W1028" s="180"/>
      <c r="X1028" s="180"/>
      <c r="Y1028" s="178"/>
      <c r="Z1028" s="178"/>
      <c r="AA1028" s="180"/>
      <c r="AB1028" s="178" t="s">
        <v>1017</v>
      </c>
      <c r="AC1028" s="178"/>
      <c r="AD1028" s="201"/>
      <c r="AE1028" s="181" t="s">
        <v>1017</v>
      </c>
      <c r="AF1028" s="180"/>
      <c r="AG1028" s="201"/>
      <c r="AH1028" s="212" t="str">
        <f t="shared" si="486"/>
        <v/>
      </c>
      <c r="AI1028" s="214" t="str">
        <f t="shared" si="476"/>
        <v/>
      </c>
      <c r="AJ1028" s="214" t="str">
        <f t="shared" si="477"/>
        <v/>
      </c>
      <c r="AK1028" s="214" t="str">
        <f t="shared" si="478"/>
        <v/>
      </c>
      <c r="AL1028" s="214" t="str">
        <f t="shared" si="479"/>
        <v/>
      </c>
      <c r="AM1028" s="214" t="str">
        <f t="shared" si="480"/>
        <v/>
      </c>
      <c r="AN1028" s="213" t="str">
        <f t="shared" si="463"/>
        <v/>
      </c>
      <c r="AO1028" s="213" t="str">
        <f t="shared" si="464"/>
        <v/>
      </c>
      <c r="AP1028" s="213" t="str">
        <f t="shared" si="465"/>
        <v/>
      </c>
      <c r="AQ1028" s="215" t="str">
        <f t="shared" si="466"/>
        <v/>
      </c>
      <c r="AR1028" s="216" t="str">
        <f t="shared" si="467"/>
        <v>BiK81LbKWK--05</v>
      </c>
      <c r="AS1028" s="215" t="str">
        <f t="shared" si="468"/>
        <v/>
      </c>
      <c r="AT1028">
        <f t="shared" si="469"/>
        <v>14</v>
      </c>
      <c r="AU1028" s="216" t="str">
        <f t="shared" si="470"/>
        <v>0-0,15 MW, Bonusregeln L, b und KWK</v>
      </c>
      <c r="AV1028" s="215" t="str">
        <f t="shared" si="471"/>
        <v/>
      </c>
      <c r="AW1028" s="216" t="str">
        <f t="shared" si="472"/>
        <v>Anteil KWK</v>
      </c>
      <c r="AX1028" s="215" t="str">
        <f t="shared" si="473"/>
        <v/>
      </c>
      <c r="AY1028" t="str">
        <f t="shared" si="474"/>
        <v/>
      </c>
      <c r="AZ1028" t="str">
        <f t="shared" si="475"/>
        <v/>
      </c>
    </row>
    <row r="1029" spans="1:52" x14ac:dyDescent="0.25">
      <c r="A1029" s="610" t="s">
        <v>2444</v>
      </c>
      <c r="B1029" s="30" t="s">
        <v>5548</v>
      </c>
      <c r="C1029" s="30" t="s">
        <v>1288</v>
      </c>
      <c r="D1029" s="30" t="s">
        <v>6965</v>
      </c>
      <c r="E1029" s="30" t="s">
        <v>4331</v>
      </c>
      <c r="F1029" s="454">
        <f t="shared" si="482"/>
        <v>25.67</v>
      </c>
      <c r="G1029" s="529">
        <v>25.67</v>
      </c>
      <c r="H1029" s="487">
        <f t="shared" si="483"/>
        <v>20.54</v>
      </c>
      <c r="I1029" s="706"/>
      <c r="J1029" s="669" t="s">
        <v>5805</v>
      </c>
      <c r="K1029" s="15"/>
      <c r="M1029" s="49">
        <f t="shared" si="484"/>
        <v>25.67</v>
      </c>
      <c r="N1029" s="41">
        <v>11.67</v>
      </c>
      <c r="O1029" s="186"/>
      <c r="P1029" s="178" t="s">
        <v>1017</v>
      </c>
      <c r="Q1029" s="178"/>
      <c r="R1029" s="178"/>
      <c r="S1029" s="178" t="s">
        <v>4180</v>
      </c>
      <c r="T1029" t="s">
        <v>4180</v>
      </c>
      <c r="U1029" s="179"/>
      <c r="V1029" s="178"/>
      <c r="W1029" s="180"/>
      <c r="X1029" s="180"/>
      <c r="Y1029" s="178"/>
      <c r="Z1029" s="178"/>
      <c r="AA1029" s="180"/>
      <c r="AB1029" s="178" t="s">
        <v>1017</v>
      </c>
      <c r="AC1029" s="178"/>
      <c r="AD1029" s="201"/>
      <c r="AE1029" s="181" t="s">
        <v>1017</v>
      </c>
      <c r="AF1029" s="180"/>
      <c r="AG1029" s="201"/>
      <c r="AH1029" s="212" t="str">
        <f t="shared" si="486"/>
        <v/>
      </c>
      <c r="AI1029" s="214" t="str">
        <f t="shared" si="476"/>
        <v/>
      </c>
      <c r="AJ1029" s="214" t="str">
        <f t="shared" si="477"/>
        <v/>
      </c>
      <c r="AK1029" s="214" t="str">
        <f t="shared" si="478"/>
        <v/>
      </c>
      <c r="AL1029" s="214" t="str">
        <f t="shared" si="479"/>
        <v/>
      </c>
      <c r="AM1029" s="214" t="str">
        <f t="shared" si="480"/>
        <v/>
      </c>
      <c r="AN1029" s="213" t="str">
        <f t="shared" si="463"/>
        <v/>
      </c>
      <c r="AO1029" s="213" t="str">
        <f t="shared" si="464"/>
        <v/>
      </c>
      <c r="AP1029" s="213" t="str">
        <f t="shared" si="465"/>
        <v/>
      </c>
      <c r="AQ1029" s="215" t="str">
        <f t="shared" si="466"/>
        <v/>
      </c>
      <c r="AR1029" s="216" t="str">
        <f t="shared" si="467"/>
        <v>BiK81LbKA3--05</v>
      </c>
      <c r="AS1029" s="215" t="str">
        <f t="shared" si="468"/>
        <v/>
      </c>
      <c r="AT1029">
        <f t="shared" si="469"/>
        <v>14</v>
      </c>
      <c r="AU1029" s="216" t="str">
        <f t="shared" si="470"/>
        <v>0-0,15 MW, Bonusregeln L, b und K wenn Anlage 3 erfüllt</v>
      </c>
      <c r="AV1029" s="215" t="str">
        <f t="shared" si="471"/>
        <v/>
      </c>
      <c r="AW1029" s="216" t="str">
        <f t="shared" si="472"/>
        <v>Anteil KWK gemäß Anlage 3</v>
      </c>
      <c r="AX1029" s="215" t="str">
        <f t="shared" si="473"/>
        <v/>
      </c>
      <c r="AY1029" t="str">
        <f t="shared" si="474"/>
        <v/>
      </c>
      <c r="AZ1029" t="str">
        <f t="shared" si="475"/>
        <v/>
      </c>
    </row>
    <row r="1030" spans="1:52" x14ac:dyDescent="0.25">
      <c r="A1030" s="610" t="s">
        <v>2445</v>
      </c>
      <c r="B1030" s="30" t="s">
        <v>5548</v>
      </c>
      <c r="C1030" s="30" t="s">
        <v>1288</v>
      </c>
      <c r="D1030" s="30" t="s">
        <v>6966</v>
      </c>
      <c r="E1030" s="30" t="s">
        <v>674</v>
      </c>
      <c r="F1030" s="454">
        <f t="shared" si="482"/>
        <v>25.67</v>
      </c>
      <c r="G1030" s="529">
        <v>25.67</v>
      </c>
      <c r="H1030" s="487">
        <f t="shared" si="483"/>
        <v>20.54</v>
      </c>
      <c r="I1030" s="706"/>
      <c r="J1030" s="669" t="s">
        <v>5805</v>
      </c>
      <c r="K1030" s="15"/>
      <c r="M1030" s="49">
        <f t="shared" si="484"/>
        <v>25.67</v>
      </c>
      <c r="N1030" s="41">
        <v>11.67</v>
      </c>
      <c r="O1030" s="186"/>
      <c r="P1030" s="177"/>
      <c r="Q1030" s="178" t="s">
        <v>1017</v>
      </c>
      <c r="R1030" s="178"/>
      <c r="S1030" s="178" t="s">
        <v>4180</v>
      </c>
      <c r="T1030" t="s">
        <v>4180</v>
      </c>
      <c r="U1030" s="179"/>
      <c r="V1030" s="178"/>
      <c r="W1030" s="180"/>
      <c r="X1030" s="180"/>
      <c r="Y1030" s="178"/>
      <c r="Z1030" s="178"/>
      <c r="AA1030" s="180"/>
      <c r="AB1030" s="178" t="s">
        <v>1017</v>
      </c>
      <c r="AC1030" s="178"/>
      <c r="AD1030" s="201"/>
      <c r="AE1030" s="181" t="s">
        <v>1017</v>
      </c>
      <c r="AF1030" s="180"/>
      <c r="AG1030" s="201"/>
      <c r="AH1030" s="212" t="str">
        <f t="shared" si="486"/>
        <v/>
      </c>
      <c r="AI1030" s="214" t="str">
        <f t="shared" si="476"/>
        <v/>
      </c>
      <c r="AJ1030" s="214" t="str">
        <f t="shared" si="477"/>
        <v/>
      </c>
      <c r="AK1030" s="214" t="str">
        <f t="shared" si="478"/>
        <v/>
      </c>
      <c r="AL1030" s="214" t="str">
        <f t="shared" si="479"/>
        <v/>
      </c>
      <c r="AM1030" s="214" t="str">
        <f t="shared" si="480"/>
        <v/>
      </c>
      <c r="AN1030" s="213" t="str">
        <f t="shared" si="463"/>
        <v/>
      </c>
      <c r="AO1030" s="213" t="str">
        <f t="shared" si="464"/>
        <v/>
      </c>
      <c r="AP1030" s="213" t="str">
        <f t="shared" si="465"/>
        <v/>
      </c>
      <c r="AQ1030" s="215" t="str">
        <f t="shared" si="466"/>
        <v/>
      </c>
      <c r="AR1030" s="216" t="str">
        <f t="shared" si="467"/>
        <v>BiK81LbK09--05</v>
      </c>
      <c r="AS1030" s="215" t="str">
        <f t="shared" si="468"/>
        <v/>
      </c>
      <c r="AT1030">
        <f t="shared" si="469"/>
        <v>14</v>
      </c>
      <c r="AU1030" s="216" t="str">
        <f t="shared" si="470"/>
        <v>0-0,15 MW, Bonusregeln L, b und K erstmals 2009</v>
      </c>
      <c r="AV1030" s="215" t="str">
        <f t="shared" si="471"/>
        <v/>
      </c>
      <c r="AW1030" s="216" t="str">
        <f t="shared" si="472"/>
        <v>Anteil KWK, erstmals 2009</v>
      </c>
      <c r="AX1030" s="215" t="str">
        <f t="shared" si="473"/>
        <v/>
      </c>
      <c r="AY1030" t="str">
        <f t="shared" si="474"/>
        <v/>
      </c>
      <c r="AZ1030" t="str">
        <f t="shared" si="475"/>
        <v/>
      </c>
    </row>
    <row r="1031" spans="1:52" x14ac:dyDescent="0.25">
      <c r="A1031" s="610" t="s">
        <v>3588</v>
      </c>
      <c r="B1031" s="30" t="s">
        <v>5548</v>
      </c>
      <c r="C1031" s="30" t="s">
        <v>1288</v>
      </c>
      <c r="D1031" s="30" t="s">
        <v>6967</v>
      </c>
      <c r="E1031" s="30" t="s">
        <v>3567</v>
      </c>
      <c r="F1031" s="454">
        <f t="shared" si="482"/>
        <v>25.64</v>
      </c>
      <c r="G1031" s="529">
        <v>25.64</v>
      </c>
      <c r="H1031" s="487">
        <f t="shared" si="483"/>
        <v>20.51</v>
      </c>
      <c r="I1031" s="706"/>
      <c r="J1031" s="669" t="s">
        <v>5805</v>
      </c>
      <c r="K1031" s="15"/>
      <c r="M1031" s="49">
        <f t="shared" si="484"/>
        <v>25.64</v>
      </c>
      <c r="N1031" s="41">
        <v>11.67</v>
      </c>
      <c r="O1031" s="186"/>
      <c r="P1031" s="177"/>
      <c r="Q1031" s="178"/>
      <c r="R1031" s="178" t="s">
        <v>1017</v>
      </c>
      <c r="S1031" s="178" t="s">
        <v>4180</v>
      </c>
      <c r="T1031" t="s">
        <v>4180</v>
      </c>
      <c r="U1031" s="179"/>
      <c r="V1031" s="178"/>
      <c r="W1031" s="180"/>
      <c r="X1031" s="180"/>
      <c r="Y1031" s="178"/>
      <c r="Z1031" s="178"/>
      <c r="AA1031" s="180"/>
      <c r="AB1031" s="178" t="s">
        <v>1017</v>
      </c>
      <c r="AC1031" s="178"/>
      <c r="AD1031" s="201"/>
      <c r="AE1031" s="181" t="s">
        <v>1017</v>
      </c>
      <c r="AF1031" s="180"/>
      <c r="AG1031" s="201"/>
      <c r="AH1031" s="212" t="str">
        <f t="shared" si="486"/>
        <v>2010</v>
      </c>
      <c r="AI1031" s="214" t="str">
        <f t="shared" si="476"/>
        <v/>
      </c>
      <c r="AJ1031" s="214" t="str">
        <f t="shared" si="477"/>
        <v/>
      </c>
      <c r="AK1031" s="214" t="str">
        <f t="shared" si="478"/>
        <v/>
      </c>
      <c r="AL1031" s="214" t="str">
        <f t="shared" si="479"/>
        <v/>
      </c>
      <c r="AM1031" s="214" t="str">
        <f t="shared" si="480"/>
        <v/>
      </c>
      <c r="AN1031" s="213" t="str">
        <f t="shared" si="463"/>
        <v>2010</v>
      </c>
      <c r="AO1031" s="213" t="str">
        <f t="shared" si="464"/>
        <v>2010</v>
      </c>
      <c r="AP1031" s="213" t="str">
        <f t="shared" si="465"/>
        <v>2010</v>
      </c>
      <c r="AQ1031" s="215" t="str">
        <f t="shared" si="466"/>
        <v/>
      </c>
      <c r="AR1031" s="216" t="str">
        <f t="shared" si="467"/>
        <v>BiK81LbK10--05</v>
      </c>
      <c r="AS1031" s="215" t="str">
        <f t="shared" si="468"/>
        <v/>
      </c>
      <c r="AT1031">
        <f t="shared" si="469"/>
        <v>14</v>
      </c>
      <c r="AU1031" s="216" t="str">
        <f t="shared" si="470"/>
        <v>0-0,15 MW, Bonusregeln L, b und K erstmals 2010</v>
      </c>
      <c r="AV1031" s="215" t="str">
        <f t="shared" si="471"/>
        <v/>
      </c>
      <c r="AW1031" s="216" t="str">
        <f t="shared" si="472"/>
        <v>Anteil KWK, erstmals 2010</v>
      </c>
      <c r="AX1031" s="215" t="str">
        <f t="shared" si="473"/>
        <v/>
      </c>
      <c r="AY1031" t="str">
        <f t="shared" si="474"/>
        <v/>
      </c>
      <c r="AZ1031" t="str">
        <f t="shared" si="475"/>
        <v/>
      </c>
    </row>
    <row r="1032" spans="1:52" x14ac:dyDescent="0.25">
      <c r="A1032" s="610" t="s">
        <v>5319</v>
      </c>
      <c r="B1032" s="30" t="s">
        <v>5548</v>
      </c>
      <c r="C1032" s="30" t="s">
        <v>1288</v>
      </c>
      <c r="D1032" s="30" t="s">
        <v>6968</v>
      </c>
      <c r="E1032" s="30" t="s">
        <v>3055</v>
      </c>
      <c r="F1032" s="454">
        <f t="shared" si="482"/>
        <v>25.61</v>
      </c>
      <c r="G1032" s="529">
        <v>25.61</v>
      </c>
      <c r="H1032" s="487">
        <f t="shared" si="483"/>
        <v>20.49</v>
      </c>
      <c r="I1032" s="706"/>
      <c r="J1032" s="669" t="s">
        <v>5805</v>
      </c>
      <c r="K1032" s="15"/>
      <c r="M1032" s="49">
        <f t="shared" si="484"/>
        <v>25.61</v>
      </c>
      <c r="N1032" s="41">
        <v>11.67</v>
      </c>
      <c r="O1032" s="186"/>
      <c r="P1032" s="177"/>
      <c r="Q1032" s="178"/>
      <c r="R1032" s="178"/>
      <c r="S1032" s="178" t="s">
        <v>1017</v>
      </c>
      <c r="T1032" t="s">
        <v>4180</v>
      </c>
      <c r="U1032" s="179"/>
      <c r="V1032" s="178"/>
      <c r="W1032" s="180"/>
      <c r="X1032" s="180"/>
      <c r="Y1032" s="178"/>
      <c r="Z1032" s="178"/>
      <c r="AA1032" s="180"/>
      <c r="AB1032" s="178" t="s">
        <v>1017</v>
      </c>
      <c r="AC1032" s="178"/>
      <c r="AD1032" s="201"/>
      <c r="AE1032" s="181" t="s">
        <v>1017</v>
      </c>
      <c r="AF1032" s="180"/>
      <c r="AG1032" s="201"/>
      <c r="AH1032" s="212" t="str">
        <f t="shared" si="486"/>
        <v>2011</v>
      </c>
      <c r="AI1032" s="214" t="str">
        <f t="shared" si="476"/>
        <v/>
      </c>
      <c r="AJ1032" s="214" t="str">
        <f t="shared" si="477"/>
        <v/>
      </c>
      <c r="AK1032" s="214" t="str">
        <f t="shared" si="478"/>
        <v/>
      </c>
      <c r="AL1032" s="214" t="str">
        <f t="shared" si="479"/>
        <v/>
      </c>
      <c r="AM1032" s="214" t="str">
        <f t="shared" si="480"/>
        <v/>
      </c>
      <c r="AN1032" s="213" t="str">
        <f t="shared" si="463"/>
        <v>2011</v>
      </c>
      <c r="AO1032" s="213" t="str">
        <f t="shared" si="464"/>
        <v>2011</v>
      </c>
      <c r="AP1032" s="213" t="str">
        <f t="shared" si="465"/>
        <v>2011</v>
      </c>
      <c r="AQ1032" s="215" t="str">
        <f t="shared" si="466"/>
        <v/>
      </c>
      <c r="AR1032" s="216" t="str">
        <f t="shared" si="467"/>
        <v>BiK81LbK11--05</v>
      </c>
      <c r="AS1032" s="215" t="str">
        <f t="shared" si="468"/>
        <v/>
      </c>
      <c r="AT1032">
        <f t="shared" si="469"/>
        <v>14</v>
      </c>
      <c r="AU1032" s="216" t="str">
        <f t="shared" si="470"/>
        <v>0-0,15 MW, Bonusregeln L, b und K erstmals 2011</v>
      </c>
      <c r="AV1032" s="215" t="str">
        <f t="shared" si="471"/>
        <v/>
      </c>
      <c r="AW1032" s="216" t="str">
        <f t="shared" si="472"/>
        <v>Anteil KWK, erstmals 2011</v>
      </c>
      <c r="AX1032" s="215" t="str">
        <f t="shared" si="473"/>
        <v/>
      </c>
      <c r="AY1032" t="str">
        <f t="shared" si="474"/>
        <v>x</v>
      </c>
      <c r="AZ1032" t="str">
        <f t="shared" si="475"/>
        <v/>
      </c>
    </row>
    <row r="1033" spans="1:52" x14ac:dyDescent="0.25">
      <c r="A1033" s="625" t="s">
        <v>1569</v>
      </c>
      <c r="B1033" s="219" t="s">
        <v>5548</v>
      </c>
      <c r="C1033" s="219" t="s">
        <v>1288</v>
      </c>
      <c r="D1033" s="219" t="s">
        <v>6969</v>
      </c>
      <c r="E1033" s="219" t="s">
        <v>1980</v>
      </c>
      <c r="F1033" s="455">
        <f t="shared" si="482"/>
        <v>25.58</v>
      </c>
      <c r="G1033" s="530">
        <v>25.58</v>
      </c>
      <c r="H1033" s="488">
        <f t="shared" si="483"/>
        <v>20.46</v>
      </c>
      <c r="I1033" s="707"/>
      <c r="J1033" s="669" t="s">
        <v>5805</v>
      </c>
      <c r="K1033" s="15"/>
      <c r="M1033" s="49">
        <f t="shared" si="484"/>
        <v>25.58</v>
      </c>
      <c r="N1033" s="41">
        <v>11.67</v>
      </c>
      <c r="O1033" s="186"/>
      <c r="P1033" s="177"/>
      <c r="Q1033" s="178"/>
      <c r="R1033" s="178"/>
      <c r="S1033" s="178" t="s">
        <v>4180</v>
      </c>
      <c r="T1033" t="s">
        <v>1017</v>
      </c>
      <c r="U1033" s="179"/>
      <c r="V1033" s="178"/>
      <c r="W1033" s="180"/>
      <c r="X1033" s="180"/>
      <c r="Y1033" s="178"/>
      <c r="Z1033" s="178"/>
      <c r="AA1033" s="180"/>
      <c r="AB1033" s="178" t="s">
        <v>1017</v>
      </c>
      <c r="AC1033" s="178"/>
      <c r="AD1033" s="201"/>
      <c r="AE1033" s="181" t="s">
        <v>1017</v>
      </c>
      <c r="AF1033" s="180"/>
      <c r="AG1033" s="201"/>
      <c r="AH1033" s="217" t="s">
        <v>4179</v>
      </c>
      <c r="AI1033" s="214" t="str">
        <f t="shared" si="476"/>
        <v/>
      </c>
      <c r="AJ1033" s="214" t="str">
        <f t="shared" si="477"/>
        <v/>
      </c>
      <c r="AK1033" s="214" t="str">
        <f t="shared" si="478"/>
        <v/>
      </c>
      <c r="AL1033" s="214" t="str">
        <f t="shared" si="479"/>
        <v/>
      </c>
      <c r="AM1033" s="214" t="str">
        <f t="shared" si="480"/>
        <v/>
      </c>
      <c r="AN1033" s="213" t="str">
        <f t="shared" si="463"/>
        <v>2012</v>
      </c>
      <c r="AO1033" s="213" t="str">
        <f t="shared" si="464"/>
        <v>2012</v>
      </c>
      <c r="AP1033" s="213" t="str">
        <f t="shared" si="465"/>
        <v>2012</v>
      </c>
      <c r="AQ1033" s="215" t="str">
        <f t="shared" si="466"/>
        <v/>
      </c>
      <c r="AR1033" s="216" t="str">
        <f t="shared" si="467"/>
        <v>BiK81LbK12--05</v>
      </c>
      <c r="AS1033" s="215" t="str">
        <f t="shared" si="468"/>
        <v/>
      </c>
      <c r="AT1033">
        <f t="shared" si="469"/>
        <v>14</v>
      </c>
      <c r="AU1033" s="216" t="str">
        <f t="shared" si="470"/>
        <v>0-0,15 MW, Bonusregeln L, b und K erstmals 2012</v>
      </c>
      <c r="AV1033" s="215" t="str">
        <f t="shared" si="471"/>
        <v/>
      </c>
      <c r="AW1033" s="216" t="str">
        <f t="shared" si="472"/>
        <v>Anteil KWK, erstmals 2012</v>
      </c>
      <c r="AX1033" s="215" t="str">
        <f t="shared" si="473"/>
        <v/>
      </c>
      <c r="AY1033" t="str">
        <f t="shared" si="474"/>
        <v/>
      </c>
      <c r="AZ1033" t="str">
        <f t="shared" si="475"/>
        <v>x</v>
      </c>
    </row>
    <row r="1034" spans="1:52" x14ac:dyDescent="0.25">
      <c r="A1034" s="610" t="s">
        <v>2446</v>
      </c>
      <c r="B1034" s="30" t="s">
        <v>5548</v>
      </c>
      <c r="C1034" s="30" t="s">
        <v>1288</v>
      </c>
      <c r="D1034" s="30" t="s">
        <v>6970</v>
      </c>
      <c r="E1034" s="30" t="s">
        <v>4810</v>
      </c>
      <c r="F1034" s="454">
        <f t="shared" si="482"/>
        <v>23.67</v>
      </c>
      <c r="G1034" s="529">
        <v>23.67</v>
      </c>
      <c r="H1034" s="487">
        <f t="shared" si="483"/>
        <v>18.940000000000001</v>
      </c>
      <c r="I1034" s="706"/>
      <c r="J1034" s="669" t="s">
        <v>5805</v>
      </c>
      <c r="K1034" s="15"/>
      <c r="M1034" s="49">
        <f t="shared" si="484"/>
        <v>23.67</v>
      </c>
      <c r="N1034" s="41">
        <v>11.67</v>
      </c>
      <c r="O1034" s="187"/>
      <c r="P1034" s="183"/>
      <c r="Q1034" s="184"/>
      <c r="R1034" s="184"/>
      <c r="S1034" s="184" t="s">
        <v>4180</v>
      </c>
      <c r="T1034" t="s">
        <v>4180</v>
      </c>
      <c r="U1034" s="185" t="s">
        <v>1017</v>
      </c>
      <c r="V1034" s="184"/>
      <c r="W1034" s="180"/>
      <c r="X1034" s="180"/>
      <c r="Y1034" s="178"/>
      <c r="Z1034" s="178"/>
      <c r="AA1034" s="180"/>
      <c r="AB1034" s="184" t="s">
        <v>1017</v>
      </c>
      <c r="AC1034" s="184"/>
      <c r="AD1034" s="201"/>
      <c r="AE1034" s="181" t="s">
        <v>1017</v>
      </c>
      <c r="AF1034" s="180"/>
      <c r="AG1034" s="201"/>
      <c r="AH1034" s="212" t="str">
        <f t="shared" ref="AH1034:AH1039" si="487">IF(ISERROR(SEARCH("K erstmals 201",D1034)),"",RIGHT(D1034,4))</f>
        <v/>
      </c>
      <c r="AI1034" s="214" t="str">
        <f t="shared" si="476"/>
        <v/>
      </c>
      <c r="AJ1034" s="214" t="str">
        <f t="shared" si="477"/>
        <v/>
      </c>
      <c r="AK1034" s="214" t="str">
        <f t="shared" si="478"/>
        <v/>
      </c>
      <c r="AL1034" s="214" t="str">
        <f t="shared" si="479"/>
        <v/>
      </c>
      <c r="AM1034" s="214" t="str">
        <f t="shared" si="480"/>
        <v/>
      </c>
      <c r="AN1034" s="213" t="str">
        <f t="shared" si="463"/>
        <v/>
      </c>
      <c r="AO1034" s="213" t="str">
        <f t="shared" si="464"/>
        <v/>
      </c>
      <c r="AP1034" s="213" t="str">
        <f t="shared" si="465"/>
        <v/>
      </c>
      <c r="AQ1034" s="215" t="str">
        <f t="shared" si="466"/>
        <v/>
      </c>
      <c r="AR1034" s="216" t="str">
        <f t="shared" si="467"/>
        <v>BiK81Lby----05</v>
      </c>
      <c r="AS1034" s="215" t="str">
        <f t="shared" si="468"/>
        <v/>
      </c>
      <c r="AT1034">
        <f t="shared" si="469"/>
        <v>14</v>
      </c>
      <c r="AU1034" s="216" t="str">
        <f t="shared" si="470"/>
        <v>0-0,15 MW, Bonusregeln L, y, b</v>
      </c>
      <c r="AV1034" s="215" t="str">
        <f t="shared" si="471"/>
        <v/>
      </c>
      <c r="AW1034" s="216" t="str">
        <f t="shared" si="472"/>
        <v>Anteil Nicht-KWK</v>
      </c>
      <c r="AX1034" s="215" t="str">
        <f t="shared" si="473"/>
        <v/>
      </c>
      <c r="AY1034" t="str">
        <f t="shared" si="474"/>
        <v/>
      </c>
      <c r="AZ1034" t="str">
        <f t="shared" si="475"/>
        <v/>
      </c>
    </row>
    <row r="1035" spans="1:52" x14ac:dyDescent="0.25">
      <c r="A1035" s="610" t="s">
        <v>2447</v>
      </c>
      <c r="B1035" s="30" t="s">
        <v>5548</v>
      </c>
      <c r="C1035" s="30" t="s">
        <v>1288</v>
      </c>
      <c r="D1035" s="30" t="s">
        <v>6971</v>
      </c>
      <c r="E1035" s="30" t="s">
        <v>4812</v>
      </c>
      <c r="F1035" s="454">
        <f t="shared" si="482"/>
        <v>25.67</v>
      </c>
      <c r="G1035" s="529">
        <v>25.67</v>
      </c>
      <c r="H1035" s="487">
        <f t="shared" si="483"/>
        <v>20.54</v>
      </c>
      <c r="I1035" s="706"/>
      <c r="J1035" s="669" t="s">
        <v>5805</v>
      </c>
      <c r="K1035" s="15"/>
      <c r="M1035" s="49">
        <f t="shared" si="484"/>
        <v>25.67</v>
      </c>
      <c r="N1035" s="41">
        <v>11.67</v>
      </c>
      <c r="O1035" s="187" t="s">
        <v>1017</v>
      </c>
      <c r="P1035" s="183"/>
      <c r="Q1035" s="184"/>
      <c r="R1035" s="184"/>
      <c r="S1035" s="184" t="s">
        <v>4180</v>
      </c>
      <c r="T1035" t="s">
        <v>4180</v>
      </c>
      <c r="U1035" s="185" t="s">
        <v>1017</v>
      </c>
      <c r="V1035" s="184"/>
      <c r="W1035" s="180"/>
      <c r="X1035" s="180"/>
      <c r="Y1035" s="178"/>
      <c r="Z1035" s="178"/>
      <c r="AA1035" s="180"/>
      <c r="AB1035" s="184" t="s">
        <v>1017</v>
      </c>
      <c r="AC1035" s="184"/>
      <c r="AD1035" s="201"/>
      <c r="AE1035" s="181" t="s">
        <v>1017</v>
      </c>
      <c r="AF1035" s="180"/>
      <c r="AG1035" s="201"/>
      <c r="AH1035" s="212" t="str">
        <f t="shared" si="487"/>
        <v/>
      </c>
      <c r="AI1035" s="214" t="str">
        <f t="shared" si="476"/>
        <v/>
      </c>
      <c r="AJ1035" s="214" t="str">
        <f t="shared" si="477"/>
        <v/>
      </c>
      <c r="AK1035" s="214" t="str">
        <f t="shared" si="478"/>
        <v/>
      </c>
      <c r="AL1035" s="214" t="str">
        <f t="shared" si="479"/>
        <v/>
      </c>
      <c r="AM1035" s="214" t="str">
        <f t="shared" si="480"/>
        <v/>
      </c>
      <c r="AN1035" s="213" t="str">
        <f t="shared" si="463"/>
        <v/>
      </c>
      <c r="AO1035" s="213" t="str">
        <f t="shared" si="464"/>
        <v/>
      </c>
      <c r="AP1035" s="213" t="str">
        <f t="shared" si="465"/>
        <v/>
      </c>
      <c r="AQ1035" s="215" t="str">
        <f t="shared" si="466"/>
        <v/>
      </c>
      <c r="AR1035" s="216" t="str">
        <f t="shared" si="467"/>
        <v>BiK81LbKWKy-05</v>
      </c>
      <c r="AS1035" s="215" t="str">
        <f t="shared" si="468"/>
        <v/>
      </c>
      <c r="AT1035">
        <f t="shared" si="469"/>
        <v>14</v>
      </c>
      <c r="AU1035" s="216" t="str">
        <f t="shared" si="470"/>
        <v>0-0,15 MW, Bonusregeln L, y, b und KWK</v>
      </c>
      <c r="AV1035" s="215" t="str">
        <f t="shared" si="471"/>
        <v/>
      </c>
      <c r="AW1035" s="216" t="str">
        <f t="shared" si="472"/>
        <v>Anteil KWK</v>
      </c>
      <c r="AX1035" s="215" t="str">
        <f t="shared" si="473"/>
        <v/>
      </c>
      <c r="AY1035" t="str">
        <f t="shared" si="474"/>
        <v/>
      </c>
      <c r="AZ1035" t="str">
        <f t="shared" si="475"/>
        <v/>
      </c>
    </row>
    <row r="1036" spans="1:52" x14ac:dyDescent="0.25">
      <c r="A1036" s="610" t="s">
        <v>2448</v>
      </c>
      <c r="B1036" s="30" t="s">
        <v>5548</v>
      </c>
      <c r="C1036" s="30" t="s">
        <v>1288</v>
      </c>
      <c r="D1036" s="109" t="s">
        <v>6972</v>
      </c>
      <c r="E1036" s="30" t="s">
        <v>4331</v>
      </c>
      <c r="F1036" s="454">
        <f t="shared" si="482"/>
        <v>26.67</v>
      </c>
      <c r="G1036" s="529">
        <v>26.67</v>
      </c>
      <c r="H1036" s="487">
        <f t="shared" si="483"/>
        <v>21.34</v>
      </c>
      <c r="I1036" s="706"/>
      <c r="J1036" s="669" t="s">
        <v>5805</v>
      </c>
      <c r="K1036" s="15"/>
      <c r="M1036" s="49">
        <f t="shared" si="484"/>
        <v>26.67</v>
      </c>
      <c r="N1036" s="41">
        <v>11.67</v>
      </c>
      <c r="O1036" s="187"/>
      <c r="P1036" s="184" t="s">
        <v>1017</v>
      </c>
      <c r="Q1036" s="184"/>
      <c r="R1036" s="184"/>
      <c r="S1036" s="184" t="s">
        <v>4180</v>
      </c>
      <c r="T1036" t="s">
        <v>4180</v>
      </c>
      <c r="U1036" s="185" t="s">
        <v>1017</v>
      </c>
      <c r="V1036" s="184"/>
      <c r="W1036" s="180"/>
      <c r="X1036" s="180"/>
      <c r="Y1036" s="178"/>
      <c r="Z1036" s="178"/>
      <c r="AA1036" s="180"/>
      <c r="AB1036" s="184" t="s">
        <v>1017</v>
      </c>
      <c r="AC1036" s="184"/>
      <c r="AD1036" s="201"/>
      <c r="AE1036" s="181" t="s">
        <v>1017</v>
      </c>
      <c r="AF1036" s="180"/>
      <c r="AG1036" s="201"/>
      <c r="AH1036" s="212" t="str">
        <f t="shared" si="487"/>
        <v/>
      </c>
      <c r="AI1036" s="214" t="str">
        <f t="shared" si="476"/>
        <v/>
      </c>
      <c r="AJ1036" s="214" t="str">
        <f t="shared" si="477"/>
        <v/>
      </c>
      <c r="AK1036" s="214" t="str">
        <f t="shared" si="478"/>
        <v/>
      </c>
      <c r="AL1036" s="214" t="str">
        <f t="shared" si="479"/>
        <v/>
      </c>
      <c r="AM1036" s="214" t="str">
        <f t="shared" si="480"/>
        <v/>
      </c>
      <c r="AN1036" s="213" t="str">
        <f t="shared" si="463"/>
        <v/>
      </c>
      <c r="AO1036" s="213" t="str">
        <f t="shared" si="464"/>
        <v/>
      </c>
      <c r="AP1036" s="213" t="str">
        <f t="shared" si="465"/>
        <v/>
      </c>
      <c r="AQ1036" s="215" t="str">
        <f t="shared" si="466"/>
        <v/>
      </c>
      <c r="AR1036" s="216" t="str">
        <f t="shared" si="467"/>
        <v>BiK81LbKA3y-05</v>
      </c>
      <c r="AS1036" s="215" t="str">
        <f t="shared" si="468"/>
        <v/>
      </c>
      <c r="AT1036">
        <f t="shared" si="469"/>
        <v>14</v>
      </c>
      <c r="AU1036" s="216" t="str">
        <f t="shared" si="470"/>
        <v>0-0,15 MW, Bonusregeln L, y, b und K wenn Anlage 3 erfüllt</v>
      </c>
      <c r="AV1036" s="215" t="str">
        <f t="shared" si="471"/>
        <v/>
      </c>
      <c r="AW1036" s="216" t="str">
        <f t="shared" si="472"/>
        <v>Anteil KWK gemäß Anlage 3</v>
      </c>
      <c r="AX1036" s="215" t="str">
        <f t="shared" si="473"/>
        <v/>
      </c>
      <c r="AY1036" t="str">
        <f t="shared" si="474"/>
        <v/>
      </c>
      <c r="AZ1036" t="str">
        <f t="shared" si="475"/>
        <v/>
      </c>
    </row>
    <row r="1037" spans="1:52" x14ac:dyDescent="0.25">
      <c r="A1037" s="610" t="s">
        <v>2449</v>
      </c>
      <c r="B1037" s="30" t="s">
        <v>5548</v>
      </c>
      <c r="C1037" s="30" t="s">
        <v>1288</v>
      </c>
      <c r="D1037" s="30" t="s">
        <v>6973</v>
      </c>
      <c r="E1037" s="30" t="s">
        <v>674</v>
      </c>
      <c r="F1037" s="454">
        <f t="shared" si="482"/>
        <v>26.67</v>
      </c>
      <c r="G1037" s="529">
        <v>26.67</v>
      </c>
      <c r="H1037" s="487">
        <f t="shared" si="483"/>
        <v>21.34</v>
      </c>
      <c r="I1037" s="706"/>
      <c r="J1037" s="669" t="s">
        <v>5805</v>
      </c>
      <c r="K1037" s="15"/>
      <c r="M1037" s="49">
        <f t="shared" si="484"/>
        <v>26.67</v>
      </c>
      <c r="N1037" s="41">
        <v>11.67</v>
      </c>
      <c r="O1037" s="187"/>
      <c r="P1037" s="183"/>
      <c r="Q1037" s="184" t="s">
        <v>1017</v>
      </c>
      <c r="R1037" s="184"/>
      <c r="S1037" s="184" t="s">
        <v>4180</v>
      </c>
      <c r="T1037" t="s">
        <v>4180</v>
      </c>
      <c r="U1037" s="185" t="s">
        <v>1017</v>
      </c>
      <c r="V1037" s="184"/>
      <c r="W1037" s="180"/>
      <c r="X1037" s="180"/>
      <c r="Y1037" s="178"/>
      <c r="Z1037" s="178"/>
      <c r="AA1037" s="180"/>
      <c r="AB1037" s="184" t="s">
        <v>1017</v>
      </c>
      <c r="AC1037" s="184"/>
      <c r="AD1037" s="201"/>
      <c r="AE1037" s="181" t="s">
        <v>1017</v>
      </c>
      <c r="AF1037" s="180"/>
      <c r="AG1037" s="201"/>
      <c r="AH1037" s="212" t="str">
        <f t="shared" si="487"/>
        <v/>
      </c>
      <c r="AI1037" s="214" t="str">
        <f t="shared" si="476"/>
        <v/>
      </c>
      <c r="AJ1037" s="214" t="str">
        <f t="shared" si="477"/>
        <v/>
      </c>
      <c r="AK1037" s="214" t="str">
        <f t="shared" si="478"/>
        <v/>
      </c>
      <c r="AL1037" s="214" t="str">
        <f t="shared" si="479"/>
        <v/>
      </c>
      <c r="AM1037" s="214" t="str">
        <f t="shared" si="480"/>
        <v/>
      </c>
      <c r="AN1037" s="213" t="str">
        <f t="shared" si="463"/>
        <v/>
      </c>
      <c r="AO1037" s="213" t="str">
        <f t="shared" si="464"/>
        <v/>
      </c>
      <c r="AP1037" s="213" t="str">
        <f t="shared" si="465"/>
        <v/>
      </c>
      <c r="AQ1037" s="215" t="str">
        <f t="shared" si="466"/>
        <v/>
      </c>
      <c r="AR1037" s="216" t="str">
        <f t="shared" si="467"/>
        <v>BiK81LbK09y-05</v>
      </c>
      <c r="AS1037" s="215" t="str">
        <f t="shared" si="468"/>
        <v/>
      </c>
      <c r="AT1037">
        <f t="shared" si="469"/>
        <v>14</v>
      </c>
      <c r="AU1037" s="216" t="str">
        <f t="shared" si="470"/>
        <v>0-0,15 MW, Bonusregeln L, y, b und K erstmals 2009</v>
      </c>
      <c r="AV1037" s="215" t="str">
        <f t="shared" si="471"/>
        <v/>
      </c>
      <c r="AW1037" s="216" t="str">
        <f t="shared" si="472"/>
        <v>Anteil KWK, erstmals 2009</v>
      </c>
      <c r="AX1037" s="215" t="str">
        <f t="shared" si="473"/>
        <v/>
      </c>
      <c r="AY1037" t="str">
        <f t="shared" si="474"/>
        <v/>
      </c>
      <c r="AZ1037" t="str">
        <f t="shared" si="475"/>
        <v/>
      </c>
    </row>
    <row r="1038" spans="1:52" x14ac:dyDescent="0.25">
      <c r="A1038" s="610" t="s">
        <v>3589</v>
      </c>
      <c r="B1038" s="30" t="s">
        <v>5548</v>
      </c>
      <c r="C1038" s="30" t="s">
        <v>1288</v>
      </c>
      <c r="D1038" s="30" t="s">
        <v>6974</v>
      </c>
      <c r="E1038" s="30" t="s">
        <v>3567</v>
      </c>
      <c r="F1038" s="454">
        <f t="shared" si="482"/>
        <v>26.64</v>
      </c>
      <c r="G1038" s="529">
        <v>26.64</v>
      </c>
      <c r="H1038" s="487">
        <f t="shared" si="483"/>
        <v>21.31</v>
      </c>
      <c r="I1038" s="706"/>
      <c r="J1038" s="669" t="s">
        <v>5805</v>
      </c>
      <c r="K1038" s="15"/>
      <c r="M1038" s="49">
        <f t="shared" si="484"/>
        <v>26.64</v>
      </c>
      <c r="N1038" s="41">
        <v>11.67</v>
      </c>
      <c r="O1038" s="187"/>
      <c r="P1038" s="183"/>
      <c r="Q1038" s="184"/>
      <c r="R1038" s="184" t="s">
        <v>1017</v>
      </c>
      <c r="S1038" s="184" t="s">
        <v>4180</v>
      </c>
      <c r="T1038" t="s">
        <v>4180</v>
      </c>
      <c r="U1038" s="185" t="s">
        <v>1017</v>
      </c>
      <c r="V1038" s="184"/>
      <c r="W1038" s="180"/>
      <c r="X1038" s="180"/>
      <c r="Y1038" s="178"/>
      <c r="Z1038" s="178"/>
      <c r="AA1038" s="180"/>
      <c r="AB1038" s="184" t="s">
        <v>1017</v>
      </c>
      <c r="AC1038" s="184"/>
      <c r="AD1038" s="201"/>
      <c r="AE1038" s="181" t="s">
        <v>1017</v>
      </c>
      <c r="AF1038" s="180"/>
      <c r="AG1038" s="201"/>
      <c r="AH1038" s="212" t="str">
        <f t="shared" si="487"/>
        <v>2010</v>
      </c>
      <c r="AI1038" s="214" t="str">
        <f t="shared" si="476"/>
        <v/>
      </c>
      <c r="AJ1038" s="214" t="str">
        <f t="shared" si="477"/>
        <v/>
      </c>
      <c r="AK1038" s="214" t="str">
        <f t="shared" si="478"/>
        <v/>
      </c>
      <c r="AL1038" s="214" t="str">
        <f t="shared" si="479"/>
        <v/>
      </c>
      <c r="AM1038" s="214" t="str">
        <f t="shared" si="480"/>
        <v/>
      </c>
      <c r="AN1038" s="213" t="str">
        <f t="shared" si="463"/>
        <v>2010</v>
      </c>
      <c r="AO1038" s="213" t="str">
        <f t="shared" si="464"/>
        <v>2010</v>
      </c>
      <c r="AP1038" s="213" t="str">
        <f t="shared" si="465"/>
        <v>2010</v>
      </c>
      <c r="AQ1038" s="215" t="str">
        <f t="shared" si="466"/>
        <v/>
      </c>
      <c r="AR1038" s="216" t="str">
        <f t="shared" si="467"/>
        <v>BiK81LbK10y-05</v>
      </c>
      <c r="AS1038" s="215" t="str">
        <f t="shared" si="468"/>
        <v/>
      </c>
      <c r="AT1038">
        <f t="shared" si="469"/>
        <v>14</v>
      </c>
      <c r="AU1038" s="216" t="str">
        <f t="shared" si="470"/>
        <v>0-0,15 MW, Bonusregeln L, y, b und K erstmals 2010</v>
      </c>
      <c r="AV1038" s="215" t="str">
        <f t="shared" si="471"/>
        <v/>
      </c>
      <c r="AW1038" s="216" t="str">
        <f t="shared" si="472"/>
        <v>Anteil KWK, erstmals 2010</v>
      </c>
      <c r="AX1038" s="215" t="str">
        <f t="shared" si="473"/>
        <v/>
      </c>
      <c r="AY1038" t="str">
        <f t="shared" si="474"/>
        <v/>
      </c>
      <c r="AZ1038" t="str">
        <f t="shared" si="475"/>
        <v/>
      </c>
    </row>
    <row r="1039" spans="1:52" x14ac:dyDescent="0.25">
      <c r="A1039" s="610" t="s">
        <v>5320</v>
      </c>
      <c r="B1039" s="30" t="s">
        <v>5548</v>
      </c>
      <c r="C1039" s="30" t="s">
        <v>1288</v>
      </c>
      <c r="D1039" s="30" t="s">
        <v>6975</v>
      </c>
      <c r="E1039" s="30" t="s">
        <v>3055</v>
      </c>
      <c r="F1039" s="454">
        <f t="shared" si="482"/>
        <v>26.61</v>
      </c>
      <c r="G1039" s="529">
        <v>26.61</v>
      </c>
      <c r="H1039" s="487">
        <f t="shared" si="483"/>
        <v>21.29</v>
      </c>
      <c r="I1039" s="706"/>
      <c r="J1039" s="669" t="s">
        <v>5805</v>
      </c>
      <c r="K1039" s="15"/>
      <c r="M1039" s="49">
        <f t="shared" si="484"/>
        <v>26.61</v>
      </c>
      <c r="N1039" s="41">
        <v>11.67</v>
      </c>
      <c r="O1039" s="187"/>
      <c r="P1039" s="183"/>
      <c r="Q1039" s="184"/>
      <c r="R1039" s="178"/>
      <c r="S1039" s="184" t="s">
        <v>1017</v>
      </c>
      <c r="T1039" t="s">
        <v>4180</v>
      </c>
      <c r="U1039" s="185" t="s">
        <v>1017</v>
      </c>
      <c r="V1039" s="184"/>
      <c r="W1039" s="180"/>
      <c r="X1039" s="180"/>
      <c r="Y1039" s="178"/>
      <c r="Z1039" s="178"/>
      <c r="AA1039" s="180"/>
      <c r="AB1039" s="184" t="s">
        <v>1017</v>
      </c>
      <c r="AC1039" s="184"/>
      <c r="AD1039" s="201"/>
      <c r="AE1039" s="181" t="s">
        <v>1017</v>
      </c>
      <c r="AF1039" s="180"/>
      <c r="AG1039" s="201"/>
      <c r="AH1039" s="212" t="str">
        <f t="shared" si="487"/>
        <v>2011</v>
      </c>
      <c r="AI1039" s="214" t="str">
        <f t="shared" si="476"/>
        <v/>
      </c>
      <c r="AJ1039" s="214" t="str">
        <f t="shared" si="477"/>
        <v/>
      </c>
      <c r="AK1039" s="214" t="str">
        <f t="shared" si="478"/>
        <v/>
      </c>
      <c r="AL1039" s="214" t="str">
        <f t="shared" si="479"/>
        <v/>
      </c>
      <c r="AM1039" s="214" t="str">
        <f t="shared" si="480"/>
        <v/>
      </c>
      <c r="AN1039" s="213" t="str">
        <f t="shared" si="463"/>
        <v>2011</v>
      </c>
      <c r="AO1039" s="213" t="str">
        <f t="shared" si="464"/>
        <v>2011</v>
      </c>
      <c r="AP1039" s="213" t="str">
        <f t="shared" si="465"/>
        <v>2011</v>
      </c>
      <c r="AQ1039" s="215" t="str">
        <f t="shared" si="466"/>
        <v/>
      </c>
      <c r="AR1039" s="216" t="str">
        <f t="shared" si="467"/>
        <v>BiK81LbK11y-05</v>
      </c>
      <c r="AS1039" s="215" t="str">
        <f t="shared" si="468"/>
        <v/>
      </c>
      <c r="AT1039">
        <f t="shared" si="469"/>
        <v>14</v>
      </c>
      <c r="AU1039" s="216" t="str">
        <f t="shared" si="470"/>
        <v>0-0,15 MW, Bonusregeln L, y, b und K erstmals 2011</v>
      </c>
      <c r="AV1039" s="215" t="str">
        <f t="shared" si="471"/>
        <v/>
      </c>
      <c r="AW1039" s="216" t="str">
        <f t="shared" si="472"/>
        <v>Anteil KWK, erstmals 2011</v>
      </c>
      <c r="AX1039" s="215" t="str">
        <f t="shared" si="473"/>
        <v/>
      </c>
      <c r="AY1039" t="str">
        <f t="shared" si="474"/>
        <v>x</v>
      </c>
      <c r="AZ1039" t="str">
        <f t="shared" si="475"/>
        <v/>
      </c>
    </row>
    <row r="1040" spans="1:52" x14ac:dyDescent="0.25">
      <c r="A1040" s="625" t="s">
        <v>1570</v>
      </c>
      <c r="B1040" s="219" t="s">
        <v>5548</v>
      </c>
      <c r="C1040" s="219" t="s">
        <v>1288</v>
      </c>
      <c r="D1040" s="219" t="s">
        <v>6976</v>
      </c>
      <c r="E1040" s="219" t="s">
        <v>1980</v>
      </c>
      <c r="F1040" s="455">
        <f t="shared" si="482"/>
        <v>26.58</v>
      </c>
      <c r="G1040" s="530">
        <v>26.58</v>
      </c>
      <c r="H1040" s="488">
        <f t="shared" si="483"/>
        <v>21.26</v>
      </c>
      <c r="I1040" s="707"/>
      <c r="J1040" s="669" t="s">
        <v>5805</v>
      </c>
      <c r="K1040" s="15"/>
      <c r="M1040" s="49">
        <f t="shared" si="484"/>
        <v>26.58</v>
      </c>
      <c r="N1040" s="41">
        <v>11.67</v>
      </c>
      <c r="O1040" s="187"/>
      <c r="P1040" s="183"/>
      <c r="Q1040" s="184"/>
      <c r="R1040" s="178"/>
      <c r="S1040" s="184" t="s">
        <v>4180</v>
      </c>
      <c r="T1040" t="s">
        <v>1017</v>
      </c>
      <c r="U1040" s="185" t="s">
        <v>1017</v>
      </c>
      <c r="V1040" s="184"/>
      <c r="W1040" s="180"/>
      <c r="X1040" s="180"/>
      <c r="Y1040" s="178"/>
      <c r="Z1040" s="178"/>
      <c r="AA1040" s="180"/>
      <c r="AB1040" s="184" t="s">
        <v>1017</v>
      </c>
      <c r="AC1040" s="184"/>
      <c r="AD1040" s="201"/>
      <c r="AE1040" s="181" t="s">
        <v>1017</v>
      </c>
      <c r="AF1040" s="180"/>
      <c r="AG1040" s="201"/>
      <c r="AH1040" s="217" t="s">
        <v>4179</v>
      </c>
      <c r="AI1040" s="214" t="str">
        <f t="shared" si="476"/>
        <v/>
      </c>
      <c r="AJ1040" s="214" t="str">
        <f t="shared" si="477"/>
        <v/>
      </c>
      <c r="AK1040" s="214" t="str">
        <f t="shared" si="478"/>
        <v/>
      </c>
      <c r="AL1040" s="214" t="str">
        <f t="shared" si="479"/>
        <v/>
      </c>
      <c r="AM1040" s="214" t="str">
        <f t="shared" si="480"/>
        <v/>
      </c>
      <c r="AN1040" s="213" t="str">
        <f t="shared" si="463"/>
        <v>2012</v>
      </c>
      <c r="AO1040" s="213" t="str">
        <f t="shared" si="464"/>
        <v>2012</v>
      </c>
      <c r="AP1040" s="213" t="str">
        <f t="shared" si="465"/>
        <v>2012</v>
      </c>
      <c r="AQ1040" s="215" t="str">
        <f t="shared" si="466"/>
        <v/>
      </c>
      <c r="AR1040" s="216" t="str">
        <f t="shared" si="467"/>
        <v>BiK81LbK12y-05</v>
      </c>
      <c r="AS1040" s="215" t="str">
        <f t="shared" si="468"/>
        <v/>
      </c>
      <c r="AT1040">
        <f t="shared" si="469"/>
        <v>14</v>
      </c>
      <c r="AU1040" s="216" t="str">
        <f t="shared" si="470"/>
        <v>0-0,15 MW, Bonusregeln L, y, b und K erstmals 2012</v>
      </c>
      <c r="AV1040" s="215" t="str">
        <f t="shared" si="471"/>
        <v/>
      </c>
      <c r="AW1040" s="216" t="str">
        <f t="shared" si="472"/>
        <v>Anteil KWK, erstmals 2012</v>
      </c>
      <c r="AX1040" s="215" t="str">
        <f t="shared" si="473"/>
        <v/>
      </c>
      <c r="AY1040" t="str">
        <f t="shared" si="474"/>
        <v/>
      </c>
      <c r="AZ1040" t="str">
        <f t="shared" si="475"/>
        <v>x</v>
      </c>
    </row>
    <row r="1041" spans="1:52" x14ac:dyDescent="0.25">
      <c r="A1041" s="610" t="s">
        <v>2450</v>
      </c>
      <c r="B1041" s="30" t="s">
        <v>5548</v>
      </c>
      <c r="C1041" s="30" t="s">
        <v>1288</v>
      </c>
      <c r="D1041" s="30" t="s">
        <v>6977</v>
      </c>
      <c r="E1041" s="30" t="s">
        <v>4810</v>
      </c>
      <c r="F1041" s="454">
        <f t="shared" si="482"/>
        <v>26.67</v>
      </c>
      <c r="G1041" s="529">
        <v>26.67</v>
      </c>
      <c r="H1041" s="487">
        <f t="shared" si="483"/>
        <v>21.34</v>
      </c>
      <c r="I1041" s="706"/>
      <c r="J1041" s="669" t="s">
        <v>5805</v>
      </c>
      <c r="K1041" s="15"/>
      <c r="M1041" s="49">
        <f t="shared" si="484"/>
        <v>26.67</v>
      </c>
      <c r="N1041" s="41">
        <v>11.67</v>
      </c>
      <c r="O1041" s="186"/>
      <c r="P1041" s="177"/>
      <c r="Q1041" s="178"/>
      <c r="R1041" s="178"/>
      <c r="S1041" s="178" t="s">
        <v>4180</v>
      </c>
      <c r="T1041" t="s">
        <v>4180</v>
      </c>
      <c r="U1041" s="179"/>
      <c r="V1041" s="178"/>
      <c r="W1041" s="180"/>
      <c r="X1041" s="180"/>
      <c r="Y1041" s="178"/>
      <c r="Z1041" s="178"/>
      <c r="AA1041" s="180"/>
      <c r="AB1041" s="178"/>
      <c r="AC1041" s="178" t="s">
        <v>1017</v>
      </c>
      <c r="AD1041" s="180"/>
      <c r="AE1041" s="181" t="s">
        <v>1017</v>
      </c>
      <c r="AF1041" s="180"/>
      <c r="AG1041" s="201"/>
      <c r="AH1041" s="212" t="str">
        <f t="shared" ref="AH1041:AH1046" si="488">IF(ISERROR(SEARCH("K erstmals 201",D1041)),"",RIGHT(D1041,4))</f>
        <v/>
      </c>
      <c r="AI1041" s="214" t="str">
        <f t="shared" si="476"/>
        <v/>
      </c>
      <c r="AJ1041" s="214" t="str">
        <f t="shared" si="477"/>
        <v/>
      </c>
      <c r="AK1041" s="214" t="str">
        <f t="shared" si="478"/>
        <v/>
      </c>
      <c r="AL1041" s="214" t="str">
        <f t="shared" si="479"/>
        <v/>
      </c>
      <c r="AM1041" s="214" t="str">
        <f t="shared" si="480"/>
        <v/>
      </c>
      <c r="AN1041" s="213" t="str">
        <f t="shared" si="463"/>
        <v/>
      </c>
      <c r="AO1041" s="213" t="str">
        <f t="shared" si="464"/>
        <v/>
      </c>
      <c r="AP1041" s="213" t="str">
        <f t="shared" si="465"/>
        <v/>
      </c>
      <c r="AQ1041" s="215" t="str">
        <f t="shared" si="466"/>
        <v/>
      </c>
      <c r="AR1041" s="216" t="str">
        <f t="shared" si="467"/>
        <v>BiK81X1b----05</v>
      </c>
      <c r="AS1041" s="215" t="str">
        <f t="shared" si="468"/>
        <v/>
      </c>
      <c r="AT1041">
        <f t="shared" si="469"/>
        <v>14</v>
      </c>
      <c r="AU1041" s="216" t="str">
        <f t="shared" si="470"/>
        <v>0-0,15 MW, Bonusregeln X1, b</v>
      </c>
      <c r="AV1041" s="215" t="str">
        <f t="shared" si="471"/>
        <v/>
      </c>
      <c r="AW1041" s="216" t="str">
        <f t="shared" si="472"/>
        <v>Anteil Nicht-KWK</v>
      </c>
      <c r="AX1041" s="215" t="str">
        <f t="shared" si="473"/>
        <v/>
      </c>
      <c r="AY1041" t="str">
        <f t="shared" si="474"/>
        <v/>
      </c>
      <c r="AZ1041" t="str">
        <f t="shared" si="475"/>
        <v/>
      </c>
    </row>
    <row r="1042" spans="1:52" ht="17.25" customHeight="1" x14ac:dyDescent="0.25">
      <c r="A1042" s="610" t="s">
        <v>2451</v>
      </c>
      <c r="B1042" s="30" t="s">
        <v>5548</v>
      </c>
      <c r="C1042" s="30" t="s">
        <v>1288</v>
      </c>
      <c r="D1042" s="30" t="s">
        <v>6978</v>
      </c>
      <c r="E1042" s="30" t="s">
        <v>4812</v>
      </c>
      <c r="F1042" s="454">
        <f t="shared" si="482"/>
        <v>28.67</v>
      </c>
      <c r="G1042" s="529">
        <v>28.67</v>
      </c>
      <c r="H1042" s="487">
        <f t="shared" si="483"/>
        <v>22.94</v>
      </c>
      <c r="I1042" s="706"/>
      <c r="J1042" s="669" t="s">
        <v>5805</v>
      </c>
      <c r="K1042" s="15"/>
      <c r="M1042" s="49">
        <f t="shared" si="484"/>
        <v>28.67</v>
      </c>
      <c r="N1042" s="41">
        <v>11.67</v>
      </c>
      <c r="O1042" s="186" t="s">
        <v>1017</v>
      </c>
      <c r="P1042" s="177"/>
      <c r="Q1042" s="178"/>
      <c r="R1042" s="178"/>
      <c r="S1042" s="178" t="s">
        <v>4180</v>
      </c>
      <c r="T1042" t="s">
        <v>4180</v>
      </c>
      <c r="U1042" s="179"/>
      <c r="V1042" s="178"/>
      <c r="W1042" s="180"/>
      <c r="X1042" s="180"/>
      <c r="Y1042" s="178"/>
      <c r="Z1042" s="178"/>
      <c r="AA1042" s="180"/>
      <c r="AB1042" s="178"/>
      <c r="AC1042" s="178" t="s">
        <v>1017</v>
      </c>
      <c r="AD1042" s="201"/>
      <c r="AE1042" s="181" t="s">
        <v>1017</v>
      </c>
      <c r="AF1042" s="180"/>
      <c r="AG1042" s="201"/>
      <c r="AH1042" s="212" t="str">
        <f t="shared" si="488"/>
        <v/>
      </c>
      <c r="AI1042" s="214" t="str">
        <f t="shared" si="476"/>
        <v/>
      </c>
      <c r="AJ1042" s="214" t="str">
        <f t="shared" si="477"/>
        <v/>
      </c>
      <c r="AK1042" s="214" t="str">
        <f t="shared" si="478"/>
        <v/>
      </c>
      <c r="AL1042" s="214" t="str">
        <f t="shared" si="479"/>
        <v/>
      </c>
      <c r="AM1042" s="214" t="str">
        <f t="shared" si="480"/>
        <v/>
      </c>
      <c r="AN1042" s="213" t="str">
        <f t="shared" si="463"/>
        <v/>
      </c>
      <c r="AO1042" s="213" t="str">
        <f t="shared" si="464"/>
        <v/>
      </c>
      <c r="AP1042" s="213" t="str">
        <f t="shared" si="465"/>
        <v/>
      </c>
      <c r="AQ1042" s="215" t="str">
        <f t="shared" si="466"/>
        <v/>
      </c>
      <c r="AR1042" s="216" t="str">
        <f t="shared" si="467"/>
        <v>BiK81X1bKWK-05</v>
      </c>
      <c r="AS1042" s="215" t="str">
        <f t="shared" si="468"/>
        <v/>
      </c>
      <c r="AT1042">
        <f t="shared" si="469"/>
        <v>14</v>
      </c>
      <c r="AU1042" s="216" t="str">
        <f t="shared" si="470"/>
        <v>0-0,15 MW, Bonusregeln X1, b und KWK</v>
      </c>
      <c r="AV1042" s="215" t="str">
        <f t="shared" si="471"/>
        <v/>
      </c>
      <c r="AW1042" s="216" t="str">
        <f t="shared" si="472"/>
        <v>Anteil KWK</v>
      </c>
      <c r="AX1042" s="215" t="str">
        <f t="shared" si="473"/>
        <v/>
      </c>
      <c r="AY1042" t="str">
        <f t="shared" si="474"/>
        <v/>
      </c>
      <c r="AZ1042" t="str">
        <f t="shared" si="475"/>
        <v/>
      </c>
    </row>
    <row r="1043" spans="1:52" x14ac:dyDescent="0.25">
      <c r="A1043" s="610" t="s">
        <v>2452</v>
      </c>
      <c r="B1043" s="30" t="s">
        <v>5548</v>
      </c>
      <c r="C1043" s="30" t="s">
        <v>1288</v>
      </c>
      <c r="D1043" s="30" t="s">
        <v>6979</v>
      </c>
      <c r="E1043" s="30" t="s">
        <v>4331</v>
      </c>
      <c r="F1043" s="454">
        <f t="shared" si="482"/>
        <v>29.67</v>
      </c>
      <c r="G1043" s="529">
        <v>29.67</v>
      </c>
      <c r="H1043" s="487">
        <f t="shared" si="483"/>
        <v>23.74</v>
      </c>
      <c r="I1043" s="706"/>
      <c r="J1043" s="669" t="s">
        <v>5805</v>
      </c>
      <c r="K1043" s="15"/>
      <c r="M1043" s="49">
        <f t="shared" si="484"/>
        <v>29.67</v>
      </c>
      <c r="N1043" s="41">
        <v>11.67</v>
      </c>
      <c r="O1043" s="186"/>
      <c r="P1043" s="178" t="s">
        <v>1017</v>
      </c>
      <c r="Q1043" s="178"/>
      <c r="R1043" s="178"/>
      <c r="S1043" s="178" t="s">
        <v>4180</v>
      </c>
      <c r="T1043" t="s">
        <v>4180</v>
      </c>
      <c r="U1043" s="179"/>
      <c r="V1043" s="199"/>
      <c r="W1043" s="180"/>
      <c r="X1043" s="180"/>
      <c r="Y1043" s="178"/>
      <c r="Z1043" s="178"/>
      <c r="AA1043" s="180"/>
      <c r="AB1043" s="178"/>
      <c r="AC1043" s="178" t="s">
        <v>1017</v>
      </c>
      <c r="AD1043" s="201"/>
      <c r="AE1043" s="181" t="s">
        <v>1017</v>
      </c>
      <c r="AF1043" s="180"/>
      <c r="AG1043" s="201"/>
      <c r="AH1043" s="212" t="str">
        <f t="shared" si="488"/>
        <v/>
      </c>
      <c r="AI1043" s="214" t="str">
        <f t="shared" si="476"/>
        <v/>
      </c>
      <c r="AJ1043" s="214" t="str">
        <f t="shared" si="477"/>
        <v/>
      </c>
      <c r="AK1043" s="214" t="str">
        <f t="shared" si="478"/>
        <v/>
      </c>
      <c r="AL1043" s="214" t="str">
        <f t="shared" si="479"/>
        <v/>
      </c>
      <c r="AM1043" s="214" t="str">
        <f t="shared" si="480"/>
        <v/>
      </c>
      <c r="AN1043" s="213" t="str">
        <f t="shared" si="463"/>
        <v/>
      </c>
      <c r="AO1043" s="213" t="str">
        <f t="shared" si="464"/>
        <v/>
      </c>
      <c r="AP1043" s="213" t="str">
        <f t="shared" si="465"/>
        <v/>
      </c>
      <c r="AQ1043" s="215" t="str">
        <f t="shared" si="466"/>
        <v/>
      </c>
      <c r="AR1043" s="216" t="str">
        <f t="shared" si="467"/>
        <v>BiK81X1bKA3-05</v>
      </c>
      <c r="AS1043" s="215" t="str">
        <f t="shared" si="468"/>
        <v/>
      </c>
      <c r="AT1043">
        <f t="shared" si="469"/>
        <v>14</v>
      </c>
      <c r="AU1043" s="216" t="str">
        <f t="shared" si="470"/>
        <v>0-0,15 MW, Bonusregeln X1, b und K wenn Anlage 3 erfüllt</v>
      </c>
      <c r="AV1043" s="215" t="str">
        <f t="shared" si="471"/>
        <v/>
      </c>
      <c r="AW1043" s="216" t="str">
        <f t="shared" si="472"/>
        <v>Anteil KWK gemäß Anlage 3</v>
      </c>
      <c r="AX1043" s="215" t="str">
        <f t="shared" si="473"/>
        <v/>
      </c>
      <c r="AY1043" t="str">
        <f t="shared" si="474"/>
        <v/>
      </c>
      <c r="AZ1043" t="str">
        <f t="shared" si="475"/>
        <v/>
      </c>
    </row>
    <row r="1044" spans="1:52" x14ac:dyDescent="0.25">
      <c r="A1044" s="610" t="s">
        <v>2453</v>
      </c>
      <c r="B1044" s="30" t="s">
        <v>5548</v>
      </c>
      <c r="C1044" s="30" t="s">
        <v>1288</v>
      </c>
      <c r="D1044" s="30" t="s">
        <v>6980</v>
      </c>
      <c r="E1044" s="30" t="s">
        <v>674</v>
      </c>
      <c r="F1044" s="454">
        <f t="shared" si="482"/>
        <v>29.67</v>
      </c>
      <c r="G1044" s="529">
        <v>29.67</v>
      </c>
      <c r="H1044" s="487">
        <f t="shared" si="483"/>
        <v>23.74</v>
      </c>
      <c r="I1044" s="706"/>
      <c r="J1044" s="669" t="s">
        <v>5805</v>
      </c>
      <c r="K1044" s="15"/>
      <c r="M1044" s="49">
        <f t="shared" si="484"/>
        <v>29.67</v>
      </c>
      <c r="N1044" s="41">
        <v>11.67</v>
      </c>
      <c r="O1044" s="186"/>
      <c r="P1044" s="177"/>
      <c r="Q1044" s="178" t="s">
        <v>1017</v>
      </c>
      <c r="R1044" s="178"/>
      <c r="S1044" s="178" t="s">
        <v>4180</v>
      </c>
      <c r="T1044" t="s">
        <v>4180</v>
      </c>
      <c r="U1044" s="179"/>
      <c r="V1044" s="178"/>
      <c r="W1044" s="180"/>
      <c r="X1044" s="180"/>
      <c r="Y1044" s="178"/>
      <c r="Z1044" s="178"/>
      <c r="AA1044" s="180"/>
      <c r="AB1044" s="178"/>
      <c r="AC1044" s="178" t="s">
        <v>1017</v>
      </c>
      <c r="AD1044" s="201"/>
      <c r="AE1044" s="181" t="s">
        <v>1017</v>
      </c>
      <c r="AF1044" s="180"/>
      <c r="AG1044" s="201"/>
      <c r="AH1044" s="212" t="str">
        <f t="shared" si="488"/>
        <v/>
      </c>
      <c r="AI1044" s="214" t="str">
        <f t="shared" si="476"/>
        <v/>
      </c>
      <c r="AJ1044" s="214" t="str">
        <f t="shared" si="477"/>
        <v/>
      </c>
      <c r="AK1044" s="214" t="str">
        <f t="shared" si="478"/>
        <v/>
      </c>
      <c r="AL1044" s="214" t="str">
        <f t="shared" si="479"/>
        <v/>
      </c>
      <c r="AM1044" s="214" t="str">
        <f t="shared" si="480"/>
        <v/>
      </c>
      <c r="AN1044" s="213" t="str">
        <f t="shared" si="463"/>
        <v/>
      </c>
      <c r="AO1044" s="213" t="str">
        <f t="shared" si="464"/>
        <v/>
      </c>
      <c r="AP1044" s="213" t="str">
        <f t="shared" si="465"/>
        <v/>
      </c>
      <c r="AQ1044" s="215" t="str">
        <f t="shared" si="466"/>
        <v/>
      </c>
      <c r="AR1044" s="216" t="str">
        <f t="shared" si="467"/>
        <v>BiK81X1bK09-05</v>
      </c>
      <c r="AS1044" s="215" t="str">
        <f t="shared" si="468"/>
        <v/>
      </c>
      <c r="AT1044">
        <f t="shared" si="469"/>
        <v>14</v>
      </c>
      <c r="AU1044" s="216" t="str">
        <f t="shared" si="470"/>
        <v>0-0,15 MW, Bonusregeln X1, b und K erstmals 2009</v>
      </c>
      <c r="AV1044" s="215" t="str">
        <f t="shared" si="471"/>
        <v/>
      </c>
      <c r="AW1044" s="216" t="str">
        <f t="shared" si="472"/>
        <v>Anteil KWK, erstmals 2009</v>
      </c>
      <c r="AX1044" s="215" t="str">
        <f t="shared" si="473"/>
        <v/>
      </c>
      <c r="AY1044" t="str">
        <f t="shared" si="474"/>
        <v/>
      </c>
      <c r="AZ1044" t="str">
        <f t="shared" si="475"/>
        <v/>
      </c>
    </row>
    <row r="1045" spans="1:52" x14ac:dyDescent="0.25">
      <c r="A1045" s="610" t="s">
        <v>3590</v>
      </c>
      <c r="B1045" s="30" t="s">
        <v>5548</v>
      </c>
      <c r="C1045" s="30" t="s">
        <v>1288</v>
      </c>
      <c r="D1045" s="30" t="s">
        <v>6981</v>
      </c>
      <c r="E1045" s="30" t="s">
        <v>3567</v>
      </c>
      <c r="F1045" s="454">
        <f t="shared" si="482"/>
        <v>29.64</v>
      </c>
      <c r="G1045" s="529">
        <v>29.64</v>
      </c>
      <c r="H1045" s="487">
        <f t="shared" si="483"/>
        <v>23.71</v>
      </c>
      <c r="I1045" s="706"/>
      <c r="J1045" s="669" t="s">
        <v>5805</v>
      </c>
      <c r="K1045" s="15"/>
      <c r="M1045" s="49">
        <f t="shared" si="484"/>
        <v>29.64</v>
      </c>
      <c r="N1045" s="41">
        <v>11.67</v>
      </c>
      <c r="O1045" s="186"/>
      <c r="P1045" s="177"/>
      <c r="Q1045" s="178"/>
      <c r="R1045" s="178" t="s">
        <v>1017</v>
      </c>
      <c r="S1045" s="178" t="s">
        <v>4180</v>
      </c>
      <c r="T1045" t="s">
        <v>4180</v>
      </c>
      <c r="U1045" s="179"/>
      <c r="V1045" s="199"/>
      <c r="W1045" s="180"/>
      <c r="X1045" s="180"/>
      <c r="Y1045" s="178"/>
      <c r="Z1045" s="178"/>
      <c r="AA1045" s="180"/>
      <c r="AB1045" s="178"/>
      <c r="AC1045" s="178" t="s">
        <v>1017</v>
      </c>
      <c r="AD1045" s="201"/>
      <c r="AE1045" s="181" t="s">
        <v>1017</v>
      </c>
      <c r="AF1045" s="180"/>
      <c r="AG1045" s="201"/>
      <c r="AH1045" s="212" t="str">
        <f t="shared" si="488"/>
        <v>2010</v>
      </c>
      <c r="AI1045" s="214" t="str">
        <f t="shared" si="476"/>
        <v/>
      </c>
      <c r="AJ1045" s="214" t="str">
        <f t="shared" si="477"/>
        <v/>
      </c>
      <c r="AK1045" s="214" t="str">
        <f t="shared" si="478"/>
        <v/>
      </c>
      <c r="AL1045" s="214" t="str">
        <f t="shared" si="479"/>
        <v/>
      </c>
      <c r="AM1045" s="214" t="str">
        <f t="shared" si="480"/>
        <v/>
      </c>
      <c r="AN1045" s="213" t="str">
        <f t="shared" si="463"/>
        <v>2010</v>
      </c>
      <c r="AO1045" s="213" t="str">
        <f t="shared" si="464"/>
        <v>2010</v>
      </c>
      <c r="AP1045" s="213" t="str">
        <f t="shared" si="465"/>
        <v>2010</v>
      </c>
      <c r="AQ1045" s="215" t="str">
        <f t="shared" si="466"/>
        <v/>
      </c>
      <c r="AR1045" s="216" t="str">
        <f t="shared" si="467"/>
        <v>BiK81X1bK10-05</v>
      </c>
      <c r="AS1045" s="215" t="str">
        <f t="shared" si="468"/>
        <v/>
      </c>
      <c r="AT1045">
        <f t="shared" si="469"/>
        <v>14</v>
      </c>
      <c r="AU1045" s="216" t="str">
        <f t="shared" si="470"/>
        <v>0-0,15 MW, Bonusregeln X1, b und K erstmals 2010</v>
      </c>
      <c r="AV1045" s="215" t="str">
        <f t="shared" si="471"/>
        <v/>
      </c>
      <c r="AW1045" s="216" t="str">
        <f t="shared" si="472"/>
        <v>Anteil KWK, erstmals 2010</v>
      </c>
      <c r="AX1045" s="215" t="str">
        <f t="shared" si="473"/>
        <v/>
      </c>
      <c r="AY1045" t="str">
        <f t="shared" si="474"/>
        <v/>
      </c>
      <c r="AZ1045" t="str">
        <f t="shared" si="475"/>
        <v/>
      </c>
    </row>
    <row r="1046" spans="1:52" x14ac:dyDescent="0.25">
      <c r="A1046" s="610" t="s">
        <v>5321</v>
      </c>
      <c r="B1046" s="30" t="s">
        <v>5548</v>
      </c>
      <c r="C1046" s="30" t="s">
        <v>1288</v>
      </c>
      <c r="D1046" s="30" t="s">
        <v>6982</v>
      </c>
      <c r="E1046" s="30" t="s">
        <v>3055</v>
      </c>
      <c r="F1046" s="454">
        <f t="shared" si="482"/>
        <v>29.61</v>
      </c>
      <c r="G1046" s="529">
        <v>29.61</v>
      </c>
      <c r="H1046" s="487">
        <f t="shared" si="483"/>
        <v>23.69</v>
      </c>
      <c r="I1046" s="706"/>
      <c r="J1046" s="669" t="s">
        <v>5805</v>
      </c>
      <c r="K1046" s="15"/>
      <c r="M1046" s="49">
        <f t="shared" si="484"/>
        <v>29.61</v>
      </c>
      <c r="N1046" s="41">
        <v>11.67</v>
      </c>
      <c r="O1046" s="186"/>
      <c r="P1046" s="195"/>
      <c r="Q1046" s="199"/>
      <c r="R1046" s="199"/>
      <c r="S1046" s="199" t="s">
        <v>1017</v>
      </c>
      <c r="T1046" s="92" t="s">
        <v>4180</v>
      </c>
      <c r="U1046" s="179"/>
      <c r="V1046" s="199"/>
      <c r="W1046" s="201"/>
      <c r="X1046" s="201"/>
      <c r="Y1046" s="199"/>
      <c r="Z1046" s="199"/>
      <c r="AA1046" s="201"/>
      <c r="AB1046" s="199"/>
      <c r="AC1046" s="199" t="s">
        <v>1017</v>
      </c>
      <c r="AD1046" s="201"/>
      <c r="AE1046" s="181" t="s">
        <v>1017</v>
      </c>
      <c r="AF1046" s="201"/>
      <c r="AG1046" s="201"/>
      <c r="AH1046" s="212" t="str">
        <f t="shared" si="488"/>
        <v>2011</v>
      </c>
      <c r="AI1046" s="214" t="str">
        <f t="shared" si="476"/>
        <v/>
      </c>
      <c r="AJ1046" s="214" t="str">
        <f t="shared" si="477"/>
        <v/>
      </c>
      <c r="AK1046" s="214" t="str">
        <f t="shared" si="478"/>
        <v/>
      </c>
      <c r="AL1046" s="214" t="str">
        <f t="shared" si="479"/>
        <v/>
      </c>
      <c r="AM1046" s="214" t="str">
        <f t="shared" si="480"/>
        <v/>
      </c>
      <c r="AN1046" s="213" t="str">
        <f t="shared" si="463"/>
        <v>2011</v>
      </c>
      <c r="AO1046" s="213" t="str">
        <f t="shared" si="464"/>
        <v>2011</v>
      </c>
      <c r="AP1046" s="213" t="str">
        <f t="shared" si="465"/>
        <v>2011</v>
      </c>
      <c r="AQ1046" s="215" t="str">
        <f t="shared" si="466"/>
        <v/>
      </c>
      <c r="AR1046" s="216" t="str">
        <f t="shared" si="467"/>
        <v>BiK81X1bK11-05</v>
      </c>
      <c r="AS1046" s="215" t="str">
        <f t="shared" si="468"/>
        <v/>
      </c>
      <c r="AT1046">
        <f t="shared" si="469"/>
        <v>14</v>
      </c>
      <c r="AU1046" s="216" t="str">
        <f t="shared" si="470"/>
        <v>0-0,15 MW, Bonusregeln X1, b und K erstmals 2011</v>
      </c>
      <c r="AV1046" s="215" t="str">
        <f t="shared" si="471"/>
        <v/>
      </c>
      <c r="AW1046" s="216" t="str">
        <f t="shared" si="472"/>
        <v>Anteil KWK, erstmals 2011</v>
      </c>
      <c r="AX1046" s="215" t="str">
        <f t="shared" si="473"/>
        <v/>
      </c>
      <c r="AY1046" t="str">
        <f t="shared" si="474"/>
        <v>x</v>
      </c>
      <c r="AZ1046" t="str">
        <f t="shared" si="475"/>
        <v/>
      </c>
    </row>
    <row r="1047" spans="1:52" x14ac:dyDescent="0.25">
      <c r="A1047" s="625" t="s">
        <v>1571</v>
      </c>
      <c r="B1047" s="219" t="s">
        <v>5548</v>
      </c>
      <c r="C1047" s="219" t="s">
        <v>1288</v>
      </c>
      <c r="D1047" s="219" t="s">
        <v>6983</v>
      </c>
      <c r="E1047" s="219" t="s">
        <v>1980</v>
      </c>
      <c r="F1047" s="455">
        <f t="shared" si="482"/>
        <v>29.58</v>
      </c>
      <c r="G1047" s="530">
        <v>29.58</v>
      </c>
      <c r="H1047" s="488">
        <f t="shared" si="483"/>
        <v>23.66</v>
      </c>
      <c r="I1047" s="707"/>
      <c r="J1047" s="669" t="s">
        <v>5805</v>
      </c>
      <c r="K1047" s="15"/>
      <c r="M1047" s="49">
        <f t="shared" si="484"/>
        <v>29.58</v>
      </c>
      <c r="N1047" s="41">
        <v>11.67</v>
      </c>
      <c r="O1047" s="186"/>
      <c r="P1047" s="195"/>
      <c r="Q1047" s="199"/>
      <c r="R1047" s="199"/>
      <c r="S1047" s="199" t="s">
        <v>4180</v>
      </c>
      <c r="T1047" s="92" t="s">
        <v>1017</v>
      </c>
      <c r="U1047" s="179"/>
      <c r="V1047" s="199"/>
      <c r="W1047" s="201"/>
      <c r="X1047" s="201"/>
      <c r="Y1047" s="199"/>
      <c r="Z1047" s="199"/>
      <c r="AA1047" s="201"/>
      <c r="AB1047" s="199"/>
      <c r="AC1047" s="199" t="s">
        <v>1017</v>
      </c>
      <c r="AD1047" s="201"/>
      <c r="AE1047" s="181" t="s">
        <v>1017</v>
      </c>
      <c r="AF1047" s="201"/>
      <c r="AG1047" s="201"/>
      <c r="AH1047" s="217" t="s">
        <v>4179</v>
      </c>
      <c r="AI1047" s="214" t="str">
        <f t="shared" si="476"/>
        <v/>
      </c>
      <c r="AJ1047" s="214" t="str">
        <f t="shared" si="477"/>
        <v/>
      </c>
      <c r="AK1047" s="214" t="str">
        <f t="shared" si="478"/>
        <v/>
      </c>
      <c r="AL1047" s="214" t="str">
        <f t="shared" si="479"/>
        <v/>
      </c>
      <c r="AM1047" s="214" t="str">
        <f t="shared" si="480"/>
        <v/>
      </c>
      <c r="AN1047" s="213" t="str">
        <f t="shared" si="463"/>
        <v>2012</v>
      </c>
      <c r="AO1047" s="213" t="str">
        <f t="shared" si="464"/>
        <v>2012</v>
      </c>
      <c r="AP1047" s="213" t="str">
        <f t="shared" si="465"/>
        <v>2012</v>
      </c>
      <c r="AQ1047" s="215" t="str">
        <f t="shared" si="466"/>
        <v/>
      </c>
      <c r="AR1047" s="216" t="str">
        <f t="shared" si="467"/>
        <v>BiK81X1bK12-05</v>
      </c>
      <c r="AS1047" s="215" t="str">
        <f t="shared" si="468"/>
        <v/>
      </c>
      <c r="AT1047">
        <f t="shared" si="469"/>
        <v>14</v>
      </c>
      <c r="AU1047" s="216" t="str">
        <f t="shared" si="470"/>
        <v>0-0,15 MW, Bonusregeln X1, b und K erstmals 2012</v>
      </c>
      <c r="AV1047" s="215" t="str">
        <f t="shared" si="471"/>
        <v/>
      </c>
      <c r="AW1047" s="216" t="str">
        <f t="shared" si="472"/>
        <v>Anteil KWK, erstmals 2012</v>
      </c>
      <c r="AX1047" s="215" t="str">
        <f t="shared" si="473"/>
        <v/>
      </c>
      <c r="AY1047" t="str">
        <f t="shared" si="474"/>
        <v/>
      </c>
      <c r="AZ1047" t="str">
        <f t="shared" si="475"/>
        <v>x</v>
      </c>
    </row>
    <row r="1048" spans="1:52" x14ac:dyDescent="0.25">
      <c r="A1048" s="610" t="s">
        <v>2089</v>
      </c>
      <c r="B1048" s="30" t="s">
        <v>5548</v>
      </c>
      <c r="C1048" s="30" t="s">
        <v>1288</v>
      </c>
      <c r="D1048" s="30" t="s">
        <v>6984</v>
      </c>
      <c r="E1048" s="30" t="s">
        <v>4810</v>
      </c>
      <c r="F1048" s="454">
        <f t="shared" si="482"/>
        <v>27.67</v>
      </c>
      <c r="G1048" s="529">
        <v>27.67</v>
      </c>
      <c r="H1048" s="487">
        <f t="shared" si="483"/>
        <v>22.14</v>
      </c>
      <c r="I1048" s="706"/>
      <c r="J1048" s="669" t="s">
        <v>5805</v>
      </c>
      <c r="K1048" s="15"/>
      <c r="M1048" s="49">
        <f t="shared" si="484"/>
        <v>27.67</v>
      </c>
      <c r="N1048" s="41">
        <v>11.67</v>
      </c>
      <c r="O1048" s="187"/>
      <c r="P1048" s="183"/>
      <c r="Q1048" s="184"/>
      <c r="R1048" s="184"/>
      <c r="S1048" s="184" t="s">
        <v>4180</v>
      </c>
      <c r="T1048" t="s">
        <v>4180</v>
      </c>
      <c r="U1048" s="185" t="s">
        <v>1017</v>
      </c>
      <c r="V1048" s="184"/>
      <c r="W1048" s="180"/>
      <c r="X1048" s="180"/>
      <c r="Y1048" s="178"/>
      <c r="Z1048" s="178"/>
      <c r="AA1048" s="180"/>
      <c r="AB1048" s="178"/>
      <c r="AC1048" s="184" t="s">
        <v>1017</v>
      </c>
      <c r="AD1048" s="201"/>
      <c r="AE1048" s="181" t="s">
        <v>1017</v>
      </c>
      <c r="AF1048" s="180"/>
      <c r="AG1048" s="201"/>
      <c r="AH1048" s="212" t="str">
        <f t="shared" ref="AH1048:AH1053" si="489">IF(ISERROR(SEARCH("K erstmals 201",D1048)),"",RIGHT(D1048,4))</f>
        <v/>
      </c>
      <c r="AI1048" s="214" t="str">
        <f t="shared" si="476"/>
        <v/>
      </c>
      <c r="AJ1048" s="214" t="str">
        <f t="shared" si="477"/>
        <v/>
      </c>
      <c r="AK1048" s="214" t="str">
        <f t="shared" si="478"/>
        <v/>
      </c>
      <c r="AL1048" s="214" t="str">
        <f t="shared" si="479"/>
        <v/>
      </c>
      <c r="AM1048" s="214" t="str">
        <f t="shared" si="480"/>
        <v/>
      </c>
      <c r="AN1048" s="213" t="str">
        <f t="shared" si="463"/>
        <v/>
      </c>
      <c r="AO1048" s="213" t="str">
        <f t="shared" si="464"/>
        <v/>
      </c>
      <c r="AP1048" s="213" t="str">
        <f t="shared" si="465"/>
        <v/>
      </c>
      <c r="AQ1048" s="215" t="str">
        <f t="shared" si="466"/>
        <v/>
      </c>
      <c r="AR1048" s="216" t="str">
        <f t="shared" si="467"/>
        <v>BiK81X1by---05</v>
      </c>
      <c r="AS1048" s="215" t="str">
        <f t="shared" si="468"/>
        <v/>
      </c>
      <c r="AT1048">
        <f t="shared" si="469"/>
        <v>14</v>
      </c>
      <c r="AU1048" s="216" t="str">
        <f t="shared" si="470"/>
        <v>0-0,15 MW, Bonusregeln X1, y, b</v>
      </c>
      <c r="AV1048" s="215" t="str">
        <f t="shared" si="471"/>
        <v/>
      </c>
      <c r="AW1048" s="216" t="str">
        <f t="shared" si="472"/>
        <v>Anteil Nicht-KWK</v>
      </c>
      <c r="AX1048" s="215" t="str">
        <f t="shared" si="473"/>
        <v/>
      </c>
      <c r="AY1048" t="str">
        <f t="shared" si="474"/>
        <v/>
      </c>
      <c r="AZ1048" t="str">
        <f t="shared" si="475"/>
        <v/>
      </c>
    </row>
    <row r="1049" spans="1:52" x14ac:dyDescent="0.25">
      <c r="A1049" s="610" t="s">
        <v>2090</v>
      </c>
      <c r="B1049" s="30" t="s">
        <v>5548</v>
      </c>
      <c r="C1049" s="30" t="s">
        <v>1288</v>
      </c>
      <c r="D1049" s="30" t="s">
        <v>6985</v>
      </c>
      <c r="E1049" s="30" t="s">
        <v>4812</v>
      </c>
      <c r="F1049" s="454">
        <f t="shared" si="482"/>
        <v>29.67</v>
      </c>
      <c r="G1049" s="529">
        <v>29.67</v>
      </c>
      <c r="H1049" s="487">
        <f t="shared" si="483"/>
        <v>23.74</v>
      </c>
      <c r="I1049" s="706"/>
      <c r="J1049" s="669" t="s">
        <v>5805</v>
      </c>
      <c r="K1049" s="15"/>
      <c r="M1049" s="49">
        <f t="shared" si="484"/>
        <v>29.67</v>
      </c>
      <c r="N1049" s="41">
        <v>11.67</v>
      </c>
      <c r="O1049" s="187" t="s">
        <v>1017</v>
      </c>
      <c r="P1049" s="183"/>
      <c r="Q1049" s="184"/>
      <c r="R1049" s="184"/>
      <c r="S1049" s="184" t="s">
        <v>4180</v>
      </c>
      <c r="T1049" t="s">
        <v>4180</v>
      </c>
      <c r="U1049" s="185" t="s">
        <v>1017</v>
      </c>
      <c r="V1049" s="184"/>
      <c r="W1049" s="180"/>
      <c r="X1049" s="180"/>
      <c r="Y1049" s="178"/>
      <c r="Z1049" s="178"/>
      <c r="AA1049" s="180"/>
      <c r="AB1049" s="178"/>
      <c r="AC1049" s="184" t="s">
        <v>1017</v>
      </c>
      <c r="AD1049" s="201"/>
      <c r="AE1049" s="181" t="s">
        <v>1017</v>
      </c>
      <c r="AF1049" s="180"/>
      <c r="AG1049" s="201"/>
      <c r="AH1049" s="212" t="str">
        <f t="shared" si="489"/>
        <v/>
      </c>
      <c r="AI1049" s="214" t="str">
        <f t="shared" si="476"/>
        <v/>
      </c>
      <c r="AJ1049" s="214" t="str">
        <f t="shared" si="477"/>
        <v/>
      </c>
      <c r="AK1049" s="214" t="str">
        <f t="shared" si="478"/>
        <v/>
      </c>
      <c r="AL1049" s="214" t="str">
        <f t="shared" si="479"/>
        <v/>
      </c>
      <c r="AM1049" s="214" t="str">
        <f t="shared" si="480"/>
        <v/>
      </c>
      <c r="AN1049" s="213" t="str">
        <f t="shared" si="463"/>
        <v/>
      </c>
      <c r="AO1049" s="213" t="str">
        <f t="shared" si="464"/>
        <v/>
      </c>
      <c r="AP1049" s="213" t="str">
        <f t="shared" si="465"/>
        <v/>
      </c>
      <c r="AQ1049" s="215" t="str">
        <f t="shared" si="466"/>
        <v/>
      </c>
      <c r="AR1049" s="216" t="str">
        <f t="shared" si="467"/>
        <v>BiK81X1bKWKy05</v>
      </c>
      <c r="AS1049" s="215" t="str">
        <f t="shared" si="468"/>
        <v/>
      </c>
      <c r="AT1049">
        <f t="shared" si="469"/>
        <v>14</v>
      </c>
      <c r="AU1049" s="216" t="str">
        <f t="shared" si="470"/>
        <v>0-0,15 MW, Bonusregeln X1, y, b und KWK</v>
      </c>
      <c r="AV1049" s="215" t="str">
        <f t="shared" si="471"/>
        <v/>
      </c>
      <c r="AW1049" s="216" t="str">
        <f t="shared" si="472"/>
        <v>Anteil KWK</v>
      </c>
      <c r="AX1049" s="215" t="str">
        <f t="shared" si="473"/>
        <v/>
      </c>
      <c r="AY1049" t="str">
        <f t="shared" si="474"/>
        <v/>
      </c>
      <c r="AZ1049" t="str">
        <f t="shared" si="475"/>
        <v/>
      </c>
    </row>
    <row r="1050" spans="1:52" x14ac:dyDescent="0.25">
      <c r="A1050" s="610" t="s">
        <v>2091</v>
      </c>
      <c r="B1050" s="30" t="s">
        <v>5548</v>
      </c>
      <c r="C1050" s="30" t="s">
        <v>1288</v>
      </c>
      <c r="D1050" s="109" t="s">
        <v>6986</v>
      </c>
      <c r="E1050" s="30" t="s">
        <v>4331</v>
      </c>
      <c r="F1050" s="454">
        <f t="shared" si="482"/>
        <v>30.67</v>
      </c>
      <c r="G1050" s="529">
        <v>30.67</v>
      </c>
      <c r="H1050" s="487">
        <f t="shared" si="483"/>
        <v>24.54</v>
      </c>
      <c r="I1050" s="706"/>
      <c r="J1050" s="669" t="s">
        <v>5805</v>
      </c>
      <c r="K1050" s="15"/>
      <c r="M1050" s="49">
        <f t="shared" si="484"/>
        <v>30.67</v>
      </c>
      <c r="N1050" s="41">
        <v>11.67</v>
      </c>
      <c r="O1050" s="187"/>
      <c r="P1050" s="184" t="s">
        <v>1017</v>
      </c>
      <c r="Q1050" s="184"/>
      <c r="R1050" s="184"/>
      <c r="S1050" s="184" t="s">
        <v>4180</v>
      </c>
      <c r="T1050" t="s">
        <v>4180</v>
      </c>
      <c r="U1050" s="185" t="s">
        <v>1017</v>
      </c>
      <c r="V1050" s="184"/>
      <c r="W1050" s="180"/>
      <c r="X1050" s="180"/>
      <c r="Y1050" s="178"/>
      <c r="Z1050" s="178"/>
      <c r="AA1050" s="180"/>
      <c r="AB1050" s="178"/>
      <c r="AC1050" s="184" t="s">
        <v>1017</v>
      </c>
      <c r="AD1050" s="201"/>
      <c r="AE1050" s="181" t="s">
        <v>1017</v>
      </c>
      <c r="AF1050" s="180"/>
      <c r="AG1050" s="201"/>
      <c r="AH1050" s="212" t="str">
        <f t="shared" si="489"/>
        <v/>
      </c>
      <c r="AI1050" s="214" t="str">
        <f t="shared" si="476"/>
        <v/>
      </c>
      <c r="AJ1050" s="214" t="str">
        <f t="shared" si="477"/>
        <v/>
      </c>
      <c r="AK1050" s="214" t="str">
        <f t="shared" si="478"/>
        <v/>
      </c>
      <c r="AL1050" s="214" t="str">
        <f t="shared" si="479"/>
        <v/>
      </c>
      <c r="AM1050" s="214" t="str">
        <f t="shared" si="480"/>
        <v/>
      </c>
      <c r="AN1050" s="213" t="str">
        <f t="shared" si="463"/>
        <v/>
      </c>
      <c r="AO1050" s="213" t="str">
        <f t="shared" si="464"/>
        <v/>
      </c>
      <c r="AP1050" s="213" t="str">
        <f t="shared" si="465"/>
        <v/>
      </c>
      <c r="AQ1050" s="215" t="str">
        <f t="shared" si="466"/>
        <v/>
      </c>
      <c r="AR1050" s="216" t="str">
        <f t="shared" si="467"/>
        <v>BiK81X1bKA3y05</v>
      </c>
      <c r="AS1050" s="215" t="str">
        <f t="shared" si="468"/>
        <v/>
      </c>
      <c r="AT1050">
        <f t="shared" si="469"/>
        <v>14</v>
      </c>
      <c r="AU1050" s="216" t="str">
        <f t="shared" si="470"/>
        <v>0-0,15 MW, Bonusregeln X1, y, b und K wenn Anlage 3 erfüllt</v>
      </c>
      <c r="AV1050" s="215" t="str">
        <f t="shared" si="471"/>
        <v/>
      </c>
      <c r="AW1050" s="216" t="str">
        <f t="shared" si="472"/>
        <v>Anteil KWK gemäß Anlage 3</v>
      </c>
      <c r="AX1050" s="215" t="str">
        <f t="shared" si="473"/>
        <v/>
      </c>
      <c r="AY1050" t="str">
        <f t="shared" si="474"/>
        <v/>
      </c>
      <c r="AZ1050" t="str">
        <f t="shared" si="475"/>
        <v/>
      </c>
    </row>
    <row r="1051" spans="1:52" x14ac:dyDescent="0.25">
      <c r="A1051" s="610" t="s">
        <v>2092</v>
      </c>
      <c r="B1051" s="30" t="s">
        <v>5548</v>
      </c>
      <c r="C1051" s="30" t="s">
        <v>1288</v>
      </c>
      <c r="D1051" s="30" t="s">
        <v>6987</v>
      </c>
      <c r="E1051" s="30" t="s">
        <v>674</v>
      </c>
      <c r="F1051" s="454">
        <f t="shared" si="482"/>
        <v>30.67</v>
      </c>
      <c r="G1051" s="529">
        <v>30.67</v>
      </c>
      <c r="H1051" s="487">
        <f t="shared" si="483"/>
        <v>24.54</v>
      </c>
      <c r="I1051" s="706"/>
      <c r="J1051" s="669" t="s">
        <v>5805</v>
      </c>
      <c r="K1051" s="15"/>
      <c r="M1051" s="49">
        <f t="shared" si="484"/>
        <v>30.67</v>
      </c>
      <c r="N1051" s="41">
        <v>11.67</v>
      </c>
      <c r="O1051" s="187"/>
      <c r="P1051" s="183"/>
      <c r="Q1051" s="184" t="s">
        <v>1017</v>
      </c>
      <c r="R1051" s="184"/>
      <c r="S1051" s="184" t="s">
        <v>4180</v>
      </c>
      <c r="T1051" t="s">
        <v>4180</v>
      </c>
      <c r="U1051" s="185" t="s">
        <v>1017</v>
      </c>
      <c r="V1051" s="184"/>
      <c r="W1051" s="180"/>
      <c r="X1051" s="180"/>
      <c r="Y1051" s="178"/>
      <c r="Z1051" s="178"/>
      <c r="AA1051" s="180"/>
      <c r="AB1051" s="178"/>
      <c r="AC1051" s="184" t="s">
        <v>1017</v>
      </c>
      <c r="AD1051" s="201"/>
      <c r="AE1051" s="181" t="s">
        <v>1017</v>
      </c>
      <c r="AF1051" s="180"/>
      <c r="AG1051" s="201"/>
      <c r="AH1051" s="212" t="str">
        <f t="shared" si="489"/>
        <v/>
      </c>
      <c r="AI1051" s="214" t="str">
        <f t="shared" si="476"/>
        <v/>
      </c>
      <c r="AJ1051" s="214" t="str">
        <f t="shared" si="477"/>
        <v/>
      </c>
      <c r="AK1051" s="214" t="str">
        <f t="shared" si="478"/>
        <v/>
      </c>
      <c r="AL1051" s="214" t="str">
        <f t="shared" si="479"/>
        <v/>
      </c>
      <c r="AM1051" s="214" t="str">
        <f t="shared" si="480"/>
        <v/>
      </c>
      <c r="AN1051" s="213" t="str">
        <f t="shared" si="463"/>
        <v/>
      </c>
      <c r="AO1051" s="213" t="str">
        <f t="shared" si="464"/>
        <v/>
      </c>
      <c r="AP1051" s="213" t="str">
        <f t="shared" si="465"/>
        <v/>
      </c>
      <c r="AQ1051" s="215" t="str">
        <f t="shared" si="466"/>
        <v/>
      </c>
      <c r="AR1051" s="216" t="str">
        <f t="shared" si="467"/>
        <v>BiK81X1bK09y05</v>
      </c>
      <c r="AS1051" s="215" t="str">
        <f t="shared" si="468"/>
        <v/>
      </c>
      <c r="AT1051">
        <f t="shared" si="469"/>
        <v>14</v>
      </c>
      <c r="AU1051" s="216" t="str">
        <f t="shared" si="470"/>
        <v>0-0,15 MW, Bonusregeln X1, y, b und K erstmals 2009</v>
      </c>
      <c r="AV1051" s="215" t="str">
        <f t="shared" si="471"/>
        <v/>
      </c>
      <c r="AW1051" s="216" t="str">
        <f t="shared" si="472"/>
        <v>Anteil KWK, erstmals 2009</v>
      </c>
      <c r="AX1051" s="215" t="str">
        <f t="shared" si="473"/>
        <v/>
      </c>
      <c r="AY1051" t="str">
        <f t="shared" si="474"/>
        <v/>
      </c>
      <c r="AZ1051" t="str">
        <f t="shared" si="475"/>
        <v/>
      </c>
    </row>
    <row r="1052" spans="1:52" x14ac:dyDescent="0.25">
      <c r="A1052" s="610" t="s">
        <v>3591</v>
      </c>
      <c r="B1052" s="30" t="s">
        <v>5548</v>
      </c>
      <c r="C1052" s="30" t="s">
        <v>1288</v>
      </c>
      <c r="D1052" s="30" t="s">
        <v>6988</v>
      </c>
      <c r="E1052" s="30" t="s">
        <v>3567</v>
      </c>
      <c r="F1052" s="454">
        <f t="shared" si="482"/>
        <v>30.64</v>
      </c>
      <c r="G1052" s="529">
        <v>30.64</v>
      </c>
      <c r="H1052" s="487">
        <f t="shared" si="483"/>
        <v>24.51</v>
      </c>
      <c r="I1052" s="706"/>
      <c r="J1052" s="669" t="s">
        <v>5805</v>
      </c>
      <c r="K1052" s="15"/>
      <c r="M1052" s="49">
        <f t="shared" si="484"/>
        <v>30.64</v>
      </c>
      <c r="N1052" s="41">
        <v>11.67</v>
      </c>
      <c r="O1052" s="187"/>
      <c r="P1052" s="183"/>
      <c r="Q1052" s="184"/>
      <c r="R1052" s="184" t="s">
        <v>1017</v>
      </c>
      <c r="S1052" s="184" t="s">
        <v>4180</v>
      </c>
      <c r="T1052" t="s">
        <v>4180</v>
      </c>
      <c r="U1052" s="185" t="s">
        <v>1017</v>
      </c>
      <c r="V1052" s="184"/>
      <c r="W1052" s="180"/>
      <c r="X1052" s="180"/>
      <c r="Y1052" s="178"/>
      <c r="Z1052" s="178"/>
      <c r="AA1052" s="180"/>
      <c r="AB1052" s="178"/>
      <c r="AC1052" s="184" t="s">
        <v>1017</v>
      </c>
      <c r="AD1052" s="201"/>
      <c r="AE1052" s="181" t="s">
        <v>1017</v>
      </c>
      <c r="AF1052" s="180"/>
      <c r="AG1052" s="201"/>
      <c r="AH1052" s="212" t="str">
        <f t="shared" si="489"/>
        <v>2010</v>
      </c>
      <c r="AI1052" s="214" t="str">
        <f t="shared" si="476"/>
        <v/>
      </c>
      <c r="AJ1052" s="214" t="str">
        <f t="shared" si="477"/>
        <v/>
      </c>
      <c r="AK1052" s="214" t="str">
        <f t="shared" si="478"/>
        <v/>
      </c>
      <c r="AL1052" s="214" t="str">
        <f t="shared" si="479"/>
        <v/>
      </c>
      <c r="AM1052" s="214" t="str">
        <f t="shared" si="480"/>
        <v/>
      </c>
      <c r="AN1052" s="213" t="str">
        <f t="shared" si="463"/>
        <v>2010</v>
      </c>
      <c r="AO1052" s="213" t="str">
        <f t="shared" si="464"/>
        <v>2010</v>
      </c>
      <c r="AP1052" s="213" t="str">
        <f t="shared" si="465"/>
        <v>2010</v>
      </c>
      <c r="AQ1052" s="215" t="str">
        <f t="shared" si="466"/>
        <v/>
      </c>
      <c r="AR1052" s="216" t="str">
        <f t="shared" si="467"/>
        <v>BiK81X1bK10y05</v>
      </c>
      <c r="AS1052" s="215" t="str">
        <f t="shared" si="468"/>
        <v/>
      </c>
      <c r="AT1052">
        <f t="shared" si="469"/>
        <v>14</v>
      </c>
      <c r="AU1052" s="216" t="str">
        <f t="shared" si="470"/>
        <v>0-0,15 MW, Bonusregeln X1, y, b und K erstmals 2010</v>
      </c>
      <c r="AV1052" s="215" t="str">
        <f t="shared" si="471"/>
        <v/>
      </c>
      <c r="AW1052" s="216" t="str">
        <f t="shared" si="472"/>
        <v>Anteil KWK, erstmals 2010</v>
      </c>
      <c r="AX1052" s="215" t="str">
        <f t="shared" si="473"/>
        <v/>
      </c>
      <c r="AY1052" t="str">
        <f t="shared" si="474"/>
        <v/>
      </c>
      <c r="AZ1052" t="str">
        <f t="shared" si="475"/>
        <v/>
      </c>
    </row>
    <row r="1053" spans="1:52" x14ac:dyDescent="0.25">
      <c r="A1053" s="610" t="s">
        <v>5322</v>
      </c>
      <c r="B1053" s="30" t="s">
        <v>5548</v>
      </c>
      <c r="C1053" s="30" t="s">
        <v>1288</v>
      </c>
      <c r="D1053" s="30" t="s">
        <v>6989</v>
      </c>
      <c r="E1053" s="30" t="s">
        <v>3055</v>
      </c>
      <c r="F1053" s="454">
        <f t="shared" si="482"/>
        <v>30.61</v>
      </c>
      <c r="G1053" s="529">
        <v>30.61</v>
      </c>
      <c r="H1053" s="487">
        <f t="shared" si="483"/>
        <v>24.49</v>
      </c>
      <c r="I1053" s="706"/>
      <c r="J1053" s="669" t="s">
        <v>5805</v>
      </c>
      <c r="K1053" s="15"/>
      <c r="M1053" s="49">
        <f t="shared" si="484"/>
        <v>30.61</v>
      </c>
      <c r="N1053" s="41">
        <v>11.67</v>
      </c>
      <c r="O1053" s="187"/>
      <c r="P1053" s="183"/>
      <c r="Q1053" s="184"/>
      <c r="R1053" s="178"/>
      <c r="S1053" s="184" t="s">
        <v>1017</v>
      </c>
      <c r="T1053" t="s">
        <v>4180</v>
      </c>
      <c r="U1053" s="185" t="s">
        <v>1017</v>
      </c>
      <c r="V1053" s="184"/>
      <c r="W1053" s="180"/>
      <c r="X1053" s="180"/>
      <c r="Y1053" s="178"/>
      <c r="Z1053" s="178"/>
      <c r="AA1053" s="180"/>
      <c r="AB1053" s="178"/>
      <c r="AC1053" s="184" t="s">
        <v>1017</v>
      </c>
      <c r="AD1053" s="201"/>
      <c r="AE1053" s="181" t="s">
        <v>1017</v>
      </c>
      <c r="AF1053" s="180"/>
      <c r="AG1053" s="201"/>
      <c r="AH1053" s="212" t="str">
        <f t="shared" si="489"/>
        <v>2011</v>
      </c>
      <c r="AI1053" s="214" t="str">
        <f t="shared" si="476"/>
        <v/>
      </c>
      <c r="AJ1053" s="214" t="str">
        <f t="shared" si="477"/>
        <v/>
      </c>
      <c r="AK1053" s="214" t="str">
        <f t="shared" si="478"/>
        <v/>
      </c>
      <c r="AL1053" s="214" t="str">
        <f t="shared" si="479"/>
        <v/>
      </c>
      <c r="AM1053" s="214" t="str">
        <f t="shared" si="480"/>
        <v/>
      </c>
      <c r="AN1053" s="213" t="str">
        <f t="shared" si="463"/>
        <v>2011</v>
      </c>
      <c r="AO1053" s="213" t="str">
        <f t="shared" si="464"/>
        <v>2011</v>
      </c>
      <c r="AP1053" s="213" t="str">
        <f t="shared" si="465"/>
        <v>2011</v>
      </c>
      <c r="AQ1053" s="215" t="str">
        <f t="shared" si="466"/>
        <v/>
      </c>
      <c r="AR1053" s="216" t="str">
        <f t="shared" si="467"/>
        <v>BiK81X1bK11y05</v>
      </c>
      <c r="AS1053" s="215" t="str">
        <f t="shared" si="468"/>
        <v/>
      </c>
      <c r="AT1053">
        <f t="shared" si="469"/>
        <v>14</v>
      </c>
      <c r="AU1053" s="216" t="str">
        <f t="shared" si="470"/>
        <v>0-0,15 MW, Bonusregeln X1, y, b und K erstmals 2011</v>
      </c>
      <c r="AV1053" s="215" t="str">
        <f t="shared" si="471"/>
        <v/>
      </c>
      <c r="AW1053" s="216" t="str">
        <f t="shared" si="472"/>
        <v>Anteil KWK, erstmals 2011</v>
      </c>
      <c r="AX1053" s="215" t="str">
        <f t="shared" si="473"/>
        <v/>
      </c>
      <c r="AY1053" t="str">
        <f t="shared" si="474"/>
        <v>x</v>
      </c>
      <c r="AZ1053" t="str">
        <f t="shared" si="475"/>
        <v/>
      </c>
    </row>
    <row r="1054" spans="1:52" x14ac:dyDescent="0.25">
      <c r="A1054" s="625" t="s">
        <v>1572</v>
      </c>
      <c r="B1054" s="219" t="s">
        <v>5548</v>
      </c>
      <c r="C1054" s="219" t="s">
        <v>1288</v>
      </c>
      <c r="D1054" s="219" t="s">
        <v>6990</v>
      </c>
      <c r="E1054" s="219" t="s">
        <v>1980</v>
      </c>
      <c r="F1054" s="455">
        <f t="shared" si="482"/>
        <v>30.58</v>
      </c>
      <c r="G1054" s="530">
        <v>30.58</v>
      </c>
      <c r="H1054" s="488">
        <f t="shared" si="483"/>
        <v>24.46</v>
      </c>
      <c r="I1054" s="707"/>
      <c r="J1054" s="669" t="s">
        <v>5805</v>
      </c>
      <c r="K1054" s="15"/>
      <c r="M1054" s="49">
        <f t="shared" si="484"/>
        <v>30.58</v>
      </c>
      <c r="N1054" s="41">
        <v>11.67</v>
      </c>
      <c r="O1054" s="187"/>
      <c r="P1054" s="183"/>
      <c r="Q1054" s="184"/>
      <c r="R1054" s="178"/>
      <c r="S1054" s="184" t="s">
        <v>4180</v>
      </c>
      <c r="T1054" t="s">
        <v>1017</v>
      </c>
      <c r="U1054" s="185" t="s">
        <v>1017</v>
      </c>
      <c r="V1054" s="184"/>
      <c r="W1054" s="180"/>
      <c r="X1054" s="180"/>
      <c r="Y1054" s="178"/>
      <c r="Z1054" s="178"/>
      <c r="AA1054" s="180"/>
      <c r="AB1054" s="178"/>
      <c r="AC1054" s="184" t="s">
        <v>1017</v>
      </c>
      <c r="AD1054" s="201"/>
      <c r="AE1054" s="181" t="s">
        <v>1017</v>
      </c>
      <c r="AF1054" s="180"/>
      <c r="AG1054" s="201"/>
      <c r="AH1054" s="217" t="s">
        <v>4179</v>
      </c>
      <c r="AI1054" s="214" t="str">
        <f t="shared" si="476"/>
        <v/>
      </c>
      <c r="AJ1054" s="214" t="str">
        <f t="shared" si="477"/>
        <v/>
      </c>
      <c r="AK1054" s="214" t="str">
        <f t="shared" si="478"/>
        <v/>
      </c>
      <c r="AL1054" s="214" t="str">
        <f t="shared" si="479"/>
        <v/>
      </c>
      <c r="AM1054" s="214" t="str">
        <f t="shared" si="480"/>
        <v/>
      </c>
      <c r="AN1054" s="213" t="str">
        <f t="shared" si="463"/>
        <v>2012</v>
      </c>
      <c r="AO1054" s="213" t="str">
        <f t="shared" si="464"/>
        <v>2012</v>
      </c>
      <c r="AP1054" s="213" t="str">
        <f t="shared" si="465"/>
        <v>2012</v>
      </c>
      <c r="AQ1054" s="215" t="str">
        <f t="shared" si="466"/>
        <v/>
      </c>
      <c r="AR1054" s="216" t="str">
        <f t="shared" si="467"/>
        <v>BiK81X1bK12y05</v>
      </c>
      <c r="AS1054" s="215" t="str">
        <f t="shared" si="468"/>
        <v/>
      </c>
      <c r="AT1054">
        <f t="shared" si="469"/>
        <v>14</v>
      </c>
      <c r="AU1054" s="216" t="str">
        <f t="shared" si="470"/>
        <v>0-0,15 MW, Bonusregeln X1, y, b und K erstmals 2012</v>
      </c>
      <c r="AV1054" s="215" t="str">
        <f t="shared" si="471"/>
        <v/>
      </c>
      <c r="AW1054" s="216" t="str">
        <f t="shared" si="472"/>
        <v>Anteil KWK, erstmals 2012</v>
      </c>
      <c r="AX1054" s="215" t="str">
        <f t="shared" si="473"/>
        <v/>
      </c>
      <c r="AY1054" t="str">
        <f t="shared" si="474"/>
        <v/>
      </c>
      <c r="AZ1054" t="str">
        <f t="shared" si="475"/>
        <v>x</v>
      </c>
    </row>
    <row r="1055" spans="1:52" x14ac:dyDescent="0.25">
      <c r="A1055" s="609" t="s">
        <v>4514</v>
      </c>
      <c r="B1055" s="1" t="s">
        <v>5548</v>
      </c>
      <c r="C1055" s="2" t="s">
        <v>1288</v>
      </c>
      <c r="D1055" s="1" t="s">
        <v>1779</v>
      </c>
      <c r="E1055" s="1" t="s">
        <v>4810</v>
      </c>
      <c r="F1055" s="456">
        <f t="shared" si="482"/>
        <v>9.75</v>
      </c>
      <c r="G1055" s="531">
        <v>9.75</v>
      </c>
      <c r="H1055" s="489">
        <f t="shared" si="483"/>
        <v>7.8</v>
      </c>
      <c r="I1055" s="708"/>
      <c r="J1055" s="669" t="s">
        <v>5805</v>
      </c>
      <c r="K1055" s="15"/>
      <c r="M1055" s="49">
        <f t="shared" si="484"/>
        <v>9.75</v>
      </c>
      <c r="N1055" s="41">
        <v>9.75</v>
      </c>
      <c r="O1055" s="88"/>
      <c r="P1055" s="23"/>
      <c r="Q1055" s="12"/>
      <c r="R1055" s="12"/>
      <c r="S1055" s="12" t="s">
        <v>4180</v>
      </c>
      <c r="T1055" t="s">
        <v>4180</v>
      </c>
      <c r="U1055" s="58"/>
      <c r="V1055" s="12"/>
      <c r="W1055" s="65"/>
      <c r="X1055" s="65"/>
      <c r="Z1055" s="65"/>
      <c r="AC1055" s="65"/>
      <c r="AD1055" s="92"/>
      <c r="AE1055" s="124"/>
      <c r="AF1055" s="65"/>
      <c r="AG1055" s="91"/>
      <c r="AH1055" s="212" t="str">
        <f t="shared" ref="AH1055:AH1060" si="490">IF(ISERROR(SEARCH("K erstmals 201",D1055)),"",RIGHT(D1055,4))</f>
        <v/>
      </c>
      <c r="AI1055" s="214" t="str">
        <f t="shared" si="476"/>
        <v/>
      </c>
      <c r="AJ1055" s="214" t="str">
        <f t="shared" si="477"/>
        <v/>
      </c>
      <c r="AK1055" s="214" t="str">
        <f t="shared" si="478"/>
        <v/>
      </c>
      <c r="AL1055" s="214" t="str">
        <f t="shared" si="479"/>
        <v/>
      </c>
      <c r="AM1055" s="214" t="str">
        <f t="shared" si="480"/>
        <v/>
      </c>
      <c r="AN1055" s="213" t="str">
        <f t="shared" si="463"/>
        <v/>
      </c>
      <c r="AO1055" s="213" t="str">
        <f t="shared" si="464"/>
        <v/>
      </c>
      <c r="AP1055" s="213" t="str">
        <f t="shared" si="465"/>
        <v/>
      </c>
      <c r="AQ1055" s="215" t="str">
        <f t="shared" si="466"/>
        <v/>
      </c>
      <c r="AR1055" s="216" t="str">
        <f t="shared" si="467"/>
        <v>BiK82-------05</v>
      </c>
      <c r="AS1055" s="215" t="str">
        <f t="shared" si="468"/>
        <v/>
      </c>
      <c r="AT1055">
        <f t="shared" si="469"/>
        <v>14</v>
      </c>
      <c r="AU1055" s="216" t="str">
        <f t="shared" si="470"/>
        <v>0,15-0,5 MW</v>
      </c>
      <c r="AV1055" s="215" t="str">
        <f t="shared" si="471"/>
        <v/>
      </c>
      <c r="AW1055" s="216" t="str">
        <f t="shared" si="472"/>
        <v>Anteil Nicht-KWK</v>
      </c>
      <c r="AX1055" s="215" t="str">
        <f t="shared" si="473"/>
        <v/>
      </c>
      <c r="AY1055" t="str">
        <f t="shared" si="474"/>
        <v/>
      </c>
      <c r="AZ1055" t="str">
        <f t="shared" si="475"/>
        <v/>
      </c>
    </row>
    <row r="1056" spans="1:52" x14ac:dyDescent="0.25">
      <c r="A1056" s="609" t="s">
        <v>4515</v>
      </c>
      <c r="B1056" s="1" t="s">
        <v>5548</v>
      </c>
      <c r="C1056" s="2" t="s">
        <v>1288</v>
      </c>
      <c r="D1056" s="1" t="s">
        <v>7091</v>
      </c>
      <c r="E1056" s="1" t="s">
        <v>4812</v>
      </c>
      <c r="F1056" s="456">
        <f t="shared" si="482"/>
        <v>11.75</v>
      </c>
      <c r="G1056" s="531">
        <v>11.75</v>
      </c>
      <c r="H1056" s="489">
        <f t="shared" si="483"/>
        <v>9.4</v>
      </c>
      <c r="I1056" s="708"/>
      <c r="J1056" s="669" t="s">
        <v>5805</v>
      </c>
      <c r="K1056" s="15"/>
      <c r="M1056" s="49">
        <f t="shared" si="484"/>
        <v>11.75</v>
      </c>
      <c r="N1056" s="41">
        <v>9.75</v>
      </c>
      <c r="O1056" s="54" t="s">
        <v>1017</v>
      </c>
      <c r="P1056" s="15"/>
      <c r="S1056" t="s">
        <v>4180</v>
      </c>
      <c r="T1056" t="s">
        <v>4180</v>
      </c>
      <c r="U1056" s="55"/>
      <c r="W1056" s="65"/>
      <c r="X1056" s="65"/>
      <c r="Z1056" s="65"/>
      <c r="AC1056" s="65"/>
      <c r="AD1056" s="92"/>
      <c r="AE1056" s="124"/>
      <c r="AF1056" s="65"/>
      <c r="AG1056" s="91"/>
      <c r="AH1056" s="212" t="str">
        <f t="shared" si="490"/>
        <v/>
      </c>
      <c r="AI1056" s="214" t="str">
        <f t="shared" si="476"/>
        <v/>
      </c>
      <c r="AJ1056" s="214" t="str">
        <f t="shared" si="477"/>
        <v/>
      </c>
      <c r="AK1056" s="214" t="str">
        <f t="shared" si="478"/>
        <v/>
      </c>
      <c r="AL1056" s="214" t="str">
        <f t="shared" si="479"/>
        <v/>
      </c>
      <c r="AM1056" s="214" t="str">
        <f t="shared" si="480"/>
        <v/>
      </c>
      <c r="AN1056" s="213" t="str">
        <f t="shared" si="463"/>
        <v/>
      </c>
      <c r="AO1056" s="213" t="str">
        <f t="shared" si="464"/>
        <v/>
      </c>
      <c r="AP1056" s="213" t="str">
        <f t="shared" si="465"/>
        <v/>
      </c>
      <c r="AQ1056" s="215" t="str">
        <f t="shared" si="466"/>
        <v/>
      </c>
      <c r="AR1056" s="216" t="str">
        <f t="shared" si="467"/>
        <v>BiK82KWK----05</v>
      </c>
      <c r="AS1056" s="215" t="str">
        <f t="shared" si="468"/>
        <v/>
      </c>
      <c r="AT1056">
        <f t="shared" si="469"/>
        <v>14</v>
      </c>
      <c r="AU1056" s="216" t="str">
        <f t="shared" si="470"/>
        <v>0,15-0,5 MW, Bonusregel KWK</v>
      </c>
      <c r="AV1056" s="215" t="str">
        <f t="shared" si="471"/>
        <v/>
      </c>
      <c r="AW1056" s="216" t="str">
        <f t="shared" si="472"/>
        <v>Anteil KWK</v>
      </c>
      <c r="AX1056" s="215" t="str">
        <f t="shared" si="473"/>
        <v/>
      </c>
      <c r="AY1056" t="str">
        <f t="shared" si="474"/>
        <v/>
      </c>
      <c r="AZ1056" t="str">
        <f t="shared" si="475"/>
        <v/>
      </c>
    </row>
    <row r="1057" spans="1:52" x14ac:dyDescent="0.25">
      <c r="A1057" s="610" t="s">
        <v>4346</v>
      </c>
      <c r="B1057" s="17" t="s">
        <v>5548</v>
      </c>
      <c r="C1057" s="30" t="s">
        <v>1288</v>
      </c>
      <c r="D1057" s="30" t="s">
        <v>7092</v>
      </c>
      <c r="E1057" s="30" t="s">
        <v>4331</v>
      </c>
      <c r="F1057" s="454">
        <f t="shared" si="482"/>
        <v>12.75</v>
      </c>
      <c r="G1057" s="529">
        <v>12.75</v>
      </c>
      <c r="H1057" s="487">
        <f t="shared" si="483"/>
        <v>10.199999999999999</v>
      </c>
      <c r="I1057" s="706"/>
      <c r="J1057" s="669" t="s">
        <v>5805</v>
      </c>
      <c r="K1057" s="15"/>
      <c r="M1057" s="49">
        <f t="shared" si="484"/>
        <v>12.75</v>
      </c>
      <c r="N1057" s="41">
        <v>9.75</v>
      </c>
      <c r="O1057" s="54"/>
      <c r="P1057" t="s">
        <v>1017</v>
      </c>
      <c r="S1057" t="s">
        <v>4180</v>
      </c>
      <c r="T1057" t="s">
        <v>4180</v>
      </c>
      <c r="U1057" s="55"/>
      <c r="W1057" s="65"/>
      <c r="X1057" s="65"/>
      <c r="Z1057" s="65"/>
      <c r="AC1057" s="65"/>
      <c r="AD1057" s="92"/>
      <c r="AE1057" s="124"/>
      <c r="AF1057" s="65"/>
      <c r="AG1057" s="91"/>
      <c r="AH1057" s="212" t="str">
        <f t="shared" si="490"/>
        <v/>
      </c>
      <c r="AI1057" s="214" t="str">
        <f t="shared" si="476"/>
        <v/>
      </c>
      <c r="AJ1057" s="214" t="str">
        <f t="shared" si="477"/>
        <v/>
      </c>
      <c r="AK1057" s="214" t="str">
        <f t="shared" si="478"/>
        <v/>
      </c>
      <c r="AL1057" s="214" t="str">
        <f t="shared" si="479"/>
        <v/>
      </c>
      <c r="AM1057" s="214" t="str">
        <f t="shared" si="480"/>
        <v/>
      </c>
      <c r="AN1057" s="213" t="str">
        <f t="shared" si="463"/>
        <v/>
      </c>
      <c r="AO1057" s="213" t="str">
        <f t="shared" si="464"/>
        <v/>
      </c>
      <c r="AP1057" s="213" t="str">
        <f t="shared" si="465"/>
        <v/>
      </c>
      <c r="AQ1057" s="215" t="str">
        <f t="shared" si="466"/>
        <v/>
      </c>
      <c r="AR1057" s="216" t="str">
        <f t="shared" si="467"/>
        <v>BiK82KA3----05</v>
      </c>
      <c r="AS1057" s="215" t="str">
        <f t="shared" si="468"/>
        <v/>
      </c>
      <c r="AT1057">
        <f t="shared" si="469"/>
        <v>14</v>
      </c>
      <c r="AU1057" s="216" t="str">
        <f t="shared" si="470"/>
        <v>0,15-0,5 MW, Bonusregel K wenn Anlage 3 erfüllt</v>
      </c>
      <c r="AV1057" s="215" t="str">
        <f t="shared" si="471"/>
        <v/>
      </c>
      <c r="AW1057" s="216" t="str">
        <f t="shared" si="472"/>
        <v>Anteil KWK gemäß Anlage 3</v>
      </c>
      <c r="AX1057" s="215" t="str">
        <f t="shared" si="473"/>
        <v/>
      </c>
      <c r="AY1057" t="str">
        <f t="shared" si="474"/>
        <v/>
      </c>
      <c r="AZ1057" t="str">
        <f t="shared" si="475"/>
        <v/>
      </c>
    </row>
    <row r="1058" spans="1:52" x14ac:dyDescent="0.25">
      <c r="A1058" s="610" t="s">
        <v>2348</v>
      </c>
      <c r="B1058" s="17" t="s">
        <v>5548</v>
      </c>
      <c r="C1058" s="17" t="s">
        <v>1288</v>
      </c>
      <c r="D1058" s="30" t="s">
        <v>7093</v>
      </c>
      <c r="E1058" s="17" t="s">
        <v>674</v>
      </c>
      <c r="F1058" s="454">
        <f t="shared" si="482"/>
        <v>12.75</v>
      </c>
      <c r="G1058" s="529">
        <v>12.75</v>
      </c>
      <c r="H1058" s="487">
        <f t="shared" si="483"/>
        <v>10.199999999999999</v>
      </c>
      <c r="I1058" s="706"/>
      <c r="J1058" s="669" t="s">
        <v>5805</v>
      </c>
      <c r="K1058" s="15"/>
      <c r="M1058" s="49">
        <f t="shared" si="484"/>
        <v>12.75</v>
      </c>
      <c r="N1058" s="41">
        <v>9.75</v>
      </c>
      <c r="O1058" s="54"/>
      <c r="P1058" s="15"/>
      <c r="Q1058" t="s">
        <v>1017</v>
      </c>
      <c r="S1058" t="s">
        <v>4180</v>
      </c>
      <c r="T1058" t="s">
        <v>4180</v>
      </c>
      <c r="U1058" s="55"/>
      <c r="W1058" s="65"/>
      <c r="X1058" s="65"/>
      <c r="Z1058" s="65"/>
      <c r="AC1058" s="65"/>
      <c r="AD1058" s="92"/>
      <c r="AE1058" s="124"/>
      <c r="AF1058" s="65"/>
      <c r="AG1058" s="91"/>
      <c r="AH1058" s="212" t="str">
        <f t="shared" si="490"/>
        <v/>
      </c>
      <c r="AI1058" s="214" t="str">
        <f t="shared" si="476"/>
        <v/>
      </c>
      <c r="AJ1058" s="214" t="str">
        <f t="shared" si="477"/>
        <v/>
      </c>
      <c r="AK1058" s="214" t="str">
        <f t="shared" si="478"/>
        <v/>
      </c>
      <c r="AL1058" s="214" t="str">
        <f t="shared" si="479"/>
        <v/>
      </c>
      <c r="AM1058" s="214" t="str">
        <f t="shared" si="480"/>
        <v/>
      </c>
      <c r="AN1058" s="213" t="str">
        <f t="shared" si="463"/>
        <v/>
      </c>
      <c r="AO1058" s="213" t="str">
        <f t="shared" si="464"/>
        <v/>
      </c>
      <c r="AP1058" s="213" t="str">
        <f t="shared" si="465"/>
        <v/>
      </c>
      <c r="AQ1058" s="215" t="str">
        <f t="shared" si="466"/>
        <v/>
      </c>
      <c r="AR1058" s="216" t="str">
        <f t="shared" si="467"/>
        <v>BiK82K09----05</v>
      </c>
      <c r="AS1058" s="215" t="str">
        <f t="shared" si="468"/>
        <v/>
      </c>
      <c r="AT1058">
        <f t="shared" si="469"/>
        <v>14</v>
      </c>
      <c r="AU1058" s="216" t="str">
        <f t="shared" si="470"/>
        <v>0,15-0,5 MW, Bonusregel K erstmals 2009</v>
      </c>
      <c r="AV1058" s="215" t="str">
        <f t="shared" si="471"/>
        <v/>
      </c>
      <c r="AW1058" s="216" t="str">
        <f t="shared" si="472"/>
        <v>Anteil KWK, erstmals 2009</v>
      </c>
      <c r="AX1058" s="215" t="str">
        <f t="shared" si="473"/>
        <v/>
      </c>
      <c r="AY1058" t="str">
        <f t="shared" si="474"/>
        <v/>
      </c>
      <c r="AZ1058" t="str">
        <f t="shared" si="475"/>
        <v/>
      </c>
    </row>
    <row r="1059" spans="1:52" x14ac:dyDescent="0.25">
      <c r="A1059" s="610" t="s">
        <v>3592</v>
      </c>
      <c r="B1059" s="17" t="s">
        <v>5548</v>
      </c>
      <c r="C1059" s="17" t="s">
        <v>1288</v>
      </c>
      <c r="D1059" s="30" t="s">
        <v>7094</v>
      </c>
      <c r="E1059" s="17" t="s">
        <v>3567</v>
      </c>
      <c r="F1059" s="454">
        <f t="shared" si="482"/>
        <v>12.72</v>
      </c>
      <c r="G1059" s="529">
        <v>12.72</v>
      </c>
      <c r="H1059" s="487">
        <f t="shared" si="483"/>
        <v>10.18</v>
      </c>
      <c r="I1059" s="706"/>
      <c r="J1059" s="669" t="s">
        <v>5805</v>
      </c>
      <c r="K1059" s="15"/>
      <c r="M1059" s="49">
        <f t="shared" si="484"/>
        <v>12.72</v>
      </c>
      <c r="N1059" s="41">
        <v>9.75</v>
      </c>
      <c r="O1059" s="54"/>
      <c r="P1059" s="15"/>
      <c r="R1059" t="s">
        <v>1017</v>
      </c>
      <c r="S1059" t="s">
        <v>4180</v>
      </c>
      <c r="T1059" t="s">
        <v>4180</v>
      </c>
      <c r="U1059" s="55"/>
      <c r="W1059" s="65"/>
      <c r="X1059" s="65"/>
      <c r="Z1059" s="65"/>
      <c r="AC1059" s="65"/>
      <c r="AD1059" s="92"/>
      <c r="AE1059" s="124"/>
      <c r="AF1059" s="65"/>
      <c r="AG1059" s="91"/>
      <c r="AH1059" s="212" t="str">
        <f t="shared" si="490"/>
        <v>2010</v>
      </c>
      <c r="AI1059" s="214" t="str">
        <f t="shared" si="476"/>
        <v/>
      </c>
      <c r="AJ1059" s="214" t="str">
        <f t="shared" si="477"/>
        <v/>
      </c>
      <c r="AK1059" s="214" t="str">
        <f t="shared" si="478"/>
        <v/>
      </c>
      <c r="AL1059" s="214" t="str">
        <f t="shared" si="479"/>
        <v/>
      </c>
      <c r="AM1059" s="214" t="str">
        <f t="shared" si="480"/>
        <v/>
      </c>
      <c r="AN1059" s="213" t="str">
        <f t="shared" si="463"/>
        <v>2010</v>
      </c>
      <c r="AO1059" s="213" t="str">
        <f t="shared" si="464"/>
        <v>2010</v>
      </c>
      <c r="AP1059" s="213" t="str">
        <f t="shared" si="465"/>
        <v>2010</v>
      </c>
      <c r="AQ1059" s="215" t="str">
        <f t="shared" si="466"/>
        <v/>
      </c>
      <c r="AR1059" s="216" t="str">
        <f t="shared" si="467"/>
        <v>BiK82K10----05</v>
      </c>
      <c r="AS1059" s="215" t="str">
        <f t="shared" si="468"/>
        <v/>
      </c>
      <c r="AT1059">
        <f t="shared" si="469"/>
        <v>14</v>
      </c>
      <c r="AU1059" s="216" t="str">
        <f t="shared" si="470"/>
        <v>0,15-0,5 MW, Bonusregel K erstmals 2010</v>
      </c>
      <c r="AV1059" s="215" t="str">
        <f t="shared" si="471"/>
        <v/>
      </c>
      <c r="AW1059" s="216" t="str">
        <f t="shared" si="472"/>
        <v>Anteil KWK, erstmals 2010</v>
      </c>
      <c r="AX1059" s="215" t="str">
        <f t="shared" si="473"/>
        <v/>
      </c>
      <c r="AY1059" t="str">
        <f t="shared" si="474"/>
        <v/>
      </c>
      <c r="AZ1059" t="str">
        <f t="shared" si="475"/>
        <v/>
      </c>
    </row>
    <row r="1060" spans="1:52" x14ac:dyDescent="0.25">
      <c r="A1060" s="610" t="s">
        <v>5323</v>
      </c>
      <c r="B1060" s="17" t="s">
        <v>5548</v>
      </c>
      <c r="C1060" s="17" t="s">
        <v>1288</v>
      </c>
      <c r="D1060" s="30" t="s">
        <v>7095</v>
      </c>
      <c r="E1060" s="17" t="s">
        <v>3055</v>
      </c>
      <c r="F1060" s="454">
        <f t="shared" si="482"/>
        <v>12.69</v>
      </c>
      <c r="G1060" s="529">
        <v>12.69</v>
      </c>
      <c r="H1060" s="487">
        <f t="shared" si="483"/>
        <v>10.15</v>
      </c>
      <c r="I1060" s="706"/>
      <c r="J1060" s="669" t="s">
        <v>5805</v>
      </c>
      <c r="K1060" s="15"/>
      <c r="M1060" s="49">
        <f t="shared" si="484"/>
        <v>12.69</v>
      </c>
      <c r="N1060" s="41">
        <v>9.75</v>
      </c>
      <c r="O1060" s="54"/>
      <c r="P1060" s="15"/>
      <c r="S1060" t="s">
        <v>1017</v>
      </c>
      <c r="T1060" t="s">
        <v>4180</v>
      </c>
      <c r="U1060" s="55"/>
      <c r="W1060" s="65"/>
      <c r="X1060" s="65"/>
      <c r="Z1060" s="65"/>
      <c r="AC1060" s="65"/>
      <c r="AD1060" s="92"/>
      <c r="AE1060" s="124"/>
      <c r="AF1060" s="65"/>
      <c r="AG1060" s="91"/>
      <c r="AH1060" s="212" t="str">
        <f t="shared" si="490"/>
        <v>2011</v>
      </c>
      <c r="AI1060" s="214" t="str">
        <f t="shared" si="476"/>
        <v/>
      </c>
      <c r="AJ1060" s="214" t="str">
        <f t="shared" si="477"/>
        <v/>
      </c>
      <c r="AK1060" s="214" t="str">
        <f t="shared" si="478"/>
        <v/>
      </c>
      <c r="AL1060" s="214" t="str">
        <f t="shared" si="479"/>
        <v/>
      </c>
      <c r="AM1060" s="214" t="str">
        <f t="shared" si="480"/>
        <v/>
      </c>
      <c r="AN1060" s="213" t="str">
        <f t="shared" si="463"/>
        <v>2011</v>
      </c>
      <c r="AO1060" s="213" t="str">
        <f t="shared" si="464"/>
        <v>2011</v>
      </c>
      <c r="AP1060" s="213" t="str">
        <f t="shared" si="465"/>
        <v>2011</v>
      </c>
      <c r="AQ1060" s="215" t="str">
        <f t="shared" si="466"/>
        <v/>
      </c>
      <c r="AR1060" s="216" t="str">
        <f t="shared" si="467"/>
        <v>BiK82K11----05</v>
      </c>
      <c r="AS1060" s="215" t="str">
        <f t="shared" si="468"/>
        <v/>
      </c>
      <c r="AT1060">
        <f t="shared" si="469"/>
        <v>14</v>
      </c>
      <c r="AU1060" s="216" t="str">
        <f t="shared" si="470"/>
        <v>0,15-0,5 MW, Bonusregel K erstmals 2011</v>
      </c>
      <c r="AV1060" s="215" t="str">
        <f t="shared" si="471"/>
        <v/>
      </c>
      <c r="AW1060" s="216" t="str">
        <f t="shared" si="472"/>
        <v>Anteil KWK, erstmals 2011</v>
      </c>
      <c r="AX1060" s="215" t="str">
        <f t="shared" si="473"/>
        <v/>
      </c>
      <c r="AY1060" t="str">
        <f t="shared" si="474"/>
        <v>x</v>
      </c>
      <c r="AZ1060" t="str">
        <f t="shared" si="475"/>
        <v/>
      </c>
    </row>
    <row r="1061" spans="1:52" x14ac:dyDescent="0.25">
      <c r="A1061" s="625" t="s">
        <v>1573</v>
      </c>
      <c r="B1061" s="221" t="s">
        <v>5548</v>
      </c>
      <c r="C1061" s="221" t="s">
        <v>1288</v>
      </c>
      <c r="D1061" s="219" t="s">
        <v>7096</v>
      </c>
      <c r="E1061" s="221" t="s">
        <v>1980</v>
      </c>
      <c r="F1061" s="455">
        <f t="shared" si="482"/>
        <v>12.66</v>
      </c>
      <c r="G1061" s="530">
        <v>12.66</v>
      </c>
      <c r="H1061" s="488">
        <f t="shared" si="483"/>
        <v>10.130000000000001</v>
      </c>
      <c r="I1061" s="707"/>
      <c r="J1061" s="669" t="s">
        <v>5805</v>
      </c>
      <c r="K1061" s="15"/>
      <c r="M1061" s="49">
        <f t="shared" si="484"/>
        <v>12.66</v>
      </c>
      <c r="N1061" s="41">
        <v>9.75</v>
      </c>
      <c r="O1061" s="54"/>
      <c r="P1061" s="15"/>
      <c r="S1061" t="s">
        <v>4180</v>
      </c>
      <c r="T1061" t="s">
        <v>1017</v>
      </c>
      <c r="U1061" s="55"/>
      <c r="W1061" s="65"/>
      <c r="X1061" s="65"/>
      <c r="Z1061" s="65"/>
      <c r="AC1061" s="65"/>
      <c r="AD1061" s="92"/>
      <c r="AE1061" s="124"/>
      <c r="AF1061" s="65"/>
      <c r="AG1061" s="91"/>
      <c r="AH1061" s="217" t="s">
        <v>4179</v>
      </c>
      <c r="AI1061" s="214" t="str">
        <f t="shared" si="476"/>
        <v/>
      </c>
      <c r="AJ1061" s="214" t="str">
        <f t="shared" si="477"/>
        <v/>
      </c>
      <c r="AK1061" s="214" t="str">
        <f t="shared" si="478"/>
        <v/>
      </c>
      <c r="AL1061" s="214" t="str">
        <f t="shared" si="479"/>
        <v/>
      </c>
      <c r="AM1061" s="214" t="str">
        <f t="shared" si="480"/>
        <v/>
      </c>
      <c r="AN1061" s="213" t="str">
        <f t="shared" si="463"/>
        <v>2012</v>
      </c>
      <c r="AO1061" s="213" t="str">
        <f t="shared" si="464"/>
        <v>2012</v>
      </c>
      <c r="AP1061" s="213" t="str">
        <f t="shared" si="465"/>
        <v>2012</v>
      </c>
      <c r="AQ1061" s="215" t="str">
        <f t="shared" si="466"/>
        <v/>
      </c>
      <c r="AR1061" s="216" t="str">
        <f t="shared" si="467"/>
        <v>BiK82K12----05</v>
      </c>
      <c r="AS1061" s="215" t="str">
        <f t="shared" si="468"/>
        <v/>
      </c>
      <c r="AT1061">
        <f t="shared" si="469"/>
        <v>14</v>
      </c>
      <c r="AU1061" s="216" t="str">
        <f t="shared" si="470"/>
        <v>0,15-0,5 MW, Bonusregel K erstmals 2012</v>
      </c>
      <c r="AV1061" s="215" t="str">
        <f t="shared" si="471"/>
        <v/>
      </c>
      <c r="AW1061" s="216" t="str">
        <f t="shared" si="472"/>
        <v>Anteil KWK, erstmals 2012</v>
      </c>
      <c r="AX1061" s="215" t="str">
        <f t="shared" si="473"/>
        <v/>
      </c>
      <c r="AY1061" t="str">
        <f t="shared" si="474"/>
        <v/>
      </c>
      <c r="AZ1061" t="str">
        <f t="shared" si="475"/>
        <v>x</v>
      </c>
    </row>
    <row r="1062" spans="1:52" x14ac:dyDescent="0.25">
      <c r="A1062" s="610" t="s">
        <v>1325</v>
      </c>
      <c r="B1062" s="17" t="s">
        <v>5548</v>
      </c>
      <c r="C1062" s="17" t="s">
        <v>1288</v>
      </c>
      <c r="D1062" s="30" t="s">
        <v>7097</v>
      </c>
      <c r="E1062" s="17" t="s">
        <v>4810</v>
      </c>
      <c r="F1062" s="454">
        <f t="shared" si="482"/>
        <v>10.75</v>
      </c>
      <c r="G1062" s="529">
        <v>10.75</v>
      </c>
      <c r="H1062" s="487">
        <f t="shared" si="483"/>
        <v>8.6</v>
      </c>
      <c r="I1062" s="706"/>
      <c r="J1062" s="669" t="s">
        <v>5805</v>
      </c>
      <c r="K1062" s="15"/>
      <c r="M1062" s="49">
        <f t="shared" si="484"/>
        <v>10.75</v>
      </c>
      <c r="N1062" s="41">
        <v>9.75</v>
      </c>
      <c r="O1062" s="88"/>
      <c r="P1062" s="23"/>
      <c r="Q1062" s="12"/>
      <c r="R1062" s="12"/>
      <c r="S1062" s="12" t="s">
        <v>4180</v>
      </c>
      <c r="T1062" t="s">
        <v>4180</v>
      </c>
      <c r="U1062" s="58" t="s">
        <v>1017</v>
      </c>
      <c r="V1062" s="12"/>
      <c r="W1062" s="65"/>
      <c r="X1062" s="65"/>
      <c r="Z1062" s="65"/>
      <c r="AC1062" s="65"/>
      <c r="AD1062" s="92"/>
      <c r="AE1062" s="124"/>
      <c r="AF1062" s="65"/>
      <c r="AG1062" s="91"/>
      <c r="AH1062" s="212" t="str">
        <f t="shared" ref="AH1062:AH1067" si="491">IF(ISERROR(SEARCH("K erstmals 201",D1062)),"",RIGHT(D1062,4))</f>
        <v/>
      </c>
      <c r="AI1062" s="214" t="str">
        <f t="shared" si="476"/>
        <v/>
      </c>
      <c r="AJ1062" s="214" t="str">
        <f t="shared" si="477"/>
        <v/>
      </c>
      <c r="AK1062" s="214" t="str">
        <f t="shared" si="478"/>
        <v/>
      </c>
      <c r="AL1062" s="214" t="str">
        <f t="shared" si="479"/>
        <v/>
      </c>
      <c r="AM1062" s="214" t="str">
        <f t="shared" si="480"/>
        <v/>
      </c>
      <c r="AN1062" s="213" t="str">
        <f t="shared" si="463"/>
        <v/>
      </c>
      <c r="AO1062" s="213" t="str">
        <f t="shared" si="464"/>
        <v/>
      </c>
      <c r="AP1062" s="213" t="str">
        <f t="shared" si="465"/>
        <v/>
      </c>
      <c r="AQ1062" s="215" t="str">
        <f t="shared" si="466"/>
        <v/>
      </c>
      <c r="AR1062" s="216" t="str">
        <f t="shared" si="467"/>
        <v>BiK82y------05</v>
      </c>
      <c r="AS1062" s="215" t="str">
        <f t="shared" si="468"/>
        <v/>
      </c>
      <c r="AT1062">
        <f t="shared" si="469"/>
        <v>14</v>
      </c>
      <c r="AU1062" s="216" t="str">
        <f t="shared" si="470"/>
        <v>0,15-0,5 MW, Bonusregel y</v>
      </c>
      <c r="AV1062" s="215" t="str">
        <f t="shared" si="471"/>
        <v/>
      </c>
      <c r="AW1062" s="216" t="str">
        <f t="shared" si="472"/>
        <v>Anteil Nicht-KWK</v>
      </c>
      <c r="AX1062" s="215" t="str">
        <f t="shared" si="473"/>
        <v/>
      </c>
      <c r="AY1062" t="str">
        <f t="shared" si="474"/>
        <v/>
      </c>
      <c r="AZ1062" t="str">
        <f t="shared" si="475"/>
        <v/>
      </c>
    </row>
    <row r="1063" spans="1:52" x14ac:dyDescent="0.25">
      <c r="A1063" s="610" t="s">
        <v>1326</v>
      </c>
      <c r="B1063" s="17" t="s">
        <v>5548</v>
      </c>
      <c r="C1063" s="17" t="s">
        <v>1288</v>
      </c>
      <c r="D1063" s="30" t="s">
        <v>7098</v>
      </c>
      <c r="E1063" s="17" t="s">
        <v>4812</v>
      </c>
      <c r="F1063" s="454">
        <f t="shared" si="482"/>
        <v>12.75</v>
      </c>
      <c r="G1063" s="529">
        <v>12.75</v>
      </c>
      <c r="H1063" s="487">
        <f t="shared" si="483"/>
        <v>10.199999999999999</v>
      </c>
      <c r="I1063" s="706"/>
      <c r="J1063" s="669" t="s">
        <v>5805</v>
      </c>
      <c r="K1063" s="15"/>
      <c r="M1063" s="49">
        <f t="shared" si="484"/>
        <v>12.75</v>
      </c>
      <c r="N1063" s="41">
        <v>9.75</v>
      </c>
      <c r="O1063" s="54" t="s">
        <v>1017</v>
      </c>
      <c r="P1063" s="15"/>
      <c r="S1063" t="s">
        <v>4180</v>
      </c>
      <c r="T1063" t="s">
        <v>4180</v>
      </c>
      <c r="U1063" s="55" t="s">
        <v>1017</v>
      </c>
      <c r="W1063" s="65"/>
      <c r="X1063" s="65"/>
      <c r="Z1063" s="65"/>
      <c r="AC1063" s="65"/>
      <c r="AD1063" s="92"/>
      <c r="AE1063" s="124"/>
      <c r="AF1063" s="65"/>
      <c r="AG1063" s="91"/>
      <c r="AH1063" s="212" t="str">
        <f t="shared" si="491"/>
        <v/>
      </c>
      <c r="AI1063" s="214" t="str">
        <f t="shared" si="476"/>
        <v/>
      </c>
      <c r="AJ1063" s="214" t="str">
        <f t="shared" si="477"/>
        <v/>
      </c>
      <c r="AK1063" s="214" t="str">
        <f t="shared" si="478"/>
        <v/>
      </c>
      <c r="AL1063" s="214" t="str">
        <f t="shared" si="479"/>
        <v/>
      </c>
      <c r="AM1063" s="214" t="str">
        <f t="shared" si="480"/>
        <v/>
      </c>
      <c r="AN1063" s="213" t="str">
        <f t="shared" si="463"/>
        <v/>
      </c>
      <c r="AO1063" s="213" t="str">
        <f t="shared" si="464"/>
        <v/>
      </c>
      <c r="AP1063" s="213" t="str">
        <f t="shared" si="465"/>
        <v/>
      </c>
      <c r="AQ1063" s="215" t="str">
        <f t="shared" si="466"/>
        <v/>
      </c>
      <c r="AR1063" s="216" t="str">
        <f t="shared" si="467"/>
        <v>BiK82KWKy---05</v>
      </c>
      <c r="AS1063" s="215" t="str">
        <f t="shared" si="468"/>
        <v/>
      </c>
      <c r="AT1063">
        <f t="shared" si="469"/>
        <v>14</v>
      </c>
      <c r="AU1063" s="216" t="str">
        <f t="shared" si="470"/>
        <v>0,15-0,5 MW, Bonusregeln y und KWK</v>
      </c>
      <c r="AV1063" s="215" t="str">
        <f t="shared" si="471"/>
        <v/>
      </c>
      <c r="AW1063" s="216" t="str">
        <f t="shared" si="472"/>
        <v>Anteil KWK</v>
      </c>
      <c r="AX1063" s="215" t="str">
        <f t="shared" si="473"/>
        <v/>
      </c>
      <c r="AY1063" t="str">
        <f t="shared" si="474"/>
        <v/>
      </c>
      <c r="AZ1063" t="str">
        <f t="shared" si="475"/>
        <v/>
      </c>
    </row>
    <row r="1064" spans="1:52" x14ac:dyDescent="0.25">
      <c r="A1064" s="610" t="s">
        <v>1327</v>
      </c>
      <c r="B1064" s="17" t="s">
        <v>5548</v>
      </c>
      <c r="C1064" s="30" t="s">
        <v>1288</v>
      </c>
      <c r="D1064" s="30" t="s">
        <v>7099</v>
      </c>
      <c r="E1064" s="30" t="s">
        <v>4331</v>
      </c>
      <c r="F1064" s="454">
        <f t="shared" si="482"/>
        <v>13.75</v>
      </c>
      <c r="G1064" s="529">
        <v>13.75</v>
      </c>
      <c r="H1064" s="487">
        <f t="shared" si="483"/>
        <v>11</v>
      </c>
      <c r="I1064" s="706"/>
      <c r="J1064" s="669" t="s">
        <v>5805</v>
      </c>
      <c r="K1064" s="15"/>
      <c r="M1064" s="49">
        <f t="shared" si="484"/>
        <v>13.75</v>
      </c>
      <c r="N1064" s="41">
        <v>9.75</v>
      </c>
      <c r="O1064" s="54"/>
      <c r="P1064" t="s">
        <v>1017</v>
      </c>
      <c r="S1064" t="s">
        <v>4180</v>
      </c>
      <c r="T1064" t="s">
        <v>4180</v>
      </c>
      <c r="U1064" s="55" t="s">
        <v>1017</v>
      </c>
      <c r="W1064" s="65"/>
      <c r="X1064" s="65"/>
      <c r="Z1064" s="65"/>
      <c r="AC1064" s="65"/>
      <c r="AD1064" s="92"/>
      <c r="AE1064" s="124"/>
      <c r="AF1064" s="65"/>
      <c r="AG1064" s="91"/>
      <c r="AH1064" s="212" t="str">
        <f t="shared" si="491"/>
        <v/>
      </c>
      <c r="AI1064" s="214" t="str">
        <f t="shared" si="476"/>
        <v/>
      </c>
      <c r="AJ1064" s="214" t="str">
        <f t="shared" si="477"/>
        <v/>
      </c>
      <c r="AK1064" s="214" t="str">
        <f t="shared" si="478"/>
        <v/>
      </c>
      <c r="AL1064" s="214" t="str">
        <f t="shared" si="479"/>
        <v/>
      </c>
      <c r="AM1064" s="214" t="str">
        <f t="shared" si="480"/>
        <v/>
      </c>
      <c r="AN1064" s="213" t="str">
        <f t="shared" si="463"/>
        <v/>
      </c>
      <c r="AO1064" s="213" t="str">
        <f t="shared" si="464"/>
        <v/>
      </c>
      <c r="AP1064" s="213" t="str">
        <f t="shared" si="465"/>
        <v/>
      </c>
      <c r="AQ1064" s="215" t="str">
        <f t="shared" si="466"/>
        <v/>
      </c>
      <c r="AR1064" s="216" t="str">
        <f t="shared" si="467"/>
        <v>BiK82KA3y---05</v>
      </c>
      <c r="AS1064" s="215" t="str">
        <f t="shared" si="468"/>
        <v/>
      </c>
      <c r="AT1064">
        <f t="shared" si="469"/>
        <v>14</v>
      </c>
      <c r="AU1064" s="216" t="str">
        <f t="shared" si="470"/>
        <v>0,15-0,5 MW, Bonusregeln y und K wenn Anlage 3 erfüllt</v>
      </c>
      <c r="AV1064" s="215" t="str">
        <f t="shared" si="471"/>
        <v/>
      </c>
      <c r="AW1064" s="216" t="str">
        <f t="shared" si="472"/>
        <v>Anteil KWK gemäß Anlage 3</v>
      </c>
      <c r="AX1064" s="215" t="str">
        <f t="shared" si="473"/>
        <v/>
      </c>
      <c r="AY1064" t="str">
        <f t="shared" si="474"/>
        <v/>
      </c>
      <c r="AZ1064" t="str">
        <f t="shared" si="475"/>
        <v/>
      </c>
    </row>
    <row r="1065" spans="1:52" x14ac:dyDescent="0.25">
      <c r="A1065" s="610" t="s">
        <v>1328</v>
      </c>
      <c r="B1065" s="17" t="s">
        <v>5548</v>
      </c>
      <c r="C1065" s="17" t="s">
        <v>1288</v>
      </c>
      <c r="D1065" s="30" t="s">
        <v>7100</v>
      </c>
      <c r="E1065" s="17" t="s">
        <v>674</v>
      </c>
      <c r="F1065" s="454">
        <f t="shared" si="482"/>
        <v>13.75</v>
      </c>
      <c r="G1065" s="529">
        <v>13.75</v>
      </c>
      <c r="H1065" s="487">
        <f t="shared" si="483"/>
        <v>11</v>
      </c>
      <c r="I1065" s="706"/>
      <c r="J1065" s="669" t="s">
        <v>5805</v>
      </c>
      <c r="K1065" s="15"/>
      <c r="M1065" s="49">
        <f t="shared" si="484"/>
        <v>13.75</v>
      </c>
      <c r="N1065" s="41">
        <v>9.75</v>
      </c>
      <c r="O1065" s="54"/>
      <c r="P1065" s="15"/>
      <c r="Q1065" t="s">
        <v>1017</v>
      </c>
      <c r="S1065" t="s">
        <v>4180</v>
      </c>
      <c r="T1065" t="s">
        <v>4180</v>
      </c>
      <c r="U1065" s="55" t="s">
        <v>1017</v>
      </c>
      <c r="W1065" s="65"/>
      <c r="X1065" s="65"/>
      <c r="Z1065" s="65"/>
      <c r="AC1065" s="65"/>
      <c r="AD1065" s="92"/>
      <c r="AE1065" s="124"/>
      <c r="AF1065" s="65"/>
      <c r="AG1065" s="91"/>
      <c r="AH1065" s="212" t="str">
        <f t="shared" si="491"/>
        <v/>
      </c>
      <c r="AI1065" s="214" t="str">
        <f t="shared" si="476"/>
        <v/>
      </c>
      <c r="AJ1065" s="214" t="str">
        <f t="shared" si="477"/>
        <v/>
      </c>
      <c r="AK1065" s="214" t="str">
        <f t="shared" si="478"/>
        <v/>
      </c>
      <c r="AL1065" s="214" t="str">
        <f t="shared" si="479"/>
        <v/>
      </c>
      <c r="AM1065" s="214" t="str">
        <f t="shared" si="480"/>
        <v/>
      </c>
      <c r="AN1065" s="213" t="str">
        <f t="shared" si="463"/>
        <v/>
      </c>
      <c r="AO1065" s="213" t="str">
        <f t="shared" si="464"/>
        <v/>
      </c>
      <c r="AP1065" s="213" t="str">
        <f t="shared" si="465"/>
        <v/>
      </c>
      <c r="AQ1065" s="215" t="str">
        <f t="shared" si="466"/>
        <v/>
      </c>
      <c r="AR1065" s="216" t="str">
        <f t="shared" si="467"/>
        <v>BiK82K09y---05</v>
      </c>
      <c r="AS1065" s="215" t="str">
        <f t="shared" si="468"/>
        <v/>
      </c>
      <c r="AT1065">
        <f t="shared" si="469"/>
        <v>14</v>
      </c>
      <c r="AU1065" s="216" t="str">
        <f t="shared" si="470"/>
        <v>0,15-0,5 MW, Bonusregeln y und K erstmals 2009</v>
      </c>
      <c r="AV1065" s="215" t="str">
        <f t="shared" si="471"/>
        <v/>
      </c>
      <c r="AW1065" s="216" t="str">
        <f t="shared" si="472"/>
        <v>Anteil KWK, erstmals 2009</v>
      </c>
      <c r="AX1065" s="215" t="str">
        <f t="shared" si="473"/>
        <v/>
      </c>
      <c r="AY1065" t="str">
        <f t="shared" si="474"/>
        <v/>
      </c>
      <c r="AZ1065" t="str">
        <f t="shared" si="475"/>
        <v/>
      </c>
    </row>
    <row r="1066" spans="1:52" x14ac:dyDescent="0.25">
      <c r="A1066" s="610" t="s">
        <v>3593</v>
      </c>
      <c r="B1066" s="17" t="s">
        <v>5548</v>
      </c>
      <c r="C1066" s="17" t="s">
        <v>1288</v>
      </c>
      <c r="D1066" s="30" t="s">
        <v>7101</v>
      </c>
      <c r="E1066" s="17" t="s">
        <v>3567</v>
      </c>
      <c r="F1066" s="454">
        <f t="shared" si="482"/>
        <v>13.72</v>
      </c>
      <c r="G1066" s="529">
        <v>13.72</v>
      </c>
      <c r="H1066" s="487">
        <f t="shared" si="483"/>
        <v>10.98</v>
      </c>
      <c r="I1066" s="706"/>
      <c r="J1066" s="669" t="s">
        <v>5805</v>
      </c>
      <c r="K1066" s="15"/>
      <c r="M1066" s="49">
        <f t="shared" si="484"/>
        <v>13.72</v>
      </c>
      <c r="N1066" s="41">
        <v>9.75</v>
      </c>
      <c r="O1066" s="54"/>
      <c r="P1066" s="15"/>
      <c r="R1066" t="s">
        <v>1017</v>
      </c>
      <c r="S1066" t="s">
        <v>4180</v>
      </c>
      <c r="T1066" t="s">
        <v>4180</v>
      </c>
      <c r="U1066" s="55" t="s">
        <v>1017</v>
      </c>
      <c r="W1066" s="65"/>
      <c r="X1066" s="65"/>
      <c r="Z1066" s="65"/>
      <c r="AC1066" s="65"/>
      <c r="AD1066" s="92"/>
      <c r="AE1066" s="124"/>
      <c r="AF1066" s="65"/>
      <c r="AG1066" s="91"/>
      <c r="AH1066" s="212" t="str">
        <f t="shared" si="491"/>
        <v>2010</v>
      </c>
      <c r="AI1066" s="214" t="str">
        <f t="shared" si="476"/>
        <v/>
      </c>
      <c r="AJ1066" s="214" t="str">
        <f t="shared" si="477"/>
        <v/>
      </c>
      <c r="AK1066" s="214" t="str">
        <f t="shared" si="478"/>
        <v/>
      </c>
      <c r="AL1066" s="214" t="str">
        <f t="shared" si="479"/>
        <v/>
      </c>
      <c r="AM1066" s="214" t="str">
        <f t="shared" si="480"/>
        <v/>
      </c>
      <c r="AN1066" s="213" t="str">
        <f t="shared" si="463"/>
        <v>2010</v>
      </c>
      <c r="AO1066" s="213" t="str">
        <f t="shared" si="464"/>
        <v>2010</v>
      </c>
      <c r="AP1066" s="213" t="str">
        <f t="shared" si="465"/>
        <v>2010</v>
      </c>
      <c r="AQ1066" s="215" t="str">
        <f t="shared" si="466"/>
        <v/>
      </c>
      <c r="AR1066" s="216" t="str">
        <f t="shared" si="467"/>
        <v>BiK82K10y---05</v>
      </c>
      <c r="AS1066" s="215" t="str">
        <f t="shared" si="468"/>
        <v/>
      </c>
      <c r="AT1066">
        <f t="shared" si="469"/>
        <v>14</v>
      </c>
      <c r="AU1066" s="216" t="str">
        <f t="shared" si="470"/>
        <v>0,15-0,5 MW, Bonusregeln y und K erstmals 2010</v>
      </c>
      <c r="AV1066" s="215" t="str">
        <f t="shared" si="471"/>
        <v/>
      </c>
      <c r="AW1066" s="216" t="str">
        <f t="shared" si="472"/>
        <v>Anteil KWK, erstmals 2010</v>
      </c>
      <c r="AX1066" s="215" t="str">
        <f t="shared" si="473"/>
        <v/>
      </c>
      <c r="AY1066" t="str">
        <f t="shared" si="474"/>
        <v/>
      </c>
      <c r="AZ1066" t="str">
        <f t="shared" si="475"/>
        <v/>
      </c>
    </row>
    <row r="1067" spans="1:52" x14ac:dyDescent="0.25">
      <c r="A1067" s="610" t="s">
        <v>5324</v>
      </c>
      <c r="B1067" s="17" t="s">
        <v>5548</v>
      </c>
      <c r="C1067" s="17" t="s">
        <v>1288</v>
      </c>
      <c r="D1067" s="30" t="s">
        <v>7102</v>
      </c>
      <c r="E1067" s="17" t="s">
        <v>3055</v>
      </c>
      <c r="F1067" s="454">
        <f t="shared" si="482"/>
        <v>13.69</v>
      </c>
      <c r="G1067" s="529">
        <v>13.69</v>
      </c>
      <c r="H1067" s="487">
        <f t="shared" si="483"/>
        <v>10.95</v>
      </c>
      <c r="I1067" s="706"/>
      <c r="J1067" s="669" t="s">
        <v>5805</v>
      </c>
      <c r="K1067" s="15"/>
      <c r="M1067" s="49">
        <f t="shared" si="484"/>
        <v>13.69</v>
      </c>
      <c r="N1067" s="41">
        <v>9.75</v>
      </c>
      <c r="O1067" s="54"/>
      <c r="P1067" s="15"/>
      <c r="S1067" t="s">
        <v>1017</v>
      </c>
      <c r="T1067" t="s">
        <v>4180</v>
      </c>
      <c r="U1067" s="55" t="s">
        <v>1017</v>
      </c>
      <c r="W1067" s="65"/>
      <c r="X1067" s="65"/>
      <c r="Z1067" s="65"/>
      <c r="AC1067" s="65"/>
      <c r="AD1067" s="92"/>
      <c r="AE1067" s="124"/>
      <c r="AF1067" s="65"/>
      <c r="AG1067" s="91"/>
      <c r="AH1067" s="212" t="str">
        <f t="shared" si="491"/>
        <v>2011</v>
      </c>
      <c r="AI1067" s="214" t="str">
        <f t="shared" si="476"/>
        <v/>
      </c>
      <c r="AJ1067" s="214" t="str">
        <f t="shared" si="477"/>
        <v/>
      </c>
      <c r="AK1067" s="214" t="str">
        <f t="shared" si="478"/>
        <v/>
      </c>
      <c r="AL1067" s="214" t="str">
        <f t="shared" si="479"/>
        <v/>
      </c>
      <c r="AM1067" s="214" t="str">
        <f t="shared" si="480"/>
        <v/>
      </c>
      <c r="AN1067" s="213" t="str">
        <f t="shared" si="463"/>
        <v>2011</v>
      </c>
      <c r="AO1067" s="213" t="str">
        <f t="shared" si="464"/>
        <v>2011</v>
      </c>
      <c r="AP1067" s="213" t="str">
        <f t="shared" si="465"/>
        <v>2011</v>
      </c>
      <c r="AQ1067" s="215" t="str">
        <f t="shared" si="466"/>
        <v/>
      </c>
      <c r="AR1067" s="216" t="str">
        <f t="shared" si="467"/>
        <v>BiK82K11y---05</v>
      </c>
      <c r="AS1067" s="215" t="str">
        <f t="shared" si="468"/>
        <v/>
      </c>
      <c r="AT1067">
        <f t="shared" si="469"/>
        <v>14</v>
      </c>
      <c r="AU1067" s="216" t="str">
        <f t="shared" si="470"/>
        <v>0,15-0,5 MW, Bonusregeln y und K erstmals 2011</v>
      </c>
      <c r="AV1067" s="215" t="str">
        <f t="shared" si="471"/>
        <v/>
      </c>
      <c r="AW1067" s="216" t="str">
        <f t="shared" si="472"/>
        <v>Anteil KWK, erstmals 2011</v>
      </c>
      <c r="AX1067" s="215" t="str">
        <f t="shared" si="473"/>
        <v/>
      </c>
      <c r="AY1067" t="str">
        <f t="shared" si="474"/>
        <v>x</v>
      </c>
      <c r="AZ1067" t="str">
        <f t="shared" si="475"/>
        <v/>
      </c>
    </row>
    <row r="1068" spans="1:52" x14ac:dyDescent="0.25">
      <c r="A1068" s="625" t="s">
        <v>1574</v>
      </c>
      <c r="B1068" s="221" t="s">
        <v>5548</v>
      </c>
      <c r="C1068" s="221" t="s">
        <v>1288</v>
      </c>
      <c r="D1068" s="219" t="s">
        <v>7103</v>
      </c>
      <c r="E1068" s="221" t="s">
        <v>1980</v>
      </c>
      <c r="F1068" s="455">
        <f t="shared" si="482"/>
        <v>13.66</v>
      </c>
      <c r="G1068" s="530">
        <v>13.66</v>
      </c>
      <c r="H1068" s="488">
        <f t="shared" si="483"/>
        <v>10.93</v>
      </c>
      <c r="I1068" s="707"/>
      <c r="J1068" s="669" t="s">
        <v>5805</v>
      </c>
      <c r="K1068" s="15"/>
      <c r="M1068" s="49">
        <f t="shared" si="484"/>
        <v>13.66</v>
      </c>
      <c r="N1068" s="41">
        <v>9.75</v>
      </c>
      <c r="O1068" s="54"/>
      <c r="P1068" s="15"/>
      <c r="S1068" t="s">
        <v>4180</v>
      </c>
      <c r="T1068" t="s">
        <v>1017</v>
      </c>
      <c r="U1068" s="55" t="s">
        <v>1017</v>
      </c>
      <c r="W1068" s="65"/>
      <c r="X1068" s="65"/>
      <c r="Z1068" s="65"/>
      <c r="AC1068" s="65"/>
      <c r="AD1068" s="92"/>
      <c r="AE1068" s="124"/>
      <c r="AF1068" s="65"/>
      <c r="AG1068" s="91"/>
      <c r="AH1068" s="217" t="s">
        <v>4179</v>
      </c>
      <c r="AI1068" s="214" t="str">
        <f t="shared" si="476"/>
        <v/>
      </c>
      <c r="AJ1068" s="214" t="str">
        <f t="shared" si="477"/>
        <v/>
      </c>
      <c r="AK1068" s="214" t="str">
        <f t="shared" si="478"/>
        <v/>
      </c>
      <c r="AL1068" s="214" t="str">
        <f t="shared" si="479"/>
        <v/>
      </c>
      <c r="AM1068" s="214" t="str">
        <f t="shared" si="480"/>
        <v/>
      </c>
      <c r="AN1068" s="213" t="str">
        <f t="shared" si="463"/>
        <v>2012</v>
      </c>
      <c r="AO1068" s="213" t="str">
        <f t="shared" si="464"/>
        <v>2012</v>
      </c>
      <c r="AP1068" s="213" t="str">
        <f t="shared" si="465"/>
        <v>2012</v>
      </c>
      <c r="AQ1068" s="215" t="str">
        <f t="shared" si="466"/>
        <v/>
      </c>
      <c r="AR1068" s="216" t="str">
        <f t="shared" si="467"/>
        <v>BiK82K12y---05</v>
      </c>
      <c r="AS1068" s="215" t="str">
        <f t="shared" si="468"/>
        <v/>
      </c>
      <c r="AT1068">
        <f t="shared" si="469"/>
        <v>14</v>
      </c>
      <c r="AU1068" s="216" t="str">
        <f t="shared" si="470"/>
        <v>0,15-0,5 MW, Bonusregeln y und K erstmals 2012</v>
      </c>
      <c r="AV1068" s="215" t="str">
        <f t="shared" si="471"/>
        <v/>
      </c>
      <c r="AW1068" s="216" t="str">
        <f t="shared" si="472"/>
        <v>Anteil KWK, erstmals 2012</v>
      </c>
      <c r="AX1068" s="215" t="str">
        <f t="shared" si="473"/>
        <v/>
      </c>
      <c r="AY1068" t="str">
        <f t="shared" si="474"/>
        <v/>
      </c>
      <c r="AZ1068" t="str">
        <f t="shared" si="475"/>
        <v>x</v>
      </c>
    </row>
    <row r="1069" spans="1:52" x14ac:dyDescent="0.25">
      <c r="A1069" s="609" t="s">
        <v>4516</v>
      </c>
      <c r="B1069" s="1" t="s">
        <v>5548</v>
      </c>
      <c r="C1069" s="2" t="s">
        <v>1288</v>
      </c>
      <c r="D1069" s="1" t="s">
        <v>7104</v>
      </c>
      <c r="E1069" s="1" t="s">
        <v>4810</v>
      </c>
      <c r="F1069" s="456">
        <f t="shared" si="482"/>
        <v>15.75</v>
      </c>
      <c r="G1069" s="531">
        <v>15.75</v>
      </c>
      <c r="H1069" s="489">
        <f t="shared" si="483"/>
        <v>12.6</v>
      </c>
      <c r="I1069" s="708"/>
      <c r="J1069" s="669" t="s">
        <v>5805</v>
      </c>
      <c r="K1069" s="15"/>
      <c r="M1069" s="49">
        <f t="shared" si="484"/>
        <v>15.75</v>
      </c>
      <c r="N1069" s="41">
        <v>9.75</v>
      </c>
      <c r="O1069" s="54"/>
      <c r="P1069" s="15"/>
      <c r="S1069" t="s">
        <v>4180</v>
      </c>
      <c r="T1069" t="s">
        <v>4180</v>
      </c>
      <c r="U1069" s="55"/>
      <c r="V1069" t="s">
        <v>1017</v>
      </c>
      <c r="W1069" s="65"/>
      <c r="X1069" s="65"/>
      <c r="Z1069" s="65"/>
      <c r="AC1069" s="65"/>
      <c r="AD1069" s="92"/>
      <c r="AE1069" s="124"/>
      <c r="AF1069" s="65"/>
      <c r="AG1069" s="91"/>
      <c r="AH1069" s="212" t="str">
        <f t="shared" ref="AH1069:AH1074" si="492">IF(ISERROR(SEARCH("K erstmals 201",D1069)),"",RIGHT(D1069,4))</f>
        <v/>
      </c>
      <c r="AI1069" s="214" t="str">
        <f t="shared" si="476"/>
        <v/>
      </c>
      <c r="AJ1069" s="214" t="str">
        <f t="shared" si="477"/>
        <v/>
      </c>
      <c r="AK1069" s="214" t="str">
        <f t="shared" si="478"/>
        <v/>
      </c>
      <c r="AL1069" s="214" t="str">
        <f t="shared" si="479"/>
        <v/>
      </c>
      <c r="AM1069" s="214" t="str">
        <f t="shared" si="480"/>
        <v/>
      </c>
      <c r="AN1069" s="213" t="str">
        <f t="shared" si="463"/>
        <v/>
      </c>
      <c r="AO1069" s="213" t="str">
        <f t="shared" si="464"/>
        <v/>
      </c>
      <c r="AP1069" s="213" t="str">
        <f t="shared" si="465"/>
        <v/>
      </c>
      <c r="AQ1069" s="215" t="str">
        <f t="shared" si="466"/>
        <v/>
      </c>
      <c r="AR1069" s="216" t="str">
        <f t="shared" si="467"/>
        <v>BiK82a1-----05</v>
      </c>
      <c r="AS1069" s="215" t="str">
        <f t="shared" si="468"/>
        <v/>
      </c>
      <c r="AT1069">
        <f t="shared" si="469"/>
        <v>14</v>
      </c>
      <c r="AU1069" s="216" t="str">
        <f t="shared" si="470"/>
        <v>0,15-0,5 MW, Bonusregel a1</v>
      </c>
      <c r="AV1069" s="215" t="str">
        <f t="shared" si="471"/>
        <v/>
      </c>
      <c r="AW1069" s="216" t="str">
        <f t="shared" si="472"/>
        <v>Anteil Nicht-KWK</v>
      </c>
      <c r="AX1069" s="215" t="str">
        <f t="shared" si="473"/>
        <v/>
      </c>
      <c r="AY1069" t="str">
        <f t="shared" si="474"/>
        <v/>
      </c>
      <c r="AZ1069" t="str">
        <f t="shared" si="475"/>
        <v/>
      </c>
    </row>
    <row r="1070" spans="1:52" x14ac:dyDescent="0.25">
      <c r="A1070" s="609" t="s">
        <v>4122</v>
      </c>
      <c r="B1070" s="1" t="s">
        <v>5548</v>
      </c>
      <c r="C1070" s="2" t="s">
        <v>1288</v>
      </c>
      <c r="D1070" s="36" t="s">
        <v>7217</v>
      </c>
      <c r="E1070" s="1" t="s">
        <v>4812</v>
      </c>
      <c r="F1070" s="456">
        <f t="shared" si="482"/>
        <v>17.75</v>
      </c>
      <c r="G1070" s="531">
        <v>17.75</v>
      </c>
      <c r="H1070" s="489">
        <f t="shared" si="483"/>
        <v>14.2</v>
      </c>
      <c r="I1070" s="708"/>
      <c r="J1070" s="669" t="s">
        <v>5805</v>
      </c>
      <c r="K1070" s="15"/>
      <c r="M1070" s="49">
        <f t="shared" si="484"/>
        <v>17.75</v>
      </c>
      <c r="N1070" s="41">
        <v>9.75</v>
      </c>
      <c r="O1070" s="54" t="s">
        <v>1017</v>
      </c>
      <c r="P1070" s="15"/>
      <c r="S1070" t="s">
        <v>4180</v>
      </c>
      <c r="T1070" t="s">
        <v>4180</v>
      </c>
      <c r="U1070" s="55"/>
      <c r="V1070" t="s">
        <v>1017</v>
      </c>
      <c r="W1070" s="65"/>
      <c r="X1070" s="65"/>
      <c r="Z1070" s="65"/>
      <c r="AC1070" s="65"/>
      <c r="AD1070" s="92"/>
      <c r="AE1070" s="124"/>
      <c r="AF1070" s="65"/>
      <c r="AG1070" s="91"/>
      <c r="AH1070" s="212" t="str">
        <f t="shared" si="492"/>
        <v/>
      </c>
      <c r="AI1070" s="214" t="str">
        <f t="shared" si="476"/>
        <v/>
      </c>
      <c r="AJ1070" s="214" t="str">
        <f t="shared" si="477"/>
        <v/>
      </c>
      <c r="AK1070" s="214" t="str">
        <f t="shared" si="478"/>
        <v/>
      </c>
      <c r="AL1070" s="214" t="str">
        <f t="shared" si="479"/>
        <v/>
      </c>
      <c r="AM1070" s="214" t="str">
        <f t="shared" si="480"/>
        <v/>
      </c>
      <c r="AN1070" s="213" t="str">
        <f t="shared" si="463"/>
        <v/>
      </c>
      <c r="AO1070" s="213" t="str">
        <f t="shared" si="464"/>
        <v/>
      </c>
      <c r="AP1070" s="213" t="str">
        <f t="shared" si="465"/>
        <v/>
      </c>
      <c r="AQ1070" s="215" t="str">
        <f t="shared" si="466"/>
        <v/>
      </c>
      <c r="AR1070" s="216" t="str">
        <f t="shared" si="467"/>
        <v>BiK82a1KWK--05</v>
      </c>
      <c r="AS1070" s="215" t="str">
        <f t="shared" si="468"/>
        <v/>
      </c>
      <c r="AT1070">
        <f t="shared" si="469"/>
        <v>14</v>
      </c>
      <c r="AU1070" s="216" t="str">
        <f t="shared" si="470"/>
        <v>0,15-0,5 MW, Bonusregeln a1 und KWK</v>
      </c>
      <c r="AV1070" s="215" t="str">
        <f t="shared" si="471"/>
        <v/>
      </c>
      <c r="AW1070" s="216" t="str">
        <f t="shared" si="472"/>
        <v>Anteil KWK</v>
      </c>
      <c r="AX1070" s="215" t="str">
        <f t="shared" si="473"/>
        <v/>
      </c>
      <c r="AY1070" t="str">
        <f t="shared" si="474"/>
        <v/>
      </c>
      <c r="AZ1070" t="str">
        <f t="shared" si="475"/>
        <v/>
      </c>
    </row>
    <row r="1071" spans="1:52" s="178" customFormat="1" x14ac:dyDescent="0.25">
      <c r="A1071" s="610" t="s">
        <v>4347</v>
      </c>
      <c r="B1071" s="17" t="s">
        <v>5548</v>
      </c>
      <c r="C1071" s="30" t="s">
        <v>1288</v>
      </c>
      <c r="D1071" s="30" t="s">
        <v>7106</v>
      </c>
      <c r="E1071" s="30" t="s">
        <v>4331</v>
      </c>
      <c r="F1071" s="454">
        <f t="shared" si="482"/>
        <v>18.75</v>
      </c>
      <c r="G1071" s="529">
        <v>18.75</v>
      </c>
      <c r="H1071" s="487">
        <f t="shared" si="483"/>
        <v>15</v>
      </c>
      <c r="I1071" s="706"/>
      <c r="J1071" s="669" t="s">
        <v>5805</v>
      </c>
      <c r="K1071" s="15"/>
      <c r="L1071"/>
      <c r="M1071" s="49">
        <f t="shared" si="484"/>
        <v>18.75</v>
      </c>
      <c r="N1071" s="41">
        <v>9.75</v>
      </c>
      <c r="O1071" s="54"/>
      <c r="P1071" t="s">
        <v>1017</v>
      </c>
      <c r="Q1071"/>
      <c r="R1071"/>
      <c r="S1071" t="s">
        <v>4180</v>
      </c>
      <c r="T1071" s="178" t="s">
        <v>4180</v>
      </c>
      <c r="U1071" s="55"/>
      <c r="V1071" t="s">
        <v>1017</v>
      </c>
      <c r="W1071" s="65"/>
      <c r="X1071" s="65"/>
      <c r="Y1071"/>
      <c r="Z1071" s="65"/>
      <c r="AA1071"/>
      <c r="AB1071"/>
      <c r="AC1071" s="65"/>
      <c r="AD1071" s="92"/>
      <c r="AE1071" s="124"/>
      <c r="AF1071" s="65"/>
      <c r="AG1071" s="91"/>
      <c r="AH1071" s="212" t="str">
        <f t="shared" si="492"/>
        <v/>
      </c>
      <c r="AI1071" s="214" t="str">
        <f t="shared" si="476"/>
        <v/>
      </c>
      <c r="AJ1071" s="214" t="str">
        <f t="shared" si="477"/>
        <v/>
      </c>
      <c r="AK1071" s="214" t="str">
        <f t="shared" si="478"/>
        <v/>
      </c>
      <c r="AL1071" s="214" t="str">
        <f t="shared" si="479"/>
        <v/>
      </c>
      <c r="AM1071" s="214" t="str">
        <f t="shared" si="480"/>
        <v/>
      </c>
      <c r="AN1071" s="213" t="str">
        <f t="shared" si="463"/>
        <v/>
      </c>
      <c r="AO1071" s="213" t="str">
        <f t="shared" si="464"/>
        <v/>
      </c>
      <c r="AP1071" s="213" t="str">
        <f t="shared" si="465"/>
        <v/>
      </c>
      <c r="AQ1071" s="215" t="str">
        <f t="shared" si="466"/>
        <v/>
      </c>
      <c r="AR1071" s="216" t="str">
        <f t="shared" si="467"/>
        <v>BiK82a1KA3--05</v>
      </c>
      <c r="AS1071" s="215" t="str">
        <f t="shared" si="468"/>
        <v/>
      </c>
      <c r="AT1071">
        <f t="shared" si="469"/>
        <v>14</v>
      </c>
      <c r="AU1071" s="216" t="str">
        <f t="shared" si="470"/>
        <v>0,15-0,5 MW, Bonusregeln a1 und K wenn Anlage 3 erfüllt</v>
      </c>
      <c r="AV1071" s="215" t="str">
        <f t="shared" si="471"/>
        <v/>
      </c>
      <c r="AW1071" s="216" t="str">
        <f t="shared" si="472"/>
        <v>Anteil KWK gemäß Anlage 3</v>
      </c>
      <c r="AX1071" s="215" t="str">
        <f t="shared" si="473"/>
        <v/>
      </c>
      <c r="AY1071" t="str">
        <f t="shared" si="474"/>
        <v/>
      </c>
      <c r="AZ1071" t="str">
        <f t="shared" si="475"/>
        <v/>
      </c>
    </row>
    <row r="1072" spans="1:52" s="178" customFormat="1" x14ac:dyDescent="0.25">
      <c r="A1072" s="610" t="s">
        <v>2349</v>
      </c>
      <c r="B1072" s="17" t="s">
        <v>5548</v>
      </c>
      <c r="C1072" s="17" t="s">
        <v>1288</v>
      </c>
      <c r="D1072" s="30" t="s">
        <v>7107</v>
      </c>
      <c r="E1072" s="30" t="s">
        <v>674</v>
      </c>
      <c r="F1072" s="454">
        <f t="shared" si="482"/>
        <v>18.75</v>
      </c>
      <c r="G1072" s="529">
        <v>18.75</v>
      </c>
      <c r="H1072" s="487">
        <f t="shared" si="483"/>
        <v>15</v>
      </c>
      <c r="I1072" s="706"/>
      <c r="J1072" s="669" t="s">
        <v>5805</v>
      </c>
      <c r="K1072" s="15"/>
      <c r="L1072"/>
      <c r="M1072" s="49">
        <f t="shared" si="484"/>
        <v>18.75</v>
      </c>
      <c r="N1072" s="41">
        <v>9.75</v>
      </c>
      <c r="O1072" s="54"/>
      <c r="P1072" s="15"/>
      <c r="Q1072" t="s">
        <v>1017</v>
      </c>
      <c r="R1072"/>
      <c r="S1072" t="s">
        <v>4180</v>
      </c>
      <c r="T1072" s="178" t="s">
        <v>4180</v>
      </c>
      <c r="U1072" s="55"/>
      <c r="V1072" t="s">
        <v>1017</v>
      </c>
      <c r="W1072" s="65"/>
      <c r="X1072" s="65"/>
      <c r="Y1072"/>
      <c r="Z1072" s="65"/>
      <c r="AA1072"/>
      <c r="AB1072"/>
      <c r="AC1072" s="65"/>
      <c r="AD1072" s="92"/>
      <c r="AE1072" s="124"/>
      <c r="AF1072" s="65"/>
      <c r="AG1072" s="91"/>
      <c r="AH1072" s="212" t="str">
        <f t="shared" si="492"/>
        <v/>
      </c>
      <c r="AI1072" s="214" t="str">
        <f t="shared" si="476"/>
        <v/>
      </c>
      <c r="AJ1072" s="214" t="str">
        <f t="shared" si="477"/>
        <v/>
      </c>
      <c r="AK1072" s="214" t="str">
        <f t="shared" si="478"/>
        <v/>
      </c>
      <c r="AL1072" s="214" t="str">
        <f t="shared" si="479"/>
        <v/>
      </c>
      <c r="AM1072" s="214" t="str">
        <f t="shared" si="480"/>
        <v/>
      </c>
      <c r="AN1072" s="213" t="str">
        <f t="shared" si="463"/>
        <v/>
      </c>
      <c r="AO1072" s="213" t="str">
        <f t="shared" si="464"/>
        <v/>
      </c>
      <c r="AP1072" s="213" t="str">
        <f t="shared" si="465"/>
        <v/>
      </c>
      <c r="AQ1072" s="215" t="str">
        <f t="shared" si="466"/>
        <v/>
      </c>
      <c r="AR1072" s="216" t="str">
        <f t="shared" si="467"/>
        <v>BiK82a1K09--05</v>
      </c>
      <c r="AS1072" s="215" t="str">
        <f t="shared" si="468"/>
        <v/>
      </c>
      <c r="AT1072">
        <f t="shared" si="469"/>
        <v>14</v>
      </c>
      <c r="AU1072" s="216" t="str">
        <f t="shared" si="470"/>
        <v>0,15-0,5 MW, Bonusregeln a1 und K erstmals 2009</v>
      </c>
      <c r="AV1072" s="215" t="str">
        <f t="shared" si="471"/>
        <v/>
      </c>
      <c r="AW1072" s="216" t="str">
        <f t="shared" si="472"/>
        <v>Anteil KWK, erstmals 2009</v>
      </c>
      <c r="AX1072" s="215" t="str">
        <f t="shared" si="473"/>
        <v/>
      </c>
      <c r="AY1072" t="str">
        <f t="shared" si="474"/>
        <v/>
      </c>
      <c r="AZ1072" t="str">
        <f t="shared" si="475"/>
        <v/>
      </c>
    </row>
    <row r="1073" spans="1:52" s="178" customFormat="1" x14ac:dyDescent="0.25">
      <c r="A1073" s="610" t="s">
        <v>3594</v>
      </c>
      <c r="B1073" s="17" t="s">
        <v>5548</v>
      </c>
      <c r="C1073" s="17" t="s">
        <v>1288</v>
      </c>
      <c r="D1073" s="30" t="s">
        <v>7108</v>
      </c>
      <c r="E1073" s="30" t="s">
        <v>3567</v>
      </c>
      <c r="F1073" s="454">
        <f t="shared" si="482"/>
        <v>18.72</v>
      </c>
      <c r="G1073" s="529">
        <v>18.72</v>
      </c>
      <c r="H1073" s="487">
        <f t="shared" si="483"/>
        <v>14.98</v>
      </c>
      <c r="I1073" s="706"/>
      <c r="J1073" s="669" t="s">
        <v>5805</v>
      </c>
      <c r="K1073" s="15"/>
      <c r="L1073"/>
      <c r="M1073" s="49">
        <f t="shared" si="484"/>
        <v>18.72</v>
      </c>
      <c r="N1073" s="41">
        <v>9.75</v>
      </c>
      <c r="O1073" s="54"/>
      <c r="P1073" s="15"/>
      <c r="Q1073"/>
      <c r="R1073" t="s">
        <v>1017</v>
      </c>
      <c r="S1073" t="s">
        <v>4180</v>
      </c>
      <c r="T1073" s="178" t="s">
        <v>4180</v>
      </c>
      <c r="U1073" s="55"/>
      <c r="V1073" t="s">
        <v>1017</v>
      </c>
      <c r="W1073" s="65"/>
      <c r="X1073" s="65"/>
      <c r="Y1073"/>
      <c r="Z1073" s="65"/>
      <c r="AA1073"/>
      <c r="AB1073"/>
      <c r="AC1073" s="65"/>
      <c r="AD1073" s="92"/>
      <c r="AE1073" s="124"/>
      <c r="AF1073" s="65"/>
      <c r="AG1073" s="91"/>
      <c r="AH1073" s="212" t="str">
        <f t="shared" si="492"/>
        <v>2010</v>
      </c>
      <c r="AI1073" s="214" t="str">
        <f t="shared" si="476"/>
        <v/>
      </c>
      <c r="AJ1073" s="214" t="str">
        <f t="shared" si="477"/>
        <v/>
      </c>
      <c r="AK1073" s="214" t="str">
        <f t="shared" si="478"/>
        <v/>
      </c>
      <c r="AL1073" s="214" t="str">
        <f t="shared" si="479"/>
        <v/>
      </c>
      <c r="AM1073" s="214" t="str">
        <f t="shared" si="480"/>
        <v/>
      </c>
      <c r="AN1073" s="213" t="str">
        <f t="shared" si="463"/>
        <v>2010</v>
      </c>
      <c r="AO1073" s="213" t="str">
        <f t="shared" si="464"/>
        <v>2010</v>
      </c>
      <c r="AP1073" s="213" t="str">
        <f t="shared" si="465"/>
        <v>2010</v>
      </c>
      <c r="AQ1073" s="215" t="str">
        <f t="shared" si="466"/>
        <v/>
      </c>
      <c r="AR1073" s="216" t="str">
        <f t="shared" si="467"/>
        <v>BiK82a1K10--05</v>
      </c>
      <c r="AS1073" s="215" t="str">
        <f t="shared" si="468"/>
        <v/>
      </c>
      <c r="AT1073">
        <f t="shared" si="469"/>
        <v>14</v>
      </c>
      <c r="AU1073" s="216" t="str">
        <f t="shared" si="470"/>
        <v>0,15-0,5 MW, Bonusregeln a1 und K erstmals 2010</v>
      </c>
      <c r="AV1073" s="215" t="str">
        <f t="shared" si="471"/>
        <v/>
      </c>
      <c r="AW1073" s="216" t="str">
        <f t="shared" si="472"/>
        <v>Anteil KWK, erstmals 2010</v>
      </c>
      <c r="AX1073" s="215" t="str">
        <f t="shared" si="473"/>
        <v/>
      </c>
      <c r="AY1073" t="str">
        <f t="shared" si="474"/>
        <v/>
      </c>
      <c r="AZ1073" t="str">
        <f t="shared" si="475"/>
        <v/>
      </c>
    </row>
    <row r="1074" spans="1:52" s="178" customFormat="1" x14ac:dyDescent="0.25">
      <c r="A1074" s="610" t="s">
        <v>5325</v>
      </c>
      <c r="B1074" s="17" t="s">
        <v>5548</v>
      </c>
      <c r="C1074" s="17" t="s">
        <v>1288</v>
      </c>
      <c r="D1074" s="30" t="s">
        <v>7109</v>
      </c>
      <c r="E1074" s="30" t="s">
        <v>3055</v>
      </c>
      <c r="F1074" s="454">
        <f t="shared" si="482"/>
        <v>18.689999999999998</v>
      </c>
      <c r="G1074" s="529">
        <v>18.689999999999998</v>
      </c>
      <c r="H1074" s="487">
        <f t="shared" si="483"/>
        <v>14.95</v>
      </c>
      <c r="I1074" s="706"/>
      <c r="J1074" s="669" t="s">
        <v>5805</v>
      </c>
      <c r="K1074" s="15"/>
      <c r="L1074"/>
      <c r="M1074" s="49">
        <f t="shared" si="484"/>
        <v>18.689999999999998</v>
      </c>
      <c r="N1074" s="41">
        <v>9.75</v>
      </c>
      <c r="O1074" s="54"/>
      <c r="P1074" s="15"/>
      <c r="Q1074"/>
      <c r="R1074"/>
      <c r="S1074" t="s">
        <v>1017</v>
      </c>
      <c r="T1074" s="178" t="s">
        <v>4180</v>
      </c>
      <c r="U1074" s="55"/>
      <c r="V1074" t="s">
        <v>1017</v>
      </c>
      <c r="W1074" s="65"/>
      <c r="X1074" s="65"/>
      <c r="Y1074"/>
      <c r="Z1074" s="65"/>
      <c r="AA1074"/>
      <c r="AB1074"/>
      <c r="AC1074" s="65"/>
      <c r="AD1074" s="92"/>
      <c r="AE1074" s="124"/>
      <c r="AF1074" s="65"/>
      <c r="AG1074" s="91"/>
      <c r="AH1074" s="212" t="str">
        <f t="shared" si="492"/>
        <v>2011</v>
      </c>
      <c r="AI1074" s="214" t="str">
        <f t="shared" si="476"/>
        <v/>
      </c>
      <c r="AJ1074" s="214" t="str">
        <f t="shared" si="477"/>
        <v/>
      </c>
      <c r="AK1074" s="214" t="str">
        <f t="shared" si="478"/>
        <v/>
      </c>
      <c r="AL1074" s="214" t="str">
        <f t="shared" si="479"/>
        <v/>
      </c>
      <c r="AM1074" s="214" t="str">
        <f t="shared" si="480"/>
        <v/>
      </c>
      <c r="AN1074" s="213" t="str">
        <f t="shared" ref="AN1074:AN1137" si="493">IF(ISERROR(SEARCH("K1",A1074)),"","20"&amp;MID(A1074,SEARCH("K1",A1074)+1,2))</f>
        <v>2011</v>
      </c>
      <c r="AO1074" s="213" t="str">
        <f t="shared" ref="AO1074:AO1137" si="494">IF(ISERROR(SEARCH("erstmals 201",E1074)),"",MID(E1074,SEARCH("erstmals ",E1074)+9,4))</f>
        <v>2011</v>
      </c>
      <c r="AP1074" s="213" t="str">
        <f t="shared" ref="AP1074:AP1137" si="495">IF(R1074="x","2010",IF(S1074="x","2011",IF(T1074="x","2012","")))</f>
        <v>2011</v>
      </c>
      <c r="AQ1074" s="215" t="str">
        <f t="shared" ref="AQ1074:AQ1137" si="496">IF(OR(AH1074&lt;&gt;AN1074,AH1074&lt;&gt;AO1074,AH1074&lt;&gt;AP1074),"DIFF","")</f>
        <v/>
      </c>
      <c r="AR1074" s="216" t="str">
        <f t="shared" ref="AR1074:AR1137" si="497">IF(A1074="","",IF(ISERROR(SEARCH("K1",A1074)),A1074,LEFT(A1074,SEARCH("K1",A1074)+1)&amp;RIGHT(AH1074,1)&amp;MID(A1074,SEARCH("K1",A1074)+3,14)))</f>
        <v>BiK82a1K11--05</v>
      </c>
      <c r="AS1074" s="215" t="str">
        <f t="shared" ref="AS1074:AS1137" si="498">IF(OR(A1074&lt;&gt;AR1074),"DIFF","")</f>
        <v/>
      </c>
      <c r="AT1074">
        <f t="shared" ref="AT1074:AT1137" si="499">LEN(AR1074)</f>
        <v>14</v>
      </c>
      <c r="AU1074" s="216" t="str">
        <f t="shared" ref="AU1074:AU1137" si="500">IF(D1074="","",IF(OR(A1074="",ISERROR(SEARCH("erstmals 201",D1074))),D1074,LEFT(D1074,SEARCH("erstmals 201",D1074)+8) &amp; AH1074 &amp; MID(D1074,SEARCH("erstmals 201",D1074)+13,255)))</f>
        <v>0,15-0,5 MW, Bonusregeln a1 und K erstmals 2011</v>
      </c>
      <c r="AV1074" s="215" t="str">
        <f t="shared" ref="AV1074:AV1137" si="501">IF(OR(D1074&lt;&gt;AU1074),"DIFF","")</f>
        <v/>
      </c>
      <c r="AW1074" s="216" t="str">
        <f t="shared" ref="AW1074:AW1137" si="502">IF(E1074="","",IF(OR(E1074="",ISERROR(SEARCH("erstmals 201",E1074))),E1074,LEFT(E1074,SEARCH("erstmals 201",E1074)+8) &amp; AH1074 &amp; MID(E1074,SEARCH("erstmals 201",E1074)+13,255)))</f>
        <v>Anteil KWK, erstmals 2011</v>
      </c>
      <c r="AX1074" s="215" t="str">
        <f t="shared" ref="AX1074:AX1137" si="503">IF(OR(E1074&lt;&gt;AW1074),"DIFF","")</f>
        <v/>
      </c>
      <c r="AY1074" t="str">
        <f t="shared" ref="AY1074:AY1137" si="504">IF(AH1074="2011","x",IF(AH1074="2012","","" &amp; S1074))</f>
        <v>x</v>
      </c>
      <c r="AZ1074" t="str">
        <f t="shared" ref="AZ1074:AZ1137" si="505">IF(AH1074="2012","x",IF(AH1074="2011","","" &amp; T1074))</f>
        <v/>
      </c>
    </row>
    <row r="1075" spans="1:52" s="178" customFormat="1" x14ac:dyDescent="0.25">
      <c r="A1075" s="625" t="s">
        <v>1575</v>
      </c>
      <c r="B1075" s="221" t="s">
        <v>5548</v>
      </c>
      <c r="C1075" s="221" t="s">
        <v>1288</v>
      </c>
      <c r="D1075" s="219" t="s">
        <v>7110</v>
      </c>
      <c r="E1075" s="219" t="s">
        <v>1980</v>
      </c>
      <c r="F1075" s="455">
        <f t="shared" si="482"/>
        <v>18.66</v>
      </c>
      <c r="G1075" s="530">
        <v>18.66</v>
      </c>
      <c r="H1075" s="488">
        <f t="shared" si="483"/>
        <v>14.93</v>
      </c>
      <c r="I1075" s="707"/>
      <c r="J1075" s="669" t="s">
        <v>5805</v>
      </c>
      <c r="K1075" s="15"/>
      <c r="L1075"/>
      <c r="M1075" s="49">
        <f t="shared" si="484"/>
        <v>18.66</v>
      </c>
      <c r="N1075" s="41">
        <v>9.75</v>
      </c>
      <c r="O1075" s="54"/>
      <c r="P1075" s="15"/>
      <c r="Q1075"/>
      <c r="R1075"/>
      <c r="S1075" t="s">
        <v>4180</v>
      </c>
      <c r="T1075" s="178" t="s">
        <v>1017</v>
      </c>
      <c r="U1075" s="55"/>
      <c r="V1075" t="s">
        <v>1017</v>
      </c>
      <c r="W1075" s="65"/>
      <c r="X1075" s="65"/>
      <c r="Y1075"/>
      <c r="Z1075" s="65"/>
      <c r="AA1075"/>
      <c r="AB1075"/>
      <c r="AC1075" s="65"/>
      <c r="AD1075" s="92"/>
      <c r="AE1075" s="124"/>
      <c r="AF1075" s="65"/>
      <c r="AG1075" s="91"/>
      <c r="AH1075" s="217" t="s">
        <v>4179</v>
      </c>
      <c r="AI1075" s="214" t="str">
        <f t="shared" ref="AI1075:AI1138" si="506">IF(AND($AH1075&lt;&gt;"",AH1075 =AH1074),"Gleich","")</f>
        <v/>
      </c>
      <c r="AJ1075" s="214" t="str">
        <f t="shared" ref="AJ1075:AJ1138" si="507">IF(AND($AH1075&lt;&gt;"",A1075 =A1074),"Gleich","")</f>
        <v/>
      </c>
      <c r="AK1075" s="214" t="str">
        <f t="shared" ref="AK1075:AK1138" si="508">IF(AND($AH1075&lt;&gt;"",D1075 =D1074),"Gleich","")</f>
        <v/>
      </c>
      <c r="AL1075" s="214" t="str">
        <f t="shared" ref="AL1075:AL1138" si="509">IF(AND($AH1075&lt;&gt;"",E1075 =E1074),"Gleich","")</f>
        <v/>
      </c>
      <c r="AM1075" s="214" t="str">
        <f t="shared" ref="AM1075:AM1138" si="510">IF(AND($AH1075&lt;&gt;"",F1075 =F1074),"Gleich","")</f>
        <v/>
      </c>
      <c r="AN1075" s="213" t="str">
        <f t="shared" si="493"/>
        <v>2012</v>
      </c>
      <c r="AO1075" s="213" t="str">
        <f t="shared" si="494"/>
        <v>2012</v>
      </c>
      <c r="AP1075" s="213" t="str">
        <f t="shared" si="495"/>
        <v>2012</v>
      </c>
      <c r="AQ1075" s="215" t="str">
        <f t="shared" si="496"/>
        <v/>
      </c>
      <c r="AR1075" s="216" t="str">
        <f t="shared" si="497"/>
        <v>BiK82a1K12--05</v>
      </c>
      <c r="AS1075" s="215" t="str">
        <f t="shared" si="498"/>
        <v/>
      </c>
      <c r="AT1075">
        <f t="shared" si="499"/>
        <v>14</v>
      </c>
      <c r="AU1075" s="216" t="str">
        <f t="shared" si="500"/>
        <v>0,15-0,5 MW, Bonusregeln a1 und K erstmals 2012</v>
      </c>
      <c r="AV1075" s="215" t="str">
        <f t="shared" si="501"/>
        <v/>
      </c>
      <c r="AW1075" s="216" t="str">
        <f t="shared" si="502"/>
        <v>Anteil KWK, erstmals 2012</v>
      </c>
      <c r="AX1075" s="215" t="str">
        <f t="shared" si="503"/>
        <v/>
      </c>
      <c r="AY1075" t="str">
        <f t="shared" si="504"/>
        <v/>
      </c>
      <c r="AZ1075" t="str">
        <f t="shared" si="505"/>
        <v>x</v>
      </c>
    </row>
    <row r="1076" spans="1:52" s="178" customFormat="1" x14ac:dyDescent="0.25">
      <c r="A1076" s="610" t="s">
        <v>1329</v>
      </c>
      <c r="B1076" s="17" t="s">
        <v>5548</v>
      </c>
      <c r="C1076" s="17" t="s">
        <v>1288</v>
      </c>
      <c r="D1076" s="30" t="s">
        <v>7111</v>
      </c>
      <c r="E1076" s="17" t="s">
        <v>4810</v>
      </c>
      <c r="F1076" s="454">
        <f t="shared" si="482"/>
        <v>16.75</v>
      </c>
      <c r="G1076" s="529">
        <v>16.75</v>
      </c>
      <c r="H1076" s="487">
        <f t="shared" si="483"/>
        <v>13.4</v>
      </c>
      <c r="I1076" s="706"/>
      <c r="J1076" s="669" t="s">
        <v>5805</v>
      </c>
      <c r="K1076" s="15"/>
      <c r="L1076"/>
      <c r="M1076" s="49">
        <f t="shared" si="484"/>
        <v>16.75</v>
      </c>
      <c r="N1076" s="41">
        <v>9.75</v>
      </c>
      <c r="O1076" s="54"/>
      <c r="P1076" s="15"/>
      <c r="Q1076"/>
      <c r="R1076"/>
      <c r="S1076" t="s">
        <v>4180</v>
      </c>
      <c r="T1076" s="178" t="s">
        <v>4180</v>
      </c>
      <c r="U1076" s="55" t="s">
        <v>1017</v>
      </c>
      <c r="V1076" t="s">
        <v>1017</v>
      </c>
      <c r="W1076" s="65"/>
      <c r="X1076" s="65"/>
      <c r="Y1076"/>
      <c r="Z1076" s="65"/>
      <c r="AA1076"/>
      <c r="AB1076"/>
      <c r="AC1076" s="65"/>
      <c r="AD1076" s="92"/>
      <c r="AE1076" s="124"/>
      <c r="AF1076" s="65"/>
      <c r="AG1076" s="91"/>
      <c r="AH1076" s="212" t="str">
        <f t="shared" ref="AH1076:AH1081" si="511">IF(ISERROR(SEARCH("K erstmals 201",D1076)),"",RIGHT(D1076,4))</f>
        <v/>
      </c>
      <c r="AI1076" s="214" t="str">
        <f t="shared" si="506"/>
        <v/>
      </c>
      <c r="AJ1076" s="214" t="str">
        <f t="shared" si="507"/>
        <v/>
      </c>
      <c r="AK1076" s="214" t="str">
        <f t="shared" si="508"/>
        <v/>
      </c>
      <c r="AL1076" s="214" t="str">
        <f t="shared" si="509"/>
        <v/>
      </c>
      <c r="AM1076" s="214" t="str">
        <f t="shared" si="510"/>
        <v/>
      </c>
      <c r="AN1076" s="213" t="str">
        <f t="shared" si="493"/>
        <v/>
      </c>
      <c r="AO1076" s="213" t="str">
        <f t="shared" si="494"/>
        <v/>
      </c>
      <c r="AP1076" s="213" t="str">
        <f t="shared" si="495"/>
        <v/>
      </c>
      <c r="AQ1076" s="215" t="str">
        <f t="shared" si="496"/>
        <v/>
      </c>
      <c r="AR1076" s="216" t="str">
        <f t="shared" si="497"/>
        <v>BiK82a1y----05</v>
      </c>
      <c r="AS1076" s="215" t="str">
        <f t="shared" si="498"/>
        <v/>
      </c>
      <c r="AT1076">
        <f t="shared" si="499"/>
        <v>14</v>
      </c>
      <c r="AU1076" s="216" t="str">
        <f t="shared" si="500"/>
        <v>0,15-0,5 MW, Bonusregeln a1, y</v>
      </c>
      <c r="AV1076" s="215" t="str">
        <f t="shared" si="501"/>
        <v/>
      </c>
      <c r="AW1076" s="216" t="str">
        <f t="shared" si="502"/>
        <v>Anteil Nicht-KWK</v>
      </c>
      <c r="AX1076" s="215" t="str">
        <f t="shared" si="503"/>
        <v/>
      </c>
      <c r="AY1076" t="str">
        <f t="shared" si="504"/>
        <v/>
      </c>
      <c r="AZ1076" t="str">
        <f t="shared" si="505"/>
        <v/>
      </c>
    </row>
    <row r="1077" spans="1:52" s="178" customFormat="1" x14ac:dyDescent="0.25">
      <c r="A1077" s="610" t="s">
        <v>1330</v>
      </c>
      <c r="B1077" s="17" t="s">
        <v>5548</v>
      </c>
      <c r="C1077" s="17" t="s">
        <v>1288</v>
      </c>
      <c r="D1077" s="30" t="s">
        <v>7112</v>
      </c>
      <c r="E1077" s="17" t="s">
        <v>4812</v>
      </c>
      <c r="F1077" s="454">
        <f t="shared" si="482"/>
        <v>18.75</v>
      </c>
      <c r="G1077" s="529">
        <v>18.75</v>
      </c>
      <c r="H1077" s="487">
        <f t="shared" si="483"/>
        <v>15</v>
      </c>
      <c r="I1077" s="706"/>
      <c r="J1077" s="669" t="s">
        <v>5805</v>
      </c>
      <c r="K1077" s="15"/>
      <c r="L1077"/>
      <c r="M1077" s="49">
        <f t="shared" si="484"/>
        <v>18.75</v>
      </c>
      <c r="N1077" s="41">
        <v>9.75</v>
      </c>
      <c r="O1077" s="54" t="s">
        <v>1017</v>
      </c>
      <c r="P1077" s="15"/>
      <c r="Q1077"/>
      <c r="R1077"/>
      <c r="S1077" t="s">
        <v>4180</v>
      </c>
      <c r="T1077" s="178" t="s">
        <v>4180</v>
      </c>
      <c r="U1077" s="55" t="s">
        <v>1017</v>
      </c>
      <c r="V1077" t="s">
        <v>1017</v>
      </c>
      <c r="W1077" s="65"/>
      <c r="X1077" s="65"/>
      <c r="Y1077"/>
      <c r="Z1077" s="65"/>
      <c r="AA1077"/>
      <c r="AB1077"/>
      <c r="AC1077" s="65"/>
      <c r="AD1077" s="92"/>
      <c r="AE1077" s="124"/>
      <c r="AF1077" s="65"/>
      <c r="AG1077" s="91"/>
      <c r="AH1077" s="212" t="str">
        <f t="shared" si="511"/>
        <v/>
      </c>
      <c r="AI1077" s="214" t="str">
        <f t="shared" si="506"/>
        <v/>
      </c>
      <c r="AJ1077" s="214" t="str">
        <f t="shared" si="507"/>
        <v/>
      </c>
      <c r="AK1077" s="214" t="str">
        <f t="shared" si="508"/>
        <v/>
      </c>
      <c r="AL1077" s="214" t="str">
        <f t="shared" si="509"/>
        <v/>
      </c>
      <c r="AM1077" s="214" t="str">
        <f t="shared" si="510"/>
        <v/>
      </c>
      <c r="AN1077" s="213" t="str">
        <f t="shared" si="493"/>
        <v/>
      </c>
      <c r="AO1077" s="213" t="str">
        <f t="shared" si="494"/>
        <v/>
      </c>
      <c r="AP1077" s="213" t="str">
        <f t="shared" si="495"/>
        <v/>
      </c>
      <c r="AQ1077" s="215" t="str">
        <f t="shared" si="496"/>
        <v/>
      </c>
      <c r="AR1077" s="216" t="str">
        <f t="shared" si="497"/>
        <v>BiK82a1KWKy-05</v>
      </c>
      <c r="AS1077" s="215" t="str">
        <f t="shared" si="498"/>
        <v/>
      </c>
      <c r="AT1077">
        <f t="shared" si="499"/>
        <v>14</v>
      </c>
      <c r="AU1077" s="216" t="str">
        <f t="shared" si="500"/>
        <v>0,15-0,5 MW, Bonusregeln a1, y und KWK</v>
      </c>
      <c r="AV1077" s="215" t="str">
        <f t="shared" si="501"/>
        <v/>
      </c>
      <c r="AW1077" s="216" t="str">
        <f t="shared" si="502"/>
        <v>Anteil KWK</v>
      </c>
      <c r="AX1077" s="215" t="str">
        <f t="shared" si="503"/>
        <v/>
      </c>
      <c r="AY1077" t="str">
        <f t="shared" si="504"/>
        <v/>
      </c>
      <c r="AZ1077" t="str">
        <f t="shared" si="505"/>
        <v/>
      </c>
    </row>
    <row r="1078" spans="1:52" s="178" customFormat="1" x14ac:dyDescent="0.25">
      <c r="A1078" s="610" t="s">
        <v>1331</v>
      </c>
      <c r="B1078" s="17" t="s">
        <v>5548</v>
      </c>
      <c r="C1078" s="30" t="s">
        <v>1288</v>
      </c>
      <c r="D1078" s="30" t="s">
        <v>7113</v>
      </c>
      <c r="E1078" s="30" t="s">
        <v>4331</v>
      </c>
      <c r="F1078" s="454">
        <f t="shared" si="482"/>
        <v>19.75</v>
      </c>
      <c r="G1078" s="529">
        <v>19.75</v>
      </c>
      <c r="H1078" s="487">
        <f t="shared" si="483"/>
        <v>15.8</v>
      </c>
      <c r="I1078" s="706"/>
      <c r="J1078" s="669" t="s">
        <v>5805</v>
      </c>
      <c r="K1078" s="15"/>
      <c r="L1078"/>
      <c r="M1078" s="49">
        <f t="shared" si="484"/>
        <v>19.75</v>
      </c>
      <c r="N1078" s="41">
        <v>9.75</v>
      </c>
      <c r="O1078" s="54"/>
      <c r="P1078" t="s">
        <v>1017</v>
      </c>
      <c r="Q1078"/>
      <c r="R1078"/>
      <c r="S1078" t="s">
        <v>4180</v>
      </c>
      <c r="T1078" s="178" t="s">
        <v>4180</v>
      </c>
      <c r="U1078" s="55" t="s">
        <v>1017</v>
      </c>
      <c r="V1078" t="s">
        <v>1017</v>
      </c>
      <c r="W1078" s="65"/>
      <c r="X1078" s="65"/>
      <c r="Y1078"/>
      <c r="Z1078" s="65"/>
      <c r="AA1078"/>
      <c r="AB1078"/>
      <c r="AC1078" s="65"/>
      <c r="AD1078" s="92"/>
      <c r="AE1078" s="124"/>
      <c r="AF1078" s="65"/>
      <c r="AG1078" s="91"/>
      <c r="AH1078" s="212" t="str">
        <f t="shared" si="511"/>
        <v/>
      </c>
      <c r="AI1078" s="214" t="str">
        <f t="shared" si="506"/>
        <v/>
      </c>
      <c r="AJ1078" s="214" t="str">
        <f t="shared" si="507"/>
        <v/>
      </c>
      <c r="AK1078" s="214" t="str">
        <f t="shared" si="508"/>
        <v/>
      </c>
      <c r="AL1078" s="214" t="str">
        <f t="shared" si="509"/>
        <v/>
      </c>
      <c r="AM1078" s="214" t="str">
        <f t="shared" si="510"/>
        <v/>
      </c>
      <c r="AN1078" s="213" t="str">
        <f t="shared" si="493"/>
        <v/>
      </c>
      <c r="AO1078" s="213" t="str">
        <f t="shared" si="494"/>
        <v/>
      </c>
      <c r="AP1078" s="213" t="str">
        <f t="shared" si="495"/>
        <v/>
      </c>
      <c r="AQ1078" s="215" t="str">
        <f t="shared" si="496"/>
        <v/>
      </c>
      <c r="AR1078" s="216" t="str">
        <f t="shared" si="497"/>
        <v>BiK82a1KA3y-05</v>
      </c>
      <c r="AS1078" s="215" t="str">
        <f t="shared" si="498"/>
        <v/>
      </c>
      <c r="AT1078">
        <f t="shared" si="499"/>
        <v>14</v>
      </c>
      <c r="AU1078" s="216" t="str">
        <f t="shared" si="500"/>
        <v>0,15-0,5 MW, Bonusregeln a1, y und K wenn Anlage 3 erfüllt</v>
      </c>
      <c r="AV1078" s="215" t="str">
        <f t="shared" si="501"/>
        <v/>
      </c>
      <c r="AW1078" s="216" t="str">
        <f t="shared" si="502"/>
        <v>Anteil KWK gemäß Anlage 3</v>
      </c>
      <c r="AX1078" s="215" t="str">
        <f t="shared" si="503"/>
        <v/>
      </c>
      <c r="AY1078" t="str">
        <f t="shared" si="504"/>
        <v/>
      </c>
      <c r="AZ1078" t="str">
        <f t="shared" si="505"/>
        <v/>
      </c>
    </row>
    <row r="1079" spans="1:52" s="178" customFormat="1" x14ac:dyDescent="0.25">
      <c r="A1079" s="610" t="s">
        <v>1332</v>
      </c>
      <c r="B1079" s="17" t="s">
        <v>5548</v>
      </c>
      <c r="C1079" s="17" t="s">
        <v>1288</v>
      </c>
      <c r="D1079" s="30" t="s">
        <v>7114</v>
      </c>
      <c r="E1079" s="30" t="s">
        <v>674</v>
      </c>
      <c r="F1079" s="454">
        <f t="shared" ref="F1079:F1142" si="512">M1079</f>
        <v>19.75</v>
      </c>
      <c r="G1079" s="529">
        <v>19.75</v>
      </c>
      <c r="H1079" s="487">
        <f t="shared" ref="H1079:H1142" si="513">IF(ISNUMBER(G1079),ROUND(0.8*G1079,2),"")</f>
        <v>15.8</v>
      </c>
      <c r="I1079" s="706"/>
      <c r="J1079" s="669" t="s">
        <v>5805</v>
      </c>
      <c r="K1079" s="15"/>
      <c r="L1079"/>
      <c r="M1079" s="49">
        <f t="shared" ref="M1079:M1142" si="514">N1079+SUMIF(O1079:AG1079,"x",O$886:AG$886)</f>
        <v>19.75</v>
      </c>
      <c r="N1079" s="41">
        <v>9.75</v>
      </c>
      <c r="O1079" s="54"/>
      <c r="P1079" s="15"/>
      <c r="Q1079" t="s">
        <v>1017</v>
      </c>
      <c r="R1079"/>
      <c r="S1079" t="s">
        <v>4180</v>
      </c>
      <c r="T1079" s="178" t="s">
        <v>4180</v>
      </c>
      <c r="U1079" s="55" t="s">
        <v>1017</v>
      </c>
      <c r="V1079" t="s">
        <v>1017</v>
      </c>
      <c r="W1079" s="65"/>
      <c r="X1079" s="65"/>
      <c r="Y1079"/>
      <c r="Z1079" s="65"/>
      <c r="AA1079"/>
      <c r="AB1079"/>
      <c r="AC1079" s="65"/>
      <c r="AD1079" s="92"/>
      <c r="AE1079" s="124"/>
      <c r="AF1079" s="65"/>
      <c r="AG1079" s="91"/>
      <c r="AH1079" s="212" t="str">
        <f t="shared" si="511"/>
        <v/>
      </c>
      <c r="AI1079" s="214" t="str">
        <f t="shared" si="506"/>
        <v/>
      </c>
      <c r="AJ1079" s="214" t="str">
        <f t="shared" si="507"/>
        <v/>
      </c>
      <c r="AK1079" s="214" t="str">
        <f t="shared" si="508"/>
        <v/>
      </c>
      <c r="AL1079" s="214" t="str">
        <f t="shared" si="509"/>
        <v/>
      </c>
      <c r="AM1079" s="214" t="str">
        <f t="shared" si="510"/>
        <v/>
      </c>
      <c r="AN1079" s="213" t="str">
        <f t="shared" si="493"/>
        <v/>
      </c>
      <c r="AO1079" s="213" t="str">
        <f t="shared" si="494"/>
        <v/>
      </c>
      <c r="AP1079" s="213" t="str">
        <f t="shared" si="495"/>
        <v/>
      </c>
      <c r="AQ1079" s="215" t="str">
        <f t="shared" si="496"/>
        <v/>
      </c>
      <c r="AR1079" s="216" t="str">
        <f t="shared" si="497"/>
        <v>BiK82a1K09y-05</v>
      </c>
      <c r="AS1079" s="215" t="str">
        <f t="shared" si="498"/>
        <v/>
      </c>
      <c r="AT1079">
        <f t="shared" si="499"/>
        <v>14</v>
      </c>
      <c r="AU1079" s="216" t="str">
        <f t="shared" si="500"/>
        <v>0,15-0,5 MW, Bonusregeln a1, y und K erstmals 2009</v>
      </c>
      <c r="AV1079" s="215" t="str">
        <f t="shared" si="501"/>
        <v/>
      </c>
      <c r="AW1079" s="216" t="str">
        <f t="shared" si="502"/>
        <v>Anteil KWK, erstmals 2009</v>
      </c>
      <c r="AX1079" s="215" t="str">
        <f t="shared" si="503"/>
        <v/>
      </c>
      <c r="AY1079" t="str">
        <f t="shared" si="504"/>
        <v/>
      </c>
      <c r="AZ1079" t="str">
        <f t="shared" si="505"/>
        <v/>
      </c>
    </row>
    <row r="1080" spans="1:52" s="178" customFormat="1" x14ac:dyDescent="0.25">
      <c r="A1080" s="610" t="s">
        <v>3595</v>
      </c>
      <c r="B1080" s="17" t="s">
        <v>5548</v>
      </c>
      <c r="C1080" s="17" t="s">
        <v>1288</v>
      </c>
      <c r="D1080" s="30" t="s">
        <v>7115</v>
      </c>
      <c r="E1080" s="30" t="s">
        <v>3567</v>
      </c>
      <c r="F1080" s="454">
        <f t="shared" si="512"/>
        <v>19.72</v>
      </c>
      <c r="G1080" s="529">
        <v>19.72</v>
      </c>
      <c r="H1080" s="487">
        <f t="shared" si="513"/>
        <v>15.78</v>
      </c>
      <c r="I1080" s="706"/>
      <c r="J1080" s="669" t="s">
        <v>5805</v>
      </c>
      <c r="K1080" s="15"/>
      <c r="L1080"/>
      <c r="M1080" s="49">
        <f t="shared" si="514"/>
        <v>19.72</v>
      </c>
      <c r="N1080" s="41">
        <v>9.75</v>
      </c>
      <c r="O1080" s="54"/>
      <c r="P1080" s="15"/>
      <c r="Q1080"/>
      <c r="R1080" t="s">
        <v>1017</v>
      </c>
      <c r="S1080" t="s">
        <v>4180</v>
      </c>
      <c r="T1080" s="178" t="s">
        <v>4180</v>
      </c>
      <c r="U1080" s="55" t="s">
        <v>1017</v>
      </c>
      <c r="V1080" t="s">
        <v>1017</v>
      </c>
      <c r="W1080" s="65"/>
      <c r="X1080" s="65"/>
      <c r="Y1080"/>
      <c r="Z1080" s="65"/>
      <c r="AA1080"/>
      <c r="AB1080"/>
      <c r="AC1080" s="65"/>
      <c r="AD1080" s="92"/>
      <c r="AE1080" s="124"/>
      <c r="AF1080" s="65"/>
      <c r="AG1080" s="91"/>
      <c r="AH1080" s="212" t="str">
        <f t="shared" si="511"/>
        <v>2010</v>
      </c>
      <c r="AI1080" s="214" t="str">
        <f t="shared" si="506"/>
        <v/>
      </c>
      <c r="AJ1080" s="214" t="str">
        <f t="shared" si="507"/>
        <v/>
      </c>
      <c r="AK1080" s="214" t="str">
        <f t="shared" si="508"/>
        <v/>
      </c>
      <c r="AL1080" s="214" t="str">
        <f t="shared" si="509"/>
        <v/>
      </c>
      <c r="AM1080" s="214" t="str">
        <f t="shared" si="510"/>
        <v/>
      </c>
      <c r="AN1080" s="213" t="str">
        <f t="shared" si="493"/>
        <v>2010</v>
      </c>
      <c r="AO1080" s="213" t="str">
        <f t="shared" si="494"/>
        <v>2010</v>
      </c>
      <c r="AP1080" s="213" t="str">
        <f t="shared" si="495"/>
        <v>2010</v>
      </c>
      <c r="AQ1080" s="215" t="str">
        <f t="shared" si="496"/>
        <v/>
      </c>
      <c r="AR1080" s="216" t="str">
        <f t="shared" si="497"/>
        <v>BiK82a1K10y-05</v>
      </c>
      <c r="AS1080" s="215" t="str">
        <f t="shared" si="498"/>
        <v/>
      </c>
      <c r="AT1080">
        <f t="shared" si="499"/>
        <v>14</v>
      </c>
      <c r="AU1080" s="216" t="str">
        <f t="shared" si="500"/>
        <v>0,15-0,5 MW, Bonusregeln a1, y und K erstmals 2010</v>
      </c>
      <c r="AV1080" s="215" t="str">
        <f t="shared" si="501"/>
        <v/>
      </c>
      <c r="AW1080" s="216" t="str">
        <f t="shared" si="502"/>
        <v>Anteil KWK, erstmals 2010</v>
      </c>
      <c r="AX1080" s="215" t="str">
        <f t="shared" si="503"/>
        <v/>
      </c>
      <c r="AY1080" t="str">
        <f t="shared" si="504"/>
        <v/>
      </c>
      <c r="AZ1080" t="str">
        <f t="shared" si="505"/>
        <v/>
      </c>
    </row>
    <row r="1081" spans="1:52" s="178" customFormat="1" x14ac:dyDescent="0.25">
      <c r="A1081" s="610" t="s">
        <v>5326</v>
      </c>
      <c r="B1081" s="17" t="s">
        <v>5548</v>
      </c>
      <c r="C1081" s="17" t="s">
        <v>1288</v>
      </c>
      <c r="D1081" s="30" t="s">
        <v>7116</v>
      </c>
      <c r="E1081" s="30" t="s">
        <v>3055</v>
      </c>
      <c r="F1081" s="454">
        <f t="shared" si="512"/>
        <v>19.689999999999998</v>
      </c>
      <c r="G1081" s="529">
        <v>19.689999999999998</v>
      </c>
      <c r="H1081" s="487">
        <f t="shared" si="513"/>
        <v>15.75</v>
      </c>
      <c r="I1081" s="706"/>
      <c r="J1081" s="669" t="s">
        <v>5805</v>
      </c>
      <c r="K1081" s="15"/>
      <c r="L1081"/>
      <c r="M1081" s="49">
        <f t="shared" si="514"/>
        <v>19.689999999999998</v>
      </c>
      <c r="N1081" s="41">
        <v>9.75</v>
      </c>
      <c r="O1081" s="54"/>
      <c r="P1081" s="15"/>
      <c r="Q1081"/>
      <c r="R1081"/>
      <c r="S1081" t="s">
        <v>1017</v>
      </c>
      <c r="T1081" s="178" t="s">
        <v>4180</v>
      </c>
      <c r="U1081" s="55" t="s">
        <v>1017</v>
      </c>
      <c r="V1081" t="s">
        <v>1017</v>
      </c>
      <c r="W1081" s="65"/>
      <c r="X1081" s="65"/>
      <c r="Y1081"/>
      <c r="Z1081" s="65"/>
      <c r="AA1081"/>
      <c r="AB1081"/>
      <c r="AC1081" s="65"/>
      <c r="AD1081" s="92"/>
      <c r="AE1081" s="124"/>
      <c r="AF1081" s="65"/>
      <c r="AG1081" s="91"/>
      <c r="AH1081" s="212" t="str">
        <f t="shared" si="511"/>
        <v>2011</v>
      </c>
      <c r="AI1081" s="214" t="str">
        <f t="shared" si="506"/>
        <v/>
      </c>
      <c r="AJ1081" s="214" t="str">
        <f t="shared" si="507"/>
        <v/>
      </c>
      <c r="AK1081" s="214" t="str">
        <f t="shared" si="508"/>
        <v/>
      </c>
      <c r="AL1081" s="214" t="str">
        <f t="shared" si="509"/>
        <v/>
      </c>
      <c r="AM1081" s="214" t="str">
        <f t="shared" si="510"/>
        <v/>
      </c>
      <c r="AN1081" s="213" t="str">
        <f t="shared" si="493"/>
        <v>2011</v>
      </c>
      <c r="AO1081" s="213" t="str">
        <f t="shared" si="494"/>
        <v>2011</v>
      </c>
      <c r="AP1081" s="213" t="str">
        <f t="shared" si="495"/>
        <v>2011</v>
      </c>
      <c r="AQ1081" s="215" t="str">
        <f t="shared" si="496"/>
        <v/>
      </c>
      <c r="AR1081" s="216" t="str">
        <f t="shared" si="497"/>
        <v>BiK82a1K11y-05</v>
      </c>
      <c r="AS1081" s="215" t="str">
        <f t="shared" si="498"/>
        <v/>
      </c>
      <c r="AT1081">
        <f t="shared" si="499"/>
        <v>14</v>
      </c>
      <c r="AU1081" s="216" t="str">
        <f t="shared" si="500"/>
        <v>0,15-0,5 MW, Bonusregeln a1, y und K erstmals 2011</v>
      </c>
      <c r="AV1081" s="215" t="str">
        <f t="shared" si="501"/>
        <v/>
      </c>
      <c r="AW1081" s="216" t="str">
        <f t="shared" si="502"/>
        <v>Anteil KWK, erstmals 2011</v>
      </c>
      <c r="AX1081" s="215" t="str">
        <f t="shared" si="503"/>
        <v/>
      </c>
      <c r="AY1081" t="str">
        <f t="shared" si="504"/>
        <v>x</v>
      </c>
      <c r="AZ1081" t="str">
        <f t="shared" si="505"/>
        <v/>
      </c>
    </row>
    <row r="1082" spans="1:52" s="178" customFormat="1" x14ac:dyDescent="0.25">
      <c r="A1082" s="625" t="s">
        <v>1576</v>
      </c>
      <c r="B1082" s="221" t="s">
        <v>5548</v>
      </c>
      <c r="C1082" s="221" t="s">
        <v>1288</v>
      </c>
      <c r="D1082" s="219" t="s">
        <v>7117</v>
      </c>
      <c r="E1082" s="219" t="s">
        <v>1980</v>
      </c>
      <c r="F1082" s="455">
        <f t="shared" si="512"/>
        <v>19.66</v>
      </c>
      <c r="G1082" s="530">
        <v>19.66</v>
      </c>
      <c r="H1082" s="488">
        <f t="shared" si="513"/>
        <v>15.73</v>
      </c>
      <c r="I1082" s="707"/>
      <c r="J1082" s="669" t="s">
        <v>5805</v>
      </c>
      <c r="K1082" s="15"/>
      <c r="L1082"/>
      <c r="M1082" s="49">
        <f t="shared" si="514"/>
        <v>19.66</v>
      </c>
      <c r="N1082" s="41">
        <v>9.75</v>
      </c>
      <c r="O1082" s="54"/>
      <c r="P1082" s="15"/>
      <c r="Q1082"/>
      <c r="R1082"/>
      <c r="S1082" t="s">
        <v>4180</v>
      </c>
      <c r="T1082" s="178" t="s">
        <v>1017</v>
      </c>
      <c r="U1082" s="55" t="s">
        <v>1017</v>
      </c>
      <c r="V1082" t="s">
        <v>1017</v>
      </c>
      <c r="W1082" s="65"/>
      <c r="X1082" s="65"/>
      <c r="Y1082"/>
      <c r="Z1082" s="65"/>
      <c r="AA1082"/>
      <c r="AB1082"/>
      <c r="AC1082" s="65"/>
      <c r="AD1082" s="92"/>
      <c r="AE1082" s="124"/>
      <c r="AF1082" s="65"/>
      <c r="AG1082" s="91"/>
      <c r="AH1082" s="217" t="s">
        <v>4179</v>
      </c>
      <c r="AI1082" s="214" t="str">
        <f t="shared" si="506"/>
        <v/>
      </c>
      <c r="AJ1082" s="214" t="str">
        <f t="shared" si="507"/>
        <v/>
      </c>
      <c r="AK1082" s="214" t="str">
        <f t="shared" si="508"/>
        <v/>
      </c>
      <c r="AL1082" s="214" t="str">
        <f t="shared" si="509"/>
        <v/>
      </c>
      <c r="AM1082" s="214" t="str">
        <f t="shared" si="510"/>
        <v/>
      </c>
      <c r="AN1082" s="213" t="str">
        <f t="shared" si="493"/>
        <v>2012</v>
      </c>
      <c r="AO1082" s="213" t="str">
        <f t="shared" si="494"/>
        <v>2012</v>
      </c>
      <c r="AP1082" s="213" t="str">
        <f t="shared" si="495"/>
        <v>2012</v>
      </c>
      <c r="AQ1082" s="215" t="str">
        <f t="shared" si="496"/>
        <v/>
      </c>
      <c r="AR1082" s="216" t="str">
        <f t="shared" si="497"/>
        <v>BiK82a1K12y-05</v>
      </c>
      <c r="AS1082" s="215" t="str">
        <f t="shared" si="498"/>
        <v/>
      </c>
      <c r="AT1082">
        <f t="shared" si="499"/>
        <v>14</v>
      </c>
      <c r="AU1082" s="216" t="str">
        <f t="shared" si="500"/>
        <v>0,15-0,5 MW, Bonusregeln a1, y und K erstmals 2012</v>
      </c>
      <c r="AV1082" s="215" t="str">
        <f t="shared" si="501"/>
        <v/>
      </c>
      <c r="AW1082" s="216" t="str">
        <f t="shared" si="502"/>
        <v>Anteil KWK, erstmals 2012</v>
      </c>
      <c r="AX1082" s="215" t="str">
        <f t="shared" si="503"/>
        <v/>
      </c>
      <c r="AY1082" t="str">
        <f t="shared" si="504"/>
        <v/>
      </c>
      <c r="AZ1082" t="str">
        <f t="shared" si="505"/>
        <v>x</v>
      </c>
    </row>
    <row r="1083" spans="1:52" s="178" customFormat="1" x14ac:dyDescent="0.25">
      <c r="A1083" s="610" t="s">
        <v>2454</v>
      </c>
      <c r="B1083" s="30" t="s">
        <v>5548</v>
      </c>
      <c r="C1083" s="30" t="s">
        <v>1288</v>
      </c>
      <c r="D1083" s="30" t="s">
        <v>7034</v>
      </c>
      <c r="E1083" s="30" t="s">
        <v>4810</v>
      </c>
      <c r="F1083" s="454">
        <f t="shared" si="512"/>
        <v>16.75</v>
      </c>
      <c r="G1083" s="529">
        <v>16.75</v>
      </c>
      <c r="H1083" s="487">
        <f t="shared" si="513"/>
        <v>13.4</v>
      </c>
      <c r="I1083" s="706"/>
      <c r="J1083" s="669" t="s">
        <v>5805</v>
      </c>
      <c r="K1083" s="15"/>
      <c r="L1083"/>
      <c r="M1083" s="49">
        <f t="shared" si="514"/>
        <v>16.75</v>
      </c>
      <c r="N1083" s="41">
        <v>9.75</v>
      </c>
      <c r="O1083" s="186"/>
      <c r="P1083" s="177"/>
      <c r="S1083" s="178" t="s">
        <v>4180</v>
      </c>
      <c r="T1083" s="178" t="s">
        <v>4180</v>
      </c>
      <c r="U1083" s="179"/>
      <c r="W1083" s="180"/>
      <c r="X1083" s="180"/>
      <c r="Y1083" s="178" t="s">
        <v>1017</v>
      </c>
      <c r="Z1083" s="180"/>
      <c r="AC1083" s="180"/>
      <c r="AD1083" s="182"/>
      <c r="AE1083" s="200"/>
      <c r="AF1083" s="180"/>
      <c r="AG1083" s="201"/>
      <c r="AH1083" s="212" t="str">
        <f t="shared" ref="AH1083:AH1088" si="515">IF(ISERROR(SEARCH("K erstmals 201",D1083)),"",RIGHT(D1083,4))</f>
        <v/>
      </c>
      <c r="AI1083" s="214" t="str">
        <f t="shared" si="506"/>
        <v/>
      </c>
      <c r="AJ1083" s="214" t="str">
        <f t="shared" si="507"/>
        <v/>
      </c>
      <c r="AK1083" s="214" t="str">
        <f t="shared" si="508"/>
        <v/>
      </c>
      <c r="AL1083" s="214" t="str">
        <f t="shared" si="509"/>
        <v/>
      </c>
      <c r="AM1083" s="214" t="str">
        <f t="shared" si="510"/>
        <v/>
      </c>
      <c r="AN1083" s="213" t="str">
        <f t="shared" si="493"/>
        <v/>
      </c>
      <c r="AO1083" s="213" t="str">
        <f t="shared" si="494"/>
        <v/>
      </c>
      <c r="AP1083" s="213" t="str">
        <f t="shared" si="495"/>
        <v/>
      </c>
      <c r="AQ1083" s="215" t="str">
        <f t="shared" si="496"/>
        <v/>
      </c>
      <c r="AR1083" s="216" t="str">
        <f t="shared" si="497"/>
        <v>BiK82G------05</v>
      </c>
      <c r="AS1083" s="215" t="str">
        <f t="shared" si="498"/>
        <v/>
      </c>
      <c r="AT1083">
        <f t="shared" si="499"/>
        <v>14</v>
      </c>
      <c r="AU1083" s="216" t="str">
        <f t="shared" si="500"/>
        <v>0,15-0,5 MW, Bonusregel G</v>
      </c>
      <c r="AV1083" s="215" t="str">
        <f t="shared" si="501"/>
        <v/>
      </c>
      <c r="AW1083" s="216" t="str">
        <f t="shared" si="502"/>
        <v>Anteil Nicht-KWK</v>
      </c>
      <c r="AX1083" s="215" t="str">
        <f t="shared" si="503"/>
        <v/>
      </c>
      <c r="AY1083" t="str">
        <f t="shared" si="504"/>
        <v/>
      </c>
      <c r="AZ1083" t="str">
        <f t="shared" si="505"/>
        <v/>
      </c>
    </row>
    <row r="1084" spans="1:52" s="178" customFormat="1" x14ac:dyDescent="0.25">
      <c r="A1084" s="610" t="s">
        <v>2455</v>
      </c>
      <c r="B1084" s="30" t="s">
        <v>5548</v>
      </c>
      <c r="C1084" s="30" t="s">
        <v>1288</v>
      </c>
      <c r="D1084" s="30" t="s">
        <v>7118</v>
      </c>
      <c r="E1084" s="30" t="s">
        <v>4812</v>
      </c>
      <c r="F1084" s="454">
        <f t="shared" si="512"/>
        <v>18.75</v>
      </c>
      <c r="G1084" s="529">
        <v>18.75</v>
      </c>
      <c r="H1084" s="487">
        <f t="shared" si="513"/>
        <v>15</v>
      </c>
      <c r="I1084" s="706"/>
      <c r="J1084" s="669" t="s">
        <v>5805</v>
      </c>
      <c r="K1084" s="15"/>
      <c r="L1084"/>
      <c r="M1084" s="49">
        <f t="shared" si="514"/>
        <v>18.75</v>
      </c>
      <c r="N1084" s="41">
        <v>9.75</v>
      </c>
      <c r="O1084" s="186" t="s">
        <v>1017</v>
      </c>
      <c r="P1084" s="177"/>
      <c r="S1084" s="178" t="s">
        <v>4180</v>
      </c>
      <c r="T1084" s="178" t="s">
        <v>4180</v>
      </c>
      <c r="U1084" s="179"/>
      <c r="W1084" s="180"/>
      <c r="X1084" s="180"/>
      <c r="Y1084" s="178" t="s">
        <v>1017</v>
      </c>
      <c r="Z1084" s="180"/>
      <c r="AC1084" s="180"/>
      <c r="AD1084" s="182"/>
      <c r="AE1084" s="200"/>
      <c r="AF1084" s="180"/>
      <c r="AG1084" s="201"/>
      <c r="AH1084" s="212" t="str">
        <f t="shared" si="515"/>
        <v/>
      </c>
      <c r="AI1084" s="214" t="str">
        <f t="shared" si="506"/>
        <v/>
      </c>
      <c r="AJ1084" s="214" t="str">
        <f t="shared" si="507"/>
        <v/>
      </c>
      <c r="AK1084" s="214" t="str">
        <f t="shared" si="508"/>
        <v/>
      </c>
      <c r="AL1084" s="214" t="str">
        <f t="shared" si="509"/>
        <v/>
      </c>
      <c r="AM1084" s="214" t="str">
        <f t="shared" si="510"/>
        <v/>
      </c>
      <c r="AN1084" s="213" t="str">
        <f t="shared" si="493"/>
        <v/>
      </c>
      <c r="AO1084" s="213" t="str">
        <f t="shared" si="494"/>
        <v/>
      </c>
      <c r="AP1084" s="213" t="str">
        <f t="shared" si="495"/>
        <v/>
      </c>
      <c r="AQ1084" s="215" t="str">
        <f t="shared" si="496"/>
        <v/>
      </c>
      <c r="AR1084" s="216" t="str">
        <f t="shared" si="497"/>
        <v>BiK82GKWK---05</v>
      </c>
      <c r="AS1084" s="215" t="str">
        <f t="shared" si="498"/>
        <v/>
      </c>
      <c r="AT1084">
        <f t="shared" si="499"/>
        <v>14</v>
      </c>
      <c r="AU1084" s="216" t="str">
        <f t="shared" si="500"/>
        <v>0,15-0,5 MW, Bonusregeln G und KWK</v>
      </c>
      <c r="AV1084" s="215" t="str">
        <f t="shared" si="501"/>
        <v/>
      </c>
      <c r="AW1084" s="216" t="str">
        <f t="shared" si="502"/>
        <v>Anteil KWK</v>
      </c>
      <c r="AX1084" s="215" t="str">
        <f t="shared" si="503"/>
        <v/>
      </c>
      <c r="AY1084" t="str">
        <f t="shared" si="504"/>
        <v/>
      </c>
      <c r="AZ1084" t="str">
        <f t="shared" si="505"/>
        <v/>
      </c>
    </row>
    <row r="1085" spans="1:52" s="178" customFormat="1" x14ac:dyDescent="0.25">
      <c r="A1085" s="610" t="s">
        <v>2456</v>
      </c>
      <c r="B1085" s="30" t="s">
        <v>5548</v>
      </c>
      <c r="C1085" s="30" t="s">
        <v>1288</v>
      </c>
      <c r="D1085" s="30" t="s">
        <v>7035</v>
      </c>
      <c r="E1085" s="30" t="s">
        <v>4331</v>
      </c>
      <c r="F1085" s="454">
        <f t="shared" si="512"/>
        <v>19.75</v>
      </c>
      <c r="G1085" s="529">
        <v>19.75</v>
      </c>
      <c r="H1085" s="487">
        <f t="shared" si="513"/>
        <v>15.8</v>
      </c>
      <c r="I1085" s="706"/>
      <c r="J1085" s="669" t="s">
        <v>5805</v>
      </c>
      <c r="K1085" s="15"/>
      <c r="L1085"/>
      <c r="M1085" s="49">
        <f t="shared" si="514"/>
        <v>19.75</v>
      </c>
      <c r="N1085" s="41">
        <v>9.75</v>
      </c>
      <c r="O1085" s="186"/>
      <c r="P1085" s="178" t="s">
        <v>1017</v>
      </c>
      <c r="S1085" s="178" t="s">
        <v>4180</v>
      </c>
      <c r="T1085" s="178" t="s">
        <v>4180</v>
      </c>
      <c r="U1085" s="179"/>
      <c r="W1085" s="180"/>
      <c r="X1085" s="180"/>
      <c r="Y1085" s="178" t="s">
        <v>1017</v>
      </c>
      <c r="Z1085" s="180"/>
      <c r="AC1085" s="180"/>
      <c r="AD1085" s="182"/>
      <c r="AE1085" s="200"/>
      <c r="AF1085" s="180"/>
      <c r="AG1085" s="201"/>
      <c r="AH1085" s="212" t="str">
        <f t="shared" si="515"/>
        <v/>
      </c>
      <c r="AI1085" s="214" t="str">
        <f t="shared" si="506"/>
        <v/>
      </c>
      <c r="AJ1085" s="214" t="str">
        <f t="shared" si="507"/>
        <v/>
      </c>
      <c r="AK1085" s="214" t="str">
        <f t="shared" si="508"/>
        <v/>
      </c>
      <c r="AL1085" s="214" t="str">
        <f t="shared" si="509"/>
        <v/>
      </c>
      <c r="AM1085" s="214" t="str">
        <f t="shared" si="510"/>
        <v/>
      </c>
      <c r="AN1085" s="213" t="str">
        <f t="shared" si="493"/>
        <v/>
      </c>
      <c r="AO1085" s="213" t="str">
        <f t="shared" si="494"/>
        <v/>
      </c>
      <c r="AP1085" s="213" t="str">
        <f t="shared" si="495"/>
        <v/>
      </c>
      <c r="AQ1085" s="215" t="str">
        <f t="shared" si="496"/>
        <v/>
      </c>
      <c r="AR1085" s="216" t="str">
        <f t="shared" si="497"/>
        <v>BiK82GKA3---05</v>
      </c>
      <c r="AS1085" s="215" t="str">
        <f t="shared" si="498"/>
        <v/>
      </c>
      <c r="AT1085">
        <f t="shared" si="499"/>
        <v>14</v>
      </c>
      <c r="AU1085" s="216" t="str">
        <f t="shared" si="500"/>
        <v>0,15-0,5 MW, Bonusregeln G und K wenn Anlage 3 erfüllt</v>
      </c>
      <c r="AV1085" s="215" t="str">
        <f t="shared" si="501"/>
        <v/>
      </c>
      <c r="AW1085" s="216" t="str">
        <f t="shared" si="502"/>
        <v>Anteil KWK gemäß Anlage 3</v>
      </c>
      <c r="AX1085" s="215" t="str">
        <f t="shared" si="503"/>
        <v/>
      </c>
      <c r="AY1085" t="str">
        <f t="shared" si="504"/>
        <v/>
      </c>
      <c r="AZ1085" t="str">
        <f t="shared" si="505"/>
        <v/>
      </c>
    </row>
    <row r="1086" spans="1:52" s="178" customFormat="1" x14ac:dyDescent="0.25">
      <c r="A1086" s="610" t="s">
        <v>2457</v>
      </c>
      <c r="B1086" s="30" t="s">
        <v>5548</v>
      </c>
      <c r="C1086" s="30" t="s">
        <v>1288</v>
      </c>
      <c r="D1086" s="30" t="s">
        <v>7036</v>
      </c>
      <c r="E1086" s="30" t="s">
        <v>674</v>
      </c>
      <c r="F1086" s="454">
        <f t="shared" si="512"/>
        <v>19.75</v>
      </c>
      <c r="G1086" s="529">
        <v>19.75</v>
      </c>
      <c r="H1086" s="487">
        <f t="shared" si="513"/>
        <v>15.8</v>
      </c>
      <c r="I1086" s="706"/>
      <c r="J1086" s="669" t="s">
        <v>5805</v>
      </c>
      <c r="K1086" s="15"/>
      <c r="L1086"/>
      <c r="M1086" s="49">
        <f t="shared" si="514"/>
        <v>19.75</v>
      </c>
      <c r="N1086" s="41">
        <v>9.75</v>
      </c>
      <c r="O1086" s="186"/>
      <c r="P1086" s="177"/>
      <c r="Q1086" s="178" t="s">
        <v>1017</v>
      </c>
      <c r="S1086" s="178" t="s">
        <v>4180</v>
      </c>
      <c r="T1086" s="178" t="s">
        <v>4180</v>
      </c>
      <c r="U1086" s="179"/>
      <c r="W1086" s="180"/>
      <c r="X1086" s="180"/>
      <c r="Y1086" s="178" t="s">
        <v>1017</v>
      </c>
      <c r="Z1086" s="180"/>
      <c r="AC1086" s="180"/>
      <c r="AD1086" s="182"/>
      <c r="AE1086" s="200"/>
      <c r="AF1086" s="180"/>
      <c r="AG1086" s="201"/>
      <c r="AH1086" s="212" t="str">
        <f t="shared" si="515"/>
        <v/>
      </c>
      <c r="AI1086" s="214" t="str">
        <f t="shared" si="506"/>
        <v/>
      </c>
      <c r="AJ1086" s="214" t="str">
        <f t="shared" si="507"/>
        <v/>
      </c>
      <c r="AK1086" s="214" t="str">
        <f t="shared" si="508"/>
        <v/>
      </c>
      <c r="AL1086" s="214" t="str">
        <f t="shared" si="509"/>
        <v/>
      </c>
      <c r="AM1086" s="214" t="str">
        <f t="shared" si="510"/>
        <v/>
      </c>
      <c r="AN1086" s="213" t="str">
        <f t="shared" si="493"/>
        <v/>
      </c>
      <c r="AO1086" s="213" t="str">
        <f t="shared" si="494"/>
        <v/>
      </c>
      <c r="AP1086" s="213" t="str">
        <f t="shared" si="495"/>
        <v/>
      </c>
      <c r="AQ1086" s="215" t="str">
        <f t="shared" si="496"/>
        <v/>
      </c>
      <c r="AR1086" s="216" t="str">
        <f t="shared" si="497"/>
        <v>BiK82GK09---05</v>
      </c>
      <c r="AS1086" s="215" t="str">
        <f t="shared" si="498"/>
        <v/>
      </c>
      <c r="AT1086">
        <f t="shared" si="499"/>
        <v>14</v>
      </c>
      <c r="AU1086" s="216" t="str">
        <f t="shared" si="500"/>
        <v>0,15-0,5 MW, Bonusregeln G und K erstmals 2009</v>
      </c>
      <c r="AV1086" s="215" t="str">
        <f t="shared" si="501"/>
        <v/>
      </c>
      <c r="AW1086" s="216" t="str">
        <f t="shared" si="502"/>
        <v>Anteil KWK, erstmals 2009</v>
      </c>
      <c r="AX1086" s="215" t="str">
        <f t="shared" si="503"/>
        <v/>
      </c>
      <c r="AY1086" t="str">
        <f t="shared" si="504"/>
        <v/>
      </c>
      <c r="AZ1086" t="str">
        <f t="shared" si="505"/>
        <v/>
      </c>
    </row>
    <row r="1087" spans="1:52" s="178" customFormat="1" x14ac:dyDescent="0.25">
      <c r="A1087" s="610" t="s">
        <v>3596</v>
      </c>
      <c r="B1087" s="30" t="s">
        <v>5548</v>
      </c>
      <c r="C1087" s="30" t="s">
        <v>1288</v>
      </c>
      <c r="D1087" s="30" t="s">
        <v>7037</v>
      </c>
      <c r="E1087" s="30" t="s">
        <v>3567</v>
      </c>
      <c r="F1087" s="454">
        <f t="shared" si="512"/>
        <v>19.72</v>
      </c>
      <c r="G1087" s="529">
        <v>19.72</v>
      </c>
      <c r="H1087" s="487">
        <f t="shared" si="513"/>
        <v>15.78</v>
      </c>
      <c r="I1087" s="706"/>
      <c r="J1087" s="669" t="s">
        <v>5805</v>
      </c>
      <c r="K1087" s="15"/>
      <c r="L1087"/>
      <c r="M1087" s="49">
        <f t="shared" si="514"/>
        <v>19.72</v>
      </c>
      <c r="N1087" s="41">
        <v>9.75</v>
      </c>
      <c r="O1087" s="186"/>
      <c r="P1087" s="177"/>
      <c r="R1087" s="178" t="s">
        <v>1017</v>
      </c>
      <c r="S1087" s="178" t="s">
        <v>4180</v>
      </c>
      <c r="T1087" s="178" t="s">
        <v>4180</v>
      </c>
      <c r="U1087" s="179"/>
      <c r="W1087" s="180"/>
      <c r="X1087" s="180"/>
      <c r="Y1087" s="178" t="s">
        <v>1017</v>
      </c>
      <c r="Z1087" s="180"/>
      <c r="AC1087" s="180"/>
      <c r="AD1087" s="182"/>
      <c r="AE1087" s="200"/>
      <c r="AF1087" s="180"/>
      <c r="AG1087" s="201"/>
      <c r="AH1087" s="212" t="str">
        <f t="shared" si="515"/>
        <v>2010</v>
      </c>
      <c r="AI1087" s="214" t="str">
        <f t="shared" si="506"/>
        <v/>
      </c>
      <c r="AJ1087" s="214" t="str">
        <f t="shared" si="507"/>
        <v/>
      </c>
      <c r="AK1087" s="214" t="str">
        <f t="shared" si="508"/>
        <v/>
      </c>
      <c r="AL1087" s="214" t="str">
        <f t="shared" si="509"/>
        <v/>
      </c>
      <c r="AM1087" s="214" t="str">
        <f t="shared" si="510"/>
        <v/>
      </c>
      <c r="AN1087" s="213" t="str">
        <f t="shared" si="493"/>
        <v>2010</v>
      </c>
      <c r="AO1087" s="213" t="str">
        <f t="shared" si="494"/>
        <v>2010</v>
      </c>
      <c r="AP1087" s="213" t="str">
        <f t="shared" si="495"/>
        <v>2010</v>
      </c>
      <c r="AQ1087" s="215" t="str">
        <f t="shared" si="496"/>
        <v/>
      </c>
      <c r="AR1087" s="216" t="str">
        <f t="shared" si="497"/>
        <v>BiK82GK10---05</v>
      </c>
      <c r="AS1087" s="215" t="str">
        <f t="shared" si="498"/>
        <v/>
      </c>
      <c r="AT1087">
        <f t="shared" si="499"/>
        <v>14</v>
      </c>
      <c r="AU1087" s="216" t="str">
        <f t="shared" si="500"/>
        <v>0,15-0,5 MW, Bonusregeln G und K erstmals 2010</v>
      </c>
      <c r="AV1087" s="215" t="str">
        <f t="shared" si="501"/>
        <v/>
      </c>
      <c r="AW1087" s="216" t="str">
        <f t="shared" si="502"/>
        <v>Anteil KWK, erstmals 2010</v>
      </c>
      <c r="AX1087" s="215" t="str">
        <f t="shared" si="503"/>
        <v/>
      </c>
      <c r="AY1087" t="str">
        <f t="shared" si="504"/>
        <v/>
      </c>
      <c r="AZ1087" t="str">
        <f t="shared" si="505"/>
        <v/>
      </c>
    </row>
    <row r="1088" spans="1:52" s="178" customFormat="1" x14ac:dyDescent="0.25">
      <c r="A1088" s="610" t="s">
        <v>5327</v>
      </c>
      <c r="B1088" s="30" t="s">
        <v>5548</v>
      </c>
      <c r="C1088" s="30" t="s">
        <v>1288</v>
      </c>
      <c r="D1088" s="30" t="s">
        <v>7038</v>
      </c>
      <c r="E1088" s="30" t="s">
        <v>3055</v>
      </c>
      <c r="F1088" s="454">
        <f t="shared" si="512"/>
        <v>19.689999999999998</v>
      </c>
      <c r="G1088" s="529">
        <v>19.689999999999998</v>
      </c>
      <c r="H1088" s="487">
        <f t="shared" si="513"/>
        <v>15.75</v>
      </c>
      <c r="I1088" s="706"/>
      <c r="J1088" s="669" t="s">
        <v>5805</v>
      </c>
      <c r="K1088" s="15"/>
      <c r="L1088"/>
      <c r="M1088" s="49">
        <f t="shared" si="514"/>
        <v>19.689999999999998</v>
      </c>
      <c r="N1088" s="41">
        <v>9.75</v>
      </c>
      <c r="O1088" s="186"/>
      <c r="P1088" s="177"/>
      <c r="S1088" s="178" t="s">
        <v>1017</v>
      </c>
      <c r="T1088" s="178" t="s">
        <v>4180</v>
      </c>
      <c r="U1088" s="179"/>
      <c r="W1088" s="180"/>
      <c r="X1088" s="180"/>
      <c r="Y1088" s="178" t="s">
        <v>1017</v>
      </c>
      <c r="Z1088" s="180"/>
      <c r="AC1088" s="180"/>
      <c r="AD1088" s="182"/>
      <c r="AE1088" s="200"/>
      <c r="AF1088" s="180"/>
      <c r="AG1088" s="201"/>
      <c r="AH1088" s="212" t="str">
        <f t="shared" si="515"/>
        <v>2011</v>
      </c>
      <c r="AI1088" s="214" t="str">
        <f t="shared" si="506"/>
        <v/>
      </c>
      <c r="AJ1088" s="214" t="str">
        <f t="shared" si="507"/>
        <v/>
      </c>
      <c r="AK1088" s="214" t="str">
        <f t="shared" si="508"/>
        <v/>
      </c>
      <c r="AL1088" s="214" t="str">
        <f t="shared" si="509"/>
        <v/>
      </c>
      <c r="AM1088" s="214" t="str">
        <f t="shared" si="510"/>
        <v/>
      </c>
      <c r="AN1088" s="213" t="str">
        <f t="shared" si="493"/>
        <v>2011</v>
      </c>
      <c r="AO1088" s="213" t="str">
        <f t="shared" si="494"/>
        <v>2011</v>
      </c>
      <c r="AP1088" s="213" t="str">
        <f t="shared" si="495"/>
        <v>2011</v>
      </c>
      <c r="AQ1088" s="215" t="str">
        <f t="shared" si="496"/>
        <v/>
      </c>
      <c r="AR1088" s="216" t="str">
        <f t="shared" si="497"/>
        <v>BiK82GK11---05</v>
      </c>
      <c r="AS1088" s="215" t="str">
        <f t="shared" si="498"/>
        <v/>
      </c>
      <c r="AT1088">
        <f t="shared" si="499"/>
        <v>14</v>
      </c>
      <c r="AU1088" s="216" t="str">
        <f t="shared" si="500"/>
        <v>0,15-0,5 MW, Bonusregeln G und K erstmals 2011</v>
      </c>
      <c r="AV1088" s="215" t="str">
        <f t="shared" si="501"/>
        <v/>
      </c>
      <c r="AW1088" s="216" t="str">
        <f t="shared" si="502"/>
        <v>Anteil KWK, erstmals 2011</v>
      </c>
      <c r="AX1088" s="215" t="str">
        <f t="shared" si="503"/>
        <v/>
      </c>
      <c r="AY1088" t="str">
        <f t="shared" si="504"/>
        <v>x</v>
      </c>
      <c r="AZ1088" t="str">
        <f t="shared" si="505"/>
        <v/>
      </c>
    </row>
    <row r="1089" spans="1:52" s="178" customFormat="1" x14ac:dyDescent="0.25">
      <c r="A1089" s="625" t="s">
        <v>1577</v>
      </c>
      <c r="B1089" s="219" t="s">
        <v>5548</v>
      </c>
      <c r="C1089" s="219" t="s">
        <v>1288</v>
      </c>
      <c r="D1089" s="219" t="s">
        <v>7039</v>
      </c>
      <c r="E1089" s="219" t="s">
        <v>1980</v>
      </c>
      <c r="F1089" s="455">
        <f t="shared" si="512"/>
        <v>19.66</v>
      </c>
      <c r="G1089" s="530">
        <v>19.66</v>
      </c>
      <c r="H1089" s="488">
        <f t="shared" si="513"/>
        <v>15.73</v>
      </c>
      <c r="I1089" s="707"/>
      <c r="J1089" s="669" t="s">
        <v>5805</v>
      </c>
      <c r="K1089" s="15"/>
      <c r="L1089"/>
      <c r="M1089" s="49">
        <f t="shared" si="514"/>
        <v>19.66</v>
      </c>
      <c r="N1089" s="41">
        <v>9.75</v>
      </c>
      <c r="O1089" s="186"/>
      <c r="P1089" s="177"/>
      <c r="S1089" s="178" t="s">
        <v>4180</v>
      </c>
      <c r="T1089" s="178" t="s">
        <v>1017</v>
      </c>
      <c r="U1089" s="179"/>
      <c r="W1089" s="180"/>
      <c r="X1089" s="180"/>
      <c r="Y1089" s="178" t="s">
        <v>1017</v>
      </c>
      <c r="Z1089" s="180"/>
      <c r="AC1089" s="180"/>
      <c r="AD1089" s="182"/>
      <c r="AE1089" s="200"/>
      <c r="AF1089" s="180"/>
      <c r="AG1089" s="201"/>
      <c r="AH1089" s="217" t="s">
        <v>4179</v>
      </c>
      <c r="AI1089" s="214" t="str">
        <f t="shared" si="506"/>
        <v/>
      </c>
      <c r="AJ1089" s="214" t="str">
        <f t="shared" si="507"/>
        <v/>
      </c>
      <c r="AK1089" s="214" t="str">
        <f t="shared" si="508"/>
        <v/>
      </c>
      <c r="AL1089" s="214" t="str">
        <f t="shared" si="509"/>
        <v/>
      </c>
      <c r="AM1089" s="214" t="str">
        <f t="shared" si="510"/>
        <v/>
      </c>
      <c r="AN1089" s="213" t="str">
        <f t="shared" si="493"/>
        <v>2012</v>
      </c>
      <c r="AO1089" s="213" t="str">
        <f t="shared" si="494"/>
        <v>2012</v>
      </c>
      <c r="AP1089" s="213" t="str">
        <f t="shared" si="495"/>
        <v>2012</v>
      </c>
      <c r="AQ1089" s="215" t="str">
        <f t="shared" si="496"/>
        <v/>
      </c>
      <c r="AR1089" s="216" t="str">
        <f t="shared" si="497"/>
        <v>BiK82GK12---05</v>
      </c>
      <c r="AS1089" s="215" t="str">
        <f t="shared" si="498"/>
        <v/>
      </c>
      <c r="AT1089">
        <f t="shared" si="499"/>
        <v>14</v>
      </c>
      <c r="AU1089" s="216" t="str">
        <f t="shared" si="500"/>
        <v>0,15-0,5 MW, Bonusregeln G und K erstmals 2012</v>
      </c>
      <c r="AV1089" s="215" t="str">
        <f t="shared" si="501"/>
        <v/>
      </c>
      <c r="AW1089" s="216" t="str">
        <f t="shared" si="502"/>
        <v>Anteil KWK, erstmals 2012</v>
      </c>
      <c r="AX1089" s="215" t="str">
        <f t="shared" si="503"/>
        <v/>
      </c>
      <c r="AY1089" t="str">
        <f t="shared" si="504"/>
        <v/>
      </c>
      <c r="AZ1089" t="str">
        <f t="shared" si="505"/>
        <v>x</v>
      </c>
    </row>
    <row r="1090" spans="1:52" s="178" customFormat="1" x14ac:dyDescent="0.25">
      <c r="A1090" s="610" t="s">
        <v>2458</v>
      </c>
      <c r="B1090" s="30" t="s">
        <v>5548</v>
      </c>
      <c r="C1090" s="30" t="s">
        <v>1288</v>
      </c>
      <c r="D1090" s="30" t="s">
        <v>7040</v>
      </c>
      <c r="E1090" s="30" t="s">
        <v>4810</v>
      </c>
      <c r="F1090" s="454">
        <f t="shared" si="512"/>
        <v>17.75</v>
      </c>
      <c r="G1090" s="529">
        <v>17.75</v>
      </c>
      <c r="H1090" s="487">
        <f t="shared" si="513"/>
        <v>14.2</v>
      </c>
      <c r="I1090" s="706"/>
      <c r="J1090" s="669" t="s">
        <v>5805</v>
      </c>
      <c r="K1090" s="15"/>
      <c r="L1090"/>
      <c r="M1090" s="49">
        <f t="shared" si="514"/>
        <v>17.75</v>
      </c>
      <c r="N1090" s="41">
        <v>9.75</v>
      </c>
      <c r="O1090" s="187"/>
      <c r="P1090" s="183"/>
      <c r="Q1090" s="184"/>
      <c r="R1090" s="184"/>
      <c r="S1090" s="184" t="s">
        <v>4180</v>
      </c>
      <c r="T1090" s="178" t="s">
        <v>4180</v>
      </c>
      <c r="U1090" s="185" t="s">
        <v>1017</v>
      </c>
      <c r="V1090" s="184"/>
      <c r="W1090" s="180"/>
      <c r="X1090" s="180"/>
      <c r="Y1090" s="184" t="s">
        <v>1017</v>
      </c>
      <c r="Z1090" s="180"/>
      <c r="AA1090" s="184"/>
      <c r="AB1090" s="184"/>
      <c r="AC1090" s="180"/>
      <c r="AD1090" s="182"/>
      <c r="AE1090" s="181"/>
      <c r="AF1090" s="180"/>
      <c r="AG1090" s="201"/>
      <c r="AH1090" s="212" t="str">
        <f t="shared" ref="AH1090:AH1095" si="516">IF(ISERROR(SEARCH("K erstmals 201",D1090)),"",RIGHT(D1090,4))</f>
        <v/>
      </c>
      <c r="AI1090" s="214" t="str">
        <f t="shared" si="506"/>
        <v/>
      </c>
      <c r="AJ1090" s="214" t="str">
        <f t="shared" si="507"/>
        <v/>
      </c>
      <c r="AK1090" s="214" t="str">
        <f t="shared" si="508"/>
        <v/>
      </c>
      <c r="AL1090" s="214" t="str">
        <f t="shared" si="509"/>
        <v/>
      </c>
      <c r="AM1090" s="214" t="str">
        <f t="shared" si="510"/>
        <v/>
      </c>
      <c r="AN1090" s="213" t="str">
        <f t="shared" si="493"/>
        <v/>
      </c>
      <c r="AO1090" s="213" t="str">
        <f t="shared" si="494"/>
        <v/>
      </c>
      <c r="AP1090" s="213" t="str">
        <f t="shared" si="495"/>
        <v/>
      </c>
      <c r="AQ1090" s="215" t="str">
        <f t="shared" si="496"/>
        <v/>
      </c>
      <c r="AR1090" s="216" t="str">
        <f t="shared" si="497"/>
        <v>BiK82Gy-----05</v>
      </c>
      <c r="AS1090" s="215" t="str">
        <f t="shared" si="498"/>
        <v/>
      </c>
      <c r="AT1090">
        <f t="shared" si="499"/>
        <v>14</v>
      </c>
      <c r="AU1090" s="216" t="str">
        <f t="shared" si="500"/>
        <v>0,15-0,5 MW, Bonusregel G, y</v>
      </c>
      <c r="AV1090" s="215" t="str">
        <f t="shared" si="501"/>
        <v/>
      </c>
      <c r="AW1090" s="216" t="str">
        <f t="shared" si="502"/>
        <v>Anteil Nicht-KWK</v>
      </c>
      <c r="AX1090" s="215" t="str">
        <f t="shared" si="503"/>
        <v/>
      </c>
      <c r="AY1090" t="str">
        <f t="shared" si="504"/>
        <v/>
      </c>
      <c r="AZ1090" t="str">
        <f t="shared" si="505"/>
        <v/>
      </c>
    </row>
    <row r="1091" spans="1:52" s="178" customFormat="1" x14ac:dyDescent="0.25">
      <c r="A1091" s="610" t="s">
        <v>2459</v>
      </c>
      <c r="B1091" s="30" t="s">
        <v>5548</v>
      </c>
      <c r="C1091" s="30" t="s">
        <v>1288</v>
      </c>
      <c r="D1091" s="30" t="s">
        <v>7119</v>
      </c>
      <c r="E1091" s="30" t="s">
        <v>4812</v>
      </c>
      <c r="F1091" s="454">
        <f t="shared" si="512"/>
        <v>19.75</v>
      </c>
      <c r="G1091" s="529">
        <v>19.75</v>
      </c>
      <c r="H1091" s="487">
        <f t="shared" si="513"/>
        <v>15.8</v>
      </c>
      <c r="I1091" s="706"/>
      <c r="J1091" s="669" t="s">
        <v>5805</v>
      </c>
      <c r="K1091" s="15"/>
      <c r="L1091"/>
      <c r="M1091" s="49">
        <f t="shared" si="514"/>
        <v>19.75</v>
      </c>
      <c r="N1091" s="41">
        <v>9.75</v>
      </c>
      <c r="O1091" s="187" t="s">
        <v>1017</v>
      </c>
      <c r="P1091" s="183"/>
      <c r="Q1091" s="184"/>
      <c r="R1091" s="184"/>
      <c r="S1091" s="184" t="s">
        <v>4180</v>
      </c>
      <c r="T1091" s="178" t="s">
        <v>4180</v>
      </c>
      <c r="U1091" s="185" t="s">
        <v>1017</v>
      </c>
      <c r="V1091" s="184"/>
      <c r="W1091" s="180"/>
      <c r="X1091" s="180"/>
      <c r="Y1091" s="184" t="s">
        <v>1017</v>
      </c>
      <c r="Z1091" s="180"/>
      <c r="AA1091" s="184"/>
      <c r="AB1091" s="184"/>
      <c r="AC1091" s="180"/>
      <c r="AD1091" s="182"/>
      <c r="AE1091" s="181"/>
      <c r="AF1091" s="180"/>
      <c r="AG1091" s="201"/>
      <c r="AH1091" s="212" t="str">
        <f t="shared" si="516"/>
        <v/>
      </c>
      <c r="AI1091" s="214" t="str">
        <f t="shared" si="506"/>
        <v/>
      </c>
      <c r="AJ1091" s="214" t="str">
        <f t="shared" si="507"/>
        <v/>
      </c>
      <c r="AK1091" s="214" t="str">
        <f t="shared" si="508"/>
        <v/>
      </c>
      <c r="AL1091" s="214" t="str">
        <f t="shared" si="509"/>
        <v/>
      </c>
      <c r="AM1091" s="214" t="str">
        <f t="shared" si="510"/>
        <v/>
      </c>
      <c r="AN1091" s="213" t="str">
        <f t="shared" si="493"/>
        <v/>
      </c>
      <c r="AO1091" s="213" t="str">
        <f t="shared" si="494"/>
        <v/>
      </c>
      <c r="AP1091" s="213" t="str">
        <f t="shared" si="495"/>
        <v/>
      </c>
      <c r="AQ1091" s="215" t="str">
        <f t="shared" si="496"/>
        <v/>
      </c>
      <c r="AR1091" s="216" t="str">
        <f t="shared" si="497"/>
        <v>BiK82GKWKy--05</v>
      </c>
      <c r="AS1091" s="215" t="str">
        <f t="shared" si="498"/>
        <v/>
      </c>
      <c r="AT1091">
        <f t="shared" si="499"/>
        <v>14</v>
      </c>
      <c r="AU1091" s="216" t="str">
        <f t="shared" si="500"/>
        <v>0,15-0,5 MW, Bonusregeln G, y und KWK</v>
      </c>
      <c r="AV1091" s="215" t="str">
        <f t="shared" si="501"/>
        <v/>
      </c>
      <c r="AW1091" s="216" t="str">
        <f t="shared" si="502"/>
        <v>Anteil KWK</v>
      </c>
      <c r="AX1091" s="215" t="str">
        <f t="shared" si="503"/>
        <v/>
      </c>
      <c r="AY1091" t="str">
        <f t="shared" si="504"/>
        <v/>
      </c>
      <c r="AZ1091" t="str">
        <f t="shared" si="505"/>
        <v/>
      </c>
    </row>
    <row r="1092" spans="1:52" s="178" customFormat="1" x14ac:dyDescent="0.25">
      <c r="A1092" s="610" t="s">
        <v>2460</v>
      </c>
      <c r="B1092" s="30" t="s">
        <v>5548</v>
      </c>
      <c r="C1092" s="30" t="s">
        <v>1288</v>
      </c>
      <c r="D1092" s="109" t="s">
        <v>7041</v>
      </c>
      <c r="E1092" s="30" t="s">
        <v>4331</v>
      </c>
      <c r="F1092" s="454">
        <f t="shared" si="512"/>
        <v>20.75</v>
      </c>
      <c r="G1092" s="529">
        <v>20.75</v>
      </c>
      <c r="H1092" s="487">
        <f t="shared" si="513"/>
        <v>16.600000000000001</v>
      </c>
      <c r="I1092" s="706"/>
      <c r="J1092" s="669" t="s">
        <v>5805</v>
      </c>
      <c r="K1092" s="15"/>
      <c r="L1092"/>
      <c r="M1092" s="49">
        <f t="shared" si="514"/>
        <v>20.75</v>
      </c>
      <c r="N1092" s="41">
        <v>9.75</v>
      </c>
      <c r="O1092" s="187"/>
      <c r="P1092" s="184" t="s">
        <v>1017</v>
      </c>
      <c r="Q1092" s="184"/>
      <c r="R1092" s="184"/>
      <c r="S1092" s="184" t="s">
        <v>4180</v>
      </c>
      <c r="T1092" s="178" t="s">
        <v>4180</v>
      </c>
      <c r="U1092" s="185" t="s">
        <v>1017</v>
      </c>
      <c r="V1092" s="184"/>
      <c r="W1092" s="180"/>
      <c r="X1092" s="180"/>
      <c r="Y1092" s="184" t="s">
        <v>1017</v>
      </c>
      <c r="Z1092" s="180"/>
      <c r="AA1092" s="184"/>
      <c r="AB1092" s="184"/>
      <c r="AC1092" s="180"/>
      <c r="AD1092" s="182"/>
      <c r="AE1092" s="181"/>
      <c r="AF1092" s="180"/>
      <c r="AG1092" s="201"/>
      <c r="AH1092" s="212" t="str">
        <f t="shared" si="516"/>
        <v/>
      </c>
      <c r="AI1092" s="214" t="str">
        <f t="shared" si="506"/>
        <v/>
      </c>
      <c r="AJ1092" s="214" t="str">
        <f t="shared" si="507"/>
        <v/>
      </c>
      <c r="AK1092" s="214" t="str">
        <f t="shared" si="508"/>
        <v/>
      </c>
      <c r="AL1092" s="214" t="str">
        <f t="shared" si="509"/>
        <v/>
      </c>
      <c r="AM1092" s="214" t="str">
        <f t="shared" si="510"/>
        <v/>
      </c>
      <c r="AN1092" s="213" t="str">
        <f t="shared" si="493"/>
        <v/>
      </c>
      <c r="AO1092" s="213" t="str">
        <f t="shared" si="494"/>
        <v/>
      </c>
      <c r="AP1092" s="213" t="str">
        <f t="shared" si="495"/>
        <v/>
      </c>
      <c r="AQ1092" s="215" t="str">
        <f t="shared" si="496"/>
        <v/>
      </c>
      <c r="AR1092" s="216" t="str">
        <f t="shared" si="497"/>
        <v>BiK82GKA3y--05</v>
      </c>
      <c r="AS1092" s="215" t="str">
        <f t="shared" si="498"/>
        <v/>
      </c>
      <c r="AT1092">
        <f t="shared" si="499"/>
        <v>14</v>
      </c>
      <c r="AU1092" s="216" t="str">
        <f t="shared" si="500"/>
        <v>0,15-0,5 MW, Bonusregeln G, y und K wenn Anlage 3 erfüllt</v>
      </c>
      <c r="AV1092" s="215" t="str">
        <f t="shared" si="501"/>
        <v/>
      </c>
      <c r="AW1092" s="216" t="str">
        <f t="shared" si="502"/>
        <v>Anteil KWK gemäß Anlage 3</v>
      </c>
      <c r="AX1092" s="215" t="str">
        <f t="shared" si="503"/>
        <v/>
      </c>
      <c r="AY1092" t="str">
        <f t="shared" si="504"/>
        <v/>
      </c>
      <c r="AZ1092" t="str">
        <f t="shared" si="505"/>
        <v/>
      </c>
    </row>
    <row r="1093" spans="1:52" s="178" customFormat="1" x14ac:dyDescent="0.25">
      <c r="A1093" s="610" t="s">
        <v>2461</v>
      </c>
      <c r="B1093" s="30" t="s">
        <v>5548</v>
      </c>
      <c r="C1093" s="30" t="s">
        <v>1288</v>
      </c>
      <c r="D1093" s="30" t="s">
        <v>7042</v>
      </c>
      <c r="E1093" s="30" t="s">
        <v>674</v>
      </c>
      <c r="F1093" s="454">
        <f t="shared" si="512"/>
        <v>20.75</v>
      </c>
      <c r="G1093" s="529">
        <v>20.75</v>
      </c>
      <c r="H1093" s="487">
        <f t="shared" si="513"/>
        <v>16.600000000000001</v>
      </c>
      <c r="I1093" s="706"/>
      <c r="J1093" s="669" t="s">
        <v>5805</v>
      </c>
      <c r="K1093" s="15"/>
      <c r="L1093"/>
      <c r="M1093" s="49">
        <f t="shared" si="514"/>
        <v>20.75</v>
      </c>
      <c r="N1093" s="41">
        <v>9.75</v>
      </c>
      <c r="O1093" s="187"/>
      <c r="P1093" s="183"/>
      <c r="Q1093" s="184" t="s">
        <v>1017</v>
      </c>
      <c r="R1093" s="184"/>
      <c r="S1093" s="184" t="s">
        <v>4180</v>
      </c>
      <c r="T1093" s="178" t="s">
        <v>4180</v>
      </c>
      <c r="U1093" s="185" t="s">
        <v>1017</v>
      </c>
      <c r="V1093" s="184"/>
      <c r="W1093" s="180"/>
      <c r="X1093" s="180"/>
      <c r="Y1093" s="184" t="s">
        <v>1017</v>
      </c>
      <c r="Z1093" s="180"/>
      <c r="AA1093" s="184"/>
      <c r="AB1093" s="184"/>
      <c r="AC1093" s="180"/>
      <c r="AD1093" s="182"/>
      <c r="AE1093" s="181"/>
      <c r="AF1093" s="180"/>
      <c r="AG1093" s="201"/>
      <c r="AH1093" s="212" t="str">
        <f t="shared" si="516"/>
        <v/>
      </c>
      <c r="AI1093" s="214" t="str">
        <f t="shared" si="506"/>
        <v/>
      </c>
      <c r="AJ1093" s="214" t="str">
        <f t="shared" si="507"/>
        <v/>
      </c>
      <c r="AK1093" s="214" t="str">
        <f t="shared" si="508"/>
        <v/>
      </c>
      <c r="AL1093" s="214" t="str">
        <f t="shared" si="509"/>
        <v/>
      </c>
      <c r="AM1093" s="214" t="str">
        <f t="shared" si="510"/>
        <v/>
      </c>
      <c r="AN1093" s="213" t="str">
        <f t="shared" si="493"/>
        <v/>
      </c>
      <c r="AO1093" s="213" t="str">
        <f t="shared" si="494"/>
        <v/>
      </c>
      <c r="AP1093" s="213" t="str">
        <f t="shared" si="495"/>
        <v/>
      </c>
      <c r="AQ1093" s="215" t="str">
        <f t="shared" si="496"/>
        <v/>
      </c>
      <c r="AR1093" s="216" t="str">
        <f t="shared" si="497"/>
        <v>BiK82GK09y--05</v>
      </c>
      <c r="AS1093" s="215" t="str">
        <f t="shared" si="498"/>
        <v/>
      </c>
      <c r="AT1093">
        <f t="shared" si="499"/>
        <v>14</v>
      </c>
      <c r="AU1093" s="216" t="str">
        <f t="shared" si="500"/>
        <v>0,15-0,5 MW, Bonusregeln G, y und K erstmals 2009</v>
      </c>
      <c r="AV1093" s="215" t="str">
        <f t="shared" si="501"/>
        <v/>
      </c>
      <c r="AW1093" s="216" t="str">
        <f t="shared" si="502"/>
        <v>Anteil KWK, erstmals 2009</v>
      </c>
      <c r="AX1093" s="215" t="str">
        <f t="shared" si="503"/>
        <v/>
      </c>
      <c r="AY1093" t="str">
        <f t="shared" si="504"/>
        <v/>
      </c>
      <c r="AZ1093" t="str">
        <f t="shared" si="505"/>
        <v/>
      </c>
    </row>
    <row r="1094" spans="1:52" s="178" customFormat="1" x14ac:dyDescent="0.25">
      <c r="A1094" s="610" t="s">
        <v>3597</v>
      </c>
      <c r="B1094" s="30" t="s">
        <v>5548</v>
      </c>
      <c r="C1094" s="30" t="s">
        <v>1288</v>
      </c>
      <c r="D1094" s="30" t="s">
        <v>7043</v>
      </c>
      <c r="E1094" s="30" t="s">
        <v>3567</v>
      </c>
      <c r="F1094" s="454">
        <f t="shared" si="512"/>
        <v>20.72</v>
      </c>
      <c r="G1094" s="529">
        <v>20.72</v>
      </c>
      <c r="H1094" s="487">
        <f t="shared" si="513"/>
        <v>16.579999999999998</v>
      </c>
      <c r="I1094" s="706"/>
      <c r="J1094" s="669" t="s">
        <v>5805</v>
      </c>
      <c r="K1094" s="15"/>
      <c r="L1094"/>
      <c r="M1094" s="49">
        <f t="shared" si="514"/>
        <v>20.72</v>
      </c>
      <c r="N1094" s="41">
        <v>9.75</v>
      </c>
      <c r="O1094" s="187"/>
      <c r="P1094" s="183"/>
      <c r="Q1094" s="184"/>
      <c r="R1094" s="184" t="s">
        <v>1017</v>
      </c>
      <c r="S1094" s="184" t="s">
        <v>4180</v>
      </c>
      <c r="T1094" s="178" t="s">
        <v>4180</v>
      </c>
      <c r="U1094" s="185" t="s">
        <v>1017</v>
      </c>
      <c r="V1094" s="184"/>
      <c r="W1094" s="180"/>
      <c r="X1094" s="180"/>
      <c r="Y1094" s="184" t="s">
        <v>1017</v>
      </c>
      <c r="Z1094" s="180"/>
      <c r="AA1094" s="184"/>
      <c r="AB1094" s="184"/>
      <c r="AC1094" s="180"/>
      <c r="AD1094" s="182"/>
      <c r="AE1094" s="181"/>
      <c r="AF1094" s="180"/>
      <c r="AG1094" s="201"/>
      <c r="AH1094" s="212" t="str">
        <f t="shared" si="516"/>
        <v>2010</v>
      </c>
      <c r="AI1094" s="214" t="str">
        <f t="shared" si="506"/>
        <v/>
      </c>
      <c r="AJ1094" s="214" t="str">
        <f t="shared" si="507"/>
        <v/>
      </c>
      <c r="AK1094" s="214" t="str">
        <f t="shared" si="508"/>
        <v/>
      </c>
      <c r="AL1094" s="214" t="str">
        <f t="shared" si="509"/>
        <v/>
      </c>
      <c r="AM1094" s="214" t="str">
        <f t="shared" si="510"/>
        <v/>
      </c>
      <c r="AN1094" s="213" t="str">
        <f t="shared" si="493"/>
        <v>2010</v>
      </c>
      <c r="AO1094" s="213" t="str">
        <f t="shared" si="494"/>
        <v>2010</v>
      </c>
      <c r="AP1094" s="213" t="str">
        <f t="shared" si="495"/>
        <v>2010</v>
      </c>
      <c r="AQ1094" s="215" t="str">
        <f t="shared" si="496"/>
        <v/>
      </c>
      <c r="AR1094" s="216" t="str">
        <f t="shared" si="497"/>
        <v>BiK82GK10y--05</v>
      </c>
      <c r="AS1094" s="215" t="str">
        <f t="shared" si="498"/>
        <v/>
      </c>
      <c r="AT1094">
        <f t="shared" si="499"/>
        <v>14</v>
      </c>
      <c r="AU1094" s="216" t="str">
        <f t="shared" si="500"/>
        <v>0,15-0,5 MW, Bonusregeln G, y und K erstmals 2010</v>
      </c>
      <c r="AV1094" s="215" t="str">
        <f t="shared" si="501"/>
        <v/>
      </c>
      <c r="AW1094" s="216" t="str">
        <f t="shared" si="502"/>
        <v>Anteil KWK, erstmals 2010</v>
      </c>
      <c r="AX1094" s="215" t="str">
        <f t="shared" si="503"/>
        <v/>
      </c>
      <c r="AY1094" t="str">
        <f t="shared" si="504"/>
        <v/>
      </c>
      <c r="AZ1094" t="str">
        <f t="shared" si="505"/>
        <v/>
      </c>
    </row>
    <row r="1095" spans="1:52" s="178" customFormat="1" x14ac:dyDescent="0.25">
      <c r="A1095" s="610" t="s">
        <v>5328</v>
      </c>
      <c r="B1095" s="30" t="s">
        <v>5548</v>
      </c>
      <c r="C1095" s="30" t="s">
        <v>1288</v>
      </c>
      <c r="D1095" s="30" t="s">
        <v>7044</v>
      </c>
      <c r="E1095" s="30" t="s">
        <v>3055</v>
      </c>
      <c r="F1095" s="454">
        <f t="shared" si="512"/>
        <v>20.689999999999998</v>
      </c>
      <c r="G1095" s="529">
        <v>20.689999999999998</v>
      </c>
      <c r="H1095" s="487">
        <f t="shared" si="513"/>
        <v>16.55</v>
      </c>
      <c r="I1095" s="706"/>
      <c r="J1095" s="669" t="s">
        <v>5805</v>
      </c>
      <c r="K1095" s="15"/>
      <c r="L1095"/>
      <c r="M1095" s="49">
        <f t="shared" si="514"/>
        <v>20.689999999999998</v>
      </c>
      <c r="N1095" s="41">
        <v>9.75</v>
      </c>
      <c r="O1095" s="187"/>
      <c r="P1095" s="183"/>
      <c r="Q1095" s="184"/>
      <c r="S1095" s="184" t="s">
        <v>1017</v>
      </c>
      <c r="T1095" s="178" t="s">
        <v>4180</v>
      </c>
      <c r="U1095" s="185" t="s">
        <v>1017</v>
      </c>
      <c r="V1095" s="184"/>
      <c r="W1095" s="180"/>
      <c r="X1095" s="180"/>
      <c r="Y1095" s="184" t="s">
        <v>1017</v>
      </c>
      <c r="Z1095" s="180"/>
      <c r="AA1095" s="184"/>
      <c r="AB1095" s="184"/>
      <c r="AC1095" s="180"/>
      <c r="AD1095" s="182"/>
      <c r="AE1095" s="181"/>
      <c r="AF1095" s="180"/>
      <c r="AG1095" s="201"/>
      <c r="AH1095" s="212" t="str">
        <f t="shared" si="516"/>
        <v>2011</v>
      </c>
      <c r="AI1095" s="214" t="str">
        <f t="shared" si="506"/>
        <v/>
      </c>
      <c r="AJ1095" s="214" t="str">
        <f t="shared" si="507"/>
        <v/>
      </c>
      <c r="AK1095" s="214" t="str">
        <f t="shared" si="508"/>
        <v/>
      </c>
      <c r="AL1095" s="214" t="str">
        <f t="shared" si="509"/>
        <v/>
      </c>
      <c r="AM1095" s="214" t="str">
        <f t="shared" si="510"/>
        <v/>
      </c>
      <c r="AN1095" s="213" t="str">
        <f t="shared" si="493"/>
        <v>2011</v>
      </c>
      <c r="AO1095" s="213" t="str">
        <f t="shared" si="494"/>
        <v>2011</v>
      </c>
      <c r="AP1095" s="213" t="str">
        <f t="shared" si="495"/>
        <v>2011</v>
      </c>
      <c r="AQ1095" s="215" t="str">
        <f t="shared" si="496"/>
        <v/>
      </c>
      <c r="AR1095" s="216" t="str">
        <f t="shared" si="497"/>
        <v>BiK82GK11y--05</v>
      </c>
      <c r="AS1095" s="215" t="str">
        <f t="shared" si="498"/>
        <v/>
      </c>
      <c r="AT1095">
        <f t="shared" si="499"/>
        <v>14</v>
      </c>
      <c r="AU1095" s="216" t="str">
        <f t="shared" si="500"/>
        <v>0,15-0,5 MW, Bonusregeln G, y und K erstmals 2011</v>
      </c>
      <c r="AV1095" s="215" t="str">
        <f t="shared" si="501"/>
        <v/>
      </c>
      <c r="AW1095" s="216" t="str">
        <f t="shared" si="502"/>
        <v>Anteil KWK, erstmals 2011</v>
      </c>
      <c r="AX1095" s="215" t="str">
        <f t="shared" si="503"/>
        <v/>
      </c>
      <c r="AY1095" t="str">
        <f t="shared" si="504"/>
        <v>x</v>
      </c>
      <c r="AZ1095" t="str">
        <f t="shared" si="505"/>
        <v/>
      </c>
    </row>
    <row r="1096" spans="1:52" s="178" customFormat="1" x14ac:dyDescent="0.25">
      <c r="A1096" s="625" t="s">
        <v>1578</v>
      </c>
      <c r="B1096" s="219" t="s">
        <v>5548</v>
      </c>
      <c r="C1096" s="219" t="s">
        <v>1288</v>
      </c>
      <c r="D1096" s="219" t="s">
        <v>7045</v>
      </c>
      <c r="E1096" s="219" t="s">
        <v>1980</v>
      </c>
      <c r="F1096" s="455">
        <f t="shared" si="512"/>
        <v>20.66</v>
      </c>
      <c r="G1096" s="530">
        <v>20.66</v>
      </c>
      <c r="H1096" s="488">
        <f t="shared" si="513"/>
        <v>16.53</v>
      </c>
      <c r="I1096" s="707"/>
      <c r="J1096" s="669" t="s">
        <v>5805</v>
      </c>
      <c r="K1096" s="15"/>
      <c r="L1096"/>
      <c r="M1096" s="49">
        <f t="shared" si="514"/>
        <v>20.66</v>
      </c>
      <c r="N1096" s="41">
        <v>9.75</v>
      </c>
      <c r="O1096" s="187"/>
      <c r="P1096" s="183"/>
      <c r="Q1096" s="184"/>
      <c r="S1096" s="184" t="s">
        <v>4180</v>
      </c>
      <c r="T1096" s="178" t="s">
        <v>1017</v>
      </c>
      <c r="U1096" s="185" t="s">
        <v>1017</v>
      </c>
      <c r="V1096" s="184"/>
      <c r="W1096" s="180"/>
      <c r="X1096" s="180"/>
      <c r="Y1096" s="184" t="s">
        <v>1017</v>
      </c>
      <c r="Z1096" s="180"/>
      <c r="AA1096" s="184"/>
      <c r="AB1096" s="184"/>
      <c r="AC1096" s="180"/>
      <c r="AD1096" s="182"/>
      <c r="AE1096" s="181"/>
      <c r="AF1096" s="180"/>
      <c r="AG1096" s="201"/>
      <c r="AH1096" s="217" t="s">
        <v>4179</v>
      </c>
      <c r="AI1096" s="214" t="str">
        <f t="shared" si="506"/>
        <v/>
      </c>
      <c r="AJ1096" s="214" t="str">
        <f t="shared" si="507"/>
        <v/>
      </c>
      <c r="AK1096" s="214" t="str">
        <f t="shared" si="508"/>
        <v/>
      </c>
      <c r="AL1096" s="214" t="str">
        <f t="shared" si="509"/>
        <v/>
      </c>
      <c r="AM1096" s="214" t="str">
        <f t="shared" si="510"/>
        <v/>
      </c>
      <c r="AN1096" s="213" t="str">
        <f t="shared" si="493"/>
        <v>2012</v>
      </c>
      <c r="AO1096" s="213" t="str">
        <f t="shared" si="494"/>
        <v>2012</v>
      </c>
      <c r="AP1096" s="213" t="str">
        <f t="shared" si="495"/>
        <v>2012</v>
      </c>
      <c r="AQ1096" s="215" t="str">
        <f t="shared" si="496"/>
        <v/>
      </c>
      <c r="AR1096" s="216" t="str">
        <f t="shared" si="497"/>
        <v>BiK82GK12y--05</v>
      </c>
      <c r="AS1096" s="215" t="str">
        <f t="shared" si="498"/>
        <v/>
      </c>
      <c r="AT1096">
        <f t="shared" si="499"/>
        <v>14</v>
      </c>
      <c r="AU1096" s="216" t="str">
        <f t="shared" si="500"/>
        <v>0,15-0,5 MW, Bonusregeln G, y und K erstmals 2012</v>
      </c>
      <c r="AV1096" s="215" t="str">
        <f t="shared" si="501"/>
        <v/>
      </c>
      <c r="AW1096" s="216" t="str">
        <f t="shared" si="502"/>
        <v>Anteil KWK, erstmals 2012</v>
      </c>
      <c r="AX1096" s="215" t="str">
        <f t="shared" si="503"/>
        <v/>
      </c>
      <c r="AY1096" t="str">
        <f t="shared" si="504"/>
        <v/>
      </c>
      <c r="AZ1096" t="str">
        <f t="shared" si="505"/>
        <v>x</v>
      </c>
    </row>
    <row r="1097" spans="1:52" s="178" customFormat="1" x14ac:dyDescent="0.25">
      <c r="A1097" s="610" t="s">
        <v>2462</v>
      </c>
      <c r="B1097" s="30" t="s">
        <v>5548</v>
      </c>
      <c r="C1097" s="30" t="s">
        <v>1288</v>
      </c>
      <c r="D1097" s="30" t="s">
        <v>7046</v>
      </c>
      <c r="E1097" s="30" t="s">
        <v>4810</v>
      </c>
      <c r="F1097" s="454">
        <f t="shared" si="512"/>
        <v>17.75</v>
      </c>
      <c r="G1097" s="529">
        <v>17.75</v>
      </c>
      <c r="H1097" s="487">
        <f t="shared" si="513"/>
        <v>14.2</v>
      </c>
      <c r="I1097" s="706"/>
      <c r="J1097" s="669" t="s">
        <v>5805</v>
      </c>
      <c r="K1097" s="15"/>
      <c r="L1097"/>
      <c r="M1097" s="49">
        <f t="shared" si="514"/>
        <v>17.75</v>
      </c>
      <c r="N1097" s="41">
        <v>9.75</v>
      </c>
      <c r="O1097" s="186"/>
      <c r="P1097" s="177"/>
      <c r="S1097" s="178" t="s">
        <v>4180</v>
      </c>
      <c r="T1097" s="178" t="s">
        <v>4180</v>
      </c>
      <c r="U1097" s="179"/>
      <c r="W1097" s="180"/>
      <c r="X1097" s="180"/>
      <c r="Z1097" s="180"/>
      <c r="AA1097" s="178" t="s">
        <v>1017</v>
      </c>
      <c r="AC1097" s="180"/>
      <c r="AD1097" s="182"/>
      <c r="AE1097" s="200"/>
      <c r="AF1097" s="180"/>
      <c r="AG1097" s="201"/>
      <c r="AH1097" s="212" t="str">
        <f t="shared" ref="AH1097:AH1102" si="517">IF(ISERROR(SEARCH("K erstmals 201",D1097)),"",RIGHT(D1097,4))</f>
        <v/>
      </c>
      <c r="AI1097" s="214" t="str">
        <f t="shared" si="506"/>
        <v/>
      </c>
      <c r="AJ1097" s="214" t="str">
        <f t="shared" si="507"/>
        <v/>
      </c>
      <c r="AK1097" s="214" t="str">
        <f t="shared" si="508"/>
        <v/>
      </c>
      <c r="AL1097" s="214" t="str">
        <f t="shared" si="509"/>
        <v/>
      </c>
      <c r="AM1097" s="214" t="str">
        <f t="shared" si="510"/>
        <v/>
      </c>
      <c r="AN1097" s="213" t="str">
        <f t="shared" si="493"/>
        <v/>
      </c>
      <c r="AO1097" s="213" t="str">
        <f t="shared" si="494"/>
        <v/>
      </c>
      <c r="AP1097" s="213" t="str">
        <f t="shared" si="495"/>
        <v/>
      </c>
      <c r="AQ1097" s="215" t="str">
        <f t="shared" si="496"/>
        <v/>
      </c>
      <c r="AR1097" s="216" t="str">
        <f t="shared" si="497"/>
        <v>BiK82M2-----05</v>
      </c>
      <c r="AS1097" s="215" t="str">
        <f t="shared" si="498"/>
        <v/>
      </c>
      <c r="AT1097">
        <f t="shared" si="499"/>
        <v>14</v>
      </c>
      <c r="AU1097" s="216" t="str">
        <f t="shared" si="500"/>
        <v>0,15-0,5 MW, Bonusregel M2</v>
      </c>
      <c r="AV1097" s="215" t="str">
        <f t="shared" si="501"/>
        <v/>
      </c>
      <c r="AW1097" s="216" t="str">
        <f t="shared" si="502"/>
        <v>Anteil Nicht-KWK</v>
      </c>
      <c r="AX1097" s="215" t="str">
        <f t="shared" si="503"/>
        <v/>
      </c>
      <c r="AY1097" t="str">
        <f t="shared" si="504"/>
        <v/>
      </c>
      <c r="AZ1097" t="str">
        <f t="shared" si="505"/>
        <v/>
      </c>
    </row>
    <row r="1098" spans="1:52" s="178" customFormat="1" x14ac:dyDescent="0.25">
      <c r="A1098" s="610" t="s">
        <v>2463</v>
      </c>
      <c r="B1098" s="30" t="s">
        <v>5548</v>
      </c>
      <c r="C1098" s="30" t="s">
        <v>1288</v>
      </c>
      <c r="D1098" s="30" t="s">
        <v>7120</v>
      </c>
      <c r="E1098" s="30" t="s">
        <v>4812</v>
      </c>
      <c r="F1098" s="454">
        <f t="shared" si="512"/>
        <v>19.75</v>
      </c>
      <c r="G1098" s="529">
        <v>19.75</v>
      </c>
      <c r="H1098" s="487">
        <f t="shared" si="513"/>
        <v>15.8</v>
      </c>
      <c r="I1098" s="706"/>
      <c r="J1098" s="669" t="s">
        <v>5805</v>
      </c>
      <c r="K1098" s="15"/>
      <c r="L1098"/>
      <c r="M1098" s="49">
        <f t="shared" si="514"/>
        <v>19.75</v>
      </c>
      <c r="N1098" s="41">
        <v>9.75</v>
      </c>
      <c r="O1098" s="186" t="s">
        <v>1017</v>
      </c>
      <c r="P1098" s="177"/>
      <c r="S1098" s="178" t="s">
        <v>4180</v>
      </c>
      <c r="T1098" s="178" t="s">
        <v>4180</v>
      </c>
      <c r="U1098" s="179"/>
      <c r="W1098" s="180"/>
      <c r="X1098" s="180"/>
      <c r="Z1098" s="180"/>
      <c r="AA1098" s="178" t="s">
        <v>1017</v>
      </c>
      <c r="AC1098" s="180"/>
      <c r="AD1098" s="182"/>
      <c r="AE1098" s="200"/>
      <c r="AF1098" s="180"/>
      <c r="AG1098" s="201"/>
      <c r="AH1098" s="212" t="str">
        <f t="shared" si="517"/>
        <v/>
      </c>
      <c r="AI1098" s="214" t="str">
        <f t="shared" si="506"/>
        <v/>
      </c>
      <c r="AJ1098" s="214" t="str">
        <f t="shared" si="507"/>
        <v/>
      </c>
      <c r="AK1098" s="214" t="str">
        <f t="shared" si="508"/>
        <v/>
      </c>
      <c r="AL1098" s="214" t="str">
        <f t="shared" si="509"/>
        <v/>
      </c>
      <c r="AM1098" s="214" t="str">
        <f t="shared" si="510"/>
        <v/>
      </c>
      <c r="AN1098" s="213" t="str">
        <f t="shared" si="493"/>
        <v/>
      </c>
      <c r="AO1098" s="213" t="str">
        <f t="shared" si="494"/>
        <v/>
      </c>
      <c r="AP1098" s="213" t="str">
        <f t="shared" si="495"/>
        <v/>
      </c>
      <c r="AQ1098" s="215" t="str">
        <f t="shared" si="496"/>
        <v/>
      </c>
      <c r="AR1098" s="216" t="str">
        <f t="shared" si="497"/>
        <v>BiK82M2KWK--05</v>
      </c>
      <c r="AS1098" s="215" t="str">
        <f t="shared" si="498"/>
        <v/>
      </c>
      <c r="AT1098">
        <f t="shared" si="499"/>
        <v>14</v>
      </c>
      <c r="AU1098" s="216" t="str">
        <f t="shared" si="500"/>
        <v>0,15-0,5 MW, Bonusregeln M2 und KWK</v>
      </c>
      <c r="AV1098" s="215" t="str">
        <f t="shared" si="501"/>
        <v/>
      </c>
      <c r="AW1098" s="216" t="str">
        <f t="shared" si="502"/>
        <v>Anteil KWK</v>
      </c>
      <c r="AX1098" s="215" t="str">
        <f t="shared" si="503"/>
        <v/>
      </c>
      <c r="AY1098" t="str">
        <f t="shared" si="504"/>
        <v/>
      </c>
      <c r="AZ1098" t="str">
        <f t="shared" si="505"/>
        <v/>
      </c>
    </row>
    <row r="1099" spans="1:52" s="178" customFormat="1" x14ac:dyDescent="0.25">
      <c r="A1099" s="610" t="s">
        <v>2464</v>
      </c>
      <c r="B1099" s="30" t="s">
        <v>5548</v>
      </c>
      <c r="C1099" s="30" t="s">
        <v>1288</v>
      </c>
      <c r="D1099" s="30" t="s">
        <v>7047</v>
      </c>
      <c r="E1099" s="30" t="s">
        <v>4331</v>
      </c>
      <c r="F1099" s="454">
        <f t="shared" si="512"/>
        <v>20.75</v>
      </c>
      <c r="G1099" s="529">
        <v>20.75</v>
      </c>
      <c r="H1099" s="487">
        <f t="shared" si="513"/>
        <v>16.600000000000001</v>
      </c>
      <c r="I1099" s="706"/>
      <c r="J1099" s="669" t="s">
        <v>5805</v>
      </c>
      <c r="K1099" s="15"/>
      <c r="L1099"/>
      <c r="M1099" s="49">
        <f t="shared" si="514"/>
        <v>20.75</v>
      </c>
      <c r="N1099" s="41">
        <v>9.75</v>
      </c>
      <c r="O1099" s="186"/>
      <c r="P1099" s="178" t="s">
        <v>1017</v>
      </c>
      <c r="S1099" s="178" t="s">
        <v>4180</v>
      </c>
      <c r="T1099" s="178" t="s">
        <v>4180</v>
      </c>
      <c r="U1099" s="179"/>
      <c r="W1099" s="180"/>
      <c r="X1099" s="180"/>
      <c r="Z1099" s="180"/>
      <c r="AA1099" s="178" t="s">
        <v>1017</v>
      </c>
      <c r="AC1099" s="180"/>
      <c r="AD1099" s="182"/>
      <c r="AE1099" s="200"/>
      <c r="AF1099" s="180"/>
      <c r="AG1099" s="201"/>
      <c r="AH1099" s="212" t="str">
        <f t="shared" si="517"/>
        <v/>
      </c>
      <c r="AI1099" s="214" t="str">
        <f t="shared" si="506"/>
        <v/>
      </c>
      <c r="AJ1099" s="214" t="str">
        <f t="shared" si="507"/>
        <v/>
      </c>
      <c r="AK1099" s="214" t="str">
        <f t="shared" si="508"/>
        <v/>
      </c>
      <c r="AL1099" s="214" t="str">
        <f t="shared" si="509"/>
        <v/>
      </c>
      <c r="AM1099" s="214" t="str">
        <f t="shared" si="510"/>
        <v/>
      </c>
      <c r="AN1099" s="213" t="str">
        <f t="shared" si="493"/>
        <v/>
      </c>
      <c r="AO1099" s="213" t="str">
        <f t="shared" si="494"/>
        <v/>
      </c>
      <c r="AP1099" s="213" t="str">
        <f t="shared" si="495"/>
        <v/>
      </c>
      <c r="AQ1099" s="215" t="str">
        <f t="shared" si="496"/>
        <v/>
      </c>
      <c r="AR1099" s="216" t="str">
        <f t="shared" si="497"/>
        <v>BiK82M2KA3--05</v>
      </c>
      <c r="AS1099" s="215" t="str">
        <f t="shared" si="498"/>
        <v/>
      </c>
      <c r="AT1099">
        <f t="shared" si="499"/>
        <v>14</v>
      </c>
      <c r="AU1099" s="216" t="str">
        <f t="shared" si="500"/>
        <v>0,15-0,5 MW, Bonusregeln M2 und K wenn Anlage 3 erfüllt</v>
      </c>
      <c r="AV1099" s="215" t="str">
        <f t="shared" si="501"/>
        <v/>
      </c>
      <c r="AW1099" s="216" t="str">
        <f t="shared" si="502"/>
        <v>Anteil KWK gemäß Anlage 3</v>
      </c>
      <c r="AX1099" s="215" t="str">
        <f t="shared" si="503"/>
        <v/>
      </c>
      <c r="AY1099" t="str">
        <f t="shared" si="504"/>
        <v/>
      </c>
      <c r="AZ1099" t="str">
        <f t="shared" si="505"/>
        <v/>
      </c>
    </row>
    <row r="1100" spans="1:52" s="178" customFormat="1" x14ac:dyDescent="0.25">
      <c r="A1100" s="610" t="s">
        <v>2465</v>
      </c>
      <c r="B1100" s="30" t="s">
        <v>5548</v>
      </c>
      <c r="C1100" s="30" t="s">
        <v>1288</v>
      </c>
      <c r="D1100" s="30" t="s">
        <v>7121</v>
      </c>
      <c r="E1100" s="30" t="s">
        <v>674</v>
      </c>
      <c r="F1100" s="454">
        <f t="shared" si="512"/>
        <v>20.75</v>
      </c>
      <c r="G1100" s="529">
        <v>20.75</v>
      </c>
      <c r="H1100" s="487">
        <f t="shared" si="513"/>
        <v>16.600000000000001</v>
      </c>
      <c r="I1100" s="706"/>
      <c r="J1100" s="669" t="s">
        <v>5805</v>
      </c>
      <c r="K1100" s="15"/>
      <c r="L1100"/>
      <c r="M1100" s="49">
        <f t="shared" si="514"/>
        <v>20.75</v>
      </c>
      <c r="N1100" s="41">
        <v>9.75</v>
      </c>
      <c r="O1100" s="186"/>
      <c r="P1100" s="177"/>
      <c r="Q1100" s="178" t="s">
        <v>1017</v>
      </c>
      <c r="S1100" s="178" t="s">
        <v>4180</v>
      </c>
      <c r="T1100" s="178" t="s">
        <v>4180</v>
      </c>
      <c r="U1100" s="179"/>
      <c r="W1100" s="180"/>
      <c r="X1100" s="180"/>
      <c r="Z1100" s="180"/>
      <c r="AA1100" s="178" t="s">
        <v>1017</v>
      </c>
      <c r="AC1100" s="180"/>
      <c r="AD1100" s="182"/>
      <c r="AE1100" s="200"/>
      <c r="AF1100" s="180"/>
      <c r="AG1100" s="201"/>
      <c r="AH1100" s="212" t="str">
        <f t="shared" si="517"/>
        <v/>
      </c>
      <c r="AI1100" s="214" t="str">
        <f t="shared" si="506"/>
        <v/>
      </c>
      <c r="AJ1100" s="214" t="str">
        <f t="shared" si="507"/>
        <v/>
      </c>
      <c r="AK1100" s="214" t="str">
        <f t="shared" si="508"/>
        <v/>
      </c>
      <c r="AL1100" s="214" t="str">
        <f t="shared" si="509"/>
        <v/>
      </c>
      <c r="AM1100" s="214" t="str">
        <f t="shared" si="510"/>
        <v/>
      </c>
      <c r="AN1100" s="213" t="str">
        <f t="shared" si="493"/>
        <v/>
      </c>
      <c r="AO1100" s="213" t="str">
        <f t="shared" si="494"/>
        <v/>
      </c>
      <c r="AP1100" s="213" t="str">
        <f t="shared" si="495"/>
        <v/>
      </c>
      <c r="AQ1100" s="215" t="str">
        <f t="shared" si="496"/>
        <v/>
      </c>
      <c r="AR1100" s="216" t="str">
        <f t="shared" si="497"/>
        <v>BiK82M2K09--05</v>
      </c>
      <c r="AS1100" s="215" t="str">
        <f t="shared" si="498"/>
        <v/>
      </c>
      <c r="AT1100">
        <f t="shared" si="499"/>
        <v>14</v>
      </c>
      <c r="AU1100" s="216" t="str">
        <f t="shared" si="500"/>
        <v>0,15-0,5 MW, Bonusregeln M2, K erstmals 2009</v>
      </c>
      <c r="AV1100" s="215" t="str">
        <f t="shared" si="501"/>
        <v/>
      </c>
      <c r="AW1100" s="216" t="str">
        <f t="shared" si="502"/>
        <v>Anteil KWK, erstmals 2009</v>
      </c>
      <c r="AX1100" s="215" t="str">
        <f t="shared" si="503"/>
        <v/>
      </c>
      <c r="AY1100" t="str">
        <f t="shared" si="504"/>
        <v/>
      </c>
      <c r="AZ1100" t="str">
        <f t="shared" si="505"/>
        <v/>
      </c>
    </row>
    <row r="1101" spans="1:52" s="178" customFormat="1" x14ac:dyDescent="0.25">
      <c r="A1101" s="610" t="s">
        <v>3598</v>
      </c>
      <c r="B1101" s="30" t="s">
        <v>5548</v>
      </c>
      <c r="C1101" s="30" t="s">
        <v>1288</v>
      </c>
      <c r="D1101" s="30" t="s">
        <v>7122</v>
      </c>
      <c r="E1101" s="30" t="s">
        <v>3567</v>
      </c>
      <c r="F1101" s="454">
        <f t="shared" si="512"/>
        <v>20.72</v>
      </c>
      <c r="G1101" s="529">
        <v>20.72</v>
      </c>
      <c r="H1101" s="487">
        <f t="shared" si="513"/>
        <v>16.579999999999998</v>
      </c>
      <c r="I1101" s="706"/>
      <c r="J1101" s="669" t="s">
        <v>5805</v>
      </c>
      <c r="K1101" s="15"/>
      <c r="L1101"/>
      <c r="M1101" s="49">
        <f t="shared" si="514"/>
        <v>20.72</v>
      </c>
      <c r="N1101" s="41">
        <v>9.75</v>
      </c>
      <c r="O1101" s="186"/>
      <c r="P1101" s="177"/>
      <c r="R1101" s="178" t="s">
        <v>1017</v>
      </c>
      <c r="S1101" s="178" t="s">
        <v>4180</v>
      </c>
      <c r="T1101" s="178" t="s">
        <v>4180</v>
      </c>
      <c r="U1101" s="179"/>
      <c r="W1101" s="180"/>
      <c r="X1101" s="180"/>
      <c r="Z1101" s="180"/>
      <c r="AA1101" s="178" t="s">
        <v>1017</v>
      </c>
      <c r="AC1101" s="180"/>
      <c r="AD1101" s="182"/>
      <c r="AE1101" s="200"/>
      <c r="AF1101" s="180"/>
      <c r="AG1101" s="201"/>
      <c r="AH1101" s="212" t="str">
        <f t="shared" si="517"/>
        <v>2010</v>
      </c>
      <c r="AI1101" s="214" t="str">
        <f t="shared" si="506"/>
        <v/>
      </c>
      <c r="AJ1101" s="214" t="str">
        <f t="shared" si="507"/>
        <v/>
      </c>
      <c r="AK1101" s="214" t="str">
        <f t="shared" si="508"/>
        <v/>
      </c>
      <c r="AL1101" s="214" t="str">
        <f t="shared" si="509"/>
        <v/>
      </c>
      <c r="AM1101" s="214" t="str">
        <f t="shared" si="510"/>
        <v/>
      </c>
      <c r="AN1101" s="213" t="str">
        <f t="shared" si="493"/>
        <v>2010</v>
      </c>
      <c r="AO1101" s="213" t="str">
        <f t="shared" si="494"/>
        <v>2010</v>
      </c>
      <c r="AP1101" s="213" t="str">
        <f t="shared" si="495"/>
        <v>2010</v>
      </c>
      <c r="AQ1101" s="215" t="str">
        <f t="shared" si="496"/>
        <v/>
      </c>
      <c r="AR1101" s="216" t="str">
        <f t="shared" si="497"/>
        <v>BiK82M2K10--05</v>
      </c>
      <c r="AS1101" s="215" t="str">
        <f t="shared" si="498"/>
        <v/>
      </c>
      <c r="AT1101">
        <f t="shared" si="499"/>
        <v>14</v>
      </c>
      <c r="AU1101" s="216" t="str">
        <f t="shared" si="500"/>
        <v>0,15-0,5 MW, Bonusregeln M2, K erstmals 2010</v>
      </c>
      <c r="AV1101" s="215" t="str">
        <f t="shared" si="501"/>
        <v/>
      </c>
      <c r="AW1101" s="216" t="str">
        <f t="shared" si="502"/>
        <v>Anteil KWK, erstmals 2010</v>
      </c>
      <c r="AX1101" s="215" t="str">
        <f t="shared" si="503"/>
        <v/>
      </c>
      <c r="AY1101" t="str">
        <f t="shared" si="504"/>
        <v/>
      </c>
      <c r="AZ1101" t="str">
        <f t="shared" si="505"/>
        <v/>
      </c>
    </row>
    <row r="1102" spans="1:52" s="178" customFormat="1" x14ac:dyDescent="0.25">
      <c r="A1102" s="610" t="s">
        <v>5329</v>
      </c>
      <c r="B1102" s="30" t="s">
        <v>5548</v>
      </c>
      <c r="C1102" s="30" t="s">
        <v>1288</v>
      </c>
      <c r="D1102" s="30" t="s">
        <v>7123</v>
      </c>
      <c r="E1102" s="30" t="s">
        <v>3055</v>
      </c>
      <c r="F1102" s="454">
        <f t="shared" si="512"/>
        <v>20.689999999999998</v>
      </c>
      <c r="G1102" s="529">
        <v>20.689999999999998</v>
      </c>
      <c r="H1102" s="487">
        <f t="shared" si="513"/>
        <v>16.55</v>
      </c>
      <c r="I1102" s="706"/>
      <c r="J1102" s="669" t="s">
        <v>5805</v>
      </c>
      <c r="K1102" s="15"/>
      <c r="L1102"/>
      <c r="M1102" s="49">
        <f t="shared" si="514"/>
        <v>20.689999999999998</v>
      </c>
      <c r="N1102" s="41">
        <v>9.75</v>
      </c>
      <c r="O1102" s="186"/>
      <c r="P1102" s="177"/>
      <c r="S1102" s="178" t="s">
        <v>1017</v>
      </c>
      <c r="T1102" s="178" t="s">
        <v>4180</v>
      </c>
      <c r="U1102" s="179"/>
      <c r="W1102" s="180"/>
      <c r="X1102" s="180"/>
      <c r="Z1102" s="180"/>
      <c r="AA1102" s="178" t="s">
        <v>1017</v>
      </c>
      <c r="AC1102" s="180"/>
      <c r="AD1102" s="182"/>
      <c r="AE1102" s="200"/>
      <c r="AF1102" s="180"/>
      <c r="AG1102" s="201"/>
      <c r="AH1102" s="212" t="str">
        <f t="shared" si="517"/>
        <v>2011</v>
      </c>
      <c r="AI1102" s="214" t="str">
        <f t="shared" si="506"/>
        <v/>
      </c>
      <c r="AJ1102" s="214" t="str">
        <f t="shared" si="507"/>
        <v/>
      </c>
      <c r="AK1102" s="214" t="str">
        <f t="shared" si="508"/>
        <v/>
      </c>
      <c r="AL1102" s="214" t="str">
        <f t="shared" si="509"/>
        <v/>
      </c>
      <c r="AM1102" s="214" t="str">
        <f t="shared" si="510"/>
        <v/>
      </c>
      <c r="AN1102" s="213" t="str">
        <f t="shared" si="493"/>
        <v>2011</v>
      </c>
      <c r="AO1102" s="213" t="str">
        <f t="shared" si="494"/>
        <v>2011</v>
      </c>
      <c r="AP1102" s="213" t="str">
        <f t="shared" si="495"/>
        <v>2011</v>
      </c>
      <c r="AQ1102" s="215" t="str">
        <f t="shared" si="496"/>
        <v/>
      </c>
      <c r="AR1102" s="216" t="str">
        <f t="shared" si="497"/>
        <v>BiK82M2K11--05</v>
      </c>
      <c r="AS1102" s="215" t="str">
        <f t="shared" si="498"/>
        <v/>
      </c>
      <c r="AT1102">
        <f t="shared" si="499"/>
        <v>14</v>
      </c>
      <c r="AU1102" s="216" t="str">
        <f t="shared" si="500"/>
        <v>0,15-0,5 MW, Bonusregeln M2, K erstmals 2011</v>
      </c>
      <c r="AV1102" s="215" t="str">
        <f t="shared" si="501"/>
        <v/>
      </c>
      <c r="AW1102" s="216" t="str">
        <f t="shared" si="502"/>
        <v>Anteil KWK, erstmals 2011</v>
      </c>
      <c r="AX1102" s="215" t="str">
        <f t="shared" si="503"/>
        <v/>
      </c>
      <c r="AY1102" t="str">
        <f t="shared" si="504"/>
        <v>x</v>
      </c>
      <c r="AZ1102" t="str">
        <f t="shared" si="505"/>
        <v/>
      </c>
    </row>
    <row r="1103" spans="1:52" s="178" customFormat="1" x14ac:dyDescent="0.25">
      <c r="A1103" s="625" t="s">
        <v>1579</v>
      </c>
      <c r="B1103" s="219" t="s">
        <v>5548</v>
      </c>
      <c r="C1103" s="219" t="s">
        <v>1288</v>
      </c>
      <c r="D1103" s="219" t="s">
        <v>7124</v>
      </c>
      <c r="E1103" s="219" t="s">
        <v>1980</v>
      </c>
      <c r="F1103" s="455">
        <f t="shared" si="512"/>
        <v>20.66</v>
      </c>
      <c r="G1103" s="530">
        <v>20.66</v>
      </c>
      <c r="H1103" s="488">
        <f t="shared" si="513"/>
        <v>16.53</v>
      </c>
      <c r="I1103" s="707"/>
      <c r="J1103" s="669" t="s">
        <v>5805</v>
      </c>
      <c r="K1103" s="15"/>
      <c r="L1103"/>
      <c r="M1103" s="49">
        <f t="shared" si="514"/>
        <v>20.66</v>
      </c>
      <c r="N1103" s="41">
        <v>9.75</v>
      </c>
      <c r="O1103" s="186"/>
      <c r="P1103" s="177"/>
      <c r="S1103" s="178" t="s">
        <v>4180</v>
      </c>
      <c r="T1103" s="178" t="s">
        <v>1017</v>
      </c>
      <c r="U1103" s="179"/>
      <c r="W1103" s="180"/>
      <c r="X1103" s="180"/>
      <c r="Z1103" s="180"/>
      <c r="AA1103" s="178" t="s">
        <v>1017</v>
      </c>
      <c r="AC1103" s="180"/>
      <c r="AD1103" s="182"/>
      <c r="AE1103" s="200"/>
      <c r="AF1103" s="180"/>
      <c r="AG1103" s="201"/>
      <c r="AH1103" s="217" t="s">
        <v>4179</v>
      </c>
      <c r="AI1103" s="214" t="str">
        <f t="shared" si="506"/>
        <v/>
      </c>
      <c r="AJ1103" s="214" t="str">
        <f t="shared" si="507"/>
        <v/>
      </c>
      <c r="AK1103" s="214" t="str">
        <f t="shared" si="508"/>
        <v/>
      </c>
      <c r="AL1103" s="214" t="str">
        <f t="shared" si="509"/>
        <v/>
      </c>
      <c r="AM1103" s="214" t="str">
        <f t="shared" si="510"/>
        <v/>
      </c>
      <c r="AN1103" s="213" t="str">
        <f t="shared" si="493"/>
        <v>2012</v>
      </c>
      <c r="AO1103" s="213" t="str">
        <f t="shared" si="494"/>
        <v>2012</v>
      </c>
      <c r="AP1103" s="213" t="str">
        <f t="shared" si="495"/>
        <v>2012</v>
      </c>
      <c r="AQ1103" s="215" t="str">
        <f t="shared" si="496"/>
        <v/>
      </c>
      <c r="AR1103" s="216" t="str">
        <f t="shared" si="497"/>
        <v>BiK82M2K12--05</v>
      </c>
      <c r="AS1103" s="215" t="str">
        <f t="shared" si="498"/>
        <v/>
      </c>
      <c r="AT1103">
        <f t="shared" si="499"/>
        <v>14</v>
      </c>
      <c r="AU1103" s="216" t="str">
        <f t="shared" si="500"/>
        <v>0,15-0,5 MW, Bonusregeln M2, K erstmals 2012</v>
      </c>
      <c r="AV1103" s="215" t="str">
        <f t="shared" si="501"/>
        <v/>
      </c>
      <c r="AW1103" s="216" t="str">
        <f t="shared" si="502"/>
        <v>Anteil KWK, erstmals 2012</v>
      </c>
      <c r="AX1103" s="215" t="str">
        <f t="shared" si="503"/>
        <v/>
      </c>
      <c r="AY1103" t="str">
        <f t="shared" si="504"/>
        <v/>
      </c>
      <c r="AZ1103" t="str">
        <f t="shared" si="505"/>
        <v>x</v>
      </c>
    </row>
    <row r="1104" spans="1:52" s="178" customFormat="1" x14ac:dyDescent="0.25">
      <c r="A1104" s="610" t="s">
        <v>2466</v>
      </c>
      <c r="B1104" s="30" t="s">
        <v>5548</v>
      </c>
      <c r="C1104" s="30" t="s">
        <v>1288</v>
      </c>
      <c r="D1104" s="30" t="s">
        <v>7052</v>
      </c>
      <c r="E1104" s="30" t="s">
        <v>4810</v>
      </c>
      <c r="F1104" s="454">
        <f t="shared" si="512"/>
        <v>18.75</v>
      </c>
      <c r="G1104" s="529">
        <v>18.75</v>
      </c>
      <c r="H1104" s="487">
        <f t="shared" si="513"/>
        <v>15</v>
      </c>
      <c r="I1104" s="706"/>
      <c r="J1104" s="669" t="s">
        <v>5805</v>
      </c>
      <c r="K1104" s="15"/>
      <c r="L1104"/>
      <c r="M1104" s="49">
        <f t="shared" si="514"/>
        <v>18.75</v>
      </c>
      <c r="N1104" s="41">
        <v>9.75</v>
      </c>
      <c r="O1104" s="187"/>
      <c r="P1104" s="183"/>
      <c r="Q1104" s="184"/>
      <c r="R1104" s="184"/>
      <c r="S1104" s="184" t="s">
        <v>4180</v>
      </c>
      <c r="T1104" s="178" t="s">
        <v>4180</v>
      </c>
      <c r="U1104" s="185" t="s">
        <v>1017</v>
      </c>
      <c r="V1104" s="184"/>
      <c r="W1104" s="180"/>
      <c r="X1104" s="180"/>
      <c r="Z1104" s="180"/>
      <c r="AA1104" s="184" t="s">
        <v>1017</v>
      </c>
      <c r="AB1104" s="184"/>
      <c r="AC1104" s="180"/>
      <c r="AD1104" s="182"/>
      <c r="AE1104" s="181"/>
      <c r="AF1104" s="180"/>
      <c r="AG1104" s="201"/>
      <c r="AH1104" s="212" t="str">
        <f t="shared" ref="AH1104:AH1109" si="518">IF(ISERROR(SEARCH("K erstmals 201",D1104)),"",RIGHT(D1104,4))</f>
        <v/>
      </c>
      <c r="AI1104" s="214" t="str">
        <f t="shared" si="506"/>
        <v/>
      </c>
      <c r="AJ1104" s="214" t="str">
        <f t="shared" si="507"/>
        <v/>
      </c>
      <c r="AK1104" s="214" t="str">
        <f t="shared" si="508"/>
        <v/>
      </c>
      <c r="AL1104" s="214" t="str">
        <f t="shared" si="509"/>
        <v/>
      </c>
      <c r="AM1104" s="214" t="str">
        <f t="shared" si="510"/>
        <v/>
      </c>
      <c r="AN1104" s="213" t="str">
        <f t="shared" si="493"/>
        <v/>
      </c>
      <c r="AO1104" s="213" t="str">
        <f t="shared" si="494"/>
        <v/>
      </c>
      <c r="AP1104" s="213" t="str">
        <f t="shared" si="495"/>
        <v/>
      </c>
      <c r="AQ1104" s="215" t="str">
        <f t="shared" si="496"/>
        <v/>
      </c>
      <c r="AR1104" s="216" t="str">
        <f t="shared" si="497"/>
        <v>BiK82M2y----05</v>
      </c>
      <c r="AS1104" s="215" t="str">
        <f t="shared" si="498"/>
        <v/>
      </c>
      <c r="AT1104">
        <f t="shared" si="499"/>
        <v>14</v>
      </c>
      <c r="AU1104" s="216" t="str">
        <f t="shared" si="500"/>
        <v>0,15-0,5 MW, Bonusregeln M2, y</v>
      </c>
      <c r="AV1104" s="215" t="str">
        <f t="shared" si="501"/>
        <v/>
      </c>
      <c r="AW1104" s="216" t="str">
        <f t="shared" si="502"/>
        <v>Anteil Nicht-KWK</v>
      </c>
      <c r="AX1104" s="215" t="str">
        <f t="shared" si="503"/>
        <v/>
      </c>
      <c r="AY1104" t="str">
        <f t="shared" si="504"/>
        <v/>
      </c>
      <c r="AZ1104" t="str">
        <f t="shared" si="505"/>
        <v/>
      </c>
    </row>
    <row r="1105" spans="1:52" s="178" customFormat="1" x14ac:dyDescent="0.25">
      <c r="A1105" s="610" t="s">
        <v>2467</v>
      </c>
      <c r="B1105" s="30" t="s">
        <v>5548</v>
      </c>
      <c r="C1105" s="30" t="s">
        <v>1288</v>
      </c>
      <c r="D1105" s="30" t="s">
        <v>7125</v>
      </c>
      <c r="E1105" s="30" t="s">
        <v>4812</v>
      </c>
      <c r="F1105" s="454">
        <f t="shared" si="512"/>
        <v>20.75</v>
      </c>
      <c r="G1105" s="529">
        <v>20.75</v>
      </c>
      <c r="H1105" s="487">
        <f t="shared" si="513"/>
        <v>16.600000000000001</v>
      </c>
      <c r="I1105" s="706"/>
      <c r="J1105" s="669" t="s">
        <v>5805</v>
      </c>
      <c r="K1105" s="15"/>
      <c r="L1105"/>
      <c r="M1105" s="49">
        <f t="shared" si="514"/>
        <v>20.75</v>
      </c>
      <c r="N1105" s="41">
        <v>9.75</v>
      </c>
      <c r="O1105" s="187" t="s">
        <v>1017</v>
      </c>
      <c r="P1105" s="183"/>
      <c r="Q1105" s="184"/>
      <c r="R1105" s="184"/>
      <c r="S1105" s="184" t="s">
        <v>4180</v>
      </c>
      <c r="T1105" s="178" t="s">
        <v>4180</v>
      </c>
      <c r="U1105" s="185" t="s">
        <v>1017</v>
      </c>
      <c r="V1105" s="184"/>
      <c r="W1105" s="180"/>
      <c r="X1105" s="180"/>
      <c r="Z1105" s="180"/>
      <c r="AA1105" s="184" t="s">
        <v>1017</v>
      </c>
      <c r="AB1105" s="184"/>
      <c r="AC1105" s="180"/>
      <c r="AD1105" s="182"/>
      <c r="AE1105" s="181"/>
      <c r="AF1105" s="180"/>
      <c r="AG1105" s="201"/>
      <c r="AH1105" s="212" t="str">
        <f t="shared" si="518"/>
        <v/>
      </c>
      <c r="AI1105" s="214" t="str">
        <f t="shared" si="506"/>
        <v/>
      </c>
      <c r="AJ1105" s="214" t="str">
        <f t="shared" si="507"/>
        <v/>
      </c>
      <c r="AK1105" s="214" t="str">
        <f t="shared" si="508"/>
        <v/>
      </c>
      <c r="AL1105" s="214" t="str">
        <f t="shared" si="509"/>
        <v/>
      </c>
      <c r="AM1105" s="214" t="str">
        <f t="shared" si="510"/>
        <v/>
      </c>
      <c r="AN1105" s="213" t="str">
        <f t="shared" si="493"/>
        <v/>
      </c>
      <c r="AO1105" s="213" t="str">
        <f t="shared" si="494"/>
        <v/>
      </c>
      <c r="AP1105" s="213" t="str">
        <f t="shared" si="495"/>
        <v/>
      </c>
      <c r="AQ1105" s="215" t="str">
        <f t="shared" si="496"/>
        <v/>
      </c>
      <c r="AR1105" s="216" t="str">
        <f t="shared" si="497"/>
        <v>BiK82M2KWKy-05</v>
      </c>
      <c r="AS1105" s="215" t="str">
        <f t="shared" si="498"/>
        <v/>
      </c>
      <c r="AT1105">
        <f t="shared" si="499"/>
        <v>14</v>
      </c>
      <c r="AU1105" s="216" t="str">
        <f t="shared" si="500"/>
        <v>0,15-0,5 MW, Bonusregeln M2, y und KWK</v>
      </c>
      <c r="AV1105" s="215" t="str">
        <f t="shared" si="501"/>
        <v/>
      </c>
      <c r="AW1105" s="216" t="str">
        <f t="shared" si="502"/>
        <v>Anteil KWK</v>
      </c>
      <c r="AX1105" s="215" t="str">
        <f t="shared" si="503"/>
        <v/>
      </c>
      <c r="AY1105" t="str">
        <f t="shared" si="504"/>
        <v/>
      </c>
      <c r="AZ1105" t="str">
        <f t="shared" si="505"/>
        <v/>
      </c>
    </row>
    <row r="1106" spans="1:52" s="178" customFormat="1" x14ac:dyDescent="0.25">
      <c r="A1106" s="610" t="s">
        <v>2468</v>
      </c>
      <c r="B1106" s="30" t="s">
        <v>5548</v>
      </c>
      <c r="C1106" s="30" t="s">
        <v>1288</v>
      </c>
      <c r="D1106" s="109" t="s">
        <v>7053</v>
      </c>
      <c r="E1106" s="30" t="s">
        <v>4331</v>
      </c>
      <c r="F1106" s="454">
        <f t="shared" si="512"/>
        <v>21.75</v>
      </c>
      <c r="G1106" s="529">
        <v>21.75</v>
      </c>
      <c r="H1106" s="487">
        <f t="shared" si="513"/>
        <v>17.399999999999999</v>
      </c>
      <c r="I1106" s="706"/>
      <c r="J1106" s="669" t="s">
        <v>5805</v>
      </c>
      <c r="K1106" s="15"/>
      <c r="L1106"/>
      <c r="M1106" s="49">
        <f t="shared" si="514"/>
        <v>21.75</v>
      </c>
      <c r="N1106" s="41">
        <v>9.75</v>
      </c>
      <c r="O1106" s="187"/>
      <c r="P1106" s="184" t="s">
        <v>1017</v>
      </c>
      <c r="Q1106" s="184"/>
      <c r="R1106" s="184"/>
      <c r="S1106" s="184" t="s">
        <v>4180</v>
      </c>
      <c r="T1106" s="178" t="s">
        <v>4180</v>
      </c>
      <c r="U1106" s="185" t="s">
        <v>1017</v>
      </c>
      <c r="V1106" s="184"/>
      <c r="W1106" s="180"/>
      <c r="X1106" s="180"/>
      <c r="Z1106" s="180"/>
      <c r="AA1106" s="184" t="s">
        <v>1017</v>
      </c>
      <c r="AB1106" s="184"/>
      <c r="AC1106" s="180"/>
      <c r="AD1106" s="182"/>
      <c r="AE1106" s="181"/>
      <c r="AF1106" s="180"/>
      <c r="AG1106" s="201"/>
      <c r="AH1106" s="212" t="str">
        <f t="shared" si="518"/>
        <v/>
      </c>
      <c r="AI1106" s="214" t="str">
        <f t="shared" si="506"/>
        <v/>
      </c>
      <c r="AJ1106" s="214" t="str">
        <f t="shared" si="507"/>
        <v/>
      </c>
      <c r="AK1106" s="214" t="str">
        <f t="shared" si="508"/>
        <v/>
      </c>
      <c r="AL1106" s="214" t="str">
        <f t="shared" si="509"/>
        <v/>
      </c>
      <c r="AM1106" s="214" t="str">
        <f t="shared" si="510"/>
        <v/>
      </c>
      <c r="AN1106" s="213" t="str">
        <f t="shared" si="493"/>
        <v/>
      </c>
      <c r="AO1106" s="213" t="str">
        <f t="shared" si="494"/>
        <v/>
      </c>
      <c r="AP1106" s="213" t="str">
        <f t="shared" si="495"/>
        <v/>
      </c>
      <c r="AQ1106" s="215" t="str">
        <f t="shared" si="496"/>
        <v/>
      </c>
      <c r="AR1106" s="216" t="str">
        <f t="shared" si="497"/>
        <v>BiK82M2KA3y-05</v>
      </c>
      <c r="AS1106" s="215" t="str">
        <f t="shared" si="498"/>
        <v/>
      </c>
      <c r="AT1106">
        <f t="shared" si="499"/>
        <v>14</v>
      </c>
      <c r="AU1106" s="216" t="str">
        <f t="shared" si="500"/>
        <v>0,15-0,5 MW, Bonusregeln M2, y und K wenn Anlage 3 erfüllt</v>
      </c>
      <c r="AV1106" s="215" t="str">
        <f t="shared" si="501"/>
        <v/>
      </c>
      <c r="AW1106" s="216" t="str">
        <f t="shared" si="502"/>
        <v>Anteil KWK gemäß Anlage 3</v>
      </c>
      <c r="AX1106" s="215" t="str">
        <f t="shared" si="503"/>
        <v/>
      </c>
      <c r="AY1106" t="str">
        <f t="shared" si="504"/>
        <v/>
      </c>
      <c r="AZ1106" t="str">
        <f t="shared" si="505"/>
        <v/>
      </c>
    </row>
    <row r="1107" spans="1:52" s="178" customFormat="1" x14ac:dyDescent="0.25">
      <c r="A1107" s="610" t="s">
        <v>2469</v>
      </c>
      <c r="B1107" s="30" t="s">
        <v>5548</v>
      </c>
      <c r="C1107" s="30" t="s">
        <v>1288</v>
      </c>
      <c r="D1107" s="30" t="s">
        <v>7054</v>
      </c>
      <c r="E1107" s="30" t="s">
        <v>674</v>
      </c>
      <c r="F1107" s="454">
        <f t="shared" si="512"/>
        <v>21.75</v>
      </c>
      <c r="G1107" s="529">
        <v>21.75</v>
      </c>
      <c r="H1107" s="487">
        <f t="shared" si="513"/>
        <v>17.399999999999999</v>
      </c>
      <c r="I1107" s="706"/>
      <c r="J1107" s="669" t="s">
        <v>5805</v>
      </c>
      <c r="K1107" s="15"/>
      <c r="L1107"/>
      <c r="M1107" s="49">
        <f t="shared" si="514"/>
        <v>21.75</v>
      </c>
      <c r="N1107" s="41">
        <v>9.75</v>
      </c>
      <c r="O1107" s="187"/>
      <c r="P1107" s="183"/>
      <c r="Q1107" s="184" t="s">
        <v>1017</v>
      </c>
      <c r="R1107" s="184"/>
      <c r="S1107" s="184" t="s">
        <v>4180</v>
      </c>
      <c r="T1107" s="178" t="s">
        <v>4180</v>
      </c>
      <c r="U1107" s="185" t="s">
        <v>1017</v>
      </c>
      <c r="V1107" s="184"/>
      <c r="W1107" s="180"/>
      <c r="X1107" s="180"/>
      <c r="Z1107" s="180"/>
      <c r="AA1107" s="184" t="s">
        <v>1017</v>
      </c>
      <c r="AB1107" s="184"/>
      <c r="AC1107" s="180"/>
      <c r="AD1107" s="182"/>
      <c r="AE1107" s="181"/>
      <c r="AF1107" s="180"/>
      <c r="AG1107" s="201"/>
      <c r="AH1107" s="212" t="str">
        <f t="shared" si="518"/>
        <v/>
      </c>
      <c r="AI1107" s="214" t="str">
        <f t="shared" si="506"/>
        <v/>
      </c>
      <c r="AJ1107" s="214" t="str">
        <f t="shared" si="507"/>
        <v/>
      </c>
      <c r="AK1107" s="214" t="str">
        <f t="shared" si="508"/>
        <v/>
      </c>
      <c r="AL1107" s="214" t="str">
        <f t="shared" si="509"/>
        <v/>
      </c>
      <c r="AM1107" s="214" t="str">
        <f t="shared" si="510"/>
        <v/>
      </c>
      <c r="AN1107" s="213" t="str">
        <f t="shared" si="493"/>
        <v/>
      </c>
      <c r="AO1107" s="213" t="str">
        <f t="shared" si="494"/>
        <v/>
      </c>
      <c r="AP1107" s="213" t="str">
        <f t="shared" si="495"/>
        <v/>
      </c>
      <c r="AQ1107" s="215" t="str">
        <f t="shared" si="496"/>
        <v/>
      </c>
      <c r="AR1107" s="216" t="str">
        <f t="shared" si="497"/>
        <v>BiK82M2K09y-05</v>
      </c>
      <c r="AS1107" s="215" t="str">
        <f t="shared" si="498"/>
        <v/>
      </c>
      <c r="AT1107">
        <f t="shared" si="499"/>
        <v>14</v>
      </c>
      <c r="AU1107" s="216" t="str">
        <f t="shared" si="500"/>
        <v>0,15-0,5 MW, Bonusregeln M2, y und K erstmals 2009</v>
      </c>
      <c r="AV1107" s="215" t="str">
        <f t="shared" si="501"/>
        <v/>
      </c>
      <c r="AW1107" s="216" t="str">
        <f t="shared" si="502"/>
        <v>Anteil KWK, erstmals 2009</v>
      </c>
      <c r="AX1107" s="215" t="str">
        <f t="shared" si="503"/>
        <v/>
      </c>
      <c r="AY1107" t="str">
        <f t="shared" si="504"/>
        <v/>
      </c>
      <c r="AZ1107" t="str">
        <f t="shared" si="505"/>
        <v/>
      </c>
    </row>
    <row r="1108" spans="1:52" s="178" customFormat="1" x14ac:dyDescent="0.25">
      <c r="A1108" s="610" t="s">
        <v>3599</v>
      </c>
      <c r="B1108" s="30" t="s">
        <v>5548</v>
      </c>
      <c r="C1108" s="30" t="s">
        <v>1288</v>
      </c>
      <c r="D1108" s="30" t="s">
        <v>7055</v>
      </c>
      <c r="E1108" s="30" t="s">
        <v>3567</v>
      </c>
      <c r="F1108" s="454">
        <f t="shared" si="512"/>
        <v>21.72</v>
      </c>
      <c r="G1108" s="529">
        <v>21.72</v>
      </c>
      <c r="H1108" s="487">
        <f t="shared" si="513"/>
        <v>17.38</v>
      </c>
      <c r="I1108" s="706"/>
      <c r="J1108" s="669" t="s">
        <v>5805</v>
      </c>
      <c r="K1108" s="15"/>
      <c r="L1108"/>
      <c r="M1108" s="49">
        <f t="shared" si="514"/>
        <v>21.72</v>
      </c>
      <c r="N1108" s="41">
        <v>9.75</v>
      </c>
      <c r="O1108" s="187"/>
      <c r="P1108" s="183"/>
      <c r="Q1108" s="184"/>
      <c r="R1108" s="184" t="s">
        <v>1017</v>
      </c>
      <c r="S1108" s="184" t="s">
        <v>4180</v>
      </c>
      <c r="T1108" s="178" t="s">
        <v>4180</v>
      </c>
      <c r="U1108" s="185" t="s">
        <v>1017</v>
      </c>
      <c r="V1108" s="184"/>
      <c r="W1108" s="180"/>
      <c r="X1108" s="180"/>
      <c r="Z1108" s="180"/>
      <c r="AA1108" s="184" t="s">
        <v>1017</v>
      </c>
      <c r="AB1108" s="184"/>
      <c r="AC1108" s="180"/>
      <c r="AD1108" s="182"/>
      <c r="AE1108" s="181"/>
      <c r="AF1108" s="180"/>
      <c r="AG1108" s="201"/>
      <c r="AH1108" s="212" t="str">
        <f t="shared" si="518"/>
        <v>2010</v>
      </c>
      <c r="AI1108" s="214" t="str">
        <f t="shared" si="506"/>
        <v/>
      </c>
      <c r="AJ1108" s="214" t="str">
        <f t="shared" si="507"/>
        <v/>
      </c>
      <c r="AK1108" s="214" t="str">
        <f t="shared" si="508"/>
        <v/>
      </c>
      <c r="AL1108" s="214" t="str">
        <f t="shared" si="509"/>
        <v/>
      </c>
      <c r="AM1108" s="214" t="str">
        <f t="shared" si="510"/>
        <v/>
      </c>
      <c r="AN1108" s="213" t="str">
        <f t="shared" si="493"/>
        <v>2010</v>
      </c>
      <c r="AO1108" s="213" t="str">
        <f t="shared" si="494"/>
        <v>2010</v>
      </c>
      <c r="AP1108" s="213" t="str">
        <f t="shared" si="495"/>
        <v>2010</v>
      </c>
      <c r="AQ1108" s="215" t="str">
        <f t="shared" si="496"/>
        <v/>
      </c>
      <c r="AR1108" s="216" t="str">
        <f t="shared" si="497"/>
        <v>BiK82M2K10y-05</v>
      </c>
      <c r="AS1108" s="215" t="str">
        <f t="shared" si="498"/>
        <v/>
      </c>
      <c r="AT1108">
        <f t="shared" si="499"/>
        <v>14</v>
      </c>
      <c r="AU1108" s="216" t="str">
        <f t="shared" si="500"/>
        <v>0,15-0,5 MW, Bonusregeln M2, y und K erstmals 2010</v>
      </c>
      <c r="AV1108" s="215" t="str">
        <f t="shared" si="501"/>
        <v/>
      </c>
      <c r="AW1108" s="216" t="str">
        <f t="shared" si="502"/>
        <v>Anteil KWK, erstmals 2010</v>
      </c>
      <c r="AX1108" s="215" t="str">
        <f t="shared" si="503"/>
        <v/>
      </c>
      <c r="AY1108" t="str">
        <f t="shared" si="504"/>
        <v/>
      </c>
      <c r="AZ1108" t="str">
        <f t="shared" si="505"/>
        <v/>
      </c>
    </row>
    <row r="1109" spans="1:52" s="178" customFormat="1" x14ac:dyDescent="0.25">
      <c r="A1109" s="610" t="s">
        <v>5330</v>
      </c>
      <c r="B1109" s="30" t="s">
        <v>5548</v>
      </c>
      <c r="C1109" s="30" t="s">
        <v>1288</v>
      </c>
      <c r="D1109" s="30" t="s">
        <v>7056</v>
      </c>
      <c r="E1109" s="30" t="s">
        <v>3055</v>
      </c>
      <c r="F1109" s="454">
        <f t="shared" si="512"/>
        <v>21.689999999999998</v>
      </c>
      <c r="G1109" s="529">
        <v>21.689999999999998</v>
      </c>
      <c r="H1109" s="487">
        <f t="shared" si="513"/>
        <v>17.350000000000001</v>
      </c>
      <c r="I1109" s="706"/>
      <c r="J1109" s="669" t="s">
        <v>5805</v>
      </c>
      <c r="K1109" s="15"/>
      <c r="L1109"/>
      <c r="M1109" s="49">
        <f t="shared" si="514"/>
        <v>21.689999999999998</v>
      </c>
      <c r="N1109" s="41">
        <v>9.75</v>
      </c>
      <c r="O1109" s="187"/>
      <c r="P1109" s="183"/>
      <c r="Q1109" s="184"/>
      <c r="S1109" s="184" t="s">
        <v>1017</v>
      </c>
      <c r="T1109" s="178" t="s">
        <v>4180</v>
      </c>
      <c r="U1109" s="185" t="s">
        <v>1017</v>
      </c>
      <c r="V1109" s="184"/>
      <c r="W1109" s="180"/>
      <c r="X1109" s="180"/>
      <c r="Z1109" s="180"/>
      <c r="AA1109" s="184" t="s">
        <v>1017</v>
      </c>
      <c r="AB1109" s="184"/>
      <c r="AC1109" s="180"/>
      <c r="AD1109" s="182"/>
      <c r="AE1109" s="181"/>
      <c r="AF1109" s="180"/>
      <c r="AG1109" s="201"/>
      <c r="AH1109" s="212" t="str">
        <f t="shared" si="518"/>
        <v>2011</v>
      </c>
      <c r="AI1109" s="214" t="str">
        <f t="shared" si="506"/>
        <v/>
      </c>
      <c r="AJ1109" s="214" t="str">
        <f t="shared" si="507"/>
        <v/>
      </c>
      <c r="AK1109" s="214" t="str">
        <f t="shared" si="508"/>
        <v/>
      </c>
      <c r="AL1109" s="214" t="str">
        <f t="shared" si="509"/>
        <v/>
      </c>
      <c r="AM1109" s="214" t="str">
        <f t="shared" si="510"/>
        <v/>
      </c>
      <c r="AN1109" s="213" t="str">
        <f t="shared" si="493"/>
        <v>2011</v>
      </c>
      <c r="AO1109" s="213" t="str">
        <f t="shared" si="494"/>
        <v>2011</v>
      </c>
      <c r="AP1109" s="213" t="str">
        <f t="shared" si="495"/>
        <v>2011</v>
      </c>
      <c r="AQ1109" s="215" t="str">
        <f t="shared" si="496"/>
        <v/>
      </c>
      <c r="AR1109" s="216" t="str">
        <f t="shared" si="497"/>
        <v>BiK82M2K11y-05</v>
      </c>
      <c r="AS1109" s="215" t="str">
        <f t="shared" si="498"/>
        <v/>
      </c>
      <c r="AT1109">
        <f t="shared" si="499"/>
        <v>14</v>
      </c>
      <c r="AU1109" s="216" t="str">
        <f t="shared" si="500"/>
        <v>0,15-0,5 MW, Bonusregeln M2, y und K erstmals 2011</v>
      </c>
      <c r="AV1109" s="215" t="str">
        <f t="shared" si="501"/>
        <v/>
      </c>
      <c r="AW1109" s="216" t="str">
        <f t="shared" si="502"/>
        <v>Anteil KWK, erstmals 2011</v>
      </c>
      <c r="AX1109" s="215" t="str">
        <f t="shared" si="503"/>
        <v/>
      </c>
      <c r="AY1109" t="str">
        <f t="shared" si="504"/>
        <v>x</v>
      </c>
      <c r="AZ1109" t="str">
        <f t="shared" si="505"/>
        <v/>
      </c>
    </row>
    <row r="1110" spans="1:52" s="178" customFormat="1" x14ac:dyDescent="0.25">
      <c r="A1110" s="625" t="s">
        <v>1580</v>
      </c>
      <c r="B1110" s="219" t="s">
        <v>5548</v>
      </c>
      <c r="C1110" s="219" t="s">
        <v>1288</v>
      </c>
      <c r="D1110" s="219" t="s">
        <v>7057</v>
      </c>
      <c r="E1110" s="219" t="s">
        <v>1980</v>
      </c>
      <c r="F1110" s="455">
        <f t="shared" si="512"/>
        <v>21.66</v>
      </c>
      <c r="G1110" s="530">
        <v>21.66</v>
      </c>
      <c r="H1110" s="488">
        <f t="shared" si="513"/>
        <v>17.329999999999998</v>
      </c>
      <c r="I1110" s="707"/>
      <c r="J1110" s="669" t="s">
        <v>5805</v>
      </c>
      <c r="K1110" s="15"/>
      <c r="L1110"/>
      <c r="M1110" s="49">
        <f t="shared" si="514"/>
        <v>21.66</v>
      </c>
      <c r="N1110" s="41">
        <v>9.75</v>
      </c>
      <c r="O1110" s="187"/>
      <c r="P1110" s="183"/>
      <c r="Q1110" s="184"/>
      <c r="S1110" s="184" t="s">
        <v>4180</v>
      </c>
      <c r="T1110" s="178" t="s">
        <v>1017</v>
      </c>
      <c r="U1110" s="185" t="s">
        <v>1017</v>
      </c>
      <c r="V1110" s="184"/>
      <c r="W1110" s="180"/>
      <c r="X1110" s="180"/>
      <c r="Z1110" s="180"/>
      <c r="AA1110" s="184" t="s">
        <v>1017</v>
      </c>
      <c r="AB1110" s="184"/>
      <c r="AC1110" s="180"/>
      <c r="AD1110" s="182"/>
      <c r="AE1110" s="181"/>
      <c r="AF1110" s="180"/>
      <c r="AG1110" s="201"/>
      <c r="AH1110" s="217" t="s">
        <v>4179</v>
      </c>
      <c r="AI1110" s="214" t="str">
        <f t="shared" si="506"/>
        <v/>
      </c>
      <c r="AJ1110" s="214" t="str">
        <f t="shared" si="507"/>
        <v/>
      </c>
      <c r="AK1110" s="214" t="str">
        <f t="shared" si="508"/>
        <v/>
      </c>
      <c r="AL1110" s="214" t="str">
        <f t="shared" si="509"/>
        <v/>
      </c>
      <c r="AM1110" s="214" t="str">
        <f t="shared" si="510"/>
        <v/>
      </c>
      <c r="AN1110" s="213" t="str">
        <f t="shared" si="493"/>
        <v>2012</v>
      </c>
      <c r="AO1110" s="213" t="str">
        <f t="shared" si="494"/>
        <v>2012</v>
      </c>
      <c r="AP1110" s="213" t="str">
        <f t="shared" si="495"/>
        <v>2012</v>
      </c>
      <c r="AQ1110" s="215" t="str">
        <f t="shared" si="496"/>
        <v/>
      </c>
      <c r="AR1110" s="216" t="str">
        <f t="shared" si="497"/>
        <v>BiK82M2K12y-05</v>
      </c>
      <c r="AS1110" s="215" t="str">
        <f t="shared" si="498"/>
        <v/>
      </c>
      <c r="AT1110">
        <f t="shared" si="499"/>
        <v>14</v>
      </c>
      <c r="AU1110" s="216" t="str">
        <f t="shared" si="500"/>
        <v>0,15-0,5 MW, Bonusregeln M2, y und K erstmals 2012</v>
      </c>
      <c r="AV1110" s="215" t="str">
        <f t="shared" si="501"/>
        <v/>
      </c>
      <c r="AW1110" s="216" t="str">
        <f t="shared" si="502"/>
        <v>Anteil KWK, erstmals 2012</v>
      </c>
      <c r="AX1110" s="215" t="str">
        <f t="shared" si="503"/>
        <v/>
      </c>
      <c r="AY1110" t="str">
        <f t="shared" si="504"/>
        <v/>
      </c>
      <c r="AZ1110" t="str">
        <f t="shared" si="505"/>
        <v>x</v>
      </c>
    </row>
    <row r="1111" spans="1:52" s="178" customFormat="1" x14ac:dyDescent="0.25">
      <c r="A1111" s="610" t="s">
        <v>2470</v>
      </c>
      <c r="B1111" s="30" t="s">
        <v>5548</v>
      </c>
      <c r="C1111" s="30" t="s">
        <v>1288</v>
      </c>
      <c r="D1111" s="30" t="s">
        <v>7058</v>
      </c>
      <c r="E1111" s="30" t="s">
        <v>4810</v>
      </c>
      <c r="F1111" s="454">
        <f t="shared" si="512"/>
        <v>18.75</v>
      </c>
      <c r="G1111" s="529">
        <v>18.75</v>
      </c>
      <c r="H1111" s="487">
        <f t="shared" si="513"/>
        <v>15</v>
      </c>
      <c r="I1111" s="706"/>
      <c r="J1111" s="669" t="s">
        <v>5805</v>
      </c>
      <c r="K1111" s="15"/>
      <c r="L1111"/>
      <c r="M1111" s="49">
        <f t="shared" si="514"/>
        <v>18.75</v>
      </c>
      <c r="N1111" s="41">
        <v>9.75</v>
      </c>
      <c r="O1111" s="186"/>
      <c r="P1111" s="177"/>
      <c r="S1111" s="178" t="s">
        <v>4180</v>
      </c>
      <c r="T1111" s="178" t="s">
        <v>4180</v>
      </c>
      <c r="U1111" s="179"/>
      <c r="W1111" s="180"/>
      <c r="X1111" s="180"/>
      <c r="Z1111" s="180"/>
      <c r="AA1111" s="184"/>
      <c r="AB1111" s="178" t="s">
        <v>1017</v>
      </c>
      <c r="AC1111" s="180"/>
      <c r="AD1111" s="182"/>
      <c r="AE1111" s="200"/>
      <c r="AF1111" s="180"/>
      <c r="AG1111" s="201"/>
      <c r="AH1111" s="212" t="str">
        <f t="shared" ref="AH1111:AH1116" si="519">IF(ISERROR(SEARCH("K erstmals 201",D1111)),"",RIGHT(D1111,4))</f>
        <v/>
      </c>
      <c r="AI1111" s="214" t="str">
        <f t="shared" si="506"/>
        <v/>
      </c>
      <c r="AJ1111" s="214" t="str">
        <f t="shared" si="507"/>
        <v/>
      </c>
      <c r="AK1111" s="214" t="str">
        <f t="shared" si="508"/>
        <v/>
      </c>
      <c r="AL1111" s="214" t="str">
        <f t="shared" si="509"/>
        <v/>
      </c>
      <c r="AM1111" s="214" t="str">
        <f t="shared" si="510"/>
        <v/>
      </c>
      <c r="AN1111" s="213" t="str">
        <f t="shared" si="493"/>
        <v/>
      </c>
      <c r="AO1111" s="213" t="str">
        <f t="shared" si="494"/>
        <v/>
      </c>
      <c r="AP1111" s="213" t="str">
        <f t="shared" si="495"/>
        <v/>
      </c>
      <c r="AQ1111" s="215" t="str">
        <f t="shared" si="496"/>
        <v/>
      </c>
      <c r="AR1111" s="216" t="str">
        <f t="shared" si="497"/>
        <v>BiK82L------05</v>
      </c>
      <c r="AS1111" s="215" t="str">
        <f t="shared" si="498"/>
        <v/>
      </c>
      <c r="AT1111">
        <f t="shared" si="499"/>
        <v>14</v>
      </c>
      <c r="AU1111" s="216" t="str">
        <f t="shared" si="500"/>
        <v>0,15-0,5 MW, Bonusregel L</v>
      </c>
      <c r="AV1111" s="215" t="str">
        <f t="shared" si="501"/>
        <v/>
      </c>
      <c r="AW1111" s="216" t="str">
        <f t="shared" si="502"/>
        <v>Anteil Nicht-KWK</v>
      </c>
      <c r="AX1111" s="215" t="str">
        <f t="shared" si="503"/>
        <v/>
      </c>
      <c r="AY1111" t="str">
        <f t="shared" si="504"/>
        <v/>
      </c>
      <c r="AZ1111" t="str">
        <f t="shared" si="505"/>
        <v/>
      </c>
    </row>
    <row r="1112" spans="1:52" s="178" customFormat="1" x14ac:dyDescent="0.25">
      <c r="A1112" s="610" t="s">
        <v>2471</v>
      </c>
      <c r="B1112" s="30" t="s">
        <v>5548</v>
      </c>
      <c r="C1112" s="30" t="s">
        <v>1288</v>
      </c>
      <c r="D1112" s="30" t="s">
        <v>7126</v>
      </c>
      <c r="E1112" s="30" t="s">
        <v>4812</v>
      </c>
      <c r="F1112" s="454">
        <f t="shared" si="512"/>
        <v>20.75</v>
      </c>
      <c r="G1112" s="529">
        <v>20.75</v>
      </c>
      <c r="H1112" s="487">
        <f t="shared" si="513"/>
        <v>16.600000000000001</v>
      </c>
      <c r="I1112" s="706"/>
      <c r="J1112" s="669" t="s">
        <v>5805</v>
      </c>
      <c r="K1112" s="15"/>
      <c r="L1112"/>
      <c r="M1112" s="49">
        <f t="shared" si="514"/>
        <v>20.75</v>
      </c>
      <c r="N1112" s="41">
        <v>9.75</v>
      </c>
      <c r="O1112" s="186" t="s">
        <v>1017</v>
      </c>
      <c r="P1112" s="177"/>
      <c r="S1112" s="178" t="s">
        <v>4180</v>
      </c>
      <c r="T1112" s="178" t="s">
        <v>4180</v>
      </c>
      <c r="U1112" s="179"/>
      <c r="W1112" s="180"/>
      <c r="X1112" s="180"/>
      <c r="Z1112" s="180"/>
      <c r="AA1112" s="184"/>
      <c r="AB1112" s="178" t="s">
        <v>1017</v>
      </c>
      <c r="AC1112" s="180"/>
      <c r="AD1112" s="182"/>
      <c r="AE1112" s="200"/>
      <c r="AF1112" s="180"/>
      <c r="AG1112" s="201"/>
      <c r="AH1112" s="212" t="str">
        <f t="shared" si="519"/>
        <v/>
      </c>
      <c r="AI1112" s="214" t="str">
        <f t="shared" si="506"/>
        <v/>
      </c>
      <c r="AJ1112" s="214" t="str">
        <f t="shared" si="507"/>
        <v/>
      </c>
      <c r="AK1112" s="214" t="str">
        <f t="shared" si="508"/>
        <v/>
      </c>
      <c r="AL1112" s="214" t="str">
        <f t="shared" si="509"/>
        <v/>
      </c>
      <c r="AM1112" s="214" t="str">
        <f t="shared" si="510"/>
        <v/>
      </c>
      <c r="AN1112" s="213" t="str">
        <f t="shared" si="493"/>
        <v/>
      </c>
      <c r="AO1112" s="213" t="str">
        <f t="shared" si="494"/>
        <v/>
      </c>
      <c r="AP1112" s="213" t="str">
        <f t="shared" si="495"/>
        <v/>
      </c>
      <c r="AQ1112" s="215" t="str">
        <f t="shared" si="496"/>
        <v/>
      </c>
      <c r="AR1112" s="216" t="str">
        <f t="shared" si="497"/>
        <v>BiK82LKWK---05</v>
      </c>
      <c r="AS1112" s="215" t="str">
        <f t="shared" si="498"/>
        <v/>
      </c>
      <c r="AT1112">
        <f t="shared" si="499"/>
        <v>14</v>
      </c>
      <c r="AU1112" s="216" t="str">
        <f t="shared" si="500"/>
        <v>0,15-0,5 MW, Bonusregeln L und KWK</v>
      </c>
      <c r="AV1112" s="215" t="str">
        <f t="shared" si="501"/>
        <v/>
      </c>
      <c r="AW1112" s="216" t="str">
        <f t="shared" si="502"/>
        <v>Anteil KWK</v>
      </c>
      <c r="AX1112" s="215" t="str">
        <f t="shared" si="503"/>
        <v/>
      </c>
      <c r="AY1112" t="str">
        <f t="shared" si="504"/>
        <v/>
      </c>
      <c r="AZ1112" t="str">
        <f t="shared" si="505"/>
        <v/>
      </c>
    </row>
    <row r="1113" spans="1:52" s="178" customFormat="1" x14ac:dyDescent="0.25">
      <c r="A1113" s="610" t="s">
        <v>2472</v>
      </c>
      <c r="B1113" s="30" t="s">
        <v>5548</v>
      </c>
      <c r="C1113" s="30" t="s">
        <v>1288</v>
      </c>
      <c r="D1113" s="30" t="s">
        <v>7059</v>
      </c>
      <c r="E1113" s="30" t="s">
        <v>4331</v>
      </c>
      <c r="F1113" s="454">
        <f t="shared" si="512"/>
        <v>21.75</v>
      </c>
      <c r="G1113" s="529">
        <v>21.75</v>
      </c>
      <c r="H1113" s="487">
        <f t="shared" si="513"/>
        <v>17.399999999999999</v>
      </c>
      <c r="I1113" s="706"/>
      <c r="J1113" s="669" t="s">
        <v>5805</v>
      </c>
      <c r="K1113" s="15"/>
      <c r="L1113"/>
      <c r="M1113" s="49">
        <f t="shared" si="514"/>
        <v>21.75</v>
      </c>
      <c r="N1113" s="41">
        <v>9.75</v>
      </c>
      <c r="O1113" s="186"/>
      <c r="P1113" s="178" t="s">
        <v>1017</v>
      </c>
      <c r="S1113" s="178" t="s">
        <v>4180</v>
      </c>
      <c r="T1113" s="178" t="s">
        <v>4180</v>
      </c>
      <c r="U1113" s="179"/>
      <c r="W1113" s="180"/>
      <c r="X1113" s="180"/>
      <c r="Z1113" s="180"/>
      <c r="AA1113" s="184"/>
      <c r="AB1113" s="178" t="s">
        <v>1017</v>
      </c>
      <c r="AC1113" s="180"/>
      <c r="AD1113" s="182"/>
      <c r="AE1113" s="200"/>
      <c r="AF1113" s="180"/>
      <c r="AG1113" s="201"/>
      <c r="AH1113" s="212" t="str">
        <f t="shared" si="519"/>
        <v/>
      </c>
      <c r="AI1113" s="214" t="str">
        <f t="shared" si="506"/>
        <v/>
      </c>
      <c r="AJ1113" s="214" t="str">
        <f t="shared" si="507"/>
        <v/>
      </c>
      <c r="AK1113" s="214" t="str">
        <f t="shared" si="508"/>
        <v/>
      </c>
      <c r="AL1113" s="214" t="str">
        <f t="shared" si="509"/>
        <v/>
      </c>
      <c r="AM1113" s="214" t="str">
        <f t="shared" si="510"/>
        <v/>
      </c>
      <c r="AN1113" s="213" t="str">
        <f t="shared" si="493"/>
        <v/>
      </c>
      <c r="AO1113" s="213" t="str">
        <f t="shared" si="494"/>
        <v/>
      </c>
      <c r="AP1113" s="213" t="str">
        <f t="shared" si="495"/>
        <v/>
      </c>
      <c r="AQ1113" s="215" t="str">
        <f t="shared" si="496"/>
        <v/>
      </c>
      <c r="AR1113" s="216" t="str">
        <f t="shared" si="497"/>
        <v>BiK82LKA3---05</v>
      </c>
      <c r="AS1113" s="215" t="str">
        <f t="shared" si="498"/>
        <v/>
      </c>
      <c r="AT1113">
        <f t="shared" si="499"/>
        <v>14</v>
      </c>
      <c r="AU1113" s="216" t="str">
        <f t="shared" si="500"/>
        <v>0,15-0,5 MW, Bonusregeln L und K wenn Anlage 3 erfüllt</v>
      </c>
      <c r="AV1113" s="215" t="str">
        <f t="shared" si="501"/>
        <v/>
      </c>
      <c r="AW1113" s="216" t="str">
        <f t="shared" si="502"/>
        <v>Anteil KWK gemäß Anlage 3</v>
      </c>
      <c r="AX1113" s="215" t="str">
        <f t="shared" si="503"/>
        <v/>
      </c>
      <c r="AY1113" t="str">
        <f t="shared" si="504"/>
        <v/>
      </c>
      <c r="AZ1113" t="str">
        <f t="shared" si="505"/>
        <v/>
      </c>
    </row>
    <row r="1114" spans="1:52" s="178" customFormat="1" x14ac:dyDescent="0.25">
      <c r="A1114" s="610" t="s">
        <v>2473</v>
      </c>
      <c r="B1114" s="30" t="s">
        <v>5548</v>
      </c>
      <c r="C1114" s="30" t="s">
        <v>1288</v>
      </c>
      <c r="D1114" s="30" t="s">
        <v>7060</v>
      </c>
      <c r="E1114" s="30" t="s">
        <v>674</v>
      </c>
      <c r="F1114" s="454">
        <f t="shared" si="512"/>
        <v>21.75</v>
      </c>
      <c r="G1114" s="529">
        <v>21.75</v>
      </c>
      <c r="H1114" s="487">
        <f t="shared" si="513"/>
        <v>17.399999999999999</v>
      </c>
      <c r="I1114" s="706"/>
      <c r="J1114" s="669" t="s">
        <v>5805</v>
      </c>
      <c r="K1114" s="15"/>
      <c r="L1114"/>
      <c r="M1114" s="49">
        <f t="shared" si="514"/>
        <v>21.75</v>
      </c>
      <c r="N1114" s="41">
        <v>9.75</v>
      </c>
      <c r="O1114" s="186"/>
      <c r="P1114" s="177"/>
      <c r="Q1114" s="178" t="s">
        <v>1017</v>
      </c>
      <c r="S1114" s="178" t="s">
        <v>4180</v>
      </c>
      <c r="T1114" s="178" t="s">
        <v>4180</v>
      </c>
      <c r="U1114" s="179"/>
      <c r="W1114" s="180"/>
      <c r="X1114" s="180"/>
      <c r="Z1114" s="180"/>
      <c r="AA1114" s="184"/>
      <c r="AB1114" s="178" t="s">
        <v>1017</v>
      </c>
      <c r="AC1114" s="180"/>
      <c r="AD1114" s="182"/>
      <c r="AE1114" s="200"/>
      <c r="AF1114" s="180"/>
      <c r="AG1114" s="201"/>
      <c r="AH1114" s="212" t="str">
        <f t="shared" si="519"/>
        <v/>
      </c>
      <c r="AI1114" s="214" t="str">
        <f t="shared" si="506"/>
        <v/>
      </c>
      <c r="AJ1114" s="214" t="str">
        <f t="shared" si="507"/>
        <v/>
      </c>
      <c r="AK1114" s="214" t="str">
        <f t="shared" si="508"/>
        <v/>
      </c>
      <c r="AL1114" s="214" t="str">
        <f t="shared" si="509"/>
        <v/>
      </c>
      <c r="AM1114" s="214" t="str">
        <f t="shared" si="510"/>
        <v/>
      </c>
      <c r="AN1114" s="213" t="str">
        <f t="shared" si="493"/>
        <v/>
      </c>
      <c r="AO1114" s="213" t="str">
        <f t="shared" si="494"/>
        <v/>
      </c>
      <c r="AP1114" s="213" t="str">
        <f t="shared" si="495"/>
        <v/>
      </c>
      <c r="AQ1114" s="215" t="str">
        <f t="shared" si="496"/>
        <v/>
      </c>
      <c r="AR1114" s="216" t="str">
        <f t="shared" si="497"/>
        <v>BiK82LK09---05</v>
      </c>
      <c r="AS1114" s="215" t="str">
        <f t="shared" si="498"/>
        <v/>
      </c>
      <c r="AT1114">
        <f t="shared" si="499"/>
        <v>14</v>
      </c>
      <c r="AU1114" s="216" t="str">
        <f t="shared" si="500"/>
        <v>0,15-0,5 MW, Bonusregeln L und K erstmals 2009</v>
      </c>
      <c r="AV1114" s="215" t="str">
        <f t="shared" si="501"/>
        <v/>
      </c>
      <c r="AW1114" s="216" t="str">
        <f t="shared" si="502"/>
        <v>Anteil KWK, erstmals 2009</v>
      </c>
      <c r="AX1114" s="215" t="str">
        <f t="shared" si="503"/>
        <v/>
      </c>
      <c r="AY1114" t="str">
        <f t="shared" si="504"/>
        <v/>
      </c>
      <c r="AZ1114" t="str">
        <f t="shared" si="505"/>
        <v/>
      </c>
    </row>
    <row r="1115" spans="1:52" s="178" customFormat="1" x14ac:dyDescent="0.25">
      <c r="A1115" s="610" t="s">
        <v>3600</v>
      </c>
      <c r="B1115" s="30" t="s">
        <v>5548</v>
      </c>
      <c r="C1115" s="30" t="s">
        <v>1288</v>
      </c>
      <c r="D1115" s="30" t="s">
        <v>7061</v>
      </c>
      <c r="E1115" s="30" t="s">
        <v>3567</v>
      </c>
      <c r="F1115" s="454">
        <f t="shared" si="512"/>
        <v>21.72</v>
      </c>
      <c r="G1115" s="529">
        <v>21.72</v>
      </c>
      <c r="H1115" s="487">
        <f t="shared" si="513"/>
        <v>17.38</v>
      </c>
      <c r="I1115" s="706"/>
      <c r="J1115" s="669" t="s">
        <v>5805</v>
      </c>
      <c r="K1115" s="15"/>
      <c r="L1115"/>
      <c r="M1115" s="49">
        <f t="shared" si="514"/>
        <v>21.72</v>
      </c>
      <c r="N1115" s="41">
        <v>9.75</v>
      </c>
      <c r="O1115" s="186"/>
      <c r="P1115" s="177"/>
      <c r="R1115" s="178" t="s">
        <v>1017</v>
      </c>
      <c r="S1115" s="178" t="s">
        <v>4180</v>
      </c>
      <c r="T1115" s="178" t="s">
        <v>4180</v>
      </c>
      <c r="U1115" s="179"/>
      <c r="W1115" s="180"/>
      <c r="X1115" s="180"/>
      <c r="Z1115" s="180"/>
      <c r="AA1115" s="184"/>
      <c r="AB1115" s="178" t="s">
        <v>1017</v>
      </c>
      <c r="AC1115" s="180"/>
      <c r="AD1115" s="182"/>
      <c r="AE1115" s="200"/>
      <c r="AF1115" s="180"/>
      <c r="AG1115" s="201"/>
      <c r="AH1115" s="212" t="str">
        <f t="shared" si="519"/>
        <v>2010</v>
      </c>
      <c r="AI1115" s="214" t="str">
        <f t="shared" si="506"/>
        <v/>
      </c>
      <c r="AJ1115" s="214" t="str">
        <f t="shared" si="507"/>
        <v/>
      </c>
      <c r="AK1115" s="214" t="str">
        <f t="shared" si="508"/>
        <v/>
      </c>
      <c r="AL1115" s="214" t="str">
        <f t="shared" si="509"/>
        <v/>
      </c>
      <c r="AM1115" s="214" t="str">
        <f t="shared" si="510"/>
        <v/>
      </c>
      <c r="AN1115" s="213" t="str">
        <f t="shared" si="493"/>
        <v>2010</v>
      </c>
      <c r="AO1115" s="213" t="str">
        <f t="shared" si="494"/>
        <v>2010</v>
      </c>
      <c r="AP1115" s="213" t="str">
        <f t="shared" si="495"/>
        <v>2010</v>
      </c>
      <c r="AQ1115" s="215" t="str">
        <f t="shared" si="496"/>
        <v/>
      </c>
      <c r="AR1115" s="216" t="str">
        <f t="shared" si="497"/>
        <v>BiK82LK10---05</v>
      </c>
      <c r="AS1115" s="215" t="str">
        <f t="shared" si="498"/>
        <v/>
      </c>
      <c r="AT1115">
        <f t="shared" si="499"/>
        <v>14</v>
      </c>
      <c r="AU1115" s="216" t="str">
        <f t="shared" si="500"/>
        <v>0,15-0,5 MW, Bonusregeln L und K erstmals 2010</v>
      </c>
      <c r="AV1115" s="215" t="str">
        <f t="shared" si="501"/>
        <v/>
      </c>
      <c r="AW1115" s="216" t="str">
        <f t="shared" si="502"/>
        <v>Anteil KWK, erstmals 2010</v>
      </c>
      <c r="AX1115" s="215" t="str">
        <f t="shared" si="503"/>
        <v/>
      </c>
      <c r="AY1115" t="str">
        <f t="shared" si="504"/>
        <v/>
      </c>
      <c r="AZ1115" t="str">
        <f t="shared" si="505"/>
        <v/>
      </c>
    </row>
    <row r="1116" spans="1:52" s="178" customFormat="1" x14ac:dyDescent="0.25">
      <c r="A1116" s="610" t="s">
        <v>5331</v>
      </c>
      <c r="B1116" s="30" t="s">
        <v>5548</v>
      </c>
      <c r="C1116" s="30" t="s">
        <v>1288</v>
      </c>
      <c r="D1116" s="30" t="s">
        <v>7062</v>
      </c>
      <c r="E1116" s="30" t="s">
        <v>3055</v>
      </c>
      <c r="F1116" s="454">
        <f t="shared" si="512"/>
        <v>21.689999999999998</v>
      </c>
      <c r="G1116" s="529">
        <v>21.689999999999998</v>
      </c>
      <c r="H1116" s="487">
        <f t="shared" si="513"/>
        <v>17.350000000000001</v>
      </c>
      <c r="I1116" s="706"/>
      <c r="J1116" s="669" t="s">
        <v>5805</v>
      </c>
      <c r="K1116" s="15"/>
      <c r="L1116"/>
      <c r="M1116" s="49">
        <f t="shared" si="514"/>
        <v>21.689999999999998</v>
      </c>
      <c r="N1116" s="41">
        <v>9.75</v>
      </c>
      <c r="O1116" s="186"/>
      <c r="P1116" s="177"/>
      <c r="S1116" s="178" t="s">
        <v>1017</v>
      </c>
      <c r="T1116" s="178" t="s">
        <v>4180</v>
      </c>
      <c r="U1116" s="179"/>
      <c r="W1116" s="180"/>
      <c r="X1116" s="180"/>
      <c r="Z1116" s="180"/>
      <c r="AA1116" s="184"/>
      <c r="AB1116" s="178" t="s">
        <v>1017</v>
      </c>
      <c r="AC1116" s="180"/>
      <c r="AD1116" s="182"/>
      <c r="AE1116" s="200"/>
      <c r="AF1116" s="180"/>
      <c r="AG1116" s="201"/>
      <c r="AH1116" s="212" t="str">
        <f t="shared" si="519"/>
        <v>2011</v>
      </c>
      <c r="AI1116" s="214" t="str">
        <f t="shared" si="506"/>
        <v/>
      </c>
      <c r="AJ1116" s="214" t="str">
        <f t="shared" si="507"/>
        <v/>
      </c>
      <c r="AK1116" s="214" t="str">
        <f t="shared" si="508"/>
        <v/>
      </c>
      <c r="AL1116" s="214" t="str">
        <f t="shared" si="509"/>
        <v/>
      </c>
      <c r="AM1116" s="214" t="str">
        <f t="shared" si="510"/>
        <v/>
      </c>
      <c r="AN1116" s="213" t="str">
        <f t="shared" si="493"/>
        <v>2011</v>
      </c>
      <c r="AO1116" s="213" t="str">
        <f t="shared" si="494"/>
        <v>2011</v>
      </c>
      <c r="AP1116" s="213" t="str">
        <f t="shared" si="495"/>
        <v>2011</v>
      </c>
      <c r="AQ1116" s="215" t="str">
        <f t="shared" si="496"/>
        <v/>
      </c>
      <c r="AR1116" s="216" t="str">
        <f t="shared" si="497"/>
        <v>BiK82LK11---05</v>
      </c>
      <c r="AS1116" s="215" t="str">
        <f t="shared" si="498"/>
        <v/>
      </c>
      <c r="AT1116">
        <f t="shared" si="499"/>
        <v>14</v>
      </c>
      <c r="AU1116" s="216" t="str">
        <f t="shared" si="500"/>
        <v>0,15-0,5 MW, Bonusregeln L und K erstmals 2011</v>
      </c>
      <c r="AV1116" s="215" t="str">
        <f t="shared" si="501"/>
        <v/>
      </c>
      <c r="AW1116" s="216" t="str">
        <f t="shared" si="502"/>
        <v>Anteil KWK, erstmals 2011</v>
      </c>
      <c r="AX1116" s="215" t="str">
        <f t="shared" si="503"/>
        <v/>
      </c>
      <c r="AY1116" t="str">
        <f t="shared" si="504"/>
        <v>x</v>
      </c>
      <c r="AZ1116" t="str">
        <f t="shared" si="505"/>
        <v/>
      </c>
    </row>
    <row r="1117" spans="1:52" s="178" customFormat="1" x14ac:dyDescent="0.25">
      <c r="A1117" s="625" t="s">
        <v>1581</v>
      </c>
      <c r="B1117" s="219" t="s">
        <v>5548</v>
      </c>
      <c r="C1117" s="219" t="s">
        <v>1288</v>
      </c>
      <c r="D1117" s="219" t="s">
        <v>7063</v>
      </c>
      <c r="E1117" s="219" t="s">
        <v>1980</v>
      </c>
      <c r="F1117" s="455">
        <f t="shared" si="512"/>
        <v>21.66</v>
      </c>
      <c r="G1117" s="530">
        <v>21.66</v>
      </c>
      <c r="H1117" s="488">
        <f t="shared" si="513"/>
        <v>17.329999999999998</v>
      </c>
      <c r="I1117" s="707"/>
      <c r="J1117" s="669" t="s">
        <v>5805</v>
      </c>
      <c r="K1117" s="15"/>
      <c r="L1117"/>
      <c r="M1117" s="49">
        <f t="shared" si="514"/>
        <v>21.66</v>
      </c>
      <c r="N1117" s="41">
        <v>9.75</v>
      </c>
      <c r="O1117" s="186"/>
      <c r="P1117" s="177"/>
      <c r="S1117" s="178" t="s">
        <v>4180</v>
      </c>
      <c r="T1117" s="178" t="s">
        <v>1017</v>
      </c>
      <c r="U1117" s="179"/>
      <c r="W1117" s="180"/>
      <c r="X1117" s="180"/>
      <c r="Z1117" s="180"/>
      <c r="AA1117" s="184"/>
      <c r="AB1117" s="178" t="s">
        <v>1017</v>
      </c>
      <c r="AC1117" s="180"/>
      <c r="AD1117" s="182"/>
      <c r="AE1117" s="200"/>
      <c r="AF1117" s="180"/>
      <c r="AG1117" s="201"/>
      <c r="AH1117" s="217" t="s">
        <v>4179</v>
      </c>
      <c r="AI1117" s="214" t="str">
        <f t="shared" si="506"/>
        <v/>
      </c>
      <c r="AJ1117" s="214" t="str">
        <f t="shared" si="507"/>
        <v/>
      </c>
      <c r="AK1117" s="214" t="str">
        <f t="shared" si="508"/>
        <v/>
      </c>
      <c r="AL1117" s="214" t="str">
        <f t="shared" si="509"/>
        <v/>
      </c>
      <c r="AM1117" s="214" t="str">
        <f t="shared" si="510"/>
        <v/>
      </c>
      <c r="AN1117" s="213" t="str">
        <f t="shared" si="493"/>
        <v>2012</v>
      </c>
      <c r="AO1117" s="213" t="str">
        <f t="shared" si="494"/>
        <v>2012</v>
      </c>
      <c r="AP1117" s="213" t="str">
        <f t="shared" si="495"/>
        <v>2012</v>
      </c>
      <c r="AQ1117" s="215" t="str">
        <f t="shared" si="496"/>
        <v/>
      </c>
      <c r="AR1117" s="216" t="str">
        <f t="shared" si="497"/>
        <v>BiK82LK12---05</v>
      </c>
      <c r="AS1117" s="215" t="str">
        <f t="shared" si="498"/>
        <v/>
      </c>
      <c r="AT1117">
        <f t="shared" si="499"/>
        <v>14</v>
      </c>
      <c r="AU1117" s="216" t="str">
        <f t="shared" si="500"/>
        <v>0,15-0,5 MW, Bonusregeln L und K erstmals 2012</v>
      </c>
      <c r="AV1117" s="215" t="str">
        <f t="shared" si="501"/>
        <v/>
      </c>
      <c r="AW1117" s="216" t="str">
        <f t="shared" si="502"/>
        <v>Anteil KWK, erstmals 2012</v>
      </c>
      <c r="AX1117" s="215" t="str">
        <f t="shared" si="503"/>
        <v/>
      </c>
      <c r="AY1117" t="str">
        <f t="shared" si="504"/>
        <v/>
      </c>
      <c r="AZ1117" t="str">
        <f t="shared" si="505"/>
        <v>x</v>
      </c>
    </row>
    <row r="1118" spans="1:52" x14ac:dyDescent="0.25">
      <c r="A1118" s="610" t="s">
        <v>2474</v>
      </c>
      <c r="B1118" s="30" t="s">
        <v>5548</v>
      </c>
      <c r="C1118" s="30" t="s">
        <v>1288</v>
      </c>
      <c r="D1118" s="30" t="s">
        <v>7064</v>
      </c>
      <c r="E1118" s="30" t="s">
        <v>4810</v>
      </c>
      <c r="F1118" s="454">
        <f t="shared" si="512"/>
        <v>19.75</v>
      </c>
      <c r="G1118" s="529">
        <v>19.75</v>
      </c>
      <c r="H1118" s="487">
        <f t="shared" si="513"/>
        <v>15.8</v>
      </c>
      <c r="I1118" s="706"/>
      <c r="J1118" s="669" t="s">
        <v>5805</v>
      </c>
      <c r="K1118" s="15"/>
      <c r="M1118" s="49">
        <f t="shared" si="514"/>
        <v>19.75</v>
      </c>
      <c r="N1118" s="41">
        <v>9.75</v>
      </c>
      <c r="O1118" s="187"/>
      <c r="P1118" s="183"/>
      <c r="Q1118" s="184"/>
      <c r="R1118" s="184"/>
      <c r="S1118" s="184" t="s">
        <v>4180</v>
      </c>
      <c r="T1118" t="s">
        <v>4180</v>
      </c>
      <c r="U1118" s="185" t="s">
        <v>1017</v>
      </c>
      <c r="V1118" s="184"/>
      <c r="W1118" s="180"/>
      <c r="X1118" s="180"/>
      <c r="Y1118" s="178"/>
      <c r="Z1118" s="180"/>
      <c r="AA1118" s="184"/>
      <c r="AB1118" s="184" t="s">
        <v>1017</v>
      </c>
      <c r="AC1118" s="180"/>
      <c r="AD1118" s="182"/>
      <c r="AE1118" s="181"/>
      <c r="AF1118" s="180"/>
      <c r="AG1118" s="201"/>
      <c r="AH1118" s="212" t="str">
        <f t="shared" ref="AH1118:AH1123" si="520">IF(ISERROR(SEARCH("K erstmals 201",D1118)),"",RIGHT(D1118,4))</f>
        <v/>
      </c>
      <c r="AI1118" s="214" t="str">
        <f t="shared" si="506"/>
        <v/>
      </c>
      <c r="AJ1118" s="214" t="str">
        <f t="shared" si="507"/>
        <v/>
      </c>
      <c r="AK1118" s="214" t="str">
        <f t="shared" si="508"/>
        <v/>
      </c>
      <c r="AL1118" s="214" t="str">
        <f t="shared" si="509"/>
        <v/>
      </c>
      <c r="AM1118" s="214" t="str">
        <f t="shared" si="510"/>
        <v/>
      </c>
      <c r="AN1118" s="213" t="str">
        <f t="shared" si="493"/>
        <v/>
      </c>
      <c r="AO1118" s="213" t="str">
        <f t="shared" si="494"/>
        <v/>
      </c>
      <c r="AP1118" s="213" t="str">
        <f t="shared" si="495"/>
        <v/>
      </c>
      <c r="AQ1118" s="215" t="str">
        <f t="shared" si="496"/>
        <v/>
      </c>
      <c r="AR1118" s="216" t="str">
        <f t="shared" si="497"/>
        <v>BiK82Ly-----05</v>
      </c>
      <c r="AS1118" s="215" t="str">
        <f t="shared" si="498"/>
        <v/>
      </c>
      <c r="AT1118">
        <f t="shared" si="499"/>
        <v>14</v>
      </c>
      <c r="AU1118" s="216" t="str">
        <f t="shared" si="500"/>
        <v>0,15-0,5 MW, Bonusregeln L, y</v>
      </c>
      <c r="AV1118" s="215" t="str">
        <f t="shared" si="501"/>
        <v/>
      </c>
      <c r="AW1118" s="216" t="str">
        <f t="shared" si="502"/>
        <v>Anteil Nicht-KWK</v>
      </c>
      <c r="AX1118" s="215" t="str">
        <f t="shared" si="503"/>
        <v/>
      </c>
      <c r="AY1118" t="str">
        <f t="shared" si="504"/>
        <v/>
      </c>
      <c r="AZ1118" t="str">
        <f t="shared" si="505"/>
        <v/>
      </c>
    </row>
    <row r="1119" spans="1:52" x14ac:dyDescent="0.25">
      <c r="A1119" s="610" t="s">
        <v>2475</v>
      </c>
      <c r="B1119" s="30" t="s">
        <v>5548</v>
      </c>
      <c r="C1119" s="30" t="s">
        <v>1288</v>
      </c>
      <c r="D1119" s="30" t="s">
        <v>7127</v>
      </c>
      <c r="E1119" s="30" t="s">
        <v>4812</v>
      </c>
      <c r="F1119" s="454">
        <f t="shared" si="512"/>
        <v>21.75</v>
      </c>
      <c r="G1119" s="529">
        <v>21.75</v>
      </c>
      <c r="H1119" s="487">
        <f t="shared" si="513"/>
        <v>17.399999999999999</v>
      </c>
      <c r="I1119" s="706"/>
      <c r="J1119" s="669" t="s">
        <v>5805</v>
      </c>
      <c r="K1119" s="15"/>
      <c r="M1119" s="49">
        <f t="shared" si="514"/>
        <v>21.75</v>
      </c>
      <c r="N1119" s="41">
        <v>9.75</v>
      </c>
      <c r="O1119" s="187" t="s">
        <v>1017</v>
      </c>
      <c r="P1119" s="183"/>
      <c r="Q1119" s="184"/>
      <c r="R1119" s="184"/>
      <c r="S1119" s="184" t="s">
        <v>4180</v>
      </c>
      <c r="T1119" t="s">
        <v>4180</v>
      </c>
      <c r="U1119" s="185" t="s">
        <v>1017</v>
      </c>
      <c r="V1119" s="184"/>
      <c r="W1119" s="180"/>
      <c r="X1119" s="180"/>
      <c r="Y1119" s="178"/>
      <c r="Z1119" s="180"/>
      <c r="AA1119" s="184"/>
      <c r="AB1119" s="184" t="s">
        <v>1017</v>
      </c>
      <c r="AC1119" s="180"/>
      <c r="AD1119" s="182"/>
      <c r="AE1119" s="181"/>
      <c r="AF1119" s="180"/>
      <c r="AG1119" s="201"/>
      <c r="AH1119" s="212" t="str">
        <f t="shared" si="520"/>
        <v/>
      </c>
      <c r="AI1119" s="214" t="str">
        <f t="shared" si="506"/>
        <v/>
      </c>
      <c r="AJ1119" s="214" t="str">
        <f t="shared" si="507"/>
        <v/>
      </c>
      <c r="AK1119" s="214" t="str">
        <f t="shared" si="508"/>
        <v/>
      </c>
      <c r="AL1119" s="214" t="str">
        <f t="shared" si="509"/>
        <v/>
      </c>
      <c r="AM1119" s="214" t="str">
        <f t="shared" si="510"/>
        <v/>
      </c>
      <c r="AN1119" s="213" t="str">
        <f t="shared" si="493"/>
        <v/>
      </c>
      <c r="AO1119" s="213" t="str">
        <f t="shared" si="494"/>
        <v/>
      </c>
      <c r="AP1119" s="213" t="str">
        <f t="shared" si="495"/>
        <v/>
      </c>
      <c r="AQ1119" s="215" t="str">
        <f t="shared" si="496"/>
        <v/>
      </c>
      <c r="AR1119" s="216" t="str">
        <f t="shared" si="497"/>
        <v>BiK82LKWKy--05</v>
      </c>
      <c r="AS1119" s="215" t="str">
        <f t="shared" si="498"/>
        <v/>
      </c>
      <c r="AT1119">
        <f t="shared" si="499"/>
        <v>14</v>
      </c>
      <c r="AU1119" s="216" t="str">
        <f t="shared" si="500"/>
        <v>0,15-0,5 MW, Bonusregeln L, y und KWK</v>
      </c>
      <c r="AV1119" s="215" t="str">
        <f t="shared" si="501"/>
        <v/>
      </c>
      <c r="AW1119" s="216" t="str">
        <f t="shared" si="502"/>
        <v>Anteil KWK</v>
      </c>
      <c r="AX1119" s="215" t="str">
        <f t="shared" si="503"/>
        <v/>
      </c>
      <c r="AY1119" t="str">
        <f t="shared" si="504"/>
        <v/>
      </c>
      <c r="AZ1119" t="str">
        <f t="shared" si="505"/>
        <v/>
      </c>
    </row>
    <row r="1120" spans="1:52" x14ac:dyDescent="0.25">
      <c r="A1120" s="610" t="s">
        <v>2476</v>
      </c>
      <c r="B1120" s="30" t="s">
        <v>5548</v>
      </c>
      <c r="C1120" s="30" t="s">
        <v>1288</v>
      </c>
      <c r="D1120" s="109" t="s">
        <v>7065</v>
      </c>
      <c r="E1120" s="30" t="s">
        <v>4331</v>
      </c>
      <c r="F1120" s="454">
        <f t="shared" si="512"/>
        <v>22.75</v>
      </c>
      <c r="G1120" s="529">
        <v>22.75</v>
      </c>
      <c r="H1120" s="487">
        <f t="shared" si="513"/>
        <v>18.2</v>
      </c>
      <c r="I1120" s="706"/>
      <c r="J1120" s="669" t="s">
        <v>5805</v>
      </c>
      <c r="K1120" s="15"/>
      <c r="M1120" s="49">
        <f t="shared" si="514"/>
        <v>22.75</v>
      </c>
      <c r="N1120" s="41">
        <v>9.75</v>
      </c>
      <c r="O1120" s="187"/>
      <c r="P1120" s="184" t="s">
        <v>1017</v>
      </c>
      <c r="Q1120" s="184"/>
      <c r="R1120" s="184"/>
      <c r="S1120" s="184" t="s">
        <v>4180</v>
      </c>
      <c r="T1120" t="s">
        <v>4180</v>
      </c>
      <c r="U1120" s="185" t="s">
        <v>1017</v>
      </c>
      <c r="V1120" s="184"/>
      <c r="W1120" s="180"/>
      <c r="X1120" s="180"/>
      <c r="Y1120" s="178"/>
      <c r="Z1120" s="180"/>
      <c r="AA1120" s="184"/>
      <c r="AB1120" s="184" t="s">
        <v>1017</v>
      </c>
      <c r="AC1120" s="180"/>
      <c r="AD1120" s="182"/>
      <c r="AE1120" s="181"/>
      <c r="AF1120" s="180"/>
      <c r="AG1120" s="201"/>
      <c r="AH1120" s="212" t="str">
        <f t="shared" si="520"/>
        <v/>
      </c>
      <c r="AI1120" s="214" t="str">
        <f t="shared" si="506"/>
        <v/>
      </c>
      <c r="AJ1120" s="214" t="str">
        <f t="shared" si="507"/>
        <v/>
      </c>
      <c r="AK1120" s="214" t="str">
        <f t="shared" si="508"/>
        <v/>
      </c>
      <c r="AL1120" s="214" t="str">
        <f t="shared" si="509"/>
        <v/>
      </c>
      <c r="AM1120" s="214" t="str">
        <f t="shared" si="510"/>
        <v/>
      </c>
      <c r="AN1120" s="213" t="str">
        <f t="shared" si="493"/>
        <v/>
      </c>
      <c r="AO1120" s="213" t="str">
        <f t="shared" si="494"/>
        <v/>
      </c>
      <c r="AP1120" s="213" t="str">
        <f t="shared" si="495"/>
        <v/>
      </c>
      <c r="AQ1120" s="215" t="str">
        <f t="shared" si="496"/>
        <v/>
      </c>
      <c r="AR1120" s="216" t="str">
        <f t="shared" si="497"/>
        <v>BiK82LKA3y--05</v>
      </c>
      <c r="AS1120" s="215" t="str">
        <f t="shared" si="498"/>
        <v/>
      </c>
      <c r="AT1120">
        <f t="shared" si="499"/>
        <v>14</v>
      </c>
      <c r="AU1120" s="216" t="str">
        <f t="shared" si="500"/>
        <v>0,15-0,5 MW, Bonusregeln L, y und K wenn Anlage 3 erfüllt</v>
      </c>
      <c r="AV1120" s="215" t="str">
        <f t="shared" si="501"/>
        <v/>
      </c>
      <c r="AW1120" s="216" t="str">
        <f t="shared" si="502"/>
        <v>Anteil KWK gemäß Anlage 3</v>
      </c>
      <c r="AX1120" s="215" t="str">
        <f t="shared" si="503"/>
        <v/>
      </c>
      <c r="AY1120" t="str">
        <f t="shared" si="504"/>
        <v/>
      </c>
      <c r="AZ1120" t="str">
        <f t="shared" si="505"/>
        <v/>
      </c>
    </row>
    <row r="1121" spans="1:52" x14ac:dyDescent="0.25">
      <c r="A1121" s="610" t="s">
        <v>2477</v>
      </c>
      <c r="B1121" s="30" t="s">
        <v>5548</v>
      </c>
      <c r="C1121" s="30" t="s">
        <v>1288</v>
      </c>
      <c r="D1121" s="30" t="s">
        <v>7066</v>
      </c>
      <c r="E1121" s="30" t="s">
        <v>674</v>
      </c>
      <c r="F1121" s="454">
        <f t="shared" si="512"/>
        <v>22.75</v>
      </c>
      <c r="G1121" s="529">
        <v>22.75</v>
      </c>
      <c r="H1121" s="487">
        <f t="shared" si="513"/>
        <v>18.2</v>
      </c>
      <c r="I1121" s="706"/>
      <c r="J1121" s="669" t="s">
        <v>5805</v>
      </c>
      <c r="K1121" s="15"/>
      <c r="M1121" s="49">
        <f t="shared" si="514"/>
        <v>22.75</v>
      </c>
      <c r="N1121" s="41">
        <v>9.75</v>
      </c>
      <c r="O1121" s="187"/>
      <c r="P1121" s="183"/>
      <c r="Q1121" s="184" t="s">
        <v>1017</v>
      </c>
      <c r="R1121" s="184"/>
      <c r="S1121" s="184" t="s">
        <v>4180</v>
      </c>
      <c r="T1121" t="s">
        <v>4180</v>
      </c>
      <c r="U1121" s="185" t="s">
        <v>1017</v>
      </c>
      <c r="V1121" s="184"/>
      <c r="W1121" s="180"/>
      <c r="X1121" s="180"/>
      <c r="Y1121" s="178"/>
      <c r="Z1121" s="180"/>
      <c r="AA1121" s="184"/>
      <c r="AB1121" s="184" t="s">
        <v>1017</v>
      </c>
      <c r="AC1121" s="180"/>
      <c r="AD1121" s="182"/>
      <c r="AE1121" s="181"/>
      <c r="AF1121" s="180"/>
      <c r="AG1121" s="201"/>
      <c r="AH1121" s="212" t="str">
        <f t="shared" si="520"/>
        <v/>
      </c>
      <c r="AI1121" s="214" t="str">
        <f t="shared" si="506"/>
        <v/>
      </c>
      <c r="AJ1121" s="214" t="str">
        <f t="shared" si="507"/>
        <v/>
      </c>
      <c r="AK1121" s="214" t="str">
        <f t="shared" si="508"/>
        <v/>
      </c>
      <c r="AL1121" s="214" t="str">
        <f t="shared" si="509"/>
        <v/>
      </c>
      <c r="AM1121" s="214" t="str">
        <f t="shared" si="510"/>
        <v/>
      </c>
      <c r="AN1121" s="213" t="str">
        <f t="shared" si="493"/>
        <v/>
      </c>
      <c r="AO1121" s="213" t="str">
        <f t="shared" si="494"/>
        <v/>
      </c>
      <c r="AP1121" s="213" t="str">
        <f t="shared" si="495"/>
        <v/>
      </c>
      <c r="AQ1121" s="215" t="str">
        <f t="shared" si="496"/>
        <v/>
      </c>
      <c r="AR1121" s="216" t="str">
        <f t="shared" si="497"/>
        <v>BiK82LK09y--05</v>
      </c>
      <c r="AS1121" s="215" t="str">
        <f t="shared" si="498"/>
        <v/>
      </c>
      <c r="AT1121">
        <f t="shared" si="499"/>
        <v>14</v>
      </c>
      <c r="AU1121" s="216" t="str">
        <f t="shared" si="500"/>
        <v>0,15-0,5 MW, Bonusregeln L, y und K erstmals 2009</v>
      </c>
      <c r="AV1121" s="215" t="str">
        <f t="shared" si="501"/>
        <v/>
      </c>
      <c r="AW1121" s="216" t="str">
        <f t="shared" si="502"/>
        <v>Anteil KWK, erstmals 2009</v>
      </c>
      <c r="AX1121" s="215" t="str">
        <f t="shared" si="503"/>
        <v/>
      </c>
      <c r="AY1121" t="str">
        <f t="shared" si="504"/>
        <v/>
      </c>
      <c r="AZ1121" t="str">
        <f t="shared" si="505"/>
        <v/>
      </c>
    </row>
    <row r="1122" spans="1:52" x14ac:dyDescent="0.25">
      <c r="A1122" s="610" t="s">
        <v>3601</v>
      </c>
      <c r="B1122" s="30" t="s">
        <v>5548</v>
      </c>
      <c r="C1122" s="30" t="s">
        <v>1288</v>
      </c>
      <c r="D1122" s="30" t="s">
        <v>7067</v>
      </c>
      <c r="E1122" s="30" t="s">
        <v>3567</v>
      </c>
      <c r="F1122" s="454">
        <f t="shared" si="512"/>
        <v>22.72</v>
      </c>
      <c r="G1122" s="529">
        <v>22.72</v>
      </c>
      <c r="H1122" s="487">
        <f t="shared" si="513"/>
        <v>18.18</v>
      </c>
      <c r="I1122" s="706"/>
      <c r="J1122" s="669" t="s">
        <v>5805</v>
      </c>
      <c r="K1122" s="15"/>
      <c r="M1122" s="49">
        <f t="shared" si="514"/>
        <v>22.72</v>
      </c>
      <c r="N1122" s="41">
        <v>9.75</v>
      </c>
      <c r="O1122" s="187"/>
      <c r="P1122" s="183"/>
      <c r="Q1122" s="184"/>
      <c r="R1122" s="184" t="s">
        <v>1017</v>
      </c>
      <c r="S1122" s="184" t="s">
        <v>4180</v>
      </c>
      <c r="T1122" t="s">
        <v>4180</v>
      </c>
      <c r="U1122" s="185" t="s">
        <v>1017</v>
      </c>
      <c r="V1122" s="184"/>
      <c r="W1122" s="180"/>
      <c r="X1122" s="180"/>
      <c r="Y1122" s="178"/>
      <c r="Z1122" s="180"/>
      <c r="AA1122" s="184"/>
      <c r="AB1122" s="184" t="s">
        <v>1017</v>
      </c>
      <c r="AC1122" s="180"/>
      <c r="AD1122" s="182"/>
      <c r="AE1122" s="181"/>
      <c r="AF1122" s="180"/>
      <c r="AG1122" s="201"/>
      <c r="AH1122" s="212" t="str">
        <f t="shared" si="520"/>
        <v>2010</v>
      </c>
      <c r="AI1122" s="214" t="str">
        <f t="shared" si="506"/>
        <v/>
      </c>
      <c r="AJ1122" s="214" t="str">
        <f t="shared" si="507"/>
        <v/>
      </c>
      <c r="AK1122" s="214" t="str">
        <f t="shared" si="508"/>
        <v/>
      </c>
      <c r="AL1122" s="214" t="str">
        <f t="shared" si="509"/>
        <v/>
      </c>
      <c r="AM1122" s="214" t="str">
        <f t="shared" si="510"/>
        <v/>
      </c>
      <c r="AN1122" s="213" t="str">
        <f t="shared" si="493"/>
        <v>2010</v>
      </c>
      <c r="AO1122" s="213" t="str">
        <f t="shared" si="494"/>
        <v>2010</v>
      </c>
      <c r="AP1122" s="213" t="str">
        <f t="shared" si="495"/>
        <v>2010</v>
      </c>
      <c r="AQ1122" s="215" t="str">
        <f t="shared" si="496"/>
        <v/>
      </c>
      <c r="AR1122" s="216" t="str">
        <f t="shared" si="497"/>
        <v>BiK82LK10y--05</v>
      </c>
      <c r="AS1122" s="215" t="str">
        <f t="shared" si="498"/>
        <v/>
      </c>
      <c r="AT1122">
        <f t="shared" si="499"/>
        <v>14</v>
      </c>
      <c r="AU1122" s="216" t="str">
        <f t="shared" si="500"/>
        <v>0,15-0,5 MW, Bonusregeln L, y und K erstmals 2010</v>
      </c>
      <c r="AV1122" s="215" t="str">
        <f t="shared" si="501"/>
        <v/>
      </c>
      <c r="AW1122" s="216" t="str">
        <f t="shared" si="502"/>
        <v>Anteil KWK, erstmals 2010</v>
      </c>
      <c r="AX1122" s="215" t="str">
        <f t="shared" si="503"/>
        <v/>
      </c>
      <c r="AY1122" t="str">
        <f t="shared" si="504"/>
        <v/>
      </c>
      <c r="AZ1122" t="str">
        <f t="shared" si="505"/>
        <v/>
      </c>
    </row>
    <row r="1123" spans="1:52" x14ac:dyDescent="0.25">
      <c r="A1123" s="610" t="s">
        <v>5332</v>
      </c>
      <c r="B1123" s="30" t="s">
        <v>5548</v>
      </c>
      <c r="C1123" s="30" t="s">
        <v>1288</v>
      </c>
      <c r="D1123" s="30" t="s">
        <v>7068</v>
      </c>
      <c r="E1123" s="30" t="s">
        <v>3055</v>
      </c>
      <c r="F1123" s="454">
        <f t="shared" si="512"/>
        <v>22.689999999999998</v>
      </c>
      <c r="G1123" s="529">
        <v>22.689999999999998</v>
      </c>
      <c r="H1123" s="487">
        <f t="shared" si="513"/>
        <v>18.149999999999999</v>
      </c>
      <c r="I1123" s="706"/>
      <c r="J1123" s="669" t="s">
        <v>5805</v>
      </c>
      <c r="K1123" s="15"/>
      <c r="M1123" s="49">
        <f t="shared" si="514"/>
        <v>22.689999999999998</v>
      </c>
      <c r="N1123" s="41">
        <v>9.75</v>
      </c>
      <c r="O1123" s="187"/>
      <c r="P1123" s="183"/>
      <c r="Q1123" s="184"/>
      <c r="R1123" s="178"/>
      <c r="S1123" s="184" t="s">
        <v>1017</v>
      </c>
      <c r="T1123" t="s">
        <v>4180</v>
      </c>
      <c r="U1123" s="185" t="s">
        <v>1017</v>
      </c>
      <c r="V1123" s="184"/>
      <c r="W1123" s="180"/>
      <c r="X1123" s="180"/>
      <c r="Y1123" s="178"/>
      <c r="Z1123" s="180"/>
      <c r="AA1123" s="184"/>
      <c r="AB1123" s="184" t="s">
        <v>1017</v>
      </c>
      <c r="AC1123" s="180"/>
      <c r="AD1123" s="182"/>
      <c r="AE1123" s="181"/>
      <c r="AF1123" s="180"/>
      <c r="AG1123" s="201"/>
      <c r="AH1123" s="212" t="str">
        <f t="shared" si="520"/>
        <v>2011</v>
      </c>
      <c r="AI1123" s="214" t="str">
        <f t="shared" si="506"/>
        <v/>
      </c>
      <c r="AJ1123" s="214" t="str">
        <f t="shared" si="507"/>
        <v/>
      </c>
      <c r="AK1123" s="214" t="str">
        <f t="shared" si="508"/>
        <v/>
      </c>
      <c r="AL1123" s="214" t="str">
        <f t="shared" si="509"/>
        <v/>
      </c>
      <c r="AM1123" s="214" t="str">
        <f t="shared" si="510"/>
        <v/>
      </c>
      <c r="AN1123" s="213" t="str">
        <f t="shared" si="493"/>
        <v>2011</v>
      </c>
      <c r="AO1123" s="213" t="str">
        <f t="shared" si="494"/>
        <v>2011</v>
      </c>
      <c r="AP1123" s="213" t="str">
        <f t="shared" si="495"/>
        <v>2011</v>
      </c>
      <c r="AQ1123" s="215" t="str">
        <f t="shared" si="496"/>
        <v/>
      </c>
      <c r="AR1123" s="216" t="str">
        <f t="shared" si="497"/>
        <v>BiK82LK11y--05</v>
      </c>
      <c r="AS1123" s="215" t="str">
        <f t="shared" si="498"/>
        <v/>
      </c>
      <c r="AT1123">
        <f t="shared" si="499"/>
        <v>14</v>
      </c>
      <c r="AU1123" s="216" t="str">
        <f t="shared" si="500"/>
        <v>0,15-0,5 MW, Bonusregeln L, y und K erstmals 2011</v>
      </c>
      <c r="AV1123" s="215" t="str">
        <f t="shared" si="501"/>
        <v/>
      </c>
      <c r="AW1123" s="216" t="str">
        <f t="shared" si="502"/>
        <v>Anteil KWK, erstmals 2011</v>
      </c>
      <c r="AX1123" s="215" t="str">
        <f t="shared" si="503"/>
        <v/>
      </c>
      <c r="AY1123" t="str">
        <f t="shared" si="504"/>
        <v>x</v>
      </c>
      <c r="AZ1123" t="str">
        <f t="shared" si="505"/>
        <v/>
      </c>
    </row>
    <row r="1124" spans="1:52" x14ac:dyDescent="0.25">
      <c r="A1124" s="625" t="s">
        <v>1582</v>
      </c>
      <c r="B1124" s="219" t="s">
        <v>5548</v>
      </c>
      <c r="C1124" s="219" t="s">
        <v>1288</v>
      </c>
      <c r="D1124" s="219" t="s">
        <v>7069</v>
      </c>
      <c r="E1124" s="219" t="s">
        <v>1980</v>
      </c>
      <c r="F1124" s="455">
        <f t="shared" si="512"/>
        <v>22.66</v>
      </c>
      <c r="G1124" s="530">
        <v>22.66</v>
      </c>
      <c r="H1124" s="488">
        <f t="shared" si="513"/>
        <v>18.13</v>
      </c>
      <c r="I1124" s="707"/>
      <c r="J1124" s="669" t="s">
        <v>5805</v>
      </c>
      <c r="K1124" s="15"/>
      <c r="M1124" s="49">
        <f t="shared" si="514"/>
        <v>22.66</v>
      </c>
      <c r="N1124" s="41">
        <v>9.75</v>
      </c>
      <c r="O1124" s="187"/>
      <c r="P1124" s="183"/>
      <c r="Q1124" s="184"/>
      <c r="R1124" s="178"/>
      <c r="S1124" s="184" t="s">
        <v>4180</v>
      </c>
      <c r="T1124" t="s">
        <v>1017</v>
      </c>
      <c r="U1124" s="185" t="s">
        <v>1017</v>
      </c>
      <c r="V1124" s="184"/>
      <c r="W1124" s="180"/>
      <c r="X1124" s="180"/>
      <c r="Y1124" s="178"/>
      <c r="Z1124" s="180"/>
      <c r="AA1124" s="184"/>
      <c r="AB1124" s="184" t="s">
        <v>1017</v>
      </c>
      <c r="AC1124" s="180"/>
      <c r="AD1124" s="182"/>
      <c r="AE1124" s="181"/>
      <c r="AF1124" s="180"/>
      <c r="AG1124" s="201"/>
      <c r="AH1124" s="217" t="s">
        <v>4179</v>
      </c>
      <c r="AI1124" s="214" t="str">
        <f t="shared" si="506"/>
        <v/>
      </c>
      <c r="AJ1124" s="214" t="str">
        <f t="shared" si="507"/>
        <v/>
      </c>
      <c r="AK1124" s="214" t="str">
        <f t="shared" si="508"/>
        <v/>
      </c>
      <c r="AL1124" s="214" t="str">
        <f t="shared" si="509"/>
        <v/>
      </c>
      <c r="AM1124" s="214" t="str">
        <f t="shared" si="510"/>
        <v/>
      </c>
      <c r="AN1124" s="213" t="str">
        <f t="shared" si="493"/>
        <v>2012</v>
      </c>
      <c r="AO1124" s="213" t="str">
        <f t="shared" si="494"/>
        <v>2012</v>
      </c>
      <c r="AP1124" s="213" t="str">
        <f t="shared" si="495"/>
        <v>2012</v>
      </c>
      <c r="AQ1124" s="215" t="str">
        <f t="shared" si="496"/>
        <v/>
      </c>
      <c r="AR1124" s="216" t="str">
        <f t="shared" si="497"/>
        <v>BiK82LK12y--05</v>
      </c>
      <c r="AS1124" s="215" t="str">
        <f t="shared" si="498"/>
        <v/>
      </c>
      <c r="AT1124">
        <f t="shared" si="499"/>
        <v>14</v>
      </c>
      <c r="AU1124" s="216" t="str">
        <f t="shared" si="500"/>
        <v>0,15-0,5 MW, Bonusregeln L, y und K erstmals 2012</v>
      </c>
      <c r="AV1124" s="215" t="str">
        <f t="shared" si="501"/>
        <v/>
      </c>
      <c r="AW1124" s="216" t="str">
        <f t="shared" si="502"/>
        <v>Anteil KWK, erstmals 2012</v>
      </c>
      <c r="AX1124" s="215" t="str">
        <f t="shared" si="503"/>
        <v/>
      </c>
      <c r="AY1124" t="str">
        <f t="shared" si="504"/>
        <v/>
      </c>
      <c r="AZ1124" t="str">
        <f t="shared" si="505"/>
        <v>x</v>
      </c>
    </row>
    <row r="1125" spans="1:52" x14ac:dyDescent="0.25">
      <c r="A1125" s="610" t="s">
        <v>2478</v>
      </c>
      <c r="B1125" s="30" t="s">
        <v>5548</v>
      </c>
      <c r="C1125" s="30" t="s">
        <v>1288</v>
      </c>
      <c r="D1125" s="30" t="s">
        <v>7070</v>
      </c>
      <c r="E1125" s="30" t="s">
        <v>4810</v>
      </c>
      <c r="F1125" s="454">
        <f t="shared" si="512"/>
        <v>19.75</v>
      </c>
      <c r="G1125" s="529">
        <v>19.75</v>
      </c>
      <c r="H1125" s="487">
        <f t="shared" si="513"/>
        <v>15.8</v>
      </c>
      <c r="I1125" s="706"/>
      <c r="J1125" s="669" t="s">
        <v>5805</v>
      </c>
      <c r="K1125" s="15"/>
      <c r="M1125" s="49">
        <f t="shared" si="514"/>
        <v>19.75</v>
      </c>
      <c r="N1125" s="41">
        <v>9.75</v>
      </c>
      <c r="O1125" s="186"/>
      <c r="P1125" s="177"/>
      <c r="Q1125" s="178"/>
      <c r="R1125" s="178"/>
      <c r="S1125" s="178" t="s">
        <v>4180</v>
      </c>
      <c r="T1125" t="s">
        <v>4180</v>
      </c>
      <c r="U1125" s="179"/>
      <c r="V1125" s="178"/>
      <c r="W1125" s="180"/>
      <c r="X1125" s="180"/>
      <c r="Y1125" s="178"/>
      <c r="Z1125" s="180"/>
      <c r="AA1125" s="184"/>
      <c r="AB1125" s="178"/>
      <c r="AC1125" s="180"/>
      <c r="AD1125" s="199" t="s">
        <v>1017</v>
      </c>
      <c r="AE1125" s="200"/>
      <c r="AF1125" s="180"/>
      <c r="AG1125" s="201"/>
      <c r="AH1125" s="212" t="str">
        <f t="shared" ref="AH1125:AH1130" si="521">IF(ISERROR(SEARCH("K erstmals 201",D1125)),"",RIGHT(D1125,4))</f>
        <v/>
      </c>
      <c r="AI1125" s="214" t="str">
        <f t="shared" si="506"/>
        <v/>
      </c>
      <c r="AJ1125" s="214" t="str">
        <f t="shared" si="507"/>
        <v/>
      </c>
      <c r="AK1125" s="214" t="str">
        <f t="shared" si="508"/>
        <v/>
      </c>
      <c r="AL1125" s="214" t="str">
        <f t="shared" si="509"/>
        <v/>
      </c>
      <c r="AM1125" s="214" t="str">
        <f t="shared" si="510"/>
        <v/>
      </c>
      <c r="AN1125" s="213" t="str">
        <f t="shared" si="493"/>
        <v/>
      </c>
      <c r="AO1125" s="213" t="str">
        <f t="shared" si="494"/>
        <v/>
      </c>
      <c r="AP1125" s="213" t="str">
        <f t="shared" si="495"/>
        <v/>
      </c>
      <c r="AQ1125" s="215" t="str">
        <f t="shared" si="496"/>
        <v/>
      </c>
      <c r="AR1125" s="216" t="str">
        <f t="shared" si="497"/>
        <v>BiK82X2-----05</v>
      </c>
      <c r="AS1125" s="215" t="str">
        <f t="shared" si="498"/>
        <v/>
      </c>
      <c r="AT1125">
        <f t="shared" si="499"/>
        <v>14</v>
      </c>
      <c r="AU1125" s="216" t="str">
        <f t="shared" si="500"/>
        <v>0,15-0,5 MW, Bonusregel X2</v>
      </c>
      <c r="AV1125" s="215" t="str">
        <f t="shared" si="501"/>
        <v/>
      </c>
      <c r="AW1125" s="216" t="str">
        <f t="shared" si="502"/>
        <v>Anteil Nicht-KWK</v>
      </c>
      <c r="AX1125" s="215" t="str">
        <f t="shared" si="503"/>
        <v/>
      </c>
      <c r="AY1125" t="str">
        <f t="shared" si="504"/>
        <v/>
      </c>
      <c r="AZ1125" t="str">
        <f t="shared" si="505"/>
        <v/>
      </c>
    </row>
    <row r="1126" spans="1:52" x14ac:dyDescent="0.25">
      <c r="A1126" s="610" t="s">
        <v>2479</v>
      </c>
      <c r="B1126" s="30" t="s">
        <v>5548</v>
      </c>
      <c r="C1126" s="30" t="s">
        <v>1288</v>
      </c>
      <c r="D1126" s="30" t="s">
        <v>7128</v>
      </c>
      <c r="E1126" s="30" t="s">
        <v>4812</v>
      </c>
      <c r="F1126" s="454">
        <f t="shared" si="512"/>
        <v>21.75</v>
      </c>
      <c r="G1126" s="529">
        <v>21.75</v>
      </c>
      <c r="H1126" s="487">
        <f t="shared" si="513"/>
        <v>17.399999999999999</v>
      </c>
      <c r="I1126" s="706"/>
      <c r="J1126" s="669" t="s">
        <v>5805</v>
      </c>
      <c r="K1126" s="15"/>
      <c r="M1126" s="49">
        <f t="shared" si="514"/>
        <v>21.75</v>
      </c>
      <c r="N1126" s="41">
        <v>9.75</v>
      </c>
      <c r="O1126" s="186" t="s">
        <v>1017</v>
      </c>
      <c r="P1126" s="177"/>
      <c r="Q1126" s="178"/>
      <c r="R1126" s="178"/>
      <c r="S1126" s="178" t="s">
        <v>4180</v>
      </c>
      <c r="T1126" t="s">
        <v>4180</v>
      </c>
      <c r="U1126" s="179"/>
      <c r="V1126" s="178"/>
      <c r="W1126" s="180"/>
      <c r="X1126" s="180"/>
      <c r="Y1126" s="178"/>
      <c r="Z1126" s="180"/>
      <c r="AA1126" s="184"/>
      <c r="AB1126" s="178"/>
      <c r="AC1126" s="180"/>
      <c r="AD1126" s="199" t="s">
        <v>1017</v>
      </c>
      <c r="AE1126" s="200"/>
      <c r="AF1126" s="180"/>
      <c r="AG1126" s="201"/>
      <c r="AH1126" s="212" t="str">
        <f t="shared" si="521"/>
        <v/>
      </c>
      <c r="AI1126" s="214" t="str">
        <f t="shared" si="506"/>
        <v/>
      </c>
      <c r="AJ1126" s="214" t="str">
        <f t="shared" si="507"/>
        <v/>
      </c>
      <c r="AK1126" s="214" t="str">
        <f t="shared" si="508"/>
        <v/>
      </c>
      <c r="AL1126" s="214" t="str">
        <f t="shared" si="509"/>
        <v/>
      </c>
      <c r="AM1126" s="214" t="str">
        <f t="shared" si="510"/>
        <v/>
      </c>
      <c r="AN1126" s="213" t="str">
        <f t="shared" si="493"/>
        <v/>
      </c>
      <c r="AO1126" s="213" t="str">
        <f t="shared" si="494"/>
        <v/>
      </c>
      <c r="AP1126" s="213" t="str">
        <f t="shared" si="495"/>
        <v/>
      </c>
      <c r="AQ1126" s="215" t="str">
        <f t="shared" si="496"/>
        <v/>
      </c>
      <c r="AR1126" s="216" t="str">
        <f t="shared" si="497"/>
        <v>BiK82X2KWK--05</v>
      </c>
      <c r="AS1126" s="215" t="str">
        <f t="shared" si="498"/>
        <v/>
      </c>
      <c r="AT1126">
        <f t="shared" si="499"/>
        <v>14</v>
      </c>
      <c r="AU1126" s="216" t="str">
        <f t="shared" si="500"/>
        <v>0,15-0,5 MW, Bonusregeln X2 und KWK</v>
      </c>
      <c r="AV1126" s="215" t="str">
        <f t="shared" si="501"/>
        <v/>
      </c>
      <c r="AW1126" s="216" t="str">
        <f t="shared" si="502"/>
        <v>Anteil KWK</v>
      </c>
      <c r="AX1126" s="215" t="str">
        <f t="shared" si="503"/>
        <v/>
      </c>
      <c r="AY1126" t="str">
        <f t="shared" si="504"/>
        <v/>
      </c>
      <c r="AZ1126" t="str">
        <f t="shared" si="505"/>
        <v/>
      </c>
    </row>
    <row r="1127" spans="1:52" x14ac:dyDescent="0.25">
      <c r="A1127" s="610" t="s">
        <v>2480</v>
      </c>
      <c r="B1127" s="30" t="s">
        <v>5548</v>
      </c>
      <c r="C1127" s="30" t="s">
        <v>1288</v>
      </c>
      <c r="D1127" s="30" t="s">
        <v>7071</v>
      </c>
      <c r="E1127" s="30" t="s">
        <v>4331</v>
      </c>
      <c r="F1127" s="454">
        <f t="shared" si="512"/>
        <v>22.75</v>
      </c>
      <c r="G1127" s="529">
        <v>22.75</v>
      </c>
      <c r="H1127" s="487">
        <f t="shared" si="513"/>
        <v>18.2</v>
      </c>
      <c r="I1127" s="706"/>
      <c r="J1127" s="669" t="s">
        <v>5805</v>
      </c>
      <c r="K1127" s="15"/>
      <c r="M1127" s="49">
        <f t="shared" si="514"/>
        <v>22.75</v>
      </c>
      <c r="N1127" s="41">
        <v>9.75</v>
      </c>
      <c r="O1127" s="186"/>
      <c r="P1127" s="178" t="s">
        <v>1017</v>
      </c>
      <c r="Q1127" s="178"/>
      <c r="R1127" s="178"/>
      <c r="S1127" s="178" t="s">
        <v>4180</v>
      </c>
      <c r="T1127" t="s">
        <v>4180</v>
      </c>
      <c r="U1127" s="179"/>
      <c r="V1127" s="178"/>
      <c r="W1127" s="180"/>
      <c r="X1127" s="180"/>
      <c r="Y1127" s="178"/>
      <c r="Z1127" s="180"/>
      <c r="AA1127" s="184"/>
      <c r="AB1127" s="178"/>
      <c r="AC1127" s="180"/>
      <c r="AD1127" s="199" t="s">
        <v>1017</v>
      </c>
      <c r="AE1127" s="200"/>
      <c r="AF1127" s="180"/>
      <c r="AG1127" s="201"/>
      <c r="AH1127" s="212" t="str">
        <f t="shared" si="521"/>
        <v/>
      </c>
      <c r="AI1127" s="214" t="str">
        <f t="shared" si="506"/>
        <v/>
      </c>
      <c r="AJ1127" s="214" t="str">
        <f t="shared" si="507"/>
        <v/>
      </c>
      <c r="AK1127" s="214" t="str">
        <f t="shared" si="508"/>
        <v/>
      </c>
      <c r="AL1127" s="214" t="str">
        <f t="shared" si="509"/>
        <v/>
      </c>
      <c r="AM1127" s="214" t="str">
        <f t="shared" si="510"/>
        <v/>
      </c>
      <c r="AN1127" s="213" t="str">
        <f t="shared" si="493"/>
        <v/>
      </c>
      <c r="AO1127" s="213" t="str">
        <f t="shared" si="494"/>
        <v/>
      </c>
      <c r="AP1127" s="213" t="str">
        <f t="shared" si="495"/>
        <v/>
      </c>
      <c r="AQ1127" s="215" t="str">
        <f t="shared" si="496"/>
        <v/>
      </c>
      <c r="AR1127" s="216" t="str">
        <f t="shared" si="497"/>
        <v>BiK82X2KA3--05</v>
      </c>
      <c r="AS1127" s="215" t="str">
        <f t="shared" si="498"/>
        <v/>
      </c>
      <c r="AT1127">
        <f t="shared" si="499"/>
        <v>14</v>
      </c>
      <c r="AU1127" s="216" t="str">
        <f t="shared" si="500"/>
        <v>0,15-0,5 MW, Bonusregeln X2 und K wenn Anlage 3 erfüllt</v>
      </c>
      <c r="AV1127" s="215" t="str">
        <f t="shared" si="501"/>
        <v/>
      </c>
      <c r="AW1127" s="216" t="str">
        <f t="shared" si="502"/>
        <v>Anteil KWK gemäß Anlage 3</v>
      </c>
      <c r="AX1127" s="215" t="str">
        <f t="shared" si="503"/>
        <v/>
      </c>
      <c r="AY1127" t="str">
        <f t="shared" si="504"/>
        <v/>
      </c>
      <c r="AZ1127" t="str">
        <f t="shared" si="505"/>
        <v/>
      </c>
    </row>
    <row r="1128" spans="1:52" x14ac:dyDescent="0.25">
      <c r="A1128" s="610" t="s">
        <v>2481</v>
      </c>
      <c r="B1128" s="30" t="s">
        <v>5548</v>
      </c>
      <c r="C1128" s="30" t="s">
        <v>1288</v>
      </c>
      <c r="D1128" s="30" t="s">
        <v>7072</v>
      </c>
      <c r="E1128" s="30" t="s">
        <v>674</v>
      </c>
      <c r="F1128" s="454">
        <f t="shared" si="512"/>
        <v>22.75</v>
      </c>
      <c r="G1128" s="529">
        <v>22.75</v>
      </c>
      <c r="H1128" s="487">
        <f t="shared" si="513"/>
        <v>18.2</v>
      </c>
      <c r="I1128" s="706"/>
      <c r="J1128" s="669" t="s">
        <v>5805</v>
      </c>
      <c r="K1128" s="15"/>
      <c r="M1128" s="49">
        <f t="shared" si="514"/>
        <v>22.75</v>
      </c>
      <c r="N1128" s="41">
        <v>9.75</v>
      </c>
      <c r="O1128" s="186"/>
      <c r="P1128" s="177"/>
      <c r="Q1128" s="178" t="s">
        <v>1017</v>
      </c>
      <c r="R1128" s="178"/>
      <c r="S1128" s="178" t="s">
        <v>4180</v>
      </c>
      <c r="T1128" t="s">
        <v>4180</v>
      </c>
      <c r="U1128" s="179"/>
      <c r="V1128" s="178"/>
      <c r="W1128" s="180"/>
      <c r="X1128" s="180"/>
      <c r="Y1128" s="178"/>
      <c r="Z1128" s="180"/>
      <c r="AA1128" s="184"/>
      <c r="AB1128" s="178"/>
      <c r="AC1128" s="180"/>
      <c r="AD1128" s="199" t="s">
        <v>1017</v>
      </c>
      <c r="AE1128" s="200"/>
      <c r="AF1128" s="180"/>
      <c r="AG1128" s="201"/>
      <c r="AH1128" s="212" t="str">
        <f t="shared" si="521"/>
        <v/>
      </c>
      <c r="AI1128" s="214" t="str">
        <f t="shared" si="506"/>
        <v/>
      </c>
      <c r="AJ1128" s="214" t="str">
        <f t="shared" si="507"/>
        <v/>
      </c>
      <c r="AK1128" s="214" t="str">
        <f t="shared" si="508"/>
        <v/>
      </c>
      <c r="AL1128" s="214" t="str">
        <f t="shared" si="509"/>
        <v/>
      </c>
      <c r="AM1128" s="214" t="str">
        <f t="shared" si="510"/>
        <v/>
      </c>
      <c r="AN1128" s="213" t="str">
        <f t="shared" si="493"/>
        <v/>
      </c>
      <c r="AO1128" s="213" t="str">
        <f t="shared" si="494"/>
        <v/>
      </c>
      <c r="AP1128" s="213" t="str">
        <f t="shared" si="495"/>
        <v/>
      </c>
      <c r="AQ1128" s="215" t="str">
        <f t="shared" si="496"/>
        <v/>
      </c>
      <c r="AR1128" s="216" t="str">
        <f t="shared" si="497"/>
        <v>BiK82X2K09--05</v>
      </c>
      <c r="AS1128" s="215" t="str">
        <f t="shared" si="498"/>
        <v/>
      </c>
      <c r="AT1128">
        <f t="shared" si="499"/>
        <v>14</v>
      </c>
      <c r="AU1128" s="216" t="str">
        <f t="shared" si="500"/>
        <v>0,15-0,5 MW, Bonusregeln X2 und K erstmals 2009</v>
      </c>
      <c r="AV1128" s="215" t="str">
        <f t="shared" si="501"/>
        <v/>
      </c>
      <c r="AW1128" s="216" t="str">
        <f t="shared" si="502"/>
        <v>Anteil KWK, erstmals 2009</v>
      </c>
      <c r="AX1128" s="215" t="str">
        <f t="shared" si="503"/>
        <v/>
      </c>
      <c r="AY1128" t="str">
        <f t="shared" si="504"/>
        <v/>
      </c>
      <c r="AZ1128" t="str">
        <f t="shared" si="505"/>
        <v/>
      </c>
    </row>
    <row r="1129" spans="1:52" x14ac:dyDescent="0.25">
      <c r="A1129" s="610" t="s">
        <v>3602</v>
      </c>
      <c r="B1129" s="30" t="s">
        <v>5548</v>
      </c>
      <c r="C1129" s="30" t="s">
        <v>1288</v>
      </c>
      <c r="D1129" s="30" t="s">
        <v>7073</v>
      </c>
      <c r="E1129" s="30" t="s">
        <v>3567</v>
      </c>
      <c r="F1129" s="454">
        <f t="shared" si="512"/>
        <v>22.72</v>
      </c>
      <c r="G1129" s="529">
        <v>22.72</v>
      </c>
      <c r="H1129" s="487">
        <f t="shared" si="513"/>
        <v>18.18</v>
      </c>
      <c r="I1129" s="706"/>
      <c r="J1129" s="669" t="s">
        <v>5805</v>
      </c>
      <c r="K1129" s="15"/>
      <c r="M1129" s="49">
        <f t="shared" si="514"/>
        <v>22.72</v>
      </c>
      <c r="N1129" s="41">
        <v>9.75</v>
      </c>
      <c r="O1129" s="186"/>
      <c r="P1129" s="177"/>
      <c r="Q1129" s="178"/>
      <c r="R1129" s="178" t="s">
        <v>1017</v>
      </c>
      <c r="S1129" s="178" t="s">
        <v>4180</v>
      </c>
      <c r="T1129" t="s">
        <v>4180</v>
      </c>
      <c r="U1129" s="179"/>
      <c r="V1129" s="178"/>
      <c r="W1129" s="180"/>
      <c r="X1129" s="180"/>
      <c r="Y1129" s="178"/>
      <c r="Z1129" s="180"/>
      <c r="AA1129" s="184"/>
      <c r="AB1129" s="178"/>
      <c r="AC1129" s="180"/>
      <c r="AD1129" s="199" t="s">
        <v>1017</v>
      </c>
      <c r="AE1129" s="200"/>
      <c r="AF1129" s="180"/>
      <c r="AG1129" s="201"/>
      <c r="AH1129" s="212" t="str">
        <f t="shared" si="521"/>
        <v>2010</v>
      </c>
      <c r="AI1129" s="214" t="str">
        <f t="shared" si="506"/>
        <v/>
      </c>
      <c r="AJ1129" s="214" t="str">
        <f t="shared" si="507"/>
        <v/>
      </c>
      <c r="AK1129" s="214" t="str">
        <f t="shared" si="508"/>
        <v/>
      </c>
      <c r="AL1129" s="214" t="str">
        <f t="shared" si="509"/>
        <v/>
      </c>
      <c r="AM1129" s="214" t="str">
        <f t="shared" si="510"/>
        <v/>
      </c>
      <c r="AN1129" s="213" t="str">
        <f t="shared" si="493"/>
        <v>2010</v>
      </c>
      <c r="AO1129" s="213" t="str">
        <f t="shared" si="494"/>
        <v>2010</v>
      </c>
      <c r="AP1129" s="213" t="str">
        <f t="shared" si="495"/>
        <v>2010</v>
      </c>
      <c r="AQ1129" s="215" t="str">
        <f t="shared" si="496"/>
        <v/>
      </c>
      <c r="AR1129" s="216" t="str">
        <f t="shared" si="497"/>
        <v>BiK82X2K10--05</v>
      </c>
      <c r="AS1129" s="215" t="str">
        <f t="shared" si="498"/>
        <v/>
      </c>
      <c r="AT1129">
        <f t="shared" si="499"/>
        <v>14</v>
      </c>
      <c r="AU1129" s="216" t="str">
        <f t="shared" si="500"/>
        <v>0,15-0,5 MW, Bonusregeln X2 und K erstmals 2010</v>
      </c>
      <c r="AV1129" s="215" t="str">
        <f t="shared" si="501"/>
        <v/>
      </c>
      <c r="AW1129" s="216" t="str">
        <f t="shared" si="502"/>
        <v>Anteil KWK, erstmals 2010</v>
      </c>
      <c r="AX1129" s="215" t="str">
        <f t="shared" si="503"/>
        <v/>
      </c>
      <c r="AY1129" t="str">
        <f t="shared" si="504"/>
        <v/>
      </c>
      <c r="AZ1129" t="str">
        <f t="shared" si="505"/>
        <v/>
      </c>
    </row>
    <row r="1130" spans="1:52" x14ac:dyDescent="0.25">
      <c r="A1130" s="610" t="s">
        <v>5333</v>
      </c>
      <c r="B1130" s="30" t="s">
        <v>5548</v>
      </c>
      <c r="C1130" s="30" t="s">
        <v>1288</v>
      </c>
      <c r="D1130" s="30" t="s">
        <v>7074</v>
      </c>
      <c r="E1130" s="30" t="s">
        <v>3055</v>
      </c>
      <c r="F1130" s="454">
        <f t="shared" si="512"/>
        <v>22.689999999999998</v>
      </c>
      <c r="G1130" s="529">
        <v>22.689999999999998</v>
      </c>
      <c r="H1130" s="487">
        <f t="shared" si="513"/>
        <v>18.149999999999999</v>
      </c>
      <c r="I1130" s="706"/>
      <c r="J1130" s="669" t="s">
        <v>5805</v>
      </c>
      <c r="K1130" s="15"/>
      <c r="M1130" s="49">
        <f t="shared" si="514"/>
        <v>22.689999999999998</v>
      </c>
      <c r="N1130" s="41">
        <v>9.75</v>
      </c>
      <c r="O1130" s="186"/>
      <c r="P1130" s="177"/>
      <c r="Q1130" s="178"/>
      <c r="R1130" s="178"/>
      <c r="S1130" s="178" t="s">
        <v>1017</v>
      </c>
      <c r="T1130" t="s">
        <v>4180</v>
      </c>
      <c r="U1130" s="179"/>
      <c r="V1130" s="178"/>
      <c r="W1130" s="180"/>
      <c r="X1130" s="180"/>
      <c r="Y1130" s="178"/>
      <c r="Z1130" s="180"/>
      <c r="AA1130" s="184"/>
      <c r="AB1130" s="178"/>
      <c r="AC1130" s="180"/>
      <c r="AD1130" s="199" t="s">
        <v>1017</v>
      </c>
      <c r="AE1130" s="200"/>
      <c r="AF1130" s="180"/>
      <c r="AG1130" s="201"/>
      <c r="AH1130" s="212" t="str">
        <f t="shared" si="521"/>
        <v>2011</v>
      </c>
      <c r="AI1130" s="214" t="str">
        <f t="shared" si="506"/>
        <v/>
      </c>
      <c r="AJ1130" s="214" t="str">
        <f t="shared" si="507"/>
        <v/>
      </c>
      <c r="AK1130" s="214" t="str">
        <f t="shared" si="508"/>
        <v/>
      </c>
      <c r="AL1130" s="214" t="str">
        <f t="shared" si="509"/>
        <v/>
      </c>
      <c r="AM1130" s="214" t="str">
        <f t="shared" si="510"/>
        <v/>
      </c>
      <c r="AN1130" s="213" t="str">
        <f t="shared" si="493"/>
        <v>2011</v>
      </c>
      <c r="AO1130" s="213" t="str">
        <f t="shared" si="494"/>
        <v>2011</v>
      </c>
      <c r="AP1130" s="213" t="str">
        <f t="shared" si="495"/>
        <v>2011</v>
      </c>
      <c r="AQ1130" s="215" t="str">
        <f t="shared" si="496"/>
        <v/>
      </c>
      <c r="AR1130" s="216" t="str">
        <f t="shared" si="497"/>
        <v>BiK82X2K11--05</v>
      </c>
      <c r="AS1130" s="215" t="str">
        <f t="shared" si="498"/>
        <v/>
      </c>
      <c r="AT1130">
        <f t="shared" si="499"/>
        <v>14</v>
      </c>
      <c r="AU1130" s="216" t="str">
        <f t="shared" si="500"/>
        <v>0,15-0,5 MW, Bonusregeln X2 und K erstmals 2011</v>
      </c>
      <c r="AV1130" s="215" t="str">
        <f t="shared" si="501"/>
        <v/>
      </c>
      <c r="AW1130" s="216" t="str">
        <f t="shared" si="502"/>
        <v>Anteil KWK, erstmals 2011</v>
      </c>
      <c r="AX1130" s="215" t="str">
        <f t="shared" si="503"/>
        <v/>
      </c>
      <c r="AY1130" t="str">
        <f t="shared" si="504"/>
        <v>x</v>
      </c>
      <c r="AZ1130" t="str">
        <f t="shared" si="505"/>
        <v/>
      </c>
    </row>
    <row r="1131" spans="1:52" x14ac:dyDescent="0.25">
      <c r="A1131" s="625" t="s">
        <v>1583</v>
      </c>
      <c r="B1131" s="219" t="s">
        <v>5548</v>
      </c>
      <c r="C1131" s="219" t="s">
        <v>1288</v>
      </c>
      <c r="D1131" s="219" t="s">
        <v>7075</v>
      </c>
      <c r="E1131" s="219" t="s">
        <v>1980</v>
      </c>
      <c r="F1131" s="455">
        <f t="shared" si="512"/>
        <v>22.66</v>
      </c>
      <c r="G1131" s="530">
        <v>22.66</v>
      </c>
      <c r="H1131" s="488">
        <f t="shared" si="513"/>
        <v>18.13</v>
      </c>
      <c r="I1131" s="707"/>
      <c r="J1131" s="669" t="s">
        <v>5805</v>
      </c>
      <c r="K1131" s="15"/>
      <c r="M1131" s="49">
        <f t="shared" si="514"/>
        <v>22.66</v>
      </c>
      <c r="N1131" s="41">
        <v>9.75</v>
      </c>
      <c r="O1131" s="186"/>
      <c r="P1131" s="177"/>
      <c r="Q1131" s="178"/>
      <c r="R1131" s="178"/>
      <c r="S1131" s="178" t="s">
        <v>4180</v>
      </c>
      <c r="T1131" t="s">
        <v>1017</v>
      </c>
      <c r="U1131" s="179"/>
      <c r="V1131" s="178"/>
      <c r="W1131" s="180"/>
      <c r="X1131" s="180"/>
      <c r="Y1131" s="178"/>
      <c r="Z1131" s="180"/>
      <c r="AA1131" s="184"/>
      <c r="AB1131" s="178"/>
      <c r="AC1131" s="180"/>
      <c r="AD1131" s="199" t="s">
        <v>1017</v>
      </c>
      <c r="AE1131" s="200"/>
      <c r="AF1131" s="180"/>
      <c r="AG1131" s="201"/>
      <c r="AH1131" s="217" t="s">
        <v>4179</v>
      </c>
      <c r="AI1131" s="214" t="str">
        <f t="shared" si="506"/>
        <v/>
      </c>
      <c r="AJ1131" s="214" t="str">
        <f t="shared" si="507"/>
        <v/>
      </c>
      <c r="AK1131" s="214" t="str">
        <f t="shared" si="508"/>
        <v/>
      </c>
      <c r="AL1131" s="214" t="str">
        <f t="shared" si="509"/>
        <v/>
      </c>
      <c r="AM1131" s="214" t="str">
        <f t="shared" si="510"/>
        <v/>
      </c>
      <c r="AN1131" s="213" t="str">
        <f t="shared" si="493"/>
        <v>2012</v>
      </c>
      <c r="AO1131" s="213" t="str">
        <f t="shared" si="494"/>
        <v>2012</v>
      </c>
      <c r="AP1131" s="213" t="str">
        <f t="shared" si="495"/>
        <v>2012</v>
      </c>
      <c r="AQ1131" s="215" t="str">
        <f t="shared" si="496"/>
        <v/>
      </c>
      <c r="AR1131" s="216" t="str">
        <f t="shared" si="497"/>
        <v>BiK82X2K12--05</v>
      </c>
      <c r="AS1131" s="215" t="str">
        <f t="shared" si="498"/>
        <v/>
      </c>
      <c r="AT1131">
        <f t="shared" si="499"/>
        <v>14</v>
      </c>
      <c r="AU1131" s="216" t="str">
        <f t="shared" si="500"/>
        <v>0,15-0,5 MW, Bonusregeln X2 und K erstmals 2012</v>
      </c>
      <c r="AV1131" s="215" t="str">
        <f t="shared" si="501"/>
        <v/>
      </c>
      <c r="AW1131" s="216" t="str">
        <f t="shared" si="502"/>
        <v>Anteil KWK, erstmals 2012</v>
      </c>
      <c r="AX1131" s="215" t="str">
        <f t="shared" si="503"/>
        <v/>
      </c>
      <c r="AY1131" t="str">
        <f t="shared" si="504"/>
        <v/>
      </c>
      <c r="AZ1131" t="str">
        <f t="shared" si="505"/>
        <v>x</v>
      </c>
    </row>
    <row r="1132" spans="1:52" x14ac:dyDescent="0.25">
      <c r="A1132" s="610" t="s">
        <v>2482</v>
      </c>
      <c r="B1132" s="30" t="s">
        <v>5548</v>
      </c>
      <c r="C1132" s="30" t="s">
        <v>1288</v>
      </c>
      <c r="D1132" s="30" t="s">
        <v>7076</v>
      </c>
      <c r="E1132" s="30" t="s">
        <v>4810</v>
      </c>
      <c r="F1132" s="454">
        <f t="shared" si="512"/>
        <v>20.75</v>
      </c>
      <c r="G1132" s="529">
        <v>20.75</v>
      </c>
      <c r="H1132" s="487">
        <f t="shared" si="513"/>
        <v>16.600000000000001</v>
      </c>
      <c r="I1132" s="706"/>
      <c r="J1132" s="669" t="s">
        <v>5805</v>
      </c>
      <c r="K1132" s="15"/>
      <c r="M1132" s="49">
        <f t="shared" si="514"/>
        <v>20.75</v>
      </c>
      <c r="N1132" s="41">
        <v>9.75</v>
      </c>
      <c r="O1132" s="187"/>
      <c r="P1132" s="183"/>
      <c r="Q1132" s="184"/>
      <c r="R1132" s="184"/>
      <c r="S1132" s="184" t="s">
        <v>4180</v>
      </c>
      <c r="T1132" t="s">
        <v>4180</v>
      </c>
      <c r="U1132" s="185" t="s">
        <v>1017</v>
      </c>
      <c r="V1132" s="184"/>
      <c r="W1132" s="180"/>
      <c r="X1132" s="180"/>
      <c r="Y1132" s="178"/>
      <c r="Z1132" s="180"/>
      <c r="AA1132" s="184"/>
      <c r="AB1132" s="178"/>
      <c r="AC1132" s="180"/>
      <c r="AD1132" s="182" t="s">
        <v>1017</v>
      </c>
      <c r="AE1132" s="181"/>
      <c r="AF1132" s="180"/>
      <c r="AG1132" s="201"/>
      <c r="AH1132" s="212" t="str">
        <f t="shared" ref="AH1132:AH1137" si="522">IF(ISERROR(SEARCH("K erstmals 201",D1132)),"",RIGHT(D1132,4))</f>
        <v/>
      </c>
      <c r="AI1132" s="214" t="str">
        <f t="shared" si="506"/>
        <v/>
      </c>
      <c r="AJ1132" s="214" t="str">
        <f t="shared" si="507"/>
        <v/>
      </c>
      <c r="AK1132" s="214" t="str">
        <f t="shared" si="508"/>
        <v/>
      </c>
      <c r="AL1132" s="214" t="str">
        <f t="shared" si="509"/>
        <v/>
      </c>
      <c r="AM1132" s="214" t="str">
        <f t="shared" si="510"/>
        <v/>
      </c>
      <c r="AN1132" s="213" t="str">
        <f t="shared" si="493"/>
        <v/>
      </c>
      <c r="AO1132" s="213" t="str">
        <f t="shared" si="494"/>
        <v/>
      </c>
      <c r="AP1132" s="213" t="str">
        <f t="shared" si="495"/>
        <v/>
      </c>
      <c r="AQ1132" s="215" t="str">
        <f t="shared" si="496"/>
        <v/>
      </c>
      <c r="AR1132" s="216" t="str">
        <f t="shared" si="497"/>
        <v>BiK82X2y----05</v>
      </c>
      <c r="AS1132" s="215" t="str">
        <f t="shared" si="498"/>
        <v/>
      </c>
      <c r="AT1132">
        <f t="shared" si="499"/>
        <v>14</v>
      </c>
      <c r="AU1132" s="216" t="str">
        <f t="shared" si="500"/>
        <v>0,15-0,5 MW, Bonusregeln X2, y</v>
      </c>
      <c r="AV1132" s="215" t="str">
        <f t="shared" si="501"/>
        <v/>
      </c>
      <c r="AW1132" s="216" t="str">
        <f t="shared" si="502"/>
        <v>Anteil Nicht-KWK</v>
      </c>
      <c r="AX1132" s="215" t="str">
        <f t="shared" si="503"/>
        <v/>
      </c>
      <c r="AY1132" t="str">
        <f t="shared" si="504"/>
        <v/>
      </c>
      <c r="AZ1132" t="str">
        <f t="shared" si="505"/>
        <v/>
      </c>
    </row>
    <row r="1133" spans="1:52" x14ac:dyDescent="0.25">
      <c r="A1133" s="610" t="s">
        <v>2483</v>
      </c>
      <c r="B1133" s="30" t="s">
        <v>5548</v>
      </c>
      <c r="C1133" s="30" t="s">
        <v>1288</v>
      </c>
      <c r="D1133" s="30" t="s">
        <v>7129</v>
      </c>
      <c r="E1133" s="30" t="s">
        <v>4812</v>
      </c>
      <c r="F1133" s="454">
        <f t="shared" si="512"/>
        <v>22.75</v>
      </c>
      <c r="G1133" s="529">
        <v>22.75</v>
      </c>
      <c r="H1133" s="487">
        <f t="shared" si="513"/>
        <v>18.2</v>
      </c>
      <c r="I1133" s="706"/>
      <c r="J1133" s="669" t="s">
        <v>5805</v>
      </c>
      <c r="K1133" s="15"/>
      <c r="M1133" s="49">
        <f t="shared" si="514"/>
        <v>22.75</v>
      </c>
      <c r="N1133" s="41">
        <v>9.75</v>
      </c>
      <c r="O1133" s="187" t="s">
        <v>1017</v>
      </c>
      <c r="P1133" s="183"/>
      <c r="Q1133" s="184"/>
      <c r="R1133" s="184"/>
      <c r="S1133" s="184" t="s">
        <v>4180</v>
      </c>
      <c r="T1133" t="s">
        <v>4180</v>
      </c>
      <c r="U1133" s="185" t="s">
        <v>1017</v>
      </c>
      <c r="V1133" s="184"/>
      <c r="W1133" s="180"/>
      <c r="X1133" s="180"/>
      <c r="Y1133" s="178"/>
      <c r="Z1133" s="180"/>
      <c r="AA1133" s="184"/>
      <c r="AB1133" s="178"/>
      <c r="AC1133" s="180"/>
      <c r="AD1133" s="182" t="s">
        <v>1017</v>
      </c>
      <c r="AE1133" s="181"/>
      <c r="AF1133" s="180"/>
      <c r="AG1133" s="201"/>
      <c r="AH1133" s="212" t="str">
        <f t="shared" si="522"/>
        <v/>
      </c>
      <c r="AI1133" s="214" t="str">
        <f t="shared" si="506"/>
        <v/>
      </c>
      <c r="AJ1133" s="214" t="str">
        <f t="shared" si="507"/>
        <v/>
      </c>
      <c r="AK1133" s="214" t="str">
        <f t="shared" si="508"/>
        <v/>
      </c>
      <c r="AL1133" s="214" t="str">
        <f t="shared" si="509"/>
        <v/>
      </c>
      <c r="AM1133" s="214" t="str">
        <f t="shared" si="510"/>
        <v/>
      </c>
      <c r="AN1133" s="213" t="str">
        <f t="shared" si="493"/>
        <v/>
      </c>
      <c r="AO1133" s="213" t="str">
        <f t="shared" si="494"/>
        <v/>
      </c>
      <c r="AP1133" s="213" t="str">
        <f t="shared" si="495"/>
        <v/>
      </c>
      <c r="AQ1133" s="215" t="str">
        <f t="shared" si="496"/>
        <v/>
      </c>
      <c r="AR1133" s="216" t="str">
        <f t="shared" si="497"/>
        <v>BiK82X2KWKy-05</v>
      </c>
      <c r="AS1133" s="215" t="str">
        <f t="shared" si="498"/>
        <v/>
      </c>
      <c r="AT1133">
        <f t="shared" si="499"/>
        <v>14</v>
      </c>
      <c r="AU1133" s="216" t="str">
        <f t="shared" si="500"/>
        <v>0,15-0,5 MW, Bonusregeln X2, y und KWK</v>
      </c>
      <c r="AV1133" s="215" t="str">
        <f t="shared" si="501"/>
        <v/>
      </c>
      <c r="AW1133" s="216" t="str">
        <f t="shared" si="502"/>
        <v>Anteil KWK</v>
      </c>
      <c r="AX1133" s="215" t="str">
        <f t="shared" si="503"/>
        <v/>
      </c>
      <c r="AY1133" t="str">
        <f t="shared" si="504"/>
        <v/>
      </c>
      <c r="AZ1133" t="str">
        <f t="shared" si="505"/>
        <v/>
      </c>
    </row>
    <row r="1134" spans="1:52" x14ac:dyDescent="0.25">
      <c r="A1134" s="610" t="s">
        <v>2484</v>
      </c>
      <c r="B1134" s="30" t="s">
        <v>5548</v>
      </c>
      <c r="C1134" s="30" t="s">
        <v>1288</v>
      </c>
      <c r="D1134" s="109" t="s">
        <v>7077</v>
      </c>
      <c r="E1134" s="30" t="s">
        <v>4331</v>
      </c>
      <c r="F1134" s="454">
        <f t="shared" si="512"/>
        <v>23.75</v>
      </c>
      <c r="G1134" s="529">
        <v>23.75</v>
      </c>
      <c r="H1134" s="487">
        <f t="shared" si="513"/>
        <v>19</v>
      </c>
      <c r="I1134" s="706"/>
      <c r="J1134" s="669" t="s">
        <v>5805</v>
      </c>
      <c r="K1134" s="15"/>
      <c r="M1134" s="49">
        <f t="shared" si="514"/>
        <v>23.75</v>
      </c>
      <c r="N1134" s="41">
        <v>9.75</v>
      </c>
      <c r="O1134" s="187"/>
      <c r="P1134" s="184" t="s">
        <v>1017</v>
      </c>
      <c r="Q1134" s="184"/>
      <c r="R1134" s="184"/>
      <c r="S1134" s="184" t="s">
        <v>4180</v>
      </c>
      <c r="T1134" t="s">
        <v>4180</v>
      </c>
      <c r="U1134" s="185" t="s">
        <v>1017</v>
      </c>
      <c r="V1134" s="184"/>
      <c r="W1134" s="180"/>
      <c r="X1134" s="180"/>
      <c r="Y1134" s="178"/>
      <c r="Z1134" s="180"/>
      <c r="AA1134" s="184"/>
      <c r="AB1134" s="178"/>
      <c r="AC1134" s="180"/>
      <c r="AD1134" s="182" t="s">
        <v>1017</v>
      </c>
      <c r="AE1134" s="181"/>
      <c r="AF1134" s="180"/>
      <c r="AG1134" s="201"/>
      <c r="AH1134" s="212" t="str">
        <f t="shared" si="522"/>
        <v/>
      </c>
      <c r="AI1134" s="214" t="str">
        <f t="shared" si="506"/>
        <v/>
      </c>
      <c r="AJ1134" s="214" t="str">
        <f t="shared" si="507"/>
        <v/>
      </c>
      <c r="AK1134" s="214" t="str">
        <f t="shared" si="508"/>
        <v/>
      </c>
      <c r="AL1134" s="214" t="str">
        <f t="shared" si="509"/>
        <v/>
      </c>
      <c r="AM1134" s="214" t="str">
        <f t="shared" si="510"/>
        <v/>
      </c>
      <c r="AN1134" s="213" t="str">
        <f t="shared" si="493"/>
        <v/>
      </c>
      <c r="AO1134" s="213" t="str">
        <f t="shared" si="494"/>
        <v/>
      </c>
      <c r="AP1134" s="213" t="str">
        <f t="shared" si="495"/>
        <v/>
      </c>
      <c r="AQ1134" s="215" t="str">
        <f t="shared" si="496"/>
        <v/>
      </c>
      <c r="AR1134" s="216" t="str">
        <f t="shared" si="497"/>
        <v>BiK82X2KA3y-05</v>
      </c>
      <c r="AS1134" s="215" t="str">
        <f t="shared" si="498"/>
        <v/>
      </c>
      <c r="AT1134">
        <f t="shared" si="499"/>
        <v>14</v>
      </c>
      <c r="AU1134" s="216" t="str">
        <f t="shared" si="500"/>
        <v>0,15-0,5 MW, Bonusregeln X2, y und K wenn Anlage 3 erfüllt</v>
      </c>
      <c r="AV1134" s="215" t="str">
        <f t="shared" si="501"/>
        <v/>
      </c>
      <c r="AW1134" s="216" t="str">
        <f t="shared" si="502"/>
        <v>Anteil KWK gemäß Anlage 3</v>
      </c>
      <c r="AX1134" s="215" t="str">
        <f t="shared" si="503"/>
        <v/>
      </c>
      <c r="AY1134" t="str">
        <f t="shared" si="504"/>
        <v/>
      </c>
      <c r="AZ1134" t="str">
        <f t="shared" si="505"/>
        <v/>
      </c>
    </row>
    <row r="1135" spans="1:52" x14ac:dyDescent="0.25">
      <c r="A1135" s="610" t="s">
        <v>2485</v>
      </c>
      <c r="B1135" s="30" t="s">
        <v>5548</v>
      </c>
      <c r="C1135" s="30" t="s">
        <v>1288</v>
      </c>
      <c r="D1135" s="30" t="s">
        <v>7078</v>
      </c>
      <c r="E1135" s="30" t="s">
        <v>674</v>
      </c>
      <c r="F1135" s="454">
        <f t="shared" si="512"/>
        <v>23.75</v>
      </c>
      <c r="G1135" s="529">
        <v>23.75</v>
      </c>
      <c r="H1135" s="487">
        <f t="shared" si="513"/>
        <v>19</v>
      </c>
      <c r="I1135" s="706"/>
      <c r="J1135" s="669" t="s">
        <v>5805</v>
      </c>
      <c r="K1135" s="15"/>
      <c r="M1135" s="49">
        <f t="shared" si="514"/>
        <v>23.75</v>
      </c>
      <c r="N1135" s="41">
        <v>9.75</v>
      </c>
      <c r="O1135" s="187"/>
      <c r="P1135" s="183"/>
      <c r="Q1135" s="184" t="s">
        <v>1017</v>
      </c>
      <c r="R1135" s="184"/>
      <c r="S1135" s="184" t="s">
        <v>4180</v>
      </c>
      <c r="T1135" t="s">
        <v>4180</v>
      </c>
      <c r="U1135" s="185" t="s">
        <v>1017</v>
      </c>
      <c r="V1135" s="184"/>
      <c r="W1135" s="180"/>
      <c r="X1135" s="180"/>
      <c r="Y1135" s="178"/>
      <c r="Z1135" s="180"/>
      <c r="AA1135" s="184"/>
      <c r="AB1135" s="178"/>
      <c r="AC1135" s="180"/>
      <c r="AD1135" s="182" t="s">
        <v>1017</v>
      </c>
      <c r="AE1135" s="181"/>
      <c r="AF1135" s="180"/>
      <c r="AG1135" s="201"/>
      <c r="AH1135" s="212" t="str">
        <f t="shared" si="522"/>
        <v/>
      </c>
      <c r="AI1135" s="214" t="str">
        <f t="shared" si="506"/>
        <v/>
      </c>
      <c r="AJ1135" s="214" t="str">
        <f t="shared" si="507"/>
        <v/>
      </c>
      <c r="AK1135" s="214" t="str">
        <f t="shared" si="508"/>
        <v/>
      </c>
      <c r="AL1135" s="214" t="str">
        <f t="shared" si="509"/>
        <v/>
      </c>
      <c r="AM1135" s="214" t="str">
        <f t="shared" si="510"/>
        <v/>
      </c>
      <c r="AN1135" s="213" t="str">
        <f t="shared" si="493"/>
        <v/>
      </c>
      <c r="AO1135" s="213" t="str">
        <f t="shared" si="494"/>
        <v/>
      </c>
      <c r="AP1135" s="213" t="str">
        <f t="shared" si="495"/>
        <v/>
      </c>
      <c r="AQ1135" s="215" t="str">
        <f t="shared" si="496"/>
        <v/>
      </c>
      <c r="AR1135" s="216" t="str">
        <f t="shared" si="497"/>
        <v>BiK82X2K09y-05</v>
      </c>
      <c r="AS1135" s="215" t="str">
        <f t="shared" si="498"/>
        <v/>
      </c>
      <c r="AT1135">
        <f t="shared" si="499"/>
        <v>14</v>
      </c>
      <c r="AU1135" s="216" t="str">
        <f t="shared" si="500"/>
        <v>0,15-0,5 MW, Bonusregeln X2, y und K erstmals 2009</v>
      </c>
      <c r="AV1135" s="215" t="str">
        <f t="shared" si="501"/>
        <v/>
      </c>
      <c r="AW1135" s="216" t="str">
        <f t="shared" si="502"/>
        <v>Anteil KWK, erstmals 2009</v>
      </c>
      <c r="AX1135" s="215" t="str">
        <f t="shared" si="503"/>
        <v/>
      </c>
      <c r="AY1135" t="str">
        <f t="shared" si="504"/>
        <v/>
      </c>
      <c r="AZ1135" t="str">
        <f t="shared" si="505"/>
        <v/>
      </c>
    </row>
    <row r="1136" spans="1:52" x14ac:dyDescent="0.25">
      <c r="A1136" s="610" t="s">
        <v>3603</v>
      </c>
      <c r="B1136" s="30" t="s">
        <v>5548</v>
      </c>
      <c r="C1136" s="30" t="s">
        <v>1288</v>
      </c>
      <c r="D1136" s="30" t="s">
        <v>7079</v>
      </c>
      <c r="E1136" s="30" t="s">
        <v>3567</v>
      </c>
      <c r="F1136" s="454">
        <f t="shared" si="512"/>
        <v>23.72</v>
      </c>
      <c r="G1136" s="529">
        <v>23.72</v>
      </c>
      <c r="H1136" s="487">
        <f t="shared" si="513"/>
        <v>18.98</v>
      </c>
      <c r="I1136" s="706"/>
      <c r="J1136" s="669" t="s">
        <v>5805</v>
      </c>
      <c r="K1136" s="15"/>
      <c r="M1136" s="49">
        <f t="shared" si="514"/>
        <v>23.72</v>
      </c>
      <c r="N1136" s="41">
        <v>9.75</v>
      </c>
      <c r="O1136" s="187"/>
      <c r="P1136" s="183"/>
      <c r="Q1136" s="184"/>
      <c r="R1136" s="184" t="s">
        <v>1017</v>
      </c>
      <c r="S1136" s="184" t="s">
        <v>4180</v>
      </c>
      <c r="T1136" t="s">
        <v>4180</v>
      </c>
      <c r="U1136" s="185" t="s">
        <v>1017</v>
      </c>
      <c r="V1136" s="184"/>
      <c r="W1136" s="180"/>
      <c r="X1136" s="180"/>
      <c r="Y1136" s="178"/>
      <c r="Z1136" s="180"/>
      <c r="AA1136" s="184"/>
      <c r="AB1136" s="178"/>
      <c r="AC1136" s="180"/>
      <c r="AD1136" s="182" t="s">
        <v>1017</v>
      </c>
      <c r="AE1136" s="181"/>
      <c r="AF1136" s="180"/>
      <c r="AG1136" s="201"/>
      <c r="AH1136" s="212" t="str">
        <f t="shared" si="522"/>
        <v>2010</v>
      </c>
      <c r="AI1136" s="214" t="str">
        <f t="shared" si="506"/>
        <v/>
      </c>
      <c r="AJ1136" s="214" t="str">
        <f t="shared" si="507"/>
        <v/>
      </c>
      <c r="AK1136" s="214" t="str">
        <f t="shared" si="508"/>
        <v/>
      </c>
      <c r="AL1136" s="214" t="str">
        <f t="shared" si="509"/>
        <v/>
      </c>
      <c r="AM1136" s="214" t="str">
        <f t="shared" si="510"/>
        <v/>
      </c>
      <c r="AN1136" s="213" t="str">
        <f t="shared" si="493"/>
        <v>2010</v>
      </c>
      <c r="AO1136" s="213" t="str">
        <f t="shared" si="494"/>
        <v>2010</v>
      </c>
      <c r="AP1136" s="213" t="str">
        <f t="shared" si="495"/>
        <v>2010</v>
      </c>
      <c r="AQ1136" s="215" t="str">
        <f t="shared" si="496"/>
        <v/>
      </c>
      <c r="AR1136" s="216" t="str">
        <f t="shared" si="497"/>
        <v>BiK82X2K10y-05</v>
      </c>
      <c r="AS1136" s="215" t="str">
        <f t="shared" si="498"/>
        <v/>
      </c>
      <c r="AT1136">
        <f t="shared" si="499"/>
        <v>14</v>
      </c>
      <c r="AU1136" s="216" t="str">
        <f t="shared" si="500"/>
        <v>0,15-0,5 MW, Bonusregeln X2, y und K erstmals 2010</v>
      </c>
      <c r="AV1136" s="215" t="str">
        <f t="shared" si="501"/>
        <v/>
      </c>
      <c r="AW1136" s="216" t="str">
        <f t="shared" si="502"/>
        <v>Anteil KWK, erstmals 2010</v>
      </c>
      <c r="AX1136" s="215" t="str">
        <f t="shared" si="503"/>
        <v/>
      </c>
      <c r="AY1136" t="str">
        <f t="shared" si="504"/>
        <v/>
      </c>
      <c r="AZ1136" t="str">
        <f t="shared" si="505"/>
        <v/>
      </c>
    </row>
    <row r="1137" spans="1:52" x14ac:dyDescent="0.25">
      <c r="A1137" s="610" t="s">
        <v>5334</v>
      </c>
      <c r="B1137" s="30" t="s">
        <v>5548</v>
      </c>
      <c r="C1137" s="30" t="s">
        <v>1288</v>
      </c>
      <c r="D1137" s="30" t="s">
        <v>7080</v>
      </c>
      <c r="E1137" s="30" t="s">
        <v>3055</v>
      </c>
      <c r="F1137" s="454">
        <f t="shared" si="512"/>
        <v>23.689999999999998</v>
      </c>
      <c r="G1137" s="529">
        <v>23.689999999999998</v>
      </c>
      <c r="H1137" s="487">
        <f t="shared" si="513"/>
        <v>18.95</v>
      </c>
      <c r="I1137" s="706"/>
      <c r="J1137" s="669" t="s">
        <v>5805</v>
      </c>
      <c r="K1137" s="15"/>
      <c r="M1137" s="49">
        <f t="shared" si="514"/>
        <v>23.689999999999998</v>
      </c>
      <c r="N1137" s="41">
        <v>9.75</v>
      </c>
      <c r="O1137" s="187"/>
      <c r="P1137" s="183"/>
      <c r="Q1137" s="184"/>
      <c r="R1137" s="178"/>
      <c r="S1137" s="184" t="s">
        <v>1017</v>
      </c>
      <c r="T1137" t="s">
        <v>4180</v>
      </c>
      <c r="U1137" s="185" t="s">
        <v>1017</v>
      </c>
      <c r="V1137" s="184"/>
      <c r="W1137" s="180"/>
      <c r="X1137" s="180"/>
      <c r="Y1137" s="178"/>
      <c r="Z1137" s="180"/>
      <c r="AA1137" s="184"/>
      <c r="AB1137" s="178"/>
      <c r="AC1137" s="180"/>
      <c r="AD1137" s="182" t="s">
        <v>1017</v>
      </c>
      <c r="AE1137" s="181"/>
      <c r="AF1137" s="180"/>
      <c r="AG1137" s="201"/>
      <c r="AH1137" s="212" t="str">
        <f t="shared" si="522"/>
        <v>2011</v>
      </c>
      <c r="AI1137" s="214" t="str">
        <f t="shared" si="506"/>
        <v/>
      </c>
      <c r="AJ1137" s="214" t="str">
        <f t="shared" si="507"/>
        <v/>
      </c>
      <c r="AK1137" s="214" t="str">
        <f t="shared" si="508"/>
        <v/>
      </c>
      <c r="AL1137" s="214" t="str">
        <f t="shared" si="509"/>
        <v/>
      </c>
      <c r="AM1137" s="214" t="str">
        <f t="shared" si="510"/>
        <v/>
      </c>
      <c r="AN1137" s="213" t="str">
        <f t="shared" si="493"/>
        <v>2011</v>
      </c>
      <c r="AO1137" s="213" t="str">
        <f t="shared" si="494"/>
        <v>2011</v>
      </c>
      <c r="AP1137" s="213" t="str">
        <f t="shared" si="495"/>
        <v>2011</v>
      </c>
      <c r="AQ1137" s="215" t="str">
        <f t="shared" si="496"/>
        <v/>
      </c>
      <c r="AR1137" s="216" t="str">
        <f t="shared" si="497"/>
        <v>BiK82X2K11y-05</v>
      </c>
      <c r="AS1137" s="215" t="str">
        <f t="shared" si="498"/>
        <v/>
      </c>
      <c r="AT1137">
        <f t="shared" si="499"/>
        <v>14</v>
      </c>
      <c r="AU1137" s="216" t="str">
        <f t="shared" si="500"/>
        <v>0,15-0,5 MW, Bonusregeln X2, y und K erstmals 2011</v>
      </c>
      <c r="AV1137" s="215" t="str">
        <f t="shared" si="501"/>
        <v/>
      </c>
      <c r="AW1137" s="216" t="str">
        <f t="shared" si="502"/>
        <v>Anteil KWK, erstmals 2011</v>
      </c>
      <c r="AX1137" s="215" t="str">
        <f t="shared" si="503"/>
        <v/>
      </c>
      <c r="AY1137" t="str">
        <f t="shared" si="504"/>
        <v>x</v>
      </c>
      <c r="AZ1137" t="str">
        <f t="shared" si="505"/>
        <v/>
      </c>
    </row>
    <row r="1138" spans="1:52" x14ac:dyDescent="0.25">
      <c r="A1138" s="625" t="s">
        <v>1584</v>
      </c>
      <c r="B1138" s="219" t="s">
        <v>5548</v>
      </c>
      <c r="C1138" s="219" t="s">
        <v>1288</v>
      </c>
      <c r="D1138" s="219" t="s">
        <v>7081</v>
      </c>
      <c r="E1138" s="219" t="s">
        <v>1980</v>
      </c>
      <c r="F1138" s="455">
        <f t="shared" si="512"/>
        <v>23.66</v>
      </c>
      <c r="G1138" s="530">
        <v>23.66</v>
      </c>
      <c r="H1138" s="488">
        <f t="shared" si="513"/>
        <v>18.93</v>
      </c>
      <c r="I1138" s="707"/>
      <c r="J1138" s="669" t="s">
        <v>5805</v>
      </c>
      <c r="K1138" s="15"/>
      <c r="M1138" s="49">
        <f t="shared" si="514"/>
        <v>23.66</v>
      </c>
      <c r="N1138" s="41">
        <v>9.75</v>
      </c>
      <c r="O1138" s="187"/>
      <c r="P1138" s="183"/>
      <c r="Q1138" s="184"/>
      <c r="R1138" s="178"/>
      <c r="S1138" s="184" t="s">
        <v>4180</v>
      </c>
      <c r="T1138" t="s">
        <v>1017</v>
      </c>
      <c r="U1138" s="185" t="s">
        <v>1017</v>
      </c>
      <c r="V1138" s="184"/>
      <c r="W1138" s="180"/>
      <c r="X1138" s="180"/>
      <c r="Y1138" s="178"/>
      <c r="Z1138" s="180"/>
      <c r="AA1138" s="184"/>
      <c r="AB1138" s="178"/>
      <c r="AC1138" s="180"/>
      <c r="AD1138" s="182" t="s">
        <v>1017</v>
      </c>
      <c r="AE1138" s="181"/>
      <c r="AF1138" s="180"/>
      <c r="AG1138" s="201"/>
      <c r="AH1138" s="217" t="s">
        <v>4179</v>
      </c>
      <c r="AI1138" s="214" t="str">
        <f t="shared" si="506"/>
        <v/>
      </c>
      <c r="AJ1138" s="214" t="str">
        <f t="shared" si="507"/>
        <v/>
      </c>
      <c r="AK1138" s="214" t="str">
        <f t="shared" si="508"/>
        <v/>
      </c>
      <c r="AL1138" s="214" t="str">
        <f t="shared" si="509"/>
        <v/>
      </c>
      <c r="AM1138" s="214" t="str">
        <f t="shared" si="510"/>
        <v/>
      </c>
      <c r="AN1138" s="213" t="str">
        <f t="shared" ref="AN1138:AN1201" si="523">IF(ISERROR(SEARCH("K1",A1138)),"","20"&amp;MID(A1138,SEARCH("K1",A1138)+1,2))</f>
        <v>2012</v>
      </c>
      <c r="AO1138" s="213" t="str">
        <f t="shared" ref="AO1138:AO1201" si="524">IF(ISERROR(SEARCH("erstmals 201",E1138)),"",MID(E1138,SEARCH("erstmals ",E1138)+9,4))</f>
        <v>2012</v>
      </c>
      <c r="AP1138" s="213" t="str">
        <f t="shared" ref="AP1138:AP1201" si="525">IF(R1138="x","2010",IF(S1138="x","2011",IF(T1138="x","2012","")))</f>
        <v>2012</v>
      </c>
      <c r="AQ1138" s="215" t="str">
        <f t="shared" ref="AQ1138:AQ1201" si="526">IF(OR(AH1138&lt;&gt;AN1138,AH1138&lt;&gt;AO1138,AH1138&lt;&gt;AP1138),"DIFF","")</f>
        <v/>
      </c>
      <c r="AR1138" s="216" t="str">
        <f t="shared" ref="AR1138:AR1201" si="527">IF(A1138="","",IF(ISERROR(SEARCH("K1",A1138)),A1138,LEFT(A1138,SEARCH("K1",A1138)+1)&amp;RIGHT(AH1138,1)&amp;MID(A1138,SEARCH("K1",A1138)+3,14)))</f>
        <v>BiK82X2K12y-05</v>
      </c>
      <c r="AS1138" s="215" t="str">
        <f t="shared" ref="AS1138:AS1201" si="528">IF(OR(A1138&lt;&gt;AR1138),"DIFF","")</f>
        <v/>
      </c>
      <c r="AT1138">
        <f t="shared" ref="AT1138:AT1201" si="529">LEN(AR1138)</f>
        <v>14</v>
      </c>
      <c r="AU1138" s="216" t="str">
        <f t="shared" ref="AU1138:AU1201" si="530">IF(D1138="","",IF(OR(A1138="",ISERROR(SEARCH("erstmals 201",D1138))),D1138,LEFT(D1138,SEARCH("erstmals 201",D1138)+8) &amp; AH1138 &amp; MID(D1138,SEARCH("erstmals 201",D1138)+13,255)))</f>
        <v>0,15-0,5 MW, Bonusregeln X2, y und K erstmals 2012</v>
      </c>
      <c r="AV1138" s="215" t="str">
        <f t="shared" ref="AV1138:AV1201" si="531">IF(OR(D1138&lt;&gt;AU1138),"DIFF","")</f>
        <v/>
      </c>
      <c r="AW1138" s="216" t="str">
        <f t="shared" ref="AW1138:AW1201" si="532">IF(E1138="","",IF(OR(E1138="",ISERROR(SEARCH("erstmals 201",E1138))),E1138,LEFT(E1138,SEARCH("erstmals 201",E1138)+8) &amp; AH1138 &amp; MID(E1138,SEARCH("erstmals 201",E1138)+13,255)))</f>
        <v>Anteil KWK, erstmals 2012</v>
      </c>
      <c r="AX1138" s="215" t="str">
        <f t="shared" ref="AX1138:AX1201" si="533">IF(OR(E1138&lt;&gt;AW1138),"DIFF","")</f>
        <v/>
      </c>
      <c r="AY1138" t="str">
        <f t="shared" ref="AY1138:AY1201" si="534">IF(AH1138="2011","x",IF(AH1138="2012","","" &amp; S1138))</f>
        <v/>
      </c>
      <c r="AZ1138" t="str">
        <f t="shared" ref="AZ1138:AZ1201" si="535">IF(AH1138="2012","x",IF(AH1138="2011","","" &amp; T1138))</f>
        <v>x</v>
      </c>
    </row>
    <row r="1139" spans="1:52" x14ac:dyDescent="0.25">
      <c r="A1139" s="609" t="s">
        <v>4123</v>
      </c>
      <c r="B1139" s="1" t="s">
        <v>5548</v>
      </c>
      <c r="C1139" s="2" t="s">
        <v>1288</v>
      </c>
      <c r="D1139" s="1" t="s">
        <v>7130</v>
      </c>
      <c r="E1139" s="1" t="s">
        <v>4810</v>
      </c>
      <c r="F1139" s="456">
        <f t="shared" si="512"/>
        <v>11.75</v>
      </c>
      <c r="G1139" s="531">
        <v>11.75</v>
      </c>
      <c r="H1139" s="489">
        <f t="shared" si="513"/>
        <v>9.4</v>
      </c>
      <c r="I1139" s="708"/>
      <c r="J1139" s="669" t="s">
        <v>5805</v>
      </c>
      <c r="K1139" s="15"/>
      <c r="M1139" s="49">
        <f t="shared" si="514"/>
        <v>11.75</v>
      </c>
      <c r="N1139" s="41">
        <v>9.75</v>
      </c>
      <c r="O1139" s="54"/>
      <c r="P1139" s="15"/>
      <c r="S1139" t="s">
        <v>4180</v>
      </c>
      <c r="T1139" t="s">
        <v>4180</v>
      </c>
      <c r="U1139" s="55"/>
      <c r="W1139" s="65"/>
      <c r="X1139" s="65"/>
      <c r="Z1139" s="65"/>
      <c r="AC1139" s="65"/>
      <c r="AD1139" s="92"/>
      <c r="AE1139" s="124" t="s">
        <v>1017</v>
      </c>
      <c r="AF1139" s="65"/>
      <c r="AG1139" s="91"/>
      <c r="AH1139" s="212" t="str">
        <f t="shared" ref="AH1139:AH1144" si="536">IF(ISERROR(SEARCH("K erstmals 201",D1139)),"",RIGHT(D1139,4))</f>
        <v/>
      </c>
      <c r="AI1139" s="214" t="str">
        <f t="shared" ref="AI1139:AI1202" si="537">IF(AND($AH1139&lt;&gt;"",AH1139 =AH1138),"Gleich","")</f>
        <v/>
      </c>
      <c r="AJ1139" s="214" t="str">
        <f t="shared" ref="AJ1139:AJ1202" si="538">IF(AND($AH1139&lt;&gt;"",A1139 =A1138),"Gleich","")</f>
        <v/>
      </c>
      <c r="AK1139" s="214" t="str">
        <f t="shared" ref="AK1139:AK1202" si="539">IF(AND($AH1139&lt;&gt;"",D1139 =D1138),"Gleich","")</f>
        <v/>
      </c>
      <c r="AL1139" s="214" t="str">
        <f t="shared" ref="AL1139:AL1202" si="540">IF(AND($AH1139&lt;&gt;"",E1139 =E1138),"Gleich","")</f>
        <v/>
      </c>
      <c r="AM1139" s="214" t="str">
        <f t="shared" ref="AM1139:AM1202" si="541">IF(AND($AH1139&lt;&gt;"",F1139 =F1138),"Gleich","")</f>
        <v/>
      </c>
      <c r="AN1139" s="213" t="str">
        <f t="shared" si="523"/>
        <v/>
      </c>
      <c r="AO1139" s="213" t="str">
        <f t="shared" si="524"/>
        <v/>
      </c>
      <c r="AP1139" s="213" t="str">
        <f t="shared" si="525"/>
        <v/>
      </c>
      <c r="AQ1139" s="215" t="str">
        <f t="shared" si="526"/>
        <v/>
      </c>
      <c r="AR1139" s="216" t="str">
        <f t="shared" si="527"/>
        <v>BiK82b------05</v>
      </c>
      <c r="AS1139" s="215" t="str">
        <f t="shared" si="528"/>
        <v/>
      </c>
      <c r="AT1139">
        <f t="shared" si="529"/>
        <v>14</v>
      </c>
      <c r="AU1139" s="216" t="str">
        <f t="shared" si="530"/>
        <v>0,15-0,5 MW, Bonusregel b</v>
      </c>
      <c r="AV1139" s="215" t="str">
        <f t="shared" si="531"/>
        <v/>
      </c>
      <c r="AW1139" s="216" t="str">
        <f t="shared" si="532"/>
        <v>Anteil Nicht-KWK</v>
      </c>
      <c r="AX1139" s="215" t="str">
        <f t="shared" si="533"/>
        <v/>
      </c>
      <c r="AY1139" t="str">
        <f t="shared" si="534"/>
        <v/>
      </c>
      <c r="AZ1139" t="str">
        <f t="shared" si="535"/>
        <v/>
      </c>
    </row>
    <row r="1140" spans="1:52" x14ac:dyDescent="0.25">
      <c r="A1140" s="609" t="s">
        <v>4159</v>
      </c>
      <c r="B1140" s="1" t="s">
        <v>5548</v>
      </c>
      <c r="C1140" s="2" t="s">
        <v>1288</v>
      </c>
      <c r="D1140" s="36" t="s">
        <v>7131</v>
      </c>
      <c r="E1140" s="1" t="s">
        <v>4812</v>
      </c>
      <c r="F1140" s="456">
        <f t="shared" si="512"/>
        <v>13.75</v>
      </c>
      <c r="G1140" s="531">
        <v>13.75</v>
      </c>
      <c r="H1140" s="489">
        <f t="shared" si="513"/>
        <v>11</v>
      </c>
      <c r="I1140" s="708"/>
      <c r="J1140" s="669" t="s">
        <v>5805</v>
      </c>
      <c r="K1140" s="15"/>
      <c r="M1140" s="49">
        <f t="shared" si="514"/>
        <v>13.75</v>
      </c>
      <c r="N1140" s="41">
        <v>9.75</v>
      </c>
      <c r="O1140" s="54" t="s">
        <v>1017</v>
      </c>
      <c r="P1140" s="15"/>
      <c r="S1140" t="s">
        <v>4180</v>
      </c>
      <c r="T1140" t="s">
        <v>4180</v>
      </c>
      <c r="U1140" s="55"/>
      <c r="W1140" s="65"/>
      <c r="X1140" s="65"/>
      <c r="Z1140" s="65"/>
      <c r="AC1140" s="65"/>
      <c r="AD1140" s="92"/>
      <c r="AE1140" s="124" t="s">
        <v>1017</v>
      </c>
      <c r="AF1140" s="65"/>
      <c r="AG1140" s="91"/>
      <c r="AH1140" s="212" t="str">
        <f t="shared" si="536"/>
        <v/>
      </c>
      <c r="AI1140" s="214" t="str">
        <f t="shared" si="537"/>
        <v/>
      </c>
      <c r="AJ1140" s="214" t="str">
        <f t="shared" si="538"/>
        <v/>
      </c>
      <c r="AK1140" s="214" t="str">
        <f t="shared" si="539"/>
        <v/>
      </c>
      <c r="AL1140" s="214" t="str">
        <f t="shared" si="540"/>
        <v/>
      </c>
      <c r="AM1140" s="214" t="str">
        <f t="shared" si="541"/>
        <v/>
      </c>
      <c r="AN1140" s="213" t="str">
        <f t="shared" si="523"/>
        <v/>
      </c>
      <c r="AO1140" s="213" t="str">
        <f t="shared" si="524"/>
        <v/>
      </c>
      <c r="AP1140" s="213" t="str">
        <f t="shared" si="525"/>
        <v/>
      </c>
      <c r="AQ1140" s="215" t="str">
        <f t="shared" si="526"/>
        <v/>
      </c>
      <c r="AR1140" s="216" t="str">
        <f t="shared" si="527"/>
        <v>BiK82bKWK---05</v>
      </c>
      <c r="AS1140" s="215" t="str">
        <f t="shared" si="528"/>
        <v/>
      </c>
      <c r="AT1140">
        <f t="shared" si="529"/>
        <v>14</v>
      </c>
      <c r="AU1140" s="216" t="str">
        <f t="shared" si="530"/>
        <v>0,15-0,5 MW, Bonusregeln b und KWK</v>
      </c>
      <c r="AV1140" s="215" t="str">
        <f t="shared" si="531"/>
        <v/>
      </c>
      <c r="AW1140" s="216" t="str">
        <f t="shared" si="532"/>
        <v>Anteil KWK</v>
      </c>
      <c r="AX1140" s="215" t="str">
        <f t="shared" si="533"/>
        <v/>
      </c>
      <c r="AY1140" t="str">
        <f t="shared" si="534"/>
        <v/>
      </c>
      <c r="AZ1140" t="str">
        <f t="shared" si="535"/>
        <v/>
      </c>
    </row>
    <row r="1141" spans="1:52" s="178" customFormat="1" x14ac:dyDescent="0.25">
      <c r="A1141" s="610" t="s">
        <v>4348</v>
      </c>
      <c r="B1141" s="17" t="s">
        <v>5548</v>
      </c>
      <c r="C1141" s="30" t="s">
        <v>1288</v>
      </c>
      <c r="D1141" s="30" t="s">
        <v>7132</v>
      </c>
      <c r="E1141" s="30" t="s">
        <v>4331</v>
      </c>
      <c r="F1141" s="454">
        <f t="shared" si="512"/>
        <v>14.75</v>
      </c>
      <c r="G1141" s="529">
        <v>14.75</v>
      </c>
      <c r="H1141" s="487">
        <f t="shared" si="513"/>
        <v>11.8</v>
      </c>
      <c r="I1141" s="706"/>
      <c r="J1141" s="669" t="s">
        <v>5805</v>
      </c>
      <c r="K1141" s="15"/>
      <c r="L1141"/>
      <c r="M1141" s="49">
        <f t="shared" si="514"/>
        <v>14.75</v>
      </c>
      <c r="N1141" s="41">
        <v>9.75</v>
      </c>
      <c r="O1141" s="54"/>
      <c r="P1141" t="s">
        <v>1017</v>
      </c>
      <c r="Q1141"/>
      <c r="R1141"/>
      <c r="S1141" t="s">
        <v>4180</v>
      </c>
      <c r="T1141" s="178" t="s">
        <v>4180</v>
      </c>
      <c r="U1141" s="55"/>
      <c r="V1141"/>
      <c r="W1141" s="65"/>
      <c r="X1141" s="65"/>
      <c r="Y1141"/>
      <c r="Z1141" s="65"/>
      <c r="AA1141"/>
      <c r="AB1141"/>
      <c r="AC1141" s="65"/>
      <c r="AD1141" s="92"/>
      <c r="AE1141" s="124" t="s">
        <v>1017</v>
      </c>
      <c r="AF1141" s="65"/>
      <c r="AG1141" s="91"/>
      <c r="AH1141" s="212" t="str">
        <f t="shared" si="536"/>
        <v/>
      </c>
      <c r="AI1141" s="214" t="str">
        <f t="shared" si="537"/>
        <v/>
      </c>
      <c r="AJ1141" s="214" t="str">
        <f t="shared" si="538"/>
        <v/>
      </c>
      <c r="AK1141" s="214" t="str">
        <f t="shared" si="539"/>
        <v/>
      </c>
      <c r="AL1141" s="214" t="str">
        <f t="shared" si="540"/>
        <v/>
      </c>
      <c r="AM1141" s="214" t="str">
        <f t="shared" si="541"/>
        <v/>
      </c>
      <c r="AN1141" s="213" t="str">
        <f t="shared" si="523"/>
        <v/>
      </c>
      <c r="AO1141" s="213" t="str">
        <f t="shared" si="524"/>
        <v/>
      </c>
      <c r="AP1141" s="213" t="str">
        <f t="shared" si="525"/>
        <v/>
      </c>
      <c r="AQ1141" s="215" t="str">
        <f t="shared" si="526"/>
        <v/>
      </c>
      <c r="AR1141" s="216" t="str">
        <f t="shared" si="527"/>
        <v>BiK82bKA3---05</v>
      </c>
      <c r="AS1141" s="215" t="str">
        <f t="shared" si="528"/>
        <v/>
      </c>
      <c r="AT1141">
        <f t="shared" si="529"/>
        <v>14</v>
      </c>
      <c r="AU1141" s="216" t="str">
        <f t="shared" si="530"/>
        <v>0,15-0,5 MW, Bonusregeln b und K wenn Anlage 3 erfüllt</v>
      </c>
      <c r="AV1141" s="215" t="str">
        <f t="shared" si="531"/>
        <v/>
      </c>
      <c r="AW1141" s="216" t="str">
        <f t="shared" si="532"/>
        <v>Anteil KWK gemäß Anlage 3</v>
      </c>
      <c r="AX1141" s="215" t="str">
        <f t="shared" si="533"/>
        <v/>
      </c>
      <c r="AY1141" t="str">
        <f t="shared" si="534"/>
        <v/>
      </c>
      <c r="AZ1141" t="str">
        <f t="shared" si="535"/>
        <v/>
      </c>
    </row>
    <row r="1142" spans="1:52" s="178" customFormat="1" x14ac:dyDescent="0.25">
      <c r="A1142" s="610" t="s">
        <v>2350</v>
      </c>
      <c r="B1142" s="17" t="s">
        <v>5548</v>
      </c>
      <c r="C1142" s="17" t="s">
        <v>1288</v>
      </c>
      <c r="D1142" s="30" t="s">
        <v>7133</v>
      </c>
      <c r="E1142" s="17" t="s">
        <v>674</v>
      </c>
      <c r="F1142" s="454">
        <f t="shared" si="512"/>
        <v>14.75</v>
      </c>
      <c r="G1142" s="529">
        <v>14.75</v>
      </c>
      <c r="H1142" s="487">
        <f t="shared" si="513"/>
        <v>11.8</v>
      </c>
      <c r="I1142" s="706"/>
      <c r="J1142" s="669" t="s">
        <v>5805</v>
      </c>
      <c r="K1142" s="15"/>
      <c r="L1142"/>
      <c r="M1142" s="49">
        <f t="shared" si="514"/>
        <v>14.75</v>
      </c>
      <c r="N1142" s="41">
        <v>9.75</v>
      </c>
      <c r="O1142" s="54"/>
      <c r="P1142" s="15"/>
      <c r="Q1142" t="s">
        <v>1017</v>
      </c>
      <c r="R1142"/>
      <c r="S1142" t="s">
        <v>4180</v>
      </c>
      <c r="T1142" s="178" t="s">
        <v>4180</v>
      </c>
      <c r="U1142" s="55"/>
      <c r="V1142"/>
      <c r="W1142" s="65"/>
      <c r="X1142" s="65"/>
      <c r="Y1142"/>
      <c r="Z1142" s="65"/>
      <c r="AA1142"/>
      <c r="AB1142"/>
      <c r="AC1142" s="65"/>
      <c r="AD1142" s="92"/>
      <c r="AE1142" s="124" t="s">
        <v>1017</v>
      </c>
      <c r="AF1142" s="65"/>
      <c r="AG1142" s="91"/>
      <c r="AH1142" s="212" t="str">
        <f t="shared" si="536"/>
        <v/>
      </c>
      <c r="AI1142" s="214" t="str">
        <f t="shared" si="537"/>
        <v/>
      </c>
      <c r="AJ1142" s="214" t="str">
        <f t="shared" si="538"/>
        <v/>
      </c>
      <c r="AK1142" s="214" t="str">
        <f t="shared" si="539"/>
        <v/>
      </c>
      <c r="AL1142" s="214" t="str">
        <f t="shared" si="540"/>
        <v/>
      </c>
      <c r="AM1142" s="214" t="str">
        <f t="shared" si="541"/>
        <v/>
      </c>
      <c r="AN1142" s="213" t="str">
        <f t="shared" si="523"/>
        <v/>
      </c>
      <c r="AO1142" s="213" t="str">
        <f t="shared" si="524"/>
        <v/>
      </c>
      <c r="AP1142" s="213" t="str">
        <f t="shared" si="525"/>
        <v/>
      </c>
      <c r="AQ1142" s="215" t="str">
        <f t="shared" si="526"/>
        <v/>
      </c>
      <c r="AR1142" s="216" t="str">
        <f t="shared" si="527"/>
        <v>BiK82bK09---05</v>
      </c>
      <c r="AS1142" s="215" t="str">
        <f t="shared" si="528"/>
        <v/>
      </c>
      <c r="AT1142">
        <f t="shared" si="529"/>
        <v>14</v>
      </c>
      <c r="AU1142" s="216" t="str">
        <f t="shared" si="530"/>
        <v>0,15-0,5 MW, Bonusregeln b und K erstmals 2009</v>
      </c>
      <c r="AV1142" s="215" t="str">
        <f t="shared" si="531"/>
        <v/>
      </c>
      <c r="AW1142" s="216" t="str">
        <f t="shared" si="532"/>
        <v>Anteil KWK, erstmals 2009</v>
      </c>
      <c r="AX1142" s="215" t="str">
        <f t="shared" si="533"/>
        <v/>
      </c>
      <c r="AY1142" t="str">
        <f t="shared" si="534"/>
        <v/>
      </c>
      <c r="AZ1142" t="str">
        <f t="shared" si="535"/>
        <v/>
      </c>
    </row>
    <row r="1143" spans="1:52" s="178" customFormat="1" x14ac:dyDescent="0.25">
      <c r="A1143" s="610" t="s">
        <v>3604</v>
      </c>
      <c r="B1143" s="17" t="s">
        <v>5548</v>
      </c>
      <c r="C1143" s="17" t="s">
        <v>1288</v>
      </c>
      <c r="D1143" s="30" t="s">
        <v>7134</v>
      </c>
      <c r="E1143" s="17" t="s">
        <v>3567</v>
      </c>
      <c r="F1143" s="454">
        <f t="shared" ref="F1143:F1206" si="542">M1143</f>
        <v>14.72</v>
      </c>
      <c r="G1143" s="529">
        <v>14.72</v>
      </c>
      <c r="H1143" s="487">
        <f t="shared" ref="H1143:H1206" si="543">IF(ISNUMBER(G1143),ROUND(0.8*G1143,2),"")</f>
        <v>11.78</v>
      </c>
      <c r="I1143" s="706"/>
      <c r="J1143" s="669" t="s">
        <v>5805</v>
      </c>
      <c r="K1143" s="15"/>
      <c r="L1143"/>
      <c r="M1143" s="49">
        <f t="shared" ref="M1143:M1206" si="544">N1143+SUMIF(O1143:AG1143,"x",O$886:AG$886)</f>
        <v>14.72</v>
      </c>
      <c r="N1143" s="41">
        <v>9.75</v>
      </c>
      <c r="O1143" s="54"/>
      <c r="P1143" s="15"/>
      <c r="Q1143"/>
      <c r="R1143" t="s">
        <v>1017</v>
      </c>
      <c r="S1143" t="s">
        <v>4180</v>
      </c>
      <c r="T1143" s="178" t="s">
        <v>4180</v>
      </c>
      <c r="U1143" s="55"/>
      <c r="V1143"/>
      <c r="W1143" s="65"/>
      <c r="X1143" s="65"/>
      <c r="Y1143"/>
      <c r="Z1143" s="65"/>
      <c r="AA1143"/>
      <c r="AB1143"/>
      <c r="AC1143" s="65"/>
      <c r="AD1143" s="92"/>
      <c r="AE1143" s="124" t="s">
        <v>1017</v>
      </c>
      <c r="AF1143" s="65"/>
      <c r="AG1143" s="91"/>
      <c r="AH1143" s="212" t="str">
        <f t="shared" si="536"/>
        <v>2010</v>
      </c>
      <c r="AI1143" s="214" t="str">
        <f t="shared" si="537"/>
        <v/>
      </c>
      <c r="AJ1143" s="214" t="str">
        <f t="shared" si="538"/>
        <v/>
      </c>
      <c r="AK1143" s="214" t="str">
        <f t="shared" si="539"/>
        <v/>
      </c>
      <c r="AL1143" s="214" t="str">
        <f t="shared" si="540"/>
        <v/>
      </c>
      <c r="AM1143" s="214" t="str">
        <f t="shared" si="541"/>
        <v/>
      </c>
      <c r="AN1143" s="213" t="str">
        <f t="shared" si="523"/>
        <v>2010</v>
      </c>
      <c r="AO1143" s="213" t="str">
        <f t="shared" si="524"/>
        <v>2010</v>
      </c>
      <c r="AP1143" s="213" t="str">
        <f t="shared" si="525"/>
        <v>2010</v>
      </c>
      <c r="AQ1143" s="215" t="str">
        <f t="shared" si="526"/>
        <v/>
      </c>
      <c r="AR1143" s="216" t="str">
        <f t="shared" si="527"/>
        <v>BiK82bK10---05</v>
      </c>
      <c r="AS1143" s="215" t="str">
        <f t="shared" si="528"/>
        <v/>
      </c>
      <c r="AT1143">
        <f t="shared" si="529"/>
        <v>14</v>
      </c>
      <c r="AU1143" s="216" t="str">
        <f t="shared" si="530"/>
        <v>0,15-0,5 MW, Bonusregeln b und K erstmals 2010</v>
      </c>
      <c r="AV1143" s="215" t="str">
        <f t="shared" si="531"/>
        <v/>
      </c>
      <c r="AW1143" s="216" t="str">
        <f t="shared" si="532"/>
        <v>Anteil KWK, erstmals 2010</v>
      </c>
      <c r="AX1143" s="215" t="str">
        <f t="shared" si="533"/>
        <v/>
      </c>
      <c r="AY1143" t="str">
        <f t="shared" si="534"/>
        <v/>
      </c>
      <c r="AZ1143" t="str">
        <f t="shared" si="535"/>
        <v/>
      </c>
    </row>
    <row r="1144" spans="1:52" s="178" customFormat="1" x14ac:dyDescent="0.25">
      <c r="A1144" s="610" t="s">
        <v>5335</v>
      </c>
      <c r="B1144" s="17" t="s">
        <v>5548</v>
      </c>
      <c r="C1144" s="17" t="s">
        <v>1288</v>
      </c>
      <c r="D1144" s="30" t="s">
        <v>7135</v>
      </c>
      <c r="E1144" s="17" t="s">
        <v>3055</v>
      </c>
      <c r="F1144" s="454">
        <f t="shared" si="542"/>
        <v>14.69</v>
      </c>
      <c r="G1144" s="529">
        <v>14.69</v>
      </c>
      <c r="H1144" s="487">
        <f t="shared" si="543"/>
        <v>11.75</v>
      </c>
      <c r="I1144" s="706"/>
      <c r="J1144" s="669" t="s">
        <v>5805</v>
      </c>
      <c r="K1144" s="15"/>
      <c r="L1144"/>
      <c r="M1144" s="49">
        <f t="shared" si="544"/>
        <v>14.69</v>
      </c>
      <c r="N1144" s="41">
        <v>9.75</v>
      </c>
      <c r="O1144" s="54"/>
      <c r="P1144" s="15"/>
      <c r="Q1144"/>
      <c r="R1144"/>
      <c r="S1144" t="s">
        <v>1017</v>
      </c>
      <c r="T1144" s="178" t="s">
        <v>4180</v>
      </c>
      <c r="U1144" s="55"/>
      <c r="V1144"/>
      <c r="W1144" s="65"/>
      <c r="X1144" s="65"/>
      <c r="Y1144"/>
      <c r="Z1144" s="65"/>
      <c r="AA1144"/>
      <c r="AB1144"/>
      <c r="AC1144" s="65"/>
      <c r="AD1144" s="92"/>
      <c r="AE1144" s="124" t="s">
        <v>1017</v>
      </c>
      <c r="AF1144" s="65"/>
      <c r="AG1144" s="91"/>
      <c r="AH1144" s="212" t="str">
        <f t="shared" si="536"/>
        <v>2011</v>
      </c>
      <c r="AI1144" s="214" t="str">
        <f t="shared" si="537"/>
        <v/>
      </c>
      <c r="AJ1144" s="214" t="str">
        <f t="shared" si="538"/>
        <v/>
      </c>
      <c r="AK1144" s="214" t="str">
        <f t="shared" si="539"/>
        <v/>
      </c>
      <c r="AL1144" s="214" t="str">
        <f t="shared" si="540"/>
        <v/>
      </c>
      <c r="AM1144" s="214" t="str">
        <f t="shared" si="541"/>
        <v/>
      </c>
      <c r="AN1144" s="213" t="str">
        <f t="shared" si="523"/>
        <v>2011</v>
      </c>
      <c r="AO1144" s="213" t="str">
        <f t="shared" si="524"/>
        <v>2011</v>
      </c>
      <c r="AP1144" s="213" t="str">
        <f t="shared" si="525"/>
        <v>2011</v>
      </c>
      <c r="AQ1144" s="215" t="str">
        <f t="shared" si="526"/>
        <v/>
      </c>
      <c r="AR1144" s="216" t="str">
        <f t="shared" si="527"/>
        <v>BiK82bK11---05</v>
      </c>
      <c r="AS1144" s="215" t="str">
        <f t="shared" si="528"/>
        <v/>
      </c>
      <c r="AT1144">
        <f t="shared" si="529"/>
        <v>14</v>
      </c>
      <c r="AU1144" s="216" t="str">
        <f t="shared" si="530"/>
        <v>0,15-0,5 MW, Bonusregeln b und K erstmals 2011</v>
      </c>
      <c r="AV1144" s="215" t="str">
        <f t="shared" si="531"/>
        <v/>
      </c>
      <c r="AW1144" s="216" t="str">
        <f t="shared" si="532"/>
        <v>Anteil KWK, erstmals 2011</v>
      </c>
      <c r="AX1144" s="215" t="str">
        <f t="shared" si="533"/>
        <v/>
      </c>
      <c r="AY1144" t="str">
        <f t="shared" si="534"/>
        <v>x</v>
      </c>
      <c r="AZ1144" t="str">
        <f t="shared" si="535"/>
        <v/>
      </c>
    </row>
    <row r="1145" spans="1:52" s="178" customFormat="1" x14ac:dyDescent="0.25">
      <c r="A1145" s="625" t="s">
        <v>1585</v>
      </c>
      <c r="B1145" s="221" t="s">
        <v>5548</v>
      </c>
      <c r="C1145" s="221" t="s">
        <v>1288</v>
      </c>
      <c r="D1145" s="219" t="s">
        <v>7136</v>
      </c>
      <c r="E1145" s="221" t="s">
        <v>1980</v>
      </c>
      <c r="F1145" s="455">
        <f t="shared" si="542"/>
        <v>14.66</v>
      </c>
      <c r="G1145" s="530">
        <v>14.66</v>
      </c>
      <c r="H1145" s="488">
        <f t="shared" si="543"/>
        <v>11.73</v>
      </c>
      <c r="I1145" s="707"/>
      <c r="J1145" s="669" t="s">
        <v>5805</v>
      </c>
      <c r="K1145" s="15"/>
      <c r="L1145"/>
      <c r="M1145" s="49">
        <f t="shared" si="544"/>
        <v>14.66</v>
      </c>
      <c r="N1145" s="41">
        <v>9.75</v>
      </c>
      <c r="O1145" s="54"/>
      <c r="P1145" s="15"/>
      <c r="Q1145"/>
      <c r="R1145"/>
      <c r="S1145" t="s">
        <v>4180</v>
      </c>
      <c r="T1145" s="178" t="s">
        <v>1017</v>
      </c>
      <c r="U1145" s="55"/>
      <c r="V1145"/>
      <c r="W1145" s="65"/>
      <c r="X1145" s="65"/>
      <c r="Y1145"/>
      <c r="Z1145" s="65"/>
      <c r="AA1145"/>
      <c r="AB1145"/>
      <c r="AC1145" s="65"/>
      <c r="AD1145" s="92"/>
      <c r="AE1145" s="124" t="s">
        <v>1017</v>
      </c>
      <c r="AF1145" s="65"/>
      <c r="AG1145" s="91"/>
      <c r="AH1145" s="217" t="s">
        <v>4179</v>
      </c>
      <c r="AI1145" s="214" t="str">
        <f t="shared" si="537"/>
        <v/>
      </c>
      <c r="AJ1145" s="214" t="str">
        <f t="shared" si="538"/>
        <v/>
      </c>
      <c r="AK1145" s="214" t="str">
        <f t="shared" si="539"/>
        <v/>
      </c>
      <c r="AL1145" s="214" t="str">
        <f t="shared" si="540"/>
        <v/>
      </c>
      <c r="AM1145" s="214" t="str">
        <f t="shared" si="541"/>
        <v/>
      </c>
      <c r="AN1145" s="213" t="str">
        <f t="shared" si="523"/>
        <v>2012</v>
      </c>
      <c r="AO1145" s="213" t="str">
        <f t="shared" si="524"/>
        <v>2012</v>
      </c>
      <c r="AP1145" s="213" t="str">
        <f t="shared" si="525"/>
        <v>2012</v>
      </c>
      <c r="AQ1145" s="215" t="str">
        <f t="shared" si="526"/>
        <v/>
      </c>
      <c r="AR1145" s="216" t="str">
        <f t="shared" si="527"/>
        <v>BiK82bK12---05</v>
      </c>
      <c r="AS1145" s="215" t="str">
        <f t="shared" si="528"/>
        <v/>
      </c>
      <c r="AT1145">
        <f t="shared" si="529"/>
        <v>14</v>
      </c>
      <c r="AU1145" s="216" t="str">
        <f t="shared" si="530"/>
        <v>0,15-0,5 MW, Bonusregeln b und K erstmals 2012</v>
      </c>
      <c r="AV1145" s="215" t="str">
        <f t="shared" si="531"/>
        <v/>
      </c>
      <c r="AW1145" s="216" t="str">
        <f t="shared" si="532"/>
        <v>Anteil KWK, erstmals 2012</v>
      </c>
      <c r="AX1145" s="215" t="str">
        <f t="shared" si="533"/>
        <v/>
      </c>
      <c r="AY1145" t="str">
        <f t="shared" si="534"/>
        <v/>
      </c>
      <c r="AZ1145" t="str">
        <f t="shared" si="535"/>
        <v>x</v>
      </c>
    </row>
    <row r="1146" spans="1:52" s="178" customFormat="1" x14ac:dyDescent="0.25">
      <c r="A1146" s="610" t="s">
        <v>1333</v>
      </c>
      <c r="B1146" s="17" t="s">
        <v>5548</v>
      </c>
      <c r="C1146" s="17" t="s">
        <v>1288</v>
      </c>
      <c r="D1146" s="30" t="s">
        <v>7137</v>
      </c>
      <c r="E1146" s="17" t="s">
        <v>4810</v>
      </c>
      <c r="F1146" s="454">
        <f t="shared" si="542"/>
        <v>12.75</v>
      </c>
      <c r="G1146" s="529">
        <v>12.75</v>
      </c>
      <c r="H1146" s="487">
        <f t="shared" si="543"/>
        <v>10.199999999999999</v>
      </c>
      <c r="I1146" s="706"/>
      <c r="J1146" s="669" t="s">
        <v>5805</v>
      </c>
      <c r="K1146" s="15"/>
      <c r="L1146"/>
      <c r="M1146" s="49">
        <f t="shared" si="544"/>
        <v>12.75</v>
      </c>
      <c r="N1146" s="41">
        <v>9.75</v>
      </c>
      <c r="O1146" s="54"/>
      <c r="P1146" s="15"/>
      <c r="Q1146"/>
      <c r="R1146"/>
      <c r="S1146" t="s">
        <v>4180</v>
      </c>
      <c r="T1146" s="178" t="s">
        <v>4180</v>
      </c>
      <c r="U1146" s="55" t="s">
        <v>1017</v>
      </c>
      <c r="V1146"/>
      <c r="W1146" s="65"/>
      <c r="X1146" s="65"/>
      <c r="Y1146"/>
      <c r="Z1146" s="65"/>
      <c r="AA1146"/>
      <c r="AB1146"/>
      <c r="AC1146" s="65"/>
      <c r="AD1146" s="92"/>
      <c r="AE1146" s="124" t="s">
        <v>1017</v>
      </c>
      <c r="AF1146" s="65"/>
      <c r="AG1146" s="91"/>
      <c r="AH1146" s="212" t="str">
        <f t="shared" ref="AH1146:AH1151" si="545">IF(ISERROR(SEARCH("K erstmals 201",D1146)),"",RIGHT(D1146,4))</f>
        <v/>
      </c>
      <c r="AI1146" s="214" t="str">
        <f t="shared" si="537"/>
        <v/>
      </c>
      <c r="AJ1146" s="214" t="str">
        <f t="shared" si="538"/>
        <v/>
      </c>
      <c r="AK1146" s="214" t="str">
        <f t="shared" si="539"/>
        <v/>
      </c>
      <c r="AL1146" s="214" t="str">
        <f t="shared" si="540"/>
        <v/>
      </c>
      <c r="AM1146" s="214" t="str">
        <f t="shared" si="541"/>
        <v/>
      </c>
      <c r="AN1146" s="213" t="str">
        <f t="shared" si="523"/>
        <v/>
      </c>
      <c r="AO1146" s="213" t="str">
        <f t="shared" si="524"/>
        <v/>
      </c>
      <c r="AP1146" s="213" t="str">
        <f t="shared" si="525"/>
        <v/>
      </c>
      <c r="AQ1146" s="215" t="str">
        <f t="shared" si="526"/>
        <v/>
      </c>
      <c r="AR1146" s="216" t="str">
        <f t="shared" si="527"/>
        <v>BiK82by-----05</v>
      </c>
      <c r="AS1146" s="215" t="str">
        <f t="shared" si="528"/>
        <v/>
      </c>
      <c r="AT1146">
        <f t="shared" si="529"/>
        <v>14</v>
      </c>
      <c r="AU1146" s="216" t="str">
        <f t="shared" si="530"/>
        <v>0,15-0,5 MW, Bonusregeln b, y</v>
      </c>
      <c r="AV1146" s="215" t="str">
        <f t="shared" si="531"/>
        <v/>
      </c>
      <c r="AW1146" s="216" t="str">
        <f t="shared" si="532"/>
        <v>Anteil Nicht-KWK</v>
      </c>
      <c r="AX1146" s="215" t="str">
        <f t="shared" si="533"/>
        <v/>
      </c>
      <c r="AY1146" t="str">
        <f t="shared" si="534"/>
        <v/>
      </c>
      <c r="AZ1146" t="str">
        <f t="shared" si="535"/>
        <v/>
      </c>
    </row>
    <row r="1147" spans="1:52" s="178" customFormat="1" x14ac:dyDescent="0.25">
      <c r="A1147" s="610" t="s">
        <v>1334</v>
      </c>
      <c r="B1147" s="17" t="s">
        <v>5548</v>
      </c>
      <c r="C1147" s="17" t="s">
        <v>1288</v>
      </c>
      <c r="D1147" s="30" t="s">
        <v>7138</v>
      </c>
      <c r="E1147" s="17" t="s">
        <v>4812</v>
      </c>
      <c r="F1147" s="454">
        <f t="shared" si="542"/>
        <v>14.75</v>
      </c>
      <c r="G1147" s="529">
        <v>14.75</v>
      </c>
      <c r="H1147" s="487">
        <f t="shared" si="543"/>
        <v>11.8</v>
      </c>
      <c r="I1147" s="706"/>
      <c r="J1147" s="669" t="s">
        <v>5805</v>
      </c>
      <c r="K1147" s="15"/>
      <c r="L1147"/>
      <c r="M1147" s="49">
        <f t="shared" si="544"/>
        <v>14.75</v>
      </c>
      <c r="N1147" s="41">
        <v>9.75</v>
      </c>
      <c r="O1147" s="54" t="s">
        <v>1017</v>
      </c>
      <c r="P1147" s="15"/>
      <c r="Q1147"/>
      <c r="R1147"/>
      <c r="S1147" t="s">
        <v>4180</v>
      </c>
      <c r="T1147" s="178" t="s">
        <v>4180</v>
      </c>
      <c r="U1147" s="55" t="s">
        <v>1017</v>
      </c>
      <c r="V1147"/>
      <c r="W1147" s="65"/>
      <c r="X1147" s="65"/>
      <c r="Y1147"/>
      <c r="Z1147" s="65"/>
      <c r="AA1147"/>
      <c r="AB1147"/>
      <c r="AC1147" s="65"/>
      <c r="AD1147" s="92"/>
      <c r="AE1147" s="124" t="s">
        <v>1017</v>
      </c>
      <c r="AF1147" s="65"/>
      <c r="AG1147" s="91"/>
      <c r="AH1147" s="212" t="str">
        <f t="shared" si="545"/>
        <v/>
      </c>
      <c r="AI1147" s="214" t="str">
        <f t="shared" si="537"/>
        <v/>
      </c>
      <c r="AJ1147" s="214" t="str">
        <f t="shared" si="538"/>
        <v/>
      </c>
      <c r="AK1147" s="214" t="str">
        <f t="shared" si="539"/>
        <v/>
      </c>
      <c r="AL1147" s="214" t="str">
        <f t="shared" si="540"/>
        <v/>
      </c>
      <c r="AM1147" s="214" t="str">
        <f t="shared" si="541"/>
        <v/>
      </c>
      <c r="AN1147" s="213" t="str">
        <f t="shared" si="523"/>
        <v/>
      </c>
      <c r="AO1147" s="213" t="str">
        <f t="shared" si="524"/>
        <v/>
      </c>
      <c r="AP1147" s="213" t="str">
        <f t="shared" si="525"/>
        <v/>
      </c>
      <c r="AQ1147" s="215" t="str">
        <f t="shared" si="526"/>
        <v/>
      </c>
      <c r="AR1147" s="216" t="str">
        <f t="shared" si="527"/>
        <v>BiK82bKWKy--05</v>
      </c>
      <c r="AS1147" s="215" t="str">
        <f t="shared" si="528"/>
        <v/>
      </c>
      <c r="AT1147">
        <f t="shared" si="529"/>
        <v>14</v>
      </c>
      <c r="AU1147" s="216" t="str">
        <f t="shared" si="530"/>
        <v>0,15-0,5 MW, Bonusregeln b, y und KWK</v>
      </c>
      <c r="AV1147" s="215" t="str">
        <f t="shared" si="531"/>
        <v/>
      </c>
      <c r="AW1147" s="216" t="str">
        <f t="shared" si="532"/>
        <v>Anteil KWK</v>
      </c>
      <c r="AX1147" s="215" t="str">
        <f t="shared" si="533"/>
        <v/>
      </c>
      <c r="AY1147" t="str">
        <f t="shared" si="534"/>
        <v/>
      </c>
      <c r="AZ1147" t="str">
        <f t="shared" si="535"/>
        <v/>
      </c>
    </row>
    <row r="1148" spans="1:52" s="178" customFormat="1" x14ac:dyDescent="0.25">
      <c r="A1148" s="610" t="s">
        <v>1335</v>
      </c>
      <c r="B1148" s="17" t="s">
        <v>5548</v>
      </c>
      <c r="C1148" s="30" t="s">
        <v>1288</v>
      </c>
      <c r="D1148" s="30" t="s">
        <v>7139</v>
      </c>
      <c r="E1148" s="30" t="s">
        <v>4331</v>
      </c>
      <c r="F1148" s="454">
        <f t="shared" si="542"/>
        <v>15.75</v>
      </c>
      <c r="G1148" s="529">
        <v>15.75</v>
      </c>
      <c r="H1148" s="487">
        <f t="shared" si="543"/>
        <v>12.6</v>
      </c>
      <c r="I1148" s="706"/>
      <c r="J1148" s="669" t="s">
        <v>5805</v>
      </c>
      <c r="K1148" s="15"/>
      <c r="L1148"/>
      <c r="M1148" s="49">
        <f t="shared" si="544"/>
        <v>15.75</v>
      </c>
      <c r="N1148" s="41">
        <v>9.75</v>
      </c>
      <c r="O1148" s="54"/>
      <c r="P1148" t="s">
        <v>1017</v>
      </c>
      <c r="Q1148"/>
      <c r="R1148"/>
      <c r="S1148" t="s">
        <v>4180</v>
      </c>
      <c r="T1148" s="178" t="s">
        <v>4180</v>
      </c>
      <c r="U1148" s="55" t="s">
        <v>1017</v>
      </c>
      <c r="V1148"/>
      <c r="W1148" s="65"/>
      <c r="X1148" s="65"/>
      <c r="Y1148"/>
      <c r="Z1148" s="65"/>
      <c r="AA1148"/>
      <c r="AB1148"/>
      <c r="AC1148" s="65"/>
      <c r="AD1148" s="92"/>
      <c r="AE1148" s="124" t="s">
        <v>1017</v>
      </c>
      <c r="AF1148" s="65"/>
      <c r="AG1148" s="91"/>
      <c r="AH1148" s="212" t="str">
        <f t="shared" si="545"/>
        <v/>
      </c>
      <c r="AI1148" s="214" t="str">
        <f t="shared" si="537"/>
        <v/>
      </c>
      <c r="AJ1148" s="214" t="str">
        <f t="shared" si="538"/>
        <v/>
      </c>
      <c r="AK1148" s="214" t="str">
        <f t="shared" si="539"/>
        <v/>
      </c>
      <c r="AL1148" s="214" t="str">
        <f t="shared" si="540"/>
        <v/>
      </c>
      <c r="AM1148" s="214" t="str">
        <f t="shared" si="541"/>
        <v/>
      </c>
      <c r="AN1148" s="213" t="str">
        <f t="shared" si="523"/>
        <v/>
      </c>
      <c r="AO1148" s="213" t="str">
        <f t="shared" si="524"/>
        <v/>
      </c>
      <c r="AP1148" s="213" t="str">
        <f t="shared" si="525"/>
        <v/>
      </c>
      <c r="AQ1148" s="215" t="str">
        <f t="shared" si="526"/>
        <v/>
      </c>
      <c r="AR1148" s="216" t="str">
        <f t="shared" si="527"/>
        <v>BiK82bKA3y--05</v>
      </c>
      <c r="AS1148" s="215" t="str">
        <f t="shared" si="528"/>
        <v/>
      </c>
      <c r="AT1148">
        <f t="shared" si="529"/>
        <v>14</v>
      </c>
      <c r="AU1148" s="216" t="str">
        <f t="shared" si="530"/>
        <v>0,15-0,5 MW, Bonusregeln b, y und K wenn Anlage 3 erfüllt</v>
      </c>
      <c r="AV1148" s="215" t="str">
        <f t="shared" si="531"/>
        <v/>
      </c>
      <c r="AW1148" s="216" t="str">
        <f t="shared" si="532"/>
        <v>Anteil KWK gemäß Anlage 3</v>
      </c>
      <c r="AX1148" s="215" t="str">
        <f t="shared" si="533"/>
        <v/>
      </c>
      <c r="AY1148" t="str">
        <f t="shared" si="534"/>
        <v/>
      </c>
      <c r="AZ1148" t="str">
        <f t="shared" si="535"/>
        <v/>
      </c>
    </row>
    <row r="1149" spans="1:52" s="178" customFormat="1" x14ac:dyDescent="0.25">
      <c r="A1149" s="610" t="s">
        <v>1336</v>
      </c>
      <c r="B1149" s="17" t="s">
        <v>5548</v>
      </c>
      <c r="C1149" s="17" t="s">
        <v>1288</v>
      </c>
      <c r="D1149" s="30" t="s">
        <v>7140</v>
      </c>
      <c r="E1149" s="17" t="s">
        <v>674</v>
      </c>
      <c r="F1149" s="454">
        <f t="shared" si="542"/>
        <v>15.75</v>
      </c>
      <c r="G1149" s="529">
        <v>15.75</v>
      </c>
      <c r="H1149" s="487">
        <f t="shared" si="543"/>
        <v>12.6</v>
      </c>
      <c r="I1149" s="706"/>
      <c r="J1149" s="669" t="s">
        <v>5805</v>
      </c>
      <c r="K1149" s="15"/>
      <c r="L1149"/>
      <c r="M1149" s="49">
        <f t="shared" si="544"/>
        <v>15.75</v>
      </c>
      <c r="N1149" s="41">
        <v>9.75</v>
      </c>
      <c r="O1149" s="54"/>
      <c r="P1149" s="15"/>
      <c r="Q1149" t="s">
        <v>1017</v>
      </c>
      <c r="R1149"/>
      <c r="S1149" t="s">
        <v>4180</v>
      </c>
      <c r="T1149" s="178" t="s">
        <v>4180</v>
      </c>
      <c r="U1149" s="55" t="s">
        <v>1017</v>
      </c>
      <c r="V1149"/>
      <c r="W1149" s="65"/>
      <c r="X1149" s="65"/>
      <c r="Y1149"/>
      <c r="Z1149" s="65"/>
      <c r="AA1149"/>
      <c r="AB1149"/>
      <c r="AC1149" s="65"/>
      <c r="AD1149" s="92"/>
      <c r="AE1149" s="124" t="s">
        <v>1017</v>
      </c>
      <c r="AF1149" s="65"/>
      <c r="AG1149" s="91"/>
      <c r="AH1149" s="212" t="str">
        <f t="shared" si="545"/>
        <v/>
      </c>
      <c r="AI1149" s="214" t="str">
        <f t="shared" si="537"/>
        <v/>
      </c>
      <c r="AJ1149" s="214" t="str">
        <f t="shared" si="538"/>
        <v/>
      </c>
      <c r="AK1149" s="214" t="str">
        <f t="shared" si="539"/>
        <v/>
      </c>
      <c r="AL1149" s="214" t="str">
        <f t="shared" si="540"/>
        <v/>
      </c>
      <c r="AM1149" s="214" t="str">
        <f t="shared" si="541"/>
        <v/>
      </c>
      <c r="AN1149" s="213" t="str">
        <f t="shared" si="523"/>
        <v/>
      </c>
      <c r="AO1149" s="213" t="str">
        <f t="shared" si="524"/>
        <v/>
      </c>
      <c r="AP1149" s="213" t="str">
        <f t="shared" si="525"/>
        <v/>
      </c>
      <c r="AQ1149" s="215" t="str">
        <f t="shared" si="526"/>
        <v/>
      </c>
      <c r="AR1149" s="216" t="str">
        <f t="shared" si="527"/>
        <v>BiK82bK09y--05</v>
      </c>
      <c r="AS1149" s="215" t="str">
        <f t="shared" si="528"/>
        <v/>
      </c>
      <c r="AT1149">
        <f t="shared" si="529"/>
        <v>14</v>
      </c>
      <c r="AU1149" s="216" t="str">
        <f t="shared" si="530"/>
        <v>0,15-0,5 MW, Bonusregeln b, y und K erstmals 2009</v>
      </c>
      <c r="AV1149" s="215" t="str">
        <f t="shared" si="531"/>
        <v/>
      </c>
      <c r="AW1149" s="216" t="str">
        <f t="shared" si="532"/>
        <v>Anteil KWK, erstmals 2009</v>
      </c>
      <c r="AX1149" s="215" t="str">
        <f t="shared" si="533"/>
        <v/>
      </c>
      <c r="AY1149" t="str">
        <f t="shared" si="534"/>
        <v/>
      </c>
      <c r="AZ1149" t="str">
        <f t="shared" si="535"/>
        <v/>
      </c>
    </row>
    <row r="1150" spans="1:52" s="178" customFormat="1" x14ac:dyDescent="0.25">
      <c r="A1150" s="610" t="s">
        <v>3605</v>
      </c>
      <c r="B1150" s="17" t="s">
        <v>5548</v>
      </c>
      <c r="C1150" s="17" t="s">
        <v>1288</v>
      </c>
      <c r="D1150" s="30" t="s">
        <v>7141</v>
      </c>
      <c r="E1150" s="17" t="s">
        <v>3567</v>
      </c>
      <c r="F1150" s="454">
        <f t="shared" si="542"/>
        <v>15.72</v>
      </c>
      <c r="G1150" s="529">
        <v>15.72</v>
      </c>
      <c r="H1150" s="487">
        <f t="shared" si="543"/>
        <v>12.58</v>
      </c>
      <c r="I1150" s="706"/>
      <c r="J1150" s="669" t="s">
        <v>5805</v>
      </c>
      <c r="K1150" s="15"/>
      <c r="L1150"/>
      <c r="M1150" s="49">
        <f t="shared" si="544"/>
        <v>15.72</v>
      </c>
      <c r="N1150" s="41">
        <v>9.75</v>
      </c>
      <c r="O1150" s="54"/>
      <c r="P1150" s="15"/>
      <c r="Q1150"/>
      <c r="R1150" t="s">
        <v>1017</v>
      </c>
      <c r="S1150" t="s">
        <v>4180</v>
      </c>
      <c r="T1150" s="178" t="s">
        <v>4180</v>
      </c>
      <c r="U1150" s="55" t="s">
        <v>1017</v>
      </c>
      <c r="V1150"/>
      <c r="W1150" s="65"/>
      <c r="X1150" s="65"/>
      <c r="Y1150"/>
      <c r="Z1150" s="65"/>
      <c r="AA1150"/>
      <c r="AB1150"/>
      <c r="AC1150" s="65"/>
      <c r="AD1150" s="92"/>
      <c r="AE1150" s="124" t="s">
        <v>1017</v>
      </c>
      <c r="AF1150" s="65"/>
      <c r="AG1150" s="91"/>
      <c r="AH1150" s="212" t="str">
        <f t="shared" si="545"/>
        <v>2010</v>
      </c>
      <c r="AI1150" s="214" t="str">
        <f t="shared" si="537"/>
        <v/>
      </c>
      <c r="AJ1150" s="214" t="str">
        <f t="shared" si="538"/>
        <v/>
      </c>
      <c r="AK1150" s="214" t="str">
        <f t="shared" si="539"/>
        <v/>
      </c>
      <c r="AL1150" s="214" t="str">
        <f t="shared" si="540"/>
        <v/>
      </c>
      <c r="AM1150" s="214" t="str">
        <f t="shared" si="541"/>
        <v/>
      </c>
      <c r="AN1150" s="213" t="str">
        <f t="shared" si="523"/>
        <v>2010</v>
      </c>
      <c r="AO1150" s="213" t="str">
        <f t="shared" si="524"/>
        <v>2010</v>
      </c>
      <c r="AP1150" s="213" t="str">
        <f t="shared" si="525"/>
        <v>2010</v>
      </c>
      <c r="AQ1150" s="215" t="str">
        <f t="shared" si="526"/>
        <v/>
      </c>
      <c r="AR1150" s="216" t="str">
        <f t="shared" si="527"/>
        <v>BiK82bK10y--05</v>
      </c>
      <c r="AS1150" s="215" t="str">
        <f t="shared" si="528"/>
        <v/>
      </c>
      <c r="AT1150">
        <f t="shared" si="529"/>
        <v>14</v>
      </c>
      <c r="AU1150" s="216" t="str">
        <f t="shared" si="530"/>
        <v>0,15-0,5 MW, Bonusregeln b, y und K erstmals 2010</v>
      </c>
      <c r="AV1150" s="215" t="str">
        <f t="shared" si="531"/>
        <v/>
      </c>
      <c r="AW1150" s="216" t="str">
        <f t="shared" si="532"/>
        <v>Anteil KWK, erstmals 2010</v>
      </c>
      <c r="AX1150" s="215" t="str">
        <f t="shared" si="533"/>
        <v/>
      </c>
      <c r="AY1150" t="str">
        <f t="shared" si="534"/>
        <v/>
      </c>
      <c r="AZ1150" t="str">
        <f t="shared" si="535"/>
        <v/>
      </c>
    </row>
    <row r="1151" spans="1:52" s="178" customFormat="1" x14ac:dyDescent="0.25">
      <c r="A1151" s="610" t="s">
        <v>5336</v>
      </c>
      <c r="B1151" s="17" t="s">
        <v>5548</v>
      </c>
      <c r="C1151" s="17" t="s">
        <v>1288</v>
      </c>
      <c r="D1151" s="30" t="s">
        <v>7142</v>
      </c>
      <c r="E1151" s="17" t="s">
        <v>3055</v>
      </c>
      <c r="F1151" s="454">
        <f t="shared" si="542"/>
        <v>15.69</v>
      </c>
      <c r="G1151" s="529">
        <v>15.69</v>
      </c>
      <c r="H1151" s="487">
        <f t="shared" si="543"/>
        <v>12.55</v>
      </c>
      <c r="I1151" s="706"/>
      <c r="J1151" s="669" t="s">
        <v>5805</v>
      </c>
      <c r="K1151" s="15"/>
      <c r="L1151"/>
      <c r="M1151" s="49">
        <f t="shared" si="544"/>
        <v>15.69</v>
      </c>
      <c r="N1151" s="41">
        <v>9.75</v>
      </c>
      <c r="O1151" s="54"/>
      <c r="P1151" s="15"/>
      <c r="Q1151"/>
      <c r="R1151"/>
      <c r="S1151" t="s">
        <v>1017</v>
      </c>
      <c r="T1151" s="178" t="s">
        <v>4180</v>
      </c>
      <c r="U1151" s="55" t="s">
        <v>1017</v>
      </c>
      <c r="V1151"/>
      <c r="W1151" s="65"/>
      <c r="X1151" s="65"/>
      <c r="Y1151"/>
      <c r="Z1151" s="65"/>
      <c r="AA1151"/>
      <c r="AB1151"/>
      <c r="AC1151" s="65"/>
      <c r="AD1151" s="92"/>
      <c r="AE1151" s="124" t="s">
        <v>1017</v>
      </c>
      <c r="AF1151" s="65"/>
      <c r="AG1151" s="91"/>
      <c r="AH1151" s="212" t="str">
        <f t="shared" si="545"/>
        <v>2011</v>
      </c>
      <c r="AI1151" s="214" t="str">
        <f t="shared" si="537"/>
        <v/>
      </c>
      <c r="AJ1151" s="214" t="str">
        <f t="shared" si="538"/>
        <v/>
      </c>
      <c r="AK1151" s="214" t="str">
        <f t="shared" si="539"/>
        <v/>
      </c>
      <c r="AL1151" s="214" t="str">
        <f t="shared" si="540"/>
        <v/>
      </c>
      <c r="AM1151" s="214" t="str">
        <f t="shared" si="541"/>
        <v/>
      </c>
      <c r="AN1151" s="213" t="str">
        <f t="shared" si="523"/>
        <v>2011</v>
      </c>
      <c r="AO1151" s="213" t="str">
        <f t="shared" si="524"/>
        <v>2011</v>
      </c>
      <c r="AP1151" s="213" t="str">
        <f t="shared" si="525"/>
        <v>2011</v>
      </c>
      <c r="AQ1151" s="215" t="str">
        <f t="shared" si="526"/>
        <v/>
      </c>
      <c r="AR1151" s="216" t="str">
        <f t="shared" si="527"/>
        <v>BiK82bK11y--05</v>
      </c>
      <c r="AS1151" s="215" t="str">
        <f t="shared" si="528"/>
        <v/>
      </c>
      <c r="AT1151">
        <f t="shared" si="529"/>
        <v>14</v>
      </c>
      <c r="AU1151" s="216" t="str">
        <f t="shared" si="530"/>
        <v>0,15-0,5 MW, Bonusregeln b, y und K erstmals 2011</v>
      </c>
      <c r="AV1151" s="215" t="str">
        <f t="shared" si="531"/>
        <v/>
      </c>
      <c r="AW1151" s="216" t="str">
        <f t="shared" si="532"/>
        <v>Anteil KWK, erstmals 2011</v>
      </c>
      <c r="AX1151" s="215" t="str">
        <f t="shared" si="533"/>
        <v/>
      </c>
      <c r="AY1151" t="str">
        <f t="shared" si="534"/>
        <v>x</v>
      </c>
      <c r="AZ1151" t="str">
        <f t="shared" si="535"/>
        <v/>
      </c>
    </row>
    <row r="1152" spans="1:52" s="178" customFormat="1" x14ac:dyDescent="0.25">
      <c r="A1152" s="625" t="s">
        <v>1586</v>
      </c>
      <c r="B1152" s="221" t="s">
        <v>5548</v>
      </c>
      <c r="C1152" s="221" t="s">
        <v>1288</v>
      </c>
      <c r="D1152" s="219" t="s">
        <v>7143</v>
      </c>
      <c r="E1152" s="221" t="s">
        <v>1980</v>
      </c>
      <c r="F1152" s="455">
        <f t="shared" si="542"/>
        <v>15.66</v>
      </c>
      <c r="G1152" s="530">
        <v>15.66</v>
      </c>
      <c r="H1152" s="488">
        <f t="shared" si="543"/>
        <v>12.53</v>
      </c>
      <c r="I1152" s="707"/>
      <c r="J1152" s="669" t="s">
        <v>5805</v>
      </c>
      <c r="K1152" s="15"/>
      <c r="L1152"/>
      <c r="M1152" s="49">
        <f t="shared" si="544"/>
        <v>15.66</v>
      </c>
      <c r="N1152" s="41">
        <v>9.75</v>
      </c>
      <c r="O1152" s="54"/>
      <c r="P1152" s="15"/>
      <c r="Q1152"/>
      <c r="R1152"/>
      <c r="S1152" t="s">
        <v>4180</v>
      </c>
      <c r="T1152" s="178" t="s">
        <v>1017</v>
      </c>
      <c r="U1152" s="55" t="s">
        <v>1017</v>
      </c>
      <c r="V1152"/>
      <c r="W1152" s="65"/>
      <c r="X1152" s="65"/>
      <c r="Y1152"/>
      <c r="Z1152" s="65"/>
      <c r="AA1152"/>
      <c r="AB1152"/>
      <c r="AC1152" s="65"/>
      <c r="AD1152" s="92"/>
      <c r="AE1152" s="124" t="s">
        <v>1017</v>
      </c>
      <c r="AF1152" s="65"/>
      <c r="AG1152" s="91"/>
      <c r="AH1152" s="217" t="s">
        <v>4179</v>
      </c>
      <c r="AI1152" s="214" t="str">
        <f t="shared" si="537"/>
        <v/>
      </c>
      <c r="AJ1152" s="214" t="str">
        <f t="shared" si="538"/>
        <v/>
      </c>
      <c r="AK1152" s="214" t="str">
        <f t="shared" si="539"/>
        <v/>
      </c>
      <c r="AL1152" s="214" t="str">
        <f t="shared" si="540"/>
        <v/>
      </c>
      <c r="AM1152" s="214" t="str">
        <f t="shared" si="541"/>
        <v/>
      </c>
      <c r="AN1152" s="213" t="str">
        <f t="shared" si="523"/>
        <v>2012</v>
      </c>
      <c r="AO1152" s="213" t="str">
        <f t="shared" si="524"/>
        <v>2012</v>
      </c>
      <c r="AP1152" s="213" t="str">
        <f t="shared" si="525"/>
        <v>2012</v>
      </c>
      <c r="AQ1152" s="215" t="str">
        <f t="shared" si="526"/>
        <v/>
      </c>
      <c r="AR1152" s="216" t="str">
        <f t="shared" si="527"/>
        <v>BiK82bK12y--05</v>
      </c>
      <c r="AS1152" s="215" t="str">
        <f t="shared" si="528"/>
        <v/>
      </c>
      <c r="AT1152">
        <f t="shared" si="529"/>
        <v>14</v>
      </c>
      <c r="AU1152" s="216" t="str">
        <f t="shared" si="530"/>
        <v>0,15-0,5 MW, Bonusregeln b, y und K erstmals 2012</v>
      </c>
      <c r="AV1152" s="215" t="str">
        <f t="shared" si="531"/>
        <v/>
      </c>
      <c r="AW1152" s="216" t="str">
        <f t="shared" si="532"/>
        <v>Anteil KWK, erstmals 2012</v>
      </c>
      <c r="AX1152" s="215" t="str">
        <f t="shared" si="533"/>
        <v/>
      </c>
      <c r="AY1152" t="str">
        <f t="shared" si="534"/>
        <v/>
      </c>
      <c r="AZ1152" t="str">
        <f t="shared" si="535"/>
        <v>x</v>
      </c>
    </row>
    <row r="1153" spans="1:52" s="178" customFormat="1" x14ac:dyDescent="0.25">
      <c r="A1153" s="609" t="s">
        <v>3491</v>
      </c>
      <c r="B1153" s="1" t="s">
        <v>5548</v>
      </c>
      <c r="C1153" s="2" t="s">
        <v>1288</v>
      </c>
      <c r="D1153" s="36" t="s">
        <v>7144</v>
      </c>
      <c r="E1153" s="1" t="s">
        <v>4810</v>
      </c>
      <c r="F1153" s="456">
        <f t="shared" si="542"/>
        <v>17.75</v>
      </c>
      <c r="G1153" s="531">
        <v>17.75</v>
      </c>
      <c r="H1153" s="489">
        <f t="shared" si="543"/>
        <v>14.2</v>
      </c>
      <c r="I1153" s="708"/>
      <c r="J1153" s="669" t="s">
        <v>5805</v>
      </c>
      <c r="K1153" s="15"/>
      <c r="L1153"/>
      <c r="M1153" s="49">
        <f t="shared" si="544"/>
        <v>17.75</v>
      </c>
      <c r="N1153" s="41">
        <v>9.75</v>
      </c>
      <c r="O1153" s="54"/>
      <c r="P1153" s="15"/>
      <c r="Q1153"/>
      <c r="R1153"/>
      <c r="S1153" t="s">
        <v>4180</v>
      </c>
      <c r="T1153" s="178" t="s">
        <v>4180</v>
      </c>
      <c r="U1153" s="55"/>
      <c r="V1153" t="s">
        <v>1017</v>
      </c>
      <c r="W1153" s="65"/>
      <c r="X1153" s="65"/>
      <c r="Y1153"/>
      <c r="Z1153" s="65"/>
      <c r="AA1153" s="12"/>
      <c r="AB1153"/>
      <c r="AC1153" s="65"/>
      <c r="AD1153" s="27"/>
      <c r="AE1153" s="124" t="s">
        <v>1017</v>
      </c>
      <c r="AF1153" s="65"/>
      <c r="AG1153" s="91"/>
      <c r="AH1153" s="212" t="str">
        <f t="shared" ref="AH1153:AH1158" si="546">IF(ISERROR(SEARCH("K erstmals 201",D1153)),"",RIGHT(D1153,4))</f>
        <v/>
      </c>
      <c r="AI1153" s="214" t="str">
        <f t="shared" si="537"/>
        <v/>
      </c>
      <c r="AJ1153" s="214" t="str">
        <f t="shared" si="538"/>
        <v/>
      </c>
      <c r="AK1153" s="214" t="str">
        <f t="shared" si="539"/>
        <v/>
      </c>
      <c r="AL1153" s="214" t="str">
        <f t="shared" si="540"/>
        <v/>
      </c>
      <c r="AM1153" s="214" t="str">
        <f t="shared" si="541"/>
        <v/>
      </c>
      <c r="AN1153" s="213" t="str">
        <f t="shared" si="523"/>
        <v/>
      </c>
      <c r="AO1153" s="213" t="str">
        <f t="shared" si="524"/>
        <v/>
      </c>
      <c r="AP1153" s="213" t="str">
        <f t="shared" si="525"/>
        <v/>
      </c>
      <c r="AQ1153" s="215" t="str">
        <f t="shared" si="526"/>
        <v/>
      </c>
      <c r="AR1153" s="216" t="str">
        <f t="shared" si="527"/>
        <v>BiK82a1b----05</v>
      </c>
      <c r="AS1153" s="215" t="str">
        <f t="shared" si="528"/>
        <v/>
      </c>
      <c r="AT1153">
        <f t="shared" si="529"/>
        <v>14</v>
      </c>
      <c r="AU1153" s="216" t="str">
        <f t="shared" si="530"/>
        <v>0,15-0,5 MW, Bonusregeln a1 und b</v>
      </c>
      <c r="AV1153" s="215" t="str">
        <f t="shared" si="531"/>
        <v/>
      </c>
      <c r="AW1153" s="216" t="str">
        <f t="shared" si="532"/>
        <v>Anteil Nicht-KWK</v>
      </c>
      <c r="AX1153" s="215" t="str">
        <f t="shared" si="533"/>
        <v/>
      </c>
      <c r="AY1153" t="str">
        <f t="shared" si="534"/>
        <v/>
      </c>
      <c r="AZ1153" t="str">
        <f t="shared" si="535"/>
        <v/>
      </c>
    </row>
    <row r="1154" spans="1:52" s="178" customFormat="1" x14ac:dyDescent="0.25">
      <c r="A1154" s="609" t="s">
        <v>3492</v>
      </c>
      <c r="B1154" s="1" t="s">
        <v>5548</v>
      </c>
      <c r="C1154" s="2" t="s">
        <v>1288</v>
      </c>
      <c r="D1154" s="1" t="s">
        <v>7145</v>
      </c>
      <c r="E1154" s="1" t="s">
        <v>4812</v>
      </c>
      <c r="F1154" s="456">
        <f t="shared" si="542"/>
        <v>19.75</v>
      </c>
      <c r="G1154" s="531">
        <v>19.75</v>
      </c>
      <c r="H1154" s="489">
        <f t="shared" si="543"/>
        <v>15.8</v>
      </c>
      <c r="I1154" s="708"/>
      <c r="J1154" s="669" t="s">
        <v>5805</v>
      </c>
      <c r="K1154" s="15"/>
      <c r="L1154"/>
      <c r="M1154" s="49">
        <f t="shared" si="544"/>
        <v>19.75</v>
      </c>
      <c r="N1154" s="41">
        <v>9.75</v>
      </c>
      <c r="O1154" s="54" t="s">
        <v>1017</v>
      </c>
      <c r="P1154" s="15"/>
      <c r="Q1154"/>
      <c r="R1154"/>
      <c r="S1154" t="s">
        <v>4180</v>
      </c>
      <c r="T1154" s="178" t="s">
        <v>4180</v>
      </c>
      <c r="U1154" s="55"/>
      <c r="V1154" t="s">
        <v>1017</v>
      </c>
      <c r="W1154" s="65"/>
      <c r="X1154" s="65"/>
      <c r="Y1154"/>
      <c r="Z1154" s="65"/>
      <c r="AA1154" s="12"/>
      <c r="AB1154"/>
      <c r="AC1154" s="65"/>
      <c r="AD1154" s="27"/>
      <c r="AE1154" s="124" t="s">
        <v>1017</v>
      </c>
      <c r="AF1154" s="65"/>
      <c r="AG1154" s="91"/>
      <c r="AH1154" s="212" t="str">
        <f t="shared" si="546"/>
        <v/>
      </c>
      <c r="AI1154" s="214" t="str">
        <f t="shared" si="537"/>
        <v/>
      </c>
      <c r="AJ1154" s="214" t="str">
        <f t="shared" si="538"/>
        <v/>
      </c>
      <c r="AK1154" s="214" t="str">
        <f t="shared" si="539"/>
        <v/>
      </c>
      <c r="AL1154" s="214" t="str">
        <f t="shared" si="540"/>
        <v/>
      </c>
      <c r="AM1154" s="214" t="str">
        <f t="shared" si="541"/>
        <v/>
      </c>
      <c r="AN1154" s="213" t="str">
        <f t="shared" si="523"/>
        <v/>
      </c>
      <c r="AO1154" s="213" t="str">
        <f t="shared" si="524"/>
        <v/>
      </c>
      <c r="AP1154" s="213" t="str">
        <f t="shared" si="525"/>
        <v/>
      </c>
      <c r="AQ1154" s="215" t="str">
        <f t="shared" si="526"/>
        <v/>
      </c>
      <c r="AR1154" s="216" t="str">
        <f t="shared" si="527"/>
        <v>BiK82a1bKWK-05</v>
      </c>
      <c r="AS1154" s="215" t="str">
        <f t="shared" si="528"/>
        <v/>
      </c>
      <c r="AT1154">
        <f t="shared" si="529"/>
        <v>14</v>
      </c>
      <c r="AU1154" s="216" t="str">
        <f t="shared" si="530"/>
        <v>0,15-0,5 MW, Bonusregeln a1, b und KWK</v>
      </c>
      <c r="AV1154" s="215" t="str">
        <f t="shared" si="531"/>
        <v/>
      </c>
      <c r="AW1154" s="216" t="str">
        <f t="shared" si="532"/>
        <v>Anteil KWK</v>
      </c>
      <c r="AX1154" s="215" t="str">
        <f t="shared" si="533"/>
        <v/>
      </c>
      <c r="AY1154" t="str">
        <f t="shared" si="534"/>
        <v/>
      </c>
      <c r="AZ1154" t="str">
        <f t="shared" si="535"/>
        <v/>
      </c>
    </row>
    <row r="1155" spans="1:52" s="178" customFormat="1" x14ac:dyDescent="0.25">
      <c r="A1155" s="610" t="s">
        <v>4349</v>
      </c>
      <c r="B1155" s="17" t="s">
        <v>5548</v>
      </c>
      <c r="C1155" s="30" t="s">
        <v>1288</v>
      </c>
      <c r="D1155" s="30" t="s">
        <v>7146</v>
      </c>
      <c r="E1155" s="30" t="s">
        <v>4331</v>
      </c>
      <c r="F1155" s="454">
        <f t="shared" si="542"/>
        <v>20.75</v>
      </c>
      <c r="G1155" s="529">
        <v>20.75</v>
      </c>
      <c r="H1155" s="487">
        <f t="shared" si="543"/>
        <v>16.600000000000001</v>
      </c>
      <c r="I1155" s="706"/>
      <c r="J1155" s="669" t="s">
        <v>5805</v>
      </c>
      <c r="K1155" s="15"/>
      <c r="L1155"/>
      <c r="M1155" s="49">
        <f t="shared" si="544"/>
        <v>20.75</v>
      </c>
      <c r="N1155" s="41">
        <v>9.75</v>
      </c>
      <c r="O1155" s="54"/>
      <c r="P1155" t="s">
        <v>1017</v>
      </c>
      <c r="Q1155"/>
      <c r="R1155"/>
      <c r="S1155" t="s">
        <v>4180</v>
      </c>
      <c r="T1155" s="178" t="s">
        <v>4180</v>
      </c>
      <c r="U1155" s="55"/>
      <c r="V1155" t="s">
        <v>1017</v>
      </c>
      <c r="W1155" s="65"/>
      <c r="X1155" s="65"/>
      <c r="Y1155"/>
      <c r="Z1155" s="65"/>
      <c r="AA1155" s="12"/>
      <c r="AB1155"/>
      <c r="AC1155" s="65"/>
      <c r="AD1155" s="27"/>
      <c r="AE1155" s="124" t="s">
        <v>1017</v>
      </c>
      <c r="AF1155" s="65"/>
      <c r="AG1155" s="91"/>
      <c r="AH1155" s="212" t="str">
        <f t="shared" si="546"/>
        <v/>
      </c>
      <c r="AI1155" s="214" t="str">
        <f t="shared" si="537"/>
        <v/>
      </c>
      <c r="AJ1155" s="214" t="str">
        <f t="shared" si="538"/>
        <v/>
      </c>
      <c r="AK1155" s="214" t="str">
        <f t="shared" si="539"/>
        <v/>
      </c>
      <c r="AL1155" s="214" t="str">
        <f t="shared" si="540"/>
        <v/>
      </c>
      <c r="AM1155" s="214" t="str">
        <f t="shared" si="541"/>
        <v/>
      </c>
      <c r="AN1155" s="213" t="str">
        <f t="shared" si="523"/>
        <v/>
      </c>
      <c r="AO1155" s="213" t="str">
        <f t="shared" si="524"/>
        <v/>
      </c>
      <c r="AP1155" s="213" t="str">
        <f t="shared" si="525"/>
        <v/>
      </c>
      <c r="AQ1155" s="215" t="str">
        <f t="shared" si="526"/>
        <v/>
      </c>
      <c r="AR1155" s="216" t="str">
        <f t="shared" si="527"/>
        <v>BiK82a1bKA3-05</v>
      </c>
      <c r="AS1155" s="215" t="str">
        <f t="shared" si="528"/>
        <v/>
      </c>
      <c r="AT1155">
        <f t="shared" si="529"/>
        <v>14</v>
      </c>
      <c r="AU1155" s="216" t="str">
        <f t="shared" si="530"/>
        <v>0,15-0,5 MW, Bonusregeln a1, b und K wenn Anlage 3 erfüllt</v>
      </c>
      <c r="AV1155" s="215" t="str">
        <f t="shared" si="531"/>
        <v/>
      </c>
      <c r="AW1155" s="216" t="str">
        <f t="shared" si="532"/>
        <v>Anteil KWK gemäß Anlage 3</v>
      </c>
      <c r="AX1155" s="215" t="str">
        <f t="shared" si="533"/>
        <v/>
      </c>
      <c r="AY1155" t="str">
        <f t="shared" si="534"/>
        <v/>
      </c>
      <c r="AZ1155" t="str">
        <f t="shared" si="535"/>
        <v/>
      </c>
    </row>
    <row r="1156" spans="1:52" s="178" customFormat="1" x14ac:dyDescent="0.25">
      <c r="A1156" s="610" t="s">
        <v>2351</v>
      </c>
      <c r="B1156" s="17" t="s">
        <v>5548</v>
      </c>
      <c r="C1156" s="17" t="s">
        <v>1288</v>
      </c>
      <c r="D1156" s="30" t="s">
        <v>7147</v>
      </c>
      <c r="E1156" s="17" t="s">
        <v>674</v>
      </c>
      <c r="F1156" s="454">
        <f t="shared" si="542"/>
        <v>20.75</v>
      </c>
      <c r="G1156" s="529">
        <v>20.75</v>
      </c>
      <c r="H1156" s="487">
        <f t="shared" si="543"/>
        <v>16.600000000000001</v>
      </c>
      <c r="I1156" s="706"/>
      <c r="J1156" s="669" t="s">
        <v>5805</v>
      </c>
      <c r="K1156" s="15"/>
      <c r="L1156"/>
      <c r="M1156" s="49">
        <f t="shared" si="544"/>
        <v>20.75</v>
      </c>
      <c r="N1156" s="41">
        <v>9.75</v>
      </c>
      <c r="O1156" s="54"/>
      <c r="P1156" s="15"/>
      <c r="Q1156" t="s">
        <v>1017</v>
      </c>
      <c r="R1156"/>
      <c r="S1156" t="s">
        <v>4180</v>
      </c>
      <c r="T1156" s="178" t="s">
        <v>4180</v>
      </c>
      <c r="U1156" s="55"/>
      <c r="V1156" t="s">
        <v>1017</v>
      </c>
      <c r="W1156" s="65"/>
      <c r="X1156" s="65"/>
      <c r="Y1156"/>
      <c r="Z1156" s="65"/>
      <c r="AA1156" s="12"/>
      <c r="AB1156"/>
      <c r="AC1156" s="65"/>
      <c r="AD1156" s="27"/>
      <c r="AE1156" s="124" t="s">
        <v>1017</v>
      </c>
      <c r="AF1156" s="65"/>
      <c r="AG1156" s="91"/>
      <c r="AH1156" s="212" t="str">
        <f t="shared" si="546"/>
        <v/>
      </c>
      <c r="AI1156" s="214" t="str">
        <f t="shared" si="537"/>
        <v/>
      </c>
      <c r="AJ1156" s="214" t="str">
        <f t="shared" si="538"/>
        <v/>
      </c>
      <c r="AK1156" s="214" t="str">
        <f t="shared" si="539"/>
        <v/>
      </c>
      <c r="AL1156" s="214" t="str">
        <f t="shared" si="540"/>
        <v/>
      </c>
      <c r="AM1156" s="214" t="str">
        <f t="shared" si="541"/>
        <v/>
      </c>
      <c r="AN1156" s="213" t="str">
        <f t="shared" si="523"/>
        <v/>
      </c>
      <c r="AO1156" s="213" t="str">
        <f t="shared" si="524"/>
        <v/>
      </c>
      <c r="AP1156" s="213" t="str">
        <f t="shared" si="525"/>
        <v/>
      </c>
      <c r="AQ1156" s="215" t="str">
        <f t="shared" si="526"/>
        <v/>
      </c>
      <c r="AR1156" s="216" t="str">
        <f t="shared" si="527"/>
        <v>BiK82a1bK09-05</v>
      </c>
      <c r="AS1156" s="215" t="str">
        <f t="shared" si="528"/>
        <v/>
      </c>
      <c r="AT1156">
        <f t="shared" si="529"/>
        <v>14</v>
      </c>
      <c r="AU1156" s="216" t="str">
        <f t="shared" si="530"/>
        <v>0,15-0,5 MW, Bonusregeln a1, b und K erstmals 2009</v>
      </c>
      <c r="AV1156" s="215" t="str">
        <f t="shared" si="531"/>
        <v/>
      </c>
      <c r="AW1156" s="216" t="str">
        <f t="shared" si="532"/>
        <v>Anteil KWK, erstmals 2009</v>
      </c>
      <c r="AX1156" s="215" t="str">
        <f t="shared" si="533"/>
        <v/>
      </c>
      <c r="AY1156" t="str">
        <f t="shared" si="534"/>
        <v/>
      </c>
      <c r="AZ1156" t="str">
        <f t="shared" si="535"/>
        <v/>
      </c>
    </row>
    <row r="1157" spans="1:52" s="178" customFormat="1" x14ac:dyDescent="0.25">
      <c r="A1157" s="610" t="s">
        <v>3606</v>
      </c>
      <c r="B1157" s="17" t="s">
        <v>5548</v>
      </c>
      <c r="C1157" s="17" t="s">
        <v>1288</v>
      </c>
      <c r="D1157" s="30" t="s">
        <v>7148</v>
      </c>
      <c r="E1157" s="17" t="s">
        <v>3567</v>
      </c>
      <c r="F1157" s="454">
        <f t="shared" si="542"/>
        <v>20.72</v>
      </c>
      <c r="G1157" s="529">
        <v>20.72</v>
      </c>
      <c r="H1157" s="487">
        <f t="shared" si="543"/>
        <v>16.579999999999998</v>
      </c>
      <c r="I1157" s="706"/>
      <c r="J1157" s="669" t="s">
        <v>5805</v>
      </c>
      <c r="K1157" s="15"/>
      <c r="L1157"/>
      <c r="M1157" s="49">
        <f t="shared" si="544"/>
        <v>20.72</v>
      </c>
      <c r="N1157" s="41">
        <v>9.75</v>
      </c>
      <c r="O1157" s="54"/>
      <c r="P1157" s="15"/>
      <c r="Q1157"/>
      <c r="R1157" t="s">
        <v>1017</v>
      </c>
      <c r="S1157" t="s">
        <v>4180</v>
      </c>
      <c r="T1157" s="178" t="s">
        <v>4180</v>
      </c>
      <c r="U1157" s="55"/>
      <c r="V1157" t="s">
        <v>1017</v>
      </c>
      <c r="W1157" s="65"/>
      <c r="X1157" s="65"/>
      <c r="Y1157"/>
      <c r="Z1157" s="65"/>
      <c r="AA1157" s="12"/>
      <c r="AB1157"/>
      <c r="AC1157" s="65"/>
      <c r="AD1157" s="27"/>
      <c r="AE1157" s="124" t="s">
        <v>1017</v>
      </c>
      <c r="AF1157" s="65"/>
      <c r="AG1157" s="91"/>
      <c r="AH1157" s="212" t="str">
        <f t="shared" si="546"/>
        <v>2010</v>
      </c>
      <c r="AI1157" s="214" t="str">
        <f t="shared" si="537"/>
        <v/>
      </c>
      <c r="AJ1157" s="214" t="str">
        <f t="shared" si="538"/>
        <v/>
      </c>
      <c r="AK1157" s="214" t="str">
        <f t="shared" si="539"/>
        <v/>
      </c>
      <c r="AL1157" s="214" t="str">
        <f t="shared" si="540"/>
        <v/>
      </c>
      <c r="AM1157" s="214" t="str">
        <f t="shared" si="541"/>
        <v/>
      </c>
      <c r="AN1157" s="213" t="str">
        <f t="shared" si="523"/>
        <v>2010</v>
      </c>
      <c r="AO1157" s="213" t="str">
        <f t="shared" si="524"/>
        <v>2010</v>
      </c>
      <c r="AP1157" s="213" t="str">
        <f t="shared" si="525"/>
        <v>2010</v>
      </c>
      <c r="AQ1157" s="215" t="str">
        <f t="shared" si="526"/>
        <v/>
      </c>
      <c r="AR1157" s="216" t="str">
        <f t="shared" si="527"/>
        <v>BiK82a1bK10-05</v>
      </c>
      <c r="AS1157" s="215" t="str">
        <f t="shared" si="528"/>
        <v/>
      </c>
      <c r="AT1157">
        <f t="shared" si="529"/>
        <v>14</v>
      </c>
      <c r="AU1157" s="216" t="str">
        <f t="shared" si="530"/>
        <v>0,15-0,5 MW, Bonusregeln a1, b und K erstmals 2010</v>
      </c>
      <c r="AV1157" s="215" t="str">
        <f t="shared" si="531"/>
        <v/>
      </c>
      <c r="AW1157" s="216" t="str">
        <f t="shared" si="532"/>
        <v>Anteil KWK, erstmals 2010</v>
      </c>
      <c r="AX1157" s="215" t="str">
        <f t="shared" si="533"/>
        <v/>
      </c>
      <c r="AY1157" t="str">
        <f t="shared" si="534"/>
        <v/>
      </c>
      <c r="AZ1157" t="str">
        <f t="shared" si="535"/>
        <v/>
      </c>
    </row>
    <row r="1158" spans="1:52" s="178" customFormat="1" x14ac:dyDescent="0.25">
      <c r="A1158" s="610" t="s">
        <v>5337</v>
      </c>
      <c r="B1158" s="17" t="s">
        <v>5548</v>
      </c>
      <c r="C1158" s="17" t="s">
        <v>1288</v>
      </c>
      <c r="D1158" s="30" t="s">
        <v>7149</v>
      </c>
      <c r="E1158" s="17" t="s">
        <v>3055</v>
      </c>
      <c r="F1158" s="454">
        <f t="shared" si="542"/>
        <v>20.689999999999998</v>
      </c>
      <c r="G1158" s="529">
        <v>20.689999999999998</v>
      </c>
      <c r="H1158" s="487">
        <f t="shared" si="543"/>
        <v>16.55</v>
      </c>
      <c r="I1158" s="706"/>
      <c r="J1158" s="669" t="s">
        <v>5805</v>
      </c>
      <c r="K1158" s="15"/>
      <c r="L1158"/>
      <c r="M1158" s="49">
        <f t="shared" si="544"/>
        <v>20.689999999999998</v>
      </c>
      <c r="N1158" s="41">
        <v>9.75</v>
      </c>
      <c r="O1158" s="54"/>
      <c r="P1158" s="15"/>
      <c r="Q1158"/>
      <c r="R1158"/>
      <c r="S1158" t="s">
        <v>1017</v>
      </c>
      <c r="T1158" s="178" t="s">
        <v>4180</v>
      </c>
      <c r="U1158" s="55"/>
      <c r="V1158" t="s">
        <v>1017</v>
      </c>
      <c r="W1158" s="65"/>
      <c r="X1158" s="65"/>
      <c r="Y1158"/>
      <c r="Z1158" s="65"/>
      <c r="AA1158" s="12"/>
      <c r="AB1158"/>
      <c r="AC1158" s="65"/>
      <c r="AD1158" s="27"/>
      <c r="AE1158" s="124" t="s">
        <v>1017</v>
      </c>
      <c r="AF1158" s="65"/>
      <c r="AG1158" s="91"/>
      <c r="AH1158" s="212" t="str">
        <f t="shared" si="546"/>
        <v>2011</v>
      </c>
      <c r="AI1158" s="214" t="str">
        <f t="shared" si="537"/>
        <v/>
      </c>
      <c r="AJ1158" s="214" t="str">
        <f t="shared" si="538"/>
        <v/>
      </c>
      <c r="AK1158" s="214" t="str">
        <f t="shared" si="539"/>
        <v/>
      </c>
      <c r="AL1158" s="214" t="str">
        <f t="shared" si="540"/>
        <v/>
      </c>
      <c r="AM1158" s="214" t="str">
        <f t="shared" si="541"/>
        <v/>
      </c>
      <c r="AN1158" s="213" t="str">
        <f t="shared" si="523"/>
        <v>2011</v>
      </c>
      <c r="AO1158" s="213" t="str">
        <f t="shared" si="524"/>
        <v>2011</v>
      </c>
      <c r="AP1158" s="213" t="str">
        <f t="shared" si="525"/>
        <v>2011</v>
      </c>
      <c r="AQ1158" s="215" t="str">
        <f t="shared" si="526"/>
        <v/>
      </c>
      <c r="AR1158" s="216" t="str">
        <f t="shared" si="527"/>
        <v>BiK82a1bK11-05</v>
      </c>
      <c r="AS1158" s="215" t="str">
        <f t="shared" si="528"/>
        <v/>
      </c>
      <c r="AT1158">
        <f t="shared" si="529"/>
        <v>14</v>
      </c>
      <c r="AU1158" s="216" t="str">
        <f t="shared" si="530"/>
        <v>0,15-0,5 MW, Bonusregeln a1, b und K erstmals 2011</v>
      </c>
      <c r="AV1158" s="215" t="str">
        <f t="shared" si="531"/>
        <v/>
      </c>
      <c r="AW1158" s="216" t="str">
        <f t="shared" si="532"/>
        <v>Anteil KWK, erstmals 2011</v>
      </c>
      <c r="AX1158" s="215" t="str">
        <f t="shared" si="533"/>
        <v/>
      </c>
      <c r="AY1158" t="str">
        <f t="shared" si="534"/>
        <v>x</v>
      </c>
      <c r="AZ1158" t="str">
        <f t="shared" si="535"/>
        <v/>
      </c>
    </row>
    <row r="1159" spans="1:52" s="178" customFormat="1" x14ac:dyDescent="0.25">
      <c r="A1159" s="625" t="s">
        <v>1587</v>
      </c>
      <c r="B1159" s="221" t="s">
        <v>5548</v>
      </c>
      <c r="C1159" s="221" t="s">
        <v>1288</v>
      </c>
      <c r="D1159" s="219" t="s">
        <v>7150</v>
      </c>
      <c r="E1159" s="221" t="s">
        <v>1980</v>
      </c>
      <c r="F1159" s="455">
        <f t="shared" si="542"/>
        <v>20.66</v>
      </c>
      <c r="G1159" s="530">
        <v>20.66</v>
      </c>
      <c r="H1159" s="488">
        <f t="shared" si="543"/>
        <v>16.53</v>
      </c>
      <c r="I1159" s="707"/>
      <c r="J1159" s="669" t="s">
        <v>5805</v>
      </c>
      <c r="K1159" s="15"/>
      <c r="L1159"/>
      <c r="M1159" s="49">
        <f t="shared" si="544"/>
        <v>20.66</v>
      </c>
      <c r="N1159" s="41">
        <v>9.75</v>
      </c>
      <c r="O1159" s="54"/>
      <c r="P1159" s="15"/>
      <c r="Q1159"/>
      <c r="R1159"/>
      <c r="S1159" t="s">
        <v>4180</v>
      </c>
      <c r="T1159" s="178" t="s">
        <v>1017</v>
      </c>
      <c r="U1159" s="55"/>
      <c r="V1159" t="s">
        <v>1017</v>
      </c>
      <c r="W1159" s="65"/>
      <c r="X1159" s="65"/>
      <c r="Y1159"/>
      <c r="Z1159" s="65"/>
      <c r="AA1159" s="12"/>
      <c r="AB1159"/>
      <c r="AC1159" s="65"/>
      <c r="AD1159" s="27"/>
      <c r="AE1159" s="124" t="s">
        <v>1017</v>
      </c>
      <c r="AF1159" s="65"/>
      <c r="AG1159" s="91"/>
      <c r="AH1159" s="217" t="s">
        <v>4179</v>
      </c>
      <c r="AI1159" s="214" t="str">
        <f t="shared" si="537"/>
        <v/>
      </c>
      <c r="AJ1159" s="214" t="str">
        <f t="shared" si="538"/>
        <v/>
      </c>
      <c r="AK1159" s="214" t="str">
        <f t="shared" si="539"/>
        <v/>
      </c>
      <c r="AL1159" s="214" t="str">
        <f t="shared" si="540"/>
        <v/>
      </c>
      <c r="AM1159" s="214" t="str">
        <f t="shared" si="541"/>
        <v/>
      </c>
      <c r="AN1159" s="213" t="str">
        <f t="shared" si="523"/>
        <v>2012</v>
      </c>
      <c r="AO1159" s="213" t="str">
        <f t="shared" si="524"/>
        <v>2012</v>
      </c>
      <c r="AP1159" s="213" t="str">
        <f t="shared" si="525"/>
        <v>2012</v>
      </c>
      <c r="AQ1159" s="215" t="str">
        <f t="shared" si="526"/>
        <v/>
      </c>
      <c r="AR1159" s="216" t="str">
        <f t="shared" si="527"/>
        <v>BiK82a1bK12-05</v>
      </c>
      <c r="AS1159" s="215" t="str">
        <f t="shared" si="528"/>
        <v/>
      </c>
      <c r="AT1159">
        <f t="shared" si="529"/>
        <v>14</v>
      </c>
      <c r="AU1159" s="216" t="str">
        <f t="shared" si="530"/>
        <v>0,15-0,5 MW, Bonusregeln a1, b und K erstmals 2012</v>
      </c>
      <c r="AV1159" s="215" t="str">
        <f t="shared" si="531"/>
        <v/>
      </c>
      <c r="AW1159" s="216" t="str">
        <f t="shared" si="532"/>
        <v>Anteil KWK, erstmals 2012</v>
      </c>
      <c r="AX1159" s="215" t="str">
        <f t="shared" si="533"/>
        <v/>
      </c>
      <c r="AY1159" t="str">
        <f t="shared" si="534"/>
        <v/>
      </c>
      <c r="AZ1159" t="str">
        <f t="shared" si="535"/>
        <v>x</v>
      </c>
    </row>
    <row r="1160" spans="1:52" s="178" customFormat="1" x14ac:dyDescent="0.25">
      <c r="A1160" s="610" t="s">
        <v>1337</v>
      </c>
      <c r="B1160" s="17" t="s">
        <v>5548</v>
      </c>
      <c r="C1160" s="17" t="s">
        <v>1288</v>
      </c>
      <c r="D1160" s="30" t="s">
        <v>7151</v>
      </c>
      <c r="E1160" s="17" t="s">
        <v>4810</v>
      </c>
      <c r="F1160" s="454">
        <f t="shared" si="542"/>
        <v>18.75</v>
      </c>
      <c r="G1160" s="529">
        <v>18.75</v>
      </c>
      <c r="H1160" s="487">
        <f t="shared" si="543"/>
        <v>15</v>
      </c>
      <c r="I1160" s="706"/>
      <c r="J1160" s="669" t="s">
        <v>5805</v>
      </c>
      <c r="K1160" s="15"/>
      <c r="L1160"/>
      <c r="M1160" s="49">
        <f t="shared" si="544"/>
        <v>18.75</v>
      </c>
      <c r="N1160" s="41">
        <v>9.75</v>
      </c>
      <c r="O1160" s="54"/>
      <c r="P1160" s="15"/>
      <c r="Q1160"/>
      <c r="R1160"/>
      <c r="S1160" t="s">
        <v>4180</v>
      </c>
      <c r="T1160" s="178" t="s">
        <v>4180</v>
      </c>
      <c r="U1160" s="55" t="s">
        <v>1017</v>
      </c>
      <c r="V1160" t="s">
        <v>1017</v>
      </c>
      <c r="W1160" s="65"/>
      <c r="X1160" s="65"/>
      <c r="Y1160"/>
      <c r="Z1160" s="65"/>
      <c r="AA1160" s="12"/>
      <c r="AB1160"/>
      <c r="AC1160" s="65"/>
      <c r="AD1160" s="27"/>
      <c r="AE1160" s="124" t="s">
        <v>1017</v>
      </c>
      <c r="AF1160" s="65"/>
      <c r="AG1160" s="91"/>
      <c r="AH1160" s="212" t="str">
        <f t="shared" ref="AH1160:AH1165" si="547">IF(ISERROR(SEARCH("K erstmals 201",D1160)),"",RIGHT(D1160,4))</f>
        <v/>
      </c>
      <c r="AI1160" s="214" t="str">
        <f t="shared" si="537"/>
        <v/>
      </c>
      <c r="AJ1160" s="214" t="str">
        <f t="shared" si="538"/>
        <v/>
      </c>
      <c r="AK1160" s="214" t="str">
        <f t="shared" si="539"/>
        <v/>
      </c>
      <c r="AL1160" s="214" t="str">
        <f t="shared" si="540"/>
        <v/>
      </c>
      <c r="AM1160" s="214" t="str">
        <f t="shared" si="541"/>
        <v/>
      </c>
      <c r="AN1160" s="213" t="str">
        <f t="shared" si="523"/>
        <v/>
      </c>
      <c r="AO1160" s="213" t="str">
        <f t="shared" si="524"/>
        <v/>
      </c>
      <c r="AP1160" s="213" t="str">
        <f t="shared" si="525"/>
        <v/>
      </c>
      <c r="AQ1160" s="215" t="str">
        <f t="shared" si="526"/>
        <v/>
      </c>
      <c r="AR1160" s="216" t="str">
        <f t="shared" si="527"/>
        <v>BiK82a1by---05</v>
      </c>
      <c r="AS1160" s="215" t="str">
        <f t="shared" si="528"/>
        <v/>
      </c>
      <c r="AT1160">
        <f t="shared" si="529"/>
        <v>14</v>
      </c>
      <c r="AU1160" s="216" t="str">
        <f t="shared" si="530"/>
        <v>0,15-0,5 MW, Bonusregeln a1, b, y</v>
      </c>
      <c r="AV1160" s="215" t="str">
        <f t="shared" si="531"/>
        <v/>
      </c>
      <c r="AW1160" s="216" t="str">
        <f t="shared" si="532"/>
        <v>Anteil Nicht-KWK</v>
      </c>
      <c r="AX1160" s="215" t="str">
        <f t="shared" si="533"/>
        <v/>
      </c>
      <c r="AY1160" t="str">
        <f t="shared" si="534"/>
        <v/>
      </c>
      <c r="AZ1160" t="str">
        <f t="shared" si="535"/>
        <v/>
      </c>
    </row>
    <row r="1161" spans="1:52" s="178" customFormat="1" x14ac:dyDescent="0.25">
      <c r="A1161" s="610" t="s">
        <v>1338</v>
      </c>
      <c r="B1161" s="17" t="s">
        <v>5548</v>
      </c>
      <c r="C1161" s="17" t="s">
        <v>1288</v>
      </c>
      <c r="D1161" s="17" t="s">
        <v>7152</v>
      </c>
      <c r="E1161" s="17" t="s">
        <v>4812</v>
      </c>
      <c r="F1161" s="454">
        <f t="shared" si="542"/>
        <v>20.75</v>
      </c>
      <c r="G1161" s="529">
        <v>20.75</v>
      </c>
      <c r="H1161" s="487">
        <f t="shared" si="543"/>
        <v>16.600000000000001</v>
      </c>
      <c r="I1161" s="706"/>
      <c r="J1161" s="669" t="s">
        <v>5805</v>
      </c>
      <c r="K1161" s="15"/>
      <c r="L1161"/>
      <c r="M1161" s="49">
        <f t="shared" si="544"/>
        <v>20.75</v>
      </c>
      <c r="N1161" s="41">
        <v>9.75</v>
      </c>
      <c r="O1161" s="54" t="s">
        <v>1017</v>
      </c>
      <c r="P1161" s="15"/>
      <c r="Q1161"/>
      <c r="R1161"/>
      <c r="S1161" t="s">
        <v>4180</v>
      </c>
      <c r="T1161" s="178" t="s">
        <v>4180</v>
      </c>
      <c r="U1161" s="55" t="s">
        <v>1017</v>
      </c>
      <c r="V1161" t="s">
        <v>1017</v>
      </c>
      <c r="W1161" s="65"/>
      <c r="X1161" s="65"/>
      <c r="Y1161"/>
      <c r="Z1161" s="65"/>
      <c r="AA1161" s="12"/>
      <c r="AB1161"/>
      <c r="AC1161" s="65"/>
      <c r="AD1161" s="27"/>
      <c r="AE1161" s="124" t="s">
        <v>1017</v>
      </c>
      <c r="AF1161" s="65"/>
      <c r="AG1161" s="91"/>
      <c r="AH1161" s="212" t="str">
        <f t="shared" si="547"/>
        <v/>
      </c>
      <c r="AI1161" s="214" t="str">
        <f t="shared" si="537"/>
        <v/>
      </c>
      <c r="AJ1161" s="214" t="str">
        <f t="shared" si="538"/>
        <v/>
      </c>
      <c r="AK1161" s="214" t="str">
        <f t="shared" si="539"/>
        <v/>
      </c>
      <c r="AL1161" s="214" t="str">
        <f t="shared" si="540"/>
        <v/>
      </c>
      <c r="AM1161" s="214" t="str">
        <f t="shared" si="541"/>
        <v/>
      </c>
      <c r="AN1161" s="213" t="str">
        <f t="shared" si="523"/>
        <v/>
      </c>
      <c r="AO1161" s="213" t="str">
        <f t="shared" si="524"/>
        <v/>
      </c>
      <c r="AP1161" s="213" t="str">
        <f t="shared" si="525"/>
        <v/>
      </c>
      <c r="AQ1161" s="215" t="str">
        <f t="shared" si="526"/>
        <v/>
      </c>
      <c r="AR1161" s="216" t="str">
        <f t="shared" si="527"/>
        <v>BiK82a1bKWKy05</v>
      </c>
      <c r="AS1161" s="215" t="str">
        <f t="shared" si="528"/>
        <v/>
      </c>
      <c r="AT1161">
        <f t="shared" si="529"/>
        <v>14</v>
      </c>
      <c r="AU1161" s="216" t="str">
        <f t="shared" si="530"/>
        <v>0,15-0,5 MW, Bonusregeln a1, b, y und KWK</v>
      </c>
      <c r="AV1161" s="215" t="str">
        <f t="shared" si="531"/>
        <v/>
      </c>
      <c r="AW1161" s="216" t="str">
        <f t="shared" si="532"/>
        <v>Anteil KWK</v>
      </c>
      <c r="AX1161" s="215" t="str">
        <f t="shared" si="533"/>
        <v/>
      </c>
      <c r="AY1161" t="str">
        <f t="shared" si="534"/>
        <v/>
      </c>
      <c r="AZ1161" t="str">
        <f t="shared" si="535"/>
        <v/>
      </c>
    </row>
    <row r="1162" spans="1:52" s="178" customFormat="1" x14ac:dyDescent="0.25">
      <c r="A1162" s="610" t="s">
        <v>1339</v>
      </c>
      <c r="B1162" s="17" t="s">
        <v>5548</v>
      </c>
      <c r="C1162" s="30" t="s">
        <v>1288</v>
      </c>
      <c r="D1162" s="30" t="s">
        <v>7153</v>
      </c>
      <c r="E1162" s="30" t="s">
        <v>4331</v>
      </c>
      <c r="F1162" s="454">
        <f t="shared" si="542"/>
        <v>21.75</v>
      </c>
      <c r="G1162" s="529">
        <v>21.75</v>
      </c>
      <c r="H1162" s="487">
        <f t="shared" si="543"/>
        <v>17.399999999999999</v>
      </c>
      <c r="I1162" s="706"/>
      <c r="J1162" s="669" t="s">
        <v>5805</v>
      </c>
      <c r="K1162" s="15"/>
      <c r="L1162"/>
      <c r="M1162" s="49">
        <f t="shared" si="544"/>
        <v>21.75</v>
      </c>
      <c r="N1162" s="41">
        <v>9.75</v>
      </c>
      <c r="O1162" s="54"/>
      <c r="P1162" t="s">
        <v>1017</v>
      </c>
      <c r="Q1162"/>
      <c r="R1162"/>
      <c r="S1162" t="s">
        <v>4180</v>
      </c>
      <c r="T1162" s="178" t="s">
        <v>4180</v>
      </c>
      <c r="U1162" s="55" t="s">
        <v>1017</v>
      </c>
      <c r="V1162" t="s">
        <v>1017</v>
      </c>
      <c r="W1162" s="65"/>
      <c r="X1162" s="65"/>
      <c r="Y1162"/>
      <c r="Z1162" s="65"/>
      <c r="AA1162" s="12"/>
      <c r="AB1162"/>
      <c r="AC1162" s="65"/>
      <c r="AD1162" s="27"/>
      <c r="AE1162" s="124" t="s">
        <v>1017</v>
      </c>
      <c r="AF1162" s="65"/>
      <c r="AG1162" s="91"/>
      <c r="AH1162" s="212" t="str">
        <f t="shared" si="547"/>
        <v/>
      </c>
      <c r="AI1162" s="214" t="str">
        <f t="shared" si="537"/>
        <v/>
      </c>
      <c r="AJ1162" s="214" t="str">
        <f t="shared" si="538"/>
        <v/>
      </c>
      <c r="AK1162" s="214" t="str">
        <f t="shared" si="539"/>
        <v/>
      </c>
      <c r="AL1162" s="214" t="str">
        <f t="shared" si="540"/>
        <v/>
      </c>
      <c r="AM1162" s="214" t="str">
        <f t="shared" si="541"/>
        <v/>
      </c>
      <c r="AN1162" s="213" t="str">
        <f t="shared" si="523"/>
        <v/>
      </c>
      <c r="AO1162" s="213" t="str">
        <f t="shared" si="524"/>
        <v/>
      </c>
      <c r="AP1162" s="213" t="str">
        <f t="shared" si="525"/>
        <v/>
      </c>
      <c r="AQ1162" s="215" t="str">
        <f t="shared" si="526"/>
        <v/>
      </c>
      <c r="AR1162" s="216" t="str">
        <f t="shared" si="527"/>
        <v>BiK82a1bKA3y05</v>
      </c>
      <c r="AS1162" s="215" t="str">
        <f t="shared" si="528"/>
        <v/>
      </c>
      <c r="AT1162">
        <f t="shared" si="529"/>
        <v>14</v>
      </c>
      <c r="AU1162" s="216" t="str">
        <f t="shared" si="530"/>
        <v>0,15-0,5 MW, Bonusregeln a1, b, y und K wenn Anlage 3 erfüllt</v>
      </c>
      <c r="AV1162" s="215" t="str">
        <f t="shared" si="531"/>
        <v/>
      </c>
      <c r="AW1162" s="216" t="str">
        <f t="shared" si="532"/>
        <v>Anteil KWK gemäß Anlage 3</v>
      </c>
      <c r="AX1162" s="215" t="str">
        <f t="shared" si="533"/>
        <v/>
      </c>
      <c r="AY1162" t="str">
        <f t="shared" si="534"/>
        <v/>
      </c>
      <c r="AZ1162" t="str">
        <f t="shared" si="535"/>
        <v/>
      </c>
    </row>
    <row r="1163" spans="1:52" s="178" customFormat="1" x14ac:dyDescent="0.25">
      <c r="A1163" s="610" t="s">
        <v>1340</v>
      </c>
      <c r="B1163" s="17" t="s">
        <v>5548</v>
      </c>
      <c r="C1163" s="17" t="s">
        <v>1288</v>
      </c>
      <c r="D1163" s="30" t="s">
        <v>7154</v>
      </c>
      <c r="E1163" s="17" t="s">
        <v>674</v>
      </c>
      <c r="F1163" s="454">
        <f t="shared" si="542"/>
        <v>21.75</v>
      </c>
      <c r="G1163" s="529">
        <v>21.75</v>
      </c>
      <c r="H1163" s="487">
        <f t="shared" si="543"/>
        <v>17.399999999999999</v>
      </c>
      <c r="I1163" s="706"/>
      <c r="J1163" s="669" t="s">
        <v>5805</v>
      </c>
      <c r="K1163" s="15"/>
      <c r="L1163"/>
      <c r="M1163" s="49">
        <f t="shared" si="544"/>
        <v>21.75</v>
      </c>
      <c r="N1163" s="41">
        <v>9.75</v>
      </c>
      <c r="O1163" s="54"/>
      <c r="P1163" s="15"/>
      <c r="Q1163" t="s">
        <v>1017</v>
      </c>
      <c r="R1163"/>
      <c r="S1163" t="s">
        <v>4180</v>
      </c>
      <c r="T1163" s="178" t="s">
        <v>4180</v>
      </c>
      <c r="U1163" s="55" t="s">
        <v>1017</v>
      </c>
      <c r="V1163" t="s">
        <v>1017</v>
      </c>
      <c r="W1163" s="65"/>
      <c r="X1163" s="65"/>
      <c r="Y1163"/>
      <c r="Z1163" s="65"/>
      <c r="AA1163" s="12"/>
      <c r="AB1163"/>
      <c r="AC1163" s="65"/>
      <c r="AD1163" s="27"/>
      <c r="AE1163" s="124" t="s">
        <v>1017</v>
      </c>
      <c r="AF1163" s="65"/>
      <c r="AG1163" s="91"/>
      <c r="AH1163" s="212" t="str">
        <f t="shared" si="547"/>
        <v/>
      </c>
      <c r="AI1163" s="214" t="str">
        <f t="shared" si="537"/>
        <v/>
      </c>
      <c r="AJ1163" s="214" t="str">
        <f t="shared" si="538"/>
        <v/>
      </c>
      <c r="AK1163" s="214" t="str">
        <f t="shared" si="539"/>
        <v/>
      </c>
      <c r="AL1163" s="214" t="str">
        <f t="shared" si="540"/>
        <v/>
      </c>
      <c r="AM1163" s="214" t="str">
        <f t="shared" si="541"/>
        <v/>
      </c>
      <c r="AN1163" s="213" t="str">
        <f t="shared" si="523"/>
        <v/>
      </c>
      <c r="AO1163" s="213" t="str">
        <f t="shared" si="524"/>
        <v/>
      </c>
      <c r="AP1163" s="213" t="str">
        <f t="shared" si="525"/>
        <v/>
      </c>
      <c r="AQ1163" s="215" t="str">
        <f t="shared" si="526"/>
        <v/>
      </c>
      <c r="AR1163" s="216" t="str">
        <f t="shared" si="527"/>
        <v>BiK82a1bK09y05</v>
      </c>
      <c r="AS1163" s="215" t="str">
        <f t="shared" si="528"/>
        <v/>
      </c>
      <c r="AT1163">
        <f t="shared" si="529"/>
        <v>14</v>
      </c>
      <c r="AU1163" s="216" t="str">
        <f t="shared" si="530"/>
        <v>0,15-0,5 MW, Bonusregeln a1, b, y und K erstmals 2009</v>
      </c>
      <c r="AV1163" s="215" t="str">
        <f t="shared" si="531"/>
        <v/>
      </c>
      <c r="AW1163" s="216" t="str">
        <f t="shared" si="532"/>
        <v>Anteil KWK, erstmals 2009</v>
      </c>
      <c r="AX1163" s="215" t="str">
        <f t="shared" si="533"/>
        <v/>
      </c>
      <c r="AY1163" t="str">
        <f t="shared" si="534"/>
        <v/>
      </c>
      <c r="AZ1163" t="str">
        <f t="shared" si="535"/>
        <v/>
      </c>
    </row>
    <row r="1164" spans="1:52" s="178" customFormat="1" x14ac:dyDescent="0.25">
      <c r="A1164" s="610" t="s">
        <v>3607</v>
      </c>
      <c r="B1164" s="17" t="s">
        <v>5548</v>
      </c>
      <c r="C1164" s="17" t="s">
        <v>1288</v>
      </c>
      <c r="D1164" s="30" t="s">
        <v>7155</v>
      </c>
      <c r="E1164" s="17" t="s">
        <v>3567</v>
      </c>
      <c r="F1164" s="454">
        <f t="shared" si="542"/>
        <v>21.72</v>
      </c>
      <c r="G1164" s="529">
        <v>21.72</v>
      </c>
      <c r="H1164" s="487">
        <f t="shared" si="543"/>
        <v>17.38</v>
      </c>
      <c r="I1164" s="706"/>
      <c r="J1164" s="669" t="s">
        <v>5805</v>
      </c>
      <c r="K1164" s="15"/>
      <c r="L1164"/>
      <c r="M1164" s="49">
        <f t="shared" si="544"/>
        <v>21.72</v>
      </c>
      <c r="N1164" s="41">
        <v>9.75</v>
      </c>
      <c r="O1164" s="54"/>
      <c r="P1164" s="15"/>
      <c r="Q1164"/>
      <c r="R1164" t="s">
        <v>1017</v>
      </c>
      <c r="S1164" t="s">
        <v>4180</v>
      </c>
      <c r="T1164" s="178" t="s">
        <v>4180</v>
      </c>
      <c r="U1164" s="55" t="s">
        <v>1017</v>
      </c>
      <c r="V1164" t="s">
        <v>1017</v>
      </c>
      <c r="W1164" s="65"/>
      <c r="X1164" s="65"/>
      <c r="Y1164"/>
      <c r="Z1164" s="65"/>
      <c r="AA1164" s="12"/>
      <c r="AB1164"/>
      <c r="AC1164" s="65"/>
      <c r="AD1164" s="27"/>
      <c r="AE1164" s="124" t="s">
        <v>1017</v>
      </c>
      <c r="AF1164" s="65"/>
      <c r="AG1164" s="91"/>
      <c r="AH1164" s="212" t="str">
        <f t="shared" si="547"/>
        <v>2010</v>
      </c>
      <c r="AI1164" s="214" t="str">
        <f t="shared" si="537"/>
        <v/>
      </c>
      <c r="AJ1164" s="214" t="str">
        <f t="shared" si="538"/>
        <v/>
      </c>
      <c r="AK1164" s="214" t="str">
        <f t="shared" si="539"/>
        <v/>
      </c>
      <c r="AL1164" s="214" t="str">
        <f t="shared" si="540"/>
        <v/>
      </c>
      <c r="AM1164" s="214" t="str">
        <f t="shared" si="541"/>
        <v/>
      </c>
      <c r="AN1164" s="213" t="str">
        <f t="shared" si="523"/>
        <v>2010</v>
      </c>
      <c r="AO1164" s="213" t="str">
        <f t="shared" si="524"/>
        <v>2010</v>
      </c>
      <c r="AP1164" s="213" t="str">
        <f t="shared" si="525"/>
        <v>2010</v>
      </c>
      <c r="AQ1164" s="215" t="str">
        <f t="shared" si="526"/>
        <v/>
      </c>
      <c r="AR1164" s="216" t="str">
        <f t="shared" si="527"/>
        <v>BiK82a1bK10y05</v>
      </c>
      <c r="AS1164" s="215" t="str">
        <f t="shared" si="528"/>
        <v/>
      </c>
      <c r="AT1164">
        <f t="shared" si="529"/>
        <v>14</v>
      </c>
      <c r="AU1164" s="216" t="str">
        <f t="shared" si="530"/>
        <v>0,15-0,5 MW, Bonusregeln a1, b, y und K erstmals 2010</v>
      </c>
      <c r="AV1164" s="215" t="str">
        <f t="shared" si="531"/>
        <v/>
      </c>
      <c r="AW1164" s="216" t="str">
        <f t="shared" si="532"/>
        <v>Anteil KWK, erstmals 2010</v>
      </c>
      <c r="AX1164" s="215" t="str">
        <f t="shared" si="533"/>
        <v/>
      </c>
      <c r="AY1164" t="str">
        <f t="shared" si="534"/>
        <v/>
      </c>
      <c r="AZ1164" t="str">
        <f t="shared" si="535"/>
        <v/>
      </c>
    </row>
    <row r="1165" spans="1:52" s="178" customFormat="1" x14ac:dyDescent="0.25">
      <c r="A1165" s="610" t="s">
        <v>5338</v>
      </c>
      <c r="B1165" s="17" t="s">
        <v>5548</v>
      </c>
      <c r="C1165" s="17" t="s">
        <v>1288</v>
      </c>
      <c r="D1165" s="30" t="s">
        <v>7156</v>
      </c>
      <c r="E1165" s="17" t="s">
        <v>3055</v>
      </c>
      <c r="F1165" s="454">
        <f t="shared" si="542"/>
        <v>21.689999999999998</v>
      </c>
      <c r="G1165" s="529">
        <v>21.689999999999998</v>
      </c>
      <c r="H1165" s="487">
        <f t="shared" si="543"/>
        <v>17.350000000000001</v>
      </c>
      <c r="I1165" s="706"/>
      <c r="J1165" s="669" t="s">
        <v>5805</v>
      </c>
      <c r="K1165" s="15"/>
      <c r="L1165"/>
      <c r="M1165" s="49">
        <f t="shared" si="544"/>
        <v>21.689999999999998</v>
      </c>
      <c r="N1165" s="41">
        <v>9.75</v>
      </c>
      <c r="O1165" s="54"/>
      <c r="P1165" s="15"/>
      <c r="Q1165"/>
      <c r="R1165"/>
      <c r="S1165" t="s">
        <v>1017</v>
      </c>
      <c r="T1165" s="178" t="s">
        <v>4180</v>
      </c>
      <c r="U1165" s="55" t="s">
        <v>1017</v>
      </c>
      <c r="V1165" t="s">
        <v>1017</v>
      </c>
      <c r="W1165" s="65"/>
      <c r="X1165" s="65"/>
      <c r="Y1165"/>
      <c r="Z1165" s="65"/>
      <c r="AA1165" s="12"/>
      <c r="AB1165"/>
      <c r="AC1165" s="65"/>
      <c r="AD1165" s="27"/>
      <c r="AE1165" s="124" t="s">
        <v>1017</v>
      </c>
      <c r="AF1165" s="65"/>
      <c r="AG1165" s="91"/>
      <c r="AH1165" s="212" t="str">
        <f t="shared" si="547"/>
        <v>2011</v>
      </c>
      <c r="AI1165" s="214" t="str">
        <f t="shared" si="537"/>
        <v/>
      </c>
      <c r="AJ1165" s="214" t="str">
        <f t="shared" si="538"/>
        <v/>
      </c>
      <c r="AK1165" s="214" t="str">
        <f t="shared" si="539"/>
        <v/>
      </c>
      <c r="AL1165" s="214" t="str">
        <f t="shared" si="540"/>
        <v/>
      </c>
      <c r="AM1165" s="214" t="str">
        <f t="shared" si="541"/>
        <v/>
      </c>
      <c r="AN1165" s="213" t="str">
        <f t="shared" si="523"/>
        <v>2011</v>
      </c>
      <c r="AO1165" s="213" t="str">
        <f t="shared" si="524"/>
        <v>2011</v>
      </c>
      <c r="AP1165" s="213" t="str">
        <f t="shared" si="525"/>
        <v>2011</v>
      </c>
      <c r="AQ1165" s="215" t="str">
        <f t="shared" si="526"/>
        <v/>
      </c>
      <c r="AR1165" s="216" t="str">
        <f t="shared" si="527"/>
        <v>BiK82a1bK11y05</v>
      </c>
      <c r="AS1165" s="215" t="str">
        <f t="shared" si="528"/>
        <v/>
      </c>
      <c r="AT1165">
        <f t="shared" si="529"/>
        <v>14</v>
      </c>
      <c r="AU1165" s="216" t="str">
        <f t="shared" si="530"/>
        <v>0,15-0,5 MW, Bonusregeln a1, b, y und K erstmals 2011</v>
      </c>
      <c r="AV1165" s="215" t="str">
        <f t="shared" si="531"/>
        <v/>
      </c>
      <c r="AW1165" s="216" t="str">
        <f t="shared" si="532"/>
        <v>Anteil KWK, erstmals 2011</v>
      </c>
      <c r="AX1165" s="215" t="str">
        <f t="shared" si="533"/>
        <v/>
      </c>
      <c r="AY1165" t="str">
        <f t="shared" si="534"/>
        <v>x</v>
      </c>
      <c r="AZ1165" t="str">
        <f t="shared" si="535"/>
        <v/>
      </c>
    </row>
    <row r="1166" spans="1:52" s="178" customFormat="1" x14ac:dyDescent="0.25">
      <c r="A1166" s="625" t="s">
        <v>1588</v>
      </c>
      <c r="B1166" s="221" t="s">
        <v>5548</v>
      </c>
      <c r="C1166" s="221" t="s">
        <v>1288</v>
      </c>
      <c r="D1166" s="219" t="s">
        <v>7157</v>
      </c>
      <c r="E1166" s="221" t="s">
        <v>1980</v>
      </c>
      <c r="F1166" s="455">
        <f t="shared" si="542"/>
        <v>21.66</v>
      </c>
      <c r="G1166" s="530">
        <v>21.66</v>
      </c>
      <c r="H1166" s="488">
        <f t="shared" si="543"/>
        <v>17.329999999999998</v>
      </c>
      <c r="I1166" s="707"/>
      <c r="J1166" s="669" t="s">
        <v>5805</v>
      </c>
      <c r="K1166" s="15"/>
      <c r="L1166"/>
      <c r="M1166" s="49">
        <f t="shared" si="544"/>
        <v>21.66</v>
      </c>
      <c r="N1166" s="41">
        <v>9.75</v>
      </c>
      <c r="O1166" s="54"/>
      <c r="P1166" s="15"/>
      <c r="Q1166"/>
      <c r="R1166"/>
      <c r="S1166" t="s">
        <v>4180</v>
      </c>
      <c r="T1166" s="178" t="s">
        <v>1017</v>
      </c>
      <c r="U1166" s="55" t="s">
        <v>1017</v>
      </c>
      <c r="V1166" t="s">
        <v>1017</v>
      </c>
      <c r="W1166" s="65"/>
      <c r="X1166" s="65"/>
      <c r="Y1166"/>
      <c r="Z1166" s="65"/>
      <c r="AA1166" s="12"/>
      <c r="AB1166"/>
      <c r="AC1166" s="65"/>
      <c r="AD1166" s="27"/>
      <c r="AE1166" s="124" t="s">
        <v>1017</v>
      </c>
      <c r="AF1166" s="65"/>
      <c r="AG1166" s="91"/>
      <c r="AH1166" s="217" t="s">
        <v>4179</v>
      </c>
      <c r="AI1166" s="214" t="str">
        <f t="shared" si="537"/>
        <v/>
      </c>
      <c r="AJ1166" s="214" t="str">
        <f t="shared" si="538"/>
        <v/>
      </c>
      <c r="AK1166" s="214" t="str">
        <f t="shared" si="539"/>
        <v/>
      </c>
      <c r="AL1166" s="214" t="str">
        <f t="shared" si="540"/>
        <v/>
      </c>
      <c r="AM1166" s="214" t="str">
        <f t="shared" si="541"/>
        <v/>
      </c>
      <c r="AN1166" s="213" t="str">
        <f t="shared" si="523"/>
        <v>2012</v>
      </c>
      <c r="AO1166" s="213" t="str">
        <f t="shared" si="524"/>
        <v>2012</v>
      </c>
      <c r="AP1166" s="213" t="str">
        <f t="shared" si="525"/>
        <v>2012</v>
      </c>
      <c r="AQ1166" s="215" t="str">
        <f t="shared" si="526"/>
        <v/>
      </c>
      <c r="AR1166" s="216" t="str">
        <f t="shared" si="527"/>
        <v>BiK82a1bK12y05</v>
      </c>
      <c r="AS1166" s="215" t="str">
        <f t="shared" si="528"/>
        <v/>
      </c>
      <c r="AT1166">
        <f t="shared" si="529"/>
        <v>14</v>
      </c>
      <c r="AU1166" s="216" t="str">
        <f t="shared" si="530"/>
        <v>0,15-0,5 MW, Bonusregeln a1, b, y und K erstmals 2012</v>
      </c>
      <c r="AV1166" s="215" t="str">
        <f t="shared" si="531"/>
        <v/>
      </c>
      <c r="AW1166" s="216" t="str">
        <f t="shared" si="532"/>
        <v>Anteil KWK, erstmals 2012</v>
      </c>
      <c r="AX1166" s="215" t="str">
        <f t="shared" si="533"/>
        <v/>
      </c>
      <c r="AY1166" t="str">
        <f t="shared" si="534"/>
        <v/>
      </c>
      <c r="AZ1166" t="str">
        <f t="shared" si="535"/>
        <v>x</v>
      </c>
    </row>
    <row r="1167" spans="1:52" s="178" customFormat="1" x14ac:dyDescent="0.25">
      <c r="A1167" s="610" t="s">
        <v>2486</v>
      </c>
      <c r="B1167" s="30" t="s">
        <v>5548</v>
      </c>
      <c r="C1167" s="30" t="s">
        <v>1288</v>
      </c>
      <c r="D1167" s="30" t="s">
        <v>7158</v>
      </c>
      <c r="E1167" s="30" t="s">
        <v>4810</v>
      </c>
      <c r="F1167" s="454">
        <f t="shared" si="542"/>
        <v>18.75</v>
      </c>
      <c r="G1167" s="529">
        <v>18.75</v>
      </c>
      <c r="H1167" s="487">
        <f t="shared" si="543"/>
        <v>15</v>
      </c>
      <c r="I1167" s="706"/>
      <c r="J1167" s="669" t="s">
        <v>5805</v>
      </c>
      <c r="K1167" s="15"/>
      <c r="L1167"/>
      <c r="M1167" s="49">
        <f t="shared" si="544"/>
        <v>18.75</v>
      </c>
      <c r="N1167" s="41">
        <v>9.75</v>
      </c>
      <c r="O1167" s="186"/>
      <c r="P1167" s="177"/>
      <c r="S1167" s="178" t="s">
        <v>4180</v>
      </c>
      <c r="T1167" s="178" t="s">
        <v>4180</v>
      </c>
      <c r="U1167" s="179"/>
      <c r="W1167" s="180"/>
      <c r="X1167" s="180"/>
      <c r="Y1167" s="178" t="s">
        <v>1017</v>
      </c>
      <c r="Z1167" s="180"/>
      <c r="AA1167" s="184"/>
      <c r="AC1167" s="180"/>
      <c r="AD1167" s="182"/>
      <c r="AE1167" s="200" t="s">
        <v>1017</v>
      </c>
      <c r="AF1167" s="180"/>
      <c r="AG1167" s="201"/>
      <c r="AH1167" s="212" t="str">
        <f t="shared" ref="AH1167:AH1172" si="548">IF(ISERROR(SEARCH("K erstmals 201",D1167)),"",RIGHT(D1167,4))</f>
        <v/>
      </c>
      <c r="AI1167" s="214" t="str">
        <f t="shared" si="537"/>
        <v/>
      </c>
      <c r="AJ1167" s="214" t="str">
        <f t="shared" si="538"/>
        <v/>
      </c>
      <c r="AK1167" s="214" t="str">
        <f t="shared" si="539"/>
        <v/>
      </c>
      <c r="AL1167" s="214" t="str">
        <f t="shared" si="540"/>
        <v/>
      </c>
      <c r="AM1167" s="214" t="str">
        <f t="shared" si="541"/>
        <v/>
      </c>
      <c r="AN1167" s="213" t="str">
        <f t="shared" si="523"/>
        <v/>
      </c>
      <c r="AO1167" s="213" t="str">
        <f t="shared" si="524"/>
        <v/>
      </c>
      <c r="AP1167" s="213" t="str">
        <f t="shared" si="525"/>
        <v/>
      </c>
      <c r="AQ1167" s="215" t="str">
        <f t="shared" si="526"/>
        <v/>
      </c>
      <c r="AR1167" s="216" t="str">
        <f t="shared" si="527"/>
        <v>BiK82Gb-----05</v>
      </c>
      <c r="AS1167" s="215" t="str">
        <f t="shared" si="528"/>
        <v/>
      </c>
      <c r="AT1167">
        <f t="shared" si="529"/>
        <v>14</v>
      </c>
      <c r="AU1167" s="216" t="str">
        <f t="shared" si="530"/>
        <v>0,15-0,5 MW, Bonusregeln G, b</v>
      </c>
      <c r="AV1167" s="215" t="str">
        <f t="shared" si="531"/>
        <v/>
      </c>
      <c r="AW1167" s="216" t="str">
        <f t="shared" si="532"/>
        <v>Anteil Nicht-KWK</v>
      </c>
      <c r="AX1167" s="215" t="str">
        <f t="shared" si="533"/>
        <v/>
      </c>
      <c r="AY1167" t="str">
        <f t="shared" si="534"/>
        <v/>
      </c>
      <c r="AZ1167" t="str">
        <f t="shared" si="535"/>
        <v/>
      </c>
    </row>
    <row r="1168" spans="1:52" s="178" customFormat="1" x14ac:dyDescent="0.25">
      <c r="A1168" s="610" t="s">
        <v>2487</v>
      </c>
      <c r="B1168" s="30" t="s">
        <v>5548</v>
      </c>
      <c r="C1168" s="30" t="s">
        <v>1288</v>
      </c>
      <c r="D1168" s="30" t="s">
        <v>7159</v>
      </c>
      <c r="E1168" s="30" t="s">
        <v>4812</v>
      </c>
      <c r="F1168" s="454">
        <f t="shared" si="542"/>
        <v>20.75</v>
      </c>
      <c r="G1168" s="529">
        <v>20.75</v>
      </c>
      <c r="H1168" s="487">
        <f t="shared" si="543"/>
        <v>16.600000000000001</v>
      </c>
      <c r="I1168" s="706"/>
      <c r="J1168" s="669" t="s">
        <v>5805</v>
      </c>
      <c r="K1168" s="15"/>
      <c r="L1168"/>
      <c r="M1168" s="49">
        <f t="shared" si="544"/>
        <v>20.75</v>
      </c>
      <c r="N1168" s="41">
        <v>9.75</v>
      </c>
      <c r="O1168" s="186" t="s">
        <v>1017</v>
      </c>
      <c r="P1168" s="177"/>
      <c r="S1168" s="178" t="s">
        <v>4180</v>
      </c>
      <c r="T1168" s="178" t="s">
        <v>4180</v>
      </c>
      <c r="U1168" s="179"/>
      <c r="W1168" s="180"/>
      <c r="X1168" s="180"/>
      <c r="Y1168" s="178" t="s">
        <v>1017</v>
      </c>
      <c r="Z1168" s="180"/>
      <c r="AA1168" s="184"/>
      <c r="AC1168" s="180"/>
      <c r="AD1168" s="182"/>
      <c r="AE1168" s="200" t="s">
        <v>1017</v>
      </c>
      <c r="AF1168" s="180"/>
      <c r="AG1168" s="201"/>
      <c r="AH1168" s="212" t="str">
        <f t="shared" si="548"/>
        <v/>
      </c>
      <c r="AI1168" s="214" t="str">
        <f t="shared" si="537"/>
        <v/>
      </c>
      <c r="AJ1168" s="214" t="str">
        <f t="shared" si="538"/>
        <v/>
      </c>
      <c r="AK1168" s="214" t="str">
        <f t="shared" si="539"/>
        <v/>
      </c>
      <c r="AL1168" s="214" t="str">
        <f t="shared" si="540"/>
        <v/>
      </c>
      <c r="AM1168" s="214" t="str">
        <f t="shared" si="541"/>
        <v/>
      </c>
      <c r="AN1168" s="213" t="str">
        <f t="shared" si="523"/>
        <v/>
      </c>
      <c r="AO1168" s="213" t="str">
        <f t="shared" si="524"/>
        <v/>
      </c>
      <c r="AP1168" s="213" t="str">
        <f t="shared" si="525"/>
        <v/>
      </c>
      <c r="AQ1168" s="215" t="str">
        <f t="shared" si="526"/>
        <v/>
      </c>
      <c r="AR1168" s="216" t="str">
        <f t="shared" si="527"/>
        <v>BiK82GbKWK--05</v>
      </c>
      <c r="AS1168" s="215" t="str">
        <f t="shared" si="528"/>
        <v/>
      </c>
      <c r="AT1168">
        <f t="shared" si="529"/>
        <v>14</v>
      </c>
      <c r="AU1168" s="216" t="str">
        <f t="shared" si="530"/>
        <v>0,15-0,5 MW, Bonusregeln G, b und KWK</v>
      </c>
      <c r="AV1168" s="215" t="str">
        <f t="shared" si="531"/>
        <v/>
      </c>
      <c r="AW1168" s="216" t="str">
        <f t="shared" si="532"/>
        <v>Anteil KWK</v>
      </c>
      <c r="AX1168" s="215" t="str">
        <f t="shared" si="533"/>
        <v/>
      </c>
      <c r="AY1168" t="str">
        <f t="shared" si="534"/>
        <v/>
      </c>
      <c r="AZ1168" t="str">
        <f t="shared" si="535"/>
        <v/>
      </c>
    </row>
    <row r="1169" spans="1:52" s="178" customFormat="1" x14ac:dyDescent="0.25">
      <c r="A1169" s="610" t="s">
        <v>2488</v>
      </c>
      <c r="B1169" s="30" t="s">
        <v>5548</v>
      </c>
      <c r="C1169" s="30" t="s">
        <v>1288</v>
      </c>
      <c r="D1169" s="30" t="s">
        <v>7160</v>
      </c>
      <c r="E1169" s="30" t="s">
        <v>4331</v>
      </c>
      <c r="F1169" s="454">
        <f t="shared" si="542"/>
        <v>21.75</v>
      </c>
      <c r="G1169" s="529">
        <v>21.75</v>
      </c>
      <c r="H1169" s="487">
        <f t="shared" si="543"/>
        <v>17.399999999999999</v>
      </c>
      <c r="I1169" s="706"/>
      <c r="J1169" s="669" t="s">
        <v>5805</v>
      </c>
      <c r="K1169" s="15"/>
      <c r="L1169"/>
      <c r="M1169" s="49">
        <f t="shared" si="544"/>
        <v>21.75</v>
      </c>
      <c r="N1169" s="41">
        <v>9.75</v>
      </c>
      <c r="O1169" s="186"/>
      <c r="P1169" s="178" t="s">
        <v>1017</v>
      </c>
      <c r="S1169" s="178" t="s">
        <v>4180</v>
      </c>
      <c r="T1169" s="178" t="s">
        <v>4180</v>
      </c>
      <c r="U1169" s="179"/>
      <c r="W1169" s="180"/>
      <c r="X1169" s="180"/>
      <c r="Y1169" s="178" t="s">
        <v>1017</v>
      </c>
      <c r="Z1169" s="180"/>
      <c r="AA1169" s="184"/>
      <c r="AC1169" s="180"/>
      <c r="AD1169" s="182"/>
      <c r="AE1169" s="200" t="s">
        <v>1017</v>
      </c>
      <c r="AF1169" s="180"/>
      <c r="AG1169" s="201"/>
      <c r="AH1169" s="212" t="str">
        <f t="shared" si="548"/>
        <v/>
      </c>
      <c r="AI1169" s="214" t="str">
        <f t="shared" si="537"/>
        <v/>
      </c>
      <c r="AJ1169" s="214" t="str">
        <f t="shared" si="538"/>
        <v/>
      </c>
      <c r="AK1169" s="214" t="str">
        <f t="shared" si="539"/>
        <v/>
      </c>
      <c r="AL1169" s="214" t="str">
        <f t="shared" si="540"/>
        <v/>
      </c>
      <c r="AM1169" s="214" t="str">
        <f t="shared" si="541"/>
        <v/>
      </c>
      <c r="AN1169" s="213" t="str">
        <f t="shared" si="523"/>
        <v/>
      </c>
      <c r="AO1169" s="213" t="str">
        <f t="shared" si="524"/>
        <v/>
      </c>
      <c r="AP1169" s="213" t="str">
        <f t="shared" si="525"/>
        <v/>
      </c>
      <c r="AQ1169" s="215" t="str">
        <f t="shared" si="526"/>
        <v/>
      </c>
      <c r="AR1169" s="216" t="str">
        <f t="shared" si="527"/>
        <v>BiK82GbKA3--05</v>
      </c>
      <c r="AS1169" s="215" t="str">
        <f t="shared" si="528"/>
        <v/>
      </c>
      <c r="AT1169">
        <f t="shared" si="529"/>
        <v>14</v>
      </c>
      <c r="AU1169" s="216" t="str">
        <f t="shared" si="530"/>
        <v>0,15-0,5 MW, Bonusregeln G, b und K wenn Anlage 3 erfüllt</v>
      </c>
      <c r="AV1169" s="215" t="str">
        <f t="shared" si="531"/>
        <v/>
      </c>
      <c r="AW1169" s="216" t="str">
        <f t="shared" si="532"/>
        <v>Anteil KWK gemäß Anlage 3</v>
      </c>
      <c r="AX1169" s="215" t="str">
        <f t="shared" si="533"/>
        <v/>
      </c>
      <c r="AY1169" t="str">
        <f t="shared" si="534"/>
        <v/>
      </c>
      <c r="AZ1169" t="str">
        <f t="shared" si="535"/>
        <v/>
      </c>
    </row>
    <row r="1170" spans="1:52" s="178" customFormat="1" x14ac:dyDescent="0.25">
      <c r="A1170" s="610" t="s">
        <v>2489</v>
      </c>
      <c r="B1170" s="30" t="s">
        <v>5548</v>
      </c>
      <c r="C1170" s="30" t="s">
        <v>1288</v>
      </c>
      <c r="D1170" s="30" t="s">
        <v>7161</v>
      </c>
      <c r="E1170" s="30" t="s">
        <v>674</v>
      </c>
      <c r="F1170" s="454">
        <f t="shared" si="542"/>
        <v>21.75</v>
      </c>
      <c r="G1170" s="529">
        <v>21.75</v>
      </c>
      <c r="H1170" s="487">
        <f t="shared" si="543"/>
        <v>17.399999999999999</v>
      </c>
      <c r="I1170" s="706"/>
      <c r="J1170" s="669" t="s">
        <v>5805</v>
      </c>
      <c r="K1170" s="15"/>
      <c r="L1170"/>
      <c r="M1170" s="49">
        <f t="shared" si="544"/>
        <v>21.75</v>
      </c>
      <c r="N1170" s="41">
        <v>9.75</v>
      </c>
      <c r="O1170" s="186"/>
      <c r="P1170" s="177"/>
      <c r="Q1170" s="178" t="s">
        <v>1017</v>
      </c>
      <c r="S1170" s="178" t="s">
        <v>4180</v>
      </c>
      <c r="T1170" s="178" t="s">
        <v>4180</v>
      </c>
      <c r="U1170" s="179"/>
      <c r="W1170" s="180"/>
      <c r="X1170" s="180"/>
      <c r="Y1170" s="178" t="s">
        <v>1017</v>
      </c>
      <c r="Z1170" s="180"/>
      <c r="AA1170" s="184"/>
      <c r="AC1170" s="180"/>
      <c r="AD1170" s="182"/>
      <c r="AE1170" s="200" t="s">
        <v>1017</v>
      </c>
      <c r="AF1170" s="180"/>
      <c r="AG1170" s="201"/>
      <c r="AH1170" s="212" t="str">
        <f t="shared" si="548"/>
        <v/>
      </c>
      <c r="AI1170" s="214" t="str">
        <f t="shared" si="537"/>
        <v/>
      </c>
      <c r="AJ1170" s="214" t="str">
        <f t="shared" si="538"/>
        <v/>
      </c>
      <c r="AK1170" s="214" t="str">
        <f t="shared" si="539"/>
        <v/>
      </c>
      <c r="AL1170" s="214" t="str">
        <f t="shared" si="540"/>
        <v/>
      </c>
      <c r="AM1170" s="214" t="str">
        <f t="shared" si="541"/>
        <v/>
      </c>
      <c r="AN1170" s="213" t="str">
        <f t="shared" si="523"/>
        <v/>
      </c>
      <c r="AO1170" s="213" t="str">
        <f t="shared" si="524"/>
        <v/>
      </c>
      <c r="AP1170" s="213" t="str">
        <f t="shared" si="525"/>
        <v/>
      </c>
      <c r="AQ1170" s="215" t="str">
        <f t="shared" si="526"/>
        <v/>
      </c>
      <c r="AR1170" s="216" t="str">
        <f t="shared" si="527"/>
        <v>BiK82GbK09--05</v>
      </c>
      <c r="AS1170" s="215" t="str">
        <f t="shared" si="528"/>
        <v/>
      </c>
      <c r="AT1170">
        <f t="shared" si="529"/>
        <v>14</v>
      </c>
      <c r="AU1170" s="216" t="str">
        <f t="shared" si="530"/>
        <v>0,15-0,5 MW, Bonusregeln G, b und K erstmals 2009</v>
      </c>
      <c r="AV1170" s="215" t="str">
        <f t="shared" si="531"/>
        <v/>
      </c>
      <c r="AW1170" s="216" t="str">
        <f t="shared" si="532"/>
        <v>Anteil KWK, erstmals 2009</v>
      </c>
      <c r="AX1170" s="215" t="str">
        <f t="shared" si="533"/>
        <v/>
      </c>
      <c r="AY1170" t="str">
        <f t="shared" si="534"/>
        <v/>
      </c>
      <c r="AZ1170" t="str">
        <f t="shared" si="535"/>
        <v/>
      </c>
    </row>
    <row r="1171" spans="1:52" s="178" customFormat="1" x14ac:dyDescent="0.25">
      <c r="A1171" s="610" t="s">
        <v>3608</v>
      </c>
      <c r="B1171" s="30" t="s">
        <v>5548</v>
      </c>
      <c r="C1171" s="30" t="s">
        <v>1288</v>
      </c>
      <c r="D1171" s="30" t="s">
        <v>7162</v>
      </c>
      <c r="E1171" s="30" t="s">
        <v>3567</v>
      </c>
      <c r="F1171" s="454">
        <f t="shared" si="542"/>
        <v>21.72</v>
      </c>
      <c r="G1171" s="529">
        <v>21.72</v>
      </c>
      <c r="H1171" s="487">
        <f t="shared" si="543"/>
        <v>17.38</v>
      </c>
      <c r="I1171" s="706"/>
      <c r="J1171" s="669" t="s">
        <v>5805</v>
      </c>
      <c r="K1171" s="15"/>
      <c r="L1171"/>
      <c r="M1171" s="49">
        <f t="shared" si="544"/>
        <v>21.72</v>
      </c>
      <c r="N1171" s="41">
        <v>9.75</v>
      </c>
      <c r="O1171" s="186"/>
      <c r="P1171" s="177"/>
      <c r="R1171" s="178" t="s">
        <v>1017</v>
      </c>
      <c r="S1171" s="178" t="s">
        <v>4180</v>
      </c>
      <c r="T1171" s="178" t="s">
        <v>4180</v>
      </c>
      <c r="U1171" s="179"/>
      <c r="W1171" s="180"/>
      <c r="X1171" s="180"/>
      <c r="Y1171" s="178" t="s">
        <v>1017</v>
      </c>
      <c r="Z1171" s="180"/>
      <c r="AA1171" s="184"/>
      <c r="AC1171" s="180"/>
      <c r="AD1171" s="182"/>
      <c r="AE1171" s="200" t="s">
        <v>1017</v>
      </c>
      <c r="AF1171" s="180"/>
      <c r="AG1171" s="201"/>
      <c r="AH1171" s="212" t="str">
        <f t="shared" si="548"/>
        <v>2010</v>
      </c>
      <c r="AI1171" s="214" t="str">
        <f t="shared" si="537"/>
        <v/>
      </c>
      <c r="AJ1171" s="214" t="str">
        <f t="shared" si="538"/>
        <v/>
      </c>
      <c r="AK1171" s="214" t="str">
        <f t="shared" si="539"/>
        <v/>
      </c>
      <c r="AL1171" s="214" t="str">
        <f t="shared" si="540"/>
        <v/>
      </c>
      <c r="AM1171" s="214" t="str">
        <f t="shared" si="541"/>
        <v/>
      </c>
      <c r="AN1171" s="213" t="str">
        <f t="shared" si="523"/>
        <v>2010</v>
      </c>
      <c r="AO1171" s="213" t="str">
        <f t="shared" si="524"/>
        <v>2010</v>
      </c>
      <c r="AP1171" s="213" t="str">
        <f t="shared" si="525"/>
        <v>2010</v>
      </c>
      <c r="AQ1171" s="215" t="str">
        <f t="shared" si="526"/>
        <v/>
      </c>
      <c r="AR1171" s="216" t="str">
        <f t="shared" si="527"/>
        <v>BiK82GbK10--05</v>
      </c>
      <c r="AS1171" s="215" t="str">
        <f t="shared" si="528"/>
        <v/>
      </c>
      <c r="AT1171">
        <f t="shared" si="529"/>
        <v>14</v>
      </c>
      <c r="AU1171" s="216" t="str">
        <f t="shared" si="530"/>
        <v>0,15-0,5 MW, Bonusregeln G, b und K erstmals 2010</v>
      </c>
      <c r="AV1171" s="215" t="str">
        <f t="shared" si="531"/>
        <v/>
      </c>
      <c r="AW1171" s="216" t="str">
        <f t="shared" si="532"/>
        <v>Anteil KWK, erstmals 2010</v>
      </c>
      <c r="AX1171" s="215" t="str">
        <f t="shared" si="533"/>
        <v/>
      </c>
      <c r="AY1171" t="str">
        <f t="shared" si="534"/>
        <v/>
      </c>
      <c r="AZ1171" t="str">
        <f t="shared" si="535"/>
        <v/>
      </c>
    </row>
    <row r="1172" spans="1:52" s="178" customFormat="1" x14ac:dyDescent="0.25">
      <c r="A1172" s="610" t="s">
        <v>5339</v>
      </c>
      <c r="B1172" s="30" t="s">
        <v>5548</v>
      </c>
      <c r="C1172" s="30" t="s">
        <v>1288</v>
      </c>
      <c r="D1172" s="30" t="s">
        <v>7163</v>
      </c>
      <c r="E1172" s="30" t="s">
        <v>3055</v>
      </c>
      <c r="F1172" s="454">
        <f t="shared" si="542"/>
        <v>21.689999999999998</v>
      </c>
      <c r="G1172" s="529">
        <v>21.689999999999998</v>
      </c>
      <c r="H1172" s="487">
        <f t="shared" si="543"/>
        <v>17.350000000000001</v>
      </c>
      <c r="I1172" s="706"/>
      <c r="J1172" s="669" t="s">
        <v>5805</v>
      </c>
      <c r="K1172" s="15"/>
      <c r="L1172"/>
      <c r="M1172" s="49">
        <f t="shared" si="544"/>
        <v>21.689999999999998</v>
      </c>
      <c r="N1172" s="41">
        <v>9.75</v>
      </c>
      <c r="O1172" s="186"/>
      <c r="P1172" s="177"/>
      <c r="S1172" s="178" t="s">
        <v>1017</v>
      </c>
      <c r="T1172" s="178" t="s">
        <v>4180</v>
      </c>
      <c r="U1172" s="179"/>
      <c r="W1172" s="180"/>
      <c r="X1172" s="180"/>
      <c r="Y1172" s="178" t="s">
        <v>1017</v>
      </c>
      <c r="Z1172" s="180"/>
      <c r="AA1172" s="184"/>
      <c r="AC1172" s="180"/>
      <c r="AD1172" s="182"/>
      <c r="AE1172" s="200" t="s">
        <v>1017</v>
      </c>
      <c r="AF1172" s="180"/>
      <c r="AG1172" s="201"/>
      <c r="AH1172" s="212" t="str">
        <f t="shared" si="548"/>
        <v>2011</v>
      </c>
      <c r="AI1172" s="214" t="str">
        <f t="shared" si="537"/>
        <v/>
      </c>
      <c r="AJ1172" s="214" t="str">
        <f t="shared" si="538"/>
        <v/>
      </c>
      <c r="AK1172" s="214" t="str">
        <f t="shared" si="539"/>
        <v/>
      </c>
      <c r="AL1172" s="214" t="str">
        <f t="shared" si="540"/>
        <v/>
      </c>
      <c r="AM1172" s="214" t="str">
        <f t="shared" si="541"/>
        <v/>
      </c>
      <c r="AN1172" s="213" t="str">
        <f t="shared" si="523"/>
        <v>2011</v>
      </c>
      <c r="AO1172" s="213" t="str">
        <f t="shared" si="524"/>
        <v>2011</v>
      </c>
      <c r="AP1172" s="213" t="str">
        <f t="shared" si="525"/>
        <v>2011</v>
      </c>
      <c r="AQ1172" s="215" t="str">
        <f t="shared" si="526"/>
        <v/>
      </c>
      <c r="AR1172" s="216" t="str">
        <f t="shared" si="527"/>
        <v>BiK82GbK11--05</v>
      </c>
      <c r="AS1172" s="215" t="str">
        <f t="shared" si="528"/>
        <v/>
      </c>
      <c r="AT1172">
        <f t="shared" si="529"/>
        <v>14</v>
      </c>
      <c r="AU1172" s="216" t="str">
        <f t="shared" si="530"/>
        <v>0,15-0,5 MW, Bonusregeln G, b und K erstmals 2011</v>
      </c>
      <c r="AV1172" s="215" t="str">
        <f t="shared" si="531"/>
        <v/>
      </c>
      <c r="AW1172" s="216" t="str">
        <f t="shared" si="532"/>
        <v>Anteil KWK, erstmals 2011</v>
      </c>
      <c r="AX1172" s="215" t="str">
        <f t="shared" si="533"/>
        <v/>
      </c>
      <c r="AY1172" t="str">
        <f t="shared" si="534"/>
        <v>x</v>
      </c>
      <c r="AZ1172" t="str">
        <f t="shared" si="535"/>
        <v/>
      </c>
    </row>
    <row r="1173" spans="1:52" s="178" customFormat="1" x14ac:dyDescent="0.25">
      <c r="A1173" s="625" t="s">
        <v>1589</v>
      </c>
      <c r="B1173" s="219" t="s">
        <v>5548</v>
      </c>
      <c r="C1173" s="219" t="s">
        <v>1288</v>
      </c>
      <c r="D1173" s="219" t="s">
        <v>7164</v>
      </c>
      <c r="E1173" s="219" t="s">
        <v>1980</v>
      </c>
      <c r="F1173" s="455">
        <f t="shared" si="542"/>
        <v>21.66</v>
      </c>
      <c r="G1173" s="530">
        <v>21.66</v>
      </c>
      <c r="H1173" s="488">
        <f t="shared" si="543"/>
        <v>17.329999999999998</v>
      </c>
      <c r="I1173" s="707"/>
      <c r="J1173" s="669" t="s">
        <v>5805</v>
      </c>
      <c r="K1173" s="15"/>
      <c r="L1173"/>
      <c r="M1173" s="49">
        <f t="shared" si="544"/>
        <v>21.66</v>
      </c>
      <c r="N1173" s="41">
        <v>9.75</v>
      </c>
      <c r="O1173" s="186"/>
      <c r="P1173" s="177"/>
      <c r="S1173" s="178" t="s">
        <v>4180</v>
      </c>
      <c r="T1173" s="178" t="s">
        <v>1017</v>
      </c>
      <c r="U1173" s="179"/>
      <c r="W1173" s="180"/>
      <c r="X1173" s="180"/>
      <c r="Y1173" s="178" t="s">
        <v>1017</v>
      </c>
      <c r="Z1173" s="180"/>
      <c r="AA1173" s="184"/>
      <c r="AC1173" s="180"/>
      <c r="AD1173" s="182"/>
      <c r="AE1173" s="200" t="s">
        <v>1017</v>
      </c>
      <c r="AF1173" s="180"/>
      <c r="AG1173" s="201"/>
      <c r="AH1173" s="217" t="s">
        <v>4179</v>
      </c>
      <c r="AI1173" s="214" t="str">
        <f t="shared" si="537"/>
        <v/>
      </c>
      <c r="AJ1173" s="214" t="str">
        <f t="shared" si="538"/>
        <v/>
      </c>
      <c r="AK1173" s="214" t="str">
        <f t="shared" si="539"/>
        <v/>
      </c>
      <c r="AL1173" s="214" t="str">
        <f t="shared" si="540"/>
        <v/>
      </c>
      <c r="AM1173" s="214" t="str">
        <f t="shared" si="541"/>
        <v/>
      </c>
      <c r="AN1173" s="213" t="str">
        <f t="shared" si="523"/>
        <v>2012</v>
      </c>
      <c r="AO1173" s="213" t="str">
        <f t="shared" si="524"/>
        <v>2012</v>
      </c>
      <c r="AP1173" s="213" t="str">
        <f t="shared" si="525"/>
        <v>2012</v>
      </c>
      <c r="AQ1173" s="215" t="str">
        <f t="shared" si="526"/>
        <v/>
      </c>
      <c r="AR1173" s="216" t="str">
        <f t="shared" si="527"/>
        <v>BiK82GbK12--05</v>
      </c>
      <c r="AS1173" s="215" t="str">
        <f t="shared" si="528"/>
        <v/>
      </c>
      <c r="AT1173">
        <f t="shared" si="529"/>
        <v>14</v>
      </c>
      <c r="AU1173" s="216" t="str">
        <f t="shared" si="530"/>
        <v>0,15-0,5 MW, Bonusregeln G, b und K erstmals 2012</v>
      </c>
      <c r="AV1173" s="215" t="str">
        <f t="shared" si="531"/>
        <v/>
      </c>
      <c r="AW1173" s="216" t="str">
        <f t="shared" si="532"/>
        <v>Anteil KWK, erstmals 2012</v>
      </c>
      <c r="AX1173" s="215" t="str">
        <f t="shared" si="533"/>
        <v/>
      </c>
      <c r="AY1173" t="str">
        <f t="shared" si="534"/>
        <v/>
      </c>
      <c r="AZ1173" t="str">
        <f t="shared" si="535"/>
        <v>x</v>
      </c>
    </row>
    <row r="1174" spans="1:52" s="178" customFormat="1" x14ac:dyDescent="0.25">
      <c r="A1174" s="610" t="s">
        <v>2490</v>
      </c>
      <c r="B1174" s="30" t="s">
        <v>5548</v>
      </c>
      <c r="C1174" s="30" t="s">
        <v>1288</v>
      </c>
      <c r="D1174" s="30" t="s">
        <v>7165</v>
      </c>
      <c r="E1174" s="30" t="s">
        <v>4810</v>
      </c>
      <c r="F1174" s="454">
        <f t="shared" si="542"/>
        <v>19.75</v>
      </c>
      <c r="G1174" s="529">
        <v>19.75</v>
      </c>
      <c r="H1174" s="487">
        <f t="shared" si="543"/>
        <v>15.8</v>
      </c>
      <c r="I1174" s="706"/>
      <c r="J1174" s="669" t="s">
        <v>5805</v>
      </c>
      <c r="K1174" s="15"/>
      <c r="L1174"/>
      <c r="M1174" s="49">
        <f t="shared" si="544"/>
        <v>19.75</v>
      </c>
      <c r="N1174" s="41">
        <v>9.75</v>
      </c>
      <c r="O1174" s="187"/>
      <c r="P1174" s="183"/>
      <c r="Q1174" s="184"/>
      <c r="R1174" s="184"/>
      <c r="S1174" s="184" t="s">
        <v>4180</v>
      </c>
      <c r="T1174" s="178" t="s">
        <v>4180</v>
      </c>
      <c r="U1174" s="185" t="s">
        <v>1017</v>
      </c>
      <c r="V1174" s="184"/>
      <c r="W1174" s="180"/>
      <c r="X1174" s="180"/>
      <c r="Y1174" s="184" t="s">
        <v>1017</v>
      </c>
      <c r="Z1174" s="180"/>
      <c r="AA1174" s="184"/>
      <c r="AB1174" s="184"/>
      <c r="AC1174" s="180"/>
      <c r="AD1174" s="182"/>
      <c r="AE1174" s="181" t="s">
        <v>1017</v>
      </c>
      <c r="AF1174" s="180"/>
      <c r="AG1174" s="201"/>
      <c r="AH1174" s="212" t="str">
        <f t="shared" ref="AH1174:AH1179" si="549">IF(ISERROR(SEARCH("K erstmals 201",D1174)),"",RIGHT(D1174,4))</f>
        <v/>
      </c>
      <c r="AI1174" s="214" t="str">
        <f t="shared" si="537"/>
        <v/>
      </c>
      <c r="AJ1174" s="214" t="str">
        <f t="shared" si="538"/>
        <v/>
      </c>
      <c r="AK1174" s="214" t="str">
        <f t="shared" si="539"/>
        <v/>
      </c>
      <c r="AL1174" s="214" t="str">
        <f t="shared" si="540"/>
        <v/>
      </c>
      <c r="AM1174" s="214" t="str">
        <f t="shared" si="541"/>
        <v/>
      </c>
      <c r="AN1174" s="213" t="str">
        <f t="shared" si="523"/>
        <v/>
      </c>
      <c r="AO1174" s="213" t="str">
        <f t="shared" si="524"/>
        <v/>
      </c>
      <c r="AP1174" s="213" t="str">
        <f t="shared" si="525"/>
        <v/>
      </c>
      <c r="AQ1174" s="215" t="str">
        <f t="shared" si="526"/>
        <v/>
      </c>
      <c r="AR1174" s="216" t="str">
        <f t="shared" si="527"/>
        <v>BiK82Gby----05</v>
      </c>
      <c r="AS1174" s="215" t="str">
        <f t="shared" si="528"/>
        <v/>
      </c>
      <c r="AT1174">
        <f t="shared" si="529"/>
        <v>14</v>
      </c>
      <c r="AU1174" s="216" t="str">
        <f t="shared" si="530"/>
        <v>0,15-0,5 MW, Bonusregeln G, y, b</v>
      </c>
      <c r="AV1174" s="215" t="str">
        <f t="shared" si="531"/>
        <v/>
      </c>
      <c r="AW1174" s="216" t="str">
        <f t="shared" si="532"/>
        <v>Anteil Nicht-KWK</v>
      </c>
      <c r="AX1174" s="215" t="str">
        <f t="shared" si="533"/>
        <v/>
      </c>
      <c r="AY1174" t="str">
        <f t="shared" si="534"/>
        <v/>
      </c>
      <c r="AZ1174" t="str">
        <f t="shared" si="535"/>
        <v/>
      </c>
    </row>
    <row r="1175" spans="1:52" s="178" customFormat="1" x14ac:dyDescent="0.25">
      <c r="A1175" s="610" t="s">
        <v>2491</v>
      </c>
      <c r="B1175" s="30" t="s">
        <v>5548</v>
      </c>
      <c r="C1175" s="30" t="s">
        <v>1288</v>
      </c>
      <c r="D1175" s="30" t="s">
        <v>7166</v>
      </c>
      <c r="E1175" s="30" t="s">
        <v>4812</v>
      </c>
      <c r="F1175" s="454">
        <f t="shared" si="542"/>
        <v>21.75</v>
      </c>
      <c r="G1175" s="529">
        <v>21.75</v>
      </c>
      <c r="H1175" s="487">
        <f t="shared" si="543"/>
        <v>17.399999999999999</v>
      </c>
      <c r="I1175" s="706"/>
      <c r="J1175" s="669" t="s">
        <v>5805</v>
      </c>
      <c r="K1175" s="15"/>
      <c r="L1175"/>
      <c r="M1175" s="49">
        <f t="shared" si="544"/>
        <v>21.75</v>
      </c>
      <c r="N1175" s="41">
        <v>9.75</v>
      </c>
      <c r="O1175" s="187" t="s">
        <v>1017</v>
      </c>
      <c r="P1175" s="183"/>
      <c r="Q1175" s="184"/>
      <c r="R1175" s="184"/>
      <c r="S1175" s="184" t="s">
        <v>4180</v>
      </c>
      <c r="T1175" s="178" t="s">
        <v>4180</v>
      </c>
      <c r="U1175" s="185" t="s">
        <v>1017</v>
      </c>
      <c r="V1175" s="184"/>
      <c r="W1175" s="180"/>
      <c r="X1175" s="180"/>
      <c r="Y1175" s="184" t="s">
        <v>1017</v>
      </c>
      <c r="Z1175" s="180"/>
      <c r="AA1175" s="184"/>
      <c r="AB1175" s="184"/>
      <c r="AC1175" s="180"/>
      <c r="AD1175" s="182"/>
      <c r="AE1175" s="181" t="s">
        <v>1017</v>
      </c>
      <c r="AF1175" s="180"/>
      <c r="AG1175" s="201"/>
      <c r="AH1175" s="212" t="str">
        <f t="shared" si="549"/>
        <v/>
      </c>
      <c r="AI1175" s="214" t="str">
        <f t="shared" si="537"/>
        <v/>
      </c>
      <c r="AJ1175" s="214" t="str">
        <f t="shared" si="538"/>
        <v/>
      </c>
      <c r="AK1175" s="214" t="str">
        <f t="shared" si="539"/>
        <v/>
      </c>
      <c r="AL1175" s="214" t="str">
        <f t="shared" si="540"/>
        <v/>
      </c>
      <c r="AM1175" s="214" t="str">
        <f t="shared" si="541"/>
        <v/>
      </c>
      <c r="AN1175" s="213" t="str">
        <f t="shared" si="523"/>
        <v/>
      </c>
      <c r="AO1175" s="213" t="str">
        <f t="shared" si="524"/>
        <v/>
      </c>
      <c r="AP1175" s="213" t="str">
        <f t="shared" si="525"/>
        <v/>
      </c>
      <c r="AQ1175" s="215" t="str">
        <f t="shared" si="526"/>
        <v/>
      </c>
      <c r="AR1175" s="216" t="str">
        <f t="shared" si="527"/>
        <v>BiK82GbKWKy-05</v>
      </c>
      <c r="AS1175" s="215" t="str">
        <f t="shared" si="528"/>
        <v/>
      </c>
      <c r="AT1175">
        <f t="shared" si="529"/>
        <v>14</v>
      </c>
      <c r="AU1175" s="216" t="str">
        <f t="shared" si="530"/>
        <v>0,15-0,5 MW, Bonusregeln G, y, b und KWK</v>
      </c>
      <c r="AV1175" s="215" t="str">
        <f t="shared" si="531"/>
        <v/>
      </c>
      <c r="AW1175" s="216" t="str">
        <f t="shared" si="532"/>
        <v>Anteil KWK</v>
      </c>
      <c r="AX1175" s="215" t="str">
        <f t="shared" si="533"/>
        <v/>
      </c>
      <c r="AY1175" t="str">
        <f t="shared" si="534"/>
        <v/>
      </c>
      <c r="AZ1175" t="str">
        <f t="shared" si="535"/>
        <v/>
      </c>
    </row>
    <row r="1176" spans="1:52" s="178" customFormat="1" x14ac:dyDescent="0.25">
      <c r="A1176" s="610" t="s">
        <v>2492</v>
      </c>
      <c r="B1176" s="30" t="s">
        <v>5548</v>
      </c>
      <c r="C1176" s="30" t="s">
        <v>1288</v>
      </c>
      <c r="D1176" s="109" t="s">
        <v>7167</v>
      </c>
      <c r="E1176" s="30" t="s">
        <v>4331</v>
      </c>
      <c r="F1176" s="454">
        <f t="shared" si="542"/>
        <v>22.75</v>
      </c>
      <c r="G1176" s="529">
        <v>22.75</v>
      </c>
      <c r="H1176" s="487">
        <f t="shared" si="543"/>
        <v>18.2</v>
      </c>
      <c r="I1176" s="706"/>
      <c r="J1176" s="669" t="s">
        <v>5805</v>
      </c>
      <c r="K1176" s="15"/>
      <c r="L1176"/>
      <c r="M1176" s="49">
        <f t="shared" si="544"/>
        <v>22.75</v>
      </c>
      <c r="N1176" s="41">
        <v>9.75</v>
      </c>
      <c r="O1176" s="187"/>
      <c r="P1176" s="184" t="s">
        <v>1017</v>
      </c>
      <c r="Q1176" s="184"/>
      <c r="R1176" s="184"/>
      <c r="S1176" s="184" t="s">
        <v>4180</v>
      </c>
      <c r="T1176" s="178" t="s">
        <v>4180</v>
      </c>
      <c r="U1176" s="185" t="s">
        <v>1017</v>
      </c>
      <c r="V1176" s="184"/>
      <c r="W1176" s="180"/>
      <c r="X1176" s="180"/>
      <c r="Y1176" s="184" t="s">
        <v>1017</v>
      </c>
      <c r="Z1176" s="180"/>
      <c r="AA1176" s="184"/>
      <c r="AB1176" s="184"/>
      <c r="AC1176" s="180"/>
      <c r="AD1176" s="182"/>
      <c r="AE1176" s="181" t="s">
        <v>1017</v>
      </c>
      <c r="AF1176" s="180"/>
      <c r="AG1176" s="201"/>
      <c r="AH1176" s="212" t="str">
        <f t="shared" si="549"/>
        <v/>
      </c>
      <c r="AI1176" s="214" t="str">
        <f t="shared" si="537"/>
        <v/>
      </c>
      <c r="AJ1176" s="214" t="str">
        <f t="shared" si="538"/>
        <v/>
      </c>
      <c r="AK1176" s="214" t="str">
        <f t="shared" si="539"/>
        <v/>
      </c>
      <c r="AL1176" s="214" t="str">
        <f t="shared" si="540"/>
        <v/>
      </c>
      <c r="AM1176" s="214" t="str">
        <f t="shared" si="541"/>
        <v/>
      </c>
      <c r="AN1176" s="213" t="str">
        <f t="shared" si="523"/>
        <v/>
      </c>
      <c r="AO1176" s="213" t="str">
        <f t="shared" si="524"/>
        <v/>
      </c>
      <c r="AP1176" s="213" t="str">
        <f t="shared" si="525"/>
        <v/>
      </c>
      <c r="AQ1176" s="215" t="str">
        <f t="shared" si="526"/>
        <v/>
      </c>
      <c r="AR1176" s="216" t="str">
        <f t="shared" si="527"/>
        <v>BiK82GbKA3y-05</v>
      </c>
      <c r="AS1176" s="215" t="str">
        <f t="shared" si="528"/>
        <v/>
      </c>
      <c r="AT1176">
        <f t="shared" si="529"/>
        <v>14</v>
      </c>
      <c r="AU1176" s="216" t="str">
        <f t="shared" si="530"/>
        <v>0,15-0,5 MW, Bonusregeln G, y, b und K wenn Anlage 3 erfüllt</v>
      </c>
      <c r="AV1176" s="215" t="str">
        <f t="shared" si="531"/>
        <v/>
      </c>
      <c r="AW1176" s="216" t="str">
        <f t="shared" si="532"/>
        <v>Anteil KWK gemäß Anlage 3</v>
      </c>
      <c r="AX1176" s="215" t="str">
        <f t="shared" si="533"/>
        <v/>
      </c>
      <c r="AY1176" t="str">
        <f t="shared" si="534"/>
        <v/>
      </c>
      <c r="AZ1176" t="str">
        <f t="shared" si="535"/>
        <v/>
      </c>
    </row>
    <row r="1177" spans="1:52" s="178" customFormat="1" x14ac:dyDescent="0.25">
      <c r="A1177" s="610" t="s">
        <v>2493</v>
      </c>
      <c r="B1177" s="30" t="s">
        <v>5548</v>
      </c>
      <c r="C1177" s="30" t="s">
        <v>1288</v>
      </c>
      <c r="D1177" s="30" t="s">
        <v>7168</v>
      </c>
      <c r="E1177" s="30" t="s">
        <v>674</v>
      </c>
      <c r="F1177" s="454">
        <f t="shared" si="542"/>
        <v>22.75</v>
      </c>
      <c r="G1177" s="529">
        <v>22.75</v>
      </c>
      <c r="H1177" s="487">
        <f t="shared" si="543"/>
        <v>18.2</v>
      </c>
      <c r="I1177" s="706"/>
      <c r="J1177" s="669" t="s">
        <v>5805</v>
      </c>
      <c r="K1177" s="15"/>
      <c r="L1177"/>
      <c r="M1177" s="49">
        <f t="shared" si="544"/>
        <v>22.75</v>
      </c>
      <c r="N1177" s="41">
        <v>9.75</v>
      </c>
      <c r="O1177" s="187"/>
      <c r="P1177" s="183"/>
      <c r="Q1177" s="184" t="s">
        <v>1017</v>
      </c>
      <c r="R1177" s="184"/>
      <c r="S1177" s="184" t="s">
        <v>4180</v>
      </c>
      <c r="T1177" s="178" t="s">
        <v>4180</v>
      </c>
      <c r="U1177" s="185" t="s">
        <v>1017</v>
      </c>
      <c r="V1177" s="184"/>
      <c r="W1177" s="180"/>
      <c r="X1177" s="180"/>
      <c r="Y1177" s="184" t="s">
        <v>1017</v>
      </c>
      <c r="Z1177" s="180"/>
      <c r="AA1177" s="184"/>
      <c r="AB1177" s="184"/>
      <c r="AC1177" s="180"/>
      <c r="AD1177" s="182"/>
      <c r="AE1177" s="181" t="s">
        <v>1017</v>
      </c>
      <c r="AF1177" s="180"/>
      <c r="AG1177" s="201"/>
      <c r="AH1177" s="212" t="str">
        <f t="shared" si="549"/>
        <v/>
      </c>
      <c r="AI1177" s="214" t="str">
        <f t="shared" si="537"/>
        <v/>
      </c>
      <c r="AJ1177" s="214" t="str">
        <f t="shared" si="538"/>
        <v/>
      </c>
      <c r="AK1177" s="214" t="str">
        <f t="shared" si="539"/>
        <v/>
      </c>
      <c r="AL1177" s="214" t="str">
        <f t="shared" si="540"/>
        <v/>
      </c>
      <c r="AM1177" s="214" t="str">
        <f t="shared" si="541"/>
        <v/>
      </c>
      <c r="AN1177" s="213" t="str">
        <f t="shared" si="523"/>
        <v/>
      </c>
      <c r="AO1177" s="213" t="str">
        <f t="shared" si="524"/>
        <v/>
      </c>
      <c r="AP1177" s="213" t="str">
        <f t="shared" si="525"/>
        <v/>
      </c>
      <c r="AQ1177" s="215" t="str">
        <f t="shared" si="526"/>
        <v/>
      </c>
      <c r="AR1177" s="216" t="str">
        <f t="shared" si="527"/>
        <v>BiK82GbK09y-05</v>
      </c>
      <c r="AS1177" s="215" t="str">
        <f t="shared" si="528"/>
        <v/>
      </c>
      <c r="AT1177">
        <f t="shared" si="529"/>
        <v>14</v>
      </c>
      <c r="AU1177" s="216" t="str">
        <f t="shared" si="530"/>
        <v>0,15-0,5 MW, Bonusregeln G, y, b und K erstmals 2009</v>
      </c>
      <c r="AV1177" s="215" t="str">
        <f t="shared" si="531"/>
        <v/>
      </c>
      <c r="AW1177" s="216" t="str">
        <f t="shared" si="532"/>
        <v>Anteil KWK, erstmals 2009</v>
      </c>
      <c r="AX1177" s="215" t="str">
        <f t="shared" si="533"/>
        <v/>
      </c>
      <c r="AY1177" t="str">
        <f t="shared" si="534"/>
        <v/>
      </c>
      <c r="AZ1177" t="str">
        <f t="shared" si="535"/>
        <v/>
      </c>
    </row>
    <row r="1178" spans="1:52" s="178" customFormat="1" x14ac:dyDescent="0.25">
      <c r="A1178" s="610" t="s">
        <v>3609</v>
      </c>
      <c r="B1178" s="30" t="s">
        <v>5548</v>
      </c>
      <c r="C1178" s="30" t="s">
        <v>1288</v>
      </c>
      <c r="D1178" s="30" t="s">
        <v>7169</v>
      </c>
      <c r="E1178" s="30" t="s">
        <v>3567</v>
      </c>
      <c r="F1178" s="454">
        <f t="shared" si="542"/>
        <v>22.72</v>
      </c>
      <c r="G1178" s="529">
        <v>22.72</v>
      </c>
      <c r="H1178" s="487">
        <f t="shared" si="543"/>
        <v>18.18</v>
      </c>
      <c r="I1178" s="706"/>
      <c r="J1178" s="669" t="s">
        <v>5805</v>
      </c>
      <c r="K1178" s="15"/>
      <c r="L1178"/>
      <c r="M1178" s="49">
        <f t="shared" si="544"/>
        <v>22.72</v>
      </c>
      <c r="N1178" s="41">
        <v>9.75</v>
      </c>
      <c r="O1178" s="187"/>
      <c r="P1178" s="183"/>
      <c r="Q1178" s="184"/>
      <c r="R1178" s="184" t="s">
        <v>1017</v>
      </c>
      <c r="S1178" s="184" t="s">
        <v>4180</v>
      </c>
      <c r="T1178" s="178" t="s">
        <v>4180</v>
      </c>
      <c r="U1178" s="185" t="s">
        <v>1017</v>
      </c>
      <c r="V1178" s="184"/>
      <c r="W1178" s="180"/>
      <c r="X1178" s="180"/>
      <c r="Y1178" s="184" t="s">
        <v>1017</v>
      </c>
      <c r="Z1178" s="180"/>
      <c r="AA1178" s="184"/>
      <c r="AB1178" s="184"/>
      <c r="AC1178" s="180"/>
      <c r="AD1178" s="182"/>
      <c r="AE1178" s="181" t="s">
        <v>1017</v>
      </c>
      <c r="AF1178" s="180"/>
      <c r="AG1178" s="201"/>
      <c r="AH1178" s="212" t="str">
        <f t="shared" si="549"/>
        <v>2010</v>
      </c>
      <c r="AI1178" s="214" t="str">
        <f t="shared" si="537"/>
        <v/>
      </c>
      <c r="AJ1178" s="214" t="str">
        <f t="shared" si="538"/>
        <v/>
      </c>
      <c r="AK1178" s="214" t="str">
        <f t="shared" si="539"/>
        <v/>
      </c>
      <c r="AL1178" s="214" t="str">
        <f t="shared" si="540"/>
        <v/>
      </c>
      <c r="AM1178" s="214" t="str">
        <f t="shared" si="541"/>
        <v/>
      </c>
      <c r="AN1178" s="213" t="str">
        <f t="shared" si="523"/>
        <v>2010</v>
      </c>
      <c r="AO1178" s="213" t="str">
        <f t="shared" si="524"/>
        <v>2010</v>
      </c>
      <c r="AP1178" s="213" t="str">
        <f t="shared" si="525"/>
        <v>2010</v>
      </c>
      <c r="AQ1178" s="215" t="str">
        <f t="shared" si="526"/>
        <v/>
      </c>
      <c r="AR1178" s="216" t="str">
        <f t="shared" si="527"/>
        <v>BiK82GbK10y-05</v>
      </c>
      <c r="AS1178" s="215" t="str">
        <f t="shared" si="528"/>
        <v/>
      </c>
      <c r="AT1178">
        <f t="shared" si="529"/>
        <v>14</v>
      </c>
      <c r="AU1178" s="216" t="str">
        <f t="shared" si="530"/>
        <v>0,15-0,5 MW, Bonusregeln G, y, b und K erstmals 2010</v>
      </c>
      <c r="AV1178" s="215" t="str">
        <f t="shared" si="531"/>
        <v/>
      </c>
      <c r="AW1178" s="216" t="str">
        <f t="shared" si="532"/>
        <v>Anteil KWK, erstmals 2010</v>
      </c>
      <c r="AX1178" s="215" t="str">
        <f t="shared" si="533"/>
        <v/>
      </c>
      <c r="AY1178" t="str">
        <f t="shared" si="534"/>
        <v/>
      </c>
      <c r="AZ1178" t="str">
        <f t="shared" si="535"/>
        <v/>
      </c>
    </row>
    <row r="1179" spans="1:52" s="178" customFormat="1" x14ac:dyDescent="0.25">
      <c r="A1179" s="610" t="s">
        <v>5340</v>
      </c>
      <c r="B1179" s="30" t="s">
        <v>5548</v>
      </c>
      <c r="C1179" s="30" t="s">
        <v>1288</v>
      </c>
      <c r="D1179" s="30" t="s">
        <v>7170</v>
      </c>
      <c r="E1179" s="30" t="s">
        <v>3055</v>
      </c>
      <c r="F1179" s="454">
        <f t="shared" si="542"/>
        <v>22.689999999999998</v>
      </c>
      <c r="G1179" s="529">
        <v>22.689999999999998</v>
      </c>
      <c r="H1179" s="487">
        <f t="shared" si="543"/>
        <v>18.149999999999999</v>
      </c>
      <c r="I1179" s="706"/>
      <c r="J1179" s="669" t="s">
        <v>5805</v>
      </c>
      <c r="K1179" s="15"/>
      <c r="L1179"/>
      <c r="M1179" s="49">
        <f t="shared" si="544"/>
        <v>22.689999999999998</v>
      </c>
      <c r="N1179" s="41">
        <v>9.75</v>
      </c>
      <c r="O1179" s="187"/>
      <c r="P1179" s="183"/>
      <c r="Q1179" s="184"/>
      <c r="S1179" s="184" t="s">
        <v>1017</v>
      </c>
      <c r="T1179" s="178" t="s">
        <v>4180</v>
      </c>
      <c r="U1179" s="185" t="s">
        <v>1017</v>
      </c>
      <c r="V1179" s="184"/>
      <c r="W1179" s="180"/>
      <c r="X1179" s="180"/>
      <c r="Y1179" s="184" t="s">
        <v>1017</v>
      </c>
      <c r="Z1179" s="180"/>
      <c r="AA1179" s="184"/>
      <c r="AB1179" s="184"/>
      <c r="AC1179" s="180"/>
      <c r="AD1179" s="182"/>
      <c r="AE1179" s="181" t="s">
        <v>1017</v>
      </c>
      <c r="AF1179" s="180"/>
      <c r="AG1179" s="201"/>
      <c r="AH1179" s="212" t="str">
        <f t="shared" si="549"/>
        <v>2011</v>
      </c>
      <c r="AI1179" s="214" t="str">
        <f t="shared" si="537"/>
        <v/>
      </c>
      <c r="AJ1179" s="214" t="str">
        <f t="shared" si="538"/>
        <v/>
      </c>
      <c r="AK1179" s="214" t="str">
        <f t="shared" si="539"/>
        <v/>
      </c>
      <c r="AL1179" s="214" t="str">
        <f t="shared" si="540"/>
        <v/>
      </c>
      <c r="AM1179" s="214" t="str">
        <f t="shared" si="541"/>
        <v/>
      </c>
      <c r="AN1179" s="213" t="str">
        <f t="shared" si="523"/>
        <v>2011</v>
      </c>
      <c r="AO1179" s="213" t="str">
        <f t="shared" si="524"/>
        <v>2011</v>
      </c>
      <c r="AP1179" s="213" t="str">
        <f t="shared" si="525"/>
        <v>2011</v>
      </c>
      <c r="AQ1179" s="215" t="str">
        <f t="shared" si="526"/>
        <v/>
      </c>
      <c r="AR1179" s="216" t="str">
        <f t="shared" si="527"/>
        <v>BiK82GbK11y-05</v>
      </c>
      <c r="AS1179" s="215" t="str">
        <f t="shared" si="528"/>
        <v/>
      </c>
      <c r="AT1179">
        <f t="shared" si="529"/>
        <v>14</v>
      </c>
      <c r="AU1179" s="216" t="str">
        <f t="shared" si="530"/>
        <v>0,15-0,5 MW, Bonusregeln G, y, b und K erstmals 2011</v>
      </c>
      <c r="AV1179" s="215" t="str">
        <f t="shared" si="531"/>
        <v/>
      </c>
      <c r="AW1179" s="216" t="str">
        <f t="shared" si="532"/>
        <v>Anteil KWK, erstmals 2011</v>
      </c>
      <c r="AX1179" s="215" t="str">
        <f t="shared" si="533"/>
        <v/>
      </c>
      <c r="AY1179" t="str">
        <f t="shared" si="534"/>
        <v>x</v>
      </c>
      <c r="AZ1179" t="str">
        <f t="shared" si="535"/>
        <v/>
      </c>
    </row>
    <row r="1180" spans="1:52" s="178" customFormat="1" x14ac:dyDescent="0.25">
      <c r="A1180" s="625" t="s">
        <v>1590</v>
      </c>
      <c r="B1180" s="219" t="s">
        <v>5548</v>
      </c>
      <c r="C1180" s="219" t="s">
        <v>1288</v>
      </c>
      <c r="D1180" s="219" t="s">
        <v>7171</v>
      </c>
      <c r="E1180" s="219" t="s">
        <v>1980</v>
      </c>
      <c r="F1180" s="455">
        <f t="shared" si="542"/>
        <v>22.66</v>
      </c>
      <c r="G1180" s="530">
        <v>22.66</v>
      </c>
      <c r="H1180" s="488">
        <f t="shared" si="543"/>
        <v>18.13</v>
      </c>
      <c r="I1180" s="707"/>
      <c r="J1180" s="669" t="s">
        <v>5805</v>
      </c>
      <c r="K1180" s="15"/>
      <c r="L1180"/>
      <c r="M1180" s="49">
        <f t="shared" si="544"/>
        <v>22.66</v>
      </c>
      <c r="N1180" s="41">
        <v>9.75</v>
      </c>
      <c r="O1180" s="187"/>
      <c r="P1180" s="183"/>
      <c r="Q1180" s="184"/>
      <c r="S1180" s="184" t="s">
        <v>4180</v>
      </c>
      <c r="T1180" s="178" t="s">
        <v>1017</v>
      </c>
      <c r="U1180" s="185" t="s">
        <v>1017</v>
      </c>
      <c r="V1180" s="184"/>
      <c r="W1180" s="180"/>
      <c r="X1180" s="180"/>
      <c r="Y1180" s="184" t="s">
        <v>1017</v>
      </c>
      <c r="Z1180" s="180"/>
      <c r="AA1180" s="184"/>
      <c r="AB1180" s="184"/>
      <c r="AC1180" s="180"/>
      <c r="AD1180" s="182"/>
      <c r="AE1180" s="181" t="s">
        <v>1017</v>
      </c>
      <c r="AF1180" s="180"/>
      <c r="AG1180" s="201"/>
      <c r="AH1180" s="217" t="s">
        <v>4179</v>
      </c>
      <c r="AI1180" s="214" t="str">
        <f t="shared" si="537"/>
        <v/>
      </c>
      <c r="AJ1180" s="214" t="str">
        <f t="shared" si="538"/>
        <v/>
      </c>
      <c r="AK1180" s="214" t="str">
        <f t="shared" si="539"/>
        <v/>
      </c>
      <c r="AL1180" s="214" t="str">
        <f t="shared" si="540"/>
        <v/>
      </c>
      <c r="AM1180" s="214" t="str">
        <f t="shared" si="541"/>
        <v/>
      </c>
      <c r="AN1180" s="213" t="str">
        <f t="shared" si="523"/>
        <v>2012</v>
      </c>
      <c r="AO1180" s="213" t="str">
        <f t="shared" si="524"/>
        <v>2012</v>
      </c>
      <c r="AP1180" s="213" t="str">
        <f t="shared" si="525"/>
        <v>2012</v>
      </c>
      <c r="AQ1180" s="215" t="str">
        <f t="shared" si="526"/>
        <v/>
      </c>
      <c r="AR1180" s="216" t="str">
        <f t="shared" si="527"/>
        <v>BiK82GbK12y-05</v>
      </c>
      <c r="AS1180" s="215" t="str">
        <f t="shared" si="528"/>
        <v/>
      </c>
      <c r="AT1180">
        <f t="shared" si="529"/>
        <v>14</v>
      </c>
      <c r="AU1180" s="216" t="str">
        <f t="shared" si="530"/>
        <v>0,15-0,5 MW, Bonusregeln G, y, b und K erstmals 2012</v>
      </c>
      <c r="AV1180" s="215" t="str">
        <f t="shared" si="531"/>
        <v/>
      </c>
      <c r="AW1180" s="216" t="str">
        <f t="shared" si="532"/>
        <v>Anteil KWK, erstmals 2012</v>
      </c>
      <c r="AX1180" s="215" t="str">
        <f t="shared" si="533"/>
        <v/>
      </c>
      <c r="AY1180" t="str">
        <f t="shared" si="534"/>
        <v/>
      </c>
      <c r="AZ1180" t="str">
        <f t="shared" si="535"/>
        <v>x</v>
      </c>
    </row>
    <row r="1181" spans="1:52" s="178" customFormat="1" x14ac:dyDescent="0.25">
      <c r="A1181" s="610" t="s">
        <v>3562</v>
      </c>
      <c r="B1181" s="30" t="s">
        <v>5548</v>
      </c>
      <c r="C1181" s="30" t="s">
        <v>1288</v>
      </c>
      <c r="D1181" s="30" t="s">
        <v>7172</v>
      </c>
      <c r="E1181" s="30" t="s">
        <v>4810</v>
      </c>
      <c r="F1181" s="454">
        <f t="shared" si="542"/>
        <v>19.75</v>
      </c>
      <c r="G1181" s="529">
        <v>19.75</v>
      </c>
      <c r="H1181" s="487">
        <f t="shared" si="543"/>
        <v>15.8</v>
      </c>
      <c r="I1181" s="706"/>
      <c r="J1181" s="669" t="s">
        <v>5805</v>
      </c>
      <c r="K1181" s="15"/>
      <c r="L1181"/>
      <c r="M1181" s="49">
        <f t="shared" si="544"/>
        <v>19.75</v>
      </c>
      <c r="N1181" s="41">
        <v>9.75</v>
      </c>
      <c r="O1181" s="186"/>
      <c r="P1181" s="177"/>
      <c r="S1181" s="178" t="s">
        <v>4180</v>
      </c>
      <c r="T1181" s="178" t="s">
        <v>4180</v>
      </c>
      <c r="U1181" s="179"/>
      <c r="W1181" s="180"/>
      <c r="X1181" s="180"/>
      <c r="Z1181" s="180"/>
      <c r="AA1181" s="184" t="s">
        <v>1017</v>
      </c>
      <c r="AC1181" s="180"/>
      <c r="AD1181" s="182"/>
      <c r="AE1181" s="181" t="s">
        <v>1017</v>
      </c>
      <c r="AF1181" s="180"/>
      <c r="AG1181" s="201"/>
      <c r="AH1181" s="212" t="str">
        <f t="shared" ref="AH1181:AH1186" si="550">IF(ISERROR(SEARCH("K erstmals 201",D1181)),"",RIGHT(D1181,4))</f>
        <v/>
      </c>
      <c r="AI1181" s="214" t="str">
        <f t="shared" si="537"/>
        <v/>
      </c>
      <c r="AJ1181" s="214" t="str">
        <f t="shared" si="538"/>
        <v/>
      </c>
      <c r="AK1181" s="214" t="str">
        <f t="shared" si="539"/>
        <v/>
      </c>
      <c r="AL1181" s="214" t="str">
        <f t="shared" si="540"/>
        <v/>
      </c>
      <c r="AM1181" s="214" t="str">
        <f t="shared" si="541"/>
        <v/>
      </c>
      <c r="AN1181" s="213" t="str">
        <f t="shared" si="523"/>
        <v/>
      </c>
      <c r="AO1181" s="213" t="str">
        <f t="shared" si="524"/>
        <v/>
      </c>
      <c r="AP1181" s="213" t="str">
        <f t="shared" si="525"/>
        <v/>
      </c>
      <c r="AQ1181" s="215" t="str">
        <f t="shared" si="526"/>
        <v/>
      </c>
      <c r="AR1181" s="216" t="str">
        <f t="shared" si="527"/>
        <v>BiK82M2b----05</v>
      </c>
      <c r="AS1181" s="215" t="str">
        <f t="shared" si="528"/>
        <v/>
      </c>
      <c r="AT1181">
        <f t="shared" si="529"/>
        <v>14</v>
      </c>
      <c r="AU1181" s="216" t="str">
        <f t="shared" si="530"/>
        <v>0,15-0,5 MW, Bonusregeln M2, b</v>
      </c>
      <c r="AV1181" s="215" t="str">
        <f t="shared" si="531"/>
        <v/>
      </c>
      <c r="AW1181" s="216" t="str">
        <f t="shared" si="532"/>
        <v>Anteil Nicht-KWK</v>
      </c>
      <c r="AX1181" s="215" t="str">
        <f t="shared" si="533"/>
        <v/>
      </c>
      <c r="AY1181" t="str">
        <f t="shared" si="534"/>
        <v/>
      </c>
      <c r="AZ1181" t="str">
        <f t="shared" si="535"/>
        <v/>
      </c>
    </row>
    <row r="1182" spans="1:52" s="178" customFormat="1" x14ac:dyDescent="0.25">
      <c r="A1182" s="610" t="s">
        <v>3563</v>
      </c>
      <c r="B1182" s="30" t="s">
        <v>5548</v>
      </c>
      <c r="C1182" s="30" t="s">
        <v>1288</v>
      </c>
      <c r="D1182" s="30" t="s">
        <v>7173</v>
      </c>
      <c r="E1182" s="30" t="s">
        <v>4812</v>
      </c>
      <c r="F1182" s="454">
        <f t="shared" si="542"/>
        <v>21.75</v>
      </c>
      <c r="G1182" s="529">
        <v>21.75</v>
      </c>
      <c r="H1182" s="487">
        <f t="shared" si="543"/>
        <v>17.399999999999999</v>
      </c>
      <c r="I1182" s="706"/>
      <c r="J1182" s="669" t="s">
        <v>5805</v>
      </c>
      <c r="K1182" s="15"/>
      <c r="L1182"/>
      <c r="M1182" s="49">
        <f t="shared" si="544"/>
        <v>21.75</v>
      </c>
      <c r="N1182" s="41">
        <v>9.75</v>
      </c>
      <c r="O1182" s="186" t="s">
        <v>1017</v>
      </c>
      <c r="P1182" s="177"/>
      <c r="S1182" s="178" t="s">
        <v>4180</v>
      </c>
      <c r="T1182" s="178" t="s">
        <v>4180</v>
      </c>
      <c r="U1182" s="179"/>
      <c r="W1182" s="180"/>
      <c r="X1182" s="180"/>
      <c r="Z1182" s="180"/>
      <c r="AA1182" s="184" t="s">
        <v>1017</v>
      </c>
      <c r="AC1182" s="180"/>
      <c r="AD1182" s="182"/>
      <c r="AE1182" s="181" t="s">
        <v>1017</v>
      </c>
      <c r="AF1182" s="180"/>
      <c r="AG1182" s="201"/>
      <c r="AH1182" s="212" t="str">
        <f t="shared" si="550"/>
        <v/>
      </c>
      <c r="AI1182" s="214" t="str">
        <f t="shared" si="537"/>
        <v/>
      </c>
      <c r="AJ1182" s="214" t="str">
        <f t="shared" si="538"/>
        <v/>
      </c>
      <c r="AK1182" s="214" t="str">
        <f t="shared" si="539"/>
        <v/>
      </c>
      <c r="AL1182" s="214" t="str">
        <f t="shared" si="540"/>
        <v/>
      </c>
      <c r="AM1182" s="214" t="str">
        <f t="shared" si="541"/>
        <v/>
      </c>
      <c r="AN1182" s="213" t="str">
        <f t="shared" si="523"/>
        <v/>
      </c>
      <c r="AO1182" s="213" t="str">
        <f t="shared" si="524"/>
        <v/>
      </c>
      <c r="AP1182" s="213" t="str">
        <f t="shared" si="525"/>
        <v/>
      </c>
      <c r="AQ1182" s="215" t="str">
        <f t="shared" si="526"/>
        <v/>
      </c>
      <c r="AR1182" s="216" t="str">
        <f t="shared" si="527"/>
        <v>BiK82M2bKWK-05</v>
      </c>
      <c r="AS1182" s="215" t="str">
        <f t="shared" si="528"/>
        <v/>
      </c>
      <c r="AT1182">
        <f t="shared" si="529"/>
        <v>14</v>
      </c>
      <c r="AU1182" s="216" t="str">
        <f t="shared" si="530"/>
        <v>0,15-0,5 MW, Bonusregeln M2, b und KWK</v>
      </c>
      <c r="AV1182" s="215" t="str">
        <f t="shared" si="531"/>
        <v/>
      </c>
      <c r="AW1182" s="216" t="str">
        <f t="shared" si="532"/>
        <v>Anteil KWK</v>
      </c>
      <c r="AX1182" s="215" t="str">
        <f t="shared" si="533"/>
        <v/>
      </c>
      <c r="AY1182" t="str">
        <f t="shared" si="534"/>
        <v/>
      </c>
      <c r="AZ1182" t="str">
        <f t="shared" si="535"/>
        <v/>
      </c>
    </row>
    <row r="1183" spans="1:52" s="178" customFormat="1" x14ac:dyDescent="0.25">
      <c r="A1183" s="610" t="s">
        <v>3564</v>
      </c>
      <c r="B1183" s="30" t="s">
        <v>5548</v>
      </c>
      <c r="C1183" s="30" t="s">
        <v>1288</v>
      </c>
      <c r="D1183" s="30" t="s">
        <v>7174</v>
      </c>
      <c r="E1183" s="30" t="s">
        <v>4331</v>
      </c>
      <c r="F1183" s="454">
        <f t="shared" si="542"/>
        <v>22.75</v>
      </c>
      <c r="G1183" s="529">
        <v>22.75</v>
      </c>
      <c r="H1183" s="487">
        <f t="shared" si="543"/>
        <v>18.2</v>
      </c>
      <c r="I1183" s="706"/>
      <c r="J1183" s="669" t="s">
        <v>5805</v>
      </c>
      <c r="K1183" s="15"/>
      <c r="L1183"/>
      <c r="M1183" s="49">
        <f t="shared" si="544"/>
        <v>22.75</v>
      </c>
      <c r="N1183" s="41">
        <v>9.75</v>
      </c>
      <c r="O1183" s="186"/>
      <c r="P1183" s="178" t="s">
        <v>1017</v>
      </c>
      <c r="S1183" s="178" t="s">
        <v>4180</v>
      </c>
      <c r="T1183" s="178" t="s">
        <v>4180</v>
      </c>
      <c r="U1183" s="179"/>
      <c r="W1183" s="180"/>
      <c r="X1183" s="180"/>
      <c r="Z1183" s="180"/>
      <c r="AA1183" s="184" t="s">
        <v>1017</v>
      </c>
      <c r="AC1183" s="180"/>
      <c r="AD1183" s="182"/>
      <c r="AE1183" s="181" t="s">
        <v>1017</v>
      </c>
      <c r="AF1183" s="180"/>
      <c r="AG1183" s="201"/>
      <c r="AH1183" s="212" t="str">
        <f t="shared" si="550"/>
        <v/>
      </c>
      <c r="AI1183" s="214" t="str">
        <f t="shared" si="537"/>
        <v/>
      </c>
      <c r="AJ1183" s="214" t="str">
        <f t="shared" si="538"/>
        <v/>
      </c>
      <c r="AK1183" s="214" t="str">
        <f t="shared" si="539"/>
        <v/>
      </c>
      <c r="AL1183" s="214" t="str">
        <f t="shared" si="540"/>
        <v/>
      </c>
      <c r="AM1183" s="214" t="str">
        <f t="shared" si="541"/>
        <v/>
      </c>
      <c r="AN1183" s="213" t="str">
        <f t="shared" si="523"/>
        <v/>
      </c>
      <c r="AO1183" s="213" t="str">
        <f t="shared" si="524"/>
        <v/>
      </c>
      <c r="AP1183" s="213" t="str">
        <f t="shared" si="525"/>
        <v/>
      </c>
      <c r="AQ1183" s="215" t="str">
        <f t="shared" si="526"/>
        <v/>
      </c>
      <c r="AR1183" s="216" t="str">
        <f t="shared" si="527"/>
        <v>BiK82M2bKA3-05</v>
      </c>
      <c r="AS1183" s="215" t="str">
        <f t="shared" si="528"/>
        <v/>
      </c>
      <c r="AT1183">
        <f t="shared" si="529"/>
        <v>14</v>
      </c>
      <c r="AU1183" s="216" t="str">
        <f t="shared" si="530"/>
        <v>0,15-0,5 MW, Bonusregeln M2, b und K wenn Anlage 3 erfüllt</v>
      </c>
      <c r="AV1183" s="215" t="str">
        <f t="shared" si="531"/>
        <v/>
      </c>
      <c r="AW1183" s="216" t="str">
        <f t="shared" si="532"/>
        <v>Anteil KWK gemäß Anlage 3</v>
      </c>
      <c r="AX1183" s="215" t="str">
        <f t="shared" si="533"/>
        <v/>
      </c>
      <c r="AY1183" t="str">
        <f t="shared" si="534"/>
        <v/>
      </c>
      <c r="AZ1183" t="str">
        <f t="shared" si="535"/>
        <v/>
      </c>
    </row>
    <row r="1184" spans="1:52" s="178" customFormat="1" x14ac:dyDescent="0.25">
      <c r="A1184" s="610" t="s">
        <v>3565</v>
      </c>
      <c r="B1184" s="30" t="s">
        <v>5548</v>
      </c>
      <c r="C1184" s="30" t="s">
        <v>1288</v>
      </c>
      <c r="D1184" s="30" t="s">
        <v>7175</v>
      </c>
      <c r="E1184" s="30" t="s">
        <v>674</v>
      </c>
      <c r="F1184" s="454">
        <f t="shared" si="542"/>
        <v>22.75</v>
      </c>
      <c r="G1184" s="529">
        <v>22.75</v>
      </c>
      <c r="H1184" s="487">
        <f t="shared" si="543"/>
        <v>18.2</v>
      </c>
      <c r="I1184" s="706"/>
      <c r="J1184" s="669" t="s">
        <v>5805</v>
      </c>
      <c r="K1184" s="15"/>
      <c r="L1184"/>
      <c r="M1184" s="49">
        <f t="shared" si="544"/>
        <v>22.75</v>
      </c>
      <c r="N1184" s="41">
        <v>9.75</v>
      </c>
      <c r="O1184" s="186"/>
      <c r="P1184" s="177"/>
      <c r="Q1184" s="178" t="s">
        <v>1017</v>
      </c>
      <c r="S1184" s="178" t="s">
        <v>4180</v>
      </c>
      <c r="T1184" s="178" t="s">
        <v>4180</v>
      </c>
      <c r="U1184" s="179"/>
      <c r="W1184" s="180"/>
      <c r="X1184" s="180"/>
      <c r="Z1184" s="180"/>
      <c r="AA1184" s="184" t="s">
        <v>1017</v>
      </c>
      <c r="AC1184" s="180"/>
      <c r="AD1184" s="182"/>
      <c r="AE1184" s="181" t="s">
        <v>1017</v>
      </c>
      <c r="AF1184" s="180"/>
      <c r="AG1184" s="201"/>
      <c r="AH1184" s="212" t="str">
        <f t="shared" si="550"/>
        <v/>
      </c>
      <c r="AI1184" s="214" t="str">
        <f t="shared" si="537"/>
        <v/>
      </c>
      <c r="AJ1184" s="214" t="str">
        <f t="shared" si="538"/>
        <v/>
      </c>
      <c r="AK1184" s="214" t="str">
        <f t="shared" si="539"/>
        <v/>
      </c>
      <c r="AL1184" s="214" t="str">
        <f t="shared" si="540"/>
        <v/>
      </c>
      <c r="AM1184" s="214" t="str">
        <f t="shared" si="541"/>
        <v/>
      </c>
      <c r="AN1184" s="213" t="str">
        <f t="shared" si="523"/>
        <v/>
      </c>
      <c r="AO1184" s="213" t="str">
        <f t="shared" si="524"/>
        <v/>
      </c>
      <c r="AP1184" s="213" t="str">
        <f t="shared" si="525"/>
        <v/>
      </c>
      <c r="AQ1184" s="215" t="str">
        <f t="shared" si="526"/>
        <v/>
      </c>
      <c r="AR1184" s="216" t="str">
        <f t="shared" si="527"/>
        <v>BiK82M2bK09-05</v>
      </c>
      <c r="AS1184" s="215" t="str">
        <f t="shared" si="528"/>
        <v/>
      </c>
      <c r="AT1184">
        <f t="shared" si="529"/>
        <v>14</v>
      </c>
      <c r="AU1184" s="216" t="str">
        <f t="shared" si="530"/>
        <v>0,15-0,5 MW, Bonusregeln M2, b und K erstmals 2009</v>
      </c>
      <c r="AV1184" s="215" t="str">
        <f t="shared" si="531"/>
        <v/>
      </c>
      <c r="AW1184" s="216" t="str">
        <f t="shared" si="532"/>
        <v>Anteil KWK, erstmals 2009</v>
      </c>
      <c r="AX1184" s="215" t="str">
        <f t="shared" si="533"/>
        <v/>
      </c>
      <c r="AY1184" t="str">
        <f t="shared" si="534"/>
        <v/>
      </c>
      <c r="AZ1184" t="str">
        <f t="shared" si="535"/>
        <v/>
      </c>
    </row>
    <row r="1185" spans="1:52" s="178" customFormat="1" x14ac:dyDescent="0.25">
      <c r="A1185" s="610" t="s">
        <v>3610</v>
      </c>
      <c r="B1185" s="30" t="s">
        <v>5548</v>
      </c>
      <c r="C1185" s="30" t="s">
        <v>1288</v>
      </c>
      <c r="D1185" s="30" t="s">
        <v>7176</v>
      </c>
      <c r="E1185" s="30" t="s">
        <v>3567</v>
      </c>
      <c r="F1185" s="454">
        <f t="shared" si="542"/>
        <v>22.72</v>
      </c>
      <c r="G1185" s="529">
        <v>22.72</v>
      </c>
      <c r="H1185" s="487">
        <f t="shared" si="543"/>
        <v>18.18</v>
      </c>
      <c r="I1185" s="706"/>
      <c r="J1185" s="669" t="s">
        <v>5805</v>
      </c>
      <c r="K1185" s="15"/>
      <c r="L1185"/>
      <c r="M1185" s="49">
        <f t="shared" si="544"/>
        <v>22.72</v>
      </c>
      <c r="N1185" s="41">
        <v>9.75</v>
      </c>
      <c r="O1185" s="186"/>
      <c r="P1185" s="177"/>
      <c r="R1185" s="178" t="s">
        <v>1017</v>
      </c>
      <c r="S1185" s="178" t="s">
        <v>4180</v>
      </c>
      <c r="T1185" s="178" t="s">
        <v>4180</v>
      </c>
      <c r="U1185" s="179"/>
      <c r="W1185" s="180"/>
      <c r="X1185" s="180"/>
      <c r="Z1185" s="180"/>
      <c r="AA1185" s="184" t="s">
        <v>1017</v>
      </c>
      <c r="AC1185" s="180"/>
      <c r="AD1185" s="182"/>
      <c r="AE1185" s="181" t="s">
        <v>1017</v>
      </c>
      <c r="AF1185" s="180"/>
      <c r="AG1185" s="201"/>
      <c r="AH1185" s="212" t="str">
        <f t="shared" si="550"/>
        <v>2010</v>
      </c>
      <c r="AI1185" s="214" t="str">
        <f t="shared" si="537"/>
        <v/>
      </c>
      <c r="AJ1185" s="214" t="str">
        <f t="shared" si="538"/>
        <v/>
      </c>
      <c r="AK1185" s="214" t="str">
        <f t="shared" si="539"/>
        <v/>
      </c>
      <c r="AL1185" s="214" t="str">
        <f t="shared" si="540"/>
        <v/>
      </c>
      <c r="AM1185" s="214" t="str">
        <f t="shared" si="541"/>
        <v/>
      </c>
      <c r="AN1185" s="213" t="str">
        <f t="shared" si="523"/>
        <v>2010</v>
      </c>
      <c r="AO1185" s="213" t="str">
        <f t="shared" si="524"/>
        <v>2010</v>
      </c>
      <c r="AP1185" s="213" t="str">
        <f t="shared" si="525"/>
        <v>2010</v>
      </c>
      <c r="AQ1185" s="215" t="str">
        <f t="shared" si="526"/>
        <v/>
      </c>
      <c r="AR1185" s="216" t="str">
        <f t="shared" si="527"/>
        <v>BiK82M2bK10-05</v>
      </c>
      <c r="AS1185" s="215" t="str">
        <f t="shared" si="528"/>
        <v/>
      </c>
      <c r="AT1185">
        <f t="shared" si="529"/>
        <v>14</v>
      </c>
      <c r="AU1185" s="216" t="str">
        <f t="shared" si="530"/>
        <v>0,15-0,5 MW, Bonusregeln M2, b und K erstmals 2010</v>
      </c>
      <c r="AV1185" s="215" t="str">
        <f t="shared" si="531"/>
        <v/>
      </c>
      <c r="AW1185" s="216" t="str">
        <f t="shared" si="532"/>
        <v>Anteil KWK, erstmals 2010</v>
      </c>
      <c r="AX1185" s="215" t="str">
        <f t="shared" si="533"/>
        <v/>
      </c>
      <c r="AY1185" t="str">
        <f t="shared" si="534"/>
        <v/>
      </c>
      <c r="AZ1185" t="str">
        <f t="shared" si="535"/>
        <v/>
      </c>
    </row>
    <row r="1186" spans="1:52" s="178" customFormat="1" x14ac:dyDescent="0.25">
      <c r="A1186" s="610" t="s">
        <v>5341</v>
      </c>
      <c r="B1186" s="30" t="s">
        <v>5548</v>
      </c>
      <c r="C1186" s="30" t="s">
        <v>1288</v>
      </c>
      <c r="D1186" s="30" t="s">
        <v>7177</v>
      </c>
      <c r="E1186" s="30" t="s">
        <v>3055</v>
      </c>
      <c r="F1186" s="454">
        <f t="shared" si="542"/>
        <v>22.689999999999998</v>
      </c>
      <c r="G1186" s="529">
        <v>22.689999999999998</v>
      </c>
      <c r="H1186" s="487">
        <f t="shared" si="543"/>
        <v>18.149999999999999</v>
      </c>
      <c r="I1186" s="706"/>
      <c r="J1186" s="669" t="s">
        <v>5805</v>
      </c>
      <c r="K1186" s="15"/>
      <c r="L1186"/>
      <c r="M1186" s="49">
        <f t="shared" si="544"/>
        <v>22.689999999999998</v>
      </c>
      <c r="N1186" s="41">
        <v>9.75</v>
      </c>
      <c r="O1186" s="186"/>
      <c r="P1186" s="177"/>
      <c r="S1186" s="178" t="s">
        <v>1017</v>
      </c>
      <c r="T1186" s="178" t="s">
        <v>4180</v>
      </c>
      <c r="U1186" s="179"/>
      <c r="W1186" s="180"/>
      <c r="X1186" s="180"/>
      <c r="Z1186" s="180"/>
      <c r="AA1186" s="184" t="s">
        <v>1017</v>
      </c>
      <c r="AC1186" s="180"/>
      <c r="AD1186" s="182"/>
      <c r="AE1186" s="181" t="s">
        <v>1017</v>
      </c>
      <c r="AF1186" s="180"/>
      <c r="AG1186" s="201"/>
      <c r="AH1186" s="212" t="str">
        <f t="shared" si="550"/>
        <v>2011</v>
      </c>
      <c r="AI1186" s="214" t="str">
        <f t="shared" si="537"/>
        <v/>
      </c>
      <c r="AJ1186" s="214" t="str">
        <f t="shared" si="538"/>
        <v/>
      </c>
      <c r="AK1186" s="214" t="str">
        <f t="shared" si="539"/>
        <v/>
      </c>
      <c r="AL1186" s="214" t="str">
        <f t="shared" si="540"/>
        <v/>
      </c>
      <c r="AM1186" s="214" t="str">
        <f t="shared" si="541"/>
        <v/>
      </c>
      <c r="AN1186" s="213" t="str">
        <f t="shared" si="523"/>
        <v>2011</v>
      </c>
      <c r="AO1186" s="213" t="str">
        <f t="shared" si="524"/>
        <v>2011</v>
      </c>
      <c r="AP1186" s="213" t="str">
        <f t="shared" si="525"/>
        <v>2011</v>
      </c>
      <c r="AQ1186" s="215" t="str">
        <f t="shared" si="526"/>
        <v/>
      </c>
      <c r="AR1186" s="216" t="str">
        <f t="shared" si="527"/>
        <v>BiK82M2bK11-05</v>
      </c>
      <c r="AS1186" s="215" t="str">
        <f t="shared" si="528"/>
        <v/>
      </c>
      <c r="AT1186">
        <f t="shared" si="529"/>
        <v>14</v>
      </c>
      <c r="AU1186" s="216" t="str">
        <f t="shared" si="530"/>
        <v>0,15-0,5 MW, Bonusregeln M2, b und K erstmals 2011</v>
      </c>
      <c r="AV1186" s="215" t="str">
        <f t="shared" si="531"/>
        <v/>
      </c>
      <c r="AW1186" s="216" t="str">
        <f t="shared" si="532"/>
        <v>Anteil KWK, erstmals 2011</v>
      </c>
      <c r="AX1186" s="215" t="str">
        <f t="shared" si="533"/>
        <v/>
      </c>
      <c r="AY1186" t="str">
        <f t="shared" si="534"/>
        <v>x</v>
      </c>
      <c r="AZ1186" t="str">
        <f t="shared" si="535"/>
        <v/>
      </c>
    </row>
    <row r="1187" spans="1:52" s="178" customFormat="1" x14ac:dyDescent="0.25">
      <c r="A1187" s="625" t="s">
        <v>1591</v>
      </c>
      <c r="B1187" s="219" t="s">
        <v>5548</v>
      </c>
      <c r="C1187" s="219" t="s">
        <v>1288</v>
      </c>
      <c r="D1187" s="219" t="s">
        <v>7178</v>
      </c>
      <c r="E1187" s="219" t="s">
        <v>1980</v>
      </c>
      <c r="F1187" s="455">
        <f t="shared" si="542"/>
        <v>22.66</v>
      </c>
      <c r="G1187" s="530">
        <v>22.66</v>
      </c>
      <c r="H1187" s="488">
        <f t="shared" si="543"/>
        <v>18.13</v>
      </c>
      <c r="I1187" s="707"/>
      <c r="J1187" s="669" t="s">
        <v>5805</v>
      </c>
      <c r="K1187" s="15"/>
      <c r="L1187"/>
      <c r="M1187" s="49">
        <f t="shared" si="544"/>
        <v>22.66</v>
      </c>
      <c r="N1187" s="41">
        <v>9.75</v>
      </c>
      <c r="O1187" s="186"/>
      <c r="P1187" s="177"/>
      <c r="S1187" s="178" t="s">
        <v>4180</v>
      </c>
      <c r="T1187" s="178" t="s">
        <v>1017</v>
      </c>
      <c r="U1187" s="179"/>
      <c r="W1187" s="180"/>
      <c r="X1187" s="180"/>
      <c r="Z1187" s="180"/>
      <c r="AA1187" s="184" t="s">
        <v>1017</v>
      </c>
      <c r="AC1187" s="180"/>
      <c r="AD1187" s="182"/>
      <c r="AE1187" s="181" t="s">
        <v>1017</v>
      </c>
      <c r="AF1187" s="180"/>
      <c r="AG1187" s="201"/>
      <c r="AH1187" s="217" t="s">
        <v>4179</v>
      </c>
      <c r="AI1187" s="214" t="str">
        <f t="shared" si="537"/>
        <v/>
      </c>
      <c r="AJ1187" s="214" t="str">
        <f t="shared" si="538"/>
        <v/>
      </c>
      <c r="AK1187" s="214" t="str">
        <f t="shared" si="539"/>
        <v/>
      </c>
      <c r="AL1187" s="214" t="str">
        <f t="shared" si="540"/>
        <v/>
      </c>
      <c r="AM1187" s="214" t="str">
        <f t="shared" si="541"/>
        <v/>
      </c>
      <c r="AN1187" s="213" t="str">
        <f t="shared" si="523"/>
        <v>2012</v>
      </c>
      <c r="AO1187" s="213" t="str">
        <f t="shared" si="524"/>
        <v>2012</v>
      </c>
      <c r="AP1187" s="213" t="str">
        <f t="shared" si="525"/>
        <v>2012</v>
      </c>
      <c r="AQ1187" s="215" t="str">
        <f t="shared" si="526"/>
        <v/>
      </c>
      <c r="AR1187" s="216" t="str">
        <f t="shared" si="527"/>
        <v>BiK82M2bK12-05</v>
      </c>
      <c r="AS1187" s="215" t="str">
        <f t="shared" si="528"/>
        <v/>
      </c>
      <c r="AT1187">
        <f t="shared" si="529"/>
        <v>14</v>
      </c>
      <c r="AU1187" s="216" t="str">
        <f t="shared" si="530"/>
        <v>0,15-0,5 MW, Bonusregeln M2, b und K erstmals 2012</v>
      </c>
      <c r="AV1187" s="215" t="str">
        <f t="shared" si="531"/>
        <v/>
      </c>
      <c r="AW1187" s="216" t="str">
        <f t="shared" si="532"/>
        <v>Anteil KWK, erstmals 2012</v>
      </c>
      <c r="AX1187" s="215" t="str">
        <f t="shared" si="533"/>
        <v/>
      </c>
      <c r="AY1187" t="str">
        <f t="shared" si="534"/>
        <v/>
      </c>
      <c r="AZ1187" t="str">
        <f t="shared" si="535"/>
        <v>x</v>
      </c>
    </row>
    <row r="1188" spans="1:52" x14ac:dyDescent="0.25">
      <c r="A1188" s="610" t="s">
        <v>3566</v>
      </c>
      <c r="B1188" s="30" t="s">
        <v>5548</v>
      </c>
      <c r="C1188" s="30" t="s">
        <v>1288</v>
      </c>
      <c r="D1188" s="30" t="s">
        <v>7179</v>
      </c>
      <c r="E1188" s="30" t="s">
        <v>4810</v>
      </c>
      <c r="F1188" s="454">
        <f t="shared" si="542"/>
        <v>20.75</v>
      </c>
      <c r="G1188" s="529">
        <v>20.75</v>
      </c>
      <c r="H1188" s="487">
        <f t="shared" si="543"/>
        <v>16.600000000000001</v>
      </c>
      <c r="I1188" s="706"/>
      <c r="J1188" s="669" t="s">
        <v>5805</v>
      </c>
      <c r="K1188" s="15"/>
      <c r="M1188" s="49">
        <f t="shared" si="544"/>
        <v>20.75</v>
      </c>
      <c r="N1188" s="41">
        <v>9.75</v>
      </c>
      <c r="O1188" s="187"/>
      <c r="P1188" s="183"/>
      <c r="Q1188" s="184"/>
      <c r="R1188" s="184"/>
      <c r="S1188" s="184" t="s">
        <v>4180</v>
      </c>
      <c r="T1188" t="s">
        <v>4180</v>
      </c>
      <c r="U1188" s="185" t="s">
        <v>1017</v>
      </c>
      <c r="V1188" s="184"/>
      <c r="W1188" s="180"/>
      <c r="X1188" s="180"/>
      <c r="Y1188" s="178"/>
      <c r="Z1188" s="180"/>
      <c r="AA1188" s="184" t="s">
        <v>1017</v>
      </c>
      <c r="AB1188" s="184"/>
      <c r="AC1188" s="180"/>
      <c r="AD1188" s="182"/>
      <c r="AE1188" s="181" t="s">
        <v>1017</v>
      </c>
      <c r="AF1188" s="180"/>
      <c r="AG1188" s="201"/>
      <c r="AH1188" s="212" t="str">
        <f t="shared" ref="AH1188:AH1193" si="551">IF(ISERROR(SEARCH("K erstmals 201",D1188)),"",RIGHT(D1188,4))</f>
        <v/>
      </c>
      <c r="AI1188" s="214" t="str">
        <f t="shared" si="537"/>
        <v/>
      </c>
      <c r="AJ1188" s="214" t="str">
        <f t="shared" si="538"/>
        <v/>
      </c>
      <c r="AK1188" s="214" t="str">
        <f t="shared" si="539"/>
        <v/>
      </c>
      <c r="AL1188" s="214" t="str">
        <f t="shared" si="540"/>
        <v/>
      </c>
      <c r="AM1188" s="214" t="str">
        <f t="shared" si="541"/>
        <v/>
      </c>
      <c r="AN1188" s="213" t="str">
        <f t="shared" si="523"/>
        <v/>
      </c>
      <c r="AO1188" s="213" t="str">
        <f t="shared" si="524"/>
        <v/>
      </c>
      <c r="AP1188" s="213" t="str">
        <f t="shared" si="525"/>
        <v/>
      </c>
      <c r="AQ1188" s="215" t="str">
        <f t="shared" si="526"/>
        <v/>
      </c>
      <c r="AR1188" s="216" t="str">
        <f t="shared" si="527"/>
        <v>BiK82M2by---05</v>
      </c>
      <c r="AS1188" s="215" t="str">
        <f t="shared" si="528"/>
        <v/>
      </c>
      <c r="AT1188">
        <f t="shared" si="529"/>
        <v>14</v>
      </c>
      <c r="AU1188" s="216" t="str">
        <f t="shared" si="530"/>
        <v>0,15-0,5 MW, Bonusregeln M2, y, b</v>
      </c>
      <c r="AV1188" s="215" t="str">
        <f t="shared" si="531"/>
        <v/>
      </c>
      <c r="AW1188" s="216" t="str">
        <f t="shared" si="532"/>
        <v>Anteil Nicht-KWK</v>
      </c>
      <c r="AX1188" s="215" t="str">
        <f t="shared" si="533"/>
        <v/>
      </c>
      <c r="AY1188" t="str">
        <f t="shared" si="534"/>
        <v/>
      </c>
      <c r="AZ1188" t="str">
        <f t="shared" si="535"/>
        <v/>
      </c>
    </row>
    <row r="1189" spans="1:52" x14ac:dyDescent="0.25">
      <c r="A1189" s="610" t="s">
        <v>4710</v>
      </c>
      <c r="B1189" s="30" t="s">
        <v>5548</v>
      </c>
      <c r="C1189" s="30" t="s">
        <v>1288</v>
      </c>
      <c r="D1189" s="30" t="s">
        <v>7180</v>
      </c>
      <c r="E1189" s="30" t="s">
        <v>4812</v>
      </c>
      <c r="F1189" s="454">
        <f t="shared" si="542"/>
        <v>22.75</v>
      </c>
      <c r="G1189" s="529">
        <v>22.75</v>
      </c>
      <c r="H1189" s="487">
        <f t="shared" si="543"/>
        <v>18.2</v>
      </c>
      <c r="I1189" s="706"/>
      <c r="J1189" s="669" t="s">
        <v>5805</v>
      </c>
      <c r="K1189" s="15"/>
      <c r="M1189" s="49">
        <f t="shared" si="544"/>
        <v>22.75</v>
      </c>
      <c r="N1189" s="41">
        <v>9.75</v>
      </c>
      <c r="O1189" s="187" t="s">
        <v>1017</v>
      </c>
      <c r="P1189" s="183"/>
      <c r="Q1189" s="184"/>
      <c r="R1189" s="184"/>
      <c r="S1189" s="184" t="s">
        <v>4180</v>
      </c>
      <c r="T1189" t="s">
        <v>4180</v>
      </c>
      <c r="U1189" s="185" t="s">
        <v>1017</v>
      </c>
      <c r="V1189" s="184"/>
      <c r="W1189" s="180"/>
      <c r="X1189" s="180"/>
      <c r="Y1189" s="178"/>
      <c r="Z1189" s="180"/>
      <c r="AA1189" s="184" t="s">
        <v>1017</v>
      </c>
      <c r="AB1189" s="184"/>
      <c r="AC1189" s="180"/>
      <c r="AD1189" s="182"/>
      <c r="AE1189" s="181" t="s">
        <v>1017</v>
      </c>
      <c r="AF1189" s="180"/>
      <c r="AG1189" s="201"/>
      <c r="AH1189" s="212" t="str">
        <f t="shared" si="551"/>
        <v/>
      </c>
      <c r="AI1189" s="214" t="str">
        <f t="shared" si="537"/>
        <v/>
      </c>
      <c r="AJ1189" s="214" t="str">
        <f t="shared" si="538"/>
        <v/>
      </c>
      <c r="AK1189" s="214" t="str">
        <f t="shared" si="539"/>
        <v/>
      </c>
      <c r="AL1189" s="214" t="str">
        <f t="shared" si="540"/>
        <v/>
      </c>
      <c r="AM1189" s="214" t="str">
        <f t="shared" si="541"/>
        <v/>
      </c>
      <c r="AN1189" s="213" t="str">
        <f t="shared" si="523"/>
        <v/>
      </c>
      <c r="AO1189" s="213" t="str">
        <f t="shared" si="524"/>
        <v/>
      </c>
      <c r="AP1189" s="213" t="str">
        <f t="shared" si="525"/>
        <v/>
      </c>
      <c r="AQ1189" s="215" t="str">
        <f t="shared" si="526"/>
        <v/>
      </c>
      <c r="AR1189" s="216" t="str">
        <f t="shared" si="527"/>
        <v>BiK82M2bKWKy05</v>
      </c>
      <c r="AS1189" s="215" t="str">
        <f t="shared" si="528"/>
        <v/>
      </c>
      <c r="AT1189">
        <f t="shared" si="529"/>
        <v>14</v>
      </c>
      <c r="AU1189" s="216" t="str">
        <f t="shared" si="530"/>
        <v>0,15-0,5 MW, Bonusregeln M2, y, b und KWK</v>
      </c>
      <c r="AV1189" s="215" t="str">
        <f t="shared" si="531"/>
        <v/>
      </c>
      <c r="AW1189" s="216" t="str">
        <f t="shared" si="532"/>
        <v>Anteil KWK</v>
      </c>
      <c r="AX1189" s="215" t="str">
        <f t="shared" si="533"/>
        <v/>
      </c>
      <c r="AY1189" t="str">
        <f t="shared" si="534"/>
        <v/>
      </c>
      <c r="AZ1189" t="str">
        <f t="shared" si="535"/>
        <v/>
      </c>
    </row>
    <row r="1190" spans="1:52" x14ac:dyDescent="0.25">
      <c r="A1190" s="610" t="s">
        <v>4711</v>
      </c>
      <c r="B1190" s="30" t="s">
        <v>5548</v>
      </c>
      <c r="C1190" s="30" t="s">
        <v>1288</v>
      </c>
      <c r="D1190" s="109" t="s">
        <v>7181</v>
      </c>
      <c r="E1190" s="30" t="s">
        <v>4331</v>
      </c>
      <c r="F1190" s="454">
        <f t="shared" si="542"/>
        <v>23.75</v>
      </c>
      <c r="G1190" s="529">
        <v>23.75</v>
      </c>
      <c r="H1190" s="487">
        <f t="shared" si="543"/>
        <v>19</v>
      </c>
      <c r="I1190" s="706"/>
      <c r="J1190" s="669" t="s">
        <v>5805</v>
      </c>
      <c r="K1190" s="15"/>
      <c r="M1190" s="49">
        <f t="shared" si="544"/>
        <v>23.75</v>
      </c>
      <c r="N1190" s="41">
        <v>9.75</v>
      </c>
      <c r="O1190" s="187"/>
      <c r="P1190" s="184" t="s">
        <v>1017</v>
      </c>
      <c r="Q1190" s="184"/>
      <c r="R1190" s="184"/>
      <c r="S1190" s="184" t="s">
        <v>4180</v>
      </c>
      <c r="T1190" t="s">
        <v>4180</v>
      </c>
      <c r="U1190" s="185" t="s">
        <v>1017</v>
      </c>
      <c r="V1190" s="184"/>
      <c r="W1190" s="180"/>
      <c r="X1190" s="180"/>
      <c r="Y1190" s="178"/>
      <c r="Z1190" s="180"/>
      <c r="AA1190" s="184" t="s">
        <v>1017</v>
      </c>
      <c r="AB1190" s="184"/>
      <c r="AC1190" s="180"/>
      <c r="AD1190" s="182"/>
      <c r="AE1190" s="181" t="s">
        <v>1017</v>
      </c>
      <c r="AF1190" s="180"/>
      <c r="AG1190" s="201"/>
      <c r="AH1190" s="212" t="str">
        <f t="shared" si="551"/>
        <v/>
      </c>
      <c r="AI1190" s="214" t="str">
        <f t="shared" si="537"/>
        <v/>
      </c>
      <c r="AJ1190" s="214" t="str">
        <f t="shared" si="538"/>
        <v/>
      </c>
      <c r="AK1190" s="214" t="str">
        <f t="shared" si="539"/>
        <v/>
      </c>
      <c r="AL1190" s="214" t="str">
        <f t="shared" si="540"/>
        <v/>
      </c>
      <c r="AM1190" s="214" t="str">
        <f t="shared" si="541"/>
        <v/>
      </c>
      <c r="AN1190" s="213" t="str">
        <f t="shared" si="523"/>
        <v/>
      </c>
      <c r="AO1190" s="213" t="str">
        <f t="shared" si="524"/>
        <v/>
      </c>
      <c r="AP1190" s="213" t="str">
        <f t="shared" si="525"/>
        <v/>
      </c>
      <c r="AQ1190" s="215" t="str">
        <f t="shared" si="526"/>
        <v/>
      </c>
      <c r="AR1190" s="216" t="str">
        <f t="shared" si="527"/>
        <v>BiK82M2bKA3y05</v>
      </c>
      <c r="AS1190" s="215" t="str">
        <f t="shared" si="528"/>
        <v/>
      </c>
      <c r="AT1190">
        <f t="shared" si="529"/>
        <v>14</v>
      </c>
      <c r="AU1190" s="216" t="str">
        <f t="shared" si="530"/>
        <v>0,15-0,5 MW, Bonusregeln M2, y, b und K wenn Anlage 3 erfüllt</v>
      </c>
      <c r="AV1190" s="215" t="str">
        <f t="shared" si="531"/>
        <v/>
      </c>
      <c r="AW1190" s="216" t="str">
        <f t="shared" si="532"/>
        <v>Anteil KWK gemäß Anlage 3</v>
      </c>
      <c r="AX1190" s="215" t="str">
        <f t="shared" si="533"/>
        <v/>
      </c>
      <c r="AY1190" t="str">
        <f t="shared" si="534"/>
        <v/>
      </c>
      <c r="AZ1190" t="str">
        <f t="shared" si="535"/>
        <v/>
      </c>
    </row>
    <row r="1191" spans="1:52" x14ac:dyDescent="0.25">
      <c r="A1191" s="610" t="s">
        <v>4712</v>
      </c>
      <c r="B1191" s="30" t="s">
        <v>5548</v>
      </c>
      <c r="C1191" s="30" t="s">
        <v>1288</v>
      </c>
      <c r="D1191" s="30" t="s">
        <v>7182</v>
      </c>
      <c r="E1191" s="30" t="s">
        <v>674</v>
      </c>
      <c r="F1191" s="454">
        <f t="shared" si="542"/>
        <v>23.75</v>
      </c>
      <c r="G1191" s="529">
        <v>23.75</v>
      </c>
      <c r="H1191" s="487">
        <f t="shared" si="543"/>
        <v>19</v>
      </c>
      <c r="I1191" s="706"/>
      <c r="J1191" s="669" t="s">
        <v>5805</v>
      </c>
      <c r="K1191" s="15"/>
      <c r="M1191" s="49">
        <f t="shared" si="544"/>
        <v>23.75</v>
      </c>
      <c r="N1191" s="41">
        <v>9.75</v>
      </c>
      <c r="O1191" s="187"/>
      <c r="P1191" s="183"/>
      <c r="Q1191" s="184" t="s">
        <v>1017</v>
      </c>
      <c r="R1191" s="184"/>
      <c r="S1191" s="184" t="s">
        <v>4180</v>
      </c>
      <c r="T1191" t="s">
        <v>4180</v>
      </c>
      <c r="U1191" s="185" t="s">
        <v>1017</v>
      </c>
      <c r="V1191" s="184"/>
      <c r="W1191" s="180"/>
      <c r="X1191" s="180"/>
      <c r="Y1191" s="178"/>
      <c r="Z1191" s="180"/>
      <c r="AA1191" s="184" t="s">
        <v>1017</v>
      </c>
      <c r="AB1191" s="184"/>
      <c r="AC1191" s="180"/>
      <c r="AD1191" s="182"/>
      <c r="AE1191" s="181" t="s">
        <v>1017</v>
      </c>
      <c r="AF1191" s="180"/>
      <c r="AG1191" s="201"/>
      <c r="AH1191" s="212" t="str">
        <f t="shared" si="551"/>
        <v/>
      </c>
      <c r="AI1191" s="214" t="str">
        <f t="shared" si="537"/>
        <v/>
      </c>
      <c r="AJ1191" s="214" t="str">
        <f t="shared" si="538"/>
        <v/>
      </c>
      <c r="AK1191" s="214" t="str">
        <f t="shared" si="539"/>
        <v/>
      </c>
      <c r="AL1191" s="214" t="str">
        <f t="shared" si="540"/>
        <v/>
      </c>
      <c r="AM1191" s="214" t="str">
        <f t="shared" si="541"/>
        <v/>
      </c>
      <c r="AN1191" s="213" t="str">
        <f t="shared" si="523"/>
        <v/>
      </c>
      <c r="AO1191" s="213" t="str">
        <f t="shared" si="524"/>
        <v/>
      </c>
      <c r="AP1191" s="213" t="str">
        <f t="shared" si="525"/>
        <v/>
      </c>
      <c r="AQ1191" s="215" t="str">
        <f t="shared" si="526"/>
        <v/>
      </c>
      <c r="AR1191" s="216" t="str">
        <f t="shared" si="527"/>
        <v>BiK82M2bK09y05</v>
      </c>
      <c r="AS1191" s="215" t="str">
        <f t="shared" si="528"/>
        <v/>
      </c>
      <c r="AT1191">
        <f t="shared" si="529"/>
        <v>14</v>
      </c>
      <c r="AU1191" s="216" t="str">
        <f t="shared" si="530"/>
        <v>0,15-0,5 MW, Bonusregeln M2, y, b und K erstmals 2009</v>
      </c>
      <c r="AV1191" s="215" t="str">
        <f t="shared" si="531"/>
        <v/>
      </c>
      <c r="AW1191" s="216" t="str">
        <f t="shared" si="532"/>
        <v>Anteil KWK, erstmals 2009</v>
      </c>
      <c r="AX1191" s="215" t="str">
        <f t="shared" si="533"/>
        <v/>
      </c>
      <c r="AY1191" t="str">
        <f t="shared" si="534"/>
        <v/>
      </c>
      <c r="AZ1191" t="str">
        <f t="shared" si="535"/>
        <v/>
      </c>
    </row>
    <row r="1192" spans="1:52" x14ac:dyDescent="0.25">
      <c r="A1192" s="610" t="s">
        <v>3611</v>
      </c>
      <c r="B1192" s="30" t="s">
        <v>5548</v>
      </c>
      <c r="C1192" s="30" t="s">
        <v>1288</v>
      </c>
      <c r="D1192" s="30" t="s">
        <v>7183</v>
      </c>
      <c r="E1192" s="30" t="s">
        <v>3567</v>
      </c>
      <c r="F1192" s="454">
        <f t="shared" si="542"/>
        <v>23.72</v>
      </c>
      <c r="G1192" s="529">
        <v>23.72</v>
      </c>
      <c r="H1192" s="487">
        <f t="shared" si="543"/>
        <v>18.98</v>
      </c>
      <c r="I1192" s="706"/>
      <c r="J1192" s="669" t="s">
        <v>5805</v>
      </c>
      <c r="K1192" s="15"/>
      <c r="M1192" s="49">
        <f t="shared" si="544"/>
        <v>23.72</v>
      </c>
      <c r="N1192" s="41">
        <v>9.75</v>
      </c>
      <c r="O1192" s="187"/>
      <c r="P1192" s="183"/>
      <c r="Q1192" s="184"/>
      <c r="R1192" s="184" t="s">
        <v>1017</v>
      </c>
      <c r="S1192" s="184" t="s">
        <v>4180</v>
      </c>
      <c r="T1192" t="s">
        <v>4180</v>
      </c>
      <c r="U1192" s="185" t="s">
        <v>1017</v>
      </c>
      <c r="V1192" s="184"/>
      <c r="W1192" s="180"/>
      <c r="X1192" s="180"/>
      <c r="Y1192" s="178"/>
      <c r="Z1192" s="180"/>
      <c r="AA1192" s="184" t="s">
        <v>1017</v>
      </c>
      <c r="AB1192" s="184"/>
      <c r="AC1192" s="180"/>
      <c r="AD1192" s="182"/>
      <c r="AE1192" s="181" t="s">
        <v>1017</v>
      </c>
      <c r="AF1192" s="180"/>
      <c r="AG1192" s="201"/>
      <c r="AH1192" s="212" t="str">
        <f t="shared" si="551"/>
        <v>2010</v>
      </c>
      <c r="AI1192" s="214" t="str">
        <f t="shared" si="537"/>
        <v/>
      </c>
      <c r="AJ1192" s="214" t="str">
        <f t="shared" si="538"/>
        <v/>
      </c>
      <c r="AK1192" s="214" t="str">
        <f t="shared" si="539"/>
        <v/>
      </c>
      <c r="AL1192" s="214" t="str">
        <f t="shared" si="540"/>
        <v/>
      </c>
      <c r="AM1192" s="214" t="str">
        <f t="shared" si="541"/>
        <v/>
      </c>
      <c r="AN1192" s="213" t="str">
        <f t="shared" si="523"/>
        <v>2010</v>
      </c>
      <c r="AO1192" s="213" t="str">
        <f t="shared" si="524"/>
        <v>2010</v>
      </c>
      <c r="AP1192" s="213" t="str">
        <f t="shared" si="525"/>
        <v>2010</v>
      </c>
      <c r="AQ1192" s="215" t="str">
        <f t="shared" si="526"/>
        <v/>
      </c>
      <c r="AR1192" s="216" t="str">
        <f t="shared" si="527"/>
        <v>BiK82M2bK10y05</v>
      </c>
      <c r="AS1192" s="215" t="str">
        <f t="shared" si="528"/>
        <v/>
      </c>
      <c r="AT1192">
        <f t="shared" si="529"/>
        <v>14</v>
      </c>
      <c r="AU1192" s="216" t="str">
        <f t="shared" si="530"/>
        <v>0,15-0,5 MW, Bonusregeln M2, y, b und K erstmals 2010</v>
      </c>
      <c r="AV1192" s="215" t="str">
        <f t="shared" si="531"/>
        <v/>
      </c>
      <c r="AW1192" s="216" t="str">
        <f t="shared" si="532"/>
        <v>Anteil KWK, erstmals 2010</v>
      </c>
      <c r="AX1192" s="215" t="str">
        <f t="shared" si="533"/>
        <v/>
      </c>
      <c r="AY1192" t="str">
        <f t="shared" si="534"/>
        <v/>
      </c>
      <c r="AZ1192" t="str">
        <f t="shared" si="535"/>
        <v/>
      </c>
    </row>
    <row r="1193" spans="1:52" x14ac:dyDescent="0.25">
      <c r="A1193" s="610" t="s">
        <v>5342</v>
      </c>
      <c r="B1193" s="30" t="s">
        <v>5548</v>
      </c>
      <c r="C1193" s="30" t="s">
        <v>1288</v>
      </c>
      <c r="D1193" s="30" t="s">
        <v>7184</v>
      </c>
      <c r="E1193" s="30" t="s">
        <v>3055</v>
      </c>
      <c r="F1193" s="454">
        <f t="shared" si="542"/>
        <v>23.689999999999998</v>
      </c>
      <c r="G1193" s="529">
        <v>23.689999999999998</v>
      </c>
      <c r="H1193" s="487">
        <f t="shared" si="543"/>
        <v>18.95</v>
      </c>
      <c r="I1193" s="706"/>
      <c r="J1193" s="669" t="s">
        <v>5805</v>
      </c>
      <c r="K1193" s="15"/>
      <c r="M1193" s="49">
        <f t="shared" si="544"/>
        <v>23.689999999999998</v>
      </c>
      <c r="N1193" s="41">
        <v>9.75</v>
      </c>
      <c r="O1193" s="187"/>
      <c r="P1193" s="183"/>
      <c r="Q1193" s="184"/>
      <c r="R1193" s="178"/>
      <c r="S1193" s="184" t="s">
        <v>1017</v>
      </c>
      <c r="T1193" t="s">
        <v>4180</v>
      </c>
      <c r="U1193" s="185" t="s">
        <v>1017</v>
      </c>
      <c r="V1193" s="184"/>
      <c r="W1193" s="180"/>
      <c r="X1193" s="180"/>
      <c r="Y1193" s="178"/>
      <c r="Z1193" s="180"/>
      <c r="AA1193" s="184" t="s">
        <v>1017</v>
      </c>
      <c r="AB1193" s="184"/>
      <c r="AC1193" s="180"/>
      <c r="AD1193" s="182"/>
      <c r="AE1193" s="181" t="s">
        <v>1017</v>
      </c>
      <c r="AF1193" s="180"/>
      <c r="AG1193" s="201"/>
      <c r="AH1193" s="212" t="str">
        <f t="shared" si="551"/>
        <v>2011</v>
      </c>
      <c r="AI1193" s="214" t="str">
        <f t="shared" si="537"/>
        <v/>
      </c>
      <c r="AJ1193" s="214" t="str">
        <f t="shared" si="538"/>
        <v/>
      </c>
      <c r="AK1193" s="214" t="str">
        <f t="shared" si="539"/>
        <v/>
      </c>
      <c r="AL1193" s="214" t="str">
        <f t="shared" si="540"/>
        <v/>
      </c>
      <c r="AM1193" s="214" t="str">
        <f t="shared" si="541"/>
        <v/>
      </c>
      <c r="AN1193" s="213" t="str">
        <f t="shared" si="523"/>
        <v>2011</v>
      </c>
      <c r="AO1193" s="213" t="str">
        <f t="shared" si="524"/>
        <v>2011</v>
      </c>
      <c r="AP1193" s="213" t="str">
        <f t="shared" si="525"/>
        <v>2011</v>
      </c>
      <c r="AQ1193" s="215" t="str">
        <f t="shared" si="526"/>
        <v/>
      </c>
      <c r="AR1193" s="216" t="str">
        <f t="shared" si="527"/>
        <v>BiK82M2bK11y05</v>
      </c>
      <c r="AS1193" s="215" t="str">
        <f t="shared" si="528"/>
        <v/>
      </c>
      <c r="AT1193">
        <f t="shared" si="529"/>
        <v>14</v>
      </c>
      <c r="AU1193" s="216" t="str">
        <f t="shared" si="530"/>
        <v>0,15-0,5 MW, Bonusregeln M2, y, b und K erstmals 2011</v>
      </c>
      <c r="AV1193" s="215" t="str">
        <f t="shared" si="531"/>
        <v/>
      </c>
      <c r="AW1193" s="216" t="str">
        <f t="shared" si="532"/>
        <v>Anteil KWK, erstmals 2011</v>
      </c>
      <c r="AX1193" s="215" t="str">
        <f t="shared" si="533"/>
        <v/>
      </c>
      <c r="AY1193" t="str">
        <f t="shared" si="534"/>
        <v>x</v>
      </c>
      <c r="AZ1193" t="str">
        <f t="shared" si="535"/>
        <v/>
      </c>
    </row>
    <row r="1194" spans="1:52" x14ac:dyDescent="0.25">
      <c r="A1194" s="625" t="s">
        <v>1592</v>
      </c>
      <c r="B1194" s="219" t="s">
        <v>5548</v>
      </c>
      <c r="C1194" s="219" t="s">
        <v>1288</v>
      </c>
      <c r="D1194" s="219" t="s">
        <v>7185</v>
      </c>
      <c r="E1194" s="219" t="s">
        <v>1980</v>
      </c>
      <c r="F1194" s="455">
        <f t="shared" si="542"/>
        <v>23.66</v>
      </c>
      <c r="G1194" s="530">
        <v>23.66</v>
      </c>
      <c r="H1194" s="488">
        <f t="shared" si="543"/>
        <v>18.93</v>
      </c>
      <c r="I1194" s="707"/>
      <c r="J1194" s="669" t="s">
        <v>5805</v>
      </c>
      <c r="K1194" s="15"/>
      <c r="M1194" s="49">
        <f t="shared" si="544"/>
        <v>23.66</v>
      </c>
      <c r="N1194" s="41">
        <v>9.75</v>
      </c>
      <c r="O1194" s="187"/>
      <c r="P1194" s="183"/>
      <c r="Q1194" s="184"/>
      <c r="R1194" s="178"/>
      <c r="S1194" s="184" t="s">
        <v>4180</v>
      </c>
      <c r="T1194" t="s">
        <v>1017</v>
      </c>
      <c r="U1194" s="185" t="s">
        <v>1017</v>
      </c>
      <c r="V1194" s="184"/>
      <c r="W1194" s="180"/>
      <c r="X1194" s="180"/>
      <c r="Y1194" s="178"/>
      <c r="Z1194" s="180"/>
      <c r="AA1194" s="184" t="s">
        <v>1017</v>
      </c>
      <c r="AB1194" s="184"/>
      <c r="AC1194" s="180"/>
      <c r="AD1194" s="182"/>
      <c r="AE1194" s="181" t="s">
        <v>1017</v>
      </c>
      <c r="AF1194" s="180"/>
      <c r="AG1194" s="201"/>
      <c r="AH1194" s="217" t="s">
        <v>4179</v>
      </c>
      <c r="AI1194" s="214" t="str">
        <f t="shared" si="537"/>
        <v/>
      </c>
      <c r="AJ1194" s="214" t="str">
        <f t="shared" si="538"/>
        <v/>
      </c>
      <c r="AK1194" s="214" t="str">
        <f t="shared" si="539"/>
        <v/>
      </c>
      <c r="AL1194" s="214" t="str">
        <f t="shared" si="540"/>
        <v/>
      </c>
      <c r="AM1194" s="214" t="str">
        <f t="shared" si="541"/>
        <v/>
      </c>
      <c r="AN1194" s="213" t="str">
        <f t="shared" si="523"/>
        <v>2012</v>
      </c>
      <c r="AO1194" s="213" t="str">
        <f t="shared" si="524"/>
        <v>2012</v>
      </c>
      <c r="AP1194" s="213" t="str">
        <f t="shared" si="525"/>
        <v>2012</v>
      </c>
      <c r="AQ1194" s="215" t="str">
        <f t="shared" si="526"/>
        <v/>
      </c>
      <c r="AR1194" s="216" t="str">
        <f t="shared" si="527"/>
        <v>BiK82M2bK12y05</v>
      </c>
      <c r="AS1194" s="215" t="str">
        <f t="shared" si="528"/>
        <v/>
      </c>
      <c r="AT1194">
        <f t="shared" si="529"/>
        <v>14</v>
      </c>
      <c r="AU1194" s="216" t="str">
        <f t="shared" si="530"/>
        <v>0,15-0,5 MW, Bonusregeln M2, y, b und K erstmals 2012</v>
      </c>
      <c r="AV1194" s="215" t="str">
        <f t="shared" si="531"/>
        <v/>
      </c>
      <c r="AW1194" s="216" t="str">
        <f t="shared" si="532"/>
        <v>Anteil KWK, erstmals 2012</v>
      </c>
      <c r="AX1194" s="215" t="str">
        <f t="shared" si="533"/>
        <v/>
      </c>
      <c r="AY1194" t="str">
        <f t="shared" si="534"/>
        <v/>
      </c>
      <c r="AZ1194" t="str">
        <f t="shared" si="535"/>
        <v>x</v>
      </c>
    </row>
    <row r="1195" spans="1:52" x14ac:dyDescent="0.25">
      <c r="A1195" s="610" t="s">
        <v>2494</v>
      </c>
      <c r="B1195" s="30" t="s">
        <v>5548</v>
      </c>
      <c r="C1195" s="30" t="s">
        <v>1288</v>
      </c>
      <c r="D1195" s="30" t="s">
        <v>7186</v>
      </c>
      <c r="E1195" s="30" t="s">
        <v>4810</v>
      </c>
      <c r="F1195" s="454">
        <f t="shared" si="542"/>
        <v>20.75</v>
      </c>
      <c r="G1195" s="529">
        <v>20.75</v>
      </c>
      <c r="H1195" s="487">
        <f t="shared" si="543"/>
        <v>16.600000000000001</v>
      </c>
      <c r="I1195" s="706"/>
      <c r="J1195" s="669" t="s">
        <v>5805</v>
      </c>
      <c r="K1195" s="15"/>
      <c r="M1195" s="49">
        <f t="shared" si="544"/>
        <v>20.75</v>
      </c>
      <c r="N1195" s="41">
        <v>9.75</v>
      </c>
      <c r="O1195" s="186"/>
      <c r="P1195" s="177"/>
      <c r="Q1195" s="178"/>
      <c r="R1195" s="178"/>
      <c r="S1195" s="178" t="s">
        <v>4180</v>
      </c>
      <c r="T1195" t="s">
        <v>4180</v>
      </c>
      <c r="U1195" s="179"/>
      <c r="V1195" s="178"/>
      <c r="W1195" s="180"/>
      <c r="X1195" s="180"/>
      <c r="Y1195" s="178"/>
      <c r="Z1195" s="180"/>
      <c r="AA1195" s="184"/>
      <c r="AB1195" s="178" t="s">
        <v>1017</v>
      </c>
      <c r="AC1195" s="180"/>
      <c r="AD1195" s="182"/>
      <c r="AE1195" s="181" t="s">
        <v>1017</v>
      </c>
      <c r="AF1195" s="180"/>
      <c r="AG1195" s="201"/>
      <c r="AH1195" s="212" t="str">
        <f t="shared" ref="AH1195:AH1200" si="552">IF(ISERROR(SEARCH("K erstmals 201",D1195)),"",RIGHT(D1195,4))</f>
        <v/>
      </c>
      <c r="AI1195" s="214" t="str">
        <f t="shared" si="537"/>
        <v/>
      </c>
      <c r="AJ1195" s="214" t="str">
        <f t="shared" si="538"/>
        <v/>
      </c>
      <c r="AK1195" s="214" t="str">
        <f t="shared" si="539"/>
        <v/>
      </c>
      <c r="AL1195" s="214" t="str">
        <f t="shared" si="540"/>
        <v/>
      </c>
      <c r="AM1195" s="214" t="str">
        <f t="shared" si="541"/>
        <v/>
      </c>
      <c r="AN1195" s="213" t="str">
        <f t="shared" si="523"/>
        <v/>
      </c>
      <c r="AO1195" s="213" t="str">
        <f t="shared" si="524"/>
        <v/>
      </c>
      <c r="AP1195" s="213" t="str">
        <f t="shared" si="525"/>
        <v/>
      </c>
      <c r="AQ1195" s="215" t="str">
        <f t="shared" si="526"/>
        <v/>
      </c>
      <c r="AR1195" s="216" t="str">
        <f t="shared" si="527"/>
        <v>BiK82Lb-----05</v>
      </c>
      <c r="AS1195" s="215" t="str">
        <f t="shared" si="528"/>
        <v/>
      </c>
      <c r="AT1195">
        <f t="shared" si="529"/>
        <v>14</v>
      </c>
      <c r="AU1195" s="216" t="str">
        <f t="shared" si="530"/>
        <v>0,15-0,5 MW, Bonusregeln L, b</v>
      </c>
      <c r="AV1195" s="215" t="str">
        <f t="shared" si="531"/>
        <v/>
      </c>
      <c r="AW1195" s="216" t="str">
        <f t="shared" si="532"/>
        <v>Anteil Nicht-KWK</v>
      </c>
      <c r="AX1195" s="215" t="str">
        <f t="shared" si="533"/>
        <v/>
      </c>
      <c r="AY1195" t="str">
        <f t="shared" si="534"/>
        <v/>
      </c>
      <c r="AZ1195" t="str">
        <f t="shared" si="535"/>
        <v/>
      </c>
    </row>
    <row r="1196" spans="1:52" x14ac:dyDescent="0.25">
      <c r="A1196" s="610" t="s">
        <v>2495</v>
      </c>
      <c r="B1196" s="30" t="s">
        <v>5548</v>
      </c>
      <c r="C1196" s="30" t="s">
        <v>1288</v>
      </c>
      <c r="D1196" s="30" t="s">
        <v>7187</v>
      </c>
      <c r="E1196" s="30" t="s">
        <v>4812</v>
      </c>
      <c r="F1196" s="454">
        <f t="shared" si="542"/>
        <v>22.75</v>
      </c>
      <c r="G1196" s="529">
        <v>22.75</v>
      </c>
      <c r="H1196" s="487">
        <f t="shared" si="543"/>
        <v>18.2</v>
      </c>
      <c r="I1196" s="706"/>
      <c r="J1196" s="669" t="s">
        <v>5805</v>
      </c>
      <c r="K1196" s="15"/>
      <c r="M1196" s="49">
        <f t="shared" si="544"/>
        <v>22.75</v>
      </c>
      <c r="N1196" s="41">
        <v>9.75</v>
      </c>
      <c r="O1196" s="186" t="s">
        <v>1017</v>
      </c>
      <c r="P1196" s="177"/>
      <c r="Q1196" s="178"/>
      <c r="R1196" s="178"/>
      <c r="S1196" s="178" t="s">
        <v>4180</v>
      </c>
      <c r="T1196" t="s">
        <v>4180</v>
      </c>
      <c r="U1196" s="179"/>
      <c r="V1196" s="178"/>
      <c r="W1196" s="180"/>
      <c r="X1196" s="180"/>
      <c r="Y1196" s="178"/>
      <c r="Z1196" s="180"/>
      <c r="AA1196" s="184"/>
      <c r="AB1196" s="178" t="s">
        <v>1017</v>
      </c>
      <c r="AC1196" s="180"/>
      <c r="AD1196" s="182"/>
      <c r="AE1196" s="181" t="s">
        <v>1017</v>
      </c>
      <c r="AF1196" s="180"/>
      <c r="AG1196" s="201"/>
      <c r="AH1196" s="212" t="str">
        <f t="shared" si="552"/>
        <v/>
      </c>
      <c r="AI1196" s="214" t="str">
        <f t="shared" si="537"/>
        <v/>
      </c>
      <c r="AJ1196" s="214" t="str">
        <f t="shared" si="538"/>
        <v/>
      </c>
      <c r="AK1196" s="214" t="str">
        <f t="shared" si="539"/>
        <v/>
      </c>
      <c r="AL1196" s="214" t="str">
        <f t="shared" si="540"/>
        <v/>
      </c>
      <c r="AM1196" s="214" t="str">
        <f t="shared" si="541"/>
        <v/>
      </c>
      <c r="AN1196" s="213" t="str">
        <f t="shared" si="523"/>
        <v/>
      </c>
      <c r="AO1196" s="213" t="str">
        <f t="shared" si="524"/>
        <v/>
      </c>
      <c r="AP1196" s="213" t="str">
        <f t="shared" si="525"/>
        <v/>
      </c>
      <c r="AQ1196" s="215" t="str">
        <f t="shared" si="526"/>
        <v/>
      </c>
      <c r="AR1196" s="216" t="str">
        <f t="shared" si="527"/>
        <v>BiK82LbKWK--05</v>
      </c>
      <c r="AS1196" s="215" t="str">
        <f t="shared" si="528"/>
        <v/>
      </c>
      <c r="AT1196">
        <f t="shared" si="529"/>
        <v>14</v>
      </c>
      <c r="AU1196" s="216" t="str">
        <f t="shared" si="530"/>
        <v>0,15-0,5 MW, Bonusregeln L, b und KWK</v>
      </c>
      <c r="AV1196" s="215" t="str">
        <f t="shared" si="531"/>
        <v/>
      </c>
      <c r="AW1196" s="216" t="str">
        <f t="shared" si="532"/>
        <v>Anteil KWK</v>
      </c>
      <c r="AX1196" s="215" t="str">
        <f t="shared" si="533"/>
        <v/>
      </c>
      <c r="AY1196" t="str">
        <f t="shared" si="534"/>
        <v/>
      </c>
      <c r="AZ1196" t="str">
        <f t="shared" si="535"/>
        <v/>
      </c>
    </row>
    <row r="1197" spans="1:52" x14ac:dyDescent="0.25">
      <c r="A1197" s="610" t="s">
        <v>2496</v>
      </c>
      <c r="B1197" s="30" t="s">
        <v>5548</v>
      </c>
      <c r="C1197" s="30" t="s">
        <v>1288</v>
      </c>
      <c r="D1197" s="30" t="s">
        <v>7188</v>
      </c>
      <c r="E1197" s="30" t="s">
        <v>4331</v>
      </c>
      <c r="F1197" s="454">
        <f t="shared" si="542"/>
        <v>23.75</v>
      </c>
      <c r="G1197" s="529">
        <v>23.75</v>
      </c>
      <c r="H1197" s="487">
        <f t="shared" si="543"/>
        <v>19</v>
      </c>
      <c r="I1197" s="706"/>
      <c r="J1197" s="669" t="s">
        <v>5805</v>
      </c>
      <c r="K1197" s="15"/>
      <c r="M1197" s="49">
        <f t="shared" si="544"/>
        <v>23.75</v>
      </c>
      <c r="N1197" s="41">
        <v>9.75</v>
      </c>
      <c r="O1197" s="186"/>
      <c r="P1197" s="178" t="s">
        <v>1017</v>
      </c>
      <c r="Q1197" s="178"/>
      <c r="R1197" s="178"/>
      <c r="S1197" s="178" t="s">
        <v>4180</v>
      </c>
      <c r="T1197" t="s">
        <v>4180</v>
      </c>
      <c r="U1197" s="179"/>
      <c r="V1197" s="178"/>
      <c r="W1197" s="180"/>
      <c r="X1197" s="180"/>
      <c r="Y1197" s="178"/>
      <c r="Z1197" s="180"/>
      <c r="AA1197" s="184"/>
      <c r="AB1197" s="178" t="s">
        <v>1017</v>
      </c>
      <c r="AC1197" s="180"/>
      <c r="AD1197" s="182"/>
      <c r="AE1197" s="181" t="s">
        <v>1017</v>
      </c>
      <c r="AF1197" s="180"/>
      <c r="AG1197" s="201"/>
      <c r="AH1197" s="212" t="str">
        <f t="shared" si="552"/>
        <v/>
      </c>
      <c r="AI1197" s="214" t="str">
        <f t="shared" si="537"/>
        <v/>
      </c>
      <c r="AJ1197" s="214" t="str">
        <f t="shared" si="538"/>
        <v/>
      </c>
      <c r="AK1197" s="214" t="str">
        <f t="shared" si="539"/>
        <v/>
      </c>
      <c r="AL1197" s="214" t="str">
        <f t="shared" si="540"/>
        <v/>
      </c>
      <c r="AM1197" s="214" t="str">
        <f t="shared" si="541"/>
        <v/>
      </c>
      <c r="AN1197" s="213" t="str">
        <f t="shared" si="523"/>
        <v/>
      </c>
      <c r="AO1197" s="213" t="str">
        <f t="shared" si="524"/>
        <v/>
      </c>
      <c r="AP1197" s="213" t="str">
        <f t="shared" si="525"/>
        <v/>
      </c>
      <c r="AQ1197" s="215" t="str">
        <f t="shared" si="526"/>
        <v/>
      </c>
      <c r="AR1197" s="216" t="str">
        <f t="shared" si="527"/>
        <v>BiK82LbKA3--05</v>
      </c>
      <c r="AS1197" s="215" t="str">
        <f t="shared" si="528"/>
        <v/>
      </c>
      <c r="AT1197">
        <f t="shared" si="529"/>
        <v>14</v>
      </c>
      <c r="AU1197" s="216" t="str">
        <f t="shared" si="530"/>
        <v>0,15-0,5 MW, Bonusregeln L, b und K wenn Anlage 3 erfüllt</v>
      </c>
      <c r="AV1197" s="215" t="str">
        <f t="shared" si="531"/>
        <v/>
      </c>
      <c r="AW1197" s="216" t="str">
        <f t="shared" si="532"/>
        <v>Anteil KWK gemäß Anlage 3</v>
      </c>
      <c r="AX1197" s="215" t="str">
        <f t="shared" si="533"/>
        <v/>
      </c>
      <c r="AY1197" t="str">
        <f t="shared" si="534"/>
        <v/>
      </c>
      <c r="AZ1197" t="str">
        <f t="shared" si="535"/>
        <v/>
      </c>
    </row>
    <row r="1198" spans="1:52" x14ac:dyDescent="0.25">
      <c r="A1198" s="610" t="s">
        <v>2497</v>
      </c>
      <c r="B1198" s="30" t="s">
        <v>5548</v>
      </c>
      <c r="C1198" s="30" t="s">
        <v>1288</v>
      </c>
      <c r="D1198" s="30" t="s">
        <v>7189</v>
      </c>
      <c r="E1198" s="30" t="s">
        <v>674</v>
      </c>
      <c r="F1198" s="454">
        <f t="shared" si="542"/>
        <v>23.75</v>
      </c>
      <c r="G1198" s="529">
        <v>23.75</v>
      </c>
      <c r="H1198" s="487">
        <f t="shared" si="543"/>
        <v>19</v>
      </c>
      <c r="I1198" s="706"/>
      <c r="J1198" s="669" t="s">
        <v>5805</v>
      </c>
      <c r="K1198" s="15"/>
      <c r="M1198" s="49">
        <f t="shared" si="544"/>
        <v>23.75</v>
      </c>
      <c r="N1198" s="41">
        <v>9.75</v>
      </c>
      <c r="O1198" s="186"/>
      <c r="P1198" s="177"/>
      <c r="Q1198" s="178" t="s">
        <v>1017</v>
      </c>
      <c r="R1198" s="178"/>
      <c r="S1198" s="178" t="s">
        <v>4180</v>
      </c>
      <c r="T1198" t="s">
        <v>4180</v>
      </c>
      <c r="U1198" s="179"/>
      <c r="V1198" s="178"/>
      <c r="W1198" s="180"/>
      <c r="X1198" s="180"/>
      <c r="Y1198" s="178"/>
      <c r="Z1198" s="180"/>
      <c r="AA1198" s="184"/>
      <c r="AB1198" s="178" t="s">
        <v>1017</v>
      </c>
      <c r="AC1198" s="180"/>
      <c r="AD1198" s="182"/>
      <c r="AE1198" s="181" t="s">
        <v>1017</v>
      </c>
      <c r="AF1198" s="180"/>
      <c r="AG1198" s="201"/>
      <c r="AH1198" s="212" t="str">
        <f t="shared" si="552"/>
        <v/>
      </c>
      <c r="AI1198" s="214" t="str">
        <f t="shared" si="537"/>
        <v/>
      </c>
      <c r="AJ1198" s="214" t="str">
        <f t="shared" si="538"/>
        <v/>
      </c>
      <c r="AK1198" s="214" t="str">
        <f t="shared" si="539"/>
        <v/>
      </c>
      <c r="AL1198" s="214" t="str">
        <f t="shared" si="540"/>
        <v/>
      </c>
      <c r="AM1198" s="214" t="str">
        <f t="shared" si="541"/>
        <v/>
      </c>
      <c r="AN1198" s="213" t="str">
        <f t="shared" si="523"/>
        <v/>
      </c>
      <c r="AO1198" s="213" t="str">
        <f t="shared" si="524"/>
        <v/>
      </c>
      <c r="AP1198" s="213" t="str">
        <f t="shared" si="525"/>
        <v/>
      </c>
      <c r="AQ1198" s="215" t="str">
        <f t="shared" si="526"/>
        <v/>
      </c>
      <c r="AR1198" s="216" t="str">
        <f t="shared" si="527"/>
        <v>BiK82LbK09--05</v>
      </c>
      <c r="AS1198" s="215" t="str">
        <f t="shared" si="528"/>
        <v/>
      </c>
      <c r="AT1198">
        <f t="shared" si="529"/>
        <v>14</v>
      </c>
      <c r="AU1198" s="216" t="str">
        <f t="shared" si="530"/>
        <v>0,15-0,5 MW, Bonusregeln L, b und K erstmals 2009</v>
      </c>
      <c r="AV1198" s="215" t="str">
        <f t="shared" si="531"/>
        <v/>
      </c>
      <c r="AW1198" s="216" t="str">
        <f t="shared" si="532"/>
        <v>Anteil KWK, erstmals 2009</v>
      </c>
      <c r="AX1198" s="215" t="str">
        <f t="shared" si="533"/>
        <v/>
      </c>
      <c r="AY1198" t="str">
        <f t="shared" si="534"/>
        <v/>
      </c>
      <c r="AZ1198" t="str">
        <f t="shared" si="535"/>
        <v/>
      </c>
    </row>
    <row r="1199" spans="1:52" x14ac:dyDescent="0.25">
      <c r="A1199" s="610" t="s">
        <v>3612</v>
      </c>
      <c r="B1199" s="30" t="s">
        <v>5548</v>
      </c>
      <c r="C1199" s="30" t="s">
        <v>1288</v>
      </c>
      <c r="D1199" s="30" t="s">
        <v>7190</v>
      </c>
      <c r="E1199" s="30" t="s">
        <v>3567</v>
      </c>
      <c r="F1199" s="454">
        <f t="shared" si="542"/>
        <v>23.72</v>
      </c>
      <c r="G1199" s="529">
        <v>23.72</v>
      </c>
      <c r="H1199" s="487">
        <f t="shared" si="543"/>
        <v>18.98</v>
      </c>
      <c r="I1199" s="706"/>
      <c r="J1199" s="669" t="s">
        <v>5805</v>
      </c>
      <c r="K1199" s="15"/>
      <c r="M1199" s="49">
        <f t="shared" si="544"/>
        <v>23.72</v>
      </c>
      <c r="N1199" s="41">
        <v>9.75</v>
      </c>
      <c r="O1199" s="186"/>
      <c r="P1199" s="177"/>
      <c r="Q1199" s="178"/>
      <c r="R1199" s="178" t="s">
        <v>1017</v>
      </c>
      <c r="S1199" s="178" t="s">
        <v>4180</v>
      </c>
      <c r="T1199" t="s">
        <v>4180</v>
      </c>
      <c r="U1199" s="179"/>
      <c r="V1199" s="178"/>
      <c r="W1199" s="180"/>
      <c r="X1199" s="180"/>
      <c r="Y1199" s="178"/>
      <c r="Z1199" s="180"/>
      <c r="AA1199" s="184"/>
      <c r="AB1199" s="178" t="s">
        <v>1017</v>
      </c>
      <c r="AC1199" s="180"/>
      <c r="AD1199" s="182"/>
      <c r="AE1199" s="181" t="s">
        <v>1017</v>
      </c>
      <c r="AF1199" s="180"/>
      <c r="AG1199" s="201"/>
      <c r="AH1199" s="212" t="str">
        <f t="shared" si="552"/>
        <v>2010</v>
      </c>
      <c r="AI1199" s="214" t="str">
        <f t="shared" si="537"/>
        <v/>
      </c>
      <c r="AJ1199" s="214" t="str">
        <f t="shared" si="538"/>
        <v/>
      </c>
      <c r="AK1199" s="214" t="str">
        <f t="shared" si="539"/>
        <v/>
      </c>
      <c r="AL1199" s="214" t="str">
        <f t="shared" si="540"/>
        <v/>
      </c>
      <c r="AM1199" s="214" t="str">
        <f t="shared" si="541"/>
        <v/>
      </c>
      <c r="AN1199" s="213" t="str">
        <f t="shared" si="523"/>
        <v>2010</v>
      </c>
      <c r="AO1199" s="213" t="str">
        <f t="shared" si="524"/>
        <v>2010</v>
      </c>
      <c r="AP1199" s="213" t="str">
        <f t="shared" si="525"/>
        <v>2010</v>
      </c>
      <c r="AQ1199" s="215" t="str">
        <f t="shared" si="526"/>
        <v/>
      </c>
      <c r="AR1199" s="216" t="str">
        <f t="shared" si="527"/>
        <v>BiK82LbK10--05</v>
      </c>
      <c r="AS1199" s="215" t="str">
        <f t="shared" si="528"/>
        <v/>
      </c>
      <c r="AT1199">
        <f t="shared" si="529"/>
        <v>14</v>
      </c>
      <c r="AU1199" s="216" t="str">
        <f t="shared" si="530"/>
        <v>0,15-0,5 MW, Bonusregeln L, b und K erstmals 2010</v>
      </c>
      <c r="AV1199" s="215" t="str">
        <f t="shared" si="531"/>
        <v/>
      </c>
      <c r="AW1199" s="216" t="str">
        <f t="shared" si="532"/>
        <v>Anteil KWK, erstmals 2010</v>
      </c>
      <c r="AX1199" s="215" t="str">
        <f t="shared" si="533"/>
        <v/>
      </c>
      <c r="AY1199" t="str">
        <f t="shared" si="534"/>
        <v/>
      </c>
      <c r="AZ1199" t="str">
        <f t="shared" si="535"/>
        <v/>
      </c>
    </row>
    <row r="1200" spans="1:52" x14ac:dyDescent="0.25">
      <c r="A1200" s="610" t="s">
        <v>5343</v>
      </c>
      <c r="B1200" s="30" t="s">
        <v>5548</v>
      </c>
      <c r="C1200" s="30" t="s">
        <v>1288</v>
      </c>
      <c r="D1200" s="30" t="s">
        <v>7191</v>
      </c>
      <c r="E1200" s="30" t="s">
        <v>3055</v>
      </c>
      <c r="F1200" s="454">
        <f t="shared" si="542"/>
        <v>23.689999999999998</v>
      </c>
      <c r="G1200" s="529">
        <v>23.689999999999998</v>
      </c>
      <c r="H1200" s="487">
        <f t="shared" si="543"/>
        <v>18.95</v>
      </c>
      <c r="I1200" s="706"/>
      <c r="J1200" s="669" t="s">
        <v>5805</v>
      </c>
      <c r="K1200" s="15"/>
      <c r="M1200" s="49">
        <f t="shared" si="544"/>
        <v>23.689999999999998</v>
      </c>
      <c r="N1200" s="41">
        <v>9.75</v>
      </c>
      <c r="O1200" s="186"/>
      <c r="P1200" s="177"/>
      <c r="Q1200" s="178"/>
      <c r="R1200" s="178"/>
      <c r="S1200" s="178" t="s">
        <v>1017</v>
      </c>
      <c r="T1200" t="s">
        <v>4180</v>
      </c>
      <c r="U1200" s="179"/>
      <c r="V1200" s="178"/>
      <c r="W1200" s="180"/>
      <c r="X1200" s="180"/>
      <c r="Y1200" s="178"/>
      <c r="Z1200" s="180"/>
      <c r="AA1200" s="184"/>
      <c r="AB1200" s="178" t="s">
        <v>1017</v>
      </c>
      <c r="AC1200" s="180"/>
      <c r="AD1200" s="182"/>
      <c r="AE1200" s="181" t="s">
        <v>1017</v>
      </c>
      <c r="AF1200" s="180"/>
      <c r="AG1200" s="201"/>
      <c r="AH1200" s="212" t="str">
        <f t="shared" si="552"/>
        <v>2011</v>
      </c>
      <c r="AI1200" s="214" t="str">
        <f t="shared" si="537"/>
        <v/>
      </c>
      <c r="AJ1200" s="214" t="str">
        <f t="shared" si="538"/>
        <v/>
      </c>
      <c r="AK1200" s="214" t="str">
        <f t="shared" si="539"/>
        <v/>
      </c>
      <c r="AL1200" s="214" t="str">
        <f t="shared" si="540"/>
        <v/>
      </c>
      <c r="AM1200" s="214" t="str">
        <f t="shared" si="541"/>
        <v/>
      </c>
      <c r="AN1200" s="213" t="str">
        <f t="shared" si="523"/>
        <v>2011</v>
      </c>
      <c r="AO1200" s="213" t="str">
        <f t="shared" si="524"/>
        <v>2011</v>
      </c>
      <c r="AP1200" s="213" t="str">
        <f t="shared" si="525"/>
        <v>2011</v>
      </c>
      <c r="AQ1200" s="215" t="str">
        <f t="shared" si="526"/>
        <v/>
      </c>
      <c r="AR1200" s="216" t="str">
        <f t="shared" si="527"/>
        <v>BiK82LbK11--05</v>
      </c>
      <c r="AS1200" s="215" t="str">
        <f t="shared" si="528"/>
        <v/>
      </c>
      <c r="AT1200">
        <f t="shared" si="529"/>
        <v>14</v>
      </c>
      <c r="AU1200" s="216" t="str">
        <f t="shared" si="530"/>
        <v>0,15-0,5 MW, Bonusregeln L, b und K erstmals 2011</v>
      </c>
      <c r="AV1200" s="215" t="str">
        <f t="shared" si="531"/>
        <v/>
      </c>
      <c r="AW1200" s="216" t="str">
        <f t="shared" si="532"/>
        <v>Anteil KWK, erstmals 2011</v>
      </c>
      <c r="AX1200" s="215" t="str">
        <f t="shared" si="533"/>
        <v/>
      </c>
      <c r="AY1200" t="str">
        <f t="shared" si="534"/>
        <v>x</v>
      </c>
      <c r="AZ1200" t="str">
        <f t="shared" si="535"/>
        <v/>
      </c>
    </row>
    <row r="1201" spans="1:52" x14ac:dyDescent="0.25">
      <c r="A1201" s="625" t="s">
        <v>1593</v>
      </c>
      <c r="B1201" s="219" t="s">
        <v>5548</v>
      </c>
      <c r="C1201" s="219" t="s">
        <v>1288</v>
      </c>
      <c r="D1201" s="219" t="s">
        <v>7192</v>
      </c>
      <c r="E1201" s="219" t="s">
        <v>1980</v>
      </c>
      <c r="F1201" s="455">
        <f t="shared" si="542"/>
        <v>23.66</v>
      </c>
      <c r="G1201" s="530">
        <v>23.66</v>
      </c>
      <c r="H1201" s="488">
        <f t="shared" si="543"/>
        <v>18.93</v>
      </c>
      <c r="I1201" s="707"/>
      <c r="J1201" s="669" t="s">
        <v>5805</v>
      </c>
      <c r="K1201" s="15"/>
      <c r="M1201" s="49">
        <f t="shared" si="544"/>
        <v>23.66</v>
      </c>
      <c r="N1201" s="41">
        <v>9.75</v>
      </c>
      <c r="O1201" s="186"/>
      <c r="P1201" s="177"/>
      <c r="Q1201" s="178"/>
      <c r="R1201" s="178"/>
      <c r="S1201" s="178" t="s">
        <v>4180</v>
      </c>
      <c r="T1201" t="s">
        <v>1017</v>
      </c>
      <c r="U1201" s="179"/>
      <c r="V1201" s="178"/>
      <c r="W1201" s="180"/>
      <c r="X1201" s="180"/>
      <c r="Y1201" s="178"/>
      <c r="Z1201" s="180"/>
      <c r="AA1201" s="184"/>
      <c r="AB1201" s="178" t="s">
        <v>1017</v>
      </c>
      <c r="AC1201" s="180"/>
      <c r="AD1201" s="182"/>
      <c r="AE1201" s="181" t="s">
        <v>1017</v>
      </c>
      <c r="AF1201" s="180"/>
      <c r="AG1201" s="201"/>
      <c r="AH1201" s="217" t="s">
        <v>4179</v>
      </c>
      <c r="AI1201" s="214" t="str">
        <f t="shared" si="537"/>
        <v/>
      </c>
      <c r="AJ1201" s="214" t="str">
        <f t="shared" si="538"/>
        <v/>
      </c>
      <c r="AK1201" s="214" t="str">
        <f t="shared" si="539"/>
        <v/>
      </c>
      <c r="AL1201" s="214" t="str">
        <f t="shared" si="540"/>
        <v/>
      </c>
      <c r="AM1201" s="214" t="str">
        <f t="shared" si="541"/>
        <v/>
      </c>
      <c r="AN1201" s="213" t="str">
        <f t="shared" si="523"/>
        <v>2012</v>
      </c>
      <c r="AO1201" s="213" t="str">
        <f t="shared" si="524"/>
        <v>2012</v>
      </c>
      <c r="AP1201" s="213" t="str">
        <f t="shared" si="525"/>
        <v>2012</v>
      </c>
      <c r="AQ1201" s="215" t="str">
        <f t="shared" si="526"/>
        <v/>
      </c>
      <c r="AR1201" s="216" t="str">
        <f t="shared" si="527"/>
        <v>BiK82LbK12--05</v>
      </c>
      <c r="AS1201" s="215" t="str">
        <f t="shared" si="528"/>
        <v/>
      </c>
      <c r="AT1201">
        <f t="shared" si="529"/>
        <v>14</v>
      </c>
      <c r="AU1201" s="216" t="str">
        <f t="shared" si="530"/>
        <v>0,15-0,5 MW, Bonusregeln L, b und K erstmals 2012</v>
      </c>
      <c r="AV1201" s="215" t="str">
        <f t="shared" si="531"/>
        <v/>
      </c>
      <c r="AW1201" s="216" t="str">
        <f t="shared" si="532"/>
        <v>Anteil KWK, erstmals 2012</v>
      </c>
      <c r="AX1201" s="215" t="str">
        <f t="shared" si="533"/>
        <v/>
      </c>
      <c r="AY1201" t="str">
        <f t="shared" si="534"/>
        <v/>
      </c>
      <c r="AZ1201" t="str">
        <f t="shared" si="535"/>
        <v>x</v>
      </c>
    </row>
    <row r="1202" spans="1:52" x14ac:dyDescent="0.25">
      <c r="A1202" s="610" t="s">
        <v>2498</v>
      </c>
      <c r="B1202" s="30" t="s">
        <v>5548</v>
      </c>
      <c r="C1202" s="30" t="s">
        <v>1288</v>
      </c>
      <c r="D1202" s="30" t="s">
        <v>7193</v>
      </c>
      <c r="E1202" s="30" t="s">
        <v>4810</v>
      </c>
      <c r="F1202" s="454">
        <f t="shared" si="542"/>
        <v>21.75</v>
      </c>
      <c r="G1202" s="529">
        <v>21.75</v>
      </c>
      <c r="H1202" s="487">
        <f t="shared" si="543"/>
        <v>17.399999999999999</v>
      </c>
      <c r="I1202" s="706"/>
      <c r="J1202" s="669" t="s">
        <v>5805</v>
      </c>
      <c r="K1202" s="15"/>
      <c r="M1202" s="49">
        <f t="shared" si="544"/>
        <v>21.75</v>
      </c>
      <c r="N1202" s="41">
        <v>9.75</v>
      </c>
      <c r="O1202" s="187"/>
      <c r="P1202" s="183"/>
      <c r="Q1202" s="184"/>
      <c r="R1202" s="184"/>
      <c r="S1202" s="184" t="s">
        <v>4180</v>
      </c>
      <c r="T1202" t="s">
        <v>4180</v>
      </c>
      <c r="U1202" s="185" t="s">
        <v>1017</v>
      </c>
      <c r="V1202" s="184"/>
      <c r="W1202" s="180"/>
      <c r="X1202" s="180"/>
      <c r="Y1202" s="178"/>
      <c r="Z1202" s="180"/>
      <c r="AA1202" s="184"/>
      <c r="AB1202" s="184" t="s">
        <v>1017</v>
      </c>
      <c r="AC1202" s="180"/>
      <c r="AD1202" s="182"/>
      <c r="AE1202" s="181" t="s">
        <v>1017</v>
      </c>
      <c r="AF1202" s="180"/>
      <c r="AG1202" s="201"/>
      <c r="AH1202" s="212" t="str">
        <f t="shared" ref="AH1202:AH1207" si="553">IF(ISERROR(SEARCH("K erstmals 201",D1202)),"",RIGHT(D1202,4))</f>
        <v/>
      </c>
      <c r="AI1202" s="214" t="str">
        <f t="shared" si="537"/>
        <v/>
      </c>
      <c r="AJ1202" s="214" t="str">
        <f t="shared" si="538"/>
        <v/>
      </c>
      <c r="AK1202" s="214" t="str">
        <f t="shared" si="539"/>
        <v/>
      </c>
      <c r="AL1202" s="214" t="str">
        <f t="shared" si="540"/>
        <v/>
      </c>
      <c r="AM1202" s="214" t="str">
        <f t="shared" si="541"/>
        <v/>
      </c>
      <c r="AN1202" s="213" t="str">
        <f t="shared" ref="AN1202:AN1265" si="554">IF(ISERROR(SEARCH("K1",A1202)),"","20"&amp;MID(A1202,SEARCH("K1",A1202)+1,2))</f>
        <v/>
      </c>
      <c r="AO1202" s="213" t="str">
        <f t="shared" ref="AO1202:AO1265" si="555">IF(ISERROR(SEARCH("erstmals 201",E1202)),"",MID(E1202,SEARCH("erstmals ",E1202)+9,4))</f>
        <v/>
      </c>
      <c r="AP1202" s="213" t="str">
        <f t="shared" ref="AP1202:AP1265" si="556">IF(R1202="x","2010",IF(S1202="x","2011",IF(T1202="x","2012","")))</f>
        <v/>
      </c>
      <c r="AQ1202" s="215" t="str">
        <f t="shared" ref="AQ1202:AQ1265" si="557">IF(OR(AH1202&lt;&gt;AN1202,AH1202&lt;&gt;AO1202,AH1202&lt;&gt;AP1202),"DIFF","")</f>
        <v/>
      </c>
      <c r="AR1202" s="216" t="str">
        <f t="shared" ref="AR1202:AR1265" si="558">IF(A1202="","",IF(ISERROR(SEARCH("K1",A1202)),A1202,LEFT(A1202,SEARCH("K1",A1202)+1)&amp;RIGHT(AH1202,1)&amp;MID(A1202,SEARCH("K1",A1202)+3,14)))</f>
        <v>BiK82Lby----05</v>
      </c>
      <c r="AS1202" s="215" t="str">
        <f t="shared" ref="AS1202:AS1265" si="559">IF(OR(A1202&lt;&gt;AR1202),"DIFF","")</f>
        <v/>
      </c>
      <c r="AT1202">
        <f t="shared" ref="AT1202:AT1265" si="560">LEN(AR1202)</f>
        <v>14</v>
      </c>
      <c r="AU1202" s="216" t="str">
        <f t="shared" ref="AU1202:AU1265" si="561">IF(D1202="","",IF(OR(A1202="",ISERROR(SEARCH("erstmals 201",D1202))),D1202,LEFT(D1202,SEARCH("erstmals 201",D1202)+8) &amp; AH1202 &amp; MID(D1202,SEARCH("erstmals 201",D1202)+13,255)))</f>
        <v>0,15-0,5 MW, Bonusregeln L, y, b</v>
      </c>
      <c r="AV1202" s="215" t="str">
        <f t="shared" ref="AV1202:AV1265" si="562">IF(OR(D1202&lt;&gt;AU1202),"DIFF","")</f>
        <v/>
      </c>
      <c r="AW1202" s="216" t="str">
        <f t="shared" ref="AW1202:AW1265" si="563">IF(E1202="","",IF(OR(E1202="",ISERROR(SEARCH("erstmals 201",E1202))),E1202,LEFT(E1202,SEARCH("erstmals 201",E1202)+8) &amp; AH1202 &amp; MID(E1202,SEARCH("erstmals 201",E1202)+13,255)))</f>
        <v>Anteil Nicht-KWK</v>
      </c>
      <c r="AX1202" s="215" t="str">
        <f t="shared" ref="AX1202:AX1265" si="564">IF(OR(E1202&lt;&gt;AW1202),"DIFF","")</f>
        <v/>
      </c>
      <c r="AY1202" t="str">
        <f t="shared" ref="AY1202:AY1265" si="565">IF(AH1202="2011","x",IF(AH1202="2012","","" &amp; S1202))</f>
        <v/>
      </c>
      <c r="AZ1202" t="str">
        <f t="shared" ref="AZ1202:AZ1265" si="566">IF(AH1202="2012","x",IF(AH1202="2011","","" &amp; T1202))</f>
        <v/>
      </c>
    </row>
    <row r="1203" spans="1:52" x14ac:dyDescent="0.25">
      <c r="A1203" s="610" t="s">
        <v>2499</v>
      </c>
      <c r="B1203" s="30" t="s">
        <v>5548</v>
      </c>
      <c r="C1203" s="30" t="s">
        <v>1288</v>
      </c>
      <c r="D1203" s="30" t="s">
        <v>7194</v>
      </c>
      <c r="E1203" s="30" t="s">
        <v>4812</v>
      </c>
      <c r="F1203" s="454">
        <f t="shared" si="542"/>
        <v>23.75</v>
      </c>
      <c r="G1203" s="529">
        <v>23.75</v>
      </c>
      <c r="H1203" s="487">
        <f t="shared" si="543"/>
        <v>19</v>
      </c>
      <c r="I1203" s="706"/>
      <c r="J1203" s="669" t="s">
        <v>5805</v>
      </c>
      <c r="K1203" s="15"/>
      <c r="M1203" s="49">
        <f t="shared" si="544"/>
        <v>23.75</v>
      </c>
      <c r="N1203" s="41">
        <v>9.75</v>
      </c>
      <c r="O1203" s="187" t="s">
        <v>1017</v>
      </c>
      <c r="P1203" s="183"/>
      <c r="Q1203" s="184"/>
      <c r="R1203" s="184"/>
      <c r="S1203" s="184" t="s">
        <v>4180</v>
      </c>
      <c r="T1203" t="s">
        <v>4180</v>
      </c>
      <c r="U1203" s="185" t="s">
        <v>1017</v>
      </c>
      <c r="V1203" s="184"/>
      <c r="W1203" s="180"/>
      <c r="X1203" s="180"/>
      <c r="Y1203" s="178"/>
      <c r="Z1203" s="180"/>
      <c r="AA1203" s="184"/>
      <c r="AB1203" s="184" t="s">
        <v>1017</v>
      </c>
      <c r="AC1203" s="180"/>
      <c r="AD1203" s="182"/>
      <c r="AE1203" s="181" t="s">
        <v>1017</v>
      </c>
      <c r="AF1203" s="180"/>
      <c r="AG1203" s="201"/>
      <c r="AH1203" s="212" t="str">
        <f t="shared" si="553"/>
        <v/>
      </c>
      <c r="AI1203" s="214" t="str">
        <f t="shared" ref="AI1203:AI1264" si="567">IF(AND($AH1203&lt;&gt;"",AH1203 =AH1202),"Gleich","")</f>
        <v/>
      </c>
      <c r="AJ1203" s="214" t="str">
        <f t="shared" ref="AJ1203:AJ1264" si="568">IF(AND($AH1203&lt;&gt;"",A1203 =A1202),"Gleich","")</f>
        <v/>
      </c>
      <c r="AK1203" s="214" t="str">
        <f t="shared" ref="AK1203:AK1264" si="569">IF(AND($AH1203&lt;&gt;"",D1203 =D1202),"Gleich","")</f>
        <v/>
      </c>
      <c r="AL1203" s="214" t="str">
        <f t="shared" ref="AL1203:AL1264" si="570">IF(AND($AH1203&lt;&gt;"",E1203 =E1202),"Gleich","")</f>
        <v/>
      </c>
      <c r="AM1203" s="214" t="str">
        <f t="shared" ref="AM1203:AM1264" si="571">IF(AND($AH1203&lt;&gt;"",F1203 =F1202),"Gleich","")</f>
        <v/>
      </c>
      <c r="AN1203" s="213" t="str">
        <f t="shared" si="554"/>
        <v/>
      </c>
      <c r="AO1203" s="213" t="str">
        <f t="shared" si="555"/>
        <v/>
      </c>
      <c r="AP1203" s="213" t="str">
        <f t="shared" si="556"/>
        <v/>
      </c>
      <c r="AQ1203" s="215" t="str">
        <f t="shared" si="557"/>
        <v/>
      </c>
      <c r="AR1203" s="216" t="str">
        <f t="shared" si="558"/>
        <v>BiK82LbKWKy-05</v>
      </c>
      <c r="AS1203" s="215" t="str">
        <f t="shared" si="559"/>
        <v/>
      </c>
      <c r="AT1203">
        <f t="shared" si="560"/>
        <v>14</v>
      </c>
      <c r="AU1203" s="216" t="str">
        <f t="shared" si="561"/>
        <v>0,15-0,5 MW, Bonusregeln L, y, b und KWK</v>
      </c>
      <c r="AV1203" s="215" t="str">
        <f t="shared" si="562"/>
        <v/>
      </c>
      <c r="AW1203" s="216" t="str">
        <f t="shared" si="563"/>
        <v>Anteil KWK</v>
      </c>
      <c r="AX1203" s="215" t="str">
        <f t="shared" si="564"/>
        <v/>
      </c>
      <c r="AY1203" t="str">
        <f t="shared" si="565"/>
        <v/>
      </c>
      <c r="AZ1203" t="str">
        <f t="shared" si="566"/>
        <v/>
      </c>
    </row>
    <row r="1204" spans="1:52" x14ac:dyDescent="0.25">
      <c r="A1204" s="610" t="s">
        <v>2500</v>
      </c>
      <c r="B1204" s="30" t="s">
        <v>5548</v>
      </c>
      <c r="C1204" s="30" t="s">
        <v>1288</v>
      </c>
      <c r="D1204" s="109" t="s">
        <v>7195</v>
      </c>
      <c r="E1204" s="30" t="s">
        <v>4331</v>
      </c>
      <c r="F1204" s="454">
        <f t="shared" si="542"/>
        <v>24.75</v>
      </c>
      <c r="G1204" s="529">
        <v>24.75</v>
      </c>
      <c r="H1204" s="487">
        <f t="shared" si="543"/>
        <v>19.8</v>
      </c>
      <c r="I1204" s="706"/>
      <c r="J1204" s="669" t="s">
        <v>5805</v>
      </c>
      <c r="K1204" s="15"/>
      <c r="M1204" s="49">
        <f t="shared" si="544"/>
        <v>24.75</v>
      </c>
      <c r="N1204" s="41">
        <v>9.75</v>
      </c>
      <c r="O1204" s="187"/>
      <c r="P1204" s="184" t="s">
        <v>1017</v>
      </c>
      <c r="Q1204" s="184"/>
      <c r="R1204" s="184"/>
      <c r="S1204" s="184" t="s">
        <v>4180</v>
      </c>
      <c r="T1204" t="s">
        <v>4180</v>
      </c>
      <c r="U1204" s="185" t="s">
        <v>1017</v>
      </c>
      <c r="V1204" s="184"/>
      <c r="W1204" s="180"/>
      <c r="X1204" s="180"/>
      <c r="Y1204" s="178"/>
      <c r="Z1204" s="180"/>
      <c r="AA1204" s="184"/>
      <c r="AB1204" s="184" t="s">
        <v>1017</v>
      </c>
      <c r="AC1204" s="180"/>
      <c r="AD1204" s="182"/>
      <c r="AE1204" s="181" t="s">
        <v>1017</v>
      </c>
      <c r="AF1204" s="180"/>
      <c r="AG1204" s="201"/>
      <c r="AH1204" s="212" t="str">
        <f t="shared" si="553"/>
        <v/>
      </c>
      <c r="AI1204" s="214" t="str">
        <f t="shared" si="567"/>
        <v/>
      </c>
      <c r="AJ1204" s="214" t="str">
        <f t="shared" si="568"/>
        <v/>
      </c>
      <c r="AK1204" s="214" t="str">
        <f t="shared" si="569"/>
        <v/>
      </c>
      <c r="AL1204" s="214" t="str">
        <f t="shared" si="570"/>
        <v/>
      </c>
      <c r="AM1204" s="214" t="str">
        <f t="shared" si="571"/>
        <v/>
      </c>
      <c r="AN1204" s="213" t="str">
        <f t="shared" si="554"/>
        <v/>
      </c>
      <c r="AO1204" s="213" t="str">
        <f t="shared" si="555"/>
        <v/>
      </c>
      <c r="AP1204" s="213" t="str">
        <f t="shared" si="556"/>
        <v/>
      </c>
      <c r="AQ1204" s="215" t="str">
        <f t="shared" si="557"/>
        <v/>
      </c>
      <c r="AR1204" s="216" t="str">
        <f t="shared" si="558"/>
        <v>BiK82LbKA3y-05</v>
      </c>
      <c r="AS1204" s="215" t="str">
        <f t="shared" si="559"/>
        <v/>
      </c>
      <c r="AT1204">
        <f t="shared" si="560"/>
        <v>14</v>
      </c>
      <c r="AU1204" s="216" t="str">
        <f t="shared" si="561"/>
        <v>0,15-0,5 MW, Bonusregeln L, y, b und K wenn Anlage 3 erfüllt</v>
      </c>
      <c r="AV1204" s="215" t="str">
        <f t="shared" si="562"/>
        <v/>
      </c>
      <c r="AW1204" s="216" t="str">
        <f t="shared" si="563"/>
        <v>Anteil KWK gemäß Anlage 3</v>
      </c>
      <c r="AX1204" s="215" t="str">
        <f t="shared" si="564"/>
        <v/>
      </c>
      <c r="AY1204" t="str">
        <f t="shared" si="565"/>
        <v/>
      </c>
      <c r="AZ1204" t="str">
        <f t="shared" si="566"/>
        <v/>
      </c>
    </row>
    <row r="1205" spans="1:52" x14ac:dyDescent="0.25">
      <c r="A1205" s="610" t="s">
        <v>2501</v>
      </c>
      <c r="B1205" s="30" t="s">
        <v>5548</v>
      </c>
      <c r="C1205" s="30" t="s">
        <v>1288</v>
      </c>
      <c r="D1205" s="30" t="s">
        <v>7196</v>
      </c>
      <c r="E1205" s="30" t="s">
        <v>674</v>
      </c>
      <c r="F1205" s="454">
        <f t="shared" si="542"/>
        <v>24.75</v>
      </c>
      <c r="G1205" s="529">
        <v>24.75</v>
      </c>
      <c r="H1205" s="487">
        <f t="shared" si="543"/>
        <v>19.8</v>
      </c>
      <c r="I1205" s="706"/>
      <c r="J1205" s="669" t="s">
        <v>5805</v>
      </c>
      <c r="K1205" s="15"/>
      <c r="M1205" s="49">
        <f t="shared" si="544"/>
        <v>24.75</v>
      </c>
      <c r="N1205" s="41">
        <v>9.75</v>
      </c>
      <c r="O1205" s="187"/>
      <c r="P1205" s="183"/>
      <c r="Q1205" s="184" t="s">
        <v>1017</v>
      </c>
      <c r="R1205" s="184"/>
      <c r="S1205" s="184" t="s">
        <v>4180</v>
      </c>
      <c r="T1205" t="s">
        <v>4180</v>
      </c>
      <c r="U1205" s="185" t="s">
        <v>1017</v>
      </c>
      <c r="V1205" s="184"/>
      <c r="W1205" s="180"/>
      <c r="X1205" s="180"/>
      <c r="Y1205" s="178"/>
      <c r="Z1205" s="180"/>
      <c r="AA1205" s="184"/>
      <c r="AB1205" s="184" t="s">
        <v>1017</v>
      </c>
      <c r="AC1205" s="180"/>
      <c r="AD1205" s="182"/>
      <c r="AE1205" s="181" t="s">
        <v>1017</v>
      </c>
      <c r="AF1205" s="180"/>
      <c r="AG1205" s="201"/>
      <c r="AH1205" s="212" t="str">
        <f t="shared" si="553"/>
        <v/>
      </c>
      <c r="AI1205" s="214" t="str">
        <f t="shared" si="567"/>
        <v/>
      </c>
      <c r="AJ1205" s="214" t="str">
        <f t="shared" si="568"/>
        <v/>
      </c>
      <c r="AK1205" s="214" t="str">
        <f t="shared" si="569"/>
        <v/>
      </c>
      <c r="AL1205" s="214" t="str">
        <f t="shared" si="570"/>
        <v/>
      </c>
      <c r="AM1205" s="214" t="str">
        <f t="shared" si="571"/>
        <v/>
      </c>
      <c r="AN1205" s="213" t="str">
        <f t="shared" si="554"/>
        <v/>
      </c>
      <c r="AO1205" s="213" t="str">
        <f t="shared" si="555"/>
        <v/>
      </c>
      <c r="AP1205" s="213" t="str">
        <f t="shared" si="556"/>
        <v/>
      </c>
      <c r="AQ1205" s="215" t="str">
        <f t="shared" si="557"/>
        <v/>
      </c>
      <c r="AR1205" s="216" t="str">
        <f t="shared" si="558"/>
        <v>BiK82LbK09y-05</v>
      </c>
      <c r="AS1205" s="215" t="str">
        <f t="shared" si="559"/>
        <v/>
      </c>
      <c r="AT1205">
        <f t="shared" si="560"/>
        <v>14</v>
      </c>
      <c r="AU1205" s="216" t="str">
        <f t="shared" si="561"/>
        <v>0,15-0,5 MW, Bonusregeln L, y, b und K erstmals 2009</v>
      </c>
      <c r="AV1205" s="215" t="str">
        <f t="shared" si="562"/>
        <v/>
      </c>
      <c r="AW1205" s="216" t="str">
        <f t="shared" si="563"/>
        <v>Anteil KWK, erstmals 2009</v>
      </c>
      <c r="AX1205" s="215" t="str">
        <f t="shared" si="564"/>
        <v/>
      </c>
      <c r="AY1205" t="str">
        <f t="shared" si="565"/>
        <v/>
      </c>
      <c r="AZ1205" t="str">
        <f t="shared" si="566"/>
        <v/>
      </c>
    </row>
    <row r="1206" spans="1:52" x14ac:dyDescent="0.25">
      <c r="A1206" s="610" t="s">
        <v>3613</v>
      </c>
      <c r="B1206" s="30" t="s">
        <v>5548</v>
      </c>
      <c r="C1206" s="30" t="s">
        <v>1288</v>
      </c>
      <c r="D1206" s="30" t="s">
        <v>7197</v>
      </c>
      <c r="E1206" s="30" t="s">
        <v>3567</v>
      </c>
      <c r="F1206" s="454">
        <f t="shared" si="542"/>
        <v>24.72</v>
      </c>
      <c r="G1206" s="529">
        <v>24.72</v>
      </c>
      <c r="H1206" s="487">
        <f t="shared" si="543"/>
        <v>19.78</v>
      </c>
      <c r="I1206" s="706"/>
      <c r="J1206" s="669" t="s">
        <v>5805</v>
      </c>
      <c r="K1206" s="15"/>
      <c r="M1206" s="49">
        <f t="shared" si="544"/>
        <v>24.72</v>
      </c>
      <c r="N1206" s="41">
        <v>9.75</v>
      </c>
      <c r="O1206" s="187"/>
      <c r="P1206" s="183"/>
      <c r="Q1206" s="184"/>
      <c r="R1206" s="184" t="s">
        <v>1017</v>
      </c>
      <c r="S1206" s="184" t="s">
        <v>4180</v>
      </c>
      <c r="T1206" t="s">
        <v>4180</v>
      </c>
      <c r="U1206" s="185" t="s">
        <v>1017</v>
      </c>
      <c r="V1206" s="184"/>
      <c r="W1206" s="180"/>
      <c r="X1206" s="180"/>
      <c r="Y1206" s="178"/>
      <c r="Z1206" s="180"/>
      <c r="AA1206" s="184"/>
      <c r="AB1206" s="184" t="s">
        <v>1017</v>
      </c>
      <c r="AC1206" s="180"/>
      <c r="AD1206" s="182"/>
      <c r="AE1206" s="181" t="s">
        <v>1017</v>
      </c>
      <c r="AF1206" s="180"/>
      <c r="AG1206" s="201"/>
      <c r="AH1206" s="212" t="str">
        <f t="shared" si="553"/>
        <v>2010</v>
      </c>
      <c r="AI1206" s="214" t="str">
        <f t="shared" si="567"/>
        <v/>
      </c>
      <c r="AJ1206" s="214" t="str">
        <f t="shared" si="568"/>
        <v/>
      </c>
      <c r="AK1206" s="214" t="str">
        <f t="shared" si="569"/>
        <v/>
      </c>
      <c r="AL1206" s="214" t="str">
        <f t="shared" si="570"/>
        <v/>
      </c>
      <c r="AM1206" s="214" t="str">
        <f t="shared" si="571"/>
        <v/>
      </c>
      <c r="AN1206" s="213" t="str">
        <f t="shared" si="554"/>
        <v>2010</v>
      </c>
      <c r="AO1206" s="213" t="str">
        <f t="shared" si="555"/>
        <v>2010</v>
      </c>
      <c r="AP1206" s="213" t="str">
        <f t="shared" si="556"/>
        <v>2010</v>
      </c>
      <c r="AQ1206" s="215" t="str">
        <f t="shared" si="557"/>
        <v/>
      </c>
      <c r="AR1206" s="216" t="str">
        <f t="shared" si="558"/>
        <v>BiK82LbK10y-05</v>
      </c>
      <c r="AS1206" s="215" t="str">
        <f t="shared" si="559"/>
        <v/>
      </c>
      <c r="AT1206">
        <f t="shared" si="560"/>
        <v>14</v>
      </c>
      <c r="AU1206" s="216" t="str">
        <f t="shared" si="561"/>
        <v>0,15-0,5 MW, Bonusregeln L, y, b und K erstmals 2010</v>
      </c>
      <c r="AV1206" s="215" t="str">
        <f t="shared" si="562"/>
        <v/>
      </c>
      <c r="AW1206" s="216" t="str">
        <f t="shared" si="563"/>
        <v>Anteil KWK, erstmals 2010</v>
      </c>
      <c r="AX1206" s="215" t="str">
        <f t="shared" si="564"/>
        <v/>
      </c>
      <c r="AY1206" t="str">
        <f t="shared" si="565"/>
        <v/>
      </c>
      <c r="AZ1206" t="str">
        <f t="shared" si="566"/>
        <v/>
      </c>
    </row>
    <row r="1207" spans="1:52" x14ac:dyDescent="0.25">
      <c r="A1207" s="610" t="s">
        <v>5344</v>
      </c>
      <c r="B1207" s="30" t="s">
        <v>5548</v>
      </c>
      <c r="C1207" s="30" t="s">
        <v>1288</v>
      </c>
      <c r="D1207" s="30" t="s">
        <v>7198</v>
      </c>
      <c r="E1207" s="30" t="s">
        <v>3055</v>
      </c>
      <c r="F1207" s="454">
        <f t="shared" ref="F1207:F1264" si="572">M1207</f>
        <v>24.689999999999998</v>
      </c>
      <c r="G1207" s="529">
        <v>24.689999999999998</v>
      </c>
      <c r="H1207" s="487">
        <f t="shared" ref="H1207:H1270" si="573">IF(ISNUMBER(G1207),ROUND(0.8*G1207,2),"")</f>
        <v>19.75</v>
      </c>
      <c r="I1207" s="706"/>
      <c r="J1207" s="669" t="s">
        <v>5805</v>
      </c>
      <c r="K1207" s="15"/>
      <c r="M1207" s="49">
        <f t="shared" ref="M1207:M1264" si="574">N1207+SUMIF(O1207:AG1207,"x",O$886:AG$886)</f>
        <v>24.689999999999998</v>
      </c>
      <c r="N1207" s="41">
        <v>9.75</v>
      </c>
      <c r="O1207" s="187"/>
      <c r="P1207" s="183"/>
      <c r="Q1207" s="184"/>
      <c r="R1207" s="178"/>
      <c r="S1207" s="184" t="s">
        <v>1017</v>
      </c>
      <c r="T1207" t="s">
        <v>4180</v>
      </c>
      <c r="U1207" s="185" t="s">
        <v>1017</v>
      </c>
      <c r="V1207" s="184"/>
      <c r="W1207" s="180"/>
      <c r="X1207" s="180"/>
      <c r="Y1207" s="178"/>
      <c r="Z1207" s="180"/>
      <c r="AA1207" s="184"/>
      <c r="AB1207" s="184" t="s">
        <v>1017</v>
      </c>
      <c r="AC1207" s="180"/>
      <c r="AD1207" s="182"/>
      <c r="AE1207" s="181" t="s">
        <v>1017</v>
      </c>
      <c r="AF1207" s="180"/>
      <c r="AG1207" s="201"/>
      <c r="AH1207" s="212" t="str">
        <f t="shared" si="553"/>
        <v>2011</v>
      </c>
      <c r="AI1207" s="214" t="str">
        <f t="shared" si="567"/>
        <v/>
      </c>
      <c r="AJ1207" s="214" t="str">
        <f t="shared" si="568"/>
        <v/>
      </c>
      <c r="AK1207" s="214" t="str">
        <f t="shared" si="569"/>
        <v/>
      </c>
      <c r="AL1207" s="214" t="str">
        <f t="shared" si="570"/>
        <v/>
      </c>
      <c r="AM1207" s="214" t="str">
        <f t="shared" si="571"/>
        <v/>
      </c>
      <c r="AN1207" s="213" t="str">
        <f t="shared" si="554"/>
        <v>2011</v>
      </c>
      <c r="AO1207" s="213" t="str">
        <f t="shared" si="555"/>
        <v>2011</v>
      </c>
      <c r="AP1207" s="213" t="str">
        <f t="shared" si="556"/>
        <v>2011</v>
      </c>
      <c r="AQ1207" s="215" t="str">
        <f t="shared" si="557"/>
        <v/>
      </c>
      <c r="AR1207" s="216" t="str">
        <f t="shared" si="558"/>
        <v>BiK82LbK11y-05</v>
      </c>
      <c r="AS1207" s="215" t="str">
        <f t="shared" si="559"/>
        <v/>
      </c>
      <c r="AT1207">
        <f t="shared" si="560"/>
        <v>14</v>
      </c>
      <c r="AU1207" s="216" t="str">
        <f t="shared" si="561"/>
        <v>0,15-0,5 MW, Bonusregeln L, y, b und K erstmals 2011</v>
      </c>
      <c r="AV1207" s="215" t="str">
        <f t="shared" si="562"/>
        <v/>
      </c>
      <c r="AW1207" s="216" t="str">
        <f t="shared" si="563"/>
        <v>Anteil KWK, erstmals 2011</v>
      </c>
      <c r="AX1207" s="215" t="str">
        <f t="shared" si="564"/>
        <v/>
      </c>
      <c r="AY1207" t="str">
        <f t="shared" si="565"/>
        <v>x</v>
      </c>
      <c r="AZ1207" t="str">
        <f t="shared" si="566"/>
        <v/>
      </c>
    </row>
    <row r="1208" spans="1:52" x14ac:dyDescent="0.25">
      <c r="A1208" s="625" t="s">
        <v>1594</v>
      </c>
      <c r="B1208" s="219" t="s">
        <v>5548</v>
      </c>
      <c r="C1208" s="219" t="s">
        <v>1288</v>
      </c>
      <c r="D1208" s="219" t="s">
        <v>7199</v>
      </c>
      <c r="E1208" s="219" t="s">
        <v>1980</v>
      </c>
      <c r="F1208" s="455">
        <f t="shared" si="572"/>
        <v>24.66</v>
      </c>
      <c r="G1208" s="530">
        <v>24.66</v>
      </c>
      <c r="H1208" s="488">
        <f t="shared" si="573"/>
        <v>19.73</v>
      </c>
      <c r="I1208" s="707"/>
      <c r="J1208" s="669" t="s">
        <v>5805</v>
      </c>
      <c r="K1208" s="15"/>
      <c r="M1208" s="49">
        <f t="shared" si="574"/>
        <v>24.66</v>
      </c>
      <c r="N1208" s="41">
        <v>9.75</v>
      </c>
      <c r="O1208" s="187"/>
      <c r="P1208" s="183"/>
      <c r="Q1208" s="184"/>
      <c r="R1208" s="178"/>
      <c r="S1208" s="184" t="s">
        <v>4180</v>
      </c>
      <c r="T1208" t="s">
        <v>1017</v>
      </c>
      <c r="U1208" s="185" t="s">
        <v>1017</v>
      </c>
      <c r="V1208" s="184"/>
      <c r="W1208" s="180"/>
      <c r="X1208" s="180"/>
      <c r="Y1208" s="178"/>
      <c r="Z1208" s="180"/>
      <c r="AA1208" s="184"/>
      <c r="AB1208" s="184" t="s">
        <v>1017</v>
      </c>
      <c r="AC1208" s="180"/>
      <c r="AD1208" s="182"/>
      <c r="AE1208" s="181" t="s">
        <v>1017</v>
      </c>
      <c r="AF1208" s="180"/>
      <c r="AG1208" s="201"/>
      <c r="AH1208" s="217" t="s">
        <v>4179</v>
      </c>
      <c r="AI1208" s="214" t="str">
        <f t="shared" si="567"/>
        <v/>
      </c>
      <c r="AJ1208" s="214" t="str">
        <f t="shared" si="568"/>
        <v/>
      </c>
      <c r="AK1208" s="214" t="str">
        <f t="shared" si="569"/>
        <v/>
      </c>
      <c r="AL1208" s="214" t="str">
        <f t="shared" si="570"/>
        <v/>
      </c>
      <c r="AM1208" s="214" t="str">
        <f t="shared" si="571"/>
        <v/>
      </c>
      <c r="AN1208" s="213" t="str">
        <f t="shared" si="554"/>
        <v>2012</v>
      </c>
      <c r="AO1208" s="213" t="str">
        <f t="shared" si="555"/>
        <v>2012</v>
      </c>
      <c r="AP1208" s="213" t="str">
        <f t="shared" si="556"/>
        <v>2012</v>
      </c>
      <c r="AQ1208" s="215" t="str">
        <f t="shared" si="557"/>
        <v/>
      </c>
      <c r="AR1208" s="216" t="str">
        <f t="shared" si="558"/>
        <v>BiK82LbK12y-05</v>
      </c>
      <c r="AS1208" s="215" t="str">
        <f t="shared" si="559"/>
        <v/>
      </c>
      <c r="AT1208">
        <f t="shared" si="560"/>
        <v>14</v>
      </c>
      <c r="AU1208" s="216" t="str">
        <f t="shared" si="561"/>
        <v>0,15-0,5 MW, Bonusregeln L, y, b und K erstmals 2012</v>
      </c>
      <c r="AV1208" s="215" t="str">
        <f t="shared" si="562"/>
        <v/>
      </c>
      <c r="AW1208" s="216" t="str">
        <f t="shared" si="563"/>
        <v>Anteil KWK, erstmals 2012</v>
      </c>
      <c r="AX1208" s="215" t="str">
        <f t="shared" si="564"/>
        <v/>
      </c>
      <c r="AY1208" t="str">
        <f t="shared" si="565"/>
        <v/>
      </c>
      <c r="AZ1208" t="str">
        <f t="shared" si="566"/>
        <v>x</v>
      </c>
    </row>
    <row r="1209" spans="1:52" x14ac:dyDescent="0.25">
      <c r="A1209" s="610" t="s">
        <v>4412</v>
      </c>
      <c r="B1209" s="30" t="s">
        <v>5548</v>
      </c>
      <c r="C1209" s="30" t="s">
        <v>1288</v>
      </c>
      <c r="D1209" s="30" t="s">
        <v>7200</v>
      </c>
      <c r="E1209" s="30" t="s">
        <v>4810</v>
      </c>
      <c r="F1209" s="454">
        <f t="shared" si="572"/>
        <v>21.75</v>
      </c>
      <c r="G1209" s="529">
        <v>21.75</v>
      </c>
      <c r="H1209" s="487">
        <f t="shared" si="573"/>
        <v>17.399999999999999</v>
      </c>
      <c r="I1209" s="706"/>
      <c r="J1209" s="669" t="s">
        <v>5805</v>
      </c>
      <c r="K1209" s="15"/>
      <c r="M1209" s="49">
        <f t="shared" si="574"/>
        <v>21.75</v>
      </c>
      <c r="N1209" s="41">
        <v>9.75</v>
      </c>
      <c r="O1209" s="186"/>
      <c r="P1209" s="177"/>
      <c r="Q1209" s="178"/>
      <c r="R1209" s="178"/>
      <c r="S1209" s="178" t="s">
        <v>4180</v>
      </c>
      <c r="T1209" t="s">
        <v>4180</v>
      </c>
      <c r="U1209" s="179"/>
      <c r="V1209" s="178"/>
      <c r="W1209" s="180"/>
      <c r="X1209" s="180"/>
      <c r="Y1209" s="178"/>
      <c r="Z1209" s="180"/>
      <c r="AA1209" s="184"/>
      <c r="AB1209" s="178"/>
      <c r="AC1209" s="180"/>
      <c r="AD1209" s="182" t="s">
        <v>1017</v>
      </c>
      <c r="AE1209" s="181" t="s">
        <v>1017</v>
      </c>
      <c r="AF1209" s="180"/>
      <c r="AG1209" s="201"/>
      <c r="AH1209" s="212" t="str">
        <f t="shared" ref="AH1209:AH1214" si="575">IF(ISERROR(SEARCH("K erstmals 201",D1209)),"",RIGHT(D1209,4))</f>
        <v/>
      </c>
      <c r="AI1209" s="214" t="str">
        <f t="shared" si="567"/>
        <v/>
      </c>
      <c r="AJ1209" s="214" t="str">
        <f t="shared" si="568"/>
        <v/>
      </c>
      <c r="AK1209" s="214" t="str">
        <f t="shared" si="569"/>
        <v/>
      </c>
      <c r="AL1209" s="214" t="str">
        <f t="shared" si="570"/>
        <v/>
      </c>
      <c r="AM1209" s="214" t="str">
        <f t="shared" si="571"/>
        <v/>
      </c>
      <c r="AN1209" s="213" t="str">
        <f t="shared" si="554"/>
        <v/>
      </c>
      <c r="AO1209" s="213" t="str">
        <f t="shared" si="555"/>
        <v/>
      </c>
      <c r="AP1209" s="213" t="str">
        <f t="shared" si="556"/>
        <v/>
      </c>
      <c r="AQ1209" s="215" t="str">
        <f t="shared" si="557"/>
        <v/>
      </c>
      <c r="AR1209" s="216" t="str">
        <f t="shared" si="558"/>
        <v>BiK82X2b----05</v>
      </c>
      <c r="AS1209" s="215" t="str">
        <f t="shared" si="559"/>
        <v/>
      </c>
      <c r="AT1209">
        <f t="shared" si="560"/>
        <v>14</v>
      </c>
      <c r="AU1209" s="216" t="str">
        <f t="shared" si="561"/>
        <v>0,15-0,5 MW, Bonusregeln X2, b</v>
      </c>
      <c r="AV1209" s="215" t="str">
        <f t="shared" si="562"/>
        <v/>
      </c>
      <c r="AW1209" s="216" t="str">
        <f t="shared" si="563"/>
        <v>Anteil Nicht-KWK</v>
      </c>
      <c r="AX1209" s="215" t="str">
        <f t="shared" si="564"/>
        <v/>
      </c>
      <c r="AY1209" t="str">
        <f t="shared" si="565"/>
        <v/>
      </c>
      <c r="AZ1209" t="str">
        <f t="shared" si="566"/>
        <v/>
      </c>
    </row>
    <row r="1210" spans="1:52" x14ac:dyDescent="0.25">
      <c r="A1210" s="610" t="s">
        <v>4413</v>
      </c>
      <c r="B1210" s="30" t="s">
        <v>5548</v>
      </c>
      <c r="C1210" s="30" t="s">
        <v>1288</v>
      </c>
      <c r="D1210" s="30" t="s">
        <v>7201</v>
      </c>
      <c r="E1210" s="30" t="s">
        <v>4812</v>
      </c>
      <c r="F1210" s="454">
        <f t="shared" si="572"/>
        <v>23.75</v>
      </c>
      <c r="G1210" s="529">
        <v>23.75</v>
      </c>
      <c r="H1210" s="487">
        <f t="shared" si="573"/>
        <v>19</v>
      </c>
      <c r="I1210" s="706"/>
      <c r="J1210" s="669" t="s">
        <v>5805</v>
      </c>
      <c r="K1210" s="15"/>
      <c r="M1210" s="49">
        <f t="shared" si="574"/>
        <v>23.75</v>
      </c>
      <c r="N1210" s="41">
        <v>9.75</v>
      </c>
      <c r="O1210" s="186" t="s">
        <v>1017</v>
      </c>
      <c r="P1210" s="177"/>
      <c r="Q1210" s="178"/>
      <c r="R1210" s="178"/>
      <c r="S1210" s="178" t="s">
        <v>4180</v>
      </c>
      <c r="T1210" t="s">
        <v>4180</v>
      </c>
      <c r="U1210" s="179"/>
      <c r="V1210" s="178"/>
      <c r="W1210" s="180"/>
      <c r="X1210" s="180"/>
      <c r="Y1210" s="178"/>
      <c r="Z1210" s="180"/>
      <c r="AA1210" s="184"/>
      <c r="AB1210" s="178"/>
      <c r="AC1210" s="180"/>
      <c r="AD1210" s="182" t="s">
        <v>1017</v>
      </c>
      <c r="AE1210" s="181" t="s">
        <v>1017</v>
      </c>
      <c r="AF1210" s="180"/>
      <c r="AG1210" s="201"/>
      <c r="AH1210" s="212" t="str">
        <f t="shared" si="575"/>
        <v/>
      </c>
      <c r="AI1210" s="214" t="str">
        <f t="shared" si="567"/>
        <v/>
      </c>
      <c r="AJ1210" s="214" t="str">
        <f t="shared" si="568"/>
        <v/>
      </c>
      <c r="AK1210" s="214" t="str">
        <f t="shared" si="569"/>
        <v/>
      </c>
      <c r="AL1210" s="214" t="str">
        <f t="shared" si="570"/>
        <v/>
      </c>
      <c r="AM1210" s="214" t="str">
        <f t="shared" si="571"/>
        <v/>
      </c>
      <c r="AN1210" s="213" t="str">
        <f t="shared" si="554"/>
        <v/>
      </c>
      <c r="AO1210" s="213" t="str">
        <f t="shared" si="555"/>
        <v/>
      </c>
      <c r="AP1210" s="213" t="str">
        <f t="shared" si="556"/>
        <v/>
      </c>
      <c r="AQ1210" s="215" t="str">
        <f t="shared" si="557"/>
        <v/>
      </c>
      <c r="AR1210" s="216" t="str">
        <f t="shared" si="558"/>
        <v>BiK82X2bKWK-05</v>
      </c>
      <c r="AS1210" s="215" t="str">
        <f t="shared" si="559"/>
        <v/>
      </c>
      <c r="AT1210">
        <f t="shared" si="560"/>
        <v>14</v>
      </c>
      <c r="AU1210" s="216" t="str">
        <f t="shared" si="561"/>
        <v>0,15-0,5 MW, Bonusregeln X2, b und KWK</v>
      </c>
      <c r="AV1210" s="215" t="str">
        <f t="shared" si="562"/>
        <v/>
      </c>
      <c r="AW1210" s="216" t="str">
        <f t="shared" si="563"/>
        <v>Anteil KWK</v>
      </c>
      <c r="AX1210" s="215" t="str">
        <f t="shared" si="564"/>
        <v/>
      </c>
      <c r="AY1210" t="str">
        <f t="shared" si="565"/>
        <v/>
      </c>
      <c r="AZ1210" t="str">
        <f t="shared" si="566"/>
        <v/>
      </c>
    </row>
    <row r="1211" spans="1:52" s="178" customFormat="1" x14ac:dyDescent="0.25">
      <c r="A1211" s="610" t="s">
        <v>4414</v>
      </c>
      <c r="B1211" s="30" t="s">
        <v>5548</v>
      </c>
      <c r="C1211" s="30" t="s">
        <v>1288</v>
      </c>
      <c r="D1211" s="30" t="s">
        <v>7202</v>
      </c>
      <c r="E1211" s="30" t="s">
        <v>4331</v>
      </c>
      <c r="F1211" s="454">
        <f t="shared" si="572"/>
        <v>24.75</v>
      </c>
      <c r="G1211" s="529">
        <v>24.75</v>
      </c>
      <c r="H1211" s="487">
        <f t="shared" si="573"/>
        <v>19.8</v>
      </c>
      <c r="I1211" s="706"/>
      <c r="J1211" s="669" t="s">
        <v>5805</v>
      </c>
      <c r="K1211" s="15"/>
      <c r="L1211"/>
      <c r="M1211" s="49">
        <f t="shared" si="574"/>
        <v>24.75</v>
      </c>
      <c r="N1211" s="41">
        <v>9.75</v>
      </c>
      <c r="O1211" s="186"/>
      <c r="P1211" s="178" t="s">
        <v>1017</v>
      </c>
      <c r="S1211" s="178" t="s">
        <v>4180</v>
      </c>
      <c r="T1211" s="178" t="s">
        <v>4180</v>
      </c>
      <c r="U1211" s="179"/>
      <c r="W1211" s="180"/>
      <c r="X1211" s="180"/>
      <c r="Z1211" s="180"/>
      <c r="AA1211" s="184"/>
      <c r="AC1211" s="180"/>
      <c r="AD1211" s="199" t="s">
        <v>1017</v>
      </c>
      <c r="AE1211" s="181" t="s">
        <v>1017</v>
      </c>
      <c r="AF1211" s="180"/>
      <c r="AG1211" s="201"/>
      <c r="AH1211" s="212" t="str">
        <f t="shared" si="575"/>
        <v/>
      </c>
      <c r="AI1211" s="214" t="str">
        <f t="shared" si="567"/>
        <v/>
      </c>
      <c r="AJ1211" s="214" t="str">
        <f t="shared" si="568"/>
        <v/>
      </c>
      <c r="AK1211" s="214" t="str">
        <f t="shared" si="569"/>
        <v/>
      </c>
      <c r="AL1211" s="214" t="str">
        <f t="shared" si="570"/>
        <v/>
      </c>
      <c r="AM1211" s="214" t="str">
        <f t="shared" si="571"/>
        <v/>
      </c>
      <c r="AN1211" s="213" t="str">
        <f t="shared" si="554"/>
        <v/>
      </c>
      <c r="AO1211" s="213" t="str">
        <f t="shared" si="555"/>
        <v/>
      </c>
      <c r="AP1211" s="213" t="str">
        <f t="shared" si="556"/>
        <v/>
      </c>
      <c r="AQ1211" s="215" t="str">
        <f t="shared" si="557"/>
        <v/>
      </c>
      <c r="AR1211" s="216" t="str">
        <f t="shared" si="558"/>
        <v>BiK82X2bKA3-05</v>
      </c>
      <c r="AS1211" s="215" t="str">
        <f t="shared" si="559"/>
        <v/>
      </c>
      <c r="AT1211">
        <f t="shared" si="560"/>
        <v>14</v>
      </c>
      <c r="AU1211" s="216" t="str">
        <f t="shared" si="561"/>
        <v>0,15-0,5 MW, Bonusregeln X2, b und K wenn Anlage 3 erfüllt</v>
      </c>
      <c r="AV1211" s="215" t="str">
        <f t="shared" si="562"/>
        <v/>
      </c>
      <c r="AW1211" s="216" t="str">
        <f t="shared" si="563"/>
        <v>Anteil KWK gemäß Anlage 3</v>
      </c>
      <c r="AX1211" s="215" t="str">
        <f t="shared" si="564"/>
        <v/>
      </c>
      <c r="AY1211" t="str">
        <f t="shared" si="565"/>
        <v/>
      </c>
      <c r="AZ1211" t="str">
        <f t="shared" si="566"/>
        <v/>
      </c>
    </row>
    <row r="1212" spans="1:52" s="178" customFormat="1" x14ac:dyDescent="0.25">
      <c r="A1212" s="610" t="s">
        <v>4415</v>
      </c>
      <c r="B1212" s="30" t="s">
        <v>5548</v>
      </c>
      <c r="C1212" s="30" t="s">
        <v>1288</v>
      </c>
      <c r="D1212" s="30" t="s">
        <v>7203</v>
      </c>
      <c r="E1212" s="30" t="s">
        <v>674</v>
      </c>
      <c r="F1212" s="454">
        <f t="shared" si="572"/>
        <v>24.75</v>
      </c>
      <c r="G1212" s="529">
        <v>24.75</v>
      </c>
      <c r="H1212" s="487">
        <f t="shared" si="573"/>
        <v>19.8</v>
      </c>
      <c r="I1212" s="706"/>
      <c r="J1212" s="669" t="s">
        <v>5805</v>
      </c>
      <c r="K1212" s="15"/>
      <c r="L1212"/>
      <c r="M1212" s="49">
        <f t="shared" si="574"/>
        <v>24.75</v>
      </c>
      <c r="N1212" s="41">
        <v>9.75</v>
      </c>
      <c r="O1212" s="186"/>
      <c r="P1212" s="177"/>
      <c r="Q1212" s="178" t="s">
        <v>1017</v>
      </c>
      <c r="S1212" s="178" t="s">
        <v>4180</v>
      </c>
      <c r="T1212" s="178" t="s">
        <v>4180</v>
      </c>
      <c r="U1212" s="179"/>
      <c r="W1212" s="180"/>
      <c r="X1212" s="180"/>
      <c r="Z1212" s="180"/>
      <c r="AA1212" s="184"/>
      <c r="AC1212" s="180"/>
      <c r="AD1212" s="199" t="s">
        <v>1017</v>
      </c>
      <c r="AE1212" s="181" t="s">
        <v>1017</v>
      </c>
      <c r="AF1212" s="180"/>
      <c r="AG1212" s="201"/>
      <c r="AH1212" s="212" t="str">
        <f t="shared" si="575"/>
        <v/>
      </c>
      <c r="AI1212" s="214" t="str">
        <f t="shared" si="567"/>
        <v/>
      </c>
      <c r="AJ1212" s="214" t="str">
        <f t="shared" si="568"/>
        <v/>
      </c>
      <c r="AK1212" s="214" t="str">
        <f t="shared" si="569"/>
        <v/>
      </c>
      <c r="AL1212" s="214" t="str">
        <f t="shared" si="570"/>
        <v/>
      </c>
      <c r="AM1212" s="214" t="str">
        <f t="shared" si="571"/>
        <v/>
      </c>
      <c r="AN1212" s="213" t="str">
        <f t="shared" si="554"/>
        <v/>
      </c>
      <c r="AO1212" s="213" t="str">
        <f t="shared" si="555"/>
        <v/>
      </c>
      <c r="AP1212" s="213" t="str">
        <f t="shared" si="556"/>
        <v/>
      </c>
      <c r="AQ1212" s="215" t="str">
        <f t="shared" si="557"/>
        <v/>
      </c>
      <c r="AR1212" s="216" t="str">
        <f t="shared" si="558"/>
        <v>BiK82X2bK09-05</v>
      </c>
      <c r="AS1212" s="215" t="str">
        <f t="shared" si="559"/>
        <v/>
      </c>
      <c r="AT1212">
        <f t="shared" si="560"/>
        <v>14</v>
      </c>
      <c r="AU1212" s="216" t="str">
        <f t="shared" si="561"/>
        <v>0,15-0,5 MW, Bonusregeln X2, b und K erstmals 2009</v>
      </c>
      <c r="AV1212" s="215" t="str">
        <f t="shared" si="562"/>
        <v/>
      </c>
      <c r="AW1212" s="216" t="str">
        <f t="shared" si="563"/>
        <v>Anteil KWK, erstmals 2009</v>
      </c>
      <c r="AX1212" s="215" t="str">
        <f t="shared" si="564"/>
        <v/>
      </c>
      <c r="AY1212" t="str">
        <f t="shared" si="565"/>
        <v/>
      </c>
      <c r="AZ1212" t="str">
        <f t="shared" si="566"/>
        <v/>
      </c>
    </row>
    <row r="1213" spans="1:52" s="178" customFormat="1" x14ac:dyDescent="0.25">
      <c r="A1213" s="610" t="s">
        <v>3614</v>
      </c>
      <c r="B1213" s="30" t="s">
        <v>5548</v>
      </c>
      <c r="C1213" s="30" t="s">
        <v>1288</v>
      </c>
      <c r="D1213" s="30" t="s">
        <v>7204</v>
      </c>
      <c r="E1213" s="30" t="s">
        <v>3567</v>
      </c>
      <c r="F1213" s="454">
        <f t="shared" si="572"/>
        <v>24.72</v>
      </c>
      <c r="G1213" s="529">
        <v>24.72</v>
      </c>
      <c r="H1213" s="487">
        <f t="shared" si="573"/>
        <v>19.78</v>
      </c>
      <c r="I1213" s="706"/>
      <c r="J1213" s="669" t="s">
        <v>5805</v>
      </c>
      <c r="K1213" s="15"/>
      <c r="L1213"/>
      <c r="M1213" s="49">
        <f t="shared" si="574"/>
        <v>24.72</v>
      </c>
      <c r="N1213" s="41">
        <v>9.75</v>
      </c>
      <c r="O1213" s="186"/>
      <c r="P1213" s="177"/>
      <c r="R1213" s="178" t="s">
        <v>1017</v>
      </c>
      <c r="S1213" s="178" t="s">
        <v>4180</v>
      </c>
      <c r="T1213" s="178" t="s">
        <v>4180</v>
      </c>
      <c r="U1213" s="179"/>
      <c r="W1213" s="180"/>
      <c r="X1213" s="180"/>
      <c r="Z1213" s="180"/>
      <c r="AA1213" s="184"/>
      <c r="AC1213" s="180"/>
      <c r="AD1213" s="199" t="s">
        <v>1017</v>
      </c>
      <c r="AE1213" s="181" t="s">
        <v>1017</v>
      </c>
      <c r="AF1213" s="180"/>
      <c r="AG1213" s="201"/>
      <c r="AH1213" s="212" t="str">
        <f t="shared" si="575"/>
        <v>2010</v>
      </c>
      <c r="AI1213" s="214" t="str">
        <f t="shared" si="567"/>
        <v/>
      </c>
      <c r="AJ1213" s="214" t="str">
        <f t="shared" si="568"/>
        <v/>
      </c>
      <c r="AK1213" s="214" t="str">
        <f t="shared" si="569"/>
        <v/>
      </c>
      <c r="AL1213" s="214" t="str">
        <f t="shared" si="570"/>
        <v/>
      </c>
      <c r="AM1213" s="214" t="str">
        <f t="shared" si="571"/>
        <v/>
      </c>
      <c r="AN1213" s="213" t="str">
        <f t="shared" si="554"/>
        <v>2010</v>
      </c>
      <c r="AO1213" s="213" t="str">
        <f t="shared" si="555"/>
        <v>2010</v>
      </c>
      <c r="AP1213" s="213" t="str">
        <f t="shared" si="556"/>
        <v>2010</v>
      </c>
      <c r="AQ1213" s="215" t="str">
        <f t="shared" si="557"/>
        <v/>
      </c>
      <c r="AR1213" s="216" t="str">
        <f t="shared" si="558"/>
        <v>BiK82X2bK10-05</v>
      </c>
      <c r="AS1213" s="215" t="str">
        <f t="shared" si="559"/>
        <v/>
      </c>
      <c r="AT1213">
        <f t="shared" si="560"/>
        <v>14</v>
      </c>
      <c r="AU1213" s="216" t="str">
        <f t="shared" si="561"/>
        <v>0,15-0,5 MW, Bonusregeln X2, b und K erstmals 2010</v>
      </c>
      <c r="AV1213" s="215" t="str">
        <f t="shared" si="562"/>
        <v/>
      </c>
      <c r="AW1213" s="216" t="str">
        <f t="shared" si="563"/>
        <v>Anteil KWK, erstmals 2010</v>
      </c>
      <c r="AX1213" s="215" t="str">
        <f t="shared" si="564"/>
        <v/>
      </c>
      <c r="AY1213" t="str">
        <f t="shared" si="565"/>
        <v/>
      </c>
      <c r="AZ1213" t="str">
        <f t="shared" si="566"/>
        <v/>
      </c>
    </row>
    <row r="1214" spans="1:52" s="178" customFormat="1" x14ac:dyDescent="0.25">
      <c r="A1214" s="610" t="s">
        <v>5345</v>
      </c>
      <c r="B1214" s="30" t="s">
        <v>5548</v>
      </c>
      <c r="C1214" s="30" t="s">
        <v>1288</v>
      </c>
      <c r="D1214" s="30" t="s">
        <v>7205</v>
      </c>
      <c r="E1214" s="30" t="s">
        <v>3055</v>
      </c>
      <c r="F1214" s="454">
        <f t="shared" si="572"/>
        <v>24.689999999999998</v>
      </c>
      <c r="G1214" s="529">
        <v>24.689999999999998</v>
      </c>
      <c r="H1214" s="487">
        <f t="shared" si="573"/>
        <v>19.75</v>
      </c>
      <c r="I1214" s="706"/>
      <c r="J1214" s="669" t="s">
        <v>5805</v>
      </c>
      <c r="K1214" s="15"/>
      <c r="L1214"/>
      <c r="M1214" s="49">
        <f t="shared" si="574"/>
        <v>24.689999999999998</v>
      </c>
      <c r="N1214" s="41">
        <v>9.75</v>
      </c>
      <c r="O1214" s="186"/>
      <c r="P1214" s="177"/>
      <c r="S1214" s="178" t="s">
        <v>1017</v>
      </c>
      <c r="T1214" s="178" t="s">
        <v>4180</v>
      </c>
      <c r="U1214" s="179"/>
      <c r="W1214" s="180"/>
      <c r="X1214" s="180"/>
      <c r="Z1214" s="180"/>
      <c r="AA1214" s="184"/>
      <c r="AC1214" s="180"/>
      <c r="AD1214" s="199" t="s">
        <v>1017</v>
      </c>
      <c r="AE1214" s="181" t="s">
        <v>1017</v>
      </c>
      <c r="AF1214" s="180"/>
      <c r="AG1214" s="201"/>
      <c r="AH1214" s="212" t="str">
        <f t="shared" si="575"/>
        <v>2011</v>
      </c>
      <c r="AI1214" s="214" t="str">
        <f t="shared" si="567"/>
        <v/>
      </c>
      <c r="AJ1214" s="214" t="str">
        <f t="shared" si="568"/>
        <v/>
      </c>
      <c r="AK1214" s="214" t="str">
        <f t="shared" si="569"/>
        <v/>
      </c>
      <c r="AL1214" s="214" t="str">
        <f t="shared" si="570"/>
        <v/>
      </c>
      <c r="AM1214" s="214" t="str">
        <f t="shared" si="571"/>
        <v/>
      </c>
      <c r="AN1214" s="213" t="str">
        <f t="shared" si="554"/>
        <v>2011</v>
      </c>
      <c r="AO1214" s="213" t="str">
        <f t="shared" si="555"/>
        <v>2011</v>
      </c>
      <c r="AP1214" s="213" t="str">
        <f t="shared" si="556"/>
        <v>2011</v>
      </c>
      <c r="AQ1214" s="215" t="str">
        <f t="shared" si="557"/>
        <v/>
      </c>
      <c r="AR1214" s="216" t="str">
        <f t="shared" si="558"/>
        <v>BiK82X2bK11-05</v>
      </c>
      <c r="AS1214" s="215" t="str">
        <f t="shared" si="559"/>
        <v/>
      </c>
      <c r="AT1214">
        <f t="shared" si="560"/>
        <v>14</v>
      </c>
      <c r="AU1214" s="216" t="str">
        <f t="shared" si="561"/>
        <v>0,15-0,5 MW, Bonusregeln X2, b und K erstmals 2011</v>
      </c>
      <c r="AV1214" s="215" t="str">
        <f t="shared" si="562"/>
        <v/>
      </c>
      <c r="AW1214" s="216" t="str">
        <f t="shared" si="563"/>
        <v>Anteil KWK, erstmals 2011</v>
      </c>
      <c r="AX1214" s="215" t="str">
        <f t="shared" si="564"/>
        <v/>
      </c>
      <c r="AY1214" t="str">
        <f t="shared" si="565"/>
        <v>x</v>
      </c>
      <c r="AZ1214" t="str">
        <f t="shared" si="566"/>
        <v/>
      </c>
    </row>
    <row r="1215" spans="1:52" s="178" customFormat="1" x14ac:dyDescent="0.25">
      <c r="A1215" s="625" t="s">
        <v>1595</v>
      </c>
      <c r="B1215" s="219" t="s">
        <v>5548</v>
      </c>
      <c r="C1215" s="219" t="s">
        <v>1288</v>
      </c>
      <c r="D1215" s="219" t="s">
        <v>7206</v>
      </c>
      <c r="E1215" s="219" t="s">
        <v>1980</v>
      </c>
      <c r="F1215" s="455">
        <f t="shared" si="572"/>
        <v>24.66</v>
      </c>
      <c r="G1215" s="530">
        <v>24.66</v>
      </c>
      <c r="H1215" s="488">
        <f t="shared" si="573"/>
        <v>19.73</v>
      </c>
      <c r="I1215" s="707"/>
      <c r="J1215" s="669" t="s">
        <v>5805</v>
      </c>
      <c r="K1215" s="15"/>
      <c r="L1215"/>
      <c r="M1215" s="49">
        <f t="shared" si="574"/>
        <v>24.66</v>
      </c>
      <c r="N1215" s="41">
        <v>9.75</v>
      </c>
      <c r="O1215" s="186"/>
      <c r="P1215" s="177"/>
      <c r="S1215" s="178" t="s">
        <v>4180</v>
      </c>
      <c r="T1215" s="178" t="s">
        <v>1017</v>
      </c>
      <c r="U1215" s="179"/>
      <c r="W1215" s="180"/>
      <c r="X1215" s="180"/>
      <c r="Z1215" s="180"/>
      <c r="AA1215" s="184"/>
      <c r="AC1215" s="180"/>
      <c r="AD1215" s="199" t="s">
        <v>1017</v>
      </c>
      <c r="AE1215" s="181" t="s">
        <v>1017</v>
      </c>
      <c r="AF1215" s="180"/>
      <c r="AG1215" s="201"/>
      <c r="AH1215" s="217" t="s">
        <v>4179</v>
      </c>
      <c r="AI1215" s="214" t="str">
        <f t="shared" si="567"/>
        <v/>
      </c>
      <c r="AJ1215" s="214" t="str">
        <f t="shared" si="568"/>
        <v/>
      </c>
      <c r="AK1215" s="214" t="str">
        <f t="shared" si="569"/>
        <v/>
      </c>
      <c r="AL1215" s="214" t="str">
        <f t="shared" si="570"/>
        <v/>
      </c>
      <c r="AM1215" s="214" t="str">
        <f t="shared" si="571"/>
        <v/>
      </c>
      <c r="AN1215" s="213" t="str">
        <f t="shared" si="554"/>
        <v>2012</v>
      </c>
      <c r="AO1215" s="213" t="str">
        <f t="shared" si="555"/>
        <v>2012</v>
      </c>
      <c r="AP1215" s="213" t="str">
        <f t="shared" si="556"/>
        <v>2012</v>
      </c>
      <c r="AQ1215" s="215" t="str">
        <f t="shared" si="557"/>
        <v/>
      </c>
      <c r="AR1215" s="216" t="str">
        <f t="shared" si="558"/>
        <v>BiK82X2bK12-05</v>
      </c>
      <c r="AS1215" s="215" t="str">
        <f t="shared" si="559"/>
        <v/>
      </c>
      <c r="AT1215">
        <f t="shared" si="560"/>
        <v>14</v>
      </c>
      <c r="AU1215" s="216" t="str">
        <f t="shared" si="561"/>
        <v>0,15-0,5 MW, Bonusregeln X2, b und K erstmals 2012</v>
      </c>
      <c r="AV1215" s="215" t="str">
        <f t="shared" si="562"/>
        <v/>
      </c>
      <c r="AW1215" s="216" t="str">
        <f t="shared" si="563"/>
        <v>Anteil KWK, erstmals 2012</v>
      </c>
      <c r="AX1215" s="215" t="str">
        <f t="shared" si="564"/>
        <v/>
      </c>
      <c r="AY1215" t="str">
        <f t="shared" si="565"/>
        <v/>
      </c>
      <c r="AZ1215" t="str">
        <f t="shared" si="566"/>
        <v>x</v>
      </c>
    </row>
    <row r="1216" spans="1:52" s="178" customFormat="1" x14ac:dyDescent="0.25">
      <c r="A1216" s="610" t="s">
        <v>4416</v>
      </c>
      <c r="B1216" s="30" t="s">
        <v>5548</v>
      </c>
      <c r="C1216" s="30" t="s">
        <v>1288</v>
      </c>
      <c r="D1216" s="30" t="s">
        <v>7207</v>
      </c>
      <c r="E1216" s="30" t="s">
        <v>4810</v>
      </c>
      <c r="F1216" s="454">
        <f t="shared" si="572"/>
        <v>22.75</v>
      </c>
      <c r="G1216" s="529">
        <v>22.75</v>
      </c>
      <c r="H1216" s="487">
        <f t="shared" si="573"/>
        <v>18.2</v>
      </c>
      <c r="I1216" s="706"/>
      <c r="J1216" s="669" t="s">
        <v>5805</v>
      </c>
      <c r="K1216" s="15"/>
      <c r="L1216"/>
      <c r="M1216" s="49">
        <f t="shared" si="574"/>
        <v>22.75</v>
      </c>
      <c r="N1216" s="41">
        <v>9.75</v>
      </c>
      <c r="O1216" s="187"/>
      <c r="P1216" s="183"/>
      <c r="Q1216" s="184"/>
      <c r="R1216" s="184"/>
      <c r="S1216" s="184" t="s">
        <v>4180</v>
      </c>
      <c r="T1216" s="178" t="s">
        <v>4180</v>
      </c>
      <c r="U1216" s="185" t="s">
        <v>1017</v>
      </c>
      <c r="V1216" s="184"/>
      <c r="W1216" s="180"/>
      <c r="X1216" s="180"/>
      <c r="Z1216" s="180"/>
      <c r="AA1216" s="184"/>
      <c r="AC1216" s="180"/>
      <c r="AD1216" s="182" t="s">
        <v>1017</v>
      </c>
      <c r="AE1216" s="181" t="s">
        <v>1017</v>
      </c>
      <c r="AF1216" s="180"/>
      <c r="AG1216" s="201"/>
      <c r="AH1216" s="212" t="str">
        <f t="shared" ref="AH1216:AH1221" si="576">IF(ISERROR(SEARCH("K erstmals 201",D1216)),"",RIGHT(D1216,4))</f>
        <v/>
      </c>
      <c r="AI1216" s="214" t="str">
        <f t="shared" si="567"/>
        <v/>
      </c>
      <c r="AJ1216" s="214" t="str">
        <f t="shared" si="568"/>
        <v/>
      </c>
      <c r="AK1216" s="214" t="str">
        <f t="shared" si="569"/>
        <v/>
      </c>
      <c r="AL1216" s="214" t="str">
        <f t="shared" si="570"/>
        <v/>
      </c>
      <c r="AM1216" s="214" t="str">
        <f t="shared" si="571"/>
        <v/>
      </c>
      <c r="AN1216" s="213" t="str">
        <f t="shared" si="554"/>
        <v/>
      </c>
      <c r="AO1216" s="213" t="str">
        <f t="shared" si="555"/>
        <v/>
      </c>
      <c r="AP1216" s="213" t="str">
        <f t="shared" si="556"/>
        <v/>
      </c>
      <c r="AQ1216" s="215" t="str">
        <f t="shared" si="557"/>
        <v/>
      </c>
      <c r="AR1216" s="216" t="str">
        <f t="shared" si="558"/>
        <v>BiK82X2by---05</v>
      </c>
      <c r="AS1216" s="215" t="str">
        <f t="shared" si="559"/>
        <v/>
      </c>
      <c r="AT1216">
        <f t="shared" si="560"/>
        <v>14</v>
      </c>
      <c r="AU1216" s="216" t="str">
        <f t="shared" si="561"/>
        <v>0,15-0,5 MW, Bonusregeln X2, y, b</v>
      </c>
      <c r="AV1216" s="215" t="str">
        <f t="shared" si="562"/>
        <v/>
      </c>
      <c r="AW1216" s="216" t="str">
        <f t="shared" si="563"/>
        <v>Anteil Nicht-KWK</v>
      </c>
      <c r="AX1216" s="215" t="str">
        <f t="shared" si="564"/>
        <v/>
      </c>
      <c r="AY1216" t="str">
        <f t="shared" si="565"/>
        <v/>
      </c>
      <c r="AZ1216" t="str">
        <f t="shared" si="566"/>
        <v/>
      </c>
    </row>
    <row r="1217" spans="1:52" s="178" customFormat="1" x14ac:dyDescent="0.25">
      <c r="A1217" s="610" t="s">
        <v>4417</v>
      </c>
      <c r="B1217" s="30" t="s">
        <v>5548</v>
      </c>
      <c r="C1217" s="30" t="s">
        <v>1288</v>
      </c>
      <c r="D1217" s="30" t="s">
        <v>7208</v>
      </c>
      <c r="E1217" s="30" t="s">
        <v>4812</v>
      </c>
      <c r="F1217" s="454">
        <f t="shared" si="572"/>
        <v>24.75</v>
      </c>
      <c r="G1217" s="529">
        <v>24.75</v>
      </c>
      <c r="H1217" s="487">
        <f t="shared" si="573"/>
        <v>19.8</v>
      </c>
      <c r="I1217" s="706"/>
      <c r="J1217" s="669" t="s">
        <v>5805</v>
      </c>
      <c r="K1217" s="15"/>
      <c r="L1217"/>
      <c r="M1217" s="49">
        <f t="shared" si="574"/>
        <v>24.75</v>
      </c>
      <c r="N1217" s="41">
        <v>9.75</v>
      </c>
      <c r="O1217" s="187" t="s">
        <v>1017</v>
      </c>
      <c r="P1217" s="183"/>
      <c r="Q1217" s="184"/>
      <c r="R1217" s="184"/>
      <c r="S1217" s="184" t="s">
        <v>4180</v>
      </c>
      <c r="T1217" s="178" t="s">
        <v>4180</v>
      </c>
      <c r="U1217" s="185" t="s">
        <v>1017</v>
      </c>
      <c r="V1217" s="184"/>
      <c r="W1217" s="180"/>
      <c r="X1217" s="180"/>
      <c r="Z1217" s="180"/>
      <c r="AA1217" s="184"/>
      <c r="AC1217" s="180"/>
      <c r="AD1217" s="182" t="s">
        <v>1017</v>
      </c>
      <c r="AE1217" s="181" t="s">
        <v>1017</v>
      </c>
      <c r="AF1217" s="180"/>
      <c r="AG1217" s="201"/>
      <c r="AH1217" s="212" t="str">
        <f t="shared" si="576"/>
        <v/>
      </c>
      <c r="AI1217" s="214" t="str">
        <f t="shared" si="567"/>
        <v/>
      </c>
      <c r="AJ1217" s="214" t="str">
        <f t="shared" si="568"/>
        <v/>
      </c>
      <c r="AK1217" s="214" t="str">
        <f t="shared" si="569"/>
        <v/>
      </c>
      <c r="AL1217" s="214" t="str">
        <f t="shared" si="570"/>
        <v/>
      </c>
      <c r="AM1217" s="214" t="str">
        <f t="shared" si="571"/>
        <v/>
      </c>
      <c r="AN1217" s="213" t="str">
        <f t="shared" si="554"/>
        <v/>
      </c>
      <c r="AO1217" s="213" t="str">
        <f t="shared" si="555"/>
        <v/>
      </c>
      <c r="AP1217" s="213" t="str">
        <f t="shared" si="556"/>
        <v/>
      </c>
      <c r="AQ1217" s="215" t="str">
        <f t="shared" si="557"/>
        <v/>
      </c>
      <c r="AR1217" s="216" t="str">
        <f t="shared" si="558"/>
        <v>BiK82X2bKWKy05</v>
      </c>
      <c r="AS1217" s="215" t="str">
        <f t="shared" si="559"/>
        <v/>
      </c>
      <c r="AT1217">
        <f t="shared" si="560"/>
        <v>14</v>
      </c>
      <c r="AU1217" s="216" t="str">
        <f t="shared" si="561"/>
        <v>0,15-0,5 MW, Bonusregeln X2, y, b und KWK</v>
      </c>
      <c r="AV1217" s="215" t="str">
        <f t="shared" si="562"/>
        <v/>
      </c>
      <c r="AW1217" s="216" t="str">
        <f t="shared" si="563"/>
        <v>Anteil KWK</v>
      </c>
      <c r="AX1217" s="215" t="str">
        <f t="shared" si="564"/>
        <v/>
      </c>
      <c r="AY1217" t="str">
        <f t="shared" si="565"/>
        <v/>
      </c>
      <c r="AZ1217" t="str">
        <f t="shared" si="566"/>
        <v/>
      </c>
    </row>
    <row r="1218" spans="1:52" s="178" customFormat="1" x14ac:dyDescent="0.25">
      <c r="A1218" s="610" t="s">
        <v>4418</v>
      </c>
      <c r="B1218" s="30" t="s">
        <v>5548</v>
      </c>
      <c r="C1218" s="30" t="s">
        <v>1288</v>
      </c>
      <c r="D1218" s="109" t="s">
        <v>7209</v>
      </c>
      <c r="E1218" s="30" t="s">
        <v>4331</v>
      </c>
      <c r="F1218" s="454">
        <f t="shared" si="572"/>
        <v>25.75</v>
      </c>
      <c r="G1218" s="529">
        <v>25.75</v>
      </c>
      <c r="H1218" s="487">
        <f t="shared" si="573"/>
        <v>20.6</v>
      </c>
      <c r="I1218" s="706"/>
      <c r="J1218" s="669" t="s">
        <v>5805</v>
      </c>
      <c r="K1218" s="15"/>
      <c r="L1218"/>
      <c r="M1218" s="49">
        <f t="shared" si="574"/>
        <v>25.75</v>
      </c>
      <c r="N1218" s="41">
        <v>9.75</v>
      </c>
      <c r="O1218" s="187"/>
      <c r="P1218" s="184" t="s">
        <v>1017</v>
      </c>
      <c r="Q1218" s="184"/>
      <c r="R1218" s="184"/>
      <c r="S1218" s="184" t="s">
        <v>4180</v>
      </c>
      <c r="T1218" s="178" t="s">
        <v>4180</v>
      </c>
      <c r="U1218" s="185" t="s">
        <v>1017</v>
      </c>
      <c r="V1218" s="184"/>
      <c r="W1218" s="180"/>
      <c r="X1218" s="180"/>
      <c r="Z1218" s="180"/>
      <c r="AA1218" s="184"/>
      <c r="AC1218" s="180"/>
      <c r="AD1218" s="182" t="s">
        <v>1017</v>
      </c>
      <c r="AE1218" s="181" t="s">
        <v>1017</v>
      </c>
      <c r="AF1218" s="180"/>
      <c r="AG1218" s="201"/>
      <c r="AH1218" s="212" t="str">
        <f t="shared" si="576"/>
        <v/>
      </c>
      <c r="AI1218" s="214" t="str">
        <f t="shared" si="567"/>
        <v/>
      </c>
      <c r="AJ1218" s="214" t="str">
        <f t="shared" si="568"/>
        <v/>
      </c>
      <c r="AK1218" s="214" t="str">
        <f t="shared" si="569"/>
        <v/>
      </c>
      <c r="AL1218" s="214" t="str">
        <f t="shared" si="570"/>
        <v/>
      </c>
      <c r="AM1218" s="214" t="str">
        <f t="shared" si="571"/>
        <v/>
      </c>
      <c r="AN1218" s="213" t="str">
        <f t="shared" si="554"/>
        <v/>
      </c>
      <c r="AO1218" s="213" t="str">
        <f t="shared" si="555"/>
        <v/>
      </c>
      <c r="AP1218" s="213" t="str">
        <f t="shared" si="556"/>
        <v/>
      </c>
      <c r="AQ1218" s="215" t="str">
        <f t="shared" si="557"/>
        <v/>
      </c>
      <c r="AR1218" s="216" t="str">
        <f t="shared" si="558"/>
        <v>BiK82X2bKA3y05</v>
      </c>
      <c r="AS1218" s="215" t="str">
        <f t="shared" si="559"/>
        <v/>
      </c>
      <c r="AT1218">
        <f t="shared" si="560"/>
        <v>14</v>
      </c>
      <c r="AU1218" s="216" t="str">
        <f t="shared" si="561"/>
        <v>0,15-0,5 MW, Bonusregeln X2, y, b und K wenn Anlage 3 erfüllt</v>
      </c>
      <c r="AV1218" s="215" t="str">
        <f t="shared" si="562"/>
        <v/>
      </c>
      <c r="AW1218" s="216" t="str">
        <f t="shared" si="563"/>
        <v>Anteil KWK gemäß Anlage 3</v>
      </c>
      <c r="AX1218" s="215" t="str">
        <f t="shared" si="564"/>
        <v/>
      </c>
      <c r="AY1218" t="str">
        <f t="shared" si="565"/>
        <v/>
      </c>
      <c r="AZ1218" t="str">
        <f t="shared" si="566"/>
        <v/>
      </c>
    </row>
    <row r="1219" spans="1:52" s="178" customFormat="1" x14ac:dyDescent="0.25">
      <c r="A1219" s="610" t="s">
        <v>4419</v>
      </c>
      <c r="B1219" s="30" t="s">
        <v>5548</v>
      </c>
      <c r="C1219" s="30" t="s">
        <v>1288</v>
      </c>
      <c r="D1219" s="30" t="s">
        <v>7210</v>
      </c>
      <c r="E1219" s="30" t="s">
        <v>674</v>
      </c>
      <c r="F1219" s="454">
        <f t="shared" si="572"/>
        <v>25.75</v>
      </c>
      <c r="G1219" s="529">
        <v>25.75</v>
      </c>
      <c r="H1219" s="487">
        <f t="shared" si="573"/>
        <v>20.6</v>
      </c>
      <c r="I1219" s="706"/>
      <c r="J1219" s="669" t="s">
        <v>5805</v>
      </c>
      <c r="K1219" s="15"/>
      <c r="L1219"/>
      <c r="M1219" s="49">
        <f t="shared" si="574"/>
        <v>25.75</v>
      </c>
      <c r="N1219" s="41">
        <v>9.75</v>
      </c>
      <c r="O1219" s="187"/>
      <c r="P1219" s="183"/>
      <c r="Q1219" s="184" t="s">
        <v>1017</v>
      </c>
      <c r="R1219" s="184"/>
      <c r="S1219" s="184" t="s">
        <v>4180</v>
      </c>
      <c r="T1219" s="178" t="s">
        <v>4180</v>
      </c>
      <c r="U1219" s="185" t="s">
        <v>1017</v>
      </c>
      <c r="V1219" s="184"/>
      <c r="W1219" s="180"/>
      <c r="X1219" s="180"/>
      <c r="Z1219" s="180"/>
      <c r="AA1219" s="184"/>
      <c r="AC1219" s="180"/>
      <c r="AD1219" s="182" t="s">
        <v>1017</v>
      </c>
      <c r="AE1219" s="181" t="s">
        <v>1017</v>
      </c>
      <c r="AF1219" s="180"/>
      <c r="AG1219" s="201"/>
      <c r="AH1219" s="212" t="str">
        <f t="shared" si="576"/>
        <v/>
      </c>
      <c r="AI1219" s="214" t="str">
        <f t="shared" si="567"/>
        <v/>
      </c>
      <c r="AJ1219" s="214" t="str">
        <f t="shared" si="568"/>
        <v/>
      </c>
      <c r="AK1219" s="214" t="str">
        <f t="shared" si="569"/>
        <v/>
      </c>
      <c r="AL1219" s="214" t="str">
        <f t="shared" si="570"/>
        <v/>
      </c>
      <c r="AM1219" s="214" t="str">
        <f t="shared" si="571"/>
        <v/>
      </c>
      <c r="AN1219" s="213" t="str">
        <f t="shared" si="554"/>
        <v/>
      </c>
      <c r="AO1219" s="213" t="str">
        <f t="shared" si="555"/>
        <v/>
      </c>
      <c r="AP1219" s="213" t="str">
        <f t="shared" si="556"/>
        <v/>
      </c>
      <c r="AQ1219" s="215" t="str">
        <f t="shared" si="557"/>
        <v/>
      </c>
      <c r="AR1219" s="216" t="str">
        <f t="shared" si="558"/>
        <v>BiK82X2bK09y05</v>
      </c>
      <c r="AS1219" s="215" t="str">
        <f t="shared" si="559"/>
        <v/>
      </c>
      <c r="AT1219">
        <f t="shared" si="560"/>
        <v>14</v>
      </c>
      <c r="AU1219" s="216" t="str">
        <f t="shared" si="561"/>
        <v>0,15-0,5 MW, Bonusregeln X2, y, b und K erstmals 2009</v>
      </c>
      <c r="AV1219" s="215" t="str">
        <f t="shared" si="562"/>
        <v/>
      </c>
      <c r="AW1219" s="216" t="str">
        <f t="shared" si="563"/>
        <v>Anteil KWK, erstmals 2009</v>
      </c>
      <c r="AX1219" s="215" t="str">
        <f t="shared" si="564"/>
        <v/>
      </c>
      <c r="AY1219" t="str">
        <f t="shared" si="565"/>
        <v/>
      </c>
      <c r="AZ1219" t="str">
        <f t="shared" si="566"/>
        <v/>
      </c>
    </row>
    <row r="1220" spans="1:52" s="178" customFormat="1" x14ac:dyDescent="0.25">
      <c r="A1220" s="610" t="s">
        <v>3615</v>
      </c>
      <c r="B1220" s="30" t="s">
        <v>5548</v>
      </c>
      <c r="C1220" s="30" t="s">
        <v>1288</v>
      </c>
      <c r="D1220" s="30" t="s">
        <v>7211</v>
      </c>
      <c r="E1220" s="30" t="s">
        <v>3567</v>
      </c>
      <c r="F1220" s="454">
        <f t="shared" si="572"/>
        <v>25.72</v>
      </c>
      <c r="G1220" s="529">
        <v>25.72</v>
      </c>
      <c r="H1220" s="487">
        <f t="shared" si="573"/>
        <v>20.58</v>
      </c>
      <c r="I1220" s="706"/>
      <c r="J1220" s="669" t="s">
        <v>5805</v>
      </c>
      <c r="K1220" s="15"/>
      <c r="L1220"/>
      <c r="M1220" s="49">
        <f t="shared" si="574"/>
        <v>25.72</v>
      </c>
      <c r="N1220" s="41">
        <v>9.75</v>
      </c>
      <c r="O1220" s="187"/>
      <c r="P1220" s="183"/>
      <c r="Q1220" s="184"/>
      <c r="R1220" s="184" t="s">
        <v>1017</v>
      </c>
      <c r="S1220" s="184" t="s">
        <v>4180</v>
      </c>
      <c r="T1220" s="178" t="s">
        <v>4180</v>
      </c>
      <c r="U1220" s="185" t="s">
        <v>1017</v>
      </c>
      <c r="V1220" s="184"/>
      <c r="W1220" s="180"/>
      <c r="X1220" s="180"/>
      <c r="Z1220" s="180"/>
      <c r="AA1220" s="184"/>
      <c r="AC1220" s="180"/>
      <c r="AD1220" s="182" t="s">
        <v>1017</v>
      </c>
      <c r="AE1220" s="181" t="s">
        <v>1017</v>
      </c>
      <c r="AF1220" s="180"/>
      <c r="AG1220" s="201"/>
      <c r="AH1220" s="212" t="str">
        <f t="shared" si="576"/>
        <v>2010</v>
      </c>
      <c r="AI1220" s="214" t="str">
        <f t="shared" si="567"/>
        <v/>
      </c>
      <c r="AJ1220" s="214" t="str">
        <f t="shared" si="568"/>
        <v/>
      </c>
      <c r="AK1220" s="214" t="str">
        <f t="shared" si="569"/>
        <v/>
      </c>
      <c r="AL1220" s="214" t="str">
        <f t="shared" si="570"/>
        <v/>
      </c>
      <c r="AM1220" s="214" t="str">
        <f t="shared" si="571"/>
        <v/>
      </c>
      <c r="AN1220" s="213" t="str">
        <f t="shared" si="554"/>
        <v>2010</v>
      </c>
      <c r="AO1220" s="213" t="str">
        <f t="shared" si="555"/>
        <v>2010</v>
      </c>
      <c r="AP1220" s="213" t="str">
        <f t="shared" si="556"/>
        <v>2010</v>
      </c>
      <c r="AQ1220" s="215" t="str">
        <f t="shared" si="557"/>
        <v/>
      </c>
      <c r="AR1220" s="216" t="str">
        <f t="shared" si="558"/>
        <v>BiK82X2bK10y05</v>
      </c>
      <c r="AS1220" s="215" t="str">
        <f t="shared" si="559"/>
        <v/>
      </c>
      <c r="AT1220">
        <f t="shared" si="560"/>
        <v>14</v>
      </c>
      <c r="AU1220" s="216" t="str">
        <f t="shared" si="561"/>
        <v>0,15-0,5 MW, Bonusregeln X2, y, b und K erstmals 2010</v>
      </c>
      <c r="AV1220" s="215" t="str">
        <f t="shared" si="562"/>
        <v/>
      </c>
      <c r="AW1220" s="216" t="str">
        <f t="shared" si="563"/>
        <v>Anteil KWK, erstmals 2010</v>
      </c>
      <c r="AX1220" s="215" t="str">
        <f t="shared" si="564"/>
        <v/>
      </c>
      <c r="AY1220" t="str">
        <f t="shared" si="565"/>
        <v/>
      </c>
      <c r="AZ1220" t="str">
        <f t="shared" si="566"/>
        <v/>
      </c>
    </row>
    <row r="1221" spans="1:52" s="178" customFormat="1" x14ac:dyDescent="0.25">
      <c r="A1221" s="610" t="s">
        <v>5346</v>
      </c>
      <c r="B1221" s="30" t="s">
        <v>5548</v>
      </c>
      <c r="C1221" s="30" t="s">
        <v>1288</v>
      </c>
      <c r="D1221" s="30" t="s">
        <v>7212</v>
      </c>
      <c r="E1221" s="30" t="s">
        <v>3055</v>
      </c>
      <c r="F1221" s="454">
        <f t="shared" si="572"/>
        <v>25.689999999999998</v>
      </c>
      <c r="G1221" s="529">
        <v>25.689999999999998</v>
      </c>
      <c r="H1221" s="487">
        <f t="shared" si="573"/>
        <v>20.55</v>
      </c>
      <c r="I1221" s="706"/>
      <c r="J1221" s="669" t="s">
        <v>5805</v>
      </c>
      <c r="K1221" s="15"/>
      <c r="L1221"/>
      <c r="M1221" s="49">
        <f t="shared" si="574"/>
        <v>25.689999999999998</v>
      </c>
      <c r="N1221" s="41">
        <v>9.75</v>
      </c>
      <c r="O1221" s="187"/>
      <c r="P1221" s="183"/>
      <c r="Q1221" s="184"/>
      <c r="S1221" s="184" t="s">
        <v>1017</v>
      </c>
      <c r="T1221" s="178" t="s">
        <v>4180</v>
      </c>
      <c r="U1221" s="185" t="s">
        <v>1017</v>
      </c>
      <c r="V1221" s="184"/>
      <c r="W1221" s="180"/>
      <c r="X1221" s="180"/>
      <c r="Z1221" s="180"/>
      <c r="AA1221" s="184"/>
      <c r="AC1221" s="180"/>
      <c r="AD1221" s="182" t="s">
        <v>1017</v>
      </c>
      <c r="AE1221" s="181" t="s">
        <v>1017</v>
      </c>
      <c r="AF1221" s="180"/>
      <c r="AG1221" s="201"/>
      <c r="AH1221" s="212" t="str">
        <f t="shared" si="576"/>
        <v>2011</v>
      </c>
      <c r="AI1221" s="214" t="str">
        <f t="shared" si="567"/>
        <v/>
      </c>
      <c r="AJ1221" s="214" t="str">
        <f t="shared" si="568"/>
        <v/>
      </c>
      <c r="AK1221" s="214" t="str">
        <f t="shared" si="569"/>
        <v/>
      </c>
      <c r="AL1221" s="214" t="str">
        <f t="shared" si="570"/>
        <v/>
      </c>
      <c r="AM1221" s="214" t="str">
        <f t="shared" si="571"/>
        <v/>
      </c>
      <c r="AN1221" s="213" t="str">
        <f t="shared" si="554"/>
        <v>2011</v>
      </c>
      <c r="AO1221" s="213" t="str">
        <f t="shared" si="555"/>
        <v>2011</v>
      </c>
      <c r="AP1221" s="213" t="str">
        <f t="shared" si="556"/>
        <v>2011</v>
      </c>
      <c r="AQ1221" s="215" t="str">
        <f t="shared" si="557"/>
        <v/>
      </c>
      <c r="AR1221" s="216" t="str">
        <f t="shared" si="558"/>
        <v>BiK82X2bK11y05</v>
      </c>
      <c r="AS1221" s="215" t="str">
        <f t="shared" si="559"/>
        <v/>
      </c>
      <c r="AT1221">
        <f t="shared" si="560"/>
        <v>14</v>
      </c>
      <c r="AU1221" s="216" t="str">
        <f t="shared" si="561"/>
        <v>0,15-0,5 MW, Bonusregeln X2, y, b und K erstmals 2011</v>
      </c>
      <c r="AV1221" s="215" t="str">
        <f t="shared" si="562"/>
        <v/>
      </c>
      <c r="AW1221" s="216" t="str">
        <f t="shared" si="563"/>
        <v>Anteil KWK, erstmals 2011</v>
      </c>
      <c r="AX1221" s="215" t="str">
        <f t="shared" si="564"/>
        <v/>
      </c>
      <c r="AY1221" t="str">
        <f t="shared" si="565"/>
        <v>x</v>
      </c>
      <c r="AZ1221" t="str">
        <f t="shared" si="566"/>
        <v/>
      </c>
    </row>
    <row r="1222" spans="1:52" s="178" customFormat="1" x14ac:dyDescent="0.25">
      <c r="A1222" s="625" t="s">
        <v>1596</v>
      </c>
      <c r="B1222" s="219" t="s">
        <v>5548</v>
      </c>
      <c r="C1222" s="219" t="s">
        <v>1288</v>
      </c>
      <c r="D1222" s="219" t="s">
        <v>7213</v>
      </c>
      <c r="E1222" s="219" t="s">
        <v>1980</v>
      </c>
      <c r="F1222" s="455">
        <f t="shared" si="572"/>
        <v>25.66</v>
      </c>
      <c r="G1222" s="530">
        <v>25.66</v>
      </c>
      <c r="H1222" s="488">
        <f t="shared" si="573"/>
        <v>20.53</v>
      </c>
      <c r="I1222" s="707"/>
      <c r="J1222" s="669" t="s">
        <v>5805</v>
      </c>
      <c r="K1222" s="15"/>
      <c r="L1222"/>
      <c r="M1222" s="49">
        <f t="shared" si="574"/>
        <v>25.66</v>
      </c>
      <c r="N1222" s="41">
        <v>9.75</v>
      </c>
      <c r="O1222" s="187"/>
      <c r="P1222" s="183"/>
      <c r="Q1222" s="184"/>
      <c r="S1222" s="184" t="s">
        <v>4180</v>
      </c>
      <c r="T1222" s="178" t="s">
        <v>1017</v>
      </c>
      <c r="U1222" s="185" t="s">
        <v>1017</v>
      </c>
      <c r="V1222" s="184"/>
      <c r="W1222" s="180"/>
      <c r="X1222" s="180"/>
      <c r="Z1222" s="180"/>
      <c r="AA1222" s="184"/>
      <c r="AC1222" s="180"/>
      <c r="AD1222" s="182" t="s">
        <v>1017</v>
      </c>
      <c r="AE1222" s="181" t="s">
        <v>1017</v>
      </c>
      <c r="AF1222" s="180"/>
      <c r="AG1222" s="201"/>
      <c r="AH1222" s="217" t="s">
        <v>4179</v>
      </c>
      <c r="AI1222" s="214" t="str">
        <f t="shared" si="567"/>
        <v/>
      </c>
      <c r="AJ1222" s="214" t="str">
        <f t="shared" si="568"/>
        <v/>
      </c>
      <c r="AK1222" s="214" t="str">
        <f t="shared" si="569"/>
        <v/>
      </c>
      <c r="AL1222" s="214" t="str">
        <f t="shared" si="570"/>
        <v/>
      </c>
      <c r="AM1222" s="214" t="str">
        <f t="shared" si="571"/>
        <v/>
      </c>
      <c r="AN1222" s="213" t="str">
        <f t="shared" si="554"/>
        <v>2012</v>
      </c>
      <c r="AO1222" s="213" t="str">
        <f t="shared" si="555"/>
        <v>2012</v>
      </c>
      <c r="AP1222" s="213" t="str">
        <f t="shared" si="556"/>
        <v>2012</v>
      </c>
      <c r="AQ1222" s="215" t="str">
        <f t="shared" si="557"/>
        <v/>
      </c>
      <c r="AR1222" s="216" t="str">
        <f t="shared" si="558"/>
        <v>BiK82X2bK12y05</v>
      </c>
      <c r="AS1222" s="215" t="str">
        <f t="shared" si="559"/>
        <v/>
      </c>
      <c r="AT1222">
        <f t="shared" si="560"/>
        <v>14</v>
      </c>
      <c r="AU1222" s="216" t="str">
        <f t="shared" si="561"/>
        <v>0,15-0,5 MW, Bonusregeln X2, y, b und K erstmals 2012</v>
      </c>
      <c r="AV1222" s="215" t="str">
        <f t="shared" si="562"/>
        <v/>
      </c>
      <c r="AW1222" s="216" t="str">
        <f t="shared" si="563"/>
        <v>Anteil KWK, erstmals 2012</v>
      </c>
      <c r="AX1222" s="215" t="str">
        <f t="shared" si="564"/>
        <v/>
      </c>
      <c r="AY1222" t="str">
        <f t="shared" si="565"/>
        <v/>
      </c>
      <c r="AZ1222" t="str">
        <f t="shared" si="566"/>
        <v>x</v>
      </c>
    </row>
    <row r="1223" spans="1:52" s="178" customFormat="1" x14ac:dyDescent="0.25">
      <c r="A1223" s="609" t="s">
        <v>3493</v>
      </c>
      <c r="B1223" s="1" t="s">
        <v>5548</v>
      </c>
      <c r="C1223" s="2" t="s">
        <v>1288</v>
      </c>
      <c r="D1223" s="1" t="s">
        <v>5408</v>
      </c>
      <c r="E1223" s="1" t="s">
        <v>4810</v>
      </c>
      <c r="F1223" s="456">
        <f t="shared" si="572"/>
        <v>8.77</v>
      </c>
      <c r="G1223" s="531">
        <v>8.77</v>
      </c>
      <c r="H1223" s="489">
        <f t="shared" si="573"/>
        <v>7.02</v>
      </c>
      <c r="I1223" s="708"/>
      <c r="J1223" s="669" t="s">
        <v>5805</v>
      </c>
      <c r="K1223" s="15"/>
      <c r="L1223"/>
      <c r="M1223" s="49">
        <f t="shared" si="574"/>
        <v>8.77</v>
      </c>
      <c r="N1223" s="41">
        <v>8.77</v>
      </c>
      <c r="O1223" s="54"/>
      <c r="P1223" s="74"/>
      <c r="Q1223"/>
      <c r="R1223"/>
      <c r="S1223" t="s">
        <v>4180</v>
      </c>
      <c r="T1223" s="178" t="s">
        <v>4180</v>
      </c>
      <c r="U1223" s="75"/>
      <c r="V1223" s="65"/>
      <c r="W1223"/>
      <c r="X1223"/>
      <c r="Y1223" s="65"/>
      <c r="Z1223" s="65"/>
      <c r="AA1223" s="65"/>
      <c r="AB1223" s="65"/>
      <c r="AC1223" s="65"/>
      <c r="AD1223" s="91"/>
      <c r="AE1223" s="124"/>
      <c r="AF1223" s="65"/>
      <c r="AG1223" s="91"/>
      <c r="AH1223" s="212" t="str">
        <f>IF(ISERROR(SEARCH("K erstmals 201",D1223)),"",RIGHT(D1223,4))</f>
        <v/>
      </c>
      <c r="AI1223" s="214" t="str">
        <f t="shared" si="567"/>
        <v/>
      </c>
      <c r="AJ1223" s="214" t="str">
        <f t="shared" si="568"/>
        <v/>
      </c>
      <c r="AK1223" s="214" t="str">
        <f t="shared" si="569"/>
        <v/>
      </c>
      <c r="AL1223" s="214" t="str">
        <f t="shared" si="570"/>
        <v/>
      </c>
      <c r="AM1223" s="214" t="str">
        <f t="shared" si="571"/>
        <v/>
      </c>
      <c r="AN1223" s="213" t="str">
        <f t="shared" si="554"/>
        <v/>
      </c>
      <c r="AO1223" s="213" t="str">
        <f t="shared" si="555"/>
        <v/>
      </c>
      <c r="AP1223" s="213" t="str">
        <f t="shared" si="556"/>
        <v/>
      </c>
      <c r="AQ1223" s="215" t="str">
        <f t="shared" si="557"/>
        <v/>
      </c>
      <c r="AR1223" s="216" t="str">
        <f t="shared" si="558"/>
        <v>BiK83-------05</v>
      </c>
      <c r="AS1223" s="215" t="str">
        <f t="shared" si="559"/>
        <v/>
      </c>
      <c r="AT1223">
        <f t="shared" si="560"/>
        <v>14</v>
      </c>
      <c r="AU1223" s="216" t="str">
        <f t="shared" si="561"/>
        <v>0,5-5 MW</v>
      </c>
      <c r="AV1223" s="215" t="str">
        <f t="shared" si="562"/>
        <v/>
      </c>
      <c r="AW1223" s="216" t="str">
        <f t="shared" si="563"/>
        <v>Anteil Nicht-KWK</v>
      </c>
      <c r="AX1223" s="215" t="str">
        <f t="shared" si="564"/>
        <v/>
      </c>
      <c r="AY1223" t="str">
        <f t="shared" si="565"/>
        <v/>
      </c>
      <c r="AZ1223" t="str">
        <f t="shared" si="566"/>
        <v/>
      </c>
    </row>
    <row r="1224" spans="1:52" s="178" customFormat="1" x14ac:dyDescent="0.25">
      <c r="A1224" s="609" t="s">
        <v>3494</v>
      </c>
      <c r="B1224" s="1" t="s">
        <v>5548</v>
      </c>
      <c r="C1224" s="2" t="s">
        <v>1288</v>
      </c>
      <c r="D1224" s="1" t="s">
        <v>6774</v>
      </c>
      <c r="E1224" s="1" t="s">
        <v>4812</v>
      </c>
      <c r="F1224" s="456">
        <f t="shared" si="572"/>
        <v>10.77</v>
      </c>
      <c r="G1224" s="531">
        <v>10.77</v>
      </c>
      <c r="H1224" s="489">
        <f t="shared" si="573"/>
        <v>8.6199999999999992</v>
      </c>
      <c r="I1224" s="708"/>
      <c r="J1224" s="669" t="s">
        <v>5805</v>
      </c>
      <c r="K1224" s="15"/>
      <c r="L1224"/>
      <c r="M1224" s="49">
        <f t="shared" si="574"/>
        <v>10.77</v>
      </c>
      <c r="N1224" s="41">
        <v>8.77</v>
      </c>
      <c r="O1224" s="54" t="s">
        <v>1017</v>
      </c>
      <c r="P1224" s="74"/>
      <c r="Q1224"/>
      <c r="R1224"/>
      <c r="S1224" t="s">
        <v>4180</v>
      </c>
      <c r="T1224" s="178" t="s">
        <v>4180</v>
      </c>
      <c r="U1224" s="75"/>
      <c r="V1224" s="65"/>
      <c r="W1224"/>
      <c r="X1224"/>
      <c r="Y1224" s="65"/>
      <c r="Z1224" s="65"/>
      <c r="AA1224" s="65"/>
      <c r="AB1224" s="65"/>
      <c r="AC1224" s="65"/>
      <c r="AD1224" s="91"/>
      <c r="AE1224" s="124"/>
      <c r="AF1224" s="65"/>
      <c r="AG1224" s="91"/>
      <c r="AH1224" s="212" t="str">
        <f>IF(ISERROR(SEARCH("K erstmals 201",D1224)),"",RIGHT(D1224,4))</f>
        <v/>
      </c>
      <c r="AI1224" s="214" t="str">
        <f t="shared" si="567"/>
        <v/>
      </c>
      <c r="AJ1224" s="214" t="str">
        <f t="shared" si="568"/>
        <v/>
      </c>
      <c r="AK1224" s="214" t="str">
        <f t="shared" si="569"/>
        <v/>
      </c>
      <c r="AL1224" s="214" t="str">
        <f t="shared" si="570"/>
        <v/>
      </c>
      <c r="AM1224" s="214" t="str">
        <f t="shared" si="571"/>
        <v/>
      </c>
      <c r="AN1224" s="213" t="str">
        <f t="shared" si="554"/>
        <v/>
      </c>
      <c r="AO1224" s="213" t="str">
        <f t="shared" si="555"/>
        <v/>
      </c>
      <c r="AP1224" s="213" t="str">
        <f t="shared" si="556"/>
        <v/>
      </c>
      <c r="AQ1224" s="215" t="str">
        <f t="shared" si="557"/>
        <v/>
      </c>
      <c r="AR1224" s="216" t="str">
        <f t="shared" si="558"/>
        <v>BiK83KWK----05</v>
      </c>
      <c r="AS1224" s="215" t="str">
        <f t="shared" si="559"/>
        <v/>
      </c>
      <c r="AT1224">
        <f t="shared" si="560"/>
        <v>14</v>
      </c>
      <c r="AU1224" s="216" t="str">
        <f t="shared" si="561"/>
        <v>0,5-5 MW, Bonusregel KWK</v>
      </c>
      <c r="AV1224" s="215" t="str">
        <f t="shared" si="562"/>
        <v/>
      </c>
      <c r="AW1224" s="216" t="str">
        <f t="shared" si="563"/>
        <v>Anteil KWK</v>
      </c>
      <c r="AX1224" s="215" t="str">
        <f t="shared" si="564"/>
        <v/>
      </c>
      <c r="AY1224" t="str">
        <f t="shared" si="565"/>
        <v/>
      </c>
      <c r="AZ1224" t="str">
        <f t="shared" si="566"/>
        <v/>
      </c>
    </row>
    <row r="1225" spans="1:52" s="178" customFormat="1" x14ac:dyDescent="0.25">
      <c r="A1225" s="610" t="s">
        <v>2352</v>
      </c>
      <c r="B1225" s="17" t="s">
        <v>5548</v>
      </c>
      <c r="C1225" s="17" t="s">
        <v>1288</v>
      </c>
      <c r="D1225" s="30" t="s">
        <v>6754</v>
      </c>
      <c r="E1225" s="17" t="s">
        <v>674</v>
      </c>
      <c r="F1225" s="454">
        <f t="shared" si="572"/>
        <v>11.77</v>
      </c>
      <c r="G1225" s="529">
        <v>11.77</v>
      </c>
      <c r="H1225" s="487">
        <f t="shared" si="573"/>
        <v>9.42</v>
      </c>
      <c r="I1225" s="706"/>
      <c r="J1225" s="669" t="s">
        <v>5805</v>
      </c>
      <c r="K1225" s="15"/>
      <c r="L1225"/>
      <c r="M1225" s="49">
        <f t="shared" si="574"/>
        <v>11.77</v>
      </c>
      <c r="N1225" s="41">
        <v>8.77</v>
      </c>
      <c r="O1225" s="54"/>
      <c r="P1225" s="74"/>
      <c r="Q1225" t="s">
        <v>1017</v>
      </c>
      <c r="R1225"/>
      <c r="S1225" t="s">
        <v>4180</v>
      </c>
      <c r="T1225" s="178" t="s">
        <v>4180</v>
      </c>
      <c r="U1225" s="75"/>
      <c r="V1225" s="65"/>
      <c r="W1225"/>
      <c r="X1225"/>
      <c r="Y1225" s="65"/>
      <c r="Z1225" s="65"/>
      <c r="AA1225" s="65"/>
      <c r="AB1225" s="65"/>
      <c r="AC1225" s="65"/>
      <c r="AD1225" s="91"/>
      <c r="AE1225" s="124"/>
      <c r="AF1225" s="65"/>
      <c r="AG1225" s="91"/>
      <c r="AH1225" s="212" t="str">
        <f>IF(ISERROR(SEARCH("K erstmals 201",D1225)),"",RIGHT(D1225,4))</f>
        <v/>
      </c>
      <c r="AI1225" s="214" t="str">
        <f t="shared" si="567"/>
        <v/>
      </c>
      <c r="AJ1225" s="214" t="str">
        <f t="shared" si="568"/>
        <v/>
      </c>
      <c r="AK1225" s="214" t="str">
        <f t="shared" si="569"/>
        <v/>
      </c>
      <c r="AL1225" s="214" t="str">
        <f t="shared" si="570"/>
        <v/>
      </c>
      <c r="AM1225" s="214" t="str">
        <f t="shared" si="571"/>
        <v/>
      </c>
      <c r="AN1225" s="213" t="str">
        <f t="shared" si="554"/>
        <v/>
      </c>
      <c r="AO1225" s="213" t="str">
        <f t="shared" si="555"/>
        <v/>
      </c>
      <c r="AP1225" s="213" t="str">
        <f t="shared" si="556"/>
        <v/>
      </c>
      <c r="AQ1225" s="215" t="str">
        <f t="shared" si="557"/>
        <v/>
      </c>
      <c r="AR1225" s="216" t="str">
        <f t="shared" si="558"/>
        <v>BiK83K09----05</v>
      </c>
      <c r="AS1225" s="215" t="str">
        <f t="shared" si="559"/>
        <v/>
      </c>
      <c r="AT1225">
        <f t="shared" si="560"/>
        <v>14</v>
      </c>
      <c r="AU1225" s="216" t="str">
        <f t="shared" si="561"/>
        <v>0,5-5 MW, Bonusregel K erstmals 2009</v>
      </c>
      <c r="AV1225" s="215" t="str">
        <f t="shared" si="562"/>
        <v/>
      </c>
      <c r="AW1225" s="216" t="str">
        <f t="shared" si="563"/>
        <v>Anteil KWK, erstmals 2009</v>
      </c>
      <c r="AX1225" s="215" t="str">
        <f t="shared" si="564"/>
        <v/>
      </c>
      <c r="AY1225" t="str">
        <f t="shared" si="565"/>
        <v/>
      </c>
      <c r="AZ1225" t="str">
        <f t="shared" si="566"/>
        <v/>
      </c>
    </row>
    <row r="1226" spans="1:52" s="178" customFormat="1" x14ac:dyDescent="0.25">
      <c r="A1226" s="610" t="s">
        <v>3616</v>
      </c>
      <c r="B1226" s="17" t="s">
        <v>5548</v>
      </c>
      <c r="C1226" s="17" t="s">
        <v>1288</v>
      </c>
      <c r="D1226" s="30" t="s">
        <v>6755</v>
      </c>
      <c r="E1226" s="17" t="s">
        <v>3567</v>
      </c>
      <c r="F1226" s="454">
        <f t="shared" si="572"/>
        <v>11.74</v>
      </c>
      <c r="G1226" s="529">
        <v>11.74</v>
      </c>
      <c r="H1226" s="487">
        <f t="shared" si="573"/>
        <v>9.39</v>
      </c>
      <c r="I1226" s="706"/>
      <c r="J1226" s="669" t="s">
        <v>5805</v>
      </c>
      <c r="K1226" s="15"/>
      <c r="L1226"/>
      <c r="M1226" s="49">
        <f t="shared" si="574"/>
        <v>11.74</v>
      </c>
      <c r="N1226" s="41">
        <v>8.77</v>
      </c>
      <c r="O1226" s="54"/>
      <c r="P1226" s="74"/>
      <c r="Q1226"/>
      <c r="R1226" t="s">
        <v>1017</v>
      </c>
      <c r="S1226" t="s">
        <v>4180</v>
      </c>
      <c r="T1226" s="178" t="s">
        <v>4180</v>
      </c>
      <c r="U1226" s="75"/>
      <c r="V1226" s="65"/>
      <c r="W1226"/>
      <c r="X1226"/>
      <c r="Y1226" s="65"/>
      <c r="Z1226" s="65"/>
      <c r="AA1226" s="65"/>
      <c r="AB1226" s="65"/>
      <c r="AC1226" s="65"/>
      <c r="AD1226" s="91"/>
      <c r="AE1226" s="124"/>
      <c r="AF1226" s="65"/>
      <c r="AG1226" s="91"/>
      <c r="AH1226" s="212" t="str">
        <f>IF(ISERROR(SEARCH("K erstmals 201",D1226)),"",RIGHT(D1226,4))</f>
        <v>2010</v>
      </c>
      <c r="AI1226" s="214" t="str">
        <f t="shared" si="567"/>
        <v/>
      </c>
      <c r="AJ1226" s="214" t="str">
        <f t="shared" si="568"/>
        <v/>
      </c>
      <c r="AK1226" s="214" t="str">
        <f t="shared" si="569"/>
        <v/>
      </c>
      <c r="AL1226" s="214" t="str">
        <f t="shared" si="570"/>
        <v/>
      </c>
      <c r="AM1226" s="214" t="str">
        <f t="shared" si="571"/>
        <v/>
      </c>
      <c r="AN1226" s="213" t="str">
        <f t="shared" si="554"/>
        <v>2010</v>
      </c>
      <c r="AO1226" s="213" t="str">
        <f t="shared" si="555"/>
        <v>2010</v>
      </c>
      <c r="AP1226" s="213" t="str">
        <f t="shared" si="556"/>
        <v>2010</v>
      </c>
      <c r="AQ1226" s="215" t="str">
        <f t="shared" si="557"/>
        <v/>
      </c>
      <c r="AR1226" s="216" t="str">
        <f t="shared" si="558"/>
        <v>BiK83K10----05</v>
      </c>
      <c r="AS1226" s="215" t="str">
        <f t="shared" si="559"/>
        <v/>
      </c>
      <c r="AT1226">
        <f t="shared" si="560"/>
        <v>14</v>
      </c>
      <c r="AU1226" s="216" t="str">
        <f t="shared" si="561"/>
        <v>0,5-5 MW, Bonusregel K erstmals 2010</v>
      </c>
      <c r="AV1226" s="215" t="str">
        <f t="shared" si="562"/>
        <v/>
      </c>
      <c r="AW1226" s="216" t="str">
        <f t="shared" si="563"/>
        <v>Anteil KWK, erstmals 2010</v>
      </c>
      <c r="AX1226" s="215" t="str">
        <f t="shared" si="564"/>
        <v/>
      </c>
      <c r="AY1226" t="str">
        <f t="shared" si="565"/>
        <v/>
      </c>
      <c r="AZ1226" t="str">
        <f t="shared" si="566"/>
        <v/>
      </c>
    </row>
    <row r="1227" spans="1:52" s="178" customFormat="1" x14ac:dyDescent="0.25">
      <c r="A1227" s="610" t="s">
        <v>5347</v>
      </c>
      <c r="B1227" s="17" t="s">
        <v>5548</v>
      </c>
      <c r="C1227" s="17" t="s">
        <v>1288</v>
      </c>
      <c r="D1227" s="30" t="s">
        <v>6756</v>
      </c>
      <c r="E1227" s="17" t="s">
        <v>3055</v>
      </c>
      <c r="F1227" s="454">
        <f t="shared" si="572"/>
        <v>11.709999999999999</v>
      </c>
      <c r="G1227" s="529">
        <v>11.709999999999999</v>
      </c>
      <c r="H1227" s="487">
        <f t="shared" si="573"/>
        <v>9.3699999999999992</v>
      </c>
      <c r="I1227" s="706"/>
      <c r="J1227" s="669" t="s">
        <v>5805</v>
      </c>
      <c r="K1227" s="15"/>
      <c r="L1227"/>
      <c r="M1227" s="49">
        <f t="shared" si="574"/>
        <v>11.709999999999999</v>
      </c>
      <c r="N1227" s="41">
        <v>8.77</v>
      </c>
      <c r="O1227" s="54"/>
      <c r="P1227" s="74"/>
      <c r="Q1227"/>
      <c r="R1227"/>
      <c r="S1227" t="s">
        <v>1017</v>
      </c>
      <c r="T1227" s="178" t="s">
        <v>4180</v>
      </c>
      <c r="U1227" s="75"/>
      <c r="V1227" s="65"/>
      <c r="W1227"/>
      <c r="X1227"/>
      <c r="Y1227" s="65"/>
      <c r="Z1227" s="65"/>
      <c r="AA1227" s="65"/>
      <c r="AB1227" s="65"/>
      <c r="AC1227" s="65"/>
      <c r="AD1227" s="91"/>
      <c r="AE1227" s="124"/>
      <c r="AF1227" s="65"/>
      <c r="AG1227" s="91"/>
      <c r="AH1227" s="212" t="str">
        <f>IF(ISERROR(SEARCH("K erstmals 201",D1227)),"",RIGHT(D1227,4))</f>
        <v>2011</v>
      </c>
      <c r="AI1227" s="214" t="str">
        <f t="shared" si="567"/>
        <v/>
      </c>
      <c r="AJ1227" s="214" t="str">
        <f t="shared" si="568"/>
        <v/>
      </c>
      <c r="AK1227" s="214" t="str">
        <f t="shared" si="569"/>
        <v/>
      </c>
      <c r="AL1227" s="214" t="str">
        <f t="shared" si="570"/>
        <v/>
      </c>
      <c r="AM1227" s="214" t="str">
        <f t="shared" si="571"/>
        <v/>
      </c>
      <c r="AN1227" s="213" t="str">
        <f t="shared" si="554"/>
        <v>2011</v>
      </c>
      <c r="AO1227" s="213" t="str">
        <f t="shared" si="555"/>
        <v>2011</v>
      </c>
      <c r="AP1227" s="213" t="str">
        <f t="shared" si="556"/>
        <v>2011</v>
      </c>
      <c r="AQ1227" s="215" t="str">
        <f t="shared" si="557"/>
        <v/>
      </c>
      <c r="AR1227" s="216" t="str">
        <f t="shared" si="558"/>
        <v>BiK83K11----05</v>
      </c>
      <c r="AS1227" s="215" t="str">
        <f t="shared" si="559"/>
        <v/>
      </c>
      <c r="AT1227">
        <f t="shared" si="560"/>
        <v>14</v>
      </c>
      <c r="AU1227" s="216" t="str">
        <f t="shared" si="561"/>
        <v>0,5-5 MW, Bonusregel K erstmals 2011</v>
      </c>
      <c r="AV1227" s="215" t="str">
        <f t="shared" si="562"/>
        <v/>
      </c>
      <c r="AW1227" s="216" t="str">
        <f t="shared" si="563"/>
        <v>Anteil KWK, erstmals 2011</v>
      </c>
      <c r="AX1227" s="215" t="str">
        <f t="shared" si="564"/>
        <v/>
      </c>
      <c r="AY1227" t="str">
        <f t="shared" si="565"/>
        <v>x</v>
      </c>
      <c r="AZ1227" t="str">
        <f t="shared" si="566"/>
        <v/>
      </c>
    </row>
    <row r="1228" spans="1:52" s="178" customFormat="1" x14ac:dyDescent="0.25">
      <c r="A1228" s="625" t="s">
        <v>1597</v>
      </c>
      <c r="B1228" s="221" t="s">
        <v>5548</v>
      </c>
      <c r="C1228" s="221" t="s">
        <v>1288</v>
      </c>
      <c r="D1228" s="219" t="s">
        <v>6757</v>
      </c>
      <c r="E1228" s="221" t="s">
        <v>1980</v>
      </c>
      <c r="F1228" s="455">
        <f t="shared" si="572"/>
        <v>11.68</v>
      </c>
      <c r="G1228" s="530">
        <v>11.68</v>
      </c>
      <c r="H1228" s="488">
        <f t="shared" si="573"/>
        <v>9.34</v>
      </c>
      <c r="I1228" s="707"/>
      <c r="J1228" s="669" t="s">
        <v>5805</v>
      </c>
      <c r="K1228" s="15"/>
      <c r="L1228"/>
      <c r="M1228" s="49">
        <f t="shared" si="574"/>
        <v>11.68</v>
      </c>
      <c r="N1228" s="41">
        <v>8.77</v>
      </c>
      <c r="O1228" s="54"/>
      <c r="P1228" s="74"/>
      <c r="Q1228"/>
      <c r="R1228"/>
      <c r="S1228" t="s">
        <v>4180</v>
      </c>
      <c r="T1228" s="178" t="s">
        <v>1017</v>
      </c>
      <c r="U1228" s="75"/>
      <c r="V1228" s="65"/>
      <c r="W1228"/>
      <c r="X1228"/>
      <c r="Y1228" s="65"/>
      <c r="Z1228" s="65"/>
      <c r="AA1228" s="65"/>
      <c r="AB1228" s="65"/>
      <c r="AC1228" s="65"/>
      <c r="AD1228" s="91"/>
      <c r="AE1228" s="124"/>
      <c r="AF1228" s="65"/>
      <c r="AG1228" s="91"/>
      <c r="AH1228" s="217" t="s">
        <v>4179</v>
      </c>
      <c r="AI1228" s="214" t="str">
        <f t="shared" si="567"/>
        <v/>
      </c>
      <c r="AJ1228" s="214" t="str">
        <f t="shared" si="568"/>
        <v/>
      </c>
      <c r="AK1228" s="214" t="str">
        <f t="shared" si="569"/>
        <v/>
      </c>
      <c r="AL1228" s="214" t="str">
        <f t="shared" si="570"/>
        <v/>
      </c>
      <c r="AM1228" s="214" t="str">
        <f t="shared" si="571"/>
        <v/>
      </c>
      <c r="AN1228" s="213" t="str">
        <f t="shared" si="554"/>
        <v>2012</v>
      </c>
      <c r="AO1228" s="213" t="str">
        <f t="shared" si="555"/>
        <v>2012</v>
      </c>
      <c r="AP1228" s="213" t="str">
        <f t="shared" si="556"/>
        <v>2012</v>
      </c>
      <c r="AQ1228" s="215" t="str">
        <f t="shared" si="557"/>
        <v/>
      </c>
      <c r="AR1228" s="216" t="str">
        <f t="shared" si="558"/>
        <v>BiK83K12----05</v>
      </c>
      <c r="AS1228" s="215" t="str">
        <f t="shared" si="559"/>
        <v/>
      </c>
      <c r="AT1228">
        <f t="shared" si="560"/>
        <v>14</v>
      </c>
      <c r="AU1228" s="216" t="str">
        <f t="shared" si="561"/>
        <v>0,5-5 MW, Bonusregel K erstmals 2012</v>
      </c>
      <c r="AV1228" s="215" t="str">
        <f t="shared" si="562"/>
        <v/>
      </c>
      <c r="AW1228" s="216" t="str">
        <f t="shared" si="563"/>
        <v>Anteil KWK, erstmals 2012</v>
      </c>
      <c r="AX1228" s="215" t="str">
        <f t="shared" si="564"/>
        <v/>
      </c>
      <c r="AY1228" t="str">
        <f t="shared" si="565"/>
        <v/>
      </c>
      <c r="AZ1228" t="str">
        <f t="shared" si="566"/>
        <v>x</v>
      </c>
    </row>
    <row r="1229" spans="1:52" s="178" customFormat="1" x14ac:dyDescent="0.25">
      <c r="A1229" s="609" t="s">
        <v>3495</v>
      </c>
      <c r="B1229" s="1" t="s">
        <v>5548</v>
      </c>
      <c r="C1229" s="2" t="s">
        <v>1288</v>
      </c>
      <c r="D1229" s="1" t="s">
        <v>598</v>
      </c>
      <c r="E1229" s="1" t="s">
        <v>4810</v>
      </c>
      <c r="F1229" s="456">
        <f t="shared" si="572"/>
        <v>12.77</v>
      </c>
      <c r="G1229" s="531">
        <v>12.77</v>
      </c>
      <c r="H1229" s="489">
        <f t="shared" si="573"/>
        <v>10.220000000000001</v>
      </c>
      <c r="I1229" s="708"/>
      <c r="J1229" s="669" t="s">
        <v>5805</v>
      </c>
      <c r="K1229" s="15"/>
      <c r="L1229"/>
      <c r="M1229" s="49">
        <f t="shared" si="574"/>
        <v>12.77</v>
      </c>
      <c r="N1229" s="41">
        <v>8.77</v>
      </c>
      <c r="O1229" s="54"/>
      <c r="P1229" s="74"/>
      <c r="Q1229"/>
      <c r="R1229"/>
      <c r="S1229" t="s">
        <v>4180</v>
      </c>
      <c r="T1229" s="178" t="s">
        <v>4180</v>
      </c>
      <c r="U1229" s="75"/>
      <c r="V1229" s="65"/>
      <c r="W1229" t="s">
        <v>1017</v>
      </c>
      <c r="X1229"/>
      <c r="Y1229" s="65"/>
      <c r="Z1229" s="65"/>
      <c r="AA1229" s="65"/>
      <c r="AB1229" s="65"/>
      <c r="AC1229" s="65"/>
      <c r="AD1229" s="91"/>
      <c r="AE1229" s="124"/>
      <c r="AF1229" s="65"/>
      <c r="AG1229" s="91"/>
      <c r="AH1229" s="212" t="str">
        <f>IF(ISERROR(SEARCH("K erstmals 201",D1229)),"",RIGHT(D1229,4))</f>
        <v/>
      </c>
      <c r="AI1229" s="214" t="str">
        <f t="shared" si="567"/>
        <v/>
      </c>
      <c r="AJ1229" s="214" t="str">
        <f t="shared" si="568"/>
        <v/>
      </c>
      <c r="AK1229" s="214" t="str">
        <f t="shared" si="569"/>
        <v/>
      </c>
      <c r="AL1229" s="214" t="str">
        <f t="shared" si="570"/>
        <v/>
      </c>
      <c r="AM1229" s="214" t="str">
        <f t="shared" si="571"/>
        <v/>
      </c>
      <c r="AN1229" s="213" t="str">
        <f t="shared" si="554"/>
        <v/>
      </c>
      <c r="AO1229" s="213" t="str">
        <f t="shared" si="555"/>
        <v/>
      </c>
      <c r="AP1229" s="213" t="str">
        <f t="shared" si="556"/>
        <v/>
      </c>
      <c r="AQ1229" s="215" t="str">
        <f t="shared" si="557"/>
        <v/>
      </c>
      <c r="AR1229" s="216" t="str">
        <f t="shared" si="558"/>
        <v>BiK83a2-----05</v>
      </c>
      <c r="AS1229" s="215" t="str">
        <f t="shared" si="559"/>
        <v/>
      </c>
      <c r="AT1229">
        <f t="shared" si="560"/>
        <v>14</v>
      </c>
      <c r="AU1229" s="216" t="str">
        <f t="shared" si="561"/>
        <v>0,5-5 MW, Bonusregel a2</v>
      </c>
      <c r="AV1229" s="215" t="str">
        <f t="shared" si="562"/>
        <v/>
      </c>
      <c r="AW1229" s="216" t="str">
        <f t="shared" si="563"/>
        <v>Anteil Nicht-KWK</v>
      </c>
      <c r="AX1229" s="215" t="str">
        <f t="shared" si="564"/>
        <v/>
      </c>
      <c r="AY1229" t="str">
        <f t="shared" si="565"/>
        <v/>
      </c>
      <c r="AZ1229" t="str">
        <f t="shared" si="566"/>
        <v/>
      </c>
    </row>
    <row r="1230" spans="1:52" s="178" customFormat="1" x14ac:dyDescent="0.25">
      <c r="A1230" s="609" t="s">
        <v>3496</v>
      </c>
      <c r="B1230" s="1" t="s">
        <v>5548</v>
      </c>
      <c r="C1230" s="2" t="s">
        <v>1288</v>
      </c>
      <c r="D1230" s="1" t="s">
        <v>6775</v>
      </c>
      <c r="E1230" s="1" t="s">
        <v>4812</v>
      </c>
      <c r="F1230" s="456">
        <f t="shared" si="572"/>
        <v>14.77</v>
      </c>
      <c r="G1230" s="531">
        <v>14.77</v>
      </c>
      <c r="H1230" s="489">
        <f t="shared" si="573"/>
        <v>11.82</v>
      </c>
      <c r="I1230" s="708"/>
      <c r="J1230" s="669" t="s">
        <v>5805</v>
      </c>
      <c r="K1230" s="15"/>
      <c r="L1230"/>
      <c r="M1230" s="49">
        <f t="shared" si="574"/>
        <v>14.77</v>
      </c>
      <c r="N1230" s="41">
        <v>8.77</v>
      </c>
      <c r="O1230" s="54" t="s">
        <v>1017</v>
      </c>
      <c r="P1230" s="74"/>
      <c r="Q1230"/>
      <c r="R1230"/>
      <c r="S1230" t="s">
        <v>4180</v>
      </c>
      <c r="T1230" s="178" t="s">
        <v>4180</v>
      </c>
      <c r="U1230" s="75"/>
      <c r="V1230" s="65"/>
      <c r="W1230" t="s">
        <v>1017</v>
      </c>
      <c r="X1230"/>
      <c r="Y1230" s="65"/>
      <c r="Z1230" s="65"/>
      <c r="AA1230" s="65"/>
      <c r="AB1230" s="65"/>
      <c r="AC1230" s="65"/>
      <c r="AD1230" s="91"/>
      <c r="AE1230" s="124"/>
      <c r="AF1230" s="65"/>
      <c r="AG1230" s="91"/>
      <c r="AH1230" s="212" t="str">
        <f>IF(ISERROR(SEARCH("K erstmals 201",D1230)),"",RIGHT(D1230,4))</f>
        <v/>
      </c>
      <c r="AI1230" s="214" t="str">
        <f t="shared" si="567"/>
        <v/>
      </c>
      <c r="AJ1230" s="214" t="str">
        <f t="shared" si="568"/>
        <v/>
      </c>
      <c r="AK1230" s="214" t="str">
        <f t="shared" si="569"/>
        <v/>
      </c>
      <c r="AL1230" s="214" t="str">
        <f t="shared" si="570"/>
        <v/>
      </c>
      <c r="AM1230" s="214" t="str">
        <f t="shared" si="571"/>
        <v/>
      </c>
      <c r="AN1230" s="213" t="str">
        <f t="shared" si="554"/>
        <v/>
      </c>
      <c r="AO1230" s="213" t="str">
        <f t="shared" si="555"/>
        <v/>
      </c>
      <c r="AP1230" s="213" t="str">
        <f t="shared" si="556"/>
        <v/>
      </c>
      <c r="AQ1230" s="215" t="str">
        <f t="shared" si="557"/>
        <v/>
      </c>
      <c r="AR1230" s="216" t="str">
        <f t="shared" si="558"/>
        <v>BiK83a2KWK--05</v>
      </c>
      <c r="AS1230" s="215" t="str">
        <f t="shared" si="559"/>
        <v/>
      </c>
      <c r="AT1230">
        <f t="shared" si="560"/>
        <v>14</v>
      </c>
      <c r="AU1230" s="216" t="str">
        <f t="shared" si="561"/>
        <v>0,5-5 MW, Bonusregel a2 und KWK</v>
      </c>
      <c r="AV1230" s="215" t="str">
        <f t="shared" si="562"/>
        <v/>
      </c>
      <c r="AW1230" s="216" t="str">
        <f t="shared" si="563"/>
        <v>Anteil KWK</v>
      </c>
      <c r="AX1230" s="215" t="str">
        <f t="shared" si="564"/>
        <v/>
      </c>
      <c r="AY1230" t="str">
        <f t="shared" si="565"/>
        <v/>
      </c>
      <c r="AZ1230" t="str">
        <f t="shared" si="566"/>
        <v/>
      </c>
    </row>
    <row r="1231" spans="1:52" s="178" customFormat="1" x14ac:dyDescent="0.25">
      <c r="A1231" s="610" t="s">
        <v>2353</v>
      </c>
      <c r="B1231" s="17" t="s">
        <v>5548</v>
      </c>
      <c r="C1231" s="17" t="s">
        <v>1288</v>
      </c>
      <c r="D1231" s="30" t="s">
        <v>6776</v>
      </c>
      <c r="E1231" s="17" t="s">
        <v>674</v>
      </c>
      <c r="F1231" s="454">
        <f t="shared" si="572"/>
        <v>15.77</v>
      </c>
      <c r="G1231" s="529">
        <v>15.77</v>
      </c>
      <c r="H1231" s="487">
        <f t="shared" si="573"/>
        <v>12.62</v>
      </c>
      <c r="I1231" s="706"/>
      <c r="J1231" s="669" t="s">
        <v>5805</v>
      </c>
      <c r="K1231" s="15"/>
      <c r="L1231"/>
      <c r="M1231" s="49">
        <f t="shared" si="574"/>
        <v>15.77</v>
      </c>
      <c r="N1231" s="41">
        <v>8.77</v>
      </c>
      <c r="O1231" s="54"/>
      <c r="P1231" s="74"/>
      <c r="Q1231" t="s">
        <v>1017</v>
      </c>
      <c r="R1231"/>
      <c r="S1231" t="s">
        <v>4180</v>
      </c>
      <c r="T1231" s="178" t="s">
        <v>4180</v>
      </c>
      <c r="U1231" s="75"/>
      <c r="V1231" s="65"/>
      <c r="W1231" t="s">
        <v>1017</v>
      </c>
      <c r="X1231"/>
      <c r="Y1231" s="65"/>
      <c r="Z1231" s="65"/>
      <c r="AA1231" s="65"/>
      <c r="AB1231" s="65"/>
      <c r="AC1231" s="65"/>
      <c r="AD1231" s="91"/>
      <c r="AE1231" s="124"/>
      <c r="AF1231" s="65"/>
      <c r="AG1231" s="91"/>
      <c r="AH1231" s="212" t="str">
        <f>IF(ISERROR(SEARCH("K erstmals 201",D1231)),"",RIGHT(D1231,4))</f>
        <v/>
      </c>
      <c r="AI1231" s="214" t="str">
        <f t="shared" si="567"/>
        <v/>
      </c>
      <c r="AJ1231" s="214" t="str">
        <f t="shared" si="568"/>
        <v/>
      </c>
      <c r="AK1231" s="214" t="str">
        <f t="shared" si="569"/>
        <v/>
      </c>
      <c r="AL1231" s="214" t="str">
        <f t="shared" si="570"/>
        <v/>
      </c>
      <c r="AM1231" s="214" t="str">
        <f t="shared" si="571"/>
        <v/>
      </c>
      <c r="AN1231" s="213" t="str">
        <f t="shared" si="554"/>
        <v/>
      </c>
      <c r="AO1231" s="213" t="str">
        <f t="shared" si="555"/>
        <v/>
      </c>
      <c r="AP1231" s="213" t="str">
        <f t="shared" si="556"/>
        <v/>
      </c>
      <c r="AQ1231" s="215" t="str">
        <f t="shared" si="557"/>
        <v/>
      </c>
      <c r="AR1231" s="216" t="str">
        <f t="shared" si="558"/>
        <v>BiK83a2K09--05</v>
      </c>
      <c r="AS1231" s="215" t="str">
        <f t="shared" si="559"/>
        <v/>
      </c>
      <c r="AT1231">
        <f t="shared" si="560"/>
        <v>14</v>
      </c>
      <c r="AU1231" s="216" t="str">
        <f t="shared" si="561"/>
        <v>0,5-5 MW, Bonusregeln a2 und K erstmals 2009</v>
      </c>
      <c r="AV1231" s="215" t="str">
        <f t="shared" si="562"/>
        <v/>
      </c>
      <c r="AW1231" s="216" t="str">
        <f t="shared" si="563"/>
        <v>Anteil KWK, erstmals 2009</v>
      </c>
      <c r="AX1231" s="215" t="str">
        <f t="shared" si="564"/>
        <v/>
      </c>
      <c r="AY1231" t="str">
        <f t="shared" si="565"/>
        <v/>
      </c>
      <c r="AZ1231" t="str">
        <f t="shared" si="566"/>
        <v/>
      </c>
    </row>
    <row r="1232" spans="1:52" s="178" customFormat="1" x14ac:dyDescent="0.25">
      <c r="A1232" s="610" t="s">
        <v>3617</v>
      </c>
      <c r="B1232" s="17" t="s">
        <v>5548</v>
      </c>
      <c r="C1232" s="17" t="s">
        <v>1288</v>
      </c>
      <c r="D1232" s="30" t="s">
        <v>6777</v>
      </c>
      <c r="E1232" s="17" t="s">
        <v>3567</v>
      </c>
      <c r="F1232" s="454">
        <f t="shared" si="572"/>
        <v>15.74</v>
      </c>
      <c r="G1232" s="529">
        <v>15.74</v>
      </c>
      <c r="H1232" s="487">
        <f t="shared" si="573"/>
        <v>12.59</v>
      </c>
      <c r="I1232" s="706"/>
      <c r="J1232" s="669" t="s">
        <v>5805</v>
      </c>
      <c r="K1232" s="15"/>
      <c r="L1232"/>
      <c r="M1232" s="49">
        <f t="shared" si="574"/>
        <v>15.74</v>
      </c>
      <c r="N1232" s="41">
        <v>8.77</v>
      </c>
      <c r="O1232" s="54"/>
      <c r="P1232" s="74"/>
      <c r="Q1232"/>
      <c r="R1232" t="s">
        <v>1017</v>
      </c>
      <c r="S1232" t="s">
        <v>4180</v>
      </c>
      <c r="T1232" s="178" t="s">
        <v>4180</v>
      </c>
      <c r="U1232" s="75"/>
      <c r="V1232" s="65"/>
      <c r="W1232" t="s">
        <v>1017</v>
      </c>
      <c r="X1232"/>
      <c r="Y1232" s="65"/>
      <c r="Z1232" s="65"/>
      <c r="AA1232" s="65"/>
      <c r="AB1232" s="65"/>
      <c r="AC1232" s="65"/>
      <c r="AD1232" s="91"/>
      <c r="AE1232" s="124"/>
      <c r="AF1232" s="65"/>
      <c r="AG1232" s="91"/>
      <c r="AH1232" s="212" t="str">
        <f>IF(ISERROR(SEARCH("K erstmals 201",D1232)),"",RIGHT(D1232,4))</f>
        <v>2010</v>
      </c>
      <c r="AI1232" s="214" t="str">
        <f t="shared" si="567"/>
        <v/>
      </c>
      <c r="AJ1232" s="214" t="str">
        <f t="shared" si="568"/>
        <v/>
      </c>
      <c r="AK1232" s="214" t="str">
        <f t="shared" si="569"/>
        <v/>
      </c>
      <c r="AL1232" s="214" t="str">
        <f t="shared" si="570"/>
        <v/>
      </c>
      <c r="AM1232" s="214" t="str">
        <f t="shared" si="571"/>
        <v/>
      </c>
      <c r="AN1232" s="213" t="str">
        <f t="shared" si="554"/>
        <v>2010</v>
      </c>
      <c r="AO1232" s="213" t="str">
        <f t="shared" si="555"/>
        <v>2010</v>
      </c>
      <c r="AP1232" s="213" t="str">
        <f t="shared" si="556"/>
        <v>2010</v>
      </c>
      <c r="AQ1232" s="215" t="str">
        <f t="shared" si="557"/>
        <v/>
      </c>
      <c r="AR1232" s="216" t="str">
        <f t="shared" si="558"/>
        <v>BiK83a2K10--05</v>
      </c>
      <c r="AS1232" s="215" t="str">
        <f t="shared" si="559"/>
        <v/>
      </c>
      <c r="AT1232">
        <f t="shared" si="560"/>
        <v>14</v>
      </c>
      <c r="AU1232" s="216" t="str">
        <f t="shared" si="561"/>
        <v>0,5-5 MW, Bonusregeln a2 und K erstmals 2010</v>
      </c>
      <c r="AV1232" s="215" t="str">
        <f t="shared" si="562"/>
        <v/>
      </c>
      <c r="AW1232" s="216" t="str">
        <f t="shared" si="563"/>
        <v>Anteil KWK, erstmals 2010</v>
      </c>
      <c r="AX1232" s="215" t="str">
        <f t="shared" si="564"/>
        <v/>
      </c>
      <c r="AY1232" t="str">
        <f t="shared" si="565"/>
        <v/>
      </c>
      <c r="AZ1232" t="str">
        <f t="shared" si="566"/>
        <v/>
      </c>
    </row>
    <row r="1233" spans="1:52" s="178" customFormat="1" x14ac:dyDescent="0.25">
      <c r="A1233" s="610" t="s">
        <v>5348</v>
      </c>
      <c r="B1233" s="17" t="s">
        <v>5548</v>
      </c>
      <c r="C1233" s="17" t="s">
        <v>1288</v>
      </c>
      <c r="D1233" s="30" t="s">
        <v>6778</v>
      </c>
      <c r="E1233" s="17" t="s">
        <v>3055</v>
      </c>
      <c r="F1233" s="454">
        <f t="shared" si="572"/>
        <v>15.709999999999999</v>
      </c>
      <c r="G1233" s="529">
        <v>15.709999999999999</v>
      </c>
      <c r="H1233" s="487">
        <f t="shared" si="573"/>
        <v>12.57</v>
      </c>
      <c r="I1233" s="706"/>
      <c r="J1233" s="669" t="s">
        <v>5805</v>
      </c>
      <c r="K1233" s="15"/>
      <c r="L1233"/>
      <c r="M1233" s="49">
        <f t="shared" si="574"/>
        <v>15.709999999999999</v>
      </c>
      <c r="N1233" s="41">
        <v>8.77</v>
      </c>
      <c r="O1233" s="54"/>
      <c r="P1233" s="74"/>
      <c r="Q1233"/>
      <c r="R1233"/>
      <c r="S1233" t="s">
        <v>1017</v>
      </c>
      <c r="T1233" s="178" t="s">
        <v>4180</v>
      </c>
      <c r="U1233" s="75"/>
      <c r="V1233" s="65"/>
      <c r="W1233" t="s">
        <v>1017</v>
      </c>
      <c r="X1233"/>
      <c r="Y1233" s="65"/>
      <c r="Z1233" s="65"/>
      <c r="AA1233" s="65"/>
      <c r="AB1233" s="65"/>
      <c r="AC1233" s="65"/>
      <c r="AD1233" s="91"/>
      <c r="AE1233" s="124"/>
      <c r="AF1233" s="65"/>
      <c r="AG1233" s="91"/>
      <c r="AH1233" s="212" t="str">
        <f>IF(ISERROR(SEARCH("K erstmals 201",D1233)),"",RIGHT(D1233,4))</f>
        <v>2011</v>
      </c>
      <c r="AI1233" s="214" t="str">
        <f t="shared" si="567"/>
        <v/>
      </c>
      <c r="AJ1233" s="214" t="str">
        <f t="shared" si="568"/>
        <v/>
      </c>
      <c r="AK1233" s="214" t="str">
        <f t="shared" si="569"/>
        <v/>
      </c>
      <c r="AL1233" s="214" t="str">
        <f t="shared" si="570"/>
        <v/>
      </c>
      <c r="AM1233" s="214" t="str">
        <f t="shared" si="571"/>
        <v/>
      </c>
      <c r="AN1233" s="213" t="str">
        <f t="shared" si="554"/>
        <v>2011</v>
      </c>
      <c r="AO1233" s="213" t="str">
        <f t="shared" si="555"/>
        <v>2011</v>
      </c>
      <c r="AP1233" s="213" t="str">
        <f t="shared" si="556"/>
        <v>2011</v>
      </c>
      <c r="AQ1233" s="215" t="str">
        <f t="shared" si="557"/>
        <v/>
      </c>
      <c r="AR1233" s="216" t="str">
        <f t="shared" si="558"/>
        <v>BiK83a2K11--05</v>
      </c>
      <c r="AS1233" s="215" t="str">
        <f t="shared" si="559"/>
        <v/>
      </c>
      <c r="AT1233">
        <f t="shared" si="560"/>
        <v>14</v>
      </c>
      <c r="AU1233" s="216" t="str">
        <f t="shared" si="561"/>
        <v>0,5-5 MW, Bonusregeln a2 und K erstmals 2011</v>
      </c>
      <c r="AV1233" s="215" t="str">
        <f t="shared" si="562"/>
        <v/>
      </c>
      <c r="AW1233" s="216" t="str">
        <f t="shared" si="563"/>
        <v>Anteil KWK, erstmals 2011</v>
      </c>
      <c r="AX1233" s="215" t="str">
        <f t="shared" si="564"/>
        <v/>
      </c>
      <c r="AY1233" t="str">
        <f t="shared" si="565"/>
        <v>x</v>
      </c>
      <c r="AZ1233" t="str">
        <f t="shared" si="566"/>
        <v/>
      </c>
    </row>
    <row r="1234" spans="1:52" s="178" customFormat="1" x14ac:dyDescent="0.25">
      <c r="A1234" s="625" t="s">
        <v>1598</v>
      </c>
      <c r="B1234" s="221" t="s">
        <v>5548</v>
      </c>
      <c r="C1234" s="221" t="s">
        <v>1288</v>
      </c>
      <c r="D1234" s="219" t="s">
        <v>6779</v>
      </c>
      <c r="E1234" s="221" t="s">
        <v>1980</v>
      </c>
      <c r="F1234" s="455">
        <f t="shared" si="572"/>
        <v>15.68</v>
      </c>
      <c r="G1234" s="530">
        <v>15.68</v>
      </c>
      <c r="H1234" s="488">
        <f t="shared" si="573"/>
        <v>12.54</v>
      </c>
      <c r="I1234" s="707"/>
      <c r="J1234" s="669" t="s">
        <v>5805</v>
      </c>
      <c r="K1234" s="15"/>
      <c r="L1234"/>
      <c r="M1234" s="49">
        <f t="shared" si="574"/>
        <v>15.68</v>
      </c>
      <c r="N1234" s="41">
        <v>8.77</v>
      </c>
      <c r="O1234" s="54"/>
      <c r="P1234" s="74"/>
      <c r="Q1234"/>
      <c r="R1234"/>
      <c r="S1234" t="s">
        <v>4180</v>
      </c>
      <c r="T1234" s="178" t="s">
        <v>1017</v>
      </c>
      <c r="U1234" s="75"/>
      <c r="V1234" s="65"/>
      <c r="W1234" t="s">
        <v>1017</v>
      </c>
      <c r="X1234"/>
      <c r="Y1234" s="65"/>
      <c r="Z1234" s="65"/>
      <c r="AA1234" s="65"/>
      <c r="AB1234" s="65"/>
      <c r="AC1234" s="65"/>
      <c r="AD1234" s="91"/>
      <c r="AE1234" s="124"/>
      <c r="AF1234" s="65"/>
      <c r="AG1234" s="91"/>
      <c r="AH1234" s="217" t="s">
        <v>4179</v>
      </c>
      <c r="AI1234" s="214" t="str">
        <f t="shared" si="567"/>
        <v/>
      </c>
      <c r="AJ1234" s="214" t="str">
        <f t="shared" si="568"/>
        <v/>
      </c>
      <c r="AK1234" s="214" t="str">
        <f t="shared" si="569"/>
        <v/>
      </c>
      <c r="AL1234" s="214" t="str">
        <f t="shared" si="570"/>
        <v/>
      </c>
      <c r="AM1234" s="214" t="str">
        <f t="shared" si="571"/>
        <v/>
      </c>
      <c r="AN1234" s="213" t="str">
        <f t="shared" si="554"/>
        <v>2012</v>
      </c>
      <c r="AO1234" s="213" t="str">
        <f t="shared" si="555"/>
        <v>2012</v>
      </c>
      <c r="AP1234" s="213" t="str">
        <f t="shared" si="556"/>
        <v>2012</v>
      </c>
      <c r="AQ1234" s="215" t="str">
        <f t="shared" si="557"/>
        <v/>
      </c>
      <c r="AR1234" s="216" t="str">
        <f t="shared" si="558"/>
        <v>BiK83a2K12--05</v>
      </c>
      <c r="AS1234" s="215" t="str">
        <f t="shared" si="559"/>
        <v/>
      </c>
      <c r="AT1234">
        <f t="shared" si="560"/>
        <v>14</v>
      </c>
      <c r="AU1234" s="216" t="str">
        <f t="shared" si="561"/>
        <v>0,5-5 MW, Bonusregeln a2 und K erstmals 2012</v>
      </c>
      <c r="AV1234" s="215" t="str">
        <f t="shared" si="562"/>
        <v/>
      </c>
      <c r="AW1234" s="216" t="str">
        <f t="shared" si="563"/>
        <v>Anteil KWK, erstmals 2012</v>
      </c>
      <c r="AX1234" s="215" t="str">
        <f t="shared" si="564"/>
        <v/>
      </c>
      <c r="AY1234" t="str">
        <f t="shared" si="565"/>
        <v/>
      </c>
      <c r="AZ1234" t="str">
        <f t="shared" si="566"/>
        <v>x</v>
      </c>
    </row>
    <row r="1235" spans="1:52" s="178" customFormat="1" x14ac:dyDescent="0.25">
      <c r="A1235" s="609" t="s">
        <v>3497</v>
      </c>
      <c r="B1235" s="1" t="s">
        <v>5548</v>
      </c>
      <c r="C1235" s="2" t="s">
        <v>1288</v>
      </c>
      <c r="D1235" s="1" t="s">
        <v>6762</v>
      </c>
      <c r="E1235" s="1" t="s">
        <v>4810</v>
      </c>
      <c r="F1235" s="456">
        <f t="shared" si="572"/>
        <v>11.27</v>
      </c>
      <c r="G1235" s="531">
        <v>11.27</v>
      </c>
      <c r="H1235" s="489">
        <f t="shared" si="573"/>
        <v>9.02</v>
      </c>
      <c r="I1235" s="708"/>
      <c r="J1235" s="669" t="s">
        <v>5805</v>
      </c>
      <c r="K1235" s="15"/>
      <c r="L1235"/>
      <c r="M1235" s="49">
        <f t="shared" si="574"/>
        <v>11.27</v>
      </c>
      <c r="N1235" s="41">
        <v>8.77</v>
      </c>
      <c r="O1235" s="54"/>
      <c r="P1235" s="74"/>
      <c r="Q1235"/>
      <c r="R1235"/>
      <c r="S1235" t="s">
        <v>4180</v>
      </c>
      <c r="T1235" s="178" t="s">
        <v>4180</v>
      </c>
      <c r="U1235" s="75"/>
      <c r="V1235" s="65"/>
      <c r="W1235"/>
      <c r="X1235" t="s">
        <v>1017</v>
      </c>
      <c r="Y1235" s="65"/>
      <c r="Z1235" s="65"/>
      <c r="AA1235" s="65"/>
      <c r="AB1235" s="65"/>
      <c r="AC1235" s="65"/>
      <c r="AD1235" s="91"/>
      <c r="AE1235" s="124"/>
      <c r="AF1235" s="65"/>
      <c r="AG1235" s="91"/>
      <c r="AH1235" s="212" t="str">
        <f>IF(ISERROR(SEARCH("K erstmals 201",D1235)),"",RIGHT(D1235,4))</f>
        <v/>
      </c>
      <c r="AI1235" s="214" t="str">
        <f t="shared" si="567"/>
        <v/>
      </c>
      <c r="AJ1235" s="214" t="str">
        <f t="shared" si="568"/>
        <v/>
      </c>
      <c r="AK1235" s="214" t="str">
        <f t="shared" si="569"/>
        <v/>
      </c>
      <c r="AL1235" s="214" t="str">
        <f t="shared" si="570"/>
        <v/>
      </c>
      <c r="AM1235" s="214" t="str">
        <f t="shared" si="571"/>
        <v/>
      </c>
      <c r="AN1235" s="213" t="str">
        <f t="shared" si="554"/>
        <v/>
      </c>
      <c r="AO1235" s="213" t="str">
        <f t="shared" si="555"/>
        <v/>
      </c>
      <c r="AP1235" s="213" t="str">
        <f t="shared" si="556"/>
        <v/>
      </c>
      <c r="AQ1235" s="215" t="str">
        <f t="shared" si="557"/>
        <v/>
      </c>
      <c r="AR1235" s="216" t="str">
        <f t="shared" si="558"/>
        <v>BiK83a3-----05</v>
      </c>
      <c r="AS1235" s="215" t="str">
        <f t="shared" si="559"/>
        <v/>
      </c>
      <c r="AT1235">
        <f t="shared" si="560"/>
        <v>14</v>
      </c>
      <c r="AU1235" s="216" t="str">
        <f t="shared" si="561"/>
        <v>0,5-5 MW, Bonusregel a3</v>
      </c>
      <c r="AV1235" s="215" t="str">
        <f t="shared" si="562"/>
        <v/>
      </c>
      <c r="AW1235" s="216" t="str">
        <f t="shared" si="563"/>
        <v>Anteil Nicht-KWK</v>
      </c>
      <c r="AX1235" s="215" t="str">
        <f t="shared" si="564"/>
        <v/>
      </c>
      <c r="AY1235" t="str">
        <f t="shared" si="565"/>
        <v/>
      </c>
      <c r="AZ1235" t="str">
        <f t="shared" si="566"/>
        <v/>
      </c>
    </row>
    <row r="1236" spans="1:52" s="178" customFormat="1" x14ac:dyDescent="0.25">
      <c r="A1236" s="609" t="s">
        <v>3498</v>
      </c>
      <c r="B1236" s="1" t="s">
        <v>5548</v>
      </c>
      <c r="C1236" s="2" t="s">
        <v>1288</v>
      </c>
      <c r="D1236" s="1" t="s">
        <v>6780</v>
      </c>
      <c r="E1236" s="1" t="s">
        <v>4812</v>
      </c>
      <c r="F1236" s="456">
        <f t="shared" si="572"/>
        <v>13.27</v>
      </c>
      <c r="G1236" s="531">
        <v>13.27</v>
      </c>
      <c r="H1236" s="489">
        <f t="shared" si="573"/>
        <v>10.62</v>
      </c>
      <c r="I1236" s="708"/>
      <c r="J1236" s="669" t="s">
        <v>5805</v>
      </c>
      <c r="K1236" s="15"/>
      <c r="L1236"/>
      <c r="M1236" s="49">
        <f t="shared" si="574"/>
        <v>13.27</v>
      </c>
      <c r="N1236" s="41">
        <v>8.77</v>
      </c>
      <c r="O1236" s="54" t="s">
        <v>1017</v>
      </c>
      <c r="P1236" s="74"/>
      <c r="Q1236"/>
      <c r="R1236"/>
      <c r="S1236" t="s">
        <v>4180</v>
      </c>
      <c r="T1236" s="178" t="s">
        <v>4180</v>
      </c>
      <c r="U1236" s="75"/>
      <c r="V1236" s="65"/>
      <c r="W1236"/>
      <c r="X1236" t="s">
        <v>1017</v>
      </c>
      <c r="Y1236" s="65"/>
      <c r="Z1236" s="65"/>
      <c r="AA1236" s="65"/>
      <c r="AB1236" s="65"/>
      <c r="AC1236" s="65"/>
      <c r="AD1236" s="91"/>
      <c r="AE1236" s="124"/>
      <c r="AF1236" s="65"/>
      <c r="AG1236" s="91"/>
      <c r="AH1236" s="212" t="str">
        <f>IF(ISERROR(SEARCH("K erstmals 201",D1236)),"",RIGHT(D1236,4))</f>
        <v/>
      </c>
      <c r="AI1236" s="214" t="str">
        <f t="shared" si="567"/>
        <v/>
      </c>
      <c r="AJ1236" s="214" t="str">
        <f t="shared" si="568"/>
        <v/>
      </c>
      <c r="AK1236" s="214" t="str">
        <f t="shared" si="569"/>
        <v/>
      </c>
      <c r="AL1236" s="214" t="str">
        <f t="shared" si="570"/>
        <v/>
      </c>
      <c r="AM1236" s="214" t="str">
        <f t="shared" si="571"/>
        <v/>
      </c>
      <c r="AN1236" s="213" t="str">
        <f t="shared" si="554"/>
        <v/>
      </c>
      <c r="AO1236" s="213" t="str">
        <f t="shared" si="555"/>
        <v/>
      </c>
      <c r="AP1236" s="213" t="str">
        <f t="shared" si="556"/>
        <v/>
      </c>
      <c r="AQ1236" s="215" t="str">
        <f t="shared" si="557"/>
        <v/>
      </c>
      <c r="AR1236" s="216" t="str">
        <f t="shared" si="558"/>
        <v>BiK83a3KWK--05</v>
      </c>
      <c r="AS1236" s="215" t="str">
        <f t="shared" si="559"/>
        <v/>
      </c>
      <c r="AT1236">
        <f t="shared" si="560"/>
        <v>14</v>
      </c>
      <c r="AU1236" s="216" t="str">
        <f t="shared" si="561"/>
        <v>0,5-5 MW, Bonusregel a3 und KWK</v>
      </c>
      <c r="AV1236" s="215" t="str">
        <f t="shared" si="562"/>
        <v/>
      </c>
      <c r="AW1236" s="216" t="str">
        <f t="shared" si="563"/>
        <v>Anteil KWK</v>
      </c>
      <c r="AX1236" s="215" t="str">
        <f t="shared" si="564"/>
        <v/>
      </c>
      <c r="AY1236" t="str">
        <f t="shared" si="565"/>
        <v/>
      </c>
      <c r="AZ1236" t="str">
        <f t="shared" si="566"/>
        <v/>
      </c>
    </row>
    <row r="1237" spans="1:52" s="178" customFormat="1" x14ac:dyDescent="0.25">
      <c r="A1237" s="610" t="s">
        <v>2354</v>
      </c>
      <c r="B1237" s="17" t="s">
        <v>5548</v>
      </c>
      <c r="C1237" s="17" t="s">
        <v>1288</v>
      </c>
      <c r="D1237" s="30" t="s">
        <v>6781</v>
      </c>
      <c r="E1237" s="17" t="s">
        <v>674</v>
      </c>
      <c r="F1237" s="454">
        <f t="shared" si="572"/>
        <v>14.27</v>
      </c>
      <c r="G1237" s="529">
        <v>14.27</v>
      </c>
      <c r="H1237" s="487">
        <f t="shared" si="573"/>
        <v>11.42</v>
      </c>
      <c r="I1237" s="706"/>
      <c r="J1237" s="669" t="s">
        <v>5805</v>
      </c>
      <c r="K1237" s="15"/>
      <c r="L1237"/>
      <c r="M1237" s="49">
        <f t="shared" si="574"/>
        <v>14.27</v>
      </c>
      <c r="N1237" s="41">
        <v>8.77</v>
      </c>
      <c r="O1237" s="54"/>
      <c r="P1237" s="74"/>
      <c r="Q1237" t="s">
        <v>1017</v>
      </c>
      <c r="R1237"/>
      <c r="S1237" t="s">
        <v>4180</v>
      </c>
      <c r="T1237" s="178" t="s">
        <v>4180</v>
      </c>
      <c r="U1237" s="75"/>
      <c r="V1237" s="65"/>
      <c r="W1237"/>
      <c r="X1237" t="s">
        <v>1017</v>
      </c>
      <c r="Y1237" s="65"/>
      <c r="Z1237" s="65"/>
      <c r="AA1237" s="65"/>
      <c r="AB1237" s="65"/>
      <c r="AC1237" s="65"/>
      <c r="AD1237" s="91"/>
      <c r="AE1237" s="124"/>
      <c r="AF1237" s="65"/>
      <c r="AG1237" s="91"/>
      <c r="AH1237" s="212" t="str">
        <f>IF(ISERROR(SEARCH("K erstmals 201",D1237)),"",RIGHT(D1237,4))</f>
        <v/>
      </c>
      <c r="AI1237" s="214" t="str">
        <f t="shared" si="567"/>
        <v/>
      </c>
      <c r="AJ1237" s="214" t="str">
        <f t="shared" si="568"/>
        <v/>
      </c>
      <c r="AK1237" s="214" t="str">
        <f t="shared" si="569"/>
        <v/>
      </c>
      <c r="AL1237" s="214" t="str">
        <f t="shared" si="570"/>
        <v/>
      </c>
      <c r="AM1237" s="214" t="str">
        <f t="shared" si="571"/>
        <v/>
      </c>
      <c r="AN1237" s="213" t="str">
        <f t="shared" si="554"/>
        <v/>
      </c>
      <c r="AO1237" s="213" t="str">
        <f t="shared" si="555"/>
        <v/>
      </c>
      <c r="AP1237" s="213" t="str">
        <f t="shared" si="556"/>
        <v/>
      </c>
      <c r="AQ1237" s="215" t="str">
        <f t="shared" si="557"/>
        <v/>
      </c>
      <c r="AR1237" s="216" t="str">
        <f t="shared" si="558"/>
        <v>BiK83a3K09--05</v>
      </c>
      <c r="AS1237" s="215" t="str">
        <f t="shared" si="559"/>
        <v/>
      </c>
      <c r="AT1237">
        <f t="shared" si="560"/>
        <v>14</v>
      </c>
      <c r="AU1237" s="216" t="str">
        <f t="shared" si="561"/>
        <v>0,5-5 MW, Bonusregeln a3 und K erstmals 2009</v>
      </c>
      <c r="AV1237" s="215" t="str">
        <f t="shared" si="562"/>
        <v/>
      </c>
      <c r="AW1237" s="216" t="str">
        <f t="shared" si="563"/>
        <v>Anteil KWK, erstmals 2009</v>
      </c>
      <c r="AX1237" s="215" t="str">
        <f t="shared" si="564"/>
        <v/>
      </c>
      <c r="AY1237" t="str">
        <f t="shared" si="565"/>
        <v/>
      </c>
      <c r="AZ1237" t="str">
        <f t="shared" si="566"/>
        <v/>
      </c>
    </row>
    <row r="1238" spans="1:52" s="178" customFormat="1" x14ac:dyDescent="0.25">
      <c r="A1238" s="610" t="s">
        <v>3618</v>
      </c>
      <c r="B1238" s="17" t="s">
        <v>5548</v>
      </c>
      <c r="C1238" s="17" t="s">
        <v>1288</v>
      </c>
      <c r="D1238" s="30" t="s">
        <v>6782</v>
      </c>
      <c r="E1238" s="17" t="s">
        <v>3567</v>
      </c>
      <c r="F1238" s="454">
        <f t="shared" si="572"/>
        <v>14.24</v>
      </c>
      <c r="G1238" s="529">
        <v>14.24</v>
      </c>
      <c r="H1238" s="487">
        <f t="shared" si="573"/>
        <v>11.39</v>
      </c>
      <c r="I1238" s="706"/>
      <c r="J1238" s="669" t="s">
        <v>5805</v>
      </c>
      <c r="K1238" s="15"/>
      <c r="L1238"/>
      <c r="M1238" s="49">
        <f t="shared" si="574"/>
        <v>14.24</v>
      </c>
      <c r="N1238" s="41">
        <v>8.77</v>
      </c>
      <c r="O1238" s="54"/>
      <c r="P1238" s="74"/>
      <c r="Q1238"/>
      <c r="R1238" t="s">
        <v>1017</v>
      </c>
      <c r="S1238" t="s">
        <v>4180</v>
      </c>
      <c r="T1238" s="178" t="s">
        <v>4180</v>
      </c>
      <c r="U1238" s="75"/>
      <c r="V1238" s="65"/>
      <c r="W1238"/>
      <c r="X1238" t="s">
        <v>1017</v>
      </c>
      <c r="Y1238" s="65"/>
      <c r="Z1238" s="65"/>
      <c r="AA1238" s="65"/>
      <c r="AB1238" s="65"/>
      <c r="AC1238" s="65"/>
      <c r="AD1238" s="91"/>
      <c r="AE1238" s="124"/>
      <c r="AF1238" s="65"/>
      <c r="AG1238" s="91"/>
      <c r="AH1238" s="212" t="str">
        <f>IF(ISERROR(SEARCH("K erstmals 201",D1238)),"",RIGHT(D1238,4))</f>
        <v>2010</v>
      </c>
      <c r="AI1238" s="214" t="str">
        <f t="shared" si="567"/>
        <v/>
      </c>
      <c r="AJ1238" s="214" t="str">
        <f t="shared" si="568"/>
        <v/>
      </c>
      <c r="AK1238" s="214" t="str">
        <f t="shared" si="569"/>
        <v/>
      </c>
      <c r="AL1238" s="214" t="str">
        <f t="shared" si="570"/>
        <v/>
      </c>
      <c r="AM1238" s="214" t="str">
        <f t="shared" si="571"/>
        <v/>
      </c>
      <c r="AN1238" s="213" t="str">
        <f t="shared" si="554"/>
        <v>2010</v>
      </c>
      <c r="AO1238" s="213" t="str">
        <f t="shared" si="555"/>
        <v>2010</v>
      </c>
      <c r="AP1238" s="213" t="str">
        <f t="shared" si="556"/>
        <v>2010</v>
      </c>
      <c r="AQ1238" s="215" t="str">
        <f t="shared" si="557"/>
        <v/>
      </c>
      <c r="AR1238" s="216" t="str">
        <f t="shared" si="558"/>
        <v>BiK83a3K10--05</v>
      </c>
      <c r="AS1238" s="215" t="str">
        <f t="shared" si="559"/>
        <v/>
      </c>
      <c r="AT1238">
        <f t="shared" si="560"/>
        <v>14</v>
      </c>
      <c r="AU1238" s="216" t="str">
        <f t="shared" si="561"/>
        <v>0,5-5 MW, Bonusregeln a3 und K erstmals 2010</v>
      </c>
      <c r="AV1238" s="215" t="str">
        <f t="shared" si="562"/>
        <v/>
      </c>
      <c r="AW1238" s="216" t="str">
        <f t="shared" si="563"/>
        <v>Anteil KWK, erstmals 2010</v>
      </c>
      <c r="AX1238" s="215" t="str">
        <f t="shared" si="564"/>
        <v/>
      </c>
      <c r="AY1238" t="str">
        <f t="shared" si="565"/>
        <v/>
      </c>
      <c r="AZ1238" t="str">
        <f t="shared" si="566"/>
        <v/>
      </c>
    </row>
    <row r="1239" spans="1:52" s="178" customFormat="1" x14ac:dyDescent="0.25">
      <c r="A1239" s="610" t="s">
        <v>5349</v>
      </c>
      <c r="B1239" s="17" t="s">
        <v>5548</v>
      </c>
      <c r="C1239" s="17" t="s">
        <v>1288</v>
      </c>
      <c r="D1239" s="30" t="s">
        <v>6783</v>
      </c>
      <c r="E1239" s="17" t="s">
        <v>3055</v>
      </c>
      <c r="F1239" s="454">
        <f t="shared" si="572"/>
        <v>14.209999999999999</v>
      </c>
      <c r="G1239" s="529">
        <v>14.209999999999999</v>
      </c>
      <c r="H1239" s="487">
        <f t="shared" si="573"/>
        <v>11.37</v>
      </c>
      <c r="I1239" s="706"/>
      <c r="J1239" s="669" t="s">
        <v>5805</v>
      </c>
      <c r="K1239" s="15"/>
      <c r="L1239"/>
      <c r="M1239" s="49">
        <f t="shared" si="574"/>
        <v>14.209999999999999</v>
      </c>
      <c r="N1239" s="41">
        <v>8.77</v>
      </c>
      <c r="O1239" s="54"/>
      <c r="P1239" s="74"/>
      <c r="Q1239"/>
      <c r="R1239"/>
      <c r="S1239" t="s">
        <v>1017</v>
      </c>
      <c r="T1239" s="178" t="s">
        <v>4180</v>
      </c>
      <c r="U1239" s="75"/>
      <c r="V1239" s="65"/>
      <c r="W1239"/>
      <c r="X1239" t="s">
        <v>1017</v>
      </c>
      <c r="Y1239" s="65"/>
      <c r="Z1239" s="65"/>
      <c r="AA1239" s="65"/>
      <c r="AB1239" s="65"/>
      <c r="AC1239" s="65"/>
      <c r="AD1239" s="91"/>
      <c r="AE1239" s="124"/>
      <c r="AF1239" s="65"/>
      <c r="AG1239" s="91"/>
      <c r="AH1239" s="212" t="str">
        <f>IF(ISERROR(SEARCH("K erstmals 201",D1239)),"",RIGHT(D1239,4))</f>
        <v>2011</v>
      </c>
      <c r="AI1239" s="214" t="str">
        <f t="shared" si="567"/>
        <v/>
      </c>
      <c r="AJ1239" s="214" t="str">
        <f t="shared" si="568"/>
        <v/>
      </c>
      <c r="AK1239" s="214" t="str">
        <f t="shared" si="569"/>
        <v/>
      </c>
      <c r="AL1239" s="214" t="str">
        <f t="shared" si="570"/>
        <v/>
      </c>
      <c r="AM1239" s="214" t="str">
        <f t="shared" si="571"/>
        <v/>
      </c>
      <c r="AN1239" s="213" t="str">
        <f t="shared" si="554"/>
        <v>2011</v>
      </c>
      <c r="AO1239" s="213" t="str">
        <f t="shared" si="555"/>
        <v>2011</v>
      </c>
      <c r="AP1239" s="213" t="str">
        <f t="shared" si="556"/>
        <v>2011</v>
      </c>
      <c r="AQ1239" s="215" t="str">
        <f t="shared" si="557"/>
        <v/>
      </c>
      <c r="AR1239" s="216" t="str">
        <f t="shared" si="558"/>
        <v>BiK83a3K11--05</v>
      </c>
      <c r="AS1239" s="215" t="str">
        <f t="shared" si="559"/>
        <v/>
      </c>
      <c r="AT1239">
        <f t="shared" si="560"/>
        <v>14</v>
      </c>
      <c r="AU1239" s="216" t="str">
        <f t="shared" si="561"/>
        <v>0,5-5 MW, Bonusregeln a3 und K erstmals 2011</v>
      </c>
      <c r="AV1239" s="215" t="str">
        <f t="shared" si="562"/>
        <v/>
      </c>
      <c r="AW1239" s="216" t="str">
        <f t="shared" si="563"/>
        <v>Anteil KWK, erstmals 2011</v>
      </c>
      <c r="AX1239" s="215" t="str">
        <f t="shared" si="564"/>
        <v/>
      </c>
      <c r="AY1239" t="str">
        <f t="shared" si="565"/>
        <v>x</v>
      </c>
      <c r="AZ1239" t="str">
        <f t="shared" si="566"/>
        <v/>
      </c>
    </row>
    <row r="1240" spans="1:52" s="178" customFormat="1" x14ac:dyDescent="0.25">
      <c r="A1240" s="625" t="s">
        <v>1599</v>
      </c>
      <c r="B1240" s="221" t="s">
        <v>5548</v>
      </c>
      <c r="C1240" s="221" t="s">
        <v>1288</v>
      </c>
      <c r="D1240" s="219" t="s">
        <v>6784</v>
      </c>
      <c r="E1240" s="221" t="s">
        <v>1980</v>
      </c>
      <c r="F1240" s="455">
        <f t="shared" si="572"/>
        <v>14.18</v>
      </c>
      <c r="G1240" s="530">
        <v>14.18</v>
      </c>
      <c r="H1240" s="488">
        <f t="shared" si="573"/>
        <v>11.34</v>
      </c>
      <c r="I1240" s="707"/>
      <c r="J1240" s="669" t="s">
        <v>5805</v>
      </c>
      <c r="K1240" s="15"/>
      <c r="L1240"/>
      <c r="M1240" s="49">
        <f t="shared" si="574"/>
        <v>14.18</v>
      </c>
      <c r="N1240" s="41">
        <v>8.77</v>
      </c>
      <c r="O1240" s="54"/>
      <c r="P1240" s="74"/>
      <c r="Q1240"/>
      <c r="R1240"/>
      <c r="S1240" t="s">
        <v>4180</v>
      </c>
      <c r="T1240" s="178" t="s">
        <v>1017</v>
      </c>
      <c r="U1240" s="75"/>
      <c r="V1240" s="65"/>
      <c r="W1240"/>
      <c r="X1240" t="s">
        <v>1017</v>
      </c>
      <c r="Y1240" s="65"/>
      <c r="Z1240" s="65"/>
      <c r="AA1240" s="65"/>
      <c r="AB1240" s="65"/>
      <c r="AC1240" s="65"/>
      <c r="AD1240" s="91"/>
      <c r="AE1240" s="124"/>
      <c r="AF1240" s="65"/>
      <c r="AG1240" s="91"/>
      <c r="AH1240" s="217" t="s">
        <v>4179</v>
      </c>
      <c r="AI1240" s="214" t="str">
        <f t="shared" si="567"/>
        <v/>
      </c>
      <c r="AJ1240" s="214" t="str">
        <f t="shared" si="568"/>
        <v/>
      </c>
      <c r="AK1240" s="214" t="str">
        <f t="shared" si="569"/>
        <v/>
      </c>
      <c r="AL1240" s="214" t="str">
        <f t="shared" si="570"/>
        <v/>
      </c>
      <c r="AM1240" s="214" t="str">
        <f t="shared" si="571"/>
        <v/>
      </c>
      <c r="AN1240" s="213" t="str">
        <f t="shared" si="554"/>
        <v>2012</v>
      </c>
      <c r="AO1240" s="213" t="str">
        <f t="shared" si="555"/>
        <v>2012</v>
      </c>
      <c r="AP1240" s="213" t="str">
        <f t="shared" si="556"/>
        <v>2012</v>
      </c>
      <c r="AQ1240" s="215" t="str">
        <f t="shared" si="557"/>
        <v/>
      </c>
      <c r="AR1240" s="216" t="str">
        <f t="shared" si="558"/>
        <v>BiK83a3K12--05</v>
      </c>
      <c r="AS1240" s="215" t="str">
        <f t="shared" si="559"/>
        <v/>
      </c>
      <c r="AT1240">
        <f t="shared" si="560"/>
        <v>14</v>
      </c>
      <c r="AU1240" s="216" t="str">
        <f t="shared" si="561"/>
        <v>0,5-5 MW, Bonusregeln a3 und K erstmals 2012</v>
      </c>
      <c r="AV1240" s="215" t="str">
        <f t="shared" si="562"/>
        <v/>
      </c>
      <c r="AW1240" s="216" t="str">
        <f t="shared" si="563"/>
        <v>Anteil KWK, erstmals 2012</v>
      </c>
      <c r="AX1240" s="215" t="str">
        <f t="shared" si="564"/>
        <v/>
      </c>
      <c r="AY1240" t="str">
        <f t="shared" si="565"/>
        <v/>
      </c>
      <c r="AZ1240" t="str">
        <f t="shared" si="566"/>
        <v>x</v>
      </c>
    </row>
    <row r="1241" spans="1:52" s="178" customFormat="1" x14ac:dyDescent="0.25">
      <c r="A1241" s="609" t="s">
        <v>866</v>
      </c>
      <c r="B1241" s="1" t="s">
        <v>5548</v>
      </c>
      <c r="C1241" s="2" t="s">
        <v>1288</v>
      </c>
      <c r="D1241" s="1" t="s">
        <v>6785</v>
      </c>
      <c r="E1241" s="1" t="s">
        <v>4810</v>
      </c>
      <c r="F1241" s="456">
        <f t="shared" si="572"/>
        <v>10.77</v>
      </c>
      <c r="G1241" s="531">
        <v>10.77</v>
      </c>
      <c r="H1241" s="489">
        <f t="shared" si="573"/>
        <v>8.6199999999999992</v>
      </c>
      <c r="I1241" s="708"/>
      <c r="J1241" s="669" t="s">
        <v>5805</v>
      </c>
      <c r="K1241" s="15"/>
      <c r="L1241"/>
      <c r="M1241" s="49">
        <f t="shared" si="574"/>
        <v>10.77</v>
      </c>
      <c r="N1241" s="41">
        <v>8.77</v>
      </c>
      <c r="O1241" s="54"/>
      <c r="P1241" s="74"/>
      <c r="Q1241"/>
      <c r="R1241"/>
      <c r="S1241" t="s">
        <v>4180</v>
      </c>
      <c r="T1241" s="178" t="s">
        <v>4180</v>
      </c>
      <c r="U1241" s="75"/>
      <c r="V1241" s="65"/>
      <c r="W1241"/>
      <c r="X1241"/>
      <c r="Y1241" s="65"/>
      <c r="Z1241" s="65"/>
      <c r="AA1241" s="65"/>
      <c r="AB1241" s="65"/>
      <c r="AC1241" s="65"/>
      <c r="AD1241" s="91"/>
      <c r="AE1241" s="124" t="s">
        <v>1017</v>
      </c>
      <c r="AF1241" s="65"/>
      <c r="AG1241" s="91"/>
      <c r="AH1241" s="212" t="str">
        <f>IF(ISERROR(SEARCH("K erstmals 201",D1241)),"",RIGHT(D1241,4))</f>
        <v/>
      </c>
      <c r="AI1241" s="214" t="str">
        <f t="shared" si="567"/>
        <v/>
      </c>
      <c r="AJ1241" s="214" t="str">
        <f t="shared" si="568"/>
        <v/>
      </c>
      <c r="AK1241" s="214" t="str">
        <f t="shared" si="569"/>
        <v/>
      </c>
      <c r="AL1241" s="214" t="str">
        <f t="shared" si="570"/>
        <v/>
      </c>
      <c r="AM1241" s="214" t="str">
        <f t="shared" si="571"/>
        <v/>
      </c>
      <c r="AN1241" s="213" t="str">
        <f t="shared" si="554"/>
        <v/>
      </c>
      <c r="AO1241" s="213" t="str">
        <f t="shared" si="555"/>
        <v/>
      </c>
      <c r="AP1241" s="213" t="str">
        <f t="shared" si="556"/>
        <v/>
      </c>
      <c r="AQ1241" s="215" t="str">
        <f t="shared" si="557"/>
        <v/>
      </c>
      <c r="AR1241" s="216" t="str">
        <f t="shared" si="558"/>
        <v>BiK83b------05</v>
      </c>
      <c r="AS1241" s="215" t="str">
        <f t="shared" si="559"/>
        <v/>
      </c>
      <c r="AT1241">
        <f t="shared" si="560"/>
        <v>14</v>
      </c>
      <c r="AU1241" s="216" t="str">
        <f t="shared" si="561"/>
        <v>0,5-5 MW, Bonusregel b</v>
      </c>
      <c r="AV1241" s="215" t="str">
        <f t="shared" si="562"/>
        <v/>
      </c>
      <c r="AW1241" s="216" t="str">
        <f t="shared" si="563"/>
        <v>Anteil Nicht-KWK</v>
      </c>
      <c r="AX1241" s="215" t="str">
        <f t="shared" si="564"/>
        <v/>
      </c>
      <c r="AY1241" t="str">
        <f t="shared" si="565"/>
        <v/>
      </c>
      <c r="AZ1241" t="str">
        <f t="shared" si="566"/>
        <v/>
      </c>
    </row>
    <row r="1242" spans="1:52" s="178" customFormat="1" x14ac:dyDescent="0.25">
      <c r="A1242" s="609" t="s">
        <v>867</v>
      </c>
      <c r="B1242" s="1" t="s">
        <v>5548</v>
      </c>
      <c r="C1242" s="2" t="s">
        <v>1288</v>
      </c>
      <c r="D1242" s="1" t="s">
        <v>6786</v>
      </c>
      <c r="E1242" s="1" t="s">
        <v>4812</v>
      </c>
      <c r="F1242" s="456">
        <f t="shared" si="572"/>
        <v>12.77</v>
      </c>
      <c r="G1242" s="531">
        <v>12.77</v>
      </c>
      <c r="H1242" s="489">
        <f t="shared" si="573"/>
        <v>10.220000000000001</v>
      </c>
      <c r="I1242" s="708"/>
      <c r="J1242" s="669" t="s">
        <v>5805</v>
      </c>
      <c r="K1242" s="15"/>
      <c r="L1242"/>
      <c r="M1242" s="49">
        <f t="shared" si="574"/>
        <v>12.77</v>
      </c>
      <c r="N1242" s="41">
        <v>8.77</v>
      </c>
      <c r="O1242" s="54" t="s">
        <v>1017</v>
      </c>
      <c r="P1242" s="74"/>
      <c r="Q1242"/>
      <c r="R1242"/>
      <c r="S1242" t="s">
        <v>4180</v>
      </c>
      <c r="T1242" s="178" t="s">
        <v>4180</v>
      </c>
      <c r="U1242" s="75"/>
      <c r="V1242" s="65"/>
      <c r="W1242"/>
      <c r="X1242"/>
      <c r="Y1242" s="65"/>
      <c r="Z1242" s="65"/>
      <c r="AA1242" s="65"/>
      <c r="AB1242" s="65"/>
      <c r="AC1242" s="65"/>
      <c r="AD1242" s="91"/>
      <c r="AE1242" s="124" t="s">
        <v>1017</v>
      </c>
      <c r="AF1242" s="65"/>
      <c r="AG1242" s="91"/>
      <c r="AH1242" s="212" t="str">
        <f>IF(ISERROR(SEARCH("K erstmals 201",D1242)),"",RIGHT(D1242,4))</f>
        <v/>
      </c>
      <c r="AI1242" s="214" t="str">
        <f t="shared" si="567"/>
        <v/>
      </c>
      <c r="AJ1242" s="214" t="str">
        <f t="shared" si="568"/>
        <v/>
      </c>
      <c r="AK1242" s="214" t="str">
        <f t="shared" si="569"/>
        <v/>
      </c>
      <c r="AL1242" s="214" t="str">
        <f t="shared" si="570"/>
        <v/>
      </c>
      <c r="AM1242" s="214" t="str">
        <f t="shared" si="571"/>
        <v/>
      </c>
      <c r="AN1242" s="213" t="str">
        <f t="shared" si="554"/>
        <v/>
      </c>
      <c r="AO1242" s="213" t="str">
        <f t="shared" si="555"/>
        <v/>
      </c>
      <c r="AP1242" s="213" t="str">
        <f t="shared" si="556"/>
        <v/>
      </c>
      <c r="AQ1242" s="215" t="str">
        <f t="shared" si="557"/>
        <v/>
      </c>
      <c r="AR1242" s="216" t="str">
        <f t="shared" si="558"/>
        <v>BiK83bKWK---05</v>
      </c>
      <c r="AS1242" s="215" t="str">
        <f t="shared" si="559"/>
        <v/>
      </c>
      <c r="AT1242">
        <f t="shared" si="560"/>
        <v>14</v>
      </c>
      <c r="AU1242" s="216" t="str">
        <f t="shared" si="561"/>
        <v>0,5-5 MW, Bonusregel b und KWK</v>
      </c>
      <c r="AV1242" s="215" t="str">
        <f t="shared" si="562"/>
        <v/>
      </c>
      <c r="AW1242" s="216" t="str">
        <f t="shared" si="563"/>
        <v>Anteil KWK</v>
      </c>
      <c r="AX1242" s="215" t="str">
        <f t="shared" si="564"/>
        <v/>
      </c>
      <c r="AY1242" t="str">
        <f t="shared" si="565"/>
        <v/>
      </c>
      <c r="AZ1242" t="str">
        <f t="shared" si="566"/>
        <v/>
      </c>
    </row>
    <row r="1243" spans="1:52" s="178" customFormat="1" x14ac:dyDescent="0.25">
      <c r="A1243" s="610" t="s">
        <v>2355</v>
      </c>
      <c r="B1243" s="17" t="s">
        <v>5548</v>
      </c>
      <c r="C1243" s="17" t="s">
        <v>1288</v>
      </c>
      <c r="D1243" s="30" t="s">
        <v>6787</v>
      </c>
      <c r="E1243" s="17" t="s">
        <v>674</v>
      </c>
      <c r="F1243" s="454">
        <f t="shared" si="572"/>
        <v>13.77</v>
      </c>
      <c r="G1243" s="529">
        <v>13.77</v>
      </c>
      <c r="H1243" s="487">
        <f t="shared" si="573"/>
        <v>11.02</v>
      </c>
      <c r="I1243" s="706"/>
      <c r="J1243" s="669" t="s">
        <v>5805</v>
      </c>
      <c r="K1243" s="15"/>
      <c r="L1243"/>
      <c r="M1243" s="49">
        <f t="shared" si="574"/>
        <v>13.77</v>
      </c>
      <c r="N1243" s="41">
        <v>8.77</v>
      </c>
      <c r="O1243" s="54"/>
      <c r="P1243" s="74"/>
      <c r="Q1243" t="s">
        <v>1017</v>
      </c>
      <c r="R1243"/>
      <c r="S1243" t="s">
        <v>4180</v>
      </c>
      <c r="T1243" s="178" t="s">
        <v>4180</v>
      </c>
      <c r="U1243" s="75"/>
      <c r="V1243" s="65"/>
      <c r="W1243"/>
      <c r="X1243"/>
      <c r="Y1243" s="65"/>
      <c r="Z1243" s="65"/>
      <c r="AA1243" s="65"/>
      <c r="AB1243" s="65"/>
      <c r="AC1243" s="65"/>
      <c r="AD1243" s="91"/>
      <c r="AE1243" s="124" t="s">
        <v>1017</v>
      </c>
      <c r="AF1243" s="65"/>
      <c r="AG1243" s="91"/>
      <c r="AH1243" s="212" t="str">
        <f>IF(ISERROR(SEARCH("K erstmals 201",D1243)),"",RIGHT(D1243,4))</f>
        <v/>
      </c>
      <c r="AI1243" s="214" t="str">
        <f t="shared" si="567"/>
        <v/>
      </c>
      <c r="AJ1243" s="214" t="str">
        <f t="shared" si="568"/>
        <v/>
      </c>
      <c r="AK1243" s="214" t="str">
        <f t="shared" si="569"/>
        <v/>
      </c>
      <c r="AL1243" s="214" t="str">
        <f t="shared" si="570"/>
        <v/>
      </c>
      <c r="AM1243" s="214" t="str">
        <f t="shared" si="571"/>
        <v/>
      </c>
      <c r="AN1243" s="213" t="str">
        <f t="shared" si="554"/>
        <v/>
      </c>
      <c r="AO1243" s="213" t="str">
        <f t="shared" si="555"/>
        <v/>
      </c>
      <c r="AP1243" s="213" t="str">
        <f t="shared" si="556"/>
        <v/>
      </c>
      <c r="AQ1243" s="215" t="str">
        <f t="shared" si="557"/>
        <v/>
      </c>
      <c r="AR1243" s="216" t="str">
        <f t="shared" si="558"/>
        <v>BiK83bK09---05</v>
      </c>
      <c r="AS1243" s="215" t="str">
        <f t="shared" si="559"/>
        <v/>
      </c>
      <c r="AT1243">
        <f t="shared" si="560"/>
        <v>14</v>
      </c>
      <c r="AU1243" s="216" t="str">
        <f t="shared" si="561"/>
        <v>0,5-5 MW, Bonusregel b und K erstmals 2009</v>
      </c>
      <c r="AV1243" s="215" t="str">
        <f t="shared" si="562"/>
        <v/>
      </c>
      <c r="AW1243" s="216" t="str">
        <f t="shared" si="563"/>
        <v>Anteil KWK, erstmals 2009</v>
      </c>
      <c r="AX1243" s="215" t="str">
        <f t="shared" si="564"/>
        <v/>
      </c>
      <c r="AY1243" t="str">
        <f t="shared" si="565"/>
        <v/>
      </c>
      <c r="AZ1243" t="str">
        <f t="shared" si="566"/>
        <v/>
      </c>
    </row>
    <row r="1244" spans="1:52" s="178" customFormat="1" x14ac:dyDescent="0.25">
      <c r="A1244" s="610" t="s">
        <v>3619</v>
      </c>
      <c r="B1244" s="17" t="s">
        <v>5548</v>
      </c>
      <c r="C1244" s="17" t="s">
        <v>1288</v>
      </c>
      <c r="D1244" s="30" t="s">
        <v>6788</v>
      </c>
      <c r="E1244" s="17" t="s">
        <v>3567</v>
      </c>
      <c r="F1244" s="454">
        <f t="shared" si="572"/>
        <v>13.74</v>
      </c>
      <c r="G1244" s="529">
        <v>13.74</v>
      </c>
      <c r="H1244" s="487">
        <f t="shared" si="573"/>
        <v>10.99</v>
      </c>
      <c r="I1244" s="706"/>
      <c r="J1244" s="669" t="s">
        <v>5805</v>
      </c>
      <c r="K1244" s="15"/>
      <c r="L1244"/>
      <c r="M1244" s="49">
        <f t="shared" si="574"/>
        <v>13.74</v>
      </c>
      <c r="N1244" s="41">
        <v>8.77</v>
      </c>
      <c r="O1244" s="54"/>
      <c r="P1244" s="74"/>
      <c r="Q1244"/>
      <c r="R1244" t="s">
        <v>1017</v>
      </c>
      <c r="S1244" t="s">
        <v>4180</v>
      </c>
      <c r="T1244" s="178" t="s">
        <v>4180</v>
      </c>
      <c r="U1244" s="75"/>
      <c r="V1244" s="65"/>
      <c r="W1244"/>
      <c r="X1244"/>
      <c r="Y1244" s="65"/>
      <c r="Z1244" s="65"/>
      <c r="AA1244" s="65"/>
      <c r="AB1244" s="65"/>
      <c r="AC1244" s="65"/>
      <c r="AD1244" s="91"/>
      <c r="AE1244" s="124" t="s">
        <v>1017</v>
      </c>
      <c r="AF1244" s="65"/>
      <c r="AG1244" s="91"/>
      <c r="AH1244" s="212" t="str">
        <f>IF(ISERROR(SEARCH("K erstmals 201",D1244)),"",RIGHT(D1244,4))</f>
        <v>2010</v>
      </c>
      <c r="AI1244" s="214" t="str">
        <f t="shared" si="567"/>
        <v/>
      </c>
      <c r="AJ1244" s="214" t="str">
        <f t="shared" si="568"/>
        <v/>
      </c>
      <c r="AK1244" s="214" t="str">
        <f t="shared" si="569"/>
        <v/>
      </c>
      <c r="AL1244" s="214" t="str">
        <f t="shared" si="570"/>
        <v/>
      </c>
      <c r="AM1244" s="214" t="str">
        <f t="shared" si="571"/>
        <v/>
      </c>
      <c r="AN1244" s="213" t="str">
        <f t="shared" si="554"/>
        <v>2010</v>
      </c>
      <c r="AO1244" s="213" t="str">
        <f t="shared" si="555"/>
        <v>2010</v>
      </c>
      <c r="AP1244" s="213" t="str">
        <f t="shared" si="556"/>
        <v>2010</v>
      </c>
      <c r="AQ1244" s="215" t="str">
        <f t="shared" si="557"/>
        <v/>
      </c>
      <c r="AR1244" s="216" t="str">
        <f t="shared" si="558"/>
        <v>BiK83bK10---05</v>
      </c>
      <c r="AS1244" s="215" t="str">
        <f t="shared" si="559"/>
        <v/>
      </c>
      <c r="AT1244">
        <f t="shared" si="560"/>
        <v>14</v>
      </c>
      <c r="AU1244" s="216" t="str">
        <f t="shared" si="561"/>
        <v>0,5-5 MW, Bonusregel b und K erstmals 2010</v>
      </c>
      <c r="AV1244" s="215" t="str">
        <f t="shared" si="562"/>
        <v/>
      </c>
      <c r="AW1244" s="216" t="str">
        <f t="shared" si="563"/>
        <v>Anteil KWK, erstmals 2010</v>
      </c>
      <c r="AX1244" s="215" t="str">
        <f t="shared" si="564"/>
        <v/>
      </c>
      <c r="AY1244" t="str">
        <f t="shared" si="565"/>
        <v/>
      </c>
      <c r="AZ1244" t="str">
        <f t="shared" si="566"/>
        <v/>
      </c>
    </row>
    <row r="1245" spans="1:52" s="178" customFormat="1" x14ac:dyDescent="0.25">
      <c r="A1245" s="610" t="s">
        <v>5350</v>
      </c>
      <c r="B1245" s="17" t="s">
        <v>5548</v>
      </c>
      <c r="C1245" s="17" t="s">
        <v>1288</v>
      </c>
      <c r="D1245" s="30" t="s">
        <v>6789</v>
      </c>
      <c r="E1245" s="17" t="s">
        <v>3055</v>
      </c>
      <c r="F1245" s="454">
        <f t="shared" si="572"/>
        <v>13.709999999999999</v>
      </c>
      <c r="G1245" s="529">
        <v>13.709999999999999</v>
      </c>
      <c r="H1245" s="487">
        <f t="shared" si="573"/>
        <v>10.97</v>
      </c>
      <c r="I1245" s="706"/>
      <c r="J1245" s="669" t="s">
        <v>5805</v>
      </c>
      <c r="K1245" s="15"/>
      <c r="L1245"/>
      <c r="M1245" s="49">
        <f t="shared" si="574"/>
        <v>13.709999999999999</v>
      </c>
      <c r="N1245" s="41">
        <v>8.77</v>
      </c>
      <c r="O1245" s="54"/>
      <c r="P1245" s="74"/>
      <c r="Q1245"/>
      <c r="R1245"/>
      <c r="S1245" t="s">
        <v>1017</v>
      </c>
      <c r="T1245" s="178" t="s">
        <v>4180</v>
      </c>
      <c r="U1245" s="75"/>
      <c r="V1245" s="65"/>
      <c r="W1245"/>
      <c r="X1245"/>
      <c r="Y1245" s="65"/>
      <c r="Z1245" s="65"/>
      <c r="AA1245" s="65"/>
      <c r="AB1245" s="65"/>
      <c r="AC1245" s="65"/>
      <c r="AD1245" s="91"/>
      <c r="AE1245" s="124" t="s">
        <v>1017</v>
      </c>
      <c r="AF1245" s="65"/>
      <c r="AG1245" s="91"/>
      <c r="AH1245" s="212" t="str">
        <f>IF(ISERROR(SEARCH("K erstmals 201",D1245)),"",RIGHT(D1245,4))</f>
        <v>2011</v>
      </c>
      <c r="AI1245" s="214" t="str">
        <f t="shared" si="567"/>
        <v/>
      </c>
      <c r="AJ1245" s="214" t="str">
        <f t="shared" si="568"/>
        <v/>
      </c>
      <c r="AK1245" s="214" t="str">
        <f t="shared" si="569"/>
        <v/>
      </c>
      <c r="AL1245" s="214" t="str">
        <f t="shared" si="570"/>
        <v/>
      </c>
      <c r="AM1245" s="214" t="str">
        <f t="shared" si="571"/>
        <v/>
      </c>
      <c r="AN1245" s="213" t="str">
        <f t="shared" si="554"/>
        <v>2011</v>
      </c>
      <c r="AO1245" s="213" t="str">
        <f t="shared" si="555"/>
        <v>2011</v>
      </c>
      <c r="AP1245" s="213" t="str">
        <f t="shared" si="556"/>
        <v>2011</v>
      </c>
      <c r="AQ1245" s="215" t="str">
        <f t="shared" si="557"/>
        <v/>
      </c>
      <c r="AR1245" s="216" t="str">
        <f t="shared" si="558"/>
        <v>BiK83bK11---05</v>
      </c>
      <c r="AS1245" s="215" t="str">
        <f t="shared" si="559"/>
        <v/>
      </c>
      <c r="AT1245">
        <f t="shared" si="560"/>
        <v>14</v>
      </c>
      <c r="AU1245" s="216" t="str">
        <f t="shared" si="561"/>
        <v>0,5-5 MW, Bonusregel b und K erstmals 2011</v>
      </c>
      <c r="AV1245" s="215" t="str">
        <f t="shared" si="562"/>
        <v/>
      </c>
      <c r="AW1245" s="216" t="str">
        <f t="shared" si="563"/>
        <v>Anteil KWK, erstmals 2011</v>
      </c>
      <c r="AX1245" s="215" t="str">
        <f t="shared" si="564"/>
        <v/>
      </c>
      <c r="AY1245" t="str">
        <f t="shared" si="565"/>
        <v>x</v>
      </c>
      <c r="AZ1245" t="str">
        <f t="shared" si="566"/>
        <v/>
      </c>
    </row>
    <row r="1246" spans="1:52" s="178" customFormat="1" x14ac:dyDescent="0.25">
      <c r="A1246" s="625" t="s">
        <v>1600</v>
      </c>
      <c r="B1246" s="221" t="s">
        <v>5548</v>
      </c>
      <c r="C1246" s="221" t="s">
        <v>1288</v>
      </c>
      <c r="D1246" s="219" t="s">
        <v>6790</v>
      </c>
      <c r="E1246" s="221" t="s">
        <v>1980</v>
      </c>
      <c r="F1246" s="455">
        <f t="shared" si="572"/>
        <v>13.68</v>
      </c>
      <c r="G1246" s="530">
        <v>13.68</v>
      </c>
      <c r="H1246" s="488">
        <f t="shared" si="573"/>
        <v>10.94</v>
      </c>
      <c r="I1246" s="707"/>
      <c r="J1246" s="669" t="s">
        <v>5805</v>
      </c>
      <c r="K1246" s="15"/>
      <c r="L1246"/>
      <c r="M1246" s="49">
        <f t="shared" si="574"/>
        <v>13.68</v>
      </c>
      <c r="N1246" s="41">
        <v>8.77</v>
      </c>
      <c r="O1246" s="54"/>
      <c r="P1246" s="74"/>
      <c r="Q1246"/>
      <c r="R1246"/>
      <c r="S1246" t="s">
        <v>4180</v>
      </c>
      <c r="T1246" s="178" t="s">
        <v>1017</v>
      </c>
      <c r="U1246" s="75"/>
      <c r="V1246" s="65"/>
      <c r="W1246"/>
      <c r="X1246"/>
      <c r="Y1246" s="65"/>
      <c r="Z1246" s="65"/>
      <c r="AA1246" s="65"/>
      <c r="AB1246" s="65"/>
      <c r="AC1246" s="65"/>
      <c r="AD1246" s="91"/>
      <c r="AE1246" s="124" t="s">
        <v>1017</v>
      </c>
      <c r="AF1246" s="65"/>
      <c r="AG1246" s="91"/>
      <c r="AH1246" s="217" t="s">
        <v>4179</v>
      </c>
      <c r="AI1246" s="214" t="str">
        <f t="shared" si="567"/>
        <v/>
      </c>
      <c r="AJ1246" s="214" t="str">
        <f t="shared" si="568"/>
        <v/>
      </c>
      <c r="AK1246" s="214" t="str">
        <f t="shared" si="569"/>
        <v/>
      </c>
      <c r="AL1246" s="214" t="str">
        <f t="shared" si="570"/>
        <v/>
      </c>
      <c r="AM1246" s="214" t="str">
        <f t="shared" si="571"/>
        <v/>
      </c>
      <c r="AN1246" s="213" t="str">
        <f t="shared" si="554"/>
        <v>2012</v>
      </c>
      <c r="AO1246" s="213" t="str">
        <f t="shared" si="555"/>
        <v>2012</v>
      </c>
      <c r="AP1246" s="213" t="str">
        <f t="shared" si="556"/>
        <v>2012</v>
      </c>
      <c r="AQ1246" s="215" t="str">
        <f t="shared" si="557"/>
        <v/>
      </c>
      <c r="AR1246" s="216" t="str">
        <f t="shared" si="558"/>
        <v>BiK83bK12---05</v>
      </c>
      <c r="AS1246" s="215" t="str">
        <f t="shared" si="559"/>
        <v/>
      </c>
      <c r="AT1246">
        <f t="shared" si="560"/>
        <v>14</v>
      </c>
      <c r="AU1246" s="216" t="str">
        <f t="shared" si="561"/>
        <v>0,5-5 MW, Bonusregel b und K erstmals 2012</v>
      </c>
      <c r="AV1246" s="215" t="str">
        <f t="shared" si="562"/>
        <v/>
      </c>
      <c r="AW1246" s="216" t="str">
        <f t="shared" si="563"/>
        <v>Anteil KWK, erstmals 2012</v>
      </c>
      <c r="AX1246" s="215" t="str">
        <f t="shared" si="564"/>
        <v/>
      </c>
      <c r="AY1246" t="str">
        <f t="shared" si="565"/>
        <v/>
      </c>
      <c r="AZ1246" t="str">
        <f t="shared" si="566"/>
        <v>x</v>
      </c>
    </row>
    <row r="1247" spans="1:52" s="178" customFormat="1" x14ac:dyDescent="0.25">
      <c r="A1247" s="609" t="s">
        <v>868</v>
      </c>
      <c r="B1247" s="1" t="s">
        <v>5548</v>
      </c>
      <c r="C1247" s="2" t="s">
        <v>1288</v>
      </c>
      <c r="D1247" s="1" t="s">
        <v>6791</v>
      </c>
      <c r="E1247" s="1" t="s">
        <v>4810</v>
      </c>
      <c r="F1247" s="456">
        <f t="shared" si="572"/>
        <v>14.77</v>
      </c>
      <c r="G1247" s="531">
        <v>14.77</v>
      </c>
      <c r="H1247" s="489">
        <f t="shared" si="573"/>
        <v>11.82</v>
      </c>
      <c r="I1247" s="708"/>
      <c r="J1247" s="669" t="s">
        <v>5805</v>
      </c>
      <c r="K1247" s="15"/>
      <c r="L1247"/>
      <c r="M1247" s="49">
        <f t="shared" si="574"/>
        <v>14.77</v>
      </c>
      <c r="N1247" s="41">
        <v>8.77</v>
      </c>
      <c r="O1247" s="54"/>
      <c r="P1247" s="74"/>
      <c r="Q1247"/>
      <c r="R1247"/>
      <c r="S1247" t="s">
        <v>4180</v>
      </c>
      <c r="T1247" s="178" t="s">
        <v>4180</v>
      </c>
      <c r="U1247" s="75"/>
      <c r="V1247" s="65"/>
      <c r="W1247" t="s">
        <v>1017</v>
      </c>
      <c r="X1247"/>
      <c r="Y1247" s="65"/>
      <c r="Z1247" s="65"/>
      <c r="AA1247" s="65"/>
      <c r="AB1247" s="65"/>
      <c r="AC1247" s="65"/>
      <c r="AD1247" s="91"/>
      <c r="AE1247" s="124" t="s">
        <v>1017</v>
      </c>
      <c r="AF1247" s="65"/>
      <c r="AG1247" s="91"/>
      <c r="AH1247" s="212" t="str">
        <f>IF(ISERROR(SEARCH("K erstmals 201",D1247)),"",RIGHT(D1247,4))</f>
        <v/>
      </c>
      <c r="AI1247" s="214" t="str">
        <f t="shared" si="567"/>
        <v/>
      </c>
      <c r="AJ1247" s="214" t="str">
        <f t="shared" si="568"/>
        <v/>
      </c>
      <c r="AK1247" s="214" t="str">
        <f t="shared" si="569"/>
        <v/>
      </c>
      <c r="AL1247" s="214" t="str">
        <f t="shared" si="570"/>
        <v/>
      </c>
      <c r="AM1247" s="214" t="str">
        <f t="shared" si="571"/>
        <v/>
      </c>
      <c r="AN1247" s="213" t="str">
        <f t="shared" si="554"/>
        <v/>
      </c>
      <c r="AO1247" s="213" t="str">
        <f t="shared" si="555"/>
        <v/>
      </c>
      <c r="AP1247" s="213" t="str">
        <f t="shared" si="556"/>
        <v/>
      </c>
      <c r="AQ1247" s="215" t="str">
        <f t="shared" si="557"/>
        <v/>
      </c>
      <c r="AR1247" s="216" t="str">
        <f t="shared" si="558"/>
        <v>BiK83a2b----05</v>
      </c>
      <c r="AS1247" s="215" t="str">
        <f t="shared" si="559"/>
        <v/>
      </c>
      <c r="AT1247">
        <f t="shared" si="560"/>
        <v>14</v>
      </c>
      <c r="AU1247" s="216" t="str">
        <f t="shared" si="561"/>
        <v>0,5-5 MW, Bonusregeln a2 und b</v>
      </c>
      <c r="AV1247" s="215" t="str">
        <f t="shared" si="562"/>
        <v/>
      </c>
      <c r="AW1247" s="216" t="str">
        <f t="shared" si="563"/>
        <v>Anteil Nicht-KWK</v>
      </c>
      <c r="AX1247" s="215" t="str">
        <f t="shared" si="564"/>
        <v/>
      </c>
      <c r="AY1247" t="str">
        <f t="shared" si="565"/>
        <v/>
      </c>
      <c r="AZ1247" t="str">
        <f t="shared" si="566"/>
        <v/>
      </c>
    </row>
    <row r="1248" spans="1:52" s="178" customFormat="1" x14ac:dyDescent="0.25">
      <c r="A1248" s="609" t="s">
        <v>869</v>
      </c>
      <c r="B1248" s="1" t="s">
        <v>5548</v>
      </c>
      <c r="C1248" s="2" t="s">
        <v>1288</v>
      </c>
      <c r="D1248" s="1" t="s">
        <v>6792</v>
      </c>
      <c r="E1248" s="1" t="s">
        <v>4812</v>
      </c>
      <c r="F1248" s="456">
        <f t="shared" si="572"/>
        <v>16.77</v>
      </c>
      <c r="G1248" s="531">
        <v>16.77</v>
      </c>
      <c r="H1248" s="489">
        <f t="shared" si="573"/>
        <v>13.42</v>
      </c>
      <c r="I1248" s="708"/>
      <c r="J1248" s="669" t="s">
        <v>5805</v>
      </c>
      <c r="K1248" s="15"/>
      <c r="L1248"/>
      <c r="M1248" s="49">
        <f t="shared" si="574"/>
        <v>16.77</v>
      </c>
      <c r="N1248" s="41">
        <v>8.77</v>
      </c>
      <c r="O1248" s="54" t="s">
        <v>1017</v>
      </c>
      <c r="P1248" s="74"/>
      <c r="Q1248"/>
      <c r="R1248"/>
      <c r="S1248" t="s">
        <v>4180</v>
      </c>
      <c r="T1248" s="178" t="s">
        <v>4180</v>
      </c>
      <c r="U1248" s="75"/>
      <c r="V1248" s="65"/>
      <c r="W1248" t="s">
        <v>1017</v>
      </c>
      <c r="X1248"/>
      <c r="Y1248" s="65"/>
      <c r="Z1248" s="65"/>
      <c r="AA1248" s="65"/>
      <c r="AB1248" s="65"/>
      <c r="AC1248" s="65"/>
      <c r="AD1248" s="91"/>
      <c r="AE1248" s="124" t="s">
        <v>1017</v>
      </c>
      <c r="AF1248" s="65"/>
      <c r="AG1248" s="91"/>
      <c r="AH1248" s="212" t="str">
        <f>IF(ISERROR(SEARCH("K erstmals 201",D1248)),"",RIGHT(D1248,4))</f>
        <v/>
      </c>
      <c r="AI1248" s="214" t="str">
        <f t="shared" si="567"/>
        <v/>
      </c>
      <c r="AJ1248" s="214" t="str">
        <f t="shared" si="568"/>
        <v/>
      </c>
      <c r="AK1248" s="214" t="str">
        <f t="shared" si="569"/>
        <v/>
      </c>
      <c r="AL1248" s="214" t="str">
        <f t="shared" si="570"/>
        <v/>
      </c>
      <c r="AM1248" s="214" t="str">
        <f t="shared" si="571"/>
        <v/>
      </c>
      <c r="AN1248" s="213" t="str">
        <f t="shared" si="554"/>
        <v/>
      </c>
      <c r="AO1248" s="213" t="str">
        <f t="shared" si="555"/>
        <v/>
      </c>
      <c r="AP1248" s="213" t="str">
        <f t="shared" si="556"/>
        <v/>
      </c>
      <c r="AQ1248" s="215" t="str">
        <f t="shared" si="557"/>
        <v/>
      </c>
      <c r="AR1248" s="216" t="str">
        <f t="shared" si="558"/>
        <v>BiK83a2bKWK-05</v>
      </c>
      <c r="AS1248" s="215" t="str">
        <f t="shared" si="559"/>
        <v/>
      </c>
      <c r="AT1248">
        <f t="shared" si="560"/>
        <v>14</v>
      </c>
      <c r="AU1248" s="216" t="str">
        <f t="shared" si="561"/>
        <v>0,5-5 MW, Bonusregeln a2, b und KWK</v>
      </c>
      <c r="AV1248" s="215" t="str">
        <f t="shared" si="562"/>
        <v/>
      </c>
      <c r="AW1248" s="216" t="str">
        <f t="shared" si="563"/>
        <v>Anteil KWK</v>
      </c>
      <c r="AX1248" s="215" t="str">
        <f t="shared" si="564"/>
        <v/>
      </c>
      <c r="AY1248" t="str">
        <f t="shared" si="565"/>
        <v/>
      </c>
      <c r="AZ1248" t="str">
        <f t="shared" si="566"/>
        <v/>
      </c>
    </row>
    <row r="1249" spans="1:52" s="178" customFormat="1" x14ac:dyDescent="0.25">
      <c r="A1249" s="610" t="s">
        <v>2356</v>
      </c>
      <c r="B1249" s="17" t="s">
        <v>5548</v>
      </c>
      <c r="C1249" s="17" t="s">
        <v>1288</v>
      </c>
      <c r="D1249" s="30" t="s">
        <v>6793</v>
      </c>
      <c r="E1249" s="30" t="s">
        <v>674</v>
      </c>
      <c r="F1249" s="454">
        <f t="shared" si="572"/>
        <v>17.77</v>
      </c>
      <c r="G1249" s="529">
        <v>17.77</v>
      </c>
      <c r="H1249" s="487">
        <f t="shared" si="573"/>
        <v>14.22</v>
      </c>
      <c r="I1249" s="706"/>
      <c r="J1249" s="669" t="s">
        <v>5805</v>
      </c>
      <c r="K1249" s="15"/>
      <c r="L1249"/>
      <c r="M1249" s="49">
        <f t="shared" si="574"/>
        <v>17.77</v>
      </c>
      <c r="N1249" s="41">
        <v>8.77</v>
      </c>
      <c r="O1249" s="54"/>
      <c r="P1249" s="74"/>
      <c r="Q1249" t="s">
        <v>1017</v>
      </c>
      <c r="R1249"/>
      <c r="S1249" t="s">
        <v>4180</v>
      </c>
      <c r="T1249" s="178" t="s">
        <v>4180</v>
      </c>
      <c r="U1249" s="75"/>
      <c r="V1249" s="65"/>
      <c r="W1249" t="s">
        <v>1017</v>
      </c>
      <c r="X1249"/>
      <c r="Y1249" s="65"/>
      <c r="Z1249" s="65"/>
      <c r="AA1249" s="65"/>
      <c r="AB1249" s="65"/>
      <c r="AC1249" s="65"/>
      <c r="AD1249" s="91"/>
      <c r="AE1249" s="124" t="s">
        <v>1017</v>
      </c>
      <c r="AF1249" s="65"/>
      <c r="AG1249" s="91"/>
      <c r="AH1249" s="212" t="str">
        <f>IF(ISERROR(SEARCH("K erstmals 201",D1249)),"",RIGHT(D1249,4))</f>
        <v/>
      </c>
      <c r="AI1249" s="214" t="str">
        <f t="shared" si="567"/>
        <v/>
      </c>
      <c r="AJ1249" s="214" t="str">
        <f t="shared" si="568"/>
        <v/>
      </c>
      <c r="AK1249" s="214" t="str">
        <f t="shared" si="569"/>
        <v/>
      </c>
      <c r="AL1249" s="214" t="str">
        <f t="shared" si="570"/>
        <v/>
      </c>
      <c r="AM1249" s="214" t="str">
        <f t="shared" si="571"/>
        <v/>
      </c>
      <c r="AN1249" s="213" t="str">
        <f t="shared" si="554"/>
        <v/>
      </c>
      <c r="AO1249" s="213" t="str">
        <f t="shared" si="555"/>
        <v/>
      </c>
      <c r="AP1249" s="213" t="str">
        <f t="shared" si="556"/>
        <v/>
      </c>
      <c r="AQ1249" s="215" t="str">
        <f t="shared" si="557"/>
        <v/>
      </c>
      <c r="AR1249" s="216" t="str">
        <f t="shared" si="558"/>
        <v>BiK83a2bK09-05</v>
      </c>
      <c r="AS1249" s="215" t="str">
        <f t="shared" si="559"/>
        <v/>
      </c>
      <c r="AT1249">
        <f t="shared" si="560"/>
        <v>14</v>
      </c>
      <c r="AU1249" s="216" t="str">
        <f t="shared" si="561"/>
        <v>0,5-5 MW, Bonusregeln a2, b und K erstmals 2009</v>
      </c>
      <c r="AV1249" s="215" t="str">
        <f t="shared" si="562"/>
        <v/>
      </c>
      <c r="AW1249" s="216" t="str">
        <f t="shared" si="563"/>
        <v>Anteil KWK, erstmals 2009</v>
      </c>
      <c r="AX1249" s="215" t="str">
        <f t="shared" si="564"/>
        <v/>
      </c>
      <c r="AY1249" t="str">
        <f t="shared" si="565"/>
        <v/>
      </c>
      <c r="AZ1249" t="str">
        <f t="shared" si="566"/>
        <v/>
      </c>
    </row>
    <row r="1250" spans="1:52" s="178" customFormat="1" x14ac:dyDescent="0.25">
      <c r="A1250" s="610" t="s">
        <v>3620</v>
      </c>
      <c r="B1250" s="17" t="s">
        <v>5548</v>
      </c>
      <c r="C1250" s="17" t="s">
        <v>1288</v>
      </c>
      <c r="D1250" s="30" t="s">
        <v>6794</v>
      </c>
      <c r="E1250" s="30" t="s">
        <v>3567</v>
      </c>
      <c r="F1250" s="454">
        <f t="shared" si="572"/>
        <v>17.740000000000002</v>
      </c>
      <c r="G1250" s="529">
        <v>17.740000000000002</v>
      </c>
      <c r="H1250" s="487">
        <f t="shared" si="573"/>
        <v>14.19</v>
      </c>
      <c r="I1250" s="706"/>
      <c r="J1250" s="669" t="s">
        <v>5805</v>
      </c>
      <c r="K1250" s="15"/>
      <c r="L1250"/>
      <c r="M1250" s="49">
        <f t="shared" si="574"/>
        <v>17.740000000000002</v>
      </c>
      <c r="N1250" s="41">
        <v>8.77</v>
      </c>
      <c r="O1250" s="54"/>
      <c r="P1250" s="74"/>
      <c r="Q1250"/>
      <c r="R1250" t="s">
        <v>1017</v>
      </c>
      <c r="S1250" t="s">
        <v>4180</v>
      </c>
      <c r="T1250" s="178" t="s">
        <v>4180</v>
      </c>
      <c r="U1250" s="75"/>
      <c r="V1250" s="65"/>
      <c r="W1250" t="s">
        <v>1017</v>
      </c>
      <c r="X1250"/>
      <c r="Y1250" s="65"/>
      <c r="Z1250" s="65"/>
      <c r="AA1250" s="65"/>
      <c r="AB1250" s="65"/>
      <c r="AC1250" s="65"/>
      <c r="AD1250" s="91"/>
      <c r="AE1250" s="124" t="s">
        <v>1017</v>
      </c>
      <c r="AF1250" s="65"/>
      <c r="AG1250" s="91"/>
      <c r="AH1250" s="212" t="str">
        <f>IF(ISERROR(SEARCH("K erstmals 201",D1250)),"",RIGHT(D1250,4))</f>
        <v>2010</v>
      </c>
      <c r="AI1250" s="214" t="str">
        <f t="shared" si="567"/>
        <v/>
      </c>
      <c r="AJ1250" s="214" t="str">
        <f t="shared" si="568"/>
        <v/>
      </c>
      <c r="AK1250" s="214" t="str">
        <f t="shared" si="569"/>
        <v/>
      </c>
      <c r="AL1250" s="214" t="str">
        <f t="shared" si="570"/>
        <v/>
      </c>
      <c r="AM1250" s="214" t="str">
        <f t="shared" si="571"/>
        <v/>
      </c>
      <c r="AN1250" s="213" t="str">
        <f t="shared" si="554"/>
        <v>2010</v>
      </c>
      <c r="AO1250" s="213" t="str">
        <f t="shared" si="555"/>
        <v>2010</v>
      </c>
      <c r="AP1250" s="213" t="str">
        <f t="shared" si="556"/>
        <v>2010</v>
      </c>
      <c r="AQ1250" s="215" t="str">
        <f t="shared" si="557"/>
        <v/>
      </c>
      <c r="AR1250" s="216" t="str">
        <f t="shared" si="558"/>
        <v>BiK83a2bK10-05</v>
      </c>
      <c r="AS1250" s="215" t="str">
        <f t="shared" si="559"/>
        <v/>
      </c>
      <c r="AT1250">
        <f t="shared" si="560"/>
        <v>14</v>
      </c>
      <c r="AU1250" s="216" t="str">
        <f t="shared" si="561"/>
        <v>0,5-5 MW, Bonusregeln a2, b und K erstmals 2010</v>
      </c>
      <c r="AV1250" s="215" t="str">
        <f t="shared" si="562"/>
        <v/>
      </c>
      <c r="AW1250" s="216" t="str">
        <f t="shared" si="563"/>
        <v>Anteil KWK, erstmals 2010</v>
      </c>
      <c r="AX1250" s="215" t="str">
        <f t="shared" si="564"/>
        <v/>
      </c>
      <c r="AY1250" t="str">
        <f t="shared" si="565"/>
        <v/>
      </c>
      <c r="AZ1250" t="str">
        <f t="shared" si="566"/>
        <v/>
      </c>
    </row>
    <row r="1251" spans="1:52" s="178" customFormat="1" x14ac:dyDescent="0.25">
      <c r="A1251" s="610" t="s">
        <v>5351</v>
      </c>
      <c r="B1251" s="17" t="s">
        <v>5548</v>
      </c>
      <c r="C1251" s="17" t="s">
        <v>1288</v>
      </c>
      <c r="D1251" s="30" t="s">
        <v>6795</v>
      </c>
      <c r="E1251" s="30" t="s">
        <v>3055</v>
      </c>
      <c r="F1251" s="454">
        <f t="shared" si="572"/>
        <v>17.71</v>
      </c>
      <c r="G1251" s="529">
        <v>17.71</v>
      </c>
      <c r="H1251" s="487">
        <f t="shared" si="573"/>
        <v>14.17</v>
      </c>
      <c r="I1251" s="706"/>
      <c r="J1251" s="669" t="s">
        <v>5805</v>
      </c>
      <c r="K1251" s="15"/>
      <c r="L1251"/>
      <c r="M1251" s="49">
        <f t="shared" si="574"/>
        <v>17.71</v>
      </c>
      <c r="N1251" s="41">
        <v>8.77</v>
      </c>
      <c r="O1251" s="54"/>
      <c r="P1251" s="74"/>
      <c r="Q1251"/>
      <c r="R1251"/>
      <c r="S1251" t="s">
        <v>1017</v>
      </c>
      <c r="T1251" s="178" t="s">
        <v>4180</v>
      </c>
      <c r="U1251" s="75"/>
      <c r="V1251" s="65"/>
      <c r="W1251" t="s">
        <v>1017</v>
      </c>
      <c r="X1251"/>
      <c r="Y1251" s="65"/>
      <c r="Z1251" s="65"/>
      <c r="AA1251" s="65"/>
      <c r="AB1251" s="65"/>
      <c r="AC1251" s="65"/>
      <c r="AD1251" s="91"/>
      <c r="AE1251" s="124" t="s">
        <v>1017</v>
      </c>
      <c r="AF1251" s="65"/>
      <c r="AG1251" s="91"/>
      <c r="AH1251" s="212" t="str">
        <f>IF(ISERROR(SEARCH("K erstmals 201",D1251)),"",RIGHT(D1251,4))</f>
        <v>2011</v>
      </c>
      <c r="AI1251" s="214" t="str">
        <f t="shared" si="567"/>
        <v/>
      </c>
      <c r="AJ1251" s="214" t="str">
        <f t="shared" si="568"/>
        <v/>
      </c>
      <c r="AK1251" s="214" t="str">
        <f t="shared" si="569"/>
        <v/>
      </c>
      <c r="AL1251" s="214" t="str">
        <f t="shared" si="570"/>
        <v/>
      </c>
      <c r="AM1251" s="214" t="str">
        <f t="shared" si="571"/>
        <v/>
      </c>
      <c r="AN1251" s="213" t="str">
        <f t="shared" si="554"/>
        <v>2011</v>
      </c>
      <c r="AO1251" s="213" t="str">
        <f t="shared" si="555"/>
        <v>2011</v>
      </c>
      <c r="AP1251" s="213" t="str">
        <f t="shared" si="556"/>
        <v>2011</v>
      </c>
      <c r="AQ1251" s="215" t="str">
        <f t="shared" si="557"/>
        <v/>
      </c>
      <c r="AR1251" s="216" t="str">
        <f t="shared" si="558"/>
        <v>BiK83a2bK11-05</v>
      </c>
      <c r="AS1251" s="215" t="str">
        <f t="shared" si="559"/>
        <v/>
      </c>
      <c r="AT1251">
        <f t="shared" si="560"/>
        <v>14</v>
      </c>
      <c r="AU1251" s="216" t="str">
        <f t="shared" si="561"/>
        <v>0,5-5 MW, Bonusregeln a2, b und K erstmals 2011</v>
      </c>
      <c r="AV1251" s="215" t="str">
        <f t="shared" si="562"/>
        <v/>
      </c>
      <c r="AW1251" s="216" t="str">
        <f t="shared" si="563"/>
        <v>Anteil KWK, erstmals 2011</v>
      </c>
      <c r="AX1251" s="215" t="str">
        <f t="shared" si="564"/>
        <v/>
      </c>
      <c r="AY1251" t="str">
        <f t="shared" si="565"/>
        <v>x</v>
      </c>
      <c r="AZ1251" t="str">
        <f t="shared" si="566"/>
        <v/>
      </c>
    </row>
    <row r="1252" spans="1:52" s="178" customFormat="1" x14ac:dyDescent="0.25">
      <c r="A1252" s="625" t="s">
        <v>1601</v>
      </c>
      <c r="B1252" s="221" t="s">
        <v>5548</v>
      </c>
      <c r="C1252" s="221" t="s">
        <v>1288</v>
      </c>
      <c r="D1252" s="219" t="s">
        <v>6796</v>
      </c>
      <c r="E1252" s="219" t="s">
        <v>1980</v>
      </c>
      <c r="F1252" s="455">
        <f t="shared" si="572"/>
        <v>17.68</v>
      </c>
      <c r="G1252" s="530">
        <v>17.68</v>
      </c>
      <c r="H1252" s="488">
        <f t="shared" si="573"/>
        <v>14.14</v>
      </c>
      <c r="I1252" s="707"/>
      <c r="J1252" s="669" t="s">
        <v>5805</v>
      </c>
      <c r="K1252" s="15"/>
      <c r="L1252"/>
      <c r="M1252" s="49">
        <f t="shared" si="574"/>
        <v>17.68</v>
      </c>
      <c r="N1252" s="41">
        <v>8.77</v>
      </c>
      <c r="O1252" s="54"/>
      <c r="P1252" s="74"/>
      <c r="Q1252"/>
      <c r="R1252"/>
      <c r="S1252" t="s">
        <v>4180</v>
      </c>
      <c r="T1252" s="178" t="s">
        <v>1017</v>
      </c>
      <c r="U1252" s="75"/>
      <c r="V1252" s="65"/>
      <c r="W1252" t="s">
        <v>1017</v>
      </c>
      <c r="X1252"/>
      <c r="Y1252" s="65"/>
      <c r="Z1252" s="65"/>
      <c r="AA1252" s="65"/>
      <c r="AB1252" s="65"/>
      <c r="AC1252" s="65"/>
      <c r="AD1252" s="91"/>
      <c r="AE1252" s="124" t="s">
        <v>1017</v>
      </c>
      <c r="AF1252" s="65"/>
      <c r="AG1252" s="91"/>
      <c r="AH1252" s="217" t="s">
        <v>4179</v>
      </c>
      <c r="AI1252" s="214" t="str">
        <f t="shared" si="567"/>
        <v/>
      </c>
      <c r="AJ1252" s="214" t="str">
        <f t="shared" si="568"/>
        <v/>
      </c>
      <c r="AK1252" s="214" t="str">
        <f t="shared" si="569"/>
        <v/>
      </c>
      <c r="AL1252" s="214" t="str">
        <f t="shared" si="570"/>
        <v/>
      </c>
      <c r="AM1252" s="214" t="str">
        <f t="shared" si="571"/>
        <v/>
      </c>
      <c r="AN1252" s="213" t="str">
        <f t="shared" si="554"/>
        <v>2012</v>
      </c>
      <c r="AO1252" s="213" t="str">
        <f t="shared" si="555"/>
        <v>2012</v>
      </c>
      <c r="AP1252" s="213" t="str">
        <f t="shared" si="556"/>
        <v>2012</v>
      </c>
      <c r="AQ1252" s="215" t="str">
        <f t="shared" si="557"/>
        <v/>
      </c>
      <c r="AR1252" s="216" t="str">
        <f t="shared" si="558"/>
        <v>BiK83a2bK12-05</v>
      </c>
      <c r="AS1252" s="215" t="str">
        <f t="shared" si="559"/>
        <v/>
      </c>
      <c r="AT1252">
        <f t="shared" si="560"/>
        <v>14</v>
      </c>
      <c r="AU1252" s="216" t="str">
        <f t="shared" si="561"/>
        <v>0,5-5 MW, Bonusregeln a2, b und K erstmals 2012</v>
      </c>
      <c r="AV1252" s="215" t="str">
        <f t="shared" si="562"/>
        <v/>
      </c>
      <c r="AW1252" s="216" t="str">
        <f t="shared" si="563"/>
        <v>Anteil KWK, erstmals 2012</v>
      </c>
      <c r="AX1252" s="215" t="str">
        <f t="shared" si="564"/>
        <v/>
      </c>
      <c r="AY1252" t="str">
        <f t="shared" si="565"/>
        <v/>
      </c>
      <c r="AZ1252" t="str">
        <f t="shared" si="566"/>
        <v>x</v>
      </c>
    </row>
    <row r="1253" spans="1:52" s="178" customFormat="1" x14ac:dyDescent="0.25">
      <c r="A1253" s="609" t="s">
        <v>870</v>
      </c>
      <c r="B1253" s="1" t="s">
        <v>5548</v>
      </c>
      <c r="C1253" s="2" t="s">
        <v>1288</v>
      </c>
      <c r="D1253" s="1" t="s">
        <v>6797</v>
      </c>
      <c r="E1253" s="1" t="s">
        <v>4810</v>
      </c>
      <c r="F1253" s="456">
        <f t="shared" si="572"/>
        <v>13.27</v>
      </c>
      <c r="G1253" s="531">
        <v>13.27</v>
      </c>
      <c r="H1253" s="489">
        <f t="shared" si="573"/>
        <v>10.62</v>
      </c>
      <c r="I1253" s="708"/>
      <c r="J1253" s="669" t="s">
        <v>5805</v>
      </c>
      <c r="K1253" s="15"/>
      <c r="L1253"/>
      <c r="M1253" s="49">
        <f t="shared" si="574"/>
        <v>13.27</v>
      </c>
      <c r="N1253" s="41">
        <v>8.77</v>
      </c>
      <c r="O1253" s="54"/>
      <c r="P1253" s="74"/>
      <c r="Q1253"/>
      <c r="R1253"/>
      <c r="S1253" t="s">
        <v>4180</v>
      </c>
      <c r="T1253" s="178" t="s">
        <v>4180</v>
      </c>
      <c r="U1253" s="75"/>
      <c r="V1253" s="65"/>
      <c r="W1253"/>
      <c r="X1253" t="s">
        <v>1017</v>
      </c>
      <c r="Y1253" s="65"/>
      <c r="Z1253" s="65"/>
      <c r="AA1253" s="65"/>
      <c r="AB1253" s="65"/>
      <c r="AC1253" s="65"/>
      <c r="AD1253" s="91"/>
      <c r="AE1253" s="124" t="s">
        <v>1017</v>
      </c>
      <c r="AF1253" s="65"/>
      <c r="AG1253" s="91"/>
      <c r="AH1253" s="212" t="str">
        <f>IF(ISERROR(SEARCH("K erstmals 201",D1253)),"",RIGHT(D1253,4))</f>
        <v/>
      </c>
      <c r="AI1253" s="214" t="str">
        <f t="shared" si="567"/>
        <v/>
      </c>
      <c r="AJ1253" s="214" t="str">
        <f t="shared" si="568"/>
        <v/>
      </c>
      <c r="AK1253" s="214" t="str">
        <f t="shared" si="569"/>
        <v/>
      </c>
      <c r="AL1253" s="214" t="str">
        <f t="shared" si="570"/>
        <v/>
      </c>
      <c r="AM1253" s="214" t="str">
        <f t="shared" si="571"/>
        <v/>
      </c>
      <c r="AN1253" s="213" t="str">
        <f t="shared" si="554"/>
        <v/>
      </c>
      <c r="AO1253" s="213" t="str">
        <f t="shared" si="555"/>
        <v/>
      </c>
      <c r="AP1253" s="213" t="str">
        <f t="shared" si="556"/>
        <v/>
      </c>
      <c r="AQ1253" s="215" t="str">
        <f t="shared" si="557"/>
        <v/>
      </c>
      <c r="AR1253" s="216" t="str">
        <f t="shared" si="558"/>
        <v>BiK83a3b----05</v>
      </c>
      <c r="AS1253" s="215" t="str">
        <f t="shared" si="559"/>
        <v/>
      </c>
      <c r="AT1253">
        <f t="shared" si="560"/>
        <v>14</v>
      </c>
      <c r="AU1253" s="216" t="str">
        <f t="shared" si="561"/>
        <v>0,5-5 MW, Bonusregeln a3 und b</v>
      </c>
      <c r="AV1253" s="215" t="str">
        <f t="shared" si="562"/>
        <v/>
      </c>
      <c r="AW1253" s="216" t="str">
        <f t="shared" si="563"/>
        <v>Anteil Nicht-KWK</v>
      </c>
      <c r="AX1253" s="215" t="str">
        <f t="shared" si="564"/>
        <v/>
      </c>
      <c r="AY1253" t="str">
        <f t="shared" si="565"/>
        <v/>
      </c>
      <c r="AZ1253" t="str">
        <f t="shared" si="566"/>
        <v/>
      </c>
    </row>
    <row r="1254" spans="1:52" s="178" customFormat="1" x14ac:dyDescent="0.25">
      <c r="A1254" s="609" t="s">
        <v>871</v>
      </c>
      <c r="B1254" s="1" t="s">
        <v>5548</v>
      </c>
      <c r="C1254" s="2" t="s">
        <v>1288</v>
      </c>
      <c r="D1254" s="1" t="s">
        <v>6798</v>
      </c>
      <c r="E1254" s="1" t="s">
        <v>4812</v>
      </c>
      <c r="F1254" s="456">
        <f t="shared" si="572"/>
        <v>15.27</v>
      </c>
      <c r="G1254" s="531">
        <v>15.27</v>
      </c>
      <c r="H1254" s="489">
        <f t="shared" si="573"/>
        <v>12.22</v>
      </c>
      <c r="I1254" s="708"/>
      <c r="J1254" s="669" t="s">
        <v>5805</v>
      </c>
      <c r="K1254" s="15"/>
      <c r="L1254"/>
      <c r="M1254" s="49">
        <f t="shared" si="574"/>
        <v>15.27</v>
      </c>
      <c r="N1254" s="41">
        <v>8.77</v>
      </c>
      <c r="O1254" s="54" t="s">
        <v>1017</v>
      </c>
      <c r="P1254" s="74"/>
      <c r="Q1254"/>
      <c r="R1254"/>
      <c r="S1254" t="s">
        <v>4180</v>
      </c>
      <c r="T1254" s="178" t="s">
        <v>4180</v>
      </c>
      <c r="U1254" s="75"/>
      <c r="V1254" s="65"/>
      <c r="W1254"/>
      <c r="X1254" t="s">
        <v>1017</v>
      </c>
      <c r="Y1254" s="65"/>
      <c r="Z1254" s="65"/>
      <c r="AA1254" s="65"/>
      <c r="AB1254" s="65"/>
      <c r="AC1254" s="65"/>
      <c r="AD1254" s="91"/>
      <c r="AE1254" s="124" t="s">
        <v>1017</v>
      </c>
      <c r="AF1254" s="65"/>
      <c r="AG1254" s="91"/>
      <c r="AH1254" s="212" t="str">
        <f>IF(ISERROR(SEARCH("K erstmals 201",D1254)),"",RIGHT(D1254,4))</f>
        <v/>
      </c>
      <c r="AI1254" s="214" t="str">
        <f t="shared" si="567"/>
        <v/>
      </c>
      <c r="AJ1254" s="214" t="str">
        <f t="shared" si="568"/>
        <v/>
      </c>
      <c r="AK1254" s="214" t="str">
        <f t="shared" si="569"/>
        <v/>
      </c>
      <c r="AL1254" s="214" t="str">
        <f t="shared" si="570"/>
        <v/>
      </c>
      <c r="AM1254" s="214" t="str">
        <f t="shared" si="571"/>
        <v/>
      </c>
      <c r="AN1254" s="213" t="str">
        <f t="shared" si="554"/>
        <v/>
      </c>
      <c r="AO1254" s="213" t="str">
        <f t="shared" si="555"/>
        <v/>
      </c>
      <c r="AP1254" s="213" t="str">
        <f t="shared" si="556"/>
        <v/>
      </c>
      <c r="AQ1254" s="215" t="str">
        <f t="shared" si="557"/>
        <v/>
      </c>
      <c r="AR1254" s="216" t="str">
        <f t="shared" si="558"/>
        <v>BiK83a3bKWK-05</v>
      </c>
      <c r="AS1254" s="215" t="str">
        <f t="shared" si="559"/>
        <v/>
      </c>
      <c r="AT1254">
        <f t="shared" si="560"/>
        <v>14</v>
      </c>
      <c r="AU1254" s="216" t="str">
        <f t="shared" si="561"/>
        <v>0,5-5 MW, Bonusregeln a3, b und KWK</v>
      </c>
      <c r="AV1254" s="215" t="str">
        <f t="shared" si="562"/>
        <v/>
      </c>
      <c r="AW1254" s="216" t="str">
        <f t="shared" si="563"/>
        <v>Anteil KWK</v>
      </c>
      <c r="AX1254" s="215" t="str">
        <f t="shared" si="564"/>
        <v/>
      </c>
      <c r="AY1254" t="str">
        <f t="shared" si="565"/>
        <v/>
      </c>
      <c r="AZ1254" t="str">
        <f t="shared" si="566"/>
        <v/>
      </c>
    </row>
    <row r="1255" spans="1:52" s="178" customFormat="1" x14ac:dyDescent="0.25">
      <c r="A1255" s="610" t="s">
        <v>2357</v>
      </c>
      <c r="B1255" s="17" t="s">
        <v>5548</v>
      </c>
      <c r="C1255" s="17" t="s">
        <v>1288</v>
      </c>
      <c r="D1255" s="30" t="s">
        <v>6799</v>
      </c>
      <c r="E1255" s="17" t="s">
        <v>674</v>
      </c>
      <c r="F1255" s="454">
        <f t="shared" si="572"/>
        <v>16.27</v>
      </c>
      <c r="G1255" s="529">
        <v>16.27</v>
      </c>
      <c r="H1255" s="487">
        <f t="shared" si="573"/>
        <v>13.02</v>
      </c>
      <c r="I1255" s="706"/>
      <c r="J1255" s="669" t="s">
        <v>5805</v>
      </c>
      <c r="K1255" s="15"/>
      <c r="L1255"/>
      <c r="M1255" s="49">
        <f t="shared" si="574"/>
        <v>16.27</v>
      </c>
      <c r="N1255" s="41">
        <v>8.77</v>
      </c>
      <c r="O1255" s="54"/>
      <c r="P1255" s="74"/>
      <c r="Q1255" t="s">
        <v>1017</v>
      </c>
      <c r="R1255"/>
      <c r="S1255" t="s">
        <v>4180</v>
      </c>
      <c r="T1255" s="178" t="s">
        <v>4180</v>
      </c>
      <c r="U1255" s="75"/>
      <c r="V1255" s="65"/>
      <c r="W1255"/>
      <c r="X1255" t="s">
        <v>1017</v>
      </c>
      <c r="Y1255" s="65"/>
      <c r="Z1255" s="65"/>
      <c r="AA1255" s="65"/>
      <c r="AB1255" s="65"/>
      <c r="AC1255" s="65"/>
      <c r="AD1255" s="91"/>
      <c r="AE1255" s="124" t="s">
        <v>1017</v>
      </c>
      <c r="AF1255" s="65"/>
      <c r="AG1255" s="91"/>
      <c r="AH1255" s="212" t="str">
        <f>IF(ISERROR(SEARCH("K erstmals 201",D1255)),"",RIGHT(D1255,4))</f>
        <v/>
      </c>
      <c r="AI1255" s="214" t="str">
        <f t="shared" si="567"/>
        <v/>
      </c>
      <c r="AJ1255" s="214" t="str">
        <f t="shared" si="568"/>
        <v/>
      </c>
      <c r="AK1255" s="214" t="str">
        <f t="shared" si="569"/>
        <v/>
      </c>
      <c r="AL1255" s="214" t="str">
        <f t="shared" si="570"/>
        <v/>
      </c>
      <c r="AM1255" s="214" t="str">
        <f t="shared" si="571"/>
        <v/>
      </c>
      <c r="AN1255" s="213" t="str">
        <f t="shared" si="554"/>
        <v/>
      </c>
      <c r="AO1255" s="213" t="str">
        <f t="shared" si="555"/>
        <v/>
      </c>
      <c r="AP1255" s="213" t="str">
        <f t="shared" si="556"/>
        <v/>
      </c>
      <c r="AQ1255" s="215" t="str">
        <f t="shared" si="557"/>
        <v/>
      </c>
      <c r="AR1255" s="216" t="str">
        <f t="shared" si="558"/>
        <v>BiK83a3bK09-05</v>
      </c>
      <c r="AS1255" s="215" t="str">
        <f t="shared" si="559"/>
        <v/>
      </c>
      <c r="AT1255">
        <f t="shared" si="560"/>
        <v>14</v>
      </c>
      <c r="AU1255" s="216" t="str">
        <f t="shared" si="561"/>
        <v>0,5-5 MW, Bonusregeln a3, b und K erstmals 2009</v>
      </c>
      <c r="AV1255" s="215" t="str">
        <f t="shared" si="562"/>
        <v/>
      </c>
      <c r="AW1255" s="216" t="str">
        <f t="shared" si="563"/>
        <v>Anteil KWK, erstmals 2009</v>
      </c>
      <c r="AX1255" s="215" t="str">
        <f t="shared" si="564"/>
        <v/>
      </c>
      <c r="AY1255" t="str">
        <f t="shared" si="565"/>
        <v/>
      </c>
      <c r="AZ1255" t="str">
        <f t="shared" si="566"/>
        <v/>
      </c>
    </row>
    <row r="1256" spans="1:52" s="178" customFormat="1" x14ac:dyDescent="0.25">
      <c r="A1256" s="610" t="s">
        <v>3621</v>
      </c>
      <c r="B1256" s="17" t="s">
        <v>5548</v>
      </c>
      <c r="C1256" s="17" t="s">
        <v>1288</v>
      </c>
      <c r="D1256" s="30" t="s">
        <v>6800</v>
      </c>
      <c r="E1256" s="17" t="s">
        <v>3567</v>
      </c>
      <c r="F1256" s="454">
        <f t="shared" si="572"/>
        <v>16.240000000000002</v>
      </c>
      <c r="G1256" s="529">
        <v>16.240000000000002</v>
      </c>
      <c r="H1256" s="487">
        <f t="shared" si="573"/>
        <v>12.99</v>
      </c>
      <c r="I1256" s="706"/>
      <c r="J1256" s="669" t="s">
        <v>5805</v>
      </c>
      <c r="K1256" s="15"/>
      <c r="L1256"/>
      <c r="M1256" s="49">
        <f t="shared" si="574"/>
        <v>16.240000000000002</v>
      </c>
      <c r="N1256" s="41">
        <v>8.77</v>
      </c>
      <c r="O1256" s="54"/>
      <c r="P1256" s="74"/>
      <c r="Q1256"/>
      <c r="R1256" t="s">
        <v>1017</v>
      </c>
      <c r="S1256" t="s">
        <v>4180</v>
      </c>
      <c r="T1256" s="178" t="s">
        <v>4180</v>
      </c>
      <c r="U1256" s="75"/>
      <c r="V1256" s="65"/>
      <c r="W1256"/>
      <c r="X1256" t="s">
        <v>1017</v>
      </c>
      <c r="Y1256" s="65"/>
      <c r="Z1256" s="65"/>
      <c r="AA1256" s="65"/>
      <c r="AB1256" s="65"/>
      <c r="AC1256" s="65"/>
      <c r="AD1256" s="91"/>
      <c r="AE1256" s="124" t="s">
        <v>1017</v>
      </c>
      <c r="AF1256" s="65"/>
      <c r="AG1256" s="91"/>
      <c r="AH1256" s="212" t="str">
        <f>IF(ISERROR(SEARCH("K erstmals 201",D1256)),"",RIGHT(D1256,4))</f>
        <v>2010</v>
      </c>
      <c r="AI1256" s="214" t="str">
        <f t="shared" si="567"/>
        <v/>
      </c>
      <c r="AJ1256" s="214" t="str">
        <f t="shared" si="568"/>
        <v/>
      </c>
      <c r="AK1256" s="214" t="str">
        <f t="shared" si="569"/>
        <v/>
      </c>
      <c r="AL1256" s="214" t="str">
        <f t="shared" si="570"/>
        <v/>
      </c>
      <c r="AM1256" s="214" t="str">
        <f t="shared" si="571"/>
        <v/>
      </c>
      <c r="AN1256" s="213" t="str">
        <f t="shared" si="554"/>
        <v>2010</v>
      </c>
      <c r="AO1256" s="213" t="str">
        <f t="shared" si="555"/>
        <v>2010</v>
      </c>
      <c r="AP1256" s="213" t="str">
        <f t="shared" si="556"/>
        <v>2010</v>
      </c>
      <c r="AQ1256" s="215" t="str">
        <f t="shared" si="557"/>
        <v/>
      </c>
      <c r="AR1256" s="216" t="str">
        <f t="shared" si="558"/>
        <v>BiK83a3bK10-05</v>
      </c>
      <c r="AS1256" s="215" t="str">
        <f t="shared" si="559"/>
        <v/>
      </c>
      <c r="AT1256">
        <f t="shared" si="560"/>
        <v>14</v>
      </c>
      <c r="AU1256" s="216" t="str">
        <f t="shared" si="561"/>
        <v>0,5-5 MW, Bonusregeln a3, b und K erstmals 2010</v>
      </c>
      <c r="AV1256" s="215" t="str">
        <f t="shared" si="562"/>
        <v/>
      </c>
      <c r="AW1256" s="216" t="str">
        <f t="shared" si="563"/>
        <v>Anteil KWK, erstmals 2010</v>
      </c>
      <c r="AX1256" s="215" t="str">
        <f t="shared" si="564"/>
        <v/>
      </c>
      <c r="AY1256" t="str">
        <f t="shared" si="565"/>
        <v/>
      </c>
      <c r="AZ1256" t="str">
        <f t="shared" si="566"/>
        <v/>
      </c>
    </row>
    <row r="1257" spans="1:52" s="178" customFormat="1" x14ac:dyDescent="0.25">
      <c r="A1257" s="610" t="s">
        <v>5352</v>
      </c>
      <c r="B1257" s="17" t="s">
        <v>5548</v>
      </c>
      <c r="C1257" s="17" t="s">
        <v>1288</v>
      </c>
      <c r="D1257" s="30" t="s">
        <v>6801</v>
      </c>
      <c r="E1257" s="17" t="s">
        <v>3055</v>
      </c>
      <c r="F1257" s="454">
        <f t="shared" si="572"/>
        <v>16.21</v>
      </c>
      <c r="G1257" s="529">
        <v>16.21</v>
      </c>
      <c r="H1257" s="487">
        <f t="shared" si="573"/>
        <v>12.97</v>
      </c>
      <c r="I1257" s="706"/>
      <c r="J1257" s="669" t="s">
        <v>5805</v>
      </c>
      <c r="K1257" s="15"/>
      <c r="L1257"/>
      <c r="M1257" s="49">
        <f t="shared" si="574"/>
        <v>16.21</v>
      </c>
      <c r="N1257" s="41">
        <v>8.77</v>
      </c>
      <c r="O1257" s="54"/>
      <c r="P1257" s="74"/>
      <c r="Q1257"/>
      <c r="R1257"/>
      <c r="S1257" t="s">
        <v>1017</v>
      </c>
      <c r="T1257" s="178" t="s">
        <v>4180</v>
      </c>
      <c r="U1257" s="75"/>
      <c r="V1257" s="65"/>
      <c r="W1257"/>
      <c r="X1257" t="s">
        <v>1017</v>
      </c>
      <c r="Y1257" s="65"/>
      <c r="Z1257" s="65"/>
      <c r="AA1257" s="65"/>
      <c r="AB1257" s="65"/>
      <c r="AC1257" s="65"/>
      <c r="AD1257" s="91"/>
      <c r="AE1257" s="124" t="s">
        <v>1017</v>
      </c>
      <c r="AF1257" s="65"/>
      <c r="AG1257" s="91"/>
      <c r="AH1257" s="212" t="str">
        <f>IF(ISERROR(SEARCH("K erstmals 201",D1257)),"",RIGHT(D1257,4))</f>
        <v>2011</v>
      </c>
      <c r="AI1257" s="214" t="str">
        <f t="shared" si="567"/>
        <v/>
      </c>
      <c r="AJ1257" s="214" t="str">
        <f t="shared" si="568"/>
        <v/>
      </c>
      <c r="AK1257" s="214" t="str">
        <f t="shared" si="569"/>
        <v/>
      </c>
      <c r="AL1257" s="214" t="str">
        <f t="shared" si="570"/>
        <v/>
      </c>
      <c r="AM1257" s="214" t="str">
        <f t="shared" si="571"/>
        <v/>
      </c>
      <c r="AN1257" s="213" t="str">
        <f t="shared" si="554"/>
        <v>2011</v>
      </c>
      <c r="AO1257" s="213" t="str">
        <f t="shared" si="555"/>
        <v>2011</v>
      </c>
      <c r="AP1257" s="213" t="str">
        <f t="shared" si="556"/>
        <v>2011</v>
      </c>
      <c r="AQ1257" s="215" t="str">
        <f t="shared" si="557"/>
        <v/>
      </c>
      <c r="AR1257" s="216" t="str">
        <f t="shared" si="558"/>
        <v>BiK83a3bK11-05</v>
      </c>
      <c r="AS1257" s="215" t="str">
        <f t="shared" si="559"/>
        <v/>
      </c>
      <c r="AT1257">
        <f t="shared" si="560"/>
        <v>14</v>
      </c>
      <c r="AU1257" s="216" t="str">
        <f t="shared" si="561"/>
        <v>0,5-5 MW, Bonusregeln a3, b und K erstmals 2011</v>
      </c>
      <c r="AV1257" s="215" t="str">
        <f t="shared" si="562"/>
        <v/>
      </c>
      <c r="AW1257" s="216" t="str">
        <f t="shared" si="563"/>
        <v>Anteil KWK, erstmals 2011</v>
      </c>
      <c r="AX1257" s="215" t="str">
        <f t="shared" si="564"/>
        <v/>
      </c>
      <c r="AY1257" t="str">
        <f t="shared" si="565"/>
        <v>x</v>
      </c>
      <c r="AZ1257" t="str">
        <f t="shared" si="566"/>
        <v/>
      </c>
    </row>
    <row r="1258" spans="1:52" s="178" customFormat="1" x14ac:dyDescent="0.25">
      <c r="A1258" s="625" t="s">
        <v>1602</v>
      </c>
      <c r="B1258" s="221" t="s">
        <v>5548</v>
      </c>
      <c r="C1258" s="221" t="s">
        <v>1288</v>
      </c>
      <c r="D1258" s="219" t="s">
        <v>6802</v>
      </c>
      <c r="E1258" s="221" t="s">
        <v>1980</v>
      </c>
      <c r="F1258" s="455">
        <f t="shared" si="572"/>
        <v>16.18</v>
      </c>
      <c r="G1258" s="530">
        <v>16.18</v>
      </c>
      <c r="H1258" s="488">
        <f t="shared" si="573"/>
        <v>12.94</v>
      </c>
      <c r="I1258" s="707"/>
      <c r="J1258" s="669" t="s">
        <v>5805</v>
      </c>
      <c r="K1258" s="15"/>
      <c r="L1258"/>
      <c r="M1258" s="49">
        <f t="shared" si="574"/>
        <v>16.18</v>
      </c>
      <c r="N1258" s="41">
        <v>8.77</v>
      </c>
      <c r="O1258" s="54"/>
      <c r="P1258" s="74"/>
      <c r="Q1258"/>
      <c r="R1258"/>
      <c r="S1258" t="s">
        <v>4180</v>
      </c>
      <c r="T1258" s="178" t="s">
        <v>1017</v>
      </c>
      <c r="U1258" s="75"/>
      <c r="V1258" s="65"/>
      <c r="W1258"/>
      <c r="X1258" t="s">
        <v>1017</v>
      </c>
      <c r="Y1258" s="65"/>
      <c r="Z1258" s="65"/>
      <c r="AA1258" s="65"/>
      <c r="AB1258" s="65"/>
      <c r="AC1258" s="65"/>
      <c r="AD1258" s="91"/>
      <c r="AE1258" s="124" t="s">
        <v>1017</v>
      </c>
      <c r="AF1258" s="65"/>
      <c r="AG1258" s="91"/>
      <c r="AH1258" s="217" t="s">
        <v>4179</v>
      </c>
      <c r="AI1258" s="214" t="str">
        <f t="shared" si="567"/>
        <v/>
      </c>
      <c r="AJ1258" s="214" t="str">
        <f t="shared" si="568"/>
        <v/>
      </c>
      <c r="AK1258" s="214" t="str">
        <f t="shared" si="569"/>
        <v/>
      </c>
      <c r="AL1258" s="214" t="str">
        <f t="shared" si="570"/>
        <v/>
      </c>
      <c r="AM1258" s="214" t="str">
        <f t="shared" si="571"/>
        <v/>
      </c>
      <c r="AN1258" s="213" t="str">
        <f t="shared" si="554"/>
        <v>2012</v>
      </c>
      <c r="AO1258" s="213" t="str">
        <f t="shared" si="555"/>
        <v>2012</v>
      </c>
      <c r="AP1258" s="213" t="str">
        <f t="shared" si="556"/>
        <v>2012</v>
      </c>
      <c r="AQ1258" s="215" t="str">
        <f t="shared" si="557"/>
        <v/>
      </c>
      <c r="AR1258" s="216" t="str">
        <f t="shared" si="558"/>
        <v>BiK83a3bK12-05</v>
      </c>
      <c r="AS1258" s="215" t="str">
        <f t="shared" si="559"/>
        <v/>
      </c>
      <c r="AT1258">
        <f t="shared" si="560"/>
        <v>14</v>
      </c>
      <c r="AU1258" s="216" t="str">
        <f t="shared" si="561"/>
        <v>0,5-5 MW, Bonusregeln a3, b und K erstmals 2012</v>
      </c>
      <c r="AV1258" s="215" t="str">
        <f t="shared" si="562"/>
        <v/>
      </c>
      <c r="AW1258" s="216" t="str">
        <f t="shared" si="563"/>
        <v>Anteil KWK, erstmals 2012</v>
      </c>
      <c r="AX1258" s="215" t="str">
        <f t="shared" si="564"/>
        <v/>
      </c>
      <c r="AY1258" t="str">
        <f t="shared" si="565"/>
        <v/>
      </c>
      <c r="AZ1258" t="str">
        <f t="shared" si="566"/>
        <v>x</v>
      </c>
    </row>
    <row r="1259" spans="1:52" x14ac:dyDescent="0.25">
      <c r="A1259" s="609" t="s">
        <v>872</v>
      </c>
      <c r="B1259" s="1" t="s">
        <v>5548</v>
      </c>
      <c r="C1259" s="2" t="s">
        <v>1288</v>
      </c>
      <c r="D1259" s="1" t="s">
        <v>1776</v>
      </c>
      <c r="E1259" s="1" t="s">
        <v>4810</v>
      </c>
      <c r="F1259" s="456">
        <f t="shared" si="572"/>
        <v>8.27</v>
      </c>
      <c r="G1259" s="531">
        <v>8.27</v>
      </c>
      <c r="H1259" s="489">
        <f t="shared" si="573"/>
        <v>6.62</v>
      </c>
      <c r="I1259" s="708"/>
      <c r="J1259" s="669" t="s">
        <v>5805</v>
      </c>
      <c r="K1259" s="15"/>
      <c r="M1259" s="49">
        <f t="shared" si="574"/>
        <v>8.27</v>
      </c>
      <c r="N1259" s="41">
        <v>8.27</v>
      </c>
      <c r="O1259" s="54"/>
      <c r="P1259" s="74"/>
      <c r="S1259" t="s">
        <v>4180</v>
      </c>
      <c r="T1259" t="s">
        <v>4180</v>
      </c>
      <c r="U1259" s="75"/>
      <c r="V1259" s="65"/>
      <c r="W1259" s="65"/>
      <c r="X1259" s="65"/>
      <c r="Y1259" s="65"/>
      <c r="Z1259" s="65"/>
      <c r="AA1259" s="65"/>
      <c r="AB1259" s="65"/>
      <c r="AC1259" s="65"/>
      <c r="AD1259" s="91"/>
      <c r="AE1259" s="196"/>
      <c r="AF1259" s="65"/>
      <c r="AG1259" s="91"/>
      <c r="AH1259" s="212" t="str">
        <f>IF(ISERROR(SEARCH("K erstmals 201",D1259)),"",RIGHT(D1259,4))</f>
        <v/>
      </c>
      <c r="AI1259" s="214" t="str">
        <f t="shared" si="567"/>
        <v/>
      </c>
      <c r="AJ1259" s="214" t="str">
        <f t="shared" si="568"/>
        <v/>
      </c>
      <c r="AK1259" s="214" t="str">
        <f t="shared" si="569"/>
        <v/>
      </c>
      <c r="AL1259" s="214" t="str">
        <f t="shared" si="570"/>
        <v/>
      </c>
      <c r="AM1259" s="214" t="str">
        <f t="shared" si="571"/>
        <v/>
      </c>
      <c r="AN1259" s="213" t="str">
        <f t="shared" si="554"/>
        <v/>
      </c>
      <c r="AO1259" s="213" t="str">
        <f t="shared" si="555"/>
        <v/>
      </c>
      <c r="AP1259" s="213" t="str">
        <f t="shared" si="556"/>
        <v/>
      </c>
      <c r="AQ1259" s="215" t="str">
        <f t="shared" si="557"/>
        <v/>
      </c>
      <c r="AR1259" s="216" t="str">
        <f t="shared" si="558"/>
        <v>BiK84-------05</v>
      </c>
      <c r="AS1259" s="215" t="str">
        <f t="shared" si="559"/>
        <v/>
      </c>
      <c r="AT1259">
        <f t="shared" si="560"/>
        <v>14</v>
      </c>
      <c r="AU1259" s="216" t="str">
        <f t="shared" si="561"/>
        <v>5-20 MW</v>
      </c>
      <c r="AV1259" s="215" t="str">
        <f t="shared" si="562"/>
        <v/>
      </c>
      <c r="AW1259" s="216" t="str">
        <f t="shared" si="563"/>
        <v>Anteil Nicht-KWK</v>
      </c>
      <c r="AX1259" s="215" t="str">
        <f t="shared" si="564"/>
        <v/>
      </c>
      <c r="AY1259" t="str">
        <f t="shared" si="565"/>
        <v/>
      </c>
      <c r="AZ1259" t="str">
        <f t="shared" si="566"/>
        <v/>
      </c>
    </row>
    <row r="1260" spans="1:52" x14ac:dyDescent="0.25">
      <c r="A1260" s="609" t="s">
        <v>873</v>
      </c>
      <c r="B1260" s="1" t="s">
        <v>5548</v>
      </c>
      <c r="C1260" s="2" t="s">
        <v>1288</v>
      </c>
      <c r="D1260" s="1" t="s">
        <v>7367</v>
      </c>
      <c r="E1260" s="1" t="s">
        <v>4812</v>
      </c>
      <c r="F1260" s="456">
        <f t="shared" si="572"/>
        <v>10.27</v>
      </c>
      <c r="G1260" s="531">
        <v>10.27</v>
      </c>
      <c r="H1260" s="489">
        <f t="shared" si="573"/>
        <v>8.2200000000000006</v>
      </c>
      <c r="I1260" s="708"/>
      <c r="J1260" s="669" t="s">
        <v>5805</v>
      </c>
      <c r="K1260" s="15"/>
      <c r="M1260" s="49">
        <f t="shared" si="574"/>
        <v>10.27</v>
      </c>
      <c r="N1260" s="41">
        <v>8.27</v>
      </c>
      <c r="O1260" s="54" t="s">
        <v>1017</v>
      </c>
      <c r="P1260" s="74"/>
      <c r="S1260" t="s">
        <v>4180</v>
      </c>
      <c r="T1260" t="s">
        <v>4180</v>
      </c>
      <c r="U1260" s="75"/>
      <c r="V1260" s="65"/>
      <c r="W1260" s="65"/>
      <c r="X1260" s="65"/>
      <c r="Y1260" s="65"/>
      <c r="Z1260" s="65"/>
      <c r="AA1260" s="65"/>
      <c r="AB1260" s="65"/>
      <c r="AC1260" s="65"/>
      <c r="AD1260" s="91"/>
      <c r="AE1260" s="196"/>
      <c r="AF1260" s="65"/>
      <c r="AG1260" s="91"/>
      <c r="AH1260" s="212" t="str">
        <f>IF(ISERROR(SEARCH("K erstmals 201",D1260)),"",RIGHT(D1260,4))</f>
        <v/>
      </c>
      <c r="AI1260" s="214" t="str">
        <f t="shared" si="567"/>
        <v/>
      </c>
      <c r="AJ1260" s="214" t="str">
        <f t="shared" si="568"/>
        <v/>
      </c>
      <c r="AK1260" s="214" t="str">
        <f t="shared" si="569"/>
        <v/>
      </c>
      <c r="AL1260" s="214" t="str">
        <f t="shared" si="570"/>
        <v/>
      </c>
      <c r="AM1260" s="214" t="str">
        <f t="shared" si="571"/>
        <v/>
      </c>
      <c r="AN1260" s="213" t="str">
        <f t="shared" si="554"/>
        <v/>
      </c>
      <c r="AO1260" s="213" t="str">
        <f t="shared" si="555"/>
        <v/>
      </c>
      <c r="AP1260" s="213" t="str">
        <f t="shared" si="556"/>
        <v/>
      </c>
      <c r="AQ1260" s="215" t="str">
        <f t="shared" si="557"/>
        <v/>
      </c>
      <c r="AR1260" s="216" t="str">
        <f t="shared" si="558"/>
        <v>BiK84KWK----05</v>
      </c>
      <c r="AS1260" s="215" t="str">
        <f t="shared" si="559"/>
        <v/>
      </c>
      <c r="AT1260">
        <f t="shared" si="560"/>
        <v>14</v>
      </c>
      <c r="AU1260" s="216" t="str">
        <f t="shared" si="561"/>
        <v>5-20 MW, Bonusregel KWK</v>
      </c>
      <c r="AV1260" s="215" t="str">
        <f t="shared" si="562"/>
        <v/>
      </c>
      <c r="AW1260" s="216" t="str">
        <f t="shared" si="563"/>
        <v>Anteil KWK</v>
      </c>
      <c r="AX1260" s="215" t="str">
        <f t="shared" si="564"/>
        <v/>
      </c>
      <c r="AY1260" t="str">
        <f t="shared" si="565"/>
        <v/>
      </c>
      <c r="AZ1260" t="str">
        <f t="shared" si="566"/>
        <v/>
      </c>
    </row>
    <row r="1261" spans="1:52" x14ac:dyDescent="0.25">
      <c r="A1261" s="610" t="s">
        <v>2358</v>
      </c>
      <c r="B1261" s="17" t="s">
        <v>5548</v>
      </c>
      <c r="C1261" s="17" t="s">
        <v>1288</v>
      </c>
      <c r="D1261" s="30" t="s">
        <v>7363</v>
      </c>
      <c r="E1261" s="17" t="s">
        <v>674</v>
      </c>
      <c r="F1261" s="454">
        <f t="shared" si="572"/>
        <v>11.27</v>
      </c>
      <c r="G1261" s="529">
        <v>11.27</v>
      </c>
      <c r="H1261" s="487">
        <f t="shared" si="573"/>
        <v>9.02</v>
      </c>
      <c r="I1261" s="706"/>
      <c r="J1261" s="669" t="s">
        <v>5805</v>
      </c>
      <c r="K1261" s="15"/>
      <c r="M1261" s="49">
        <f t="shared" si="574"/>
        <v>11.27</v>
      </c>
      <c r="N1261" s="41">
        <v>8.27</v>
      </c>
      <c r="O1261" s="54"/>
      <c r="P1261" s="74"/>
      <c r="Q1261" t="s">
        <v>1017</v>
      </c>
      <c r="S1261" t="s">
        <v>4180</v>
      </c>
      <c r="T1261" t="s">
        <v>4180</v>
      </c>
      <c r="U1261" s="75"/>
      <c r="V1261" s="65"/>
      <c r="W1261" s="65"/>
      <c r="X1261" s="65"/>
      <c r="Y1261" s="65"/>
      <c r="Z1261" s="65"/>
      <c r="AA1261" s="65"/>
      <c r="AB1261" s="65"/>
      <c r="AC1261" s="65"/>
      <c r="AD1261" s="91"/>
      <c r="AE1261" s="196"/>
      <c r="AF1261" s="65"/>
      <c r="AG1261" s="91"/>
      <c r="AH1261" s="212" t="str">
        <f>IF(ISERROR(SEARCH("K erstmals 201",D1261)),"",RIGHT(D1261,4))</f>
        <v/>
      </c>
      <c r="AI1261" s="214" t="str">
        <f t="shared" si="567"/>
        <v/>
      </c>
      <c r="AJ1261" s="214" t="str">
        <f t="shared" si="568"/>
        <v/>
      </c>
      <c r="AK1261" s="214" t="str">
        <f t="shared" si="569"/>
        <v/>
      </c>
      <c r="AL1261" s="214" t="str">
        <f t="shared" si="570"/>
        <v/>
      </c>
      <c r="AM1261" s="214" t="str">
        <f t="shared" si="571"/>
        <v/>
      </c>
      <c r="AN1261" s="213" t="str">
        <f t="shared" si="554"/>
        <v/>
      </c>
      <c r="AO1261" s="213" t="str">
        <f t="shared" si="555"/>
        <v/>
      </c>
      <c r="AP1261" s="213" t="str">
        <f t="shared" si="556"/>
        <v/>
      </c>
      <c r="AQ1261" s="215" t="str">
        <f t="shared" si="557"/>
        <v/>
      </c>
      <c r="AR1261" s="216" t="str">
        <f t="shared" si="558"/>
        <v>BiK84K09----05</v>
      </c>
      <c r="AS1261" s="215" t="str">
        <f t="shared" si="559"/>
        <v/>
      </c>
      <c r="AT1261">
        <f t="shared" si="560"/>
        <v>14</v>
      </c>
      <c r="AU1261" s="216" t="str">
        <f t="shared" si="561"/>
        <v>5-20 MW, Bonusregel K erstmals 2009</v>
      </c>
      <c r="AV1261" s="215" t="str">
        <f t="shared" si="562"/>
        <v/>
      </c>
      <c r="AW1261" s="216" t="str">
        <f t="shared" si="563"/>
        <v>Anteil KWK, erstmals 2009</v>
      </c>
      <c r="AX1261" s="215" t="str">
        <f t="shared" si="564"/>
        <v/>
      </c>
      <c r="AY1261" t="str">
        <f t="shared" si="565"/>
        <v/>
      </c>
      <c r="AZ1261" t="str">
        <f t="shared" si="566"/>
        <v/>
      </c>
    </row>
    <row r="1262" spans="1:52" x14ac:dyDescent="0.25">
      <c r="A1262" s="610" t="s">
        <v>3622</v>
      </c>
      <c r="B1262" s="17" t="s">
        <v>5548</v>
      </c>
      <c r="C1262" s="17" t="s">
        <v>1288</v>
      </c>
      <c r="D1262" s="30" t="s">
        <v>7364</v>
      </c>
      <c r="E1262" s="17" t="s">
        <v>3567</v>
      </c>
      <c r="F1262" s="454">
        <f t="shared" si="572"/>
        <v>11.24</v>
      </c>
      <c r="G1262" s="529">
        <v>11.24</v>
      </c>
      <c r="H1262" s="487">
        <f t="shared" si="573"/>
        <v>8.99</v>
      </c>
      <c r="I1262" s="706"/>
      <c r="J1262" s="669" t="s">
        <v>5805</v>
      </c>
      <c r="K1262" s="15"/>
      <c r="M1262" s="49">
        <f t="shared" si="574"/>
        <v>11.24</v>
      </c>
      <c r="N1262" s="41">
        <v>8.27</v>
      </c>
      <c r="O1262" s="54"/>
      <c r="P1262" s="74"/>
      <c r="R1262" t="s">
        <v>1017</v>
      </c>
      <c r="S1262" t="s">
        <v>4180</v>
      </c>
      <c r="T1262" t="s">
        <v>4180</v>
      </c>
      <c r="U1262" s="75"/>
      <c r="V1262" s="65"/>
      <c r="W1262" s="65"/>
      <c r="X1262" s="65"/>
      <c r="Y1262" s="65"/>
      <c r="Z1262" s="65"/>
      <c r="AA1262" s="65"/>
      <c r="AB1262" s="65"/>
      <c r="AC1262" s="65"/>
      <c r="AD1262" s="91"/>
      <c r="AE1262" s="196"/>
      <c r="AF1262" s="65"/>
      <c r="AG1262" s="91"/>
      <c r="AH1262" s="212" t="str">
        <f>IF(ISERROR(SEARCH("K erstmals 201",D1262)),"",RIGHT(D1262,4))</f>
        <v>2010</v>
      </c>
      <c r="AI1262" s="214" t="str">
        <f t="shared" si="567"/>
        <v/>
      </c>
      <c r="AJ1262" s="214" t="str">
        <f t="shared" si="568"/>
        <v/>
      </c>
      <c r="AK1262" s="214" t="str">
        <f t="shared" si="569"/>
        <v/>
      </c>
      <c r="AL1262" s="214" t="str">
        <f t="shared" si="570"/>
        <v/>
      </c>
      <c r="AM1262" s="214" t="str">
        <f t="shared" si="571"/>
        <v/>
      </c>
      <c r="AN1262" s="213" t="str">
        <f t="shared" si="554"/>
        <v>2010</v>
      </c>
      <c r="AO1262" s="213" t="str">
        <f t="shared" si="555"/>
        <v>2010</v>
      </c>
      <c r="AP1262" s="213" t="str">
        <f t="shared" si="556"/>
        <v>2010</v>
      </c>
      <c r="AQ1262" s="215" t="str">
        <f t="shared" si="557"/>
        <v/>
      </c>
      <c r="AR1262" s="216" t="str">
        <f t="shared" si="558"/>
        <v>BiK84K10----05</v>
      </c>
      <c r="AS1262" s="215" t="str">
        <f t="shared" si="559"/>
        <v/>
      </c>
      <c r="AT1262">
        <f t="shared" si="560"/>
        <v>14</v>
      </c>
      <c r="AU1262" s="216" t="str">
        <f t="shared" si="561"/>
        <v>5-20 MW, Bonusregel K erstmals 2010</v>
      </c>
      <c r="AV1262" s="215" t="str">
        <f t="shared" si="562"/>
        <v/>
      </c>
      <c r="AW1262" s="216" t="str">
        <f t="shared" si="563"/>
        <v>Anteil KWK, erstmals 2010</v>
      </c>
      <c r="AX1262" s="215" t="str">
        <f t="shared" si="564"/>
        <v/>
      </c>
      <c r="AY1262" t="str">
        <f t="shared" si="565"/>
        <v/>
      </c>
      <c r="AZ1262" t="str">
        <f t="shared" si="566"/>
        <v/>
      </c>
    </row>
    <row r="1263" spans="1:52" x14ac:dyDescent="0.25">
      <c r="A1263" s="610" t="s">
        <v>5353</v>
      </c>
      <c r="B1263" s="17" t="s">
        <v>5548</v>
      </c>
      <c r="C1263" s="17" t="s">
        <v>1288</v>
      </c>
      <c r="D1263" s="30" t="s">
        <v>7365</v>
      </c>
      <c r="E1263" s="17" t="s">
        <v>3055</v>
      </c>
      <c r="F1263" s="454">
        <f t="shared" si="572"/>
        <v>11.209999999999999</v>
      </c>
      <c r="G1263" s="529">
        <v>11.209999999999999</v>
      </c>
      <c r="H1263" s="487">
        <f t="shared" si="573"/>
        <v>8.9700000000000006</v>
      </c>
      <c r="I1263" s="706"/>
      <c r="J1263" s="669" t="s">
        <v>5805</v>
      </c>
      <c r="K1263" s="15"/>
      <c r="M1263" s="49">
        <f t="shared" si="574"/>
        <v>11.209999999999999</v>
      </c>
      <c r="N1263" s="41">
        <v>8.27</v>
      </c>
      <c r="O1263" s="54"/>
      <c r="P1263" s="74"/>
      <c r="S1263" t="s">
        <v>1017</v>
      </c>
      <c r="T1263" t="s">
        <v>4180</v>
      </c>
      <c r="U1263" s="75"/>
      <c r="V1263" s="65"/>
      <c r="W1263" s="65"/>
      <c r="X1263" s="65"/>
      <c r="Y1263" s="65"/>
      <c r="Z1263" s="65"/>
      <c r="AA1263" s="65"/>
      <c r="AB1263" s="65"/>
      <c r="AC1263" s="65"/>
      <c r="AD1263" s="91"/>
      <c r="AE1263" s="196"/>
      <c r="AF1263" s="65"/>
      <c r="AG1263" s="91"/>
      <c r="AH1263" s="212" t="str">
        <f>IF(ISERROR(SEARCH("K erstmals 201",D1263)),"",RIGHT(D1263,4))</f>
        <v>2011</v>
      </c>
      <c r="AI1263" s="214" t="str">
        <f t="shared" si="567"/>
        <v/>
      </c>
      <c r="AJ1263" s="214" t="str">
        <f t="shared" si="568"/>
        <v/>
      </c>
      <c r="AK1263" s="214" t="str">
        <f t="shared" si="569"/>
        <v/>
      </c>
      <c r="AL1263" s="214" t="str">
        <f t="shared" si="570"/>
        <v/>
      </c>
      <c r="AM1263" s="214" t="str">
        <f t="shared" si="571"/>
        <v/>
      </c>
      <c r="AN1263" s="213" t="str">
        <f t="shared" si="554"/>
        <v>2011</v>
      </c>
      <c r="AO1263" s="213" t="str">
        <f t="shared" si="555"/>
        <v>2011</v>
      </c>
      <c r="AP1263" s="213" t="str">
        <f t="shared" si="556"/>
        <v>2011</v>
      </c>
      <c r="AQ1263" s="215" t="str">
        <f t="shared" si="557"/>
        <v/>
      </c>
      <c r="AR1263" s="216" t="str">
        <f t="shared" si="558"/>
        <v>BiK84K11----05</v>
      </c>
      <c r="AS1263" s="215" t="str">
        <f t="shared" si="559"/>
        <v/>
      </c>
      <c r="AT1263">
        <f t="shared" si="560"/>
        <v>14</v>
      </c>
      <c r="AU1263" s="216" t="str">
        <f t="shared" si="561"/>
        <v>5-20 MW, Bonusregel K erstmals 2011</v>
      </c>
      <c r="AV1263" s="215" t="str">
        <f t="shared" si="562"/>
        <v/>
      </c>
      <c r="AW1263" s="216" t="str">
        <f t="shared" si="563"/>
        <v>Anteil KWK, erstmals 2011</v>
      </c>
      <c r="AX1263" s="215" t="str">
        <f t="shared" si="564"/>
        <v/>
      </c>
      <c r="AY1263" t="str">
        <f t="shared" si="565"/>
        <v>x</v>
      </c>
      <c r="AZ1263" t="str">
        <f t="shared" si="566"/>
        <v/>
      </c>
    </row>
    <row r="1264" spans="1:52" x14ac:dyDescent="0.25">
      <c r="A1264" s="625" t="s">
        <v>1603</v>
      </c>
      <c r="B1264" s="221" t="s">
        <v>5548</v>
      </c>
      <c r="C1264" s="221" t="s">
        <v>1288</v>
      </c>
      <c r="D1264" s="219" t="s">
        <v>7366</v>
      </c>
      <c r="E1264" s="221" t="s">
        <v>1980</v>
      </c>
      <c r="F1264" s="455">
        <f t="shared" si="572"/>
        <v>11.18</v>
      </c>
      <c r="G1264" s="530">
        <v>11.18</v>
      </c>
      <c r="H1264" s="488">
        <f t="shared" si="573"/>
        <v>8.94</v>
      </c>
      <c r="I1264" s="707"/>
      <c r="J1264" s="669" t="s">
        <v>5805</v>
      </c>
      <c r="K1264" s="15"/>
      <c r="M1264" s="49">
        <f t="shared" si="574"/>
        <v>11.18</v>
      </c>
      <c r="N1264" s="41">
        <v>8.27</v>
      </c>
      <c r="O1264" s="54"/>
      <c r="P1264" s="74"/>
      <c r="S1264" t="s">
        <v>4180</v>
      </c>
      <c r="T1264" t="s">
        <v>1017</v>
      </c>
      <c r="U1264" s="75"/>
      <c r="V1264" s="65"/>
      <c r="W1264" s="65"/>
      <c r="X1264" s="65"/>
      <c r="Y1264" s="65"/>
      <c r="Z1264" s="65"/>
      <c r="AA1264" s="65"/>
      <c r="AB1264" s="65"/>
      <c r="AC1264" s="65"/>
      <c r="AD1264" s="91"/>
      <c r="AE1264" s="196"/>
      <c r="AF1264" s="65"/>
      <c r="AG1264" s="91"/>
      <c r="AH1264" s="217" t="s">
        <v>4179</v>
      </c>
      <c r="AI1264" s="214" t="str">
        <f t="shared" si="567"/>
        <v/>
      </c>
      <c r="AJ1264" s="214" t="str">
        <f t="shared" si="568"/>
        <v/>
      </c>
      <c r="AK1264" s="214" t="str">
        <f t="shared" si="569"/>
        <v/>
      </c>
      <c r="AL1264" s="214" t="str">
        <f t="shared" si="570"/>
        <v/>
      </c>
      <c r="AM1264" s="214" t="str">
        <f t="shared" si="571"/>
        <v/>
      </c>
      <c r="AN1264" s="213" t="str">
        <f t="shared" si="554"/>
        <v>2012</v>
      </c>
      <c r="AO1264" s="213" t="str">
        <f t="shared" si="555"/>
        <v>2012</v>
      </c>
      <c r="AP1264" s="213" t="str">
        <f t="shared" si="556"/>
        <v>2012</v>
      </c>
      <c r="AQ1264" s="215" t="str">
        <f t="shared" si="557"/>
        <v/>
      </c>
      <c r="AR1264" s="216" t="str">
        <f t="shared" si="558"/>
        <v>BiK84K12----05</v>
      </c>
      <c r="AS1264" s="215" t="str">
        <f t="shared" si="559"/>
        <v/>
      </c>
      <c r="AT1264">
        <f t="shared" si="560"/>
        <v>14</v>
      </c>
      <c r="AU1264" s="216" t="str">
        <f t="shared" si="561"/>
        <v>5-20 MW, Bonusregel K erstmals 2012</v>
      </c>
      <c r="AV1264" s="215" t="str">
        <f t="shared" si="562"/>
        <v/>
      </c>
      <c r="AW1264" s="216" t="str">
        <f t="shared" si="563"/>
        <v>Anteil KWK, erstmals 2012</v>
      </c>
      <c r="AX1264" s="215" t="str">
        <f t="shared" si="564"/>
        <v/>
      </c>
      <c r="AY1264" t="str">
        <f t="shared" si="565"/>
        <v/>
      </c>
      <c r="AZ1264" t="str">
        <f t="shared" si="566"/>
        <v>x</v>
      </c>
    </row>
    <row r="1265" spans="1:56" s="178" customFormat="1" x14ac:dyDescent="0.25">
      <c r="A1265" s="609" t="s">
        <v>4180</v>
      </c>
      <c r="B1265" s="1"/>
      <c r="C1265" s="1"/>
      <c r="D1265" s="1" t="s">
        <v>4180</v>
      </c>
      <c r="E1265" s="1" t="s">
        <v>4180</v>
      </c>
      <c r="F1265" s="457"/>
      <c r="G1265" s="533"/>
      <c r="H1265" s="491" t="str">
        <f t="shared" si="573"/>
        <v/>
      </c>
      <c r="I1265" s="710"/>
      <c r="J1265" s="669" t="s">
        <v>4180</v>
      </c>
      <c r="K1265" s="15"/>
      <c r="L1265"/>
      <c r="M1265"/>
      <c r="N1265"/>
      <c r="O1265" s="124"/>
      <c r="P1265"/>
      <c r="Q1265"/>
      <c r="R1265"/>
      <c r="S1265" t="s">
        <v>4180</v>
      </c>
      <c r="T1265" s="178" t="s">
        <v>4180</v>
      </c>
      <c r="U1265" s="55"/>
      <c r="V1265"/>
      <c r="W1265"/>
      <c r="X1265"/>
      <c r="Y1265"/>
      <c r="Z1265"/>
      <c r="AA1265"/>
      <c r="AB1265"/>
      <c r="AC1265"/>
      <c r="AD1265" s="92"/>
      <c r="AE1265" s="124"/>
      <c r="AF1265"/>
      <c r="AG1265"/>
      <c r="AH1265" s="212" t="str">
        <f>IF(ISERROR(SEARCH("K erstmals 201",D1265)),"",RIGHT(D1265,4))</f>
        <v/>
      </c>
      <c r="AI1265" s="214" t="str">
        <f>IF(AND($AH1265&lt;&gt;"",AH1265 =AH1260),"Gleich","")</f>
        <v/>
      </c>
      <c r="AJ1265" s="214" t="str">
        <f>IF(AND($AH1265&lt;&gt;"",A1265 =A1260),"Gleich","")</f>
        <v/>
      </c>
      <c r="AK1265" s="214" t="str">
        <f>IF(AND($AH1265&lt;&gt;"",D1265 =D1260),"Gleich","")</f>
        <v/>
      </c>
      <c r="AL1265" s="214" t="str">
        <f>IF(AND($AH1265&lt;&gt;"",E1265 =E1260),"Gleich","")</f>
        <v/>
      </c>
      <c r="AM1265" s="214" t="str">
        <f>IF(AND($AH1265&lt;&gt;"",F1265 =F1260),"Gleich","")</f>
        <v/>
      </c>
      <c r="AN1265" s="213" t="str">
        <f t="shared" si="554"/>
        <v/>
      </c>
      <c r="AO1265" s="213" t="str">
        <f t="shared" si="555"/>
        <v/>
      </c>
      <c r="AP1265" s="213" t="str">
        <f t="shared" si="556"/>
        <v/>
      </c>
      <c r="AQ1265" s="215" t="str">
        <f t="shared" si="557"/>
        <v/>
      </c>
      <c r="AR1265" s="216" t="str">
        <f t="shared" si="558"/>
        <v/>
      </c>
      <c r="AS1265" s="215" t="str">
        <f t="shared" si="559"/>
        <v/>
      </c>
      <c r="AT1265">
        <f t="shared" si="560"/>
        <v>0</v>
      </c>
      <c r="AU1265" s="216" t="str">
        <f t="shared" si="561"/>
        <v/>
      </c>
      <c r="AV1265" s="215" t="str">
        <f t="shared" si="562"/>
        <v/>
      </c>
      <c r="AW1265" s="216" t="str">
        <f t="shared" si="563"/>
        <v/>
      </c>
      <c r="AX1265" s="215" t="str">
        <f t="shared" si="564"/>
        <v/>
      </c>
      <c r="AY1265" t="str">
        <f t="shared" si="565"/>
        <v/>
      </c>
      <c r="AZ1265" t="str">
        <f t="shared" si="566"/>
        <v/>
      </c>
    </row>
    <row r="1266" spans="1:56" x14ac:dyDescent="0.25">
      <c r="A1266" s="615" t="s">
        <v>858</v>
      </c>
      <c r="B1266" s="375" t="s">
        <v>5548</v>
      </c>
      <c r="C1266" s="375" t="s">
        <v>1288</v>
      </c>
      <c r="D1266" s="375" t="s">
        <v>6999</v>
      </c>
      <c r="E1266" s="375" t="s">
        <v>2827</v>
      </c>
      <c r="F1266" s="461">
        <f t="shared" ref="F1266:F1304" si="577">M1266</f>
        <v>21.55</v>
      </c>
      <c r="G1266" s="535">
        <f t="shared" ref="G1266:G1304" si="578">F1266</f>
        <v>21.55</v>
      </c>
      <c r="H1266" s="493">
        <f t="shared" si="573"/>
        <v>17.239999999999998</v>
      </c>
      <c r="I1266" s="711"/>
      <c r="J1266" s="669" t="s">
        <v>5805</v>
      </c>
      <c r="M1266" s="49">
        <f t="shared" ref="M1266:M1304" si="579">N1266+SUMIF(U1266:AG1266,"x",U$886:AG$886)+T1266</f>
        <v>21.55</v>
      </c>
      <c r="N1266" s="41">
        <v>11.67</v>
      </c>
      <c r="O1266" s="391"/>
      <c r="P1266" s="392" t="s">
        <v>2828</v>
      </c>
      <c r="Q1266" s="392"/>
      <c r="R1266" s="392">
        <v>2013</v>
      </c>
      <c r="S1266" s="392"/>
      <c r="T1266" s="324">
        <v>2.88</v>
      </c>
      <c r="U1266" s="179"/>
      <c r="V1266" s="178"/>
      <c r="W1266" s="180"/>
      <c r="X1266" s="180"/>
      <c r="Y1266" s="178" t="s">
        <v>1017</v>
      </c>
      <c r="Z1266" s="178"/>
      <c r="AA1266" s="180"/>
      <c r="AB1266" s="178"/>
      <c r="AC1266" s="178"/>
      <c r="AD1266" s="201"/>
      <c r="AE1266" s="200"/>
      <c r="AF1266" s="180"/>
      <c r="AG1266" s="201"/>
    </row>
    <row r="1267" spans="1:56" x14ac:dyDescent="0.25">
      <c r="A1267" s="615" t="s">
        <v>5612</v>
      </c>
      <c r="B1267" s="375" t="s">
        <v>5548</v>
      </c>
      <c r="C1267" s="375" t="s">
        <v>1288</v>
      </c>
      <c r="D1267" s="375" t="s">
        <v>6991</v>
      </c>
      <c r="E1267" s="375" t="s">
        <v>2827</v>
      </c>
      <c r="F1267" s="461">
        <f t="shared" si="577"/>
        <v>24.55</v>
      </c>
      <c r="G1267" s="535">
        <f t="shared" si="578"/>
        <v>24.55</v>
      </c>
      <c r="H1267" s="493">
        <f t="shared" si="573"/>
        <v>19.64</v>
      </c>
      <c r="I1267" s="711"/>
      <c r="J1267" s="669" t="s">
        <v>5805</v>
      </c>
      <c r="K1267" s="15"/>
      <c r="M1267" s="49">
        <f t="shared" si="579"/>
        <v>24.55</v>
      </c>
      <c r="N1267" s="41">
        <v>11.67</v>
      </c>
      <c r="O1267" s="391"/>
      <c r="P1267" s="392" t="s">
        <v>2828</v>
      </c>
      <c r="Q1267" s="392"/>
      <c r="R1267" s="392">
        <v>2013</v>
      </c>
      <c r="S1267" s="392"/>
      <c r="T1267" s="324">
        <v>2.88</v>
      </c>
      <c r="U1267" s="185" t="s">
        <v>1017</v>
      </c>
      <c r="V1267" s="184"/>
      <c r="W1267" s="180"/>
      <c r="X1267" s="180"/>
      <c r="Y1267" s="184" t="s">
        <v>1017</v>
      </c>
      <c r="Z1267" s="184"/>
      <c r="AA1267" s="180"/>
      <c r="AB1267" s="184"/>
      <c r="AC1267" s="184"/>
      <c r="AD1267" s="201"/>
      <c r="AE1267" s="181" t="s">
        <v>1017</v>
      </c>
      <c r="AF1267" s="180"/>
      <c r="AG1267" s="201"/>
      <c r="AH1267" s="217" t="s">
        <v>4179</v>
      </c>
      <c r="AI1267" s="214" t="str">
        <f>IF(AND($AH1267&lt;&gt;"",AH1267 =AH1266),"Gleich","")</f>
        <v/>
      </c>
      <c r="AJ1267" s="214" t="str">
        <f>IF(AND($AH1267&lt;&gt;"",A1267 =A1266),"Gleich","")</f>
        <v/>
      </c>
      <c r="AK1267" s="214" t="str">
        <f>IF(AND($AH1267&lt;&gt;"",D1267 =D1266),"Gleich","")</f>
        <v/>
      </c>
      <c r="AL1267" s="214" t="str">
        <f>IF(AND($AH1267&lt;&gt;"",E1267 =E1266),"Gleich","")</f>
        <v>Gleich</v>
      </c>
      <c r="AM1267" s="214" t="str">
        <f>IF(AND($AH1267&lt;&gt;"",F1267 =F1266),"Gleich","")</f>
        <v/>
      </c>
      <c r="AN1267" s="213" t="str">
        <f>IF(ISERROR(SEARCH("K1",A1267)),"","20"&amp;MID(A1267,SEARCH("K1",A1267)+1,2))</f>
        <v>2013</v>
      </c>
      <c r="AO1267" s="213" t="str">
        <f>IF(ISERROR(SEARCH("erstmals 201",E1267)),"",MID(E1267,SEARCH("erstmals ",E1267)+9,4))</f>
        <v>2013</v>
      </c>
      <c r="AP1267" s="213" t="str">
        <f>IF(R1267="x","2010",IF(S1267="x","2011",IF(T1267="x","2012","")))</f>
        <v/>
      </c>
      <c r="AQ1267" s="215" t="str">
        <f>IF(OR(AH1267&lt;&gt;AN1267,AH1267&lt;&gt;AO1267,AH1267&lt;&gt;AP1267),"DIFF","")</f>
        <v>DIFF</v>
      </c>
      <c r="AR1267" s="216" t="str">
        <f>IF(A1267="","",IF(ISERROR(SEARCH("K1",A1267)),A1267,LEFT(A1267,SEARCH("K1",A1267)+1)&amp;RIGHT(AH1267,1)&amp;MID(A1267,SEARCH("K1",A1267)+3,14)))</f>
        <v>BiK81GbK12y-05</v>
      </c>
      <c r="AS1267" s="215" t="str">
        <f>IF(OR(A1267&lt;&gt;AR1267),"DIFF","")</f>
        <v>DIFF</v>
      </c>
      <c r="AT1267">
        <f>LEN(AR1267)</f>
        <v>14</v>
      </c>
      <c r="AU1267" s="216" t="str">
        <f>IF(D1267="","",IF(OR(A1267="",ISERROR(SEARCH("erstmals 201",D1267))),D1267,LEFT(D1267,SEARCH("erstmals 201",D1267)+8) &amp; AH1267 &amp; MID(D1267,SEARCH("erstmals 201",D1267)+13,255)))</f>
        <v>0-0,15 MW, Bonusregeln G, y, b und K erstmals 2012</v>
      </c>
      <c r="AV1267" s="215" t="str">
        <f>IF(OR(D1267&lt;&gt;AU1267),"DIFF","")</f>
        <v>DIFF</v>
      </c>
      <c r="AW1267" s="216" t="str">
        <f>IF(E1267="","",IF(OR(E1267="",ISERROR(SEARCH("erstmals 201",E1267))),E1267,LEFT(E1267,SEARCH("erstmals 201",E1267)+8) &amp; AH1267 &amp; MID(E1267,SEARCH("erstmals 201",E1267)+13,255)))</f>
        <v>Anteil KWK, erstmals 2012</v>
      </c>
      <c r="AX1267" s="215" t="str">
        <f>IF(OR(E1267&lt;&gt;AW1267),"DIFF","")</f>
        <v>DIFF</v>
      </c>
      <c r="AY1267" t="str">
        <f>IF(AH1267="2011","x",IF(AH1267="2012","","" &amp; S1267))</f>
        <v/>
      </c>
      <c r="AZ1267" t="str">
        <f>IF(AH1267="2012","x",IF(AH1267="2011","","" &amp; T1267))</f>
        <v>x</v>
      </c>
    </row>
    <row r="1268" spans="1:56" s="178" customFormat="1" x14ac:dyDescent="0.25">
      <c r="A1268" s="615" t="s">
        <v>2335</v>
      </c>
      <c r="B1268" s="375" t="s">
        <v>5548</v>
      </c>
      <c r="C1268" s="375" t="s">
        <v>1288</v>
      </c>
      <c r="D1268" s="375" t="s">
        <v>6992</v>
      </c>
      <c r="E1268" s="375" t="s">
        <v>2827</v>
      </c>
      <c r="F1268" s="459">
        <f t="shared" si="577"/>
        <v>25.55</v>
      </c>
      <c r="G1268" s="535">
        <f t="shared" si="578"/>
        <v>25.55</v>
      </c>
      <c r="H1268" s="493">
        <f t="shared" si="573"/>
        <v>20.440000000000001</v>
      </c>
      <c r="I1268" s="711"/>
      <c r="J1268" s="669" t="s">
        <v>5805</v>
      </c>
      <c r="K1268" s="15"/>
      <c r="L1268"/>
      <c r="M1268" s="49">
        <f t="shared" si="579"/>
        <v>25.55</v>
      </c>
      <c r="N1268" s="41">
        <v>11.67</v>
      </c>
      <c r="O1268" s="391"/>
      <c r="P1268" s="392" t="s">
        <v>2828</v>
      </c>
      <c r="Q1268" s="392"/>
      <c r="R1268" s="392">
        <v>2013</v>
      </c>
      <c r="S1268" s="392"/>
      <c r="T1268" s="324">
        <v>2.88</v>
      </c>
      <c r="U1268" s="179"/>
      <c r="W1268" s="180"/>
      <c r="X1268" s="180"/>
      <c r="Z1268" s="178" t="s">
        <v>1017</v>
      </c>
      <c r="AA1268" s="180"/>
      <c r="AD1268" s="201"/>
      <c r="AE1268" s="200"/>
      <c r="AF1268" s="180"/>
      <c r="AG1268" s="201"/>
      <c r="AH1268" s="217" t="s">
        <v>4179</v>
      </c>
      <c r="AI1268" s="214" t="str">
        <f>IF(AND($AH1268&lt;&gt;"",AH1268 =AH1266),"Gleich","")</f>
        <v/>
      </c>
      <c r="AJ1268" s="214" t="str">
        <f>IF(AND($AH1268&lt;&gt;"",A1268 =A1266),"Gleich","")</f>
        <v/>
      </c>
      <c r="AK1268" s="214" t="str">
        <f>IF(AND($AH1268&lt;&gt;"",D1268 =D1266),"Gleich","")</f>
        <v/>
      </c>
      <c r="AL1268" s="214" t="str">
        <f>IF(AND($AH1268&lt;&gt;"",E1268 =E1266),"Gleich","")</f>
        <v>Gleich</v>
      </c>
      <c r="AM1268" s="214" t="str">
        <f>IF(AND($AH1268&lt;&gt;"",F1268 =F1266),"Gleich","")</f>
        <v/>
      </c>
      <c r="AN1268" s="213" t="str">
        <f>IF(ISERROR(SEARCH("K1",A1268)),"","20"&amp;MID(A1268,SEARCH("K1",A1268)+1,2))</f>
        <v>2013</v>
      </c>
      <c r="AO1268" s="213" t="str">
        <f>IF(ISERROR(SEARCH("erstmals 201",E1268)),"",MID(E1268,SEARCH("erstmals ",E1268)+9,4))</f>
        <v>2013</v>
      </c>
      <c r="AP1268" s="213" t="str">
        <f>IF(R1268="x","2010",IF(S1268="x","2011",IF(T1268="x","2012","")))</f>
        <v/>
      </c>
      <c r="AQ1268" s="215" t="str">
        <f>IF(OR(AH1268&lt;&gt;AN1268,AH1268&lt;&gt;AO1268,AH1268&lt;&gt;AP1268),"DIFF","")</f>
        <v>DIFF</v>
      </c>
      <c r="AR1268" s="216" t="str">
        <f>IF(A1268="","",IF(ISERROR(SEARCH("K1",A1268)),A1268,LEFT(A1268,SEARCH("K1",A1268)+1)&amp;RIGHT(AH1268,1)&amp;MID(A1268,SEARCH("K1",A1268)+3,14)))</f>
        <v>BiK81M1K12--05</v>
      </c>
      <c r="AS1268" s="215" t="str">
        <f>IF(OR(A1268&lt;&gt;AR1268),"DIFF","")</f>
        <v>DIFF</v>
      </c>
      <c r="AT1268">
        <f>LEN(AR1268)</f>
        <v>14</v>
      </c>
      <c r="AU1268" s="216" t="str">
        <f>IF(D1268="","",IF(OR(A1268="",ISERROR(SEARCH("erstmals 201",D1268))),D1268,LEFT(D1268,SEARCH("erstmals 201",D1268)+8) &amp; AH1268 &amp; MID(D1268,SEARCH("erstmals 201",D1268)+13,255)))</f>
        <v>0-0,15 MW, Bonusregeln M1, K erstmals 2012</v>
      </c>
      <c r="AV1268" s="215" t="str">
        <f>IF(OR(D1268&lt;&gt;AU1268),"DIFF","")</f>
        <v>DIFF</v>
      </c>
      <c r="AW1268" s="216" t="str">
        <f>IF(E1268="","",IF(OR(E1268="",ISERROR(SEARCH("erstmals 201",E1268))),E1268,LEFT(E1268,SEARCH("erstmals 201",E1268)+8) &amp; AH1268 &amp; MID(E1268,SEARCH("erstmals 201",E1268)+13,255)))</f>
        <v>Anteil KWK, erstmals 2012</v>
      </c>
      <c r="AX1268" s="215" t="str">
        <f>IF(OR(E1268&lt;&gt;AW1268),"DIFF","")</f>
        <v>DIFF</v>
      </c>
      <c r="AY1268" t="str">
        <f>IF(AH1268="2011","x",IF(AH1268="2012","","" &amp; S1268))</f>
        <v/>
      </c>
      <c r="AZ1268" t="str">
        <f>IF(AH1268="2012","x",IF(AH1268="2011","","" &amp; T1268))</f>
        <v>x</v>
      </c>
    </row>
    <row r="1269" spans="1:56" x14ac:dyDescent="0.25">
      <c r="A1269" s="615" t="s">
        <v>2326</v>
      </c>
      <c r="B1269" s="375" t="s">
        <v>5548</v>
      </c>
      <c r="C1269" s="375" t="s">
        <v>1288</v>
      </c>
      <c r="D1269" s="375" t="s">
        <v>6859</v>
      </c>
      <c r="E1269" s="375" t="s">
        <v>2827</v>
      </c>
      <c r="F1269" s="461">
        <f t="shared" si="577"/>
        <v>26.55</v>
      </c>
      <c r="G1269" s="535">
        <f t="shared" si="578"/>
        <v>26.55</v>
      </c>
      <c r="H1269" s="493">
        <f t="shared" si="573"/>
        <v>21.24</v>
      </c>
      <c r="I1269" s="711"/>
      <c r="J1269" s="669" t="s">
        <v>5805</v>
      </c>
      <c r="K1269" s="15"/>
      <c r="M1269" s="49">
        <f t="shared" si="579"/>
        <v>26.55</v>
      </c>
      <c r="N1269" s="41">
        <v>11.67</v>
      </c>
      <c r="O1269" s="391"/>
      <c r="P1269" s="392" t="s">
        <v>2828</v>
      </c>
      <c r="Q1269" s="392"/>
      <c r="R1269" s="392">
        <v>2013</v>
      </c>
      <c r="S1269" s="392"/>
      <c r="T1269" s="324">
        <v>2.88</v>
      </c>
      <c r="U1269" s="185" t="s">
        <v>1017</v>
      </c>
      <c r="V1269" s="184"/>
      <c r="W1269" s="180"/>
      <c r="X1269" s="180"/>
      <c r="Y1269" s="178"/>
      <c r="Z1269" s="184" t="s">
        <v>1017</v>
      </c>
      <c r="AA1269" s="180"/>
      <c r="AB1269" s="184"/>
      <c r="AC1269" s="184"/>
      <c r="AD1269" s="201"/>
      <c r="AE1269" s="181"/>
      <c r="AF1269" s="180"/>
      <c r="AG1269" s="201"/>
      <c r="AH1269" s="217" t="s">
        <v>4179</v>
      </c>
      <c r="AI1269" s="214" t="str">
        <f>IF(AND($AH1269&lt;&gt;"",AH1269 =AH1276),"Gleich","")</f>
        <v>Gleich</v>
      </c>
      <c r="AJ1269" s="214" t="str">
        <f>IF(AND($AH1269&lt;&gt;"",A1269 =A1276),"Gleich","")</f>
        <v/>
      </c>
      <c r="AK1269" s="214" t="str">
        <f>IF(AND($AH1269&lt;&gt;"",D1269 =D1276),"Gleich","")</f>
        <v/>
      </c>
      <c r="AL1269" s="214" t="str">
        <f>IF(AND($AH1269&lt;&gt;"",E1269 =E1276),"Gleich","")</f>
        <v>Gleich</v>
      </c>
      <c r="AM1269" s="214" t="str">
        <f>IF(AND($AH1269&lt;&gt;"",F1269 =F1276),"Gleich","")</f>
        <v/>
      </c>
      <c r="AN1269" s="213" t="str">
        <f>IF(ISERROR(SEARCH("K1",A1269)),"","20"&amp;MID(A1269,SEARCH("K1",A1269)+1,2))</f>
        <v>2013</v>
      </c>
      <c r="AO1269" s="213" t="str">
        <f>IF(ISERROR(SEARCH("erstmals 201",E1269)),"",MID(E1269,SEARCH("erstmals ",E1269)+9,4))</f>
        <v>2013</v>
      </c>
      <c r="AP1269" s="213" t="str">
        <f>IF(R1269="x","2010",IF(S1269="x","2011",IF(T1269="x","2012","")))</f>
        <v/>
      </c>
      <c r="AQ1269" s="215" t="str">
        <f>IF(OR(AH1269&lt;&gt;AN1269,AH1269&lt;&gt;AO1269,AH1269&lt;&gt;AP1269),"DIFF","")</f>
        <v>DIFF</v>
      </c>
      <c r="AR1269" s="216" t="str">
        <f>IF(A1269="","",IF(ISERROR(SEARCH("K1",A1269)),A1269,LEFT(A1269,SEARCH("K1",A1269)+1)&amp;RIGHT(AH1269,1)&amp;MID(A1269,SEARCH("K1",A1269)+3,14)))</f>
        <v>BiK81M1K12y-05</v>
      </c>
      <c r="AS1269" s="215" t="str">
        <f>IF(OR(A1269&lt;&gt;AR1269),"DIFF","")</f>
        <v>DIFF</v>
      </c>
      <c r="AT1269">
        <f>LEN(AR1269)</f>
        <v>14</v>
      </c>
      <c r="AU1269" s="216" t="str">
        <f>IF(D1269="","",IF(OR(A1269="",ISERROR(SEARCH("erstmals 201",D1269))),D1269,LEFT(D1269,SEARCH("erstmals 201",D1269)+8) &amp; AH1269 &amp; MID(D1269,SEARCH("erstmals 201",D1269)+13,255)))</f>
        <v>0-0,15 MW, Bonusregeln M1, y und K erstmals 2012</v>
      </c>
      <c r="AV1269" s="215" t="str">
        <f>IF(OR(D1269&lt;&gt;AU1269),"DIFF","")</f>
        <v>DIFF</v>
      </c>
      <c r="AW1269" s="216" t="str">
        <f>IF(E1269="","",IF(OR(E1269="",ISERROR(SEARCH("erstmals 201",E1269))),E1269,LEFT(E1269,SEARCH("erstmals 201",E1269)+8) &amp; AH1269 &amp; MID(E1269,SEARCH("erstmals 201",E1269)+13,255)))</f>
        <v>Anteil KWK, erstmals 2012</v>
      </c>
      <c r="AX1269" s="215" t="str">
        <f>IF(OR(E1269&lt;&gt;AW1269),"DIFF","")</f>
        <v>DIFF</v>
      </c>
      <c r="AY1269" t="str">
        <f>IF(AH1269="2011","x",IF(AH1269="2012","","" &amp; S1269))</f>
        <v/>
      </c>
      <c r="AZ1269" t="str">
        <f>IF(AH1269="2012","x",IF(AH1269="2011","","" &amp; T1269))</f>
        <v>x</v>
      </c>
    </row>
    <row r="1270" spans="1:56" x14ac:dyDescent="0.25">
      <c r="A1270" s="615" t="s">
        <v>6160</v>
      </c>
      <c r="B1270" s="375" t="s">
        <v>5548</v>
      </c>
      <c r="C1270" s="375" t="s">
        <v>1288</v>
      </c>
      <c r="D1270" s="375" t="s">
        <v>7000</v>
      </c>
      <c r="E1270" s="375" t="s">
        <v>2827</v>
      </c>
      <c r="F1270" s="461">
        <f t="shared" si="577"/>
        <v>23.55</v>
      </c>
      <c r="G1270" s="535">
        <f t="shared" si="578"/>
        <v>23.55</v>
      </c>
      <c r="H1270" s="493">
        <f t="shared" si="573"/>
        <v>18.84</v>
      </c>
      <c r="I1270" s="711"/>
      <c r="J1270" s="669">
        <v>42830</v>
      </c>
      <c r="K1270" s="15"/>
      <c r="M1270" s="49">
        <f t="shared" si="579"/>
        <v>23.55</v>
      </c>
      <c r="N1270" s="41">
        <v>11.67</v>
      </c>
      <c r="O1270" s="391"/>
      <c r="P1270" s="392" t="s">
        <v>2828</v>
      </c>
      <c r="Q1270" s="392"/>
      <c r="R1270" s="392">
        <v>2013</v>
      </c>
      <c r="S1270" s="392"/>
      <c r="T1270" s="324">
        <v>2.88</v>
      </c>
      <c r="U1270" s="55" t="s">
        <v>1017</v>
      </c>
      <c r="V1270" t="s">
        <v>1017</v>
      </c>
      <c r="W1270" s="65"/>
      <c r="X1270" s="65"/>
      <c r="AA1270" s="65"/>
      <c r="AD1270" s="91"/>
      <c r="AE1270" s="124" t="s">
        <v>1017</v>
      </c>
      <c r="AF1270" s="65"/>
      <c r="AG1270" s="91"/>
      <c r="AH1270" s="217"/>
      <c r="AI1270" s="214"/>
      <c r="AJ1270" s="214"/>
      <c r="AK1270" s="214"/>
      <c r="AL1270" s="214"/>
      <c r="AM1270" s="214"/>
      <c r="AN1270" s="213"/>
      <c r="AO1270" s="213"/>
      <c r="AP1270" s="213"/>
      <c r="AQ1270" s="215"/>
      <c r="AR1270" s="216"/>
      <c r="AS1270" s="215"/>
      <c r="AU1270" s="216"/>
      <c r="AV1270" s="215"/>
      <c r="AW1270" s="216"/>
      <c r="AX1270" s="215"/>
    </row>
    <row r="1271" spans="1:56" s="178" customFormat="1" x14ac:dyDescent="0.25">
      <c r="A1271" s="615" t="s">
        <v>859</v>
      </c>
      <c r="B1271" s="375" t="s">
        <v>5548</v>
      </c>
      <c r="C1271" s="375" t="s">
        <v>1288</v>
      </c>
      <c r="D1271" s="375" t="s">
        <v>7218</v>
      </c>
      <c r="E1271" s="375" t="s">
        <v>2827</v>
      </c>
      <c r="F1271" s="461">
        <f t="shared" si="577"/>
        <v>19.63</v>
      </c>
      <c r="G1271" s="535">
        <f t="shared" si="578"/>
        <v>19.63</v>
      </c>
      <c r="H1271" s="493">
        <f t="shared" ref="H1271:H1305" si="580">IF(ISNUMBER(G1271),ROUND(0.8*G1271,2),"")</f>
        <v>15.7</v>
      </c>
      <c r="I1271" s="711"/>
      <c r="J1271" s="669" t="s">
        <v>5805</v>
      </c>
      <c r="K1271" s="15"/>
      <c r="L1271"/>
      <c r="M1271" s="49">
        <f t="shared" si="579"/>
        <v>19.63</v>
      </c>
      <c r="N1271" s="41">
        <v>9.75</v>
      </c>
      <c r="O1271" s="391"/>
      <c r="P1271" s="392" t="s">
        <v>2828</v>
      </c>
      <c r="Q1271" s="392"/>
      <c r="R1271" s="392">
        <v>2013</v>
      </c>
      <c r="S1271" s="392"/>
      <c r="T1271" s="324">
        <v>2.88</v>
      </c>
      <c r="U1271" s="179"/>
      <c r="W1271" s="180"/>
      <c r="X1271" s="180"/>
      <c r="Y1271" s="178" t="s">
        <v>1017</v>
      </c>
      <c r="Z1271" s="180"/>
      <c r="AC1271" s="180"/>
      <c r="AD1271" s="182"/>
      <c r="AE1271" s="200"/>
      <c r="AF1271" s="180"/>
      <c r="AG1271" s="201"/>
      <c r="AH1271" s="217" t="s">
        <v>4179</v>
      </c>
      <c r="AI1271" s="214" t="e">
        <f>IF(AND($AH1271&lt;&gt;"",AH1271 =#REF!),"Gleich","")</f>
        <v>#REF!</v>
      </c>
      <c r="AJ1271" s="214" t="e">
        <f>IF(AND($AH1271&lt;&gt;"",A1271 =#REF!),"Gleich","")</f>
        <v>#REF!</v>
      </c>
      <c r="AK1271" s="214" t="e">
        <f>IF(AND($AH1271&lt;&gt;"",D1271 =#REF!),"Gleich","")</f>
        <v>#REF!</v>
      </c>
      <c r="AL1271" s="214" t="e">
        <f>IF(AND($AH1271&lt;&gt;"",E1271 =#REF!),"Gleich","")</f>
        <v>#REF!</v>
      </c>
      <c r="AM1271" s="214" t="e">
        <f>IF(AND($AH1271&lt;&gt;"",F1271 =#REF!),"Gleich","")</f>
        <v>#REF!</v>
      </c>
      <c r="AN1271" s="213" t="str">
        <f>IF(ISERROR(SEARCH("K1",A1271)),"","20"&amp;MID(A1271,SEARCH("K1",A1271)+1,2))</f>
        <v>2013</v>
      </c>
      <c r="AO1271" s="213" t="str">
        <f>IF(ISERROR(SEARCH("erstmals 201",E1271)),"",MID(E1271,SEARCH("erstmals ",E1271)+9,4))</f>
        <v>2013</v>
      </c>
      <c r="AP1271" s="213" t="str">
        <f>IF(R1271="x","2010",IF(S1271="x","2011",IF(T1271="x","2012","")))</f>
        <v/>
      </c>
      <c r="AQ1271" s="215" t="str">
        <f>IF(OR(AH1271&lt;&gt;AN1271,AH1271&lt;&gt;AO1271,AH1271&lt;&gt;AP1271),"DIFF","")</f>
        <v>DIFF</v>
      </c>
      <c r="AR1271" s="216" t="str">
        <f>IF(A1271="","",IF(ISERROR(SEARCH("K1",A1271)),A1271,LEFT(A1271,SEARCH("K1",A1271)+1)&amp;RIGHT(AH1271,1)&amp;MID(A1271,SEARCH("K1",A1271)+3,14)))</f>
        <v>BiK82GK12---05</v>
      </c>
      <c r="AS1271" s="215" t="str">
        <f>IF(OR(A1271&lt;&gt;AR1271),"DIFF","")</f>
        <v>DIFF</v>
      </c>
      <c r="AT1271">
        <f>LEN(AR1271)</f>
        <v>14</v>
      </c>
      <c r="AU1271" s="216" t="str">
        <f>IF(D1271="","",IF(OR(A1271="",ISERROR(SEARCH("erstmals 201",D1271))),D1271,LEFT(D1271,SEARCH("erstmals 201",D1271)+8) &amp; AH1271 &amp; MID(D1271,SEARCH("erstmals 201",D1271)+13,255)))</f>
        <v>0,15-0,5 MW, Bonusregeln G und K erstmals 2012</v>
      </c>
      <c r="AV1271" s="215" t="str">
        <f>IF(OR(D1271&lt;&gt;AU1271),"DIFF","")</f>
        <v>DIFF</v>
      </c>
      <c r="AW1271" s="216" t="str">
        <f>IF(E1271="","",IF(OR(E1271="",ISERROR(SEARCH("erstmals 201",E1271))),E1271,LEFT(E1271,SEARCH("erstmals 201",E1271)+8) &amp; AH1271 &amp; MID(E1271,SEARCH("erstmals 201",E1271)+13,255)))</f>
        <v>Anteil KWK, erstmals 2012</v>
      </c>
      <c r="AX1271" s="215" t="str">
        <f>IF(OR(E1271&lt;&gt;AW1271),"DIFF","")</f>
        <v>DIFF</v>
      </c>
      <c r="AY1271" t="str">
        <f>IF(AH1271="2011","x",IF(AH1271="2012","","" &amp; S1271))</f>
        <v/>
      </c>
      <c r="AZ1271" t="str">
        <f>IF(AH1271="2012","x",IF(AH1271="2011","","" &amp; T1271))</f>
        <v>x</v>
      </c>
    </row>
    <row r="1272" spans="1:56" s="178" customFormat="1" x14ac:dyDescent="0.25">
      <c r="A1272" s="615" t="s">
        <v>5613</v>
      </c>
      <c r="B1272" s="375" t="s">
        <v>5548</v>
      </c>
      <c r="C1272" s="375" t="s">
        <v>1288</v>
      </c>
      <c r="D1272" s="375" t="s">
        <v>7214</v>
      </c>
      <c r="E1272" s="375" t="s">
        <v>2827</v>
      </c>
      <c r="F1272" s="461">
        <f t="shared" si="577"/>
        <v>22.63</v>
      </c>
      <c r="G1272" s="535">
        <f t="shared" si="578"/>
        <v>22.63</v>
      </c>
      <c r="H1272" s="493">
        <f t="shared" si="580"/>
        <v>18.100000000000001</v>
      </c>
      <c r="I1272" s="711"/>
      <c r="J1272" s="669" t="s">
        <v>5805</v>
      </c>
      <c r="K1272" s="15"/>
      <c r="L1272"/>
      <c r="M1272" s="49">
        <f t="shared" si="579"/>
        <v>22.63</v>
      </c>
      <c r="N1272" s="41">
        <v>9.75</v>
      </c>
      <c r="O1272" s="391"/>
      <c r="P1272" s="392" t="s">
        <v>2828</v>
      </c>
      <c r="Q1272" s="392"/>
      <c r="R1272" s="392">
        <v>2013</v>
      </c>
      <c r="S1272" s="392"/>
      <c r="T1272" s="324">
        <v>2.88</v>
      </c>
      <c r="U1272" s="185" t="s">
        <v>1017</v>
      </c>
      <c r="V1272" s="184"/>
      <c r="W1272" s="180"/>
      <c r="X1272" s="180"/>
      <c r="Y1272" s="184" t="s">
        <v>1017</v>
      </c>
      <c r="Z1272" s="180"/>
      <c r="AA1272" s="184"/>
      <c r="AB1272" s="184"/>
      <c r="AC1272" s="180"/>
      <c r="AD1272" s="182"/>
      <c r="AE1272" s="181" t="s">
        <v>1017</v>
      </c>
      <c r="AF1272" s="180"/>
      <c r="AG1272" s="201"/>
      <c r="AH1272" s="217" t="s">
        <v>4179</v>
      </c>
      <c r="AI1272" s="214" t="str">
        <f>IF(AND($AH1272&lt;&gt;"",AH1272 =AH1271),"Gleich","")</f>
        <v>Gleich</v>
      </c>
      <c r="AJ1272" s="214" t="str">
        <f>IF(AND($AH1272&lt;&gt;"",A1272 =A1271),"Gleich","")</f>
        <v/>
      </c>
      <c r="AK1272" s="214" t="str">
        <f>IF(AND($AH1272&lt;&gt;"",D1272 =D1271),"Gleich","")</f>
        <v/>
      </c>
      <c r="AL1272" s="214" t="str">
        <f>IF(AND($AH1272&lt;&gt;"",E1272 =E1271),"Gleich","")</f>
        <v>Gleich</v>
      </c>
      <c r="AM1272" s="214" t="str">
        <f>IF(AND($AH1272&lt;&gt;"",F1272 =F1271),"Gleich","")</f>
        <v/>
      </c>
      <c r="AN1272" s="213" t="str">
        <f>IF(ISERROR(SEARCH("K1",A1272)),"","20"&amp;MID(A1272,SEARCH("K1",A1272)+1,2))</f>
        <v>2013</v>
      </c>
      <c r="AO1272" s="213" t="str">
        <f>IF(ISERROR(SEARCH("erstmals 201",E1272)),"",MID(E1272,SEARCH("erstmals ",E1272)+9,4))</f>
        <v>2013</v>
      </c>
      <c r="AP1272" s="213" t="str">
        <f>IF(R1272="x","2010",IF(S1272="x","2011",IF(T1272="x","2012","")))</f>
        <v/>
      </c>
      <c r="AQ1272" s="215" t="str">
        <f>IF(OR(AH1272&lt;&gt;AN1272,AH1272&lt;&gt;AO1272,AH1272&lt;&gt;AP1272),"DIFF","")</f>
        <v>DIFF</v>
      </c>
      <c r="AR1272" s="216" t="str">
        <f>IF(A1272="","",IF(ISERROR(SEARCH("K1",A1272)),A1272,LEFT(A1272,SEARCH("K1",A1272)+1)&amp;RIGHT(AH1272,1)&amp;MID(A1272,SEARCH("K1",A1272)+3,14)))</f>
        <v>BiK82GbK12y-05</v>
      </c>
      <c r="AS1272" s="215" t="str">
        <f>IF(OR(A1272&lt;&gt;AR1272),"DIFF","")</f>
        <v>DIFF</v>
      </c>
      <c r="AT1272">
        <f>LEN(AR1272)</f>
        <v>14</v>
      </c>
      <c r="AU1272" s="216" t="str">
        <f>IF(D1272="","",IF(OR(A1272="",ISERROR(SEARCH("erstmals 201",D1272))),D1272,LEFT(D1272,SEARCH("erstmals 201",D1272)+8) &amp; AH1272 &amp; MID(D1272,SEARCH("erstmals 201",D1272)+13,255)))</f>
        <v>0,15-0,5 MW, Bonusregeln G, y, b und K erstmals 2012</v>
      </c>
      <c r="AV1272" s="215" t="str">
        <f>IF(OR(D1272&lt;&gt;AU1272),"DIFF","")</f>
        <v>DIFF</v>
      </c>
      <c r="AW1272" s="216" t="str">
        <f>IF(E1272="","",IF(OR(E1272="",ISERROR(SEARCH("erstmals 201",E1272))),E1272,LEFT(E1272,SEARCH("erstmals 201",E1272)+8) &amp; AH1272 &amp; MID(E1272,SEARCH("erstmals 201",E1272)+13,255)))</f>
        <v>Anteil KWK, erstmals 2012</v>
      </c>
      <c r="AX1272" s="215" t="str">
        <f>IF(OR(E1272&lt;&gt;AW1272),"DIFF","")</f>
        <v>DIFF</v>
      </c>
      <c r="AY1272" t="str">
        <f>IF(AH1272="2011","x",IF(AH1272="2012","","" &amp; S1272))</f>
        <v/>
      </c>
      <c r="AZ1272" t="str">
        <f>IF(AH1272="2012","x",IF(AH1272="2011","","" &amp; T1272))</f>
        <v>x</v>
      </c>
    </row>
    <row r="1273" spans="1:56" s="178" customFormat="1" x14ac:dyDescent="0.25">
      <c r="A1273" s="615" t="s">
        <v>2334</v>
      </c>
      <c r="B1273" s="375" t="s">
        <v>5548</v>
      </c>
      <c r="C1273" s="375" t="s">
        <v>1288</v>
      </c>
      <c r="D1273" s="375" t="s">
        <v>7215</v>
      </c>
      <c r="E1273" s="375" t="s">
        <v>2827</v>
      </c>
      <c r="F1273" s="459">
        <f t="shared" si="577"/>
        <v>20.63</v>
      </c>
      <c r="G1273" s="535">
        <f t="shared" si="578"/>
        <v>20.63</v>
      </c>
      <c r="H1273" s="493">
        <f t="shared" si="580"/>
        <v>16.5</v>
      </c>
      <c r="I1273" s="711"/>
      <c r="J1273" s="669" t="s">
        <v>5805</v>
      </c>
      <c r="K1273" s="15"/>
      <c r="L1273"/>
      <c r="M1273" s="49">
        <f t="shared" si="579"/>
        <v>20.63</v>
      </c>
      <c r="N1273" s="41">
        <v>9.75</v>
      </c>
      <c r="O1273" s="391"/>
      <c r="P1273" s="392" t="s">
        <v>2828</v>
      </c>
      <c r="Q1273" s="392"/>
      <c r="R1273" s="392">
        <v>2013</v>
      </c>
      <c r="S1273" s="392"/>
      <c r="T1273" s="324">
        <v>2.88</v>
      </c>
      <c r="U1273" s="179"/>
      <c r="W1273" s="180"/>
      <c r="X1273" s="180"/>
      <c r="Z1273" s="180"/>
      <c r="AA1273" s="178" t="s">
        <v>1017</v>
      </c>
      <c r="AC1273" s="180"/>
      <c r="AD1273" s="182"/>
      <c r="AE1273" s="200"/>
      <c r="AF1273" s="180"/>
      <c r="AG1273" s="201"/>
      <c r="AH1273" s="217" t="s">
        <v>4179</v>
      </c>
      <c r="AI1273" s="214" t="str">
        <f>IF(AND($AH1273&lt;&gt;"",AH1273 =AH1271),"Gleich","")</f>
        <v>Gleich</v>
      </c>
      <c r="AJ1273" s="214" t="str">
        <f>IF(AND($AH1273&lt;&gt;"",A1273 =A1271),"Gleich","")</f>
        <v/>
      </c>
      <c r="AK1273" s="214" t="str">
        <f>IF(AND($AH1273&lt;&gt;"",D1273 =D1271),"Gleich","")</f>
        <v/>
      </c>
      <c r="AL1273" s="214" t="str">
        <f>IF(AND($AH1273&lt;&gt;"",E1273 =E1271),"Gleich","")</f>
        <v>Gleich</v>
      </c>
      <c r="AM1273" s="214" t="str">
        <f>IF(AND($AH1273&lt;&gt;"",F1273 =F1271),"Gleich","")</f>
        <v/>
      </c>
      <c r="AN1273" s="213" t="str">
        <f>IF(ISERROR(SEARCH("K1",A1273)),"","20"&amp;MID(A1273,SEARCH("K1",A1273)+1,2))</f>
        <v>2013</v>
      </c>
      <c r="AO1273" s="213" t="str">
        <f>IF(ISERROR(SEARCH("erstmals 201",E1273)),"",MID(E1273,SEARCH("erstmals ",E1273)+9,4))</f>
        <v>2013</v>
      </c>
      <c r="AP1273" s="213" t="str">
        <f>IF(R1273="x","2010",IF(S1273="x","2011",IF(T1273="x","2012","")))</f>
        <v/>
      </c>
      <c r="AQ1273" s="215" t="str">
        <f>IF(OR(AH1273&lt;&gt;AN1273,AH1273&lt;&gt;AO1273,AH1273&lt;&gt;AP1273),"DIFF","")</f>
        <v>DIFF</v>
      </c>
      <c r="AR1273" s="216" t="str">
        <f>IF(A1273="","",IF(ISERROR(SEARCH("K1",A1273)),A1273,LEFT(A1273,SEARCH("K1",A1273)+1)&amp;RIGHT(AH1273,1)&amp;MID(A1273,SEARCH("K1",A1273)+3,14)))</f>
        <v>BiK82M2K12--05</v>
      </c>
      <c r="AS1273" s="215" t="str">
        <f>IF(OR(A1273&lt;&gt;AR1273),"DIFF","")</f>
        <v>DIFF</v>
      </c>
      <c r="AT1273">
        <f>LEN(AR1273)</f>
        <v>14</v>
      </c>
      <c r="AU1273" s="216" t="str">
        <f>IF(D1273="","",IF(OR(A1273="",ISERROR(SEARCH("erstmals 201",D1273))),D1273,LEFT(D1273,SEARCH("erstmals 201",D1273)+8) &amp; AH1273 &amp; MID(D1273,SEARCH("erstmals 201",D1273)+13,255)))</f>
        <v>0,15-0,5 MW, Bonusregeln M2, K erstmals 2012</v>
      </c>
      <c r="AV1273" s="215" t="str">
        <f>IF(OR(D1273&lt;&gt;AU1273),"DIFF","")</f>
        <v>DIFF</v>
      </c>
      <c r="AW1273" s="216" t="str">
        <f>IF(E1273="","",IF(OR(E1273="",ISERROR(SEARCH("erstmals 201",E1273))),E1273,LEFT(E1273,SEARCH("erstmals 201",E1273)+8) &amp; AH1273 &amp; MID(E1273,SEARCH("erstmals 201",E1273)+13,255)))</f>
        <v>Anteil KWK, erstmals 2012</v>
      </c>
      <c r="AX1273" s="215" t="str">
        <f>IF(OR(E1273&lt;&gt;AW1273),"DIFF","")</f>
        <v>DIFF</v>
      </c>
      <c r="AY1273" t="str">
        <f>IF(AH1273="2011","x",IF(AH1273="2012","","" &amp; S1273))</f>
        <v/>
      </c>
      <c r="AZ1273" t="str">
        <f>IF(AH1273="2012","x",IF(AH1273="2011","","" &amp; T1273))</f>
        <v>x</v>
      </c>
    </row>
    <row r="1274" spans="1:56" s="178" customFormat="1" x14ac:dyDescent="0.25">
      <c r="A1274" s="615" t="s">
        <v>2327</v>
      </c>
      <c r="B1274" s="375" t="s">
        <v>5548</v>
      </c>
      <c r="C1274" s="375" t="s">
        <v>1288</v>
      </c>
      <c r="D1274" s="375" t="s">
        <v>7083</v>
      </c>
      <c r="E1274" s="375" t="s">
        <v>2827</v>
      </c>
      <c r="F1274" s="461">
        <f t="shared" si="577"/>
        <v>21.63</v>
      </c>
      <c r="G1274" s="535">
        <f t="shared" si="578"/>
        <v>21.63</v>
      </c>
      <c r="H1274" s="493">
        <f t="shared" si="580"/>
        <v>17.3</v>
      </c>
      <c r="I1274" s="711"/>
      <c r="J1274" s="669" t="s">
        <v>5805</v>
      </c>
      <c r="K1274" s="15"/>
      <c r="L1274"/>
      <c r="M1274" s="49">
        <f t="shared" si="579"/>
        <v>21.63</v>
      </c>
      <c r="N1274" s="41">
        <v>9.75</v>
      </c>
      <c r="O1274" s="391"/>
      <c r="P1274" s="392" t="s">
        <v>2828</v>
      </c>
      <c r="Q1274" s="392"/>
      <c r="R1274" s="392">
        <v>2013</v>
      </c>
      <c r="S1274" s="392"/>
      <c r="T1274" s="324">
        <v>2.88</v>
      </c>
      <c r="U1274" s="185" t="s">
        <v>1017</v>
      </c>
      <c r="V1274" s="184"/>
      <c r="W1274" s="180"/>
      <c r="X1274" s="180"/>
      <c r="Z1274" s="180"/>
      <c r="AA1274" s="184" t="s">
        <v>1017</v>
      </c>
      <c r="AB1274" s="184"/>
      <c r="AC1274" s="180"/>
      <c r="AD1274" s="182"/>
      <c r="AE1274" s="181"/>
      <c r="AF1274" s="180"/>
      <c r="AG1274" s="201"/>
      <c r="AH1274" s="217" t="s">
        <v>4179</v>
      </c>
      <c r="AI1274" s="214" t="str">
        <f>IF(AND($AH1274&lt;&gt;"",AH1274 =AH1271),"Gleich","")</f>
        <v>Gleich</v>
      </c>
      <c r="AJ1274" s="214" t="str">
        <f>IF(AND($AH1274&lt;&gt;"",A1274 =A1271),"Gleich","")</f>
        <v/>
      </c>
      <c r="AK1274" s="214" t="str">
        <f>IF(AND($AH1274&lt;&gt;"",D1274 =D1271),"Gleich","")</f>
        <v/>
      </c>
      <c r="AL1274" s="214" t="str">
        <f>IF(AND($AH1274&lt;&gt;"",E1274 =E1271),"Gleich","")</f>
        <v>Gleich</v>
      </c>
      <c r="AM1274" s="214" t="str">
        <f>IF(AND($AH1274&lt;&gt;"",F1274 =F1271),"Gleich","")</f>
        <v/>
      </c>
      <c r="AN1274" s="213" t="str">
        <f>IF(ISERROR(SEARCH("K1",A1274)),"","20"&amp;MID(A1274,SEARCH("K1",A1274)+1,2))</f>
        <v>2013</v>
      </c>
      <c r="AO1274" s="213" t="str">
        <f>IF(ISERROR(SEARCH("erstmals 201",E1274)),"",MID(E1274,SEARCH("erstmals ",E1274)+9,4))</f>
        <v>2013</v>
      </c>
      <c r="AP1274" s="213" t="str">
        <f>IF(R1274="x","2010",IF(S1274="x","2011",IF(T1274="x","2012","")))</f>
        <v/>
      </c>
      <c r="AQ1274" s="215" t="str">
        <f>IF(OR(AH1274&lt;&gt;AN1274,AH1274&lt;&gt;AO1274,AH1274&lt;&gt;AP1274),"DIFF","")</f>
        <v>DIFF</v>
      </c>
      <c r="AR1274" s="216" t="str">
        <f>IF(A1274="","",IF(ISERROR(SEARCH("K1",A1274)),A1274,LEFT(A1274,SEARCH("K1",A1274)+1)&amp;RIGHT(AH1274,1)&amp;MID(A1274,SEARCH("K1",A1274)+3,14)))</f>
        <v>BiK82M2K12y-05</v>
      </c>
      <c r="AS1274" s="215" t="str">
        <f>IF(OR(A1274&lt;&gt;AR1274),"DIFF","")</f>
        <v>DIFF</v>
      </c>
      <c r="AT1274">
        <f>LEN(AR1274)</f>
        <v>14</v>
      </c>
      <c r="AU1274" s="216" t="str">
        <f>IF(D1274="","",IF(OR(A1274="",ISERROR(SEARCH("erstmals 201",D1274))),D1274,LEFT(D1274,SEARCH("erstmals 201",D1274)+8) &amp; AH1274 &amp; MID(D1274,SEARCH("erstmals 201",D1274)+13,255)))</f>
        <v>0,15-0,5 MW, Bonusregeln M2, y und K erstmals 2012</v>
      </c>
      <c r="AV1274" s="215" t="str">
        <f>IF(OR(D1274&lt;&gt;AU1274),"DIFF","")</f>
        <v>DIFF</v>
      </c>
      <c r="AW1274" s="216" t="str">
        <f>IF(E1274="","",IF(OR(E1274="",ISERROR(SEARCH("erstmals 201",E1274))),E1274,LEFT(E1274,SEARCH("erstmals 201",E1274)+8) &amp; AH1274 &amp; MID(E1274,SEARCH("erstmals 201",E1274)+13,255)))</f>
        <v>Anteil KWK, erstmals 2012</v>
      </c>
      <c r="AX1274" s="215" t="str">
        <f>IF(OR(E1274&lt;&gt;AW1274),"DIFF","")</f>
        <v>DIFF</v>
      </c>
      <c r="AY1274" t="str">
        <f>IF(AH1274="2011","x",IF(AH1274="2012","","" &amp; S1274))</f>
        <v/>
      </c>
      <c r="AZ1274" t="str">
        <f>IF(AH1274="2012","x",IF(AH1274="2011","","" &amp; T1274))</f>
        <v>x</v>
      </c>
    </row>
    <row r="1275" spans="1:56" s="178" customFormat="1" x14ac:dyDescent="0.25">
      <c r="A1275" s="615" t="s">
        <v>6161</v>
      </c>
      <c r="B1275" s="375" t="s">
        <v>5548</v>
      </c>
      <c r="C1275" s="375" t="s">
        <v>1288</v>
      </c>
      <c r="D1275" s="375" t="s">
        <v>7219</v>
      </c>
      <c r="E1275" s="375" t="s">
        <v>2827</v>
      </c>
      <c r="F1275" s="461">
        <f t="shared" si="577"/>
        <v>21.63</v>
      </c>
      <c r="G1275" s="535">
        <f t="shared" si="578"/>
        <v>21.63</v>
      </c>
      <c r="H1275" s="493">
        <f t="shared" si="580"/>
        <v>17.3</v>
      </c>
      <c r="I1275" s="711"/>
      <c r="J1275" s="669">
        <v>42830</v>
      </c>
      <c r="K1275" s="15"/>
      <c r="L1275"/>
      <c r="M1275" s="49">
        <f t="shared" si="579"/>
        <v>21.63</v>
      </c>
      <c r="N1275" s="41">
        <v>9.75</v>
      </c>
      <c r="O1275" s="391"/>
      <c r="P1275" s="392" t="s">
        <v>2828</v>
      </c>
      <c r="Q1275" s="392"/>
      <c r="R1275" s="392">
        <v>2013</v>
      </c>
      <c r="S1275" s="392"/>
      <c r="T1275" s="324">
        <v>2.88</v>
      </c>
      <c r="U1275" s="55" t="s">
        <v>1017</v>
      </c>
      <c r="V1275" t="s">
        <v>1017</v>
      </c>
      <c r="W1275" s="65"/>
      <c r="X1275" s="65"/>
      <c r="Y1275"/>
      <c r="Z1275" s="180"/>
      <c r="AA1275" s="184"/>
      <c r="AB1275" s="184"/>
      <c r="AC1275" s="180"/>
      <c r="AD1275" s="182"/>
      <c r="AE1275" s="124" t="s">
        <v>1017</v>
      </c>
      <c r="AF1275" s="65"/>
      <c r="AG1275" s="91"/>
      <c r="AH1275" s="217"/>
      <c r="AI1275" s="214"/>
      <c r="AJ1275" s="214"/>
      <c r="AK1275" s="214"/>
      <c r="AL1275" s="214"/>
      <c r="AM1275" s="214"/>
      <c r="AN1275" s="213"/>
      <c r="AO1275" s="213"/>
      <c r="AP1275" s="213"/>
      <c r="AQ1275" s="215"/>
      <c r="AR1275" s="216"/>
      <c r="AS1275" s="215"/>
      <c r="AT1275"/>
      <c r="AU1275" s="216"/>
      <c r="AV1275" s="215"/>
      <c r="AW1275" s="216"/>
      <c r="AX1275" s="215"/>
      <c r="AY1275"/>
      <c r="AZ1275"/>
    </row>
    <row r="1276" spans="1:56" x14ac:dyDescent="0.25">
      <c r="A1276" s="615" t="s">
        <v>860</v>
      </c>
      <c r="B1276" s="375" t="s">
        <v>5548</v>
      </c>
      <c r="C1276" s="375" t="s">
        <v>1288</v>
      </c>
      <c r="D1276" s="375" t="s">
        <v>6805</v>
      </c>
      <c r="E1276" s="375" t="s">
        <v>2827</v>
      </c>
      <c r="F1276" s="461">
        <f t="shared" si="577"/>
        <v>15.649999999999999</v>
      </c>
      <c r="G1276" s="535">
        <f t="shared" si="578"/>
        <v>15.649999999999999</v>
      </c>
      <c r="H1276" s="493">
        <f t="shared" si="580"/>
        <v>12.52</v>
      </c>
      <c r="I1276" s="711"/>
      <c r="J1276" s="669" t="s">
        <v>5805</v>
      </c>
      <c r="K1276" s="15"/>
      <c r="M1276" s="49">
        <f t="shared" si="579"/>
        <v>15.649999999999999</v>
      </c>
      <c r="N1276" s="41">
        <v>8.77</v>
      </c>
      <c r="O1276" s="391"/>
      <c r="P1276" s="392" t="s">
        <v>2828</v>
      </c>
      <c r="Q1276" s="392"/>
      <c r="R1276" s="392">
        <v>2013</v>
      </c>
      <c r="S1276" s="392"/>
      <c r="T1276" s="324">
        <v>2.88</v>
      </c>
      <c r="U1276" s="75"/>
      <c r="V1276" s="65"/>
      <c r="W1276" t="s">
        <v>1017</v>
      </c>
      <c r="Y1276" s="65"/>
      <c r="Z1276" s="65"/>
      <c r="AA1276" s="65"/>
      <c r="AB1276" s="65"/>
      <c r="AC1276" s="65"/>
      <c r="AD1276" s="91"/>
      <c r="AE1276" s="124"/>
      <c r="AF1276" s="65"/>
      <c r="AG1276" s="91"/>
      <c r="AH1276" s="217" t="s">
        <v>4179</v>
      </c>
      <c r="AI1276" s="214" t="str">
        <f>IF(AND($AH1276&lt;&gt;"",AH1276 =AH1308),"Gleich","")</f>
        <v/>
      </c>
      <c r="AJ1276" s="214" t="str">
        <f>IF(AND($AH1276&lt;&gt;"",A1276 =A1308),"Gleich","")</f>
        <v/>
      </c>
      <c r="AK1276" s="214" t="str">
        <f>IF(AND($AH1276&lt;&gt;"",D1276 =D1308),"Gleich","")</f>
        <v/>
      </c>
      <c r="AL1276" s="214" t="str">
        <f>IF(AND($AH1276&lt;&gt;"",E1276 =E1308),"Gleich","")</f>
        <v/>
      </c>
      <c r="AM1276" s="214" t="str">
        <f>IF(AND($AH1276&lt;&gt;"",F1276 =F1308),"Gleich","")</f>
        <v/>
      </c>
      <c r="AN1276" s="213" t="str">
        <f>IF(ISERROR(SEARCH("K1",A1276)),"","20"&amp;MID(A1276,SEARCH("K1",A1276)+1,2))</f>
        <v>2013</v>
      </c>
      <c r="AO1276" s="213" t="str">
        <f>IF(ISERROR(SEARCH("erstmals 201",E1276)),"",MID(E1276,SEARCH("erstmals ",E1276)+9,4))</f>
        <v>2013</v>
      </c>
      <c r="AP1276" s="213" t="str">
        <f>IF(R1276="x","2010",IF(S1276="x","2011",IF(T1276="x","2012","")))</f>
        <v/>
      </c>
      <c r="AQ1276" s="215" t="str">
        <f>IF(OR(AH1276&lt;&gt;AN1276,AH1276&lt;&gt;AO1276,AH1276&lt;&gt;AP1276),"DIFF","")</f>
        <v>DIFF</v>
      </c>
      <c r="AR1276" s="216" t="str">
        <f>IF(A1276="","",IF(ISERROR(SEARCH("K1",A1276)),A1276,LEFT(A1276,SEARCH("K1",A1276)+1)&amp;RIGHT(AH1276,1)&amp;MID(A1276,SEARCH("K1",A1276)+3,14)))</f>
        <v>BiK83a2K12--05</v>
      </c>
      <c r="AS1276" s="215" t="str">
        <f>IF(OR(A1276&lt;&gt;AR1276),"DIFF","")</f>
        <v>DIFF</v>
      </c>
      <c r="AT1276">
        <f>LEN(AR1276)</f>
        <v>14</v>
      </c>
      <c r="AU1276" s="216" t="str">
        <f>IF(D1276="","",IF(OR(A1276="",ISERROR(SEARCH("erstmals 201",D1276))),D1276,LEFT(D1276,SEARCH("erstmals 201",D1276)+8) &amp; AH1276 &amp; MID(D1276,SEARCH("erstmals 201",D1276)+13,255)))</f>
        <v>0,5-5 MW, Bonusregeln a2 und K erstmals 2012</v>
      </c>
      <c r="AV1276" s="215" t="str">
        <f>IF(OR(D1276&lt;&gt;AU1276),"DIFF","")</f>
        <v>DIFF</v>
      </c>
      <c r="AW1276" s="216" t="str">
        <f>IF(E1276="","",IF(OR(E1276="",ISERROR(SEARCH("erstmals 201",E1276))),E1276,LEFT(E1276,SEARCH("erstmals 201",E1276)+8) &amp; AH1276 &amp; MID(E1276,SEARCH("erstmals 201",E1276)+13,255)))</f>
        <v>Anteil KWK, erstmals 2012</v>
      </c>
      <c r="AX1276" s="215" t="str">
        <f>IF(OR(E1276&lt;&gt;AW1276),"DIFF","")</f>
        <v>DIFF</v>
      </c>
      <c r="AY1276" t="str">
        <f>IF(AH1276="2011","x",IF(AH1276="2012","","" &amp; S1276))</f>
        <v/>
      </c>
      <c r="AZ1276" t="str">
        <f>IF(AH1276="2012","x",IF(AH1276="2011","","" &amp; T1276))</f>
        <v>x</v>
      </c>
    </row>
    <row r="1277" spans="1:56" s="178" customFormat="1" x14ac:dyDescent="0.25">
      <c r="A1277" s="615" t="s">
        <v>5631</v>
      </c>
      <c r="B1277" s="375" t="s">
        <v>5548</v>
      </c>
      <c r="C1277" s="375" t="s">
        <v>1288</v>
      </c>
      <c r="D1277" s="375" t="s">
        <v>7001</v>
      </c>
      <c r="E1277" s="375" t="s">
        <v>314</v>
      </c>
      <c r="F1277" s="449">
        <f t="shared" si="577"/>
        <v>14.52</v>
      </c>
      <c r="G1277" s="535">
        <f t="shared" si="578"/>
        <v>14.52</v>
      </c>
      <c r="H1277" s="500">
        <f t="shared" si="580"/>
        <v>11.62</v>
      </c>
      <c r="I1277" s="711"/>
      <c r="J1277" s="669" t="s">
        <v>5805</v>
      </c>
      <c r="K1277" s="15"/>
      <c r="L1277"/>
      <c r="M1277" s="387">
        <f t="shared" si="579"/>
        <v>14.52</v>
      </c>
      <c r="N1277" s="41">
        <v>11.67</v>
      </c>
      <c r="O1277" s="391"/>
      <c r="P1277" s="392" t="s">
        <v>2828</v>
      </c>
      <c r="Q1277" s="392"/>
      <c r="R1277" s="392">
        <v>2014</v>
      </c>
      <c r="S1277" s="392"/>
      <c r="T1277" s="324">
        <v>2.85</v>
      </c>
      <c r="U1277" s="55"/>
      <c r="V1277"/>
      <c r="W1277" s="65"/>
      <c r="X1277" s="65"/>
      <c r="Y1277"/>
      <c r="Z1277"/>
      <c r="AA1277" s="65"/>
      <c r="AB1277"/>
      <c r="AC1277"/>
      <c r="AD1277" s="91"/>
      <c r="AE1277" s="124"/>
      <c r="AF1277" s="65"/>
      <c r="AG1277" s="91"/>
      <c r="AH1277" s="217" t="s">
        <v>4179</v>
      </c>
      <c r="AI1277" s="214" t="str">
        <f>IF(AND($AH1277&lt;&gt;"",AH1277 =AH1276),"Gleich","")</f>
        <v>Gleich</v>
      </c>
      <c r="AJ1277" s="214" t="str">
        <f>IF(AND($AH1277&lt;&gt;"",A1277 =A1276),"Gleich","")</f>
        <v/>
      </c>
      <c r="AK1277" s="214" t="str">
        <f>IF(AND($AH1277&lt;&gt;"",D1277 =D1276),"Gleich","")</f>
        <v/>
      </c>
      <c r="AL1277" s="214" t="str">
        <f>IF(AND($AH1277&lt;&gt;"",E1277 =E1276),"Gleich","")</f>
        <v/>
      </c>
      <c r="AM1277" s="214" t="str">
        <f>IF(AND($AH1277&lt;&gt;"",F1277 =F1276),"Gleich","")</f>
        <v/>
      </c>
      <c r="AN1277" s="213" t="str">
        <f>IF(ISERROR(SEARCH("K1",A1277)),"","20"&amp;MID(A1277,SEARCH("K1",A1277)+1,2))</f>
        <v>2014</v>
      </c>
      <c r="AO1277" s="213" t="str">
        <f>IF(ISERROR(SEARCH("erstmals 201",E1277)),"",MID(E1277,SEARCH("erstmals ",E1277)+9,4))</f>
        <v>2014</v>
      </c>
      <c r="AP1277" s="213" t="str">
        <f>IF(R1277="x","2010",IF(S1277="x","2011",IF(T1277="x","2012","")))</f>
        <v/>
      </c>
      <c r="AQ1277" s="215" t="str">
        <f>IF(OR(AH1277&lt;&gt;AN1277,AH1277&lt;&gt;AO1277,AH1277&lt;&gt;AP1277),"DIFF","")</f>
        <v>DIFF</v>
      </c>
      <c r="AR1277" s="216" t="str">
        <f>IF(A1277="","",IF(ISERROR(SEARCH("K1",A1277)),A1277,LEFT(A1277,SEARCH("K1",A1277)+1)&amp;RIGHT(AH1277,1)&amp;MID(A1277,SEARCH("K1",A1277)+3,14)))</f>
        <v>BiK81K12----05</v>
      </c>
      <c r="AS1277" s="215" t="str">
        <f>IF(OR(A1277&lt;&gt;AR1277),"DIFF","")</f>
        <v>DIFF</v>
      </c>
      <c r="AT1277">
        <f>LEN(AR1277)</f>
        <v>14</v>
      </c>
      <c r="AU1277" s="216" t="str">
        <f>IF(D1277="","",IF(OR(A1277="",ISERROR(SEARCH("erstmals 201",D1277))),D1277,LEFT(D1277,SEARCH("erstmals 201",D1277)+8) &amp; AH1277 &amp; MID(D1277,SEARCH("erstmals 201",D1277)+13,255)))</f>
        <v>0-0,15 MW, Bonusregel K erstmals 2012</v>
      </c>
      <c r="AV1277" s="215" t="str">
        <f>IF(OR(D1277&lt;&gt;AU1277),"DIFF","")</f>
        <v>DIFF</v>
      </c>
      <c r="AW1277" s="216" t="str">
        <f>IF(E1277="","",IF(OR(E1277="",ISERROR(SEARCH("erstmals 201",E1277))),E1277,LEFT(E1277,SEARCH("erstmals 201",E1277)+8) &amp; AH1277 &amp; MID(E1277,SEARCH("erstmals 201",E1277)+13,255)))</f>
        <v>Anteil KWK, erstmals 2012</v>
      </c>
      <c r="AX1277" s="215" t="str">
        <f>IF(OR(E1277&lt;&gt;AW1277),"DIFF","")</f>
        <v>DIFF</v>
      </c>
      <c r="AY1277" t="str">
        <f>IF(AH1277="2011","x",IF(AH1277="2012","","" &amp; S1277))</f>
        <v/>
      </c>
      <c r="AZ1277" t="str">
        <f>IF(AH1277="2012","x",IF(AH1277="2011","","" &amp; T1277))</f>
        <v>x</v>
      </c>
    </row>
    <row r="1278" spans="1:56" s="178" customFormat="1" x14ac:dyDescent="0.25">
      <c r="A1278" s="615" t="s">
        <v>5632</v>
      </c>
      <c r="B1278" s="375" t="s">
        <v>5548</v>
      </c>
      <c r="C1278" s="375" t="s">
        <v>1288</v>
      </c>
      <c r="D1278" s="375" t="s">
        <v>7220</v>
      </c>
      <c r="E1278" s="375" t="s">
        <v>314</v>
      </c>
      <c r="F1278" s="449">
        <f t="shared" si="577"/>
        <v>12.6</v>
      </c>
      <c r="G1278" s="535">
        <f t="shared" si="578"/>
        <v>12.6</v>
      </c>
      <c r="H1278" s="500">
        <f t="shared" si="580"/>
        <v>10.08</v>
      </c>
      <c r="I1278" s="711"/>
      <c r="J1278" s="669" t="s">
        <v>5805</v>
      </c>
      <c r="K1278" s="15"/>
      <c r="L1278"/>
      <c r="M1278" s="387">
        <f t="shared" si="579"/>
        <v>12.6</v>
      </c>
      <c r="N1278" s="41">
        <v>9.75</v>
      </c>
      <c r="O1278" s="391"/>
      <c r="P1278" s="392" t="s">
        <v>2828</v>
      </c>
      <c r="Q1278" s="392"/>
      <c r="R1278" s="392">
        <v>2014</v>
      </c>
      <c r="S1278" s="392"/>
      <c r="T1278" s="324">
        <v>2.85</v>
      </c>
      <c r="U1278" s="55"/>
      <c r="V1278"/>
      <c r="W1278" s="65"/>
      <c r="X1278" s="65"/>
      <c r="Y1278"/>
      <c r="Z1278" s="180"/>
      <c r="AA1278" s="184"/>
      <c r="AB1278" s="184"/>
      <c r="AC1278" s="180"/>
      <c r="AD1278" s="182"/>
      <c r="AE1278" s="124"/>
      <c r="AF1278" s="65"/>
      <c r="AG1278" s="91"/>
      <c r="AH1278" s="217" t="s">
        <v>4179</v>
      </c>
      <c r="AI1278" s="214" t="str">
        <f>IF(AND($AH1278&lt;&gt;"",AH1278 =AH1276),"Gleich","")</f>
        <v>Gleich</v>
      </c>
      <c r="AJ1278" s="214" t="str">
        <f>IF(AND($AH1278&lt;&gt;"",A1278 =A1276),"Gleich","")</f>
        <v/>
      </c>
      <c r="AK1278" s="214" t="str">
        <f t="shared" ref="AK1278:AM1279" si="581">IF(AND($AH1278&lt;&gt;"",D1278 =D1276),"Gleich","")</f>
        <v/>
      </c>
      <c r="AL1278" s="214" t="str">
        <f t="shared" si="581"/>
        <v/>
      </c>
      <c r="AM1278" s="214" t="str">
        <f t="shared" si="581"/>
        <v/>
      </c>
      <c r="AN1278" s="213" t="str">
        <f>IF(ISERROR(SEARCH("K1",A1278)),"","20"&amp;MID(A1278,SEARCH("K1",A1278)+1,2))</f>
        <v>2014</v>
      </c>
      <c r="AO1278" s="213" t="str">
        <f>IF(ISERROR(SEARCH("erstmals 201",E1278)),"",MID(E1278,SEARCH("erstmals ",E1278)+9,4))</f>
        <v>2014</v>
      </c>
      <c r="AP1278" s="213" t="str">
        <f>IF(R1278="x","2010",IF(S1278="x","2011",IF(T1278="x","2012","")))</f>
        <v/>
      </c>
      <c r="AQ1278" s="215" t="str">
        <f>IF(OR(AH1278&lt;&gt;AN1278,AH1278&lt;&gt;AO1278,AH1278&lt;&gt;AP1278),"DIFF","")</f>
        <v>DIFF</v>
      </c>
      <c r="AR1278" s="216" t="str">
        <f>IF(A1278="","",IF(ISERROR(SEARCH("K1",A1278)),A1278,LEFT(A1278,SEARCH("K1",A1278)+1)&amp;RIGHT(AH1278,1)&amp;MID(A1278,SEARCH("K1",A1278)+3,14)))</f>
        <v>BiK82K12----05</v>
      </c>
      <c r="AS1278" s="215" t="str">
        <f>IF(OR(A1278&lt;&gt;AR1278),"DIFF","")</f>
        <v>DIFF</v>
      </c>
      <c r="AT1278">
        <f>LEN(AR1278)</f>
        <v>14</v>
      </c>
      <c r="AU1278" s="216" t="str">
        <f>IF(D1278="","",IF(OR(A1278="",ISERROR(SEARCH("erstmals 201",D1278))),D1278,LEFT(D1278,SEARCH("erstmals 201",D1278)+8) &amp; AH1278 &amp; MID(D1278,SEARCH("erstmals 201",D1278)+13,255)))</f>
        <v>0,15-0,5 MW, Bonusregel K erstmals 2012</v>
      </c>
      <c r="AV1278" s="215" t="str">
        <f>IF(OR(D1278&lt;&gt;AU1278),"DIFF","")</f>
        <v>DIFF</v>
      </c>
      <c r="AW1278" s="216" t="str">
        <f>IF(E1278="","",IF(OR(E1278="",ISERROR(SEARCH("erstmals 201",E1278))),E1278,LEFT(E1278,SEARCH("erstmals 201",E1278)+8) &amp; AH1278 &amp; MID(E1278,SEARCH("erstmals 201",E1278)+13,255)))</f>
        <v>Anteil KWK, erstmals 2012</v>
      </c>
      <c r="AX1278" s="215" t="str">
        <f>IF(OR(E1278&lt;&gt;AW1278),"DIFF","")</f>
        <v>DIFF</v>
      </c>
      <c r="AY1278" t="str">
        <f>IF(AH1278="2011","x",IF(AH1278="2012","","" &amp; S1278))</f>
        <v/>
      </c>
      <c r="AZ1278" t="str">
        <f>IF(AH1278="2012","x",IF(AH1278="2011","","" &amp; T1278))</f>
        <v>x</v>
      </c>
    </row>
    <row r="1279" spans="1:56" s="178" customFormat="1" x14ac:dyDescent="0.25">
      <c r="A1279" s="615" t="s">
        <v>5633</v>
      </c>
      <c r="B1279" s="375" t="s">
        <v>5548</v>
      </c>
      <c r="C1279" s="375" t="s">
        <v>1288</v>
      </c>
      <c r="D1279" s="375" t="s">
        <v>6806</v>
      </c>
      <c r="E1279" s="375" t="s">
        <v>314</v>
      </c>
      <c r="F1279" s="449">
        <f t="shared" si="577"/>
        <v>11.62</v>
      </c>
      <c r="G1279" s="535">
        <f t="shared" si="578"/>
        <v>11.62</v>
      </c>
      <c r="H1279" s="500">
        <f t="shared" si="580"/>
        <v>9.3000000000000007</v>
      </c>
      <c r="I1279" s="711"/>
      <c r="J1279" s="669" t="s">
        <v>5805</v>
      </c>
      <c r="K1279" s="15"/>
      <c r="L1279"/>
      <c r="M1279" s="387">
        <f t="shared" si="579"/>
        <v>11.62</v>
      </c>
      <c r="N1279" s="41">
        <v>8.77</v>
      </c>
      <c r="O1279" s="391"/>
      <c r="P1279" s="392" t="s">
        <v>2828</v>
      </c>
      <c r="Q1279" s="392"/>
      <c r="R1279" s="392">
        <v>2014</v>
      </c>
      <c r="S1279" s="392"/>
      <c r="T1279" s="324">
        <v>2.85</v>
      </c>
      <c r="U1279" s="75"/>
      <c r="V1279" s="65"/>
      <c r="W1279"/>
      <c r="X1279"/>
      <c r="Y1279" s="65"/>
      <c r="Z1279" s="65"/>
      <c r="AA1279" s="65"/>
      <c r="AB1279" s="65"/>
      <c r="AC1279" s="65"/>
      <c r="AD1279" s="91"/>
      <c r="AE1279" s="124"/>
      <c r="AF1279" s="65"/>
      <c r="AG1279" s="91"/>
      <c r="AH1279" s="217" t="s">
        <v>4179</v>
      </c>
      <c r="AI1279" s="214" t="str">
        <f>IF(AND($AH1279&lt;&gt;"",AH1279 =AH1277),"Gleich","")</f>
        <v>Gleich</v>
      </c>
      <c r="AJ1279" s="214" t="str">
        <f>IF(AND($AH1279&lt;&gt;"",A1279 =A1277),"Gleich","")</f>
        <v/>
      </c>
      <c r="AK1279" s="214" t="str">
        <f t="shared" si="581"/>
        <v/>
      </c>
      <c r="AL1279" s="214" t="str">
        <f t="shared" si="581"/>
        <v>Gleich</v>
      </c>
      <c r="AM1279" s="214" t="str">
        <f t="shared" si="581"/>
        <v/>
      </c>
      <c r="AN1279" s="213" t="str">
        <f>IF(ISERROR(SEARCH("K1",A1279)),"","20"&amp;MID(A1279,SEARCH("K1",A1279)+1,2))</f>
        <v>2014</v>
      </c>
      <c r="AO1279" s="213" t="str">
        <f>IF(ISERROR(SEARCH("erstmals 201",E1279)),"",MID(E1279,SEARCH("erstmals ",E1279)+9,4))</f>
        <v>2014</v>
      </c>
      <c r="AP1279" s="213" t="str">
        <f>IF(R1279="x","2010",IF(S1279="x","2011",IF(T1279="x","2012","")))</f>
        <v/>
      </c>
      <c r="AQ1279" s="215" t="str">
        <f>IF(OR(AH1279&lt;&gt;AN1279,AH1279&lt;&gt;AO1279,AH1279&lt;&gt;AP1279),"DIFF","")</f>
        <v>DIFF</v>
      </c>
      <c r="AR1279" s="216" t="str">
        <f>IF(A1279="","",IF(ISERROR(SEARCH("K1",A1279)),A1279,LEFT(A1279,SEARCH("K1",A1279)+1)&amp;RIGHT(AH1279,1)&amp;MID(A1279,SEARCH("K1",A1279)+3,14)))</f>
        <v>BiK83K12----05</v>
      </c>
      <c r="AS1279" s="215" t="str">
        <f>IF(OR(A1279&lt;&gt;AR1279),"DIFF","")</f>
        <v>DIFF</v>
      </c>
      <c r="AT1279">
        <f>LEN(AR1279)</f>
        <v>14</v>
      </c>
      <c r="AU1279" s="216" t="str">
        <f>IF(D1279="","",IF(OR(A1279="",ISERROR(SEARCH("erstmals 201",D1279))),D1279,LEFT(D1279,SEARCH("erstmals 201",D1279)+8) &amp; AH1279 &amp; MID(D1279,SEARCH("erstmals 201",D1279)+13,255)))</f>
        <v>0,5-5 MW, Bonusregel K erstmals 2012</v>
      </c>
      <c r="AV1279" s="215" t="str">
        <f>IF(OR(D1279&lt;&gt;AU1279),"DIFF","")</f>
        <v>DIFF</v>
      </c>
      <c r="AW1279" s="216" t="str">
        <f>IF(E1279="","",IF(OR(E1279="",ISERROR(SEARCH("erstmals 201",E1279))),E1279,LEFT(E1279,SEARCH("erstmals 201",E1279)+8) &amp; AH1279 &amp; MID(E1279,SEARCH("erstmals 201",E1279)+13,255)))</f>
        <v>Anteil KWK, erstmals 2012</v>
      </c>
      <c r="AX1279" s="215" t="str">
        <f>IF(OR(E1279&lt;&gt;AW1279),"DIFF","")</f>
        <v>DIFF</v>
      </c>
      <c r="AY1279" t="str">
        <f>IF(AH1279="2011","x",IF(AH1279="2012","","" &amp; S1279))</f>
        <v/>
      </c>
      <c r="AZ1279" t="str">
        <f>IF(AH1279="2012","x",IF(AH1279="2011","","" &amp; T1279))</f>
        <v>x</v>
      </c>
    </row>
    <row r="1280" spans="1:56" s="178" customFormat="1" x14ac:dyDescent="0.25">
      <c r="A1280" s="615" t="s">
        <v>6336</v>
      </c>
      <c r="B1280" s="375" t="s">
        <v>5548</v>
      </c>
      <c r="C1280" s="375" t="s">
        <v>1288</v>
      </c>
      <c r="D1280" s="375" t="s">
        <v>7369</v>
      </c>
      <c r="E1280" s="375" t="s">
        <v>314</v>
      </c>
      <c r="F1280" s="449">
        <f t="shared" si="577"/>
        <v>11.12</v>
      </c>
      <c r="G1280" s="535">
        <f t="shared" si="578"/>
        <v>11.12</v>
      </c>
      <c r="H1280" s="500">
        <f t="shared" si="580"/>
        <v>8.9</v>
      </c>
      <c r="I1280" s="711"/>
      <c r="J1280" s="669">
        <v>43168</v>
      </c>
      <c r="K1280" s="15"/>
      <c r="L1280"/>
      <c r="M1280" s="387">
        <f t="shared" si="579"/>
        <v>11.12</v>
      </c>
      <c r="N1280" s="41">
        <v>8.27</v>
      </c>
      <c r="O1280" s="391"/>
      <c r="P1280" s="392" t="s">
        <v>2828</v>
      </c>
      <c r="Q1280" s="392"/>
      <c r="R1280" s="392">
        <v>2014</v>
      </c>
      <c r="S1280" s="392"/>
      <c r="T1280" s="674">
        <f>ROUND($BD$1280,2)</f>
        <v>2.85</v>
      </c>
      <c r="U1280" s="75"/>
      <c r="V1280" s="65"/>
      <c r="W1280" s="65"/>
      <c r="X1280" s="65"/>
      <c r="Y1280" s="65"/>
      <c r="Z1280" s="65"/>
      <c r="AA1280" s="65"/>
      <c r="AB1280" s="65"/>
      <c r="AC1280" s="65"/>
      <c r="AD1280" s="91"/>
      <c r="AE1280" s="124"/>
      <c r="AF1280" s="65"/>
      <c r="AG1280" s="91"/>
      <c r="AH1280" s="217"/>
      <c r="AI1280" s="214"/>
      <c r="AJ1280" s="214"/>
      <c r="AK1280" s="214"/>
      <c r="AL1280" s="214"/>
      <c r="AM1280" s="214"/>
      <c r="AN1280" s="213"/>
      <c r="AO1280" s="213"/>
      <c r="AP1280" s="213"/>
      <c r="AQ1280" s="215"/>
      <c r="AR1280" s="216"/>
      <c r="AS1280" s="215"/>
      <c r="AT1280"/>
      <c r="AU1280" s="216"/>
      <c r="AV1280" s="215"/>
      <c r="AW1280" s="216"/>
      <c r="AX1280" s="215"/>
      <c r="AY1280"/>
      <c r="AZ1280"/>
      <c r="BD1280" s="178">
        <f>3*0.99^5</f>
        <v>2.8529701497</v>
      </c>
    </row>
    <row r="1281" spans="1:56" s="178" customFormat="1" x14ac:dyDescent="0.25">
      <c r="A1281" s="615" t="s">
        <v>6102</v>
      </c>
      <c r="B1281" s="375" t="s">
        <v>5548</v>
      </c>
      <c r="C1281" s="375" t="s">
        <v>1288</v>
      </c>
      <c r="D1281" s="375" t="s">
        <v>7002</v>
      </c>
      <c r="E1281" s="375" t="s">
        <v>5625</v>
      </c>
      <c r="F1281" s="449">
        <f t="shared" si="577"/>
        <v>28.490000000000002</v>
      </c>
      <c r="G1281" s="535">
        <f t="shared" si="578"/>
        <v>28.490000000000002</v>
      </c>
      <c r="H1281" s="500">
        <f t="shared" si="580"/>
        <v>22.79</v>
      </c>
      <c r="I1281" s="711"/>
      <c r="J1281" s="669">
        <v>42719</v>
      </c>
      <c r="K1281" s="15"/>
      <c r="L1281"/>
      <c r="M1281" s="387">
        <f t="shared" si="579"/>
        <v>28.490000000000002</v>
      </c>
      <c r="N1281" s="41">
        <v>11.67</v>
      </c>
      <c r="O1281" s="391"/>
      <c r="P1281" s="392" t="s">
        <v>2828</v>
      </c>
      <c r="Q1281" s="392"/>
      <c r="R1281" s="392">
        <v>2015</v>
      </c>
      <c r="S1281" s="392" t="s">
        <v>4180</v>
      </c>
      <c r="T1281" s="324">
        <v>2.82</v>
      </c>
      <c r="U1281" s="55" t="s">
        <v>1017</v>
      </c>
      <c r="V1281"/>
      <c r="W1281" s="65"/>
      <c r="X1281" s="65"/>
      <c r="Y1281"/>
      <c r="Z1281" t="s">
        <v>1017</v>
      </c>
      <c r="AA1281" s="65"/>
      <c r="AB1281"/>
      <c r="AC1281"/>
      <c r="AD1281" s="91"/>
      <c r="AE1281" s="124" t="s">
        <v>1017</v>
      </c>
      <c r="AF1281" s="65"/>
      <c r="AG1281" s="91"/>
      <c r="AH1281" s="217" t="s">
        <v>4179</v>
      </c>
      <c r="AI1281" s="214" t="str">
        <f>IF(AND($AH1281&lt;&gt;"",AH1281 =AH1279),"Gleich","")</f>
        <v>Gleich</v>
      </c>
      <c r="AJ1281" s="214" t="str">
        <f>IF(AND($AH1281&lt;&gt;"",A1281 =A1279),"Gleich","")</f>
        <v/>
      </c>
      <c r="AK1281" s="214" t="str">
        <f>IF(AND($AH1281&lt;&gt;"",D1281 =D1279),"Gleich","")</f>
        <v/>
      </c>
      <c r="AL1281" s="214" t="str">
        <f>IF(AND($AH1281&lt;&gt;"",E1281 =E1279),"Gleich","")</f>
        <v/>
      </c>
      <c r="AM1281" s="214" t="str">
        <f>IF(AND($AH1281&lt;&gt;"",F1281 =F1279),"Gleich","")</f>
        <v/>
      </c>
      <c r="AN1281" s="213" t="str">
        <f>IF(ISERROR(SEARCH("K1",A1281)),"","20"&amp;MID(A1281,SEARCH("K1",A1281)+1,2))</f>
        <v>2015</v>
      </c>
      <c r="AO1281" s="213" t="str">
        <f>IF(ISERROR(SEARCH("erstmals 201",E1281)),"",MID(E1281,SEARCH("erstmals ",E1281)+9,4))</f>
        <v>2015</v>
      </c>
      <c r="AP1281" s="213" t="str">
        <f>IF(R1281="x","2010",IF(S1281="x","2011",IF(T1281="x","2012","")))</f>
        <v/>
      </c>
      <c r="AQ1281" s="215" t="str">
        <f>IF(OR(AH1281&lt;&gt;AN1281,AH1281&lt;&gt;AO1281,AH1281&lt;&gt;AP1281),"DIFF","")</f>
        <v>DIFF</v>
      </c>
      <c r="AR1281" s="216" t="str">
        <f>IF(A1281="","",IF(ISERROR(SEARCH("K1",A1281)),A1281,LEFT(A1281,SEARCH("K1",A1281)+1)&amp;RIGHT(AH1281,1)&amp;MID(A1281,SEARCH("K1",A1281)+3,14)))</f>
        <v>BiK81M1bK12y05</v>
      </c>
      <c r="AS1281" s="215" t="str">
        <f>IF(OR(A1281&lt;&gt;AR1281),"DIFF","")</f>
        <v>DIFF</v>
      </c>
      <c r="AT1281">
        <f>LEN(AR1281)</f>
        <v>14</v>
      </c>
      <c r="AU1281" s="216" t="str">
        <f>IF(D1281="","",IF(OR(A1281="",ISERROR(SEARCH("erstmals 201",D1281))),D1281,LEFT(D1281,SEARCH("erstmals 201",D1281)+8) &amp; AH1281 &amp; MID(D1281,SEARCH("erstmals 201",D1281)+13,255)))</f>
        <v>0-0,15 MW, Bonusregeln M1, y, b und K erstmals 2012</v>
      </c>
      <c r="AV1281" s="215" t="str">
        <f>IF(OR(D1281&lt;&gt;AU1281),"DIFF","")</f>
        <v>DIFF</v>
      </c>
      <c r="AW1281" s="216" t="str">
        <f>IF(E1281="","",IF(OR(E1281="",ISERROR(SEARCH("erstmals 201",E1281))),E1281,LEFT(E1281,SEARCH("erstmals 201",E1281)+8) &amp; AH1281 &amp; MID(E1281,SEARCH("erstmals 201",E1281)+13,255)))</f>
        <v>Anteil KWK, erstmals 2012</v>
      </c>
      <c r="AX1281" s="215" t="str">
        <f>IF(OR(E1281&lt;&gt;AW1281),"DIFF","")</f>
        <v>DIFF</v>
      </c>
      <c r="AY1281" t="str">
        <f>IF(AH1281="2011","x",IF(AH1281="2012","","" &amp; S1281))</f>
        <v/>
      </c>
      <c r="AZ1281" t="str">
        <f>IF(AH1281="2012","x",IF(AH1281="2011","","" &amp; T1281))</f>
        <v>x</v>
      </c>
    </row>
    <row r="1282" spans="1:56" s="178" customFormat="1" x14ac:dyDescent="0.25">
      <c r="A1282" s="615" t="s">
        <v>6103</v>
      </c>
      <c r="B1282" s="375" t="s">
        <v>5548</v>
      </c>
      <c r="C1282" s="375" t="s">
        <v>1288</v>
      </c>
      <c r="D1282" s="375" t="s">
        <v>7221</v>
      </c>
      <c r="E1282" s="375" t="s">
        <v>5625</v>
      </c>
      <c r="F1282" s="449">
        <f t="shared" si="577"/>
        <v>23.57</v>
      </c>
      <c r="G1282" s="535">
        <f t="shared" si="578"/>
        <v>23.57</v>
      </c>
      <c r="H1282" s="500">
        <f t="shared" si="580"/>
        <v>18.86</v>
      </c>
      <c r="I1282" s="711"/>
      <c r="J1282" s="669">
        <v>42719</v>
      </c>
      <c r="K1282" s="15"/>
      <c r="L1282"/>
      <c r="M1282" s="387">
        <f t="shared" si="579"/>
        <v>23.57</v>
      </c>
      <c r="N1282" s="41">
        <v>9.75</v>
      </c>
      <c r="O1282" s="391"/>
      <c r="P1282" s="392" t="s">
        <v>2828</v>
      </c>
      <c r="Q1282" s="392"/>
      <c r="R1282" s="392">
        <v>2015</v>
      </c>
      <c r="S1282" s="392" t="s">
        <v>4180</v>
      </c>
      <c r="T1282" s="324">
        <v>2.82</v>
      </c>
      <c r="U1282" s="55" t="s">
        <v>1017</v>
      </c>
      <c r="V1282"/>
      <c r="W1282" s="65"/>
      <c r="X1282" s="65"/>
      <c r="Y1282"/>
      <c r="Z1282" s="65"/>
      <c r="AA1282" t="s">
        <v>1017</v>
      </c>
      <c r="AB1282"/>
      <c r="AC1282" s="180"/>
      <c r="AD1282" s="182"/>
      <c r="AE1282" s="124" t="s">
        <v>1017</v>
      </c>
      <c r="AF1282" s="65"/>
      <c r="AG1282" s="91"/>
      <c r="AH1282" s="217" t="s">
        <v>4179</v>
      </c>
      <c r="AI1282" s="214" t="str">
        <f>IF(AND($AH1282&lt;&gt;"",AH1282 =AH1281),"Gleich","")</f>
        <v>Gleich</v>
      </c>
      <c r="AJ1282" s="214" t="str">
        <f>IF(AND($AH1282&lt;&gt;"",A1282 =A1281),"Gleich","")</f>
        <v/>
      </c>
      <c r="AK1282" s="214" t="str">
        <f t="shared" ref="AK1282:AM1284" si="582">IF(AND($AH1282&lt;&gt;"",D1282 =D1281),"Gleich","")</f>
        <v/>
      </c>
      <c r="AL1282" s="214" t="str">
        <f t="shared" si="582"/>
        <v>Gleich</v>
      </c>
      <c r="AM1282" s="214" t="str">
        <f t="shared" si="582"/>
        <v/>
      </c>
      <c r="AN1282" s="213" t="str">
        <f>IF(ISERROR(SEARCH("K1",A1282)),"","20"&amp;MID(A1282,SEARCH("K1",A1282)+1,2))</f>
        <v>2015</v>
      </c>
      <c r="AO1282" s="213" t="str">
        <f>IF(ISERROR(SEARCH("erstmals 201",E1282)),"",MID(E1282,SEARCH("erstmals ",E1282)+9,4))</f>
        <v>2015</v>
      </c>
      <c r="AP1282" s="213" t="str">
        <f>IF(R1282="x","2010",IF(S1282="x","2011",IF(T1282="x","2012","")))</f>
        <v/>
      </c>
      <c r="AQ1282" s="215" t="str">
        <f>IF(OR(AH1282&lt;&gt;AN1282,AH1282&lt;&gt;AO1282,AH1282&lt;&gt;AP1282),"DIFF","")</f>
        <v>DIFF</v>
      </c>
      <c r="AR1282" s="216" t="str">
        <f>IF(A1282="","",IF(ISERROR(SEARCH("K1",A1282)),A1282,LEFT(A1282,SEARCH("K1",A1282)+1)&amp;RIGHT(AH1282,1)&amp;MID(A1282,SEARCH("K1",A1282)+3,14)))</f>
        <v>BiK82M2bK12y05</v>
      </c>
      <c r="AS1282" s="215" t="str">
        <f>IF(OR(A1282&lt;&gt;AR1282),"DIFF","")</f>
        <v>DIFF</v>
      </c>
      <c r="AT1282">
        <f>LEN(AR1282)</f>
        <v>14</v>
      </c>
      <c r="AU1282" s="216" t="str">
        <f>IF(D1282="","",IF(OR(A1282="",ISERROR(SEARCH("erstmals 201",D1282))),D1282,LEFT(D1282,SEARCH("erstmals 201",D1282)+8) &amp; AH1282 &amp; MID(D1282,SEARCH("erstmals 201",D1282)+13,255)))</f>
        <v>0,15-0,5 MW, Bonusregeln M2, y, b und K erstmals 2012</v>
      </c>
      <c r="AV1282" s="215" t="str">
        <f>IF(OR(D1282&lt;&gt;AU1282),"DIFF","")</f>
        <v>DIFF</v>
      </c>
      <c r="AW1282" s="216" t="str">
        <f>IF(E1282="","",IF(OR(E1282="",ISERROR(SEARCH("erstmals 201",E1282))),E1282,LEFT(E1282,SEARCH("erstmals 201",E1282)+8) &amp; AH1282 &amp; MID(E1282,SEARCH("erstmals 201",E1282)+13,255)))</f>
        <v>Anteil KWK, erstmals 2012</v>
      </c>
      <c r="AX1282" s="215" t="str">
        <f>IF(OR(E1282&lt;&gt;AW1282),"DIFF","")</f>
        <v>DIFF</v>
      </c>
      <c r="AY1282" t="str">
        <f>IF(AH1282="2011","x",IF(AH1282="2012","","" &amp; S1282))</f>
        <v/>
      </c>
      <c r="AZ1282" t="str">
        <f>IF(AH1282="2012","x",IF(AH1282="2011","","" &amp; T1282))</f>
        <v>x</v>
      </c>
    </row>
    <row r="1283" spans="1:56" s="178" customFormat="1" x14ac:dyDescent="0.25">
      <c r="A1283" s="615" t="s">
        <v>6104</v>
      </c>
      <c r="B1283" s="375" t="s">
        <v>5548</v>
      </c>
      <c r="C1283" s="375" t="s">
        <v>1288</v>
      </c>
      <c r="D1283" s="375" t="s">
        <v>6807</v>
      </c>
      <c r="E1283" s="375" t="s">
        <v>5625</v>
      </c>
      <c r="F1283" s="449">
        <f t="shared" si="577"/>
        <v>17.59</v>
      </c>
      <c r="G1283" s="535">
        <f t="shared" si="578"/>
        <v>17.59</v>
      </c>
      <c r="H1283" s="500">
        <f t="shared" si="580"/>
        <v>14.07</v>
      </c>
      <c r="I1283" s="711"/>
      <c r="J1283" s="669">
        <v>42719</v>
      </c>
      <c r="K1283" s="15"/>
      <c r="L1283"/>
      <c r="M1283" s="387">
        <f t="shared" si="579"/>
        <v>17.59</v>
      </c>
      <c r="N1283" s="41">
        <v>8.77</v>
      </c>
      <c r="O1283" s="391"/>
      <c r="P1283" s="392" t="s">
        <v>2828</v>
      </c>
      <c r="Q1283" s="392"/>
      <c r="R1283" s="392">
        <v>2015</v>
      </c>
      <c r="S1283" s="392" t="s">
        <v>4180</v>
      </c>
      <c r="T1283" s="324">
        <v>2.82</v>
      </c>
      <c r="U1283" s="75"/>
      <c r="V1283" s="65"/>
      <c r="W1283" t="s">
        <v>1017</v>
      </c>
      <c r="X1283"/>
      <c r="Y1283" s="65"/>
      <c r="Z1283" s="65"/>
      <c r="AA1283" s="65"/>
      <c r="AB1283" s="65"/>
      <c r="AC1283" s="65"/>
      <c r="AD1283" s="91"/>
      <c r="AE1283" s="124" t="s">
        <v>1017</v>
      </c>
      <c r="AF1283" s="65"/>
      <c r="AG1283" s="91"/>
      <c r="AH1283" s="217" t="s">
        <v>4179</v>
      </c>
      <c r="AI1283" s="214" t="str">
        <f>IF(AND($AH1283&lt;&gt;"",AH1283 =AH1282),"Gleich","")</f>
        <v>Gleich</v>
      </c>
      <c r="AJ1283" s="214" t="str">
        <f>IF(AND($AH1283&lt;&gt;"",A1283 =A1282),"Gleich","")</f>
        <v/>
      </c>
      <c r="AK1283" s="214" t="str">
        <f t="shared" si="582"/>
        <v/>
      </c>
      <c r="AL1283" s="214" t="str">
        <f t="shared" si="582"/>
        <v>Gleich</v>
      </c>
      <c r="AM1283" s="214" t="str">
        <f t="shared" si="582"/>
        <v/>
      </c>
      <c r="AN1283" s="213" t="str">
        <f>IF(ISERROR(SEARCH("K1",A1283)),"","20"&amp;MID(A1283,SEARCH("K1",A1283)+1,2))</f>
        <v>2015</v>
      </c>
      <c r="AO1283" s="213" t="str">
        <f>IF(ISERROR(SEARCH("erstmals 201",E1283)),"",MID(E1283,SEARCH("erstmals ",E1283)+9,4))</f>
        <v>2015</v>
      </c>
      <c r="AP1283" s="213" t="str">
        <f>IF(R1283="x","2010",IF(S1283="x","2011",IF(T1283="x","2012","")))</f>
        <v/>
      </c>
      <c r="AQ1283" s="215" t="str">
        <f>IF(OR(AH1283&lt;&gt;AN1283,AH1283&lt;&gt;AO1283,AH1283&lt;&gt;AP1283),"DIFF","")</f>
        <v>DIFF</v>
      </c>
      <c r="AR1283" s="216" t="str">
        <f>IF(A1283="","",IF(ISERROR(SEARCH("K1",A1283)),A1283,LEFT(A1283,SEARCH("K1",A1283)+1)&amp;RIGHT(AH1283,1)&amp;MID(A1283,SEARCH("K1",A1283)+3,14)))</f>
        <v>BiK83a2bK12-05</v>
      </c>
      <c r="AS1283" s="215" t="str">
        <f>IF(OR(A1283&lt;&gt;AR1283),"DIFF","")</f>
        <v>DIFF</v>
      </c>
      <c r="AT1283">
        <f>LEN(AR1283)</f>
        <v>14</v>
      </c>
      <c r="AU1283" s="216" t="str">
        <f>IF(D1283="","",IF(OR(A1283="",ISERROR(SEARCH("erstmals 201",D1283))),D1283,LEFT(D1283,SEARCH("erstmals 201",D1283)+8) &amp; AH1283 &amp; MID(D1283,SEARCH("erstmals 201",D1283)+13,255)))</f>
        <v>0,5-5 MW, Bonusregeln a2, b und K erstmals 2012</v>
      </c>
      <c r="AV1283" s="215" t="str">
        <f>IF(OR(D1283&lt;&gt;AU1283),"DIFF","")</f>
        <v>DIFF</v>
      </c>
      <c r="AW1283" s="216" t="str">
        <f>IF(E1283="","",IF(OR(E1283="",ISERROR(SEARCH("erstmals 201",E1283))),E1283,LEFT(E1283,SEARCH("erstmals 201",E1283)+8) &amp; AH1283 &amp; MID(E1283,SEARCH("erstmals 201",E1283)+13,255)))</f>
        <v>Anteil KWK, erstmals 2012</v>
      </c>
      <c r="AX1283" s="215" t="str">
        <f>IF(OR(E1283&lt;&gt;AW1283),"DIFF","")</f>
        <v>DIFF</v>
      </c>
      <c r="AY1283" t="str">
        <f>IF(AH1283="2011","x",IF(AH1283="2012","","" &amp; S1283))</f>
        <v/>
      </c>
      <c r="AZ1283" t="str">
        <f>IF(AH1283="2012","x",IF(AH1283="2011","","" &amp; T1283))</f>
        <v>x</v>
      </c>
    </row>
    <row r="1284" spans="1:56" s="178" customFormat="1" x14ac:dyDescent="0.25">
      <c r="A1284" s="615" t="s">
        <v>6173</v>
      </c>
      <c r="B1284" s="375" t="s">
        <v>5548</v>
      </c>
      <c r="C1284" s="375" t="s">
        <v>1288</v>
      </c>
      <c r="D1284" s="375" t="s">
        <v>7003</v>
      </c>
      <c r="E1284" s="375" t="s">
        <v>5807</v>
      </c>
      <c r="F1284" s="449">
        <f t="shared" si="577"/>
        <v>25.470000000000002</v>
      </c>
      <c r="G1284" s="535">
        <f t="shared" si="578"/>
        <v>25.470000000000002</v>
      </c>
      <c r="H1284" s="500">
        <f t="shared" si="580"/>
        <v>20.38</v>
      </c>
      <c r="I1284" s="711"/>
      <c r="J1284" s="669">
        <v>42877</v>
      </c>
      <c r="K1284" s="15"/>
      <c r="L1284"/>
      <c r="M1284" s="49">
        <f t="shared" si="579"/>
        <v>25.470000000000002</v>
      </c>
      <c r="N1284" s="41">
        <v>11.67</v>
      </c>
      <c r="O1284" s="391"/>
      <c r="P1284" s="392" t="s">
        <v>2828</v>
      </c>
      <c r="Q1284" s="392"/>
      <c r="R1284" s="392">
        <v>2016</v>
      </c>
      <c r="S1284" s="392"/>
      <c r="T1284" s="674">
        <v>2.8</v>
      </c>
      <c r="U1284" s="179"/>
      <c r="W1284" s="180"/>
      <c r="X1284" s="180"/>
      <c r="Z1284" s="178" t="s">
        <v>1017</v>
      </c>
      <c r="AA1284" s="180"/>
      <c r="AD1284" s="201"/>
      <c r="AE1284" s="200"/>
      <c r="AF1284" s="180"/>
      <c r="AG1284" s="201"/>
      <c r="AH1284" s="217" t="s">
        <v>4179</v>
      </c>
      <c r="AI1284" s="214" t="str">
        <f>IF(AND($AH1284&lt;&gt;"",AH1284 =AH1283),"Gleich","")</f>
        <v>Gleich</v>
      </c>
      <c r="AJ1284" s="214" t="str">
        <f>IF(AND($AH1284&lt;&gt;"",A1284 =A1283),"Gleich","")</f>
        <v/>
      </c>
      <c r="AK1284" s="214" t="str">
        <f t="shared" si="582"/>
        <v/>
      </c>
      <c r="AL1284" s="214" t="str">
        <f t="shared" si="582"/>
        <v/>
      </c>
      <c r="AM1284" s="214" t="str">
        <f t="shared" si="582"/>
        <v/>
      </c>
      <c r="AN1284" s="213" t="str">
        <f>IF(ISERROR(SEARCH("K1",A1284)),"","20"&amp;MID(A1284,SEARCH("K1",A1284)+1,2))</f>
        <v>2016</v>
      </c>
      <c r="AO1284" s="213" t="str">
        <f>IF(ISERROR(SEARCH("erstmals 201",E1284)),"",MID(E1284,SEARCH("erstmals ",E1284)+9,4))</f>
        <v>2016</v>
      </c>
      <c r="AP1284" s="213" t="str">
        <f>IF(R1284="x","2010",IF(S1284="x","2011",IF(T1284="x","2012","")))</f>
        <v/>
      </c>
      <c r="AQ1284" s="215" t="str">
        <f>IF(OR(AH1284&lt;&gt;AN1284,AH1284&lt;&gt;AO1284,AH1284&lt;&gt;AP1284),"DIFF","")</f>
        <v>DIFF</v>
      </c>
      <c r="AR1284" s="216" t="str">
        <f>IF(A1284="","",IF(ISERROR(SEARCH("K1",A1284)),A1284,LEFT(A1284,SEARCH("K1",A1284)+1)&amp;RIGHT(AH1284,1)&amp;MID(A1284,SEARCH("K1",A1284)+3,14)))</f>
        <v>BiK81M1K12--05</v>
      </c>
      <c r="AS1284" s="215" t="str">
        <f>IF(OR(A1284&lt;&gt;AR1284),"DIFF","")</f>
        <v>DIFF</v>
      </c>
      <c r="AT1284">
        <f>LEN(AR1284)</f>
        <v>14</v>
      </c>
      <c r="AU1284" s="216" t="str">
        <f>IF(D1284="","",IF(OR(A1284="",ISERROR(SEARCH("erstmals 201",D1284))),D1284,LEFT(D1284,SEARCH("erstmals 201",D1284)+8) &amp; AH1284 &amp; MID(D1284,SEARCH("erstmals 201",D1284)+13,255)))</f>
        <v>0-0,15 MW, Bonusregeln M1, K erstmals 2012</v>
      </c>
      <c r="AV1284" s="215" t="str">
        <f>IF(OR(D1284&lt;&gt;AU1284),"DIFF","")</f>
        <v>DIFF</v>
      </c>
      <c r="AW1284" s="216" t="str">
        <f>IF(E1284="","",IF(OR(E1284="",ISERROR(SEARCH("erstmals 201",E1284))),E1284,LEFT(E1284,SEARCH("erstmals 201",E1284)+8) &amp; AH1284 &amp; MID(E1284,SEARCH("erstmals 201",E1284)+13,255)))</f>
        <v>Anteil KWK, erstmals 2012</v>
      </c>
      <c r="AX1284" s="215" t="str">
        <f>IF(OR(E1284&lt;&gt;AW1284),"DIFF","")</f>
        <v>DIFF</v>
      </c>
      <c r="AY1284" t="str">
        <f>IF(AH1284="2011","x",IF(AH1284="2012","","" &amp; S1284))</f>
        <v/>
      </c>
      <c r="AZ1284" t="str">
        <f>IF(AH1284="2012","x",IF(AH1284="2011","","" &amp; T1284))</f>
        <v>x</v>
      </c>
    </row>
    <row r="1285" spans="1:56" s="178" customFormat="1" x14ac:dyDescent="0.25">
      <c r="A1285" s="615" t="s">
        <v>6175</v>
      </c>
      <c r="B1285" s="375" t="s">
        <v>5548</v>
      </c>
      <c r="C1285" s="375" t="s">
        <v>1288</v>
      </c>
      <c r="D1285" s="375" t="s">
        <v>7004</v>
      </c>
      <c r="E1285" s="375" t="s">
        <v>5807</v>
      </c>
      <c r="F1285" s="449">
        <f t="shared" si="577"/>
        <v>28.470000000000002</v>
      </c>
      <c r="G1285" s="535">
        <f t="shared" si="578"/>
        <v>28.470000000000002</v>
      </c>
      <c r="H1285" s="500">
        <f t="shared" si="580"/>
        <v>22.78</v>
      </c>
      <c r="I1285" s="711"/>
      <c r="J1285" s="669">
        <v>42919</v>
      </c>
      <c r="K1285" s="15"/>
      <c r="L1285"/>
      <c r="M1285" s="387">
        <f t="shared" si="579"/>
        <v>28.470000000000002</v>
      </c>
      <c r="N1285" s="41">
        <v>11.67</v>
      </c>
      <c r="O1285" s="391"/>
      <c r="P1285" s="392" t="s">
        <v>2828</v>
      </c>
      <c r="Q1285" s="392"/>
      <c r="R1285" s="392">
        <v>2016</v>
      </c>
      <c r="S1285" s="392" t="s">
        <v>4180</v>
      </c>
      <c r="T1285" s="674">
        <v>2.8</v>
      </c>
      <c r="U1285" s="55" t="s">
        <v>1017</v>
      </c>
      <c r="V1285"/>
      <c r="W1285" s="65"/>
      <c r="X1285" s="65"/>
      <c r="Y1285"/>
      <c r="Z1285" t="s">
        <v>1017</v>
      </c>
      <c r="AA1285" s="65"/>
      <c r="AB1285"/>
      <c r="AC1285"/>
      <c r="AD1285" s="91"/>
      <c r="AE1285" s="124" t="s">
        <v>1017</v>
      </c>
      <c r="AF1285" s="65"/>
      <c r="AG1285" s="91"/>
      <c r="AH1285" s="217"/>
      <c r="AI1285" s="214"/>
      <c r="AJ1285" s="214"/>
      <c r="AK1285" s="214"/>
      <c r="AL1285" s="214"/>
      <c r="AM1285" s="214"/>
      <c r="AN1285" s="213"/>
      <c r="AO1285" s="213"/>
      <c r="AP1285" s="213"/>
      <c r="AQ1285" s="215"/>
      <c r="AR1285" s="216"/>
      <c r="AS1285" s="215"/>
      <c r="AT1285"/>
      <c r="AU1285" s="216"/>
      <c r="AV1285" s="215"/>
      <c r="AW1285" s="216"/>
      <c r="AX1285" s="215"/>
      <c r="AY1285"/>
      <c r="AZ1285"/>
    </row>
    <row r="1286" spans="1:56" s="178" customFormat="1" x14ac:dyDescent="0.25">
      <c r="A1286" s="615" t="s">
        <v>6174</v>
      </c>
      <c r="B1286" s="375" t="s">
        <v>5548</v>
      </c>
      <c r="C1286" s="375" t="s">
        <v>1288</v>
      </c>
      <c r="D1286" s="375" t="s">
        <v>7222</v>
      </c>
      <c r="E1286" s="375" t="s">
        <v>5807</v>
      </c>
      <c r="F1286" s="449">
        <f t="shared" si="577"/>
        <v>20.55</v>
      </c>
      <c r="G1286" s="535">
        <f t="shared" si="578"/>
        <v>20.55</v>
      </c>
      <c r="H1286" s="500">
        <f t="shared" si="580"/>
        <v>16.440000000000001</v>
      </c>
      <c r="I1286" s="711"/>
      <c r="J1286" s="669">
        <v>42877</v>
      </c>
      <c r="K1286" s="15"/>
      <c r="L1286"/>
      <c r="M1286" s="387">
        <f t="shared" si="579"/>
        <v>20.55</v>
      </c>
      <c r="N1286" s="41">
        <v>9.75</v>
      </c>
      <c r="O1286" s="391"/>
      <c r="P1286" s="392" t="s">
        <v>2828</v>
      </c>
      <c r="Q1286" s="392"/>
      <c r="R1286" s="392">
        <v>2016</v>
      </c>
      <c r="S1286" s="392"/>
      <c r="T1286" s="674">
        <v>2.8</v>
      </c>
      <c r="U1286" s="179"/>
      <c r="W1286" s="180"/>
      <c r="X1286" s="180"/>
      <c r="Z1286" s="180"/>
      <c r="AA1286" s="178" t="s">
        <v>1017</v>
      </c>
      <c r="AC1286" s="180"/>
      <c r="AD1286" s="182"/>
      <c r="AE1286" s="200"/>
      <c r="AF1286" s="180"/>
      <c r="AG1286" s="201"/>
      <c r="AH1286" s="217" t="s">
        <v>4179</v>
      </c>
      <c r="AI1286" s="214" t="str">
        <f>IF(AND($AH1286&lt;&gt;"",AH1286 =AH1283),"Gleich","")</f>
        <v>Gleich</v>
      </c>
      <c r="AJ1286" s="214" t="str">
        <f>IF(AND($AH1286&lt;&gt;"",A1286 =A1283),"Gleich","")</f>
        <v/>
      </c>
      <c r="AK1286" s="214" t="str">
        <f>IF(AND($AH1286&lt;&gt;"",D1286 =D1283),"Gleich","")</f>
        <v/>
      </c>
      <c r="AL1286" s="214" t="str">
        <f>IF(AND($AH1286&lt;&gt;"",E1286 =E1283),"Gleich","")</f>
        <v/>
      </c>
      <c r="AM1286" s="214" t="str">
        <f>IF(AND($AH1286&lt;&gt;"",F1286 =F1283),"Gleich","")</f>
        <v/>
      </c>
      <c r="AN1286" s="213" t="str">
        <f>IF(ISERROR(SEARCH("K1",A1286)),"","20"&amp;MID(A1286,SEARCH("K1",A1286)+1,2))</f>
        <v>2016</v>
      </c>
      <c r="AO1286" s="213" t="str">
        <f>IF(ISERROR(SEARCH("erstmals 201",E1286)),"",MID(E1286,SEARCH("erstmals ",E1286)+9,4))</f>
        <v>2016</v>
      </c>
      <c r="AP1286" s="213" t="str">
        <f>IF(R1286="x","2010",IF(S1286="x","2011",IF(T1286="x","2012","")))</f>
        <v/>
      </c>
      <c r="AQ1286" s="215" t="str">
        <f>IF(OR(AH1286&lt;&gt;AN1286,AH1286&lt;&gt;AO1286,AH1286&lt;&gt;AP1286),"DIFF","")</f>
        <v>DIFF</v>
      </c>
      <c r="AR1286" s="216" t="str">
        <f>IF(A1286="","",IF(ISERROR(SEARCH("K1",A1286)),A1286,LEFT(A1286,SEARCH("K1",A1286)+1)&amp;RIGHT(AH1286,1)&amp;MID(A1286,SEARCH("K1",A1286)+3,14)))</f>
        <v>BiK82M2K12--05</v>
      </c>
      <c r="AS1286" s="215" t="str">
        <f>IF(OR(A1286&lt;&gt;AR1286),"DIFF","")</f>
        <v>DIFF</v>
      </c>
      <c r="AT1286">
        <f>LEN(AR1286)</f>
        <v>14</v>
      </c>
      <c r="AU1286" s="216" t="str">
        <f>IF(D1286="","",IF(OR(A1286="",ISERROR(SEARCH("erstmals 201",D1286))),D1286,LEFT(D1286,SEARCH("erstmals 201",D1286)+8) &amp; AH1286 &amp; MID(D1286,SEARCH("erstmals 201",D1286)+13,255)))</f>
        <v>0,15-0,5 MW, Bonusregeln M2, K erstmals 2012</v>
      </c>
      <c r="AV1286" s="215" t="str">
        <f>IF(OR(D1286&lt;&gt;AU1286),"DIFF","")</f>
        <v>DIFF</v>
      </c>
      <c r="AW1286" s="216" t="str">
        <f>IF(E1286="","",IF(OR(E1286="",ISERROR(SEARCH("erstmals 201",E1286))),E1286,LEFT(E1286,SEARCH("erstmals 201",E1286)+8) &amp; AH1286 &amp; MID(E1286,SEARCH("erstmals 201",E1286)+13,255)))</f>
        <v>Anteil KWK, erstmals 2012</v>
      </c>
      <c r="AX1286" s="215" t="str">
        <f>IF(OR(E1286&lt;&gt;AW1286),"DIFF","")</f>
        <v>DIFF</v>
      </c>
      <c r="AY1286" t="str">
        <f>IF(AH1286="2011","x",IF(AH1286="2012","","" &amp; S1286))</f>
        <v/>
      </c>
      <c r="AZ1286" t="str">
        <f>IF(AH1286="2012","x",IF(AH1286="2011","","" &amp; T1286))</f>
        <v>x</v>
      </c>
    </row>
    <row r="1287" spans="1:56" s="178" customFormat="1" x14ac:dyDescent="0.25">
      <c r="A1287" s="615" t="s">
        <v>6176</v>
      </c>
      <c r="B1287" s="375" t="s">
        <v>5548</v>
      </c>
      <c r="C1287" s="375" t="s">
        <v>1288</v>
      </c>
      <c r="D1287" s="375" t="s">
        <v>7223</v>
      </c>
      <c r="E1287" s="375" t="s">
        <v>5807</v>
      </c>
      <c r="F1287" s="449">
        <f t="shared" si="577"/>
        <v>23.55</v>
      </c>
      <c r="G1287" s="535">
        <f t="shared" si="578"/>
        <v>23.55</v>
      </c>
      <c r="H1287" s="500">
        <f t="shared" si="580"/>
        <v>18.84</v>
      </c>
      <c r="I1287" s="711"/>
      <c r="J1287" s="669">
        <v>42919</v>
      </c>
      <c r="K1287" s="15"/>
      <c r="L1287"/>
      <c r="M1287" s="387">
        <f t="shared" si="579"/>
        <v>23.55</v>
      </c>
      <c r="N1287" s="41">
        <v>9.75</v>
      </c>
      <c r="O1287" s="391"/>
      <c r="P1287" s="392" t="s">
        <v>2828</v>
      </c>
      <c r="Q1287" s="392"/>
      <c r="R1287" s="392">
        <v>2016</v>
      </c>
      <c r="S1287" s="392" t="s">
        <v>4180</v>
      </c>
      <c r="T1287" s="674">
        <v>2.8</v>
      </c>
      <c r="U1287" s="55" t="s">
        <v>1017</v>
      </c>
      <c r="V1287"/>
      <c r="W1287" s="65"/>
      <c r="X1287" s="65"/>
      <c r="Y1287"/>
      <c r="Z1287" s="65"/>
      <c r="AA1287" t="s">
        <v>1017</v>
      </c>
      <c r="AB1287"/>
      <c r="AC1287" s="180"/>
      <c r="AD1287" s="182"/>
      <c r="AE1287" s="124" t="s">
        <v>1017</v>
      </c>
      <c r="AF1287" s="65"/>
      <c r="AG1287" s="91"/>
      <c r="AH1287" s="217"/>
      <c r="AI1287" s="214"/>
      <c r="AJ1287" s="214"/>
      <c r="AK1287" s="214"/>
      <c r="AL1287" s="214"/>
      <c r="AM1287" s="214"/>
      <c r="AN1287" s="213"/>
      <c r="AO1287" s="213"/>
      <c r="AP1287" s="213"/>
      <c r="AQ1287" s="215"/>
      <c r="AR1287" s="216"/>
      <c r="AS1287" s="215"/>
      <c r="AT1287"/>
      <c r="AU1287" s="216"/>
      <c r="AV1287" s="215"/>
      <c r="AW1287" s="216"/>
      <c r="AX1287" s="215"/>
      <c r="AY1287"/>
      <c r="AZ1287"/>
    </row>
    <row r="1288" spans="1:56" s="178" customFormat="1" x14ac:dyDescent="0.25">
      <c r="A1288" s="615" t="s">
        <v>6622</v>
      </c>
      <c r="B1288" s="375" t="s">
        <v>5548</v>
      </c>
      <c r="C1288" s="375" t="s">
        <v>1288</v>
      </c>
      <c r="D1288" s="375" t="s">
        <v>7005</v>
      </c>
      <c r="E1288" s="375" t="s">
        <v>6158</v>
      </c>
      <c r="F1288" s="449">
        <f t="shared" si="577"/>
        <v>14.44</v>
      </c>
      <c r="G1288" s="535">
        <f t="shared" si="578"/>
        <v>14.44</v>
      </c>
      <c r="H1288" s="500">
        <f t="shared" si="580"/>
        <v>11.55</v>
      </c>
      <c r="I1288" s="711"/>
      <c r="J1288" s="669">
        <v>43951</v>
      </c>
      <c r="K1288" s="769"/>
      <c r="L1288" s="774"/>
      <c r="M1288" s="387">
        <f t="shared" si="579"/>
        <v>14.44</v>
      </c>
      <c r="N1288" s="41">
        <v>11.67</v>
      </c>
      <c r="O1288" s="391"/>
      <c r="P1288" s="392" t="s">
        <v>2828</v>
      </c>
      <c r="Q1288" s="392"/>
      <c r="R1288" s="392">
        <v>2017</v>
      </c>
      <c r="S1288" s="392"/>
      <c r="T1288" s="674">
        <f t="shared" ref="T1288:T1296" si="583">ROUND($BD$1291,2)</f>
        <v>2.77</v>
      </c>
      <c r="U1288" s="765"/>
      <c r="V1288" s="774"/>
      <c r="W1288" s="775"/>
      <c r="X1288" s="775"/>
      <c r="Y1288" s="774"/>
      <c r="Z1288" s="774"/>
      <c r="AA1288" s="775"/>
      <c r="AB1288" s="774"/>
      <c r="AC1288" s="774"/>
      <c r="AD1288" s="777"/>
      <c r="AE1288" s="778"/>
      <c r="AF1288" s="775"/>
      <c r="AG1288" s="777"/>
      <c r="AH1288" s="773" t="s">
        <v>4179</v>
      </c>
      <c r="AI1288" s="771" t="str">
        <f>IF(AND($AH1288&lt;&gt;"",AH1288 =AH1287),"Gleich","")</f>
        <v/>
      </c>
      <c r="AJ1288" s="771" t="str">
        <f>IF(AND($AH1288&lt;&gt;"",A1288 =A1287),"Gleich","")</f>
        <v/>
      </c>
      <c r="AK1288" s="771" t="str">
        <f>IF(AND($AH1288&lt;&gt;"",D1288 =D1287),"Gleich","")</f>
        <v/>
      </c>
      <c r="AL1288" s="771" t="str">
        <f>IF(AND($AH1288&lt;&gt;"",E1288 =E1287),"Gleich","")</f>
        <v/>
      </c>
      <c r="AM1288" s="771" t="str">
        <f>IF(AND($AH1288&lt;&gt;"",F1288 =F1287),"Gleich","")</f>
        <v/>
      </c>
      <c r="AN1288" s="770" t="str">
        <f>IF(ISERROR(SEARCH("K1",A1288)),"","20"&amp;MID(A1288,SEARCH("K1",A1288)+1,2))</f>
        <v>2017</v>
      </c>
      <c r="AO1288" s="770" t="str">
        <f>IF(ISERROR(SEARCH("erstmals 201",E1288)),"",MID(E1288,SEARCH("erstmals ",E1288)+9,4))</f>
        <v>2017</v>
      </c>
      <c r="AP1288" s="770" t="str">
        <f>IF(R1288="x","2010",IF(S1288="x","2011",IF(T1288="x","2012","")))</f>
        <v/>
      </c>
      <c r="AQ1288" s="772" t="str">
        <f>IF(OR(AH1288&lt;&gt;AN1288,AH1288&lt;&gt;AO1288,AH1288&lt;&gt;AP1288),"DIFF","")</f>
        <v>DIFF</v>
      </c>
      <c r="AR1288" s="216" t="str">
        <f>IF(A1288="","",IF(ISERROR(SEARCH("K1",A1288)),A1288,LEFT(A1288,SEARCH("K1",A1288)+1)&amp;RIGHT(AH1288,1)&amp;MID(A1288,SEARCH("K1",A1288)+3,14)))</f>
        <v>BiK81K12----05</v>
      </c>
      <c r="AS1288" s="772" t="str">
        <f>IF(OR(A1288&lt;&gt;AR1288),"DIFF","")</f>
        <v>DIFF</v>
      </c>
      <c r="AT1288" s="774">
        <f>LEN(AR1288)</f>
        <v>14</v>
      </c>
      <c r="AU1288" s="216" t="str">
        <f>IF(D1288="","",IF(OR(A1288="",ISERROR(SEARCH("erstmals 201",D1288))),D1288,LEFT(D1288,SEARCH("erstmals 201",D1288)+8) &amp; AH1288 &amp; MID(D1288,SEARCH("erstmals 201",D1288)+13,255)))</f>
        <v>0-0,15 MW, Bonusregel K erstmals 2012</v>
      </c>
      <c r="AV1288" s="772" t="str">
        <f>IF(OR(D1288&lt;&gt;AU1288),"DIFF","")</f>
        <v>DIFF</v>
      </c>
      <c r="AW1288" s="216" t="str">
        <f>IF(E1288="","",IF(OR(E1288="",ISERROR(SEARCH("erstmals 201",E1288))),E1288,LEFT(E1288,SEARCH("erstmals 201",E1288)+8) &amp; AH1288 &amp; MID(E1288,SEARCH("erstmals 201",E1288)+13,255)))</f>
        <v>Anteil KWK, erstmals 2012</v>
      </c>
      <c r="AX1288" s="772" t="str">
        <f>IF(OR(E1288&lt;&gt;AW1288),"DIFF","")</f>
        <v>DIFF</v>
      </c>
      <c r="AY1288" s="774" t="str">
        <f>IF(AH1288="2011","x",IF(AH1288="2012","","" &amp; S1288))</f>
        <v/>
      </c>
      <c r="AZ1288" s="774" t="str">
        <f>IF(AH1288="2012","x",IF(AH1288="2011","","" &amp; T1288))</f>
        <v>x</v>
      </c>
    </row>
    <row r="1289" spans="1:56" s="774" customFormat="1" x14ac:dyDescent="0.25">
      <c r="A1289" s="615" t="s">
        <v>6487</v>
      </c>
      <c r="B1289" s="375" t="s">
        <v>5548</v>
      </c>
      <c r="C1289" s="375" t="s">
        <v>1288</v>
      </c>
      <c r="D1289" s="375" t="s">
        <v>7006</v>
      </c>
      <c r="E1289" s="375" t="s">
        <v>6158</v>
      </c>
      <c r="F1289" s="461">
        <f t="shared" si="577"/>
        <v>25.44</v>
      </c>
      <c r="G1289" s="535">
        <f t="shared" si="578"/>
        <v>25.44</v>
      </c>
      <c r="H1289" s="493">
        <f t="shared" si="580"/>
        <v>20.350000000000001</v>
      </c>
      <c r="I1289" s="711"/>
      <c r="J1289" s="669">
        <v>43585</v>
      </c>
      <c r="K1289" s="769"/>
      <c r="M1289" s="49">
        <f t="shared" si="579"/>
        <v>25.44</v>
      </c>
      <c r="N1289" s="41">
        <v>11.67</v>
      </c>
      <c r="O1289" s="391"/>
      <c r="P1289" s="392" t="s">
        <v>2828</v>
      </c>
      <c r="Q1289" s="392"/>
      <c r="R1289" s="392">
        <v>2017</v>
      </c>
      <c r="S1289" s="392"/>
      <c r="T1289" s="674">
        <f t="shared" si="583"/>
        <v>2.77</v>
      </c>
      <c r="U1289" s="179"/>
      <c r="V1289" s="178"/>
      <c r="W1289" s="180"/>
      <c r="X1289" s="180"/>
      <c r="Y1289" s="178"/>
      <c r="Z1289" s="178" t="s">
        <v>1017</v>
      </c>
      <c r="AA1289" s="180"/>
      <c r="AB1289" s="178"/>
      <c r="AC1289" s="178"/>
      <c r="AD1289" s="201"/>
      <c r="AE1289" s="200"/>
      <c r="AF1289" s="180"/>
      <c r="AG1289" s="201"/>
      <c r="AH1289" s="773"/>
      <c r="AI1289" s="771"/>
      <c r="AJ1289" s="771"/>
      <c r="AK1289" s="771"/>
      <c r="AL1289" s="771"/>
      <c r="AM1289" s="771"/>
      <c r="AN1289" s="770"/>
      <c r="AO1289" s="770"/>
      <c r="AP1289" s="770"/>
      <c r="AQ1289" s="772"/>
      <c r="AR1289" s="216"/>
      <c r="AS1289" s="772"/>
      <c r="AU1289" s="216"/>
      <c r="AV1289" s="772"/>
      <c r="AW1289" s="216"/>
      <c r="AX1289" s="772"/>
    </row>
    <row r="1290" spans="1:56" s="774" customFormat="1" x14ac:dyDescent="0.25">
      <c r="A1290" s="615" t="s">
        <v>6623</v>
      </c>
      <c r="B1290" s="375" t="s">
        <v>5548</v>
      </c>
      <c r="C1290" s="375" t="s">
        <v>1288</v>
      </c>
      <c r="D1290" s="375" t="s">
        <v>7007</v>
      </c>
      <c r="E1290" s="375" t="s">
        <v>6158</v>
      </c>
      <c r="F1290" s="461">
        <f t="shared" si="577"/>
        <v>26.44</v>
      </c>
      <c r="G1290" s="535">
        <f t="shared" si="578"/>
        <v>26.44</v>
      </c>
      <c r="H1290" s="493">
        <f t="shared" si="580"/>
        <v>21.15</v>
      </c>
      <c r="I1290" s="711"/>
      <c r="J1290" s="669">
        <v>43951</v>
      </c>
      <c r="K1290" s="769"/>
      <c r="M1290" s="49">
        <f t="shared" si="579"/>
        <v>26.44</v>
      </c>
      <c r="N1290" s="41">
        <v>11.67</v>
      </c>
      <c r="O1290" s="391"/>
      <c r="P1290" s="392" t="s">
        <v>2828</v>
      </c>
      <c r="Q1290" s="392"/>
      <c r="R1290" s="392">
        <v>2017</v>
      </c>
      <c r="S1290" s="392"/>
      <c r="T1290" s="674">
        <f t="shared" si="583"/>
        <v>2.77</v>
      </c>
      <c r="U1290" s="179" t="s">
        <v>1017</v>
      </c>
      <c r="V1290" s="178"/>
      <c r="W1290" s="180"/>
      <c r="X1290" s="180"/>
      <c r="Y1290" s="178"/>
      <c r="Z1290" s="178" t="s">
        <v>1017</v>
      </c>
      <c r="AA1290" s="180"/>
      <c r="AB1290" s="178"/>
      <c r="AC1290" s="178"/>
      <c r="AD1290" s="201"/>
      <c r="AE1290" s="200"/>
      <c r="AF1290" s="180"/>
      <c r="AG1290" s="201"/>
      <c r="AH1290" s="773"/>
      <c r="AI1290" s="771"/>
      <c r="AJ1290" s="771"/>
      <c r="AK1290" s="771"/>
      <c r="AL1290" s="771"/>
      <c r="AM1290" s="771"/>
      <c r="AN1290" s="770"/>
      <c r="AO1290" s="770"/>
      <c r="AP1290" s="770"/>
      <c r="AQ1290" s="772"/>
      <c r="AR1290" s="216"/>
      <c r="AS1290" s="772"/>
      <c r="AU1290" s="216"/>
      <c r="AV1290" s="772"/>
      <c r="AW1290" s="216"/>
      <c r="AX1290" s="772"/>
    </row>
    <row r="1291" spans="1:56" s="178" customFormat="1" x14ac:dyDescent="0.25">
      <c r="A1291" s="615" t="s">
        <v>6186</v>
      </c>
      <c r="B1291" s="375" t="s">
        <v>5548</v>
      </c>
      <c r="C1291" s="375" t="s">
        <v>1288</v>
      </c>
      <c r="D1291" s="375" t="s">
        <v>7008</v>
      </c>
      <c r="E1291" s="375" t="s">
        <v>6158</v>
      </c>
      <c r="F1291" s="449">
        <f t="shared" si="577"/>
        <v>28.44</v>
      </c>
      <c r="G1291" s="535">
        <f t="shared" si="578"/>
        <v>28.44</v>
      </c>
      <c r="H1291" s="500">
        <f t="shared" si="580"/>
        <v>22.75</v>
      </c>
      <c r="I1291" s="711"/>
      <c r="J1291" s="669">
        <v>42993</v>
      </c>
      <c r="K1291" s="15"/>
      <c r="L1291"/>
      <c r="M1291" s="387">
        <f t="shared" si="579"/>
        <v>28.44</v>
      </c>
      <c r="N1291" s="41">
        <v>11.67</v>
      </c>
      <c r="O1291" s="391"/>
      <c r="P1291" s="392" t="s">
        <v>2828</v>
      </c>
      <c r="Q1291" s="392"/>
      <c r="R1291" s="392">
        <v>2017</v>
      </c>
      <c r="S1291" s="392" t="s">
        <v>4180</v>
      </c>
      <c r="T1291" s="674">
        <f t="shared" si="583"/>
        <v>2.77</v>
      </c>
      <c r="U1291" s="55" t="s">
        <v>1017</v>
      </c>
      <c r="V1291"/>
      <c r="W1291" s="65"/>
      <c r="X1291" s="65"/>
      <c r="Y1291"/>
      <c r="Z1291" t="s">
        <v>1017</v>
      </c>
      <c r="AA1291" s="65"/>
      <c r="AB1291"/>
      <c r="AC1291"/>
      <c r="AD1291" s="91"/>
      <c r="AE1291" s="124" t="s">
        <v>1017</v>
      </c>
      <c r="AF1291" s="65"/>
      <c r="AG1291" s="91"/>
      <c r="AH1291" s="217"/>
      <c r="AI1291" s="214"/>
      <c r="AJ1291" s="214"/>
      <c r="AK1291" s="214"/>
      <c r="AL1291" s="214"/>
      <c r="AM1291" s="214"/>
      <c r="AN1291" s="213"/>
      <c r="AO1291" s="213"/>
      <c r="AP1291" s="213"/>
      <c r="AQ1291" s="215"/>
      <c r="AR1291" s="216"/>
      <c r="AS1291" s="215"/>
      <c r="AT1291"/>
      <c r="AU1291" s="216"/>
      <c r="AV1291" s="215"/>
      <c r="AW1291" s="216"/>
      <c r="AX1291" s="215"/>
      <c r="AY1291"/>
      <c r="AZ1291"/>
      <c r="BD1291" s="178">
        <f>3*0.99^8</f>
        <v>2.76823408328376</v>
      </c>
    </row>
    <row r="1292" spans="1:56" s="178" customFormat="1" x14ac:dyDescent="0.25">
      <c r="A1292" s="615" t="s">
        <v>6621</v>
      </c>
      <c r="B1292" s="375" t="s">
        <v>5548</v>
      </c>
      <c r="C1292" s="375" t="s">
        <v>1288</v>
      </c>
      <c r="D1292" s="375" t="s">
        <v>7224</v>
      </c>
      <c r="E1292" s="375" t="s">
        <v>6158</v>
      </c>
      <c r="F1292" s="449">
        <f t="shared" si="577"/>
        <v>12.52</v>
      </c>
      <c r="G1292" s="535">
        <f t="shared" si="578"/>
        <v>12.52</v>
      </c>
      <c r="H1292" s="500">
        <f t="shared" si="580"/>
        <v>10.02</v>
      </c>
      <c r="I1292" s="711"/>
      <c r="J1292" s="669">
        <v>43951</v>
      </c>
      <c r="K1292" s="769"/>
      <c r="L1292" s="774"/>
      <c r="M1292" s="387">
        <f t="shared" si="579"/>
        <v>12.52</v>
      </c>
      <c r="N1292" s="41">
        <v>9.75</v>
      </c>
      <c r="O1292" s="391"/>
      <c r="P1292" s="392" t="s">
        <v>2828</v>
      </c>
      <c r="Q1292" s="392"/>
      <c r="R1292" s="392">
        <v>2017</v>
      </c>
      <c r="S1292" s="392"/>
      <c r="T1292" s="674">
        <f t="shared" si="583"/>
        <v>2.77</v>
      </c>
      <c r="U1292" s="765"/>
      <c r="V1292" s="774"/>
      <c r="W1292" s="775"/>
      <c r="X1292" s="775"/>
      <c r="Y1292" s="774"/>
      <c r="Z1292" s="180"/>
      <c r="AA1292" s="184"/>
      <c r="AB1292" s="184"/>
      <c r="AC1292" s="180"/>
      <c r="AD1292" s="182"/>
      <c r="AE1292" s="778"/>
      <c r="AF1292" s="775"/>
      <c r="AG1292" s="777"/>
      <c r="AH1292" s="773" t="s">
        <v>4179</v>
      </c>
      <c r="AI1292" s="771" t="str">
        <f>IF(AND($AH1292&lt;&gt;"",AH1292 =AH1289),"Gleich","")</f>
        <v/>
      </c>
      <c r="AJ1292" s="771" t="str">
        <f>IF(AND($AH1292&lt;&gt;"",A1292 =A1289),"Gleich","")</f>
        <v/>
      </c>
      <c r="AK1292" s="771" t="str">
        <f>IF(AND($AH1292&lt;&gt;"",D1292 =D1289),"Gleich","")</f>
        <v/>
      </c>
      <c r="AL1292" s="771" t="str">
        <f>IF(AND($AH1292&lt;&gt;"",E1292 =E1289),"Gleich","")</f>
        <v>Gleich</v>
      </c>
      <c r="AM1292" s="771" t="str">
        <f>IF(AND($AH1292&lt;&gt;"",F1292 =F1289),"Gleich","")</f>
        <v/>
      </c>
      <c r="AN1292" s="770" t="str">
        <f>IF(ISERROR(SEARCH("K1",A1292)),"","20"&amp;MID(A1292,SEARCH("K1",A1292)+1,2))</f>
        <v>2017</v>
      </c>
      <c r="AO1292" s="770" t="str">
        <f>IF(ISERROR(SEARCH("erstmals 201",E1292)),"",MID(E1292,SEARCH("erstmals ",E1292)+9,4))</f>
        <v>2017</v>
      </c>
      <c r="AP1292" s="770" t="str">
        <f>IF(R1292="x","2010",IF(S1292="x","2011",IF(T1292="x","2012","")))</f>
        <v/>
      </c>
      <c r="AQ1292" s="772" t="str">
        <f>IF(OR(AH1292&lt;&gt;AN1292,AH1292&lt;&gt;AO1292,AH1292&lt;&gt;AP1292),"DIFF","")</f>
        <v>DIFF</v>
      </c>
      <c r="AR1292" s="216" t="str">
        <f>IF(A1292="","",IF(ISERROR(SEARCH("K1",A1292)),A1292,LEFT(A1292,SEARCH("K1",A1292)+1)&amp;RIGHT(AH1292,1)&amp;MID(A1292,SEARCH("K1",A1292)+3,14)))</f>
        <v>BiK82K12----05</v>
      </c>
      <c r="AS1292" s="772" t="str">
        <f>IF(OR(A1292&lt;&gt;AR1292),"DIFF","")</f>
        <v>DIFF</v>
      </c>
      <c r="AT1292" s="774">
        <f>LEN(AR1292)</f>
        <v>14</v>
      </c>
      <c r="AU1292" s="216" t="str">
        <f>IF(D1292="","",IF(OR(A1292="",ISERROR(SEARCH("erstmals 201",D1292))),D1292,LEFT(D1292,SEARCH("erstmals 201",D1292)+8) &amp; AH1292 &amp; MID(D1292,SEARCH("erstmals 201",D1292)+13,255)))</f>
        <v>0,15-0,5 MW, Bonusregel K erstmals 2012</v>
      </c>
      <c r="AV1292" s="772" t="str">
        <f>IF(OR(D1292&lt;&gt;AU1292),"DIFF","")</f>
        <v>DIFF</v>
      </c>
      <c r="AW1292" s="216" t="str">
        <f>IF(E1292="","",IF(OR(E1292="",ISERROR(SEARCH("erstmals 201",E1292))),E1292,LEFT(E1292,SEARCH("erstmals 201",E1292)+8) &amp; AH1292 &amp; MID(E1292,SEARCH("erstmals 201",E1292)+13,255)))</f>
        <v>Anteil KWK, erstmals 2012</v>
      </c>
      <c r="AX1292" s="772" t="str">
        <f>IF(OR(E1292&lt;&gt;AW1292),"DIFF","")</f>
        <v>DIFF</v>
      </c>
      <c r="AY1292" s="774" t="str">
        <f>IF(AH1292="2011","x",IF(AH1292="2012","","" &amp; S1292))</f>
        <v/>
      </c>
      <c r="AZ1292" s="774" t="str">
        <f>IF(AH1292="2012","x",IF(AH1292="2011","","" &amp; T1292))</f>
        <v>x</v>
      </c>
    </row>
    <row r="1293" spans="1:56" s="774" customFormat="1" x14ac:dyDescent="0.25">
      <c r="A1293" s="615" t="s">
        <v>6488</v>
      </c>
      <c r="B1293" s="375" t="s">
        <v>5548</v>
      </c>
      <c r="C1293" s="375" t="s">
        <v>1288</v>
      </c>
      <c r="D1293" s="375" t="s">
        <v>7225</v>
      </c>
      <c r="E1293" s="375" t="s">
        <v>6158</v>
      </c>
      <c r="F1293" s="461">
        <f t="shared" si="577"/>
        <v>20.52</v>
      </c>
      <c r="G1293" s="535">
        <f t="shared" si="578"/>
        <v>20.52</v>
      </c>
      <c r="H1293" s="493">
        <f t="shared" si="580"/>
        <v>16.420000000000002</v>
      </c>
      <c r="I1293" s="711"/>
      <c r="J1293" s="669">
        <v>43585</v>
      </c>
      <c r="K1293" s="769"/>
      <c r="M1293" s="387">
        <f t="shared" si="579"/>
        <v>20.52</v>
      </c>
      <c r="N1293" s="41">
        <v>9.75</v>
      </c>
      <c r="O1293" s="391"/>
      <c r="P1293" s="392" t="s">
        <v>2828</v>
      </c>
      <c r="Q1293" s="392"/>
      <c r="R1293" s="392">
        <v>2017</v>
      </c>
      <c r="S1293" s="392"/>
      <c r="T1293" s="674">
        <f t="shared" si="583"/>
        <v>2.77</v>
      </c>
      <c r="U1293" s="179"/>
      <c r="V1293" s="178"/>
      <c r="W1293" s="180"/>
      <c r="X1293" s="180"/>
      <c r="Y1293" s="178"/>
      <c r="Z1293" s="180"/>
      <c r="AA1293" s="178" t="s">
        <v>1017</v>
      </c>
      <c r="AB1293" s="178"/>
      <c r="AC1293" s="180"/>
      <c r="AD1293" s="182"/>
      <c r="AE1293" s="200"/>
      <c r="AF1293" s="180"/>
      <c r="AG1293" s="201"/>
      <c r="AH1293" s="773"/>
      <c r="AI1293" s="771"/>
      <c r="AJ1293" s="771"/>
      <c r="AK1293" s="771"/>
      <c r="AL1293" s="771"/>
      <c r="AM1293" s="771"/>
      <c r="AN1293" s="770"/>
      <c r="AO1293" s="770"/>
      <c r="AP1293" s="770"/>
      <c r="AQ1293" s="772"/>
      <c r="AR1293" s="216"/>
      <c r="AS1293" s="772"/>
      <c r="AU1293" s="216"/>
      <c r="AV1293" s="772"/>
      <c r="AW1293" s="216"/>
      <c r="AX1293" s="772"/>
    </row>
    <row r="1294" spans="1:56" s="774" customFormat="1" x14ac:dyDescent="0.25">
      <c r="A1294" s="615" t="s">
        <v>6624</v>
      </c>
      <c r="B1294" s="375" t="s">
        <v>5548</v>
      </c>
      <c r="C1294" s="375" t="s">
        <v>1288</v>
      </c>
      <c r="D1294" s="375" t="s">
        <v>7226</v>
      </c>
      <c r="E1294" s="375" t="s">
        <v>6158</v>
      </c>
      <c r="F1294" s="461">
        <f t="shared" si="577"/>
        <v>21.52</v>
      </c>
      <c r="G1294" s="535">
        <f t="shared" si="578"/>
        <v>21.52</v>
      </c>
      <c r="H1294" s="493">
        <f t="shared" si="580"/>
        <v>17.22</v>
      </c>
      <c r="I1294" s="711"/>
      <c r="J1294" s="669">
        <v>43951</v>
      </c>
      <c r="K1294" s="769"/>
      <c r="M1294" s="387">
        <f t="shared" si="579"/>
        <v>21.52</v>
      </c>
      <c r="N1294" s="41">
        <v>9.75</v>
      </c>
      <c r="O1294" s="391"/>
      <c r="P1294" s="392" t="s">
        <v>2828</v>
      </c>
      <c r="Q1294" s="392"/>
      <c r="R1294" s="392">
        <v>2017</v>
      </c>
      <c r="S1294" s="392"/>
      <c r="T1294" s="674">
        <f t="shared" si="583"/>
        <v>2.77</v>
      </c>
      <c r="U1294" s="179" t="s">
        <v>1017</v>
      </c>
      <c r="V1294" s="178"/>
      <c r="W1294" s="180"/>
      <c r="X1294" s="180"/>
      <c r="Y1294" s="178"/>
      <c r="Z1294" s="180"/>
      <c r="AA1294" s="178" t="s">
        <v>1017</v>
      </c>
      <c r="AB1294" s="178"/>
      <c r="AC1294" s="180"/>
      <c r="AD1294" s="182"/>
      <c r="AE1294" s="200"/>
      <c r="AF1294" s="180"/>
      <c r="AG1294" s="201"/>
      <c r="AH1294" s="773"/>
      <c r="AI1294" s="771"/>
      <c r="AJ1294" s="771"/>
      <c r="AK1294" s="771"/>
      <c r="AL1294" s="771"/>
      <c r="AM1294" s="771"/>
      <c r="AN1294" s="770"/>
      <c r="AO1294" s="770"/>
      <c r="AP1294" s="770"/>
      <c r="AQ1294" s="772"/>
      <c r="AR1294" s="216"/>
      <c r="AS1294" s="772"/>
      <c r="AU1294" s="216"/>
      <c r="AV1294" s="772"/>
      <c r="AW1294" s="216"/>
      <c r="AX1294" s="772"/>
    </row>
    <row r="1295" spans="1:56" s="178" customFormat="1" x14ac:dyDescent="0.25">
      <c r="A1295" s="615" t="s">
        <v>6187</v>
      </c>
      <c r="B1295" s="375" t="s">
        <v>5548</v>
      </c>
      <c r="C1295" s="375" t="s">
        <v>1288</v>
      </c>
      <c r="D1295" s="375" t="s">
        <v>7227</v>
      </c>
      <c r="E1295" s="375" t="s">
        <v>6158</v>
      </c>
      <c r="F1295" s="449">
        <f t="shared" si="577"/>
        <v>23.52</v>
      </c>
      <c r="G1295" s="535">
        <f t="shared" si="578"/>
        <v>23.52</v>
      </c>
      <c r="H1295" s="500">
        <f t="shared" si="580"/>
        <v>18.82</v>
      </c>
      <c r="I1295" s="711"/>
      <c r="J1295" s="669">
        <v>42993</v>
      </c>
      <c r="K1295" s="15"/>
      <c r="L1295"/>
      <c r="M1295" s="387">
        <f t="shared" si="579"/>
        <v>23.52</v>
      </c>
      <c r="N1295" s="41">
        <v>9.75</v>
      </c>
      <c r="O1295" s="391"/>
      <c r="P1295" s="392" t="s">
        <v>2828</v>
      </c>
      <c r="Q1295" s="392"/>
      <c r="R1295" s="392">
        <v>2017</v>
      </c>
      <c r="S1295" s="392" t="s">
        <v>4180</v>
      </c>
      <c r="T1295" s="674">
        <f t="shared" si="583"/>
        <v>2.77</v>
      </c>
      <c r="U1295" s="55" t="s">
        <v>1017</v>
      </c>
      <c r="V1295"/>
      <c r="W1295" s="65"/>
      <c r="X1295" s="65"/>
      <c r="Y1295"/>
      <c r="Z1295" s="65"/>
      <c r="AA1295" t="s">
        <v>1017</v>
      </c>
      <c r="AB1295"/>
      <c r="AC1295" s="180"/>
      <c r="AD1295" s="182"/>
      <c r="AE1295" s="124" t="s">
        <v>1017</v>
      </c>
      <c r="AF1295" s="65"/>
      <c r="AG1295" s="91"/>
      <c r="AH1295" s="217" t="s">
        <v>4179</v>
      </c>
      <c r="AI1295" s="214" t="str">
        <f>IF(AND($AH1295&lt;&gt;"",AH1295 =AH1291),"Gleich","")</f>
        <v/>
      </c>
      <c r="AJ1295" s="214" t="str">
        <f>IF(AND($AH1295&lt;&gt;"",A1295 =A1291),"Gleich","")</f>
        <v/>
      </c>
      <c r="AK1295" s="214" t="str">
        <f>IF(AND($AH1295&lt;&gt;"",D1295 =D1291),"Gleich","")</f>
        <v/>
      </c>
      <c r="AL1295" s="214" t="str">
        <f>IF(AND($AH1295&lt;&gt;"",E1295 =E1291),"Gleich","")</f>
        <v>Gleich</v>
      </c>
      <c r="AM1295" s="214" t="str">
        <f>IF(AND($AH1295&lt;&gt;"",F1295 =F1291),"Gleich","")</f>
        <v/>
      </c>
      <c r="AN1295" s="213" t="str">
        <f>IF(ISERROR(SEARCH("K1",A1295)),"","20"&amp;MID(A1295,SEARCH("K1",A1295)+1,2))</f>
        <v>2017</v>
      </c>
      <c r="AO1295" s="213" t="str">
        <f>IF(ISERROR(SEARCH("erstmals 201",E1295)),"",MID(E1295,SEARCH("erstmals ",E1295)+9,4))</f>
        <v>2017</v>
      </c>
      <c r="AP1295" s="213" t="str">
        <f>IF(R1295="x","2010",IF(S1295="x","2011",IF(T1295="x","2012","")))</f>
        <v/>
      </c>
      <c r="AQ1295" s="215" t="str">
        <f>IF(OR(AH1295&lt;&gt;AN1295,AH1295&lt;&gt;AO1295,AH1295&lt;&gt;AP1295),"DIFF","")</f>
        <v>DIFF</v>
      </c>
      <c r="AR1295" s="216" t="str">
        <f>IF(A1295="","",IF(ISERROR(SEARCH("K1",A1295)),A1295,LEFT(A1295,SEARCH("K1",A1295)+1)&amp;RIGHT(AH1295,1)&amp;MID(A1295,SEARCH("K1",A1295)+3,14)))</f>
        <v>BiK82M2bK12y05</v>
      </c>
      <c r="AS1295" s="215" t="str">
        <f>IF(OR(A1295&lt;&gt;AR1295),"DIFF","")</f>
        <v>DIFF</v>
      </c>
      <c r="AT1295">
        <f>LEN(AR1295)</f>
        <v>14</v>
      </c>
      <c r="AU1295" s="216" t="str">
        <f>IF(D1295="","",IF(OR(A1295="",ISERROR(SEARCH("erstmals 201",D1295))),D1295,LEFT(D1295,SEARCH("erstmals 201",D1295)+8) &amp; AH1295 &amp; MID(D1295,SEARCH("erstmals 201",D1295)+13,255)))</f>
        <v>0,15-0,5 MW, Bonusregeln M2, y, b und K erstmals 2012</v>
      </c>
      <c r="AV1295" s="215" t="str">
        <f>IF(OR(D1295&lt;&gt;AU1295),"DIFF","")</f>
        <v>DIFF</v>
      </c>
      <c r="AW1295" s="216" t="str">
        <f>IF(E1295="","",IF(OR(E1295="",ISERROR(SEARCH("erstmals 201",E1295))),E1295,LEFT(E1295,SEARCH("erstmals 201",E1295)+8) &amp; AH1295 &amp; MID(E1295,SEARCH("erstmals 201",E1295)+13,255)))</f>
        <v>Anteil KWK, erstmals 2012</v>
      </c>
      <c r="AX1295" s="215" t="str">
        <f>IF(OR(E1295&lt;&gt;AW1295),"DIFF","")</f>
        <v>DIFF</v>
      </c>
      <c r="AY1295" t="str">
        <f>IF(AH1295="2011","x",IF(AH1295="2012","","" &amp; S1295))</f>
        <v/>
      </c>
      <c r="AZ1295" t="str">
        <f>IF(AH1295="2012","x",IF(AH1295="2011","","" &amp; T1295))</f>
        <v>x</v>
      </c>
    </row>
    <row r="1296" spans="1:56" s="774" customFormat="1" x14ac:dyDescent="0.25">
      <c r="A1296" s="615" t="s">
        <v>6486</v>
      </c>
      <c r="B1296" s="375" t="s">
        <v>5548</v>
      </c>
      <c r="C1296" s="375" t="s">
        <v>1288</v>
      </c>
      <c r="D1296" s="375" t="s">
        <v>6808</v>
      </c>
      <c r="E1296" s="375" t="s">
        <v>6158</v>
      </c>
      <c r="F1296" s="461">
        <f t="shared" si="577"/>
        <v>15.54</v>
      </c>
      <c r="G1296" s="535">
        <f t="shared" si="578"/>
        <v>15.54</v>
      </c>
      <c r="H1296" s="493">
        <f t="shared" si="580"/>
        <v>12.43</v>
      </c>
      <c r="I1296" s="711"/>
      <c r="J1296" s="669">
        <v>43585</v>
      </c>
      <c r="K1296" s="769"/>
      <c r="M1296" s="49">
        <f t="shared" si="579"/>
        <v>15.54</v>
      </c>
      <c r="N1296" s="41">
        <v>8.77</v>
      </c>
      <c r="O1296" s="391"/>
      <c r="P1296" s="392" t="s">
        <v>2828</v>
      </c>
      <c r="Q1296" s="392"/>
      <c r="R1296" s="392">
        <v>2017</v>
      </c>
      <c r="S1296" s="392"/>
      <c r="T1296" s="674">
        <f t="shared" si="583"/>
        <v>2.77</v>
      </c>
      <c r="U1296" s="776"/>
      <c r="V1296" s="775"/>
      <c r="W1296" s="774" t="s">
        <v>1017</v>
      </c>
      <c r="Y1296" s="775"/>
      <c r="Z1296" s="775"/>
      <c r="AA1296" s="775"/>
      <c r="AB1296" s="775"/>
      <c r="AC1296" s="775"/>
      <c r="AD1296" s="777"/>
      <c r="AE1296" s="200"/>
      <c r="AF1296" s="180"/>
      <c r="AG1296" s="201"/>
      <c r="AH1296" s="773"/>
      <c r="AI1296" s="771"/>
      <c r="AJ1296" s="771"/>
      <c r="AK1296" s="771"/>
      <c r="AL1296" s="771"/>
      <c r="AM1296" s="771"/>
      <c r="AN1296" s="770"/>
      <c r="AO1296" s="770"/>
      <c r="AP1296" s="770"/>
      <c r="AQ1296" s="772"/>
      <c r="AR1296" s="216"/>
      <c r="AS1296" s="772"/>
      <c r="AU1296" s="216"/>
      <c r="AV1296" s="772"/>
      <c r="AW1296" s="216"/>
      <c r="AX1296" s="772"/>
    </row>
    <row r="1297" spans="1:52" s="178" customFormat="1" x14ac:dyDescent="0.25">
      <c r="A1297" s="615" t="s">
        <v>6481</v>
      </c>
      <c r="B1297" s="375" t="s">
        <v>5548</v>
      </c>
      <c r="C1297" s="375" t="s">
        <v>1288</v>
      </c>
      <c r="D1297" s="375" t="s">
        <v>7009</v>
      </c>
      <c r="E1297" s="375" t="s">
        <v>6469</v>
      </c>
      <c r="F1297" s="449">
        <f t="shared" si="577"/>
        <v>25.410000000000004</v>
      </c>
      <c r="G1297" s="535">
        <f t="shared" si="578"/>
        <v>25.410000000000004</v>
      </c>
      <c r="H1297" s="500">
        <f t="shared" si="580"/>
        <v>20.329999999999998</v>
      </c>
      <c r="I1297" s="711"/>
      <c r="J1297" s="669">
        <v>43496</v>
      </c>
      <c r="K1297" s="769"/>
      <c r="L1297" s="774"/>
      <c r="M1297" s="49">
        <f t="shared" si="579"/>
        <v>25.410000000000004</v>
      </c>
      <c r="N1297" s="41">
        <v>11.67</v>
      </c>
      <c r="O1297" s="391"/>
      <c r="P1297" s="392" t="s">
        <v>2828</v>
      </c>
      <c r="Q1297" s="392"/>
      <c r="R1297" s="392">
        <v>2018</v>
      </c>
      <c r="S1297" s="392"/>
      <c r="T1297" s="674">
        <f>ROUND(3*0.99^9,2)</f>
        <v>2.74</v>
      </c>
      <c r="U1297" s="179"/>
      <c r="W1297" s="180"/>
      <c r="X1297" s="180"/>
      <c r="Z1297" s="178" t="s">
        <v>1017</v>
      </c>
      <c r="AA1297" s="180"/>
      <c r="AD1297" s="201"/>
      <c r="AE1297" s="200"/>
      <c r="AF1297" s="180"/>
      <c r="AG1297" s="201"/>
      <c r="AH1297" s="773" t="s">
        <v>4179</v>
      </c>
      <c r="AI1297" s="771" t="str">
        <f>IF(AND($AH1297&lt;&gt;"",AH1297 =AH1295),"Gleich","")</f>
        <v>Gleich</v>
      </c>
      <c r="AJ1297" s="771" t="str">
        <f>IF(AND($AH1297&lt;&gt;"",A1297 =A1295),"Gleich","")</f>
        <v/>
      </c>
      <c r="AK1297" s="771" t="str">
        <f>IF(AND($AH1297&lt;&gt;"",D1297 =D1295),"Gleich","")</f>
        <v/>
      </c>
      <c r="AL1297" s="771" t="str">
        <f>IF(AND($AH1297&lt;&gt;"",E1297 =E1295),"Gleich","")</f>
        <v/>
      </c>
      <c r="AM1297" s="771" t="str">
        <f>IF(AND($AH1297&lt;&gt;"",F1297 =F1295),"Gleich","")</f>
        <v/>
      </c>
      <c r="AN1297" s="770" t="str">
        <f>IF(ISERROR(SEARCH("K1",A1297)),"","20"&amp;MID(A1297,SEARCH("K1",A1297)+1,2))</f>
        <v>2018</v>
      </c>
      <c r="AO1297" s="770" t="str">
        <f>IF(ISERROR(SEARCH("erstmals 201",E1297)),"",MID(E1297,SEARCH("erstmals ",E1297)+9,4))</f>
        <v>2018</v>
      </c>
      <c r="AP1297" s="770" t="str">
        <f>IF(R1297="x","2010",IF(S1297="x","2011",IF(T1297="x","2012","")))</f>
        <v/>
      </c>
      <c r="AQ1297" s="772" t="str">
        <f>IF(OR(AH1297&lt;&gt;AN1297,AH1297&lt;&gt;AO1297,AH1297&lt;&gt;AP1297),"DIFF","")</f>
        <v>DIFF</v>
      </c>
      <c r="AR1297" s="216" t="str">
        <f>IF(A1297="","",IF(ISERROR(SEARCH("K1",A1297)),A1297,LEFT(A1297,SEARCH("K1",A1297)+1)&amp;RIGHT(AH1297,1)&amp;MID(A1297,SEARCH("K1",A1297)+3,14)))</f>
        <v>BiK81M1K12--05</v>
      </c>
      <c r="AS1297" s="772" t="str">
        <f>IF(OR(A1297&lt;&gt;AR1297),"DIFF","")</f>
        <v>DIFF</v>
      </c>
      <c r="AT1297" s="774">
        <f>LEN(AR1297)</f>
        <v>14</v>
      </c>
      <c r="AU1297" s="216" t="str">
        <f>IF(D1297="","",IF(OR(A1297="",ISERROR(SEARCH("erstmals 201",D1297))),D1297,LEFT(D1297,SEARCH("erstmals 201",D1297)+8) &amp; AH1297 &amp; MID(D1297,SEARCH("erstmals 201",D1297)+13,255)))</f>
        <v>0-0,15 MW, Bonusregeln M1, K erstmals 2012</v>
      </c>
      <c r="AV1297" s="772" t="str">
        <f>IF(OR(D1297&lt;&gt;AU1297),"DIFF","")</f>
        <v>DIFF</v>
      </c>
      <c r="AW1297" s="216" t="str">
        <f>IF(E1297="","",IF(OR(E1297="",ISERROR(SEARCH("erstmals 201",E1297))),E1297,LEFT(E1297,SEARCH("erstmals 201",E1297)+8) &amp; AH1297 &amp; MID(E1297,SEARCH("erstmals 201",E1297)+13,255)))</f>
        <v>Anteil KWK, erstmals 2012</v>
      </c>
      <c r="AX1297" s="772" t="str">
        <f>IF(OR(E1297&lt;&gt;AW1297),"DIFF","")</f>
        <v>DIFF</v>
      </c>
      <c r="AY1297" s="774" t="str">
        <f>IF(AH1297="2011","x",IF(AH1297="2012","","" &amp; S1297))</f>
        <v/>
      </c>
      <c r="AZ1297" s="774" t="str">
        <f>IF(AH1297="2012","x",IF(AH1297="2011","","" &amp; T1297))</f>
        <v>x</v>
      </c>
    </row>
    <row r="1298" spans="1:52" s="178" customFormat="1" x14ac:dyDescent="0.25">
      <c r="A1298" s="615" t="s">
        <v>6482</v>
      </c>
      <c r="B1298" s="375" t="s">
        <v>5548</v>
      </c>
      <c r="C1298" s="375" t="s">
        <v>1288</v>
      </c>
      <c r="D1298" s="375" t="s">
        <v>7228</v>
      </c>
      <c r="E1298" s="375" t="s">
        <v>6469</v>
      </c>
      <c r="F1298" s="449">
        <f t="shared" si="577"/>
        <v>20.490000000000002</v>
      </c>
      <c r="G1298" s="535">
        <f t="shared" si="578"/>
        <v>20.490000000000002</v>
      </c>
      <c r="H1298" s="500">
        <f t="shared" si="580"/>
        <v>16.39</v>
      </c>
      <c r="I1298" s="711"/>
      <c r="J1298" s="669">
        <v>43496</v>
      </c>
      <c r="K1298" s="769"/>
      <c r="L1298" s="774"/>
      <c r="M1298" s="387">
        <f t="shared" si="579"/>
        <v>20.490000000000002</v>
      </c>
      <c r="N1298" s="41">
        <v>9.75</v>
      </c>
      <c r="O1298" s="391"/>
      <c r="P1298" s="392" t="s">
        <v>2828</v>
      </c>
      <c r="Q1298" s="392"/>
      <c r="R1298" s="392">
        <v>2018</v>
      </c>
      <c r="S1298" s="392"/>
      <c r="T1298" s="674">
        <f>ROUND(3*0.99^9,2)</f>
        <v>2.74</v>
      </c>
      <c r="U1298" s="179"/>
      <c r="W1298" s="180"/>
      <c r="X1298" s="180"/>
      <c r="Z1298" s="180"/>
      <c r="AA1298" s="178" t="s">
        <v>1017</v>
      </c>
      <c r="AC1298" s="180"/>
      <c r="AD1298" s="182"/>
      <c r="AE1298" s="200"/>
      <c r="AF1298" s="180"/>
      <c r="AG1298" s="201"/>
      <c r="AH1298" s="773" t="s">
        <v>4179</v>
      </c>
      <c r="AI1298" s="771" t="str">
        <f>IF(AND($AH1298&lt;&gt;"",AH1298 =AH1291),"Gleich","")</f>
        <v/>
      </c>
      <c r="AJ1298" s="771" t="str">
        <f>IF(AND($AH1298&lt;&gt;"",A1298 =A1291),"Gleich","")</f>
        <v/>
      </c>
      <c r="AK1298" s="771" t="str">
        <f>IF(AND($AH1298&lt;&gt;"",D1298 =D1291),"Gleich","")</f>
        <v/>
      </c>
      <c r="AL1298" s="771" t="str">
        <f>IF(AND($AH1298&lt;&gt;"",E1298 =E1291),"Gleich","")</f>
        <v/>
      </c>
      <c r="AM1298" s="771" t="str">
        <f>IF(AND($AH1298&lt;&gt;"",F1298 =F1291),"Gleich","")</f>
        <v/>
      </c>
      <c r="AN1298" s="770" t="str">
        <f>IF(ISERROR(SEARCH("K1",A1298)),"","20"&amp;MID(A1298,SEARCH("K1",A1298)+1,2))</f>
        <v>2018</v>
      </c>
      <c r="AO1298" s="770" t="str">
        <f>IF(ISERROR(SEARCH("erstmals 201",E1298)),"",MID(E1298,SEARCH("erstmals ",E1298)+9,4))</f>
        <v>2018</v>
      </c>
      <c r="AP1298" s="770" t="str">
        <f>IF(R1298="x","2010",IF(S1298="x","2011",IF(T1298="x","2012","")))</f>
        <v/>
      </c>
      <c r="AQ1298" s="772" t="str">
        <f>IF(OR(AH1298&lt;&gt;AN1298,AH1298&lt;&gt;AO1298,AH1298&lt;&gt;AP1298),"DIFF","")</f>
        <v>DIFF</v>
      </c>
      <c r="AR1298" s="216" t="str">
        <f>IF(A1298="","",IF(ISERROR(SEARCH("K1",A1298)),A1298,LEFT(A1298,SEARCH("K1",A1298)+1)&amp;RIGHT(AH1298,1)&amp;MID(A1298,SEARCH("K1",A1298)+3,14)))</f>
        <v>BiK82M2K12--05</v>
      </c>
      <c r="AS1298" s="772" t="str">
        <f>IF(OR(A1298&lt;&gt;AR1298),"DIFF","")</f>
        <v>DIFF</v>
      </c>
      <c r="AT1298" s="774">
        <f>LEN(AR1298)</f>
        <v>14</v>
      </c>
      <c r="AU1298" s="216" t="str">
        <f>IF(D1298="","",IF(OR(A1298="",ISERROR(SEARCH("erstmals 201",D1298))),D1298,LEFT(D1298,SEARCH("erstmals 201",D1298)+8) &amp; AH1298 &amp; MID(D1298,SEARCH("erstmals 201",D1298)+13,255)))</f>
        <v>0,15-0,5 MW, Bonusregeln M2, K erstmals 2012</v>
      </c>
      <c r="AV1298" s="772" t="str">
        <f>IF(OR(D1298&lt;&gt;AU1298),"DIFF","")</f>
        <v>DIFF</v>
      </c>
      <c r="AW1298" s="216" t="str">
        <f>IF(E1298="","",IF(OR(E1298="",ISERROR(SEARCH("erstmals 201",E1298))),E1298,LEFT(E1298,SEARCH("erstmals 201",E1298)+8) &amp; AH1298 &amp; MID(E1298,SEARCH("erstmals 201",E1298)+13,255)))</f>
        <v>Anteil KWK, erstmals 2012</v>
      </c>
      <c r="AX1298" s="772" t="str">
        <f>IF(OR(E1298&lt;&gt;AW1298),"DIFF","")</f>
        <v>DIFF</v>
      </c>
      <c r="AY1298" s="774" t="str">
        <f>IF(AH1298="2011","x",IF(AH1298="2012","","" &amp; S1298))</f>
        <v/>
      </c>
      <c r="AZ1298" s="774" t="str">
        <f>IF(AH1298="2012","x",IF(AH1298="2011","","" &amp; T1298))</f>
        <v>x</v>
      </c>
    </row>
    <row r="1299" spans="1:52" s="774" customFormat="1" x14ac:dyDescent="0.25">
      <c r="A1299" s="615" t="s">
        <v>6483</v>
      </c>
      <c r="B1299" s="375" t="s">
        <v>5548</v>
      </c>
      <c r="C1299" s="375" t="s">
        <v>1288</v>
      </c>
      <c r="D1299" s="375" t="s">
        <v>6809</v>
      </c>
      <c r="E1299" s="375" t="s">
        <v>6469</v>
      </c>
      <c r="F1299" s="461">
        <f t="shared" si="577"/>
        <v>15.51</v>
      </c>
      <c r="G1299" s="535">
        <f t="shared" si="578"/>
        <v>15.51</v>
      </c>
      <c r="H1299" s="493">
        <f t="shared" si="580"/>
        <v>12.41</v>
      </c>
      <c r="I1299" s="711"/>
      <c r="J1299" s="669">
        <v>43496</v>
      </c>
      <c r="K1299" s="769"/>
      <c r="M1299" s="49">
        <f t="shared" si="579"/>
        <v>15.51</v>
      </c>
      <c r="N1299" s="41">
        <v>8.77</v>
      </c>
      <c r="O1299" s="391"/>
      <c r="P1299" s="392" t="s">
        <v>2828</v>
      </c>
      <c r="Q1299" s="392"/>
      <c r="R1299" s="392">
        <v>2018</v>
      </c>
      <c r="S1299" s="392"/>
      <c r="T1299" s="674">
        <f>ROUND(3*0.99^9,2)</f>
        <v>2.74</v>
      </c>
      <c r="U1299" s="776"/>
      <c r="V1299" s="775"/>
      <c r="W1299" s="774" t="s">
        <v>1017</v>
      </c>
      <c r="Y1299" s="775"/>
      <c r="Z1299" s="775"/>
      <c r="AA1299" s="775"/>
      <c r="AB1299" s="775"/>
      <c r="AC1299" s="775"/>
      <c r="AD1299" s="777"/>
      <c r="AE1299" s="778"/>
      <c r="AF1299" s="775"/>
      <c r="AG1299" s="777"/>
      <c r="AH1299" s="773" t="s">
        <v>4179</v>
      </c>
      <c r="AI1299" s="771" t="str">
        <f>IF(AND($AH1299&lt;&gt;"",AH1299 =AH1324),"Gleich","")</f>
        <v>Gleich</v>
      </c>
      <c r="AJ1299" s="771" t="str">
        <f>IF(AND($AH1299&lt;&gt;"",A1299 =A1324),"Gleich","")</f>
        <v/>
      </c>
      <c r="AK1299" s="771" t="str">
        <f>IF(AND($AH1299&lt;&gt;"",D1299 =D1324),"Gleich","")</f>
        <v/>
      </c>
      <c r="AL1299" s="771" t="str">
        <f>IF(AND($AH1299&lt;&gt;"",E1299 =E1324),"Gleich","")</f>
        <v/>
      </c>
      <c r="AM1299" s="771" t="str">
        <f>IF(AND($AH1299&lt;&gt;"",F1299 =F1324),"Gleich","")</f>
        <v/>
      </c>
      <c r="AN1299" s="770" t="str">
        <f>IF(ISERROR(SEARCH("K1",A1299)),"","20"&amp;MID(A1299,SEARCH("K1",A1299)+1,2))</f>
        <v>2018</v>
      </c>
      <c r="AO1299" s="770" t="str">
        <f>IF(ISERROR(SEARCH("erstmals 201",E1299)),"",MID(E1299,SEARCH("erstmals ",E1299)+9,4))</f>
        <v>2018</v>
      </c>
      <c r="AP1299" s="770" t="str">
        <f>IF(R1299="x","2010",IF(S1299="x","2011",IF(T1299="x","2012","")))</f>
        <v/>
      </c>
      <c r="AQ1299" s="772" t="str">
        <f>IF(OR(AH1299&lt;&gt;AN1299,AH1299&lt;&gt;AO1299,AH1299&lt;&gt;AP1299),"DIFF","")</f>
        <v>DIFF</v>
      </c>
      <c r="AR1299" s="216" t="str">
        <f>IF(A1299="","",IF(ISERROR(SEARCH("K1",A1299)),A1299,LEFT(A1299,SEARCH("K1",A1299)+1)&amp;RIGHT(AH1299,1)&amp;MID(A1299,SEARCH("K1",A1299)+3,14)))</f>
        <v>BiK83a2K12--05</v>
      </c>
      <c r="AS1299" s="772" t="str">
        <f>IF(OR(A1299&lt;&gt;AR1299),"DIFF","")</f>
        <v>DIFF</v>
      </c>
      <c r="AT1299" s="774">
        <f>LEN(AR1299)</f>
        <v>14</v>
      </c>
      <c r="AU1299" s="216" t="str">
        <f>IF(D1299="","",IF(OR(A1299="",ISERROR(SEARCH("erstmals 201",D1299))),D1299,LEFT(D1299,SEARCH("erstmals 201",D1299)+8) &amp; AH1299 &amp; MID(D1299,SEARCH("erstmals 201",D1299)+13,255)))</f>
        <v>0,5-5 MW, Bonusregeln a2 und K erstmals 2012</v>
      </c>
      <c r="AV1299" s="772" t="str">
        <f>IF(OR(D1299&lt;&gt;AU1299),"DIFF","")</f>
        <v>DIFF</v>
      </c>
      <c r="AW1299" s="216" t="str">
        <f>IF(E1299="","",IF(OR(E1299="",ISERROR(SEARCH("erstmals 201",E1299))),E1299,LEFT(E1299,SEARCH("erstmals 201",E1299)+8) &amp; AH1299 &amp; MID(E1299,SEARCH("erstmals 201",E1299)+13,255)))</f>
        <v>Anteil KWK, erstmals 2012</v>
      </c>
      <c r="AX1299" s="772" t="str">
        <f>IF(OR(E1299&lt;&gt;AW1299),"DIFF","")</f>
        <v>DIFF</v>
      </c>
      <c r="AY1299" s="774" t="str">
        <f>IF(AH1299="2011","x",IF(AH1299="2012","","" &amp; S1299))</f>
        <v/>
      </c>
      <c r="AZ1299" s="774" t="str">
        <f>IF(AH1299="2012","x",IF(AH1299="2011","","" &amp; T1299))</f>
        <v>x</v>
      </c>
    </row>
    <row r="1300" spans="1:52" s="774" customFormat="1" x14ac:dyDescent="0.25">
      <c r="A1300" s="615" t="s">
        <v>7500</v>
      </c>
      <c r="B1300" s="375" t="s">
        <v>5548</v>
      </c>
      <c r="C1300" s="375" t="s">
        <v>1288</v>
      </c>
      <c r="D1300" s="375" t="s">
        <v>7506</v>
      </c>
      <c r="E1300" s="375" t="s">
        <v>6615</v>
      </c>
      <c r="F1300" s="461">
        <f t="shared" si="577"/>
        <v>25.360000000000003</v>
      </c>
      <c r="G1300" s="535">
        <f t="shared" si="578"/>
        <v>25.360000000000003</v>
      </c>
      <c r="H1300" s="493">
        <f t="shared" si="580"/>
        <v>20.29</v>
      </c>
      <c r="I1300" s="461"/>
      <c r="J1300" s="669">
        <v>44260</v>
      </c>
      <c r="K1300" s="769"/>
      <c r="M1300" s="49">
        <f t="shared" si="579"/>
        <v>25.360000000000003</v>
      </c>
      <c r="N1300" s="41">
        <v>11.67</v>
      </c>
      <c r="O1300" s="391"/>
      <c r="P1300" s="392" t="s">
        <v>2828</v>
      </c>
      <c r="Q1300" s="392"/>
      <c r="R1300" s="392">
        <v>2020</v>
      </c>
      <c r="S1300" s="392" t="s">
        <v>4180</v>
      </c>
      <c r="T1300" s="674">
        <f>ROUND(3*0.99^11,2)</f>
        <v>2.69</v>
      </c>
      <c r="U1300" s="179"/>
      <c r="V1300" s="178"/>
      <c r="W1300" s="180"/>
      <c r="X1300" s="180"/>
      <c r="Y1300" s="178"/>
      <c r="Z1300" s="178"/>
      <c r="AA1300" s="180"/>
      <c r="AB1300" s="178" t="s">
        <v>1017</v>
      </c>
      <c r="AC1300" s="178"/>
      <c r="AD1300" s="201"/>
      <c r="AE1300" s="181" t="s">
        <v>1017</v>
      </c>
      <c r="AF1300" s="180"/>
      <c r="AG1300" s="201"/>
      <c r="AH1300" s="773"/>
      <c r="AI1300" s="771"/>
      <c r="AJ1300" s="771"/>
      <c r="AK1300" s="771"/>
      <c r="AL1300" s="771"/>
      <c r="AM1300" s="771"/>
      <c r="AN1300" s="770"/>
      <c r="AO1300" s="770"/>
      <c r="AP1300" s="770"/>
      <c r="AQ1300" s="772"/>
      <c r="AR1300" s="216"/>
      <c r="AS1300" s="772"/>
      <c r="AU1300" s="216"/>
      <c r="AV1300" s="772"/>
      <c r="AW1300" s="216"/>
      <c r="AX1300" s="772"/>
    </row>
    <row r="1301" spans="1:52" s="774" customFormat="1" x14ac:dyDescent="0.25">
      <c r="A1301" s="615" t="s">
        <v>7501</v>
      </c>
      <c r="B1301" s="375" t="s">
        <v>5548</v>
      </c>
      <c r="C1301" s="375" t="s">
        <v>1288</v>
      </c>
      <c r="D1301" s="375" t="s">
        <v>7505</v>
      </c>
      <c r="E1301" s="375" t="s">
        <v>6615</v>
      </c>
      <c r="F1301" s="461">
        <f t="shared" si="577"/>
        <v>26.360000000000003</v>
      </c>
      <c r="G1301" s="535">
        <f t="shared" si="578"/>
        <v>26.360000000000003</v>
      </c>
      <c r="H1301" s="493">
        <f t="shared" si="580"/>
        <v>21.09</v>
      </c>
      <c r="I1301" s="461"/>
      <c r="J1301" s="669">
        <v>44260</v>
      </c>
      <c r="K1301" s="769"/>
      <c r="M1301" s="49">
        <f t="shared" si="579"/>
        <v>26.360000000000003</v>
      </c>
      <c r="N1301" s="41">
        <v>11.67</v>
      </c>
      <c r="O1301" s="391"/>
      <c r="P1301" s="392" t="s">
        <v>2828</v>
      </c>
      <c r="Q1301" s="392"/>
      <c r="R1301" s="392">
        <v>2020</v>
      </c>
      <c r="S1301" s="392" t="s">
        <v>4180</v>
      </c>
      <c r="T1301" s="674">
        <f>ROUND(3*0.99^11,2)</f>
        <v>2.69</v>
      </c>
      <c r="U1301" s="185" t="s">
        <v>1017</v>
      </c>
      <c r="V1301" s="184"/>
      <c r="W1301" s="180"/>
      <c r="X1301" s="180"/>
      <c r="Y1301" s="178"/>
      <c r="Z1301" s="178"/>
      <c r="AA1301" s="180"/>
      <c r="AB1301" s="184" t="s">
        <v>1017</v>
      </c>
      <c r="AC1301" s="184"/>
      <c r="AD1301" s="201"/>
      <c r="AE1301" s="181" t="s">
        <v>1017</v>
      </c>
      <c r="AF1301" s="180"/>
      <c r="AG1301" s="201"/>
      <c r="AH1301" s="773"/>
      <c r="AI1301" s="771"/>
      <c r="AJ1301" s="771"/>
      <c r="AK1301" s="771"/>
      <c r="AL1301" s="771"/>
      <c r="AM1301" s="771"/>
      <c r="AN1301" s="770"/>
      <c r="AO1301" s="770"/>
      <c r="AP1301" s="770"/>
      <c r="AQ1301" s="772"/>
      <c r="AR1301" s="216"/>
      <c r="AS1301" s="772"/>
      <c r="AU1301" s="216"/>
      <c r="AV1301" s="772"/>
      <c r="AW1301" s="216"/>
      <c r="AX1301" s="772"/>
    </row>
    <row r="1302" spans="1:52" s="774" customFormat="1" x14ac:dyDescent="0.25">
      <c r="A1302" s="615" t="s">
        <v>7502</v>
      </c>
      <c r="B1302" s="375" t="s">
        <v>5548</v>
      </c>
      <c r="C1302" s="375" t="s">
        <v>1288</v>
      </c>
      <c r="D1302" s="375" t="s">
        <v>7507</v>
      </c>
      <c r="E1302" s="375" t="s">
        <v>6615</v>
      </c>
      <c r="F1302" s="461">
        <f t="shared" si="577"/>
        <v>23.44</v>
      </c>
      <c r="G1302" s="535">
        <f t="shared" si="578"/>
        <v>23.44</v>
      </c>
      <c r="H1302" s="493">
        <f t="shared" si="580"/>
        <v>18.75</v>
      </c>
      <c r="I1302" s="461"/>
      <c r="J1302" s="669">
        <v>44260</v>
      </c>
      <c r="K1302" s="769"/>
      <c r="M1302" s="49">
        <f t="shared" si="579"/>
        <v>23.44</v>
      </c>
      <c r="N1302" s="41">
        <v>9.75</v>
      </c>
      <c r="O1302" s="391"/>
      <c r="P1302" s="392" t="s">
        <v>2828</v>
      </c>
      <c r="Q1302" s="392"/>
      <c r="R1302" s="392">
        <v>2020</v>
      </c>
      <c r="S1302" s="392" t="s">
        <v>4180</v>
      </c>
      <c r="T1302" s="674">
        <f>ROUND(3*0.99^11,2)</f>
        <v>2.69</v>
      </c>
      <c r="U1302" s="179"/>
      <c r="V1302" s="178"/>
      <c r="W1302" s="180"/>
      <c r="X1302" s="180"/>
      <c r="Y1302" s="178"/>
      <c r="Z1302" s="180"/>
      <c r="AA1302" s="184"/>
      <c r="AB1302" s="178" t="s">
        <v>1017</v>
      </c>
      <c r="AC1302" s="180"/>
      <c r="AD1302" s="182"/>
      <c r="AE1302" s="181" t="s">
        <v>1017</v>
      </c>
      <c r="AF1302" s="180"/>
      <c r="AG1302" s="201"/>
      <c r="AH1302" s="773"/>
      <c r="AI1302" s="771"/>
      <c r="AJ1302" s="771"/>
      <c r="AK1302" s="771"/>
      <c r="AL1302" s="771"/>
      <c r="AM1302" s="771"/>
      <c r="AN1302" s="770"/>
      <c r="AO1302" s="770"/>
      <c r="AP1302" s="770"/>
      <c r="AQ1302" s="772"/>
      <c r="AR1302" s="216"/>
      <c r="AS1302" s="772"/>
      <c r="AU1302" s="216"/>
      <c r="AV1302" s="772"/>
      <c r="AW1302" s="216"/>
      <c r="AX1302" s="772"/>
    </row>
    <row r="1303" spans="1:52" s="774" customFormat="1" x14ac:dyDescent="0.25">
      <c r="A1303" s="615" t="s">
        <v>7503</v>
      </c>
      <c r="B1303" s="375" t="s">
        <v>5548</v>
      </c>
      <c r="C1303" s="375" t="s">
        <v>1288</v>
      </c>
      <c r="D1303" s="375" t="s">
        <v>7508</v>
      </c>
      <c r="E1303" s="375" t="s">
        <v>6615</v>
      </c>
      <c r="F1303" s="461">
        <f t="shared" si="577"/>
        <v>24.44</v>
      </c>
      <c r="G1303" s="535">
        <f t="shared" si="578"/>
        <v>24.44</v>
      </c>
      <c r="H1303" s="493">
        <f t="shared" si="580"/>
        <v>19.55</v>
      </c>
      <c r="I1303" s="461"/>
      <c r="J1303" s="669">
        <v>44260</v>
      </c>
      <c r="K1303" s="769"/>
      <c r="M1303" s="49">
        <f t="shared" si="579"/>
        <v>24.44</v>
      </c>
      <c r="N1303" s="41">
        <v>9.75</v>
      </c>
      <c r="O1303" s="391"/>
      <c r="P1303" s="392" t="s">
        <v>2828</v>
      </c>
      <c r="Q1303" s="392"/>
      <c r="R1303" s="392">
        <v>2020</v>
      </c>
      <c r="S1303" s="392" t="s">
        <v>4180</v>
      </c>
      <c r="T1303" s="674">
        <f>ROUND(3*0.99^11,2)</f>
        <v>2.69</v>
      </c>
      <c r="U1303" s="185" t="s">
        <v>1017</v>
      </c>
      <c r="V1303" s="184"/>
      <c r="W1303" s="180"/>
      <c r="X1303" s="180"/>
      <c r="Y1303" s="178"/>
      <c r="Z1303" s="180"/>
      <c r="AA1303" s="184"/>
      <c r="AB1303" s="184" t="s">
        <v>1017</v>
      </c>
      <c r="AC1303" s="180"/>
      <c r="AD1303" s="182"/>
      <c r="AE1303" s="181" t="s">
        <v>1017</v>
      </c>
      <c r="AF1303" s="180"/>
      <c r="AG1303" s="201"/>
      <c r="AH1303" s="773"/>
      <c r="AI1303" s="771"/>
      <c r="AJ1303" s="771"/>
      <c r="AK1303" s="771"/>
      <c r="AL1303" s="771"/>
      <c r="AM1303" s="771"/>
      <c r="AN1303" s="770"/>
      <c r="AO1303" s="770"/>
      <c r="AP1303" s="770"/>
      <c r="AQ1303" s="772"/>
      <c r="AR1303" s="216"/>
      <c r="AS1303" s="772"/>
      <c r="AU1303" s="216"/>
      <c r="AV1303" s="772"/>
      <c r="AW1303" s="216"/>
      <c r="AX1303" s="772"/>
    </row>
    <row r="1304" spans="1:52" s="774" customFormat="1" x14ac:dyDescent="0.25">
      <c r="A1304" s="615" t="s">
        <v>7504</v>
      </c>
      <c r="B1304" s="375" t="s">
        <v>5548</v>
      </c>
      <c r="C1304" s="375" t="s">
        <v>1288</v>
      </c>
      <c r="D1304" s="375" t="s">
        <v>7509</v>
      </c>
      <c r="E1304" s="375" t="s">
        <v>6615</v>
      </c>
      <c r="F1304" s="461">
        <f t="shared" si="577"/>
        <v>17.46</v>
      </c>
      <c r="G1304" s="535">
        <f t="shared" si="578"/>
        <v>17.46</v>
      </c>
      <c r="H1304" s="493">
        <f t="shared" si="580"/>
        <v>13.97</v>
      </c>
      <c r="I1304" s="461"/>
      <c r="J1304" s="669">
        <v>44260</v>
      </c>
      <c r="K1304" s="769"/>
      <c r="M1304" s="49">
        <f t="shared" si="579"/>
        <v>17.46</v>
      </c>
      <c r="N1304" s="41">
        <v>8.77</v>
      </c>
      <c r="O1304" s="391"/>
      <c r="P1304" s="392" t="s">
        <v>2828</v>
      </c>
      <c r="Q1304" s="392"/>
      <c r="R1304" s="392">
        <v>2020</v>
      </c>
      <c r="S1304" s="392" t="s">
        <v>4180</v>
      </c>
      <c r="T1304" s="674">
        <f>ROUND(3*0.99^11,2)</f>
        <v>2.69</v>
      </c>
      <c r="U1304" s="776"/>
      <c r="V1304" s="775"/>
      <c r="W1304" s="774" t="s">
        <v>1017</v>
      </c>
      <c r="Y1304" s="775"/>
      <c r="Z1304" s="775"/>
      <c r="AA1304" s="775"/>
      <c r="AB1304" s="775"/>
      <c r="AC1304" s="775"/>
      <c r="AD1304" s="777"/>
      <c r="AE1304" s="778" t="s">
        <v>1017</v>
      </c>
      <c r="AF1304" s="775"/>
      <c r="AG1304" s="777"/>
      <c r="AH1304" s="773"/>
      <c r="AI1304" s="771"/>
      <c r="AJ1304" s="771"/>
      <c r="AK1304" s="771"/>
      <c r="AL1304" s="771"/>
      <c r="AM1304" s="771"/>
      <c r="AN1304" s="770"/>
      <c r="AO1304" s="770"/>
      <c r="AP1304" s="770"/>
      <c r="AQ1304" s="772"/>
      <c r="AR1304" s="216"/>
      <c r="AS1304" s="772"/>
      <c r="AU1304" s="216"/>
      <c r="AV1304" s="772"/>
      <c r="AW1304" s="216"/>
      <c r="AX1304" s="772"/>
    </row>
    <row r="1305" spans="1:52" s="178" customFormat="1" x14ac:dyDescent="0.25">
      <c r="A1305" s="609" t="s">
        <v>4180</v>
      </c>
      <c r="B1305" s="1"/>
      <c r="C1305" s="1"/>
      <c r="D1305" s="1" t="s">
        <v>4180</v>
      </c>
      <c r="E1305" s="1" t="s">
        <v>4180</v>
      </c>
      <c r="F1305" s="457"/>
      <c r="G1305" s="533"/>
      <c r="H1305" s="491" t="str">
        <f t="shared" si="580"/>
        <v/>
      </c>
      <c r="I1305" s="710"/>
      <c r="J1305" s="669" t="s">
        <v>4180</v>
      </c>
      <c r="K1305" s="15"/>
      <c r="L1305"/>
      <c r="M1305"/>
      <c r="N1305"/>
      <c r="O1305" s="124"/>
      <c r="P1305"/>
      <c r="Q1305"/>
      <c r="R1305"/>
      <c r="S1305" t="s">
        <v>4180</v>
      </c>
      <c r="T1305" s="178" t="s">
        <v>4180</v>
      </c>
      <c r="U1305" s="55"/>
      <c r="V1305"/>
      <c r="W1305"/>
      <c r="X1305"/>
      <c r="Y1305"/>
      <c r="Z1305"/>
      <c r="AA1305"/>
      <c r="AB1305"/>
      <c r="AC1305"/>
      <c r="AD1305" s="92"/>
      <c r="AE1305" s="124"/>
      <c r="AF1305"/>
      <c r="AG1305"/>
      <c r="AH1305" s="212" t="str">
        <f t="shared" ref="AH1305:AH1316" si="584">IF(ISERROR(SEARCH("K erstmals 201",D1305)),"",RIGHT(D1305,4))</f>
        <v/>
      </c>
      <c r="AI1305" s="214" t="str">
        <f>IF(AND($AH1305&lt;&gt;"",AH1305 =AH1278),"Gleich","")</f>
        <v/>
      </c>
      <c r="AJ1305" s="214" t="str">
        <f>IF(AND($AH1305&lt;&gt;"",A1305 =A1278),"Gleich","")</f>
        <v/>
      </c>
      <c r="AK1305" s="214" t="str">
        <f>IF(AND($AH1305&lt;&gt;"",D1305 =D1278),"Gleich","")</f>
        <v/>
      </c>
      <c r="AL1305" s="214" t="str">
        <f>IF(AND($AH1305&lt;&gt;"",E1305 =E1278),"Gleich","")</f>
        <v/>
      </c>
      <c r="AM1305" s="214" t="str">
        <f>IF(AND($AH1305&lt;&gt;"",F1305 =F1278),"Gleich","")</f>
        <v/>
      </c>
      <c r="AN1305" s="213" t="str">
        <f t="shared" ref="AN1305:AN1368" si="585">IF(ISERROR(SEARCH("K1",A1305)),"","20"&amp;MID(A1305,SEARCH("K1",A1305)+1,2))</f>
        <v/>
      </c>
      <c r="AO1305" s="213" t="str">
        <f t="shared" ref="AO1305:AO1368" si="586">IF(ISERROR(SEARCH("erstmals 201",E1305)),"",MID(E1305,SEARCH("erstmals ",E1305)+9,4))</f>
        <v/>
      </c>
      <c r="AP1305" s="213" t="str">
        <f t="shared" ref="AP1305:AP1368" si="587">IF(R1305="x","2010",IF(S1305="x","2011",IF(T1305="x","2012","")))</f>
        <v/>
      </c>
      <c r="AQ1305" s="215" t="str">
        <f t="shared" ref="AQ1305:AQ1368" si="588">IF(OR(AH1305&lt;&gt;AN1305,AH1305&lt;&gt;AO1305,AH1305&lt;&gt;AP1305),"DIFF","")</f>
        <v/>
      </c>
      <c r="AR1305" s="216" t="str">
        <f t="shared" ref="AR1305:AR1368" si="589">IF(A1305="","",IF(ISERROR(SEARCH("K1",A1305)),A1305,LEFT(A1305,SEARCH("K1",A1305)+1)&amp;RIGHT(AH1305,1)&amp;MID(A1305,SEARCH("K1",A1305)+3,14)))</f>
        <v/>
      </c>
      <c r="AS1305" s="215" t="str">
        <f t="shared" ref="AS1305:AS1368" si="590">IF(OR(A1305&lt;&gt;AR1305),"DIFF","")</f>
        <v/>
      </c>
      <c r="AT1305">
        <f t="shared" ref="AT1305:AT1368" si="591">LEN(AR1305)</f>
        <v>0</v>
      </c>
      <c r="AU1305" s="216" t="str">
        <f t="shared" ref="AU1305:AU1368" si="592">IF(D1305="","",IF(OR(A1305="",ISERROR(SEARCH("erstmals 201",D1305))),D1305,LEFT(D1305,SEARCH("erstmals 201",D1305)+8) &amp; AH1305 &amp; MID(D1305,SEARCH("erstmals 201",D1305)+13,255)))</f>
        <v/>
      </c>
      <c r="AV1305" s="215" t="str">
        <f t="shared" ref="AV1305:AV1368" si="593">IF(OR(D1305&lt;&gt;AU1305),"DIFF","")</f>
        <v/>
      </c>
      <c r="AW1305" s="216" t="str">
        <f t="shared" ref="AW1305:AW1368" si="594">IF(E1305="","",IF(OR(E1305="",ISERROR(SEARCH("erstmals 201",E1305))),E1305,LEFT(E1305,SEARCH("erstmals 201",E1305)+8) &amp; AH1305 &amp; MID(E1305,SEARCH("erstmals 201",E1305)+13,255)))</f>
        <v/>
      </c>
      <c r="AX1305" s="215" t="str">
        <f t="shared" ref="AX1305:AX1368" si="595">IF(OR(E1305&lt;&gt;AW1305),"DIFF","")</f>
        <v/>
      </c>
      <c r="AY1305" t="str">
        <f t="shared" ref="AY1305:AY1368" si="596">IF(AH1305="2011","x",IF(AH1305="2012","","" &amp; S1305))</f>
        <v/>
      </c>
      <c r="AZ1305" t="str">
        <f t="shared" ref="AZ1305:AZ1368" si="597">IF(AH1305="2012","x",IF(AH1305="2011","","" &amp; T1305))</f>
        <v/>
      </c>
    </row>
    <row r="1306" spans="1:52" ht="15.75" x14ac:dyDescent="0.25">
      <c r="A1306" s="609" t="s">
        <v>4180</v>
      </c>
      <c r="B1306" s="1"/>
      <c r="C1306" s="1"/>
      <c r="D1306" s="2" t="s">
        <v>4180</v>
      </c>
      <c r="E1306" s="1" t="s">
        <v>4180</v>
      </c>
      <c r="F1306" s="457"/>
      <c r="G1306" s="532"/>
      <c r="H1306" s="490"/>
      <c r="I1306" s="709"/>
      <c r="J1306" s="669" t="s">
        <v>4180</v>
      </c>
      <c r="K1306" s="15"/>
      <c r="M1306" s="68" t="s">
        <v>2241</v>
      </c>
      <c r="N1306" s="39"/>
      <c r="O1306" s="61"/>
      <c r="P1306" s="29"/>
      <c r="U1306" s="55"/>
      <c r="AD1306" s="92"/>
      <c r="AE1306" s="124"/>
      <c r="AG1306" s="92"/>
      <c r="AH1306" s="212" t="str">
        <f t="shared" si="584"/>
        <v/>
      </c>
      <c r="AI1306" s="214" t="str">
        <f>IF(AND($AH1306&lt;&gt;"",AH1306 =AH1281),"Gleich","")</f>
        <v/>
      </c>
      <c r="AJ1306" s="214" t="str">
        <f>IF(AND($AH1306&lt;&gt;"",A1306 =A1281),"Gleich","")</f>
        <v/>
      </c>
      <c r="AK1306" s="214" t="str">
        <f>IF(AND($AH1306&lt;&gt;"",D1306 =D1281),"Gleich","")</f>
        <v/>
      </c>
      <c r="AL1306" s="214" t="str">
        <f>IF(AND($AH1306&lt;&gt;"",E1306 =E1281),"Gleich","")</f>
        <v/>
      </c>
      <c r="AM1306" s="214" t="str">
        <f>IF(AND($AH1306&lt;&gt;"",F1306 =F1281),"Gleich","")</f>
        <v/>
      </c>
      <c r="AN1306" s="213" t="str">
        <f t="shared" si="585"/>
        <v/>
      </c>
      <c r="AO1306" s="213" t="str">
        <f t="shared" si="586"/>
        <v/>
      </c>
      <c r="AP1306" s="213" t="str">
        <f t="shared" si="587"/>
        <v/>
      </c>
      <c r="AQ1306" s="215" t="str">
        <f t="shared" si="588"/>
        <v/>
      </c>
      <c r="AR1306" s="216" t="str">
        <f t="shared" si="589"/>
        <v/>
      </c>
      <c r="AS1306" s="215" t="str">
        <f t="shared" si="590"/>
        <v/>
      </c>
      <c r="AT1306">
        <f t="shared" si="591"/>
        <v>0</v>
      </c>
      <c r="AU1306" s="216" t="str">
        <f t="shared" si="592"/>
        <v/>
      </c>
      <c r="AV1306" s="215" t="str">
        <f t="shared" si="593"/>
        <v/>
      </c>
      <c r="AW1306" s="216" t="str">
        <f t="shared" si="594"/>
        <v/>
      </c>
      <c r="AX1306" s="215" t="str">
        <f t="shared" si="595"/>
        <v/>
      </c>
      <c r="AY1306" t="str">
        <f t="shared" si="596"/>
        <v/>
      </c>
      <c r="AZ1306" t="str">
        <f t="shared" si="597"/>
        <v/>
      </c>
    </row>
    <row r="1307" spans="1:52" x14ac:dyDescent="0.25">
      <c r="A1307" s="609" t="s">
        <v>4180</v>
      </c>
      <c r="B1307" s="1"/>
      <c r="C1307" s="1"/>
      <c r="D1307" s="2" t="s">
        <v>4180</v>
      </c>
      <c r="E1307" s="1" t="s">
        <v>4180</v>
      </c>
      <c r="F1307" s="457"/>
      <c r="G1307" s="532"/>
      <c r="H1307" s="490"/>
      <c r="I1307" s="709"/>
      <c r="J1307" s="669" t="s">
        <v>4180</v>
      </c>
      <c r="K1307" s="15"/>
      <c r="N1307" s="35"/>
      <c r="O1307" s="43" t="s">
        <v>2659</v>
      </c>
      <c r="P1307" s="29"/>
      <c r="Q1307" s="12">
        <v>2009</v>
      </c>
      <c r="R1307" s="12">
        <v>2010</v>
      </c>
      <c r="S1307" s="12">
        <v>2011</v>
      </c>
      <c r="T1307" s="12">
        <v>2012</v>
      </c>
      <c r="U1307" s="55"/>
      <c r="V1307" s="35" t="s">
        <v>778</v>
      </c>
      <c r="AD1307" s="92"/>
      <c r="AE1307" s="43" t="s">
        <v>827</v>
      </c>
      <c r="AG1307" s="92"/>
      <c r="AH1307" s="212" t="str">
        <f t="shared" si="584"/>
        <v/>
      </c>
      <c r="AI1307" s="214" t="str">
        <f t="shared" ref="AI1307:AI1370" si="598">IF(AND($AH1307&lt;&gt;"",AH1307 =AH1306),"Gleich","")</f>
        <v/>
      </c>
      <c r="AJ1307" s="214" t="str">
        <f t="shared" ref="AJ1307:AJ1370" si="599">IF(AND($AH1307&lt;&gt;"",A1307 =A1306),"Gleich","")</f>
        <v/>
      </c>
      <c r="AK1307" s="214" t="str">
        <f t="shared" ref="AK1307:AK1370" si="600">IF(AND($AH1307&lt;&gt;"",D1307 =D1306),"Gleich","")</f>
        <v/>
      </c>
      <c r="AL1307" s="214" t="str">
        <f t="shared" ref="AL1307:AL1370" si="601">IF(AND($AH1307&lt;&gt;"",E1307 =E1306),"Gleich","")</f>
        <v/>
      </c>
      <c r="AM1307" s="214" t="str">
        <f t="shared" ref="AM1307:AM1370" si="602">IF(AND($AH1307&lt;&gt;"",F1307 =F1306),"Gleich","")</f>
        <v/>
      </c>
      <c r="AN1307" s="213" t="str">
        <f t="shared" si="585"/>
        <v/>
      </c>
      <c r="AO1307" s="213" t="str">
        <f t="shared" si="586"/>
        <v/>
      </c>
      <c r="AP1307" s="213" t="str">
        <f t="shared" si="587"/>
        <v/>
      </c>
      <c r="AQ1307" s="215" t="str">
        <f t="shared" si="588"/>
        <v/>
      </c>
      <c r="AR1307" s="216" t="str">
        <f t="shared" si="589"/>
        <v/>
      </c>
      <c r="AS1307" s="215" t="str">
        <f t="shared" si="590"/>
        <v/>
      </c>
      <c r="AT1307">
        <f t="shared" si="591"/>
        <v>0</v>
      </c>
      <c r="AU1307" s="216" t="str">
        <f t="shared" si="592"/>
        <v/>
      </c>
      <c r="AV1307" s="215" t="str">
        <f t="shared" si="593"/>
        <v/>
      </c>
      <c r="AW1307" s="216" t="str">
        <f t="shared" si="594"/>
        <v/>
      </c>
      <c r="AX1307" s="215" t="str">
        <f t="shared" si="595"/>
        <v/>
      </c>
      <c r="AY1307" t="str">
        <f t="shared" si="596"/>
        <v>2011</v>
      </c>
      <c r="AZ1307" t="str">
        <f t="shared" si="597"/>
        <v>2012</v>
      </c>
    </row>
    <row r="1308" spans="1:52" ht="90.75" x14ac:dyDescent="0.25">
      <c r="A1308" s="609" t="s">
        <v>4180</v>
      </c>
      <c r="B1308" s="1"/>
      <c r="C1308" s="1"/>
      <c r="D1308" s="2" t="s">
        <v>4180</v>
      </c>
      <c r="E1308" s="1" t="s">
        <v>4180</v>
      </c>
      <c r="F1308" s="457"/>
      <c r="G1308" s="532"/>
      <c r="H1308" s="490"/>
      <c r="I1308" s="709"/>
      <c r="J1308" s="669" t="s">
        <v>4180</v>
      </c>
      <c r="K1308" s="15"/>
      <c r="M1308" s="48" t="s">
        <v>2914</v>
      </c>
      <c r="N1308" s="42" t="s">
        <v>2913</v>
      </c>
      <c r="O1308" s="44" t="s">
        <v>825</v>
      </c>
      <c r="P1308" s="42" t="s">
        <v>3008</v>
      </c>
      <c r="Q1308" s="42" t="s">
        <v>1013</v>
      </c>
      <c r="R1308" s="42" t="s">
        <v>1264</v>
      </c>
      <c r="S1308" s="42" t="s">
        <v>1482</v>
      </c>
      <c r="T1308" s="42" t="s">
        <v>4161</v>
      </c>
      <c r="U1308" s="80" t="s">
        <v>771</v>
      </c>
      <c r="V1308" s="42" t="s">
        <v>1021</v>
      </c>
      <c r="W1308" s="42" t="s">
        <v>1029</v>
      </c>
      <c r="X1308" s="42" t="s">
        <v>786</v>
      </c>
      <c r="Y1308" s="79" t="s">
        <v>4884</v>
      </c>
      <c r="Z1308" s="79" t="s">
        <v>5520</v>
      </c>
      <c r="AA1308" s="79" t="s">
        <v>5521</v>
      </c>
      <c r="AB1308" s="79" t="s">
        <v>5522</v>
      </c>
      <c r="AC1308" s="79" t="s">
        <v>4853</v>
      </c>
      <c r="AD1308" s="79" t="s">
        <v>770</v>
      </c>
      <c r="AE1308" s="44" t="s">
        <v>824</v>
      </c>
      <c r="AF1308" s="63"/>
      <c r="AG1308" s="63"/>
      <c r="AH1308" s="212" t="str">
        <f t="shared" si="584"/>
        <v/>
      </c>
      <c r="AI1308" s="214" t="str">
        <f t="shared" si="598"/>
        <v/>
      </c>
      <c r="AJ1308" s="214" t="str">
        <f t="shared" si="599"/>
        <v/>
      </c>
      <c r="AK1308" s="214" t="str">
        <f t="shared" si="600"/>
        <v/>
      </c>
      <c r="AL1308" s="214" t="str">
        <f t="shared" si="601"/>
        <v/>
      </c>
      <c r="AM1308" s="214" t="str">
        <f t="shared" si="602"/>
        <v/>
      </c>
      <c r="AN1308" s="213" t="str">
        <f t="shared" si="585"/>
        <v/>
      </c>
      <c r="AO1308" s="213" t="str">
        <f t="shared" si="586"/>
        <v/>
      </c>
      <c r="AP1308" s="213" t="str">
        <f t="shared" si="587"/>
        <v/>
      </c>
      <c r="AQ1308" s="215" t="str">
        <f t="shared" si="588"/>
        <v/>
      </c>
      <c r="AR1308" s="216" t="str">
        <f t="shared" si="589"/>
        <v/>
      </c>
      <c r="AS1308" s="215" t="str">
        <f t="shared" si="590"/>
        <v/>
      </c>
      <c r="AT1308">
        <f t="shared" si="591"/>
        <v>0</v>
      </c>
      <c r="AU1308" s="216" t="str">
        <f t="shared" si="592"/>
        <v/>
      </c>
      <c r="AV1308" s="215" t="str">
        <f t="shared" si="593"/>
        <v/>
      </c>
      <c r="AW1308" s="216" t="str">
        <f t="shared" si="594"/>
        <v/>
      </c>
      <c r="AX1308" s="215" t="str">
        <f t="shared" si="595"/>
        <v/>
      </c>
      <c r="AY1308" t="str">
        <f t="shared" si="596"/>
        <v>erstmals KWK in 2011</v>
      </c>
      <c r="AZ1308" t="str">
        <f t="shared" si="597"/>
        <v>erstmals KWK in 2012</v>
      </c>
    </row>
    <row r="1309" spans="1:52" ht="34.5" x14ac:dyDescent="0.25">
      <c r="A1309" s="609" t="s">
        <v>4180</v>
      </c>
      <c r="B1309" s="1"/>
      <c r="C1309" s="1"/>
      <c r="D1309" s="2" t="s">
        <v>4180</v>
      </c>
      <c r="E1309" s="1" t="s">
        <v>4180</v>
      </c>
      <c r="F1309" s="457"/>
      <c r="G1309" s="532"/>
      <c r="H1309" s="490"/>
      <c r="I1309" s="709"/>
      <c r="J1309" s="669" t="s">
        <v>4180</v>
      </c>
      <c r="K1309" s="15"/>
      <c r="M1309" s="46"/>
      <c r="N1309" s="42"/>
      <c r="O1309" s="44" t="s">
        <v>1014</v>
      </c>
      <c r="P1309" s="42" t="s">
        <v>1015</v>
      </c>
      <c r="Q1309" s="42" t="s">
        <v>1016</v>
      </c>
      <c r="R1309" s="42" t="s">
        <v>1265</v>
      </c>
      <c r="S1309" s="42" t="s">
        <v>3490</v>
      </c>
      <c r="T1309" s="118" t="s">
        <v>4162</v>
      </c>
      <c r="U1309" s="56" t="s">
        <v>1018</v>
      </c>
      <c r="V1309" s="42" t="s">
        <v>1019</v>
      </c>
      <c r="W1309" s="42" t="s">
        <v>1020</v>
      </c>
      <c r="X1309" s="42" t="s">
        <v>4069</v>
      </c>
      <c r="Y1309" s="42" t="s">
        <v>1023</v>
      </c>
      <c r="Z1309" s="42" t="s">
        <v>1024</v>
      </c>
      <c r="AA1309" s="42" t="s">
        <v>1025</v>
      </c>
      <c r="AB1309" s="42" t="s">
        <v>1026</v>
      </c>
      <c r="AC1309" s="42" t="s">
        <v>1028</v>
      </c>
      <c r="AD1309" s="42" t="s">
        <v>1027</v>
      </c>
      <c r="AE1309" s="44" t="s">
        <v>826</v>
      </c>
      <c r="AF1309" s="63"/>
      <c r="AG1309" s="63"/>
      <c r="AH1309" s="212" t="str">
        <f t="shared" si="584"/>
        <v/>
      </c>
      <c r="AI1309" s="214" t="str">
        <f t="shared" si="598"/>
        <v/>
      </c>
      <c r="AJ1309" s="214" t="str">
        <f t="shared" si="599"/>
        <v/>
      </c>
      <c r="AK1309" s="214" t="str">
        <f t="shared" si="600"/>
        <v/>
      </c>
      <c r="AL1309" s="214" t="str">
        <f t="shared" si="601"/>
        <v/>
      </c>
      <c r="AM1309" s="214" t="str">
        <f t="shared" si="602"/>
        <v/>
      </c>
      <c r="AN1309" s="213" t="str">
        <f t="shared" si="585"/>
        <v/>
      </c>
      <c r="AO1309" s="213" t="str">
        <f t="shared" si="586"/>
        <v/>
      </c>
      <c r="AP1309" s="213" t="str">
        <f t="shared" si="587"/>
        <v/>
      </c>
      <c r="AQ1309" s="215" t="str">
        <f t="shared" si="588"/>
        <v/>
      </c>
      <c r="AR1309" s="216" t="str">
        <f t="shared" si="589"/>
        <v/>
      </c>
      <c r="AS1309" s="215" t="str">
        <f t="shared" si="590"/>
        <v/>
      </c>
      <c r="AT1309">
        <f t="shared" si="591"/>
        <v>0</v>
      </c>
      <c r="AU1309" s="216" t="str">
        <f t="shared" si="592"/>
        <v/>
      </c>
      <c r="AV1309" s="215" t="str">
        <f t="shared" si="593"/>
        <v/>
      </c>
      <c r="AW1309" s="216" t="str">
        <f t="shared" si="594"/>
        <v/>
      </c>
      <c r="AX1309" s="215" t="str">
        <f t="shared" si="595"/>
        <v/>
      </c>
      <c r="AY1309" t="str">
        <f t="shared" si="596"/>
        <v>"K11"</v>
      </c>
      <c r="AZ1309" t="str">
        <f t="shared" si="597"/>
        <v>"K12"</v>
      </c>
    </row>
    <row r="1310" spans="1:52" x14ac:dyDescent="0.25">
      <c r="A1310" s="609" t="s">
        <v>4180</v>
      </c>
      <c r="B1310" s="1"/>
      <c r="C1310" s="1"/>
      <c r="D1310" s="2" t="s">
        <v>4180</v>
      </c>
      <c r="E1310" s="1" t="s">
        <v>4180</v>
      </c>
      <c r="F1310" s="457"/>
      <c r="G1310" s="532"/>
      <c r="H1310" s="490"/>
      <c r="I1310" s="709"/>
      <c r="J1310" s="669" t="s">
        <v>4180</v>
      </c>
      <c r="K1310" s="15"/>
      <c r="M1310" s="92"/>
      <c r="N1310" s="41"/>
      <c r="O1310" s="93">
        <v>2</v>
      </c>
      <c r="P1310" s="41">
        <v>3</v>
      </c>
      <c r="Q1310" s="41">
        <v>3</v>
      </c>
      <c r="R1310" s="41">
        <f>ROUND($Q1310*0.99^(R1307-$Q1307),2)</f>
        <v>2.97</v>
      </c>
      <c r="S1310" s="41">
        <f>ROUND($Q1310*0.99^(S1307-$Q1307),2)</f>
        <v>2.94</v>
      </c>
      <c r="T1310" s="41">
        <f>ROUND($Q1310*0.99^(T1307-$Q1307),2)</f>
        <v>2.91</v>
      </c>
      <c r="U1310" s="198">
        <v>1</v>
      </c>
      <c r="V1310" s="41">
        <v>6</v>
      </c>
      <c r="W1310" s="41">
        <v>4</v>
      </c>
      <c r="X1310" s="41">
        <v>2.5</v>
      </c>
      <c r="Y1310" s="41">
        <v>7</v>
      </c>
      <c r="Z1310" s="41">
        <v>11</v>
      </c>
      <c r="AA1310" s="41">
        <v>8</v>
      </c>
      <c r="AB1310" s="41">
        <v>9</v>
      </c>
      <c r="AC1310" s="41">
        <v>13</v>
      </c>
      <c r="AD1310" s="41">
        <v>10</v>
      </c>
      <c r="AE1310" s="93">
        <v>2</v>
      </c>
      <c r="AF1310" s="202"/>
      <c r="AG1310" s="202"/>
      <c r="AH1310" s="212" t="str">
        <f t="shared" si="584"/>
        <v/>
      </c>
      <c r="AI1310" s="214" t="str">
        <f t="shared" si="598"/>
        <v/>
      </c>
      <c r="AJ1310" s="214" t="str">
        <f t="shared" si="599"/>
        <v/>
      </c>
      <c r="AK1310" s="214" t="str">
        <f t="shared" si="600"/>
        <v/>
      </c>
      <c r="AL1310" s="214" t="str">
        <f t="shared" si="601"/>
        <v/>
      </c>
      <c r="AM1310" s="214" t="str">
        <f t="shared" si="602"/>
        <v/>
      </c>
      <c r="AN1310" s="213" t="str">
        <f t="shared" si="585"/>
        <v/>
      </c>
      <c r="AO1310" s="213" t="str">
        <f t="shared" si="586"/>
        <v/>
      </c>
      <c r="AP1310" s="213" t="str">
        <f t="shared" si="587"/>
        <v/>
      </c>
      <c r="AQ1310" s="215" t="str">
        <f t="shared" si="588"/>
        <v/>
      </c>
      <c r="AR1310" s="216" t="str">
        <f t="shared" si="589"/>
        <v/>
      </c>
      <c r="AS1310" s="215" t="str">
        <f t="shared" si="590"/>
        <v/>
      </c>
      <c r="AT1310">
        <f t="shared" si="591"/>
        <v>0</v>
      </c>
      <c r="AU1310" s="216" t="str">
        <f t="shared" si="592"/>
        <v/>
      </c>
      <c r="AV1310" s="215" t="str">
        <f t="shared" si="593"/>
        <v/>
      </c>
      <c r="AW1310" s="216" t="str">
        <f t="shared" si="594"/>
        <v/>
      </c>
      <c r="AX1310" s="215" t="str">
        <f t="shared" si="595"/>
        <v/>
      </c>
      <c r="AY1310" t="str">
        <f t="shared" si="596"/>
        <v>2,94</v>
      </c>
      <c r="AZ1310" t="str">
        <f t="shared" si="597"/>
        <v>2,91</v>
      </c>
    </row>
    <row r="1311" spans="1:52" x14ac:dyDescent="0.25">
      <c r="A1311" s="618" t="s">
        <v>874</v>
      </c>
      <c r="B1311" s="31" t="s">
        <v>5548</v>
      </c>
      <c r="C1311" s="31" t="s">
        <v>1296</v>
      </c>
      <c r="D1311" s="31" t="s">
        <v>1780</v>
      </c>
      <c r="E1311" s="31" t="s">
        <v>4810</v>
      </c>
      <c r="F1311" s="460">
        <f t="shared" ref="F1311:F1374" si="603">M1311</f>
        <v>11.67</v>
      </c>
      <c r="G1311" s="536">
        <v>11.67</v>
      </c>
      <c r="H1311" s="494">
        <f t="shared" ref="H1311:H1374" si="604">IF(ISNUMBER(G1311),ROUND(0.8*G1311,2),"")</f>
        <v>9.34</v>
      </c>
      <c r="I1311" s="713"/>
      <c r="J1311" s="669" t="s">
        <v>5805</v>
      </c>
      <c r="K1311" s="15"/>
      <c r="M1311" s="49">
        <f t="shared" ref="M1311:M1374" si="605">N1311+SUMIF(O1311:AG1311,"x",O$1310:AG$1310)</f>
        <v>11.67</v>
      </c>
      <c r="N1311" s="41">
        <v>11.67</v>
      </c>
      <c r="O1311" s="54"/>
      <c r="P1311" s="15"/>
      <c r="T1311" t="s">
        <v>4180</v>
      </c>
      <c r="U1311" s="55"/>
      <c r="W1311" s="65"/>
      <c r="X1311" s="65"/>
      <c r="AA1311" s="65"/>
      <c r="AD1311" s="91"/>
      <c r="AE1311" s="124"/>
      <c r="AF1311" s="65"/>
      <c r="AG1311" s="91"/>
      <c r="AH1311" s="212" t="str">
        <f t="shared" si="584"/>
        <v/>
      </c>
      <c r="AI1311" s="214" t="str">
        <f t="shared" si="598"/>
        <v/>
      </c>
      <c r="AJ1311" s="214" t="str">
        <f t="shared" si="599"/>
        <v/>
      </c>
      <c r="AK1311" s="214" t="str">
        <f t="shared" si="600"/>
        <v/>
      </c>
      <c r="AL1311" s="214" t="str">
        <f t="shared" si="601"/>
        <v/>
      </c>
      <c r="AM1311" s="214" t="str">
        <f t="shared" si="602"/>
        <v/>
      </c>
      <c r="AN1311" s="213" t="str">
        <f t="shared" si="585"/>
        <v/>
      </c>
      <c r="AO1311" s="213" t="str">
        <f t="shared" si="586"/>
        <v/>
      </c>
      <c r="AP1311" s="213" t="str">
        <f t="shared" si="587"/>
        <v/>
      </c>
      <c r="AQ1311" s="215" t="str">
        <f t="shared" si="588"/>
        <v/>
      </c>
      <c r="AR1311" s="216" t="str">
        <f t="shared" si="589"/>
        <v>BiK81-------06</v>
      </c>
      <c r="AS1311" s="215" t="str">
        <f t="shared" si="590"/>
        <v/>
      </c>
      <c r="AT1311">
        <f t="shared" si="591"/>
        <v>14</v>
      </c>
      <c r="AU1311" s="216" t="str">
        <f t="shared" si="592"/>
        <v>0-0,15 MW</v>
      </c>
      <c r="AV1311" s="215" t="str">
        <f t="shared" si="593"/>
        <v/>
      </c>
      <c r="AW1311" s="216" t="str">
        <f t="shared" si="594"/>
        <v>Anteil Nicht-KWK</v>
      </c>
      <c r="AX1311" s="215" t="str">
        <f t="shared" si="595"/>
        <v/>
      </c>
      <c r="AY1311" t="str">
        <f t="shared" si="596"/>
        <v/>
      </c>
      <c r="AZ1311" t="str">
        <f t="shared" si="597"/>
        <v/>
      </c>
    </row>
    <row r="1312" spans="1:52" x14ac:dyDescent="0.25">
      <c r="A1312" s="618" t="s">
        <v>875</v>
      </c>
      <c r="B1312" s="31" t="s">
        <v>5548</v>
      </c>
      <c r="C1312" s="31" t="s">
        <v>1296</v>
      </c>
      <c r="D1312" s="32" t="s">
        <v>6868</v>
      </c>
      <c r="E1312" s="31" t="s">
        <v>4812</v>
      </c>
      <c r="F1312" s="460">
        <f t="shared" si="603"/>
        <v>13.67</v>
      </c>
      <c r="G1312" s="536">
        <v>13.67</v>
      </c>
      <c r="H1312" s="494">
        <f t="shared" si="604"/>
        <v>10.94</v>
      </c>
      <c r="I1312" s="713"/>
      <c r="J1312" s="669" t="s">
        <v>5805</v>
      </c>
      <c r="K1312" s="15"/>
      <c r="M1312" s="49">
        <f t="shared" si="605"/>
        <v>13.67</v>
      </c>
      <c r="N1312" s="41">
        <v>11.67</v>
      </c>
      <c r="O1312" s="54" t="s">
        <v>1017</v>
      </c>
      <c r="P1312" s="15"/>
      <c r="S1312" t="s">
        <v>4180</v>
      </c>
      <c r="T1312" t="s">
        <v>4180</v>
      </c>
      <c r="U1312" s="55"/>
      <c r="W1312" s="65"/>
      <c r="X1312" s="65"/>
      <c r="AA1312" s="65"/>
      <c r="AD1312" s="91"/>
      <c r="AE1312" s="124"/>
      <c r="AF1312" s="65"/>
      <c r="AG1312" s="91"/>
      <c r="AH1312" s="212" t="str">
        <f t="shared" si="584"/>
        <v/>
      </c>
      <c r="AI1312" s="214" t="str">
        <f t="shared" si="598"/>
        <v/>
      </c>
      <c r="AJ1312" s="214" t="str">
        <f t="shared" si="599"/>
        <v/>
      </c>
      <c r="AK1312" s="214" t="str">
        <f t="shared" si="600"/>
        <v/>
      </c>
      <c r="AL1312" s="214" t="str">
        <f t="shared" si="601"/>
        <v/>
      </c>
      <c r="AM1312" s="214" t="str">
        <f t="shared" si="602"/>
        <v/>
      </c>
      <c r="AN1312" s="213" t="str">
        <f t="shared" si="585"/>
        <v/>
      </c>
      <c r="AO1312" s="213" t="str">
        <f t="shared" si="586"/>
        <v/>
      </c>
      <c r="AP1312" s="213" t="str">
        <f t="shared" si="587"/>
        <v/>
      </c>
      <c r="AQ1312" s="215" t="str">
        <f t="shared" si="588"/>
        <v/>
      </c>
      <c r="AR1312" s="216" t="str">
        <f t="shared" si="589"/>
        <v>BiK81KWK----06</v>
      </c>
      <c r="AS1312" s="215" t="str">
        <f t="shared" si="590"/>
        <v/>
      </c>
      <c r="AT1312">
        <f t="shared" si="591"/>
        <v>14</v>
      </c>
      <c r="AU1312" s="216" t="str">
        <f t="shared" si="592"/>
        <v>0-0,15 MW, Bonusregel KWK</v>
      </c>
      <c r="AV1312" s="215" t="str">
        <f t="shared" si="593"/>
        <v/>
      </c>
      <c r="AW1312" s="216" t="str">
        <f t="shared" si="594"/>
        <v>Anteil KWK</v>
      </c>
      <c r="AX1312" s="215" t="str">
        <f t="shared" si="595"/>
        <v/>
      </c>
      <c r="AY1312" t="str">
        <f t="shared" si="596"/>
        <v/>
      </c>
      <c r="AZ1312" t="str">
        <f t="shared" si="597"/>
        <v/>
      </c>
    </row>
    <row r="1313" spans="1:52" x14ac:dyDescent="0.25">
      <c r="A1313" s="610" t="s">
        <v>4350</v>
      </c>
      <c r="B1313" s="17" t="s">
        <v>5548</v>
      </c>
      <c r="C1313" s="30" t="s">
        <v>1296</v>
      </c>
      <c r="D1313" s="30" t="s">
        <v>6869</v>
      </c>
      <c r="E1313" s="30" t="s">
        <v>4331</v>
      </c>
      <c r="F1313" s="454">
        <f t="shared" si="603"/>
        <v>14.67</v>
      </c>
      <c r="G1313" s="529">
        <v>14.67</v>
      </c>
      <c r="H1313" s="487">
        <f t="shared" si="604"/>
        <v>11.74</v>
      </c>
      <c r="I1313" s="706"/>
      <c r="J1313" s="669" t="s">
        <v>5805</v>
      </c>
      <c r="K1313" s="15"/>
      <c r="M1313" s="49">
        <f t="shared" si="605"/>
        <v>14.67</v>
      </c>
      <c r="N1313" s="41">
        <v>11.67</v>
      </c>
      <c r="O1313" s="54"/>
      <c r="P1313" t="s">
        <v>1017</v>
      </c>
      <c r="S1313" t="s">
        <v>4180</v>
      </c>
      <c r="T1313" t="s">
        <v>4180</v>
      </c>
      <c r="U1313" s="55"/>
      <c r="W1313" s="65"/>
      <c r="X1313" s="65"/>
      <c r="AA1313" s="65"/>
      <c r="AD1313" s="91"/>
      <c r="AE1313" s="124"/>
      <c r="AF1313" s="65"/>
      <c r="AG1313" s="91"/>
      <c r="AH1313" s="212" t="str">
        <f t="shared" si="584"/>
        <v/>
      </c>
      <c r="AI1313" s="214" t="str">
        <f t="shared" si="598"/>
        <v/>
      </c>
      <c r="AJ1313" s="214" t="str">
        <f t="shared" si="599"/>
        <v/>
      </c>
      <c r="AK1313" s="214" t="str">
        <f t="shared" si="600"/>
        <v/>
      </c>
      <c r="AL1313" s="214" t="str">
        <f t="shared" si="601"/>
        <v/>
      </c>
      <c r="AM1313" s="214" t="str">
        <f t="shared" si="602"/>
        <v/>
      </c>
      <c r="AN1313" s="213" t="str">
        <f t="shared" si="585"/>
        <v/>
      </c>
      <c r="AO1313" s="213" t="str">
        <f t="shared" si="586"/>
        <v/>
      </c>
      <c r="AP1313" s="213" t="str">
        <f t="shared" si="587"/>
        <v/>
      </c>
      <c r="AQ1313" s="215" t="str">
        <f t="shared" si="588"/>
        <v/>
      </c>
      <c r="AR1313" s="216" t="str">
        <f t="shared" si="589"/>
        <v>BiK81KA3----06</v>
      </c>
      <c r="AS1313" s="215" t="str">
        <f t="shared" si="590"/>
        <v/>
      </c>
      <c r="AT1313">
        <f t="shared" si="591"/>
        <v>14</v>
      </c>
      <c r="AU1313" s="216" t="str">
        <f t="shared" si="592"/>
        <v>0-0,15 MW, Bonusregel K wenn Anlage 3 erfüllt</v>
      </c>
      <c r="AV1313" s="215" t="str">
        <f t="shared" si="593"/>
        <v/>
      </c>
      <c r="AW1313" s="216" t="str">
        <f t="shared" si="594"/>
        <v>Anteil KWK gemäß Anlage 3</v>
      </c>
      <c r="AX1313" s="215" t="str">
        <f t="shared" si="595"/>
        <v/>
      </c>
      <c r="AY1313" t="str">
        <f t="shared" si="596"/>
        <v/>
      </c>
      <c r="AZ1313" t="str">
        <f t="shared" si="597"/>
        <v/>
      </c>
    </row>
    <row r="1314" spans="1:52" x14ac:dyDescent="0.25">
      <c r="A1314" s="610" t="s">
        <v>2359</v>
      </c>
      <c r="B1314" s="17" t="s">
        <v>5548</v>
      </c>
      <c r="C1314" s="17" t="s">
        <v>1296</v>
      </c>
      <c r="D1314" s="30" t="s">
        <v>6870</v>
      </c>
      <c r="E1314" s="17" t="s">
        <v>674</v>
      </c>
      <c r="F1314" s="454">
        <f t="shared" si="603"/>
        <v>14.67</v>
      </c>
      <c r="G1314" s="529">
        <v>14.67</v>
      </c>
      <c r="H1314" s="487">
        <f t="shared" si="604"/>
        <v>11.74</v>
      </c>
      <c r="I1314" s="706"/>
      <c r="J1314" s="669" t="s">
        <v>5805</v>
      </c>
      <c r="K1314" s="15"/>
      <c r="M1314" s="49">
        <f t="shared" si="605"/>
        <v>14.67</v>
      </c>
      <c r="N1314" s="41">
        <v>11.67</v>
      </c>
      <c r="O1314" s="54"/>
      <c r="P1314" s="15"/>
      <c r="Q1314" t="s">
        <v>1017</v>
      </c>
      <c r="S1314" t="s">
        <v>4180</v>
      </c>
      <c r="T1314" t="s">
        <v>4180</v>
      </c>
      <c r="U1314" s="55"/>
      <c r="W1314" s="65"/>
      <c r="X1314" s="65"/>
      <c r="AA1314" s="65"/>
      <c r="AD1314" s="91"/>
      <c r="AE1314" s="124"/>
      <c r="AF1314" s="65"/>
      <c r="AG1314" s="91"/>
      <c r="AH1314" s="212" t="str">
        <f t="shared" si="584"/>
        <v/>
      </c>
      <c r="AI1314" s="214" t="str">
        <f t="shared" si="598"/>
        <v/>
      </c>
      <c r="AJ1314" s="214" t="str">
        <f t="shared" si="599"/>
        <v/>
      </c>
      <c r="AK1314" s="214" t="str">
        <f t="shared" si="600"/>
        <v/>
      </c>
      <c r="AL1314" s="214" t="str">
        <f t="shared" si="601"/>
        <v/>
      </c>
      <c r="AM1314" s="214" t="str">
        <f t="shared" si="602"/>
        <v/>
      </c>
      <c r="AN1314" s="213" t="str">
        <f t="shared" si="585"/>
        <v/>
      </c>
      <c r="AO1314" s="213" t="str">
        <f t="shared" si="586"/>
        <v/>
      </c>
      <c r="AP1314" s="213" t="str">
        <f t="shared" si="587"/>
        <v/>
      </c>
      <c r="AQ1314" s="215" t="str">
        <f t="shared" si="588"/>
        <v/>
      </c>
      <c r="AR1314" s="216" t="str">
        <f t="shared" si="589"/>
        <v>BiK81K09----06</v>
      </c>
      <c r="AS1314" s="215" t="str">
        <f t="shared" si="590"/>
        <v/>
      </c>
      <c r="AT1314">
        <f t="shared" si="591"/>
        <v>14</v>
      </c>
      <c r="AU1314" s="216" t="str">
        <f t="shared" si="592"/>
        <v>0-0,15 MW, Bonusregel K erstmals 2009</v>
      </c>
      <c r="AV1314" s="215" t="str">
        <f t="shared" si="593"/>
        <v/>
      </c>
      <c r="AW1314" s="216" t="str">
        <f t="shared" si="594"/>
        <v>Anteil KWK, erstmals 2009</v>
      </c>
      <c r="AX1314" s="215" t="str">
        <f t="shared" si="595"/>
        <v/>
      </c>
      <c r="AY1314" t="str">
        <f t="shared" si="596"/>
        <v/>
      </c>
      <c r="AZ1314" t="str">
        <f t="shared" si="597"/>
        <v/>
      </c>
    </row>
    <row r="1315" spans="1:52" x14ac:dyDescent="0.25">
      <c r="A1315" s="610" t="s">
        <v>4885</v>
      </c>
      <c r="B1315" s="17" t="s">
        <v>5548</v>
      </c>
      <c r="C1315" s="17" t="s">
        <v>1296</v>
      </c>
      <c r="D1315" s="30" t="s">
        <v>6871</v>
      </c>
      <c r="E1315" s="30" t="s">
        <v>3567</v>
      </c>
      <c r="F1315" s="454">
        <f t="shared" si="603"/>
        <v>14.64</v>
      </c>
      <c r="G1315" s="529">
        <v>14.64</v>
      </c>
      <c r="H1315" s="487">
        <f t="shared" si="604"/>
        <v>11.71</v>
      </c>
      <c r="I1315" s="706"/>
      <c r="J1315" s="669" t="s">
        <v>5805</v>
      </c>
      <c r="K1315" s="15"/>
      <c r="M1315" s="49">
        <f t="shared" si="605"/>
        <v>14.64</v>
      </c>
      <c r="N1315" s="41">
        <v>11.67</v>
      </c>
      <c r="O1315" s="54"/>
      <c r="P1315" s="15"/>
      <c r="R1315" t="s">
        <v>1017</v>
      </c>
      <c r="S1315" t="s">
        <v>4180</v>
      </c>
      <c r="T1315" t="s">
        <v>4180</v>
      </c>
      <c r="U1315" s="55"/>
      <c r="W1315" s="65"/>
      <c r="X1315" s="65"/>
      <c r="AA1315" s="65"/>
      <c r="AD1315" s="91"/>
      <c r="AE1315" s="124"/>
      <c r="AF1315" s="65"/>
      <c r="AG1315" s="91"/>
      <c r="AH1315" s="212" t="str">
        <f t="shared" si="584"/>
        <v>2010</v>
      </c>
      <c r="AI1315" s="214" t="str">
        <f t="shared" si="598"/>
        <v/>
      </c>
      <c r="AJ1315" s="214" t="str">
        <f t="shared" si="599"/>
        <v/>
      </c>
      <c r="AK1315" s="214" t="str">
        <f t="shared" si="600"/>
        <v/>
      </c>
      <c r="AL1315" s="214" t="str">
        <f t="shared" si="601"/>
        <v/>
      </c>
      <c r="AM1315" s="214" t="str">
        <f t="shared" si="602"/>
        <v/>
      </c>
      <c r="AN1315" s="213" t="str">
        <f t="shared" si="585"/>
        <v>2010</v>
      </c>
      <c r="AO1315" s="213" t="str">
        <f t="shared" si="586"/>
        <v>2010</v>
      </c>
      <c r="AP1315" s="213" t="str">
        <f t="shared" si="587"/>
        <v>2010</v>
      </c>
      <c r="AQ1315" s="215" t="str">
        <f t="shared" si="588"/>
        <v/>
      </c>
      <c r="AR1315" s="216" t="str">
        <f t="shared" si="589"/>
        <v>BiK81K10----06</v>
      </c>
      <c r="AS1315" s="215" t="str">
        <f t="shared" si="590"/>
        <v/>
      </c>
      <c r="AT1315">
        <f t="shared" si="591"/>
        <v>14</v>
      </c>
      <c r="AU1315" s="216" t="str">
        <f t="shared" si="592"/>
        <v>0-0,15 MW, Bonusregel K erstmals 2010</v>
      </c>
      <c r="AV1315" s="215" t="str">
        <f t="shared" si="593"/>
        <v/>
      </c>
      <c r="AW1315" s="216" t="str">
        <f t="shared" si="594"/>
        <v>Anteil KWK, erstmals 2010</v>
      </c>
      <c r="AX1315" s="215" t="str">
        <f t="shared" si="595"/>
        <v/>
      </c>
      <c r="AY1315" t="str">
        <f t="shared" si="596"/>
        <v/>
      </c>
      <c r="AZ1315" t="str">
        <f t="shared" si="597"/>
        <v/>
      </c>
    </row>
    <row r="1316" spans="1:52" x14ac:dyDescent="0.25">
      <c r="A1316" s="610" t="s">
        <v>5354</v>
      </c>
      <c r="B1316" s="17" t="s">
        <v>5548</v>
      </c>
      <c r="C1316" s="17" t="s">
        <v>1296</v>
      </c>
      <c r="D1316" s="30" t="s">
        <v>6872</v>
      </c>
      <c r="E1316" s="30" t="s">
        <v>3055</v>
      </c>
      <c r="F1316" s="454">
        <f t="shared" si="603"/>
        <v>14.61</v>
      </c>
      <c r="G1316" s="529">
        <v>14.61</v>
      </c>
      <c r="H1316" s="487">
        <f t="shared" si="604"/>
        <v>11.69</v>
      </c>
      <c r="I1316" s="706"/>
      <c r="J1316" s="669" t="s">
        <v>5805</v>
      </c>
      <c r="K1316" s="15"/>
      <c r="M1316" s="49">
        <f t="shared" si="605"/>
        <v>14.61</v>
      </c>
      <c r="N1316" s="41">
        <v>11.67</v>
      </c>
      <c r="O1316" s="54"/>
      <c r="P1316" s="15"/>
      <c r="S1316" t="s">
        <v>1017</v>
      </c>
      <c r="T1316" t="s">
        <v>4180</v>
      </c>
      <c r="U1316" s="55"/>
      <c r="W1316" s="65"/>
      <c r="X1316" s="65"/>
      <c r="AA1316" s="65"/>
      <c r="AD1316" s="91"/>
      <c r="AE1316" s="124"/>
      <c r="AF1316" s="65"/>
      <c r="AG1316" s="91"/>
      <c r="AH1316" s="212" t="str">
        <f t="shared" si="584"/>
        <v>2011</v>
      </c>
      <c r="AI1316" s="214" t="str">
        <f t="shared" si="598"/>
        <v/>
      </c>
      <c r="AJ1316" s="214" t="str">
        <f t="shared" si="599"/>
        <v/>
      </c>
      <c r="AK1316" s="214" t="str">
        <f t="shared" si="600"/>
        <v/>
      </c>
      <c r="AL1316" s="214" t="str">
        <f t="shared" si="601"/>
        <v/>
      </c>
      <c r="AM1316" s="214" t="str">
        <f t="shared" si="602"/>
        <v/>
      </c>
      <c r="AN1316" s="213" t="str">
        <f t="shared" si="585"/>
        <v>2011</v>
      </c>
      <c r="AO1316" s="213" t="str">
        <f t="shared" si="586"/>
        <v>2011</v>
      </c>
      <c r="AP1316" s="213" t="str">
        <f t="shared" si="587"/>
        <v>2011</v>
      </c>
      <c r="AQ1316" s="215" t="str">
        <f t="shared" si="588"/>
        <v/>
      </c>
      <c r="AR1316" s="216" t="str">
        <f t="shared" si="589"/>
        <v>BiK81K11----06</v>
      </c>
      <c r="AS1316" s="215" t="str">
        <f t="shared" si="590"/>
        <v/>
      </c>
      <c r="AT1316">
        <f t="shared" si="591"/>
        <v>14</v>
      </c>
      <c r="AU1316" s="216" t="str">
        <f t="shared" si="592"/>
        <v>0-0,15 MW, Bonusregel K erstmals 2011</v>
      </c>
      <c r="AV1316" s="215" t="str">
        <f t="shared" si="593"/>
        <v/>
      </c>
      <c r="AW1316" s="216" t="str">
        <f t="shared" si="594"/>
        <v>Anteil KWK, erstmals 2011</v>
      </c>
      <c r="AX1316" s="215" t="str">
        <f t="shared" si="595"/>
        <v/>
      </c>
      <c r="AY1316" t="str">
        <f t="shared" si="596"/>
        <v>x</v>
      </c>
      <c r="AZ1316" t="str">
        <f t="shared" si="597"/>
        <v/>
      </c>
    </row>
    <row r="1317" spans="1:52" x14ac:dyDescent="0.25">
      <c r="A1317" s="625" t="s">
        <v>1604</v>
      </c>
      <c r="B1317" s="221" t="s">
        <v>5548</v>
      </c>
      <c r="C1317" s="221" t="s">
        <v>1296</v>
      </c>
      <c r="D1317" s="219" t="s">
        <v>6873</v>
      </c>
      <c r="E1317" s="219" t="s">
        <v>1980</v>
      </c>
      <c r="F1317" s="455">
        <f t="shared" si="603"/>
        <v>14.58</v>
      </c>
      <c r="G1317" s="530">
        <v>14.58</v>
      </c>
      <c r="H1317" s="488">
        <f t="shared" si="604"/>
        <v>11.66</v>
      </c>
      <c r="I1317" s="707"/>
      <c r="J1317" s="669" t="s">
        <v>5805</v>
      </c>
      <c r="K1317" s="15"/>
      <c r="M1317" s="49">
        <f t="shared" si="605"/>
        <v>14.58</v>
      </c>
      <c r="N1317" s="41">
        <v>11.67</v>
      </c>
      <c r="O1317" s="54"/>
      <c r="P1317" s="15"/>
      <c r="S1317" t="s">
        <v>4180</v>
      </c>
      <c r="T1317" t="s">
        <v>1017</v>
      </c>
      <c r="U1317" s="55"/>
      <c r="W1317" s="65"/>
      <c r="X1317" s="65"/>
      <c r="AA1317" s="65"/>
      <c r="AD1317" s="91"/>
      <c r="AE1317" s="124"/>
      <c r="AF1317" s="65"/>
      <c r="AG1317" s="91"/>
      <c r="AH1317" s="217" t="s">
        <v>4179</v>
      </c>
      <c r="AI1317" s="214" t="str">
        <f t="shared" si="598"/>
        <v/>
      </c>
      <c r="AJ1317" s="214" t="str">
        <f t="shared" si="599"/>
        <v/>
      </c>
      <c r="AK1317" s="214" t="str">
        <f t="shared" si="600"/>
        <v/>
      </c>
      <c r="AL1317" s="214" t="str">
        <f t="shared" si="601"/>
        <v/>
      </c>
      <c r="AM1317" s="214" t="str">
        <f t="shared" si="602"/>
        <v/>
      </c>
      <c r="AN1317" s="213" t="str">
        <f t="shared" si="585"/>
        <v>2012</v>
      </c>
      <c r="AO1317" s="213" t="str">
        <f t="shared" si="586"/>
        <v>2012</v>
      </c>
      <c r="AP1317" s="213" t="str">
        <f t="shared" si="587"/>
        <v>2012</v>
      </c>
      <c r="AQ1317" s="215" t="str">
        <f t="shared" si="588"/>
        <v/>
      </c>
      <c r="AR1317" s="216" t="str">
        <f t="shared" si="589"/>
        <v>BiK81K12----06</v>
      </c>
      <c r="AS1317" s="215" t="str">
        <f t="shared" si="590"/>
        <v/>
      </c>
      <c r="AT1317">
        <f t="shared" si="591"/>
        <v>14</v>
      </c>
      <c r="AU1317" s="216" t="str">
        <f t="shared" si="592"/>
        <v>0-0,15 MW, Bonusregel K erstmals 2012</v>
      </c>
      <c r="AV1317" s="215" t="str">
        <f t="shared" si="593"/>
        <v/>
      </c>
      <c r="AW1317" s="216" t="str">
        <f t="shared" si="594"/>
        <v>Anteil KWK, erstmals 2012</v>
      </c>
      <c r="AX1317" s="215" t="str">
        <f t="shared" si="595"/>
        <v/>
      </c>
      <c r="AY1317" t="str">
        <f t="shared" si="596"/>
        <v/>
      </c>
      <c r="AZ1317" t="str">
        <f t="shared" si="597"/>
        <v>x</v>
      </c>
    </row>
    <row r="1318" spans="1:52" x14ac:dyDescent="0.25">
      <c r="A1318" s="610" t="s">
        <v>4019</v>
      </c>
      <c r="B1318" s="17" t="s">
        <v>5548</v>
      </c>
      <c r="C1318" s="17" t="s">
        <v>1296</v>
      </c>
      <c r="D1318" s="21" t="s">
        <v>6874</v>
      </c>
      <c r="E1318" s="17" t="s">
        <v>4810</v>
      </c>
      <c r="F1318" s="454">
        <f t="shared" si="603"/>
        <v>12.67</v>
      </c>
      <c r="G1318" s="529">
        <v>12.67</v>
      </c>
      <c r="H1318" s="487">
        <f t="shared" si="604"/>
        <v>10.14</v>
      </c>
      <c r="I1318" s="706"/>
      <c r="J1318" s="669" t="s">
        <v>5805</v>
      </c>
      <c r="K1318" s="15"/>
      <c r="M1318" s="49">
        <f t="shared" si="605"/>
        <v>12.67</v>
      </c>
      <c r="N1318" s="41">
        <v>11.67</v>
      </c>
      <c r="O1318" s="54"/>
      <c r="P1318" s="15"/>
      <c r="S1318" t="s">
        <v>4180</v>
      </c>
      <c r="T1318" t="s">
        <v>4180</v>
      </c>
      <c r="U1318" s="55" t="s">
        <v>1017</v>
      </c>
      <c r="W1318" s="65"/>
      <c r="X1318" s="65"/>
      <c r="AA1318" s="65"/>
      <c r="AD1318" s="91"/>
      <c r="AE1318" s="124"/>
      <c r="AF1318" s="65"/>
      <c r="AG1318" s="91"/>
      <c r="AH1318" s="212" t="str">
        <f t="shared" ref="AH1318:AH1323" si="606">IF(ISERROR(SEARCH("K erstmals 201",D1318)),"",RIGHT(D1318,4))</f>
        <v/>
      </c>
      <c r="AI1318" s="214" t="str">
        <f t="shared" si="598"/>
        <v/>
      </c>
      <c r="AJ1318" s="214" t="str">
        <f t="shared" si="599"/>
        <v/>
      </c>
      <c r="AK1318" s="214" t="str">
        <f t="shared" si="600"/>
        <v/>
      </c>
      <c r="AL1318" s="214" t="str">
        <f t="shared" si="601"/>
        <v/>
      </c>
      <c r="AM1318" s="214" t="str">
        <f t="shared" si="602"/>
        <v/>
      </c>
      <c r="AN1318" s="213" t="str">
        <f t="shared" si="585"/>
        <v/>
      </c>
      <c r="AO1318" s="213" t="str">
        <f t="shared" si="586"/>
        <v/>
      </c>
      <c r="AP1318" s="213" t="str">
        <f t="shared" si="587"/>
        <v/>
      </c>
      <c r="AQ1318" s="215" t="str">
        <f t="shared" si="588"/>
        <v/>
      </c>
      <c r="AR1318" s="216" t="str">
        <f t="shared" si="589"/>
        <v>BiK81y------06</v>
      </c>
      <c r="AS1318" s="215" t="str">
        <f t="shared" si="590"/>
        <v/>
      </c>
      <c r="AT1318">
        <f t="shared" si="591"/>
        <v>14</v>
      </c>
      <c r="AU1318" s="216" t="str">
        <f t="shared" si="592"/>
        <v>0-0,15 MW, Bonusregel y</v>
      </c>
      <c r="AV1318" s="215" t="str">
        <f t="shared" si="593"/>
        <v/>
      </c>
      <c r="AW1318" s="216" t="str">
        <f t="shared" si="594"/>
        <v>Anteil Nicht-KWK</v>
      </c>
      <c r="AX1318" s="215" t="str">
        <f t="shared" si="595"/>
        <v/>
      </c>
      <c r="AY1318" t="str">
        <f t="shared" si="596"/>
        <v/>
      </c>
      <c r="AZ1318" t="str">
        <f t="shared" si="597"/>
        <v/>
      </c>
    </row>
    <row r="1319" spans="1:52" x14ac:dyDescent="0.25">
      <c r="A1319" s="610" t="s">
        <v>4020</v>
      </c>
      <c r="B1319" s="17" t="s">
        <v>5548</v>
      </c>
      <c r="C1319" s="17" t="s">
        <v>1296</v>
      </c>
      <c r="D1319" s="21" t="s">
        <v>6875</v>
      </c>
      <c r="E1319" s="17" t="s">
        <v>4812</v>
      </c>
      <c r="F1319" s="454">
        <f t="shared" si="603"/>
        <v>14.67</v>
      </c>
      <c r="G1319" s="529">
        <v>14.67</v>
      </c>
      <c r="H1319" s="487">
        <f t="shared" si="604"/>
        <v>11.74</v>
      </c>
      <c r="I1319" s="706"/>
      <c r="J1319" s="669" t="s">
        <v>5805</v>
      </c>
      <c r="K1319" s="15"/>
      <c r="M1319" s="49">
        <f t="shared" si="605"/>
        <v>14.67</v>
      </c>
      <c r="N1319" s="41">
        <v>11.67</v>
      </c>
      <c r="O1319" s="54" t="s">
        <v>1017</v>
      </c>
      <c r="P1319" s="15"/>
      <c r="S1319" t="s">
        <v>4180</v>
      </c>
      <c r="T1319" t="s">
        <v>4180</v>
      </c>
      <c r="U1319" s="55" t="s">
        <v>1017</v>
      </c>
      <c r="W1319" s="65"/>
      <c r="X1319" s="65"/>
      <c r="AA1319" s="65"/>
      <c r="AD1319" s="91"/>
      <c r="AE1319" s="124"/>
      <c r="AF1319" s="65"/>
      <c r="AG1319" s="91"/>
      <c r="AH1319" s="212" t="str">
        <f t="shared" si="606"/>
        <v/>
      </c>
      <c r="AI1319" s="214" t="str">
        <f t="shared" si="598"/>
        <v/>
      </c>
      <c r="AJ1319" s="214" t="str">
        <f t="shared" si="599"/>
        <v/>
      </c>
      <c r="AK1319" s="214" t="str">
        <f t="shared" si="600"/>
        <v/>
      </c>
      <c r="AL1319" s="214" t="str">
        <f t="shared" si="601"/>
        <v/>
      </c>
      <c r="AM1319" s="214" t="str">
        <f t="shared" si="602"/>
        <v/>
      </c>
      <c r="AN1319" s="213" t="str">
        <f t="shared" si="585"/>
        <v/>
      </c>
      <c r="AO1319" s="213" t="str">
        <f t="shared" si="586"/>
        <v/>
      </c>
      <c r="AP1319" s="213" t="str">
        <f t="shared" si="587"/>
        <v/>
      </c>
      <c r="AQ1319" s="215" t="str">
        <f t="shared" si="588"/>
        <v/>
      </c>
      <c r="AR1319" s="216" t="str">
        <f t="shared" si="589"/>
        <v>BiK81KWKy---06</v>
      </c>
      <c r="AS1319" s="215" t="str">
        <f t="shared" si="590"/>
        <v/>
      </c>
      <c r="AT1319">
        <f t="shared" si="591"/>
        <v>14</v>
      </c>
      <c r="AU1319" s="216" t="str">
        <f t="shared" si="592"/>
        <v>0-0,15 MW, Bonusregeln y und KWK</v>
      </c>
      <c r="AV1319" s="215" t="str">
        <f t="shared" si="593"/>
        <v/>
      </c>
      <c r="AW1319" s="216" t="str">
        <f t="shared" si="594"/>
        <v>Anteil KWK</v>
      </c>
      <c r="AX1319" s="215" t="str">
        <f t="shared" si="595"/>
        <v/>
      </c>
      <c r="AY1319" t="str">
        <f t="shared" si="596"/>
        <v/>
      </c>
      <c r="AZ1319" t="str">
        <f t="shared" si="597"/>
        <v/>
      </c>
    </row>
    <row r="1320" spans="1:52" x14ac:dyDescent="0.25">
      <c r="A1320" s="610" t="s">
        <v>4021</v>
      </c>
      <c r="B1320" s="17" t="s">
        <v>5548</v>
      </c>
      <c r="C1320" s="30" t="s">
        <v>1296</v>
      </c>
      <c r="D1320" s="30" t="s">
        <v>6876</v>
      </c>
      <c r="E1320" s="30" t="s">
        <v>4331</v>
      </c>
      <c r="F1320" s="454">
        <f t="shared" si="603"/>
        <v>15.67</v>
      </c>
      <c r="G1320" s="529">
        <v>15.67</v>
      </c>
      <c r="H1320" s="487">
        <f t="shared" si="604"/>
        <v>12.54</v>
      </c>
      <c r="I1320" s="706"/>
      <c r="J1320" s="669" t="s">
        <v>5805</v>
      </c>
      <c r="K1320" s="15"/>
      <c r="M1320" s="49">
        <f t="shared" si="605"/>
        <v>15.67</v>
      </c>
      <c r="N1320" s="41">
        <v>11.67</v>
      </c>
      <c r="O1320" s="54"/>
      <c r="P1320" t="s">
        <v>1017</v>
      </c>
      <c r="S1320" t="s">
        <v>4180</v>
      </c>
      <c r="T1320" t="s">
        <v>4180</v>
      </c>
      <c r="U1320" s="55" t="s">
        <v>1017</v>
      </c>
      <c r="W1320" s="65"/>
      <c r="X1320" s="65"/>
      <c r="AA1320" s="65"/>
      <c r="AD1320" s="91"/>
      <c r="AE1320" s="124"/>
      <c r="AF1320" s="65"/>
      <c r="AG1320" s="91"/>
      <c r="AH1320" s="212" t="str">
        <f t="shared" si="606"/>
        <v/>
      </c>
      <c r="AI1320" s="214" t="str">
        <f t="shared" si="598"/>
        <v/>
      </c>
      <c r="AJ1320" s="214" t="str">
        <f t="shared" si="599"/>
        <v/>
      </c>
      <c r="AK1320" s="214" t="str">
        <f t="shared" si="600"/>
        <v/>
      </c>
      <c r="AL1320" s="214" t="str">
        <f t="shared" si="601"/>
        <v/>
      </c>
      <c r="AM1320" s="214" t="str">
        <f t="shared" si="602"/>
        <v/>
      </c>
      <c r="AN1320" s="213" t="str">
        <f t="shared" si="585"/>
        <v/>
      </c>
      <c r="AO1320" s="213" t="str">
        <f t="shared" si="586"/>
        <v/>
      </c>
      <c r="AP1320" s="213" t="str">
        <f t="shared" si="587"/>
        <v/>
      </c>
      <c r="AQ1320" s="215" t="str">
        <f t="shared" si="588"/>
        <v/>
      </c>
      <c r="AR1320" s="216" t="str">
        <f t="shared" si="589"/>
        <v>BiK81KA3y---06</v>
      </c>
      <c r="AS1320" s="215" t="str">
        <f t="shared" si="590"/>
        <v/>
      </c>
      <c r="AT1320">
        <f t="shared" si="591"/>
        <v>14</v>
      </c>
      <c r="AU1320" s="216" t="str">
        <f t="shared" si="592"/>
        <v>0-0,15 MW, Bonusregeln y und K wenn Anlage 3 erfüllt</v>
      </c>
      <c r="AV1320" s="215" t="str">
        <f t="shared" si="593"/>
        <v/>
      </c>
      <c r="AW1320" s="216" t="str">
        <f t="shared" si="594"/>
        <v>Anteil KWK gemäß Anlage 3</v>
      </c>
      <c r="AX1320" s="215" t="str">
        <f t="shared" si="595"/>
        <v/>
      </c>
      <c r="AY1320" t="str">
        <f t="shared" si="596"/>
        <v/>
      </c>
      <c r="AZ1320" t="str">
        <f t="shared" si="597"/>
        <v/>
      </c>
    </row>
    <row r="1321" spans="1:52" s="178" customFormat="1" x14ac:dyDescent="0.25">
      <c r="A1321" s="610" t="s">
        <v>4022</v>
      </c>
      <c r="B1321" s="17" t="s">
        <v>5548</v>
      </c>
      <c r="C1321" s="17" t="s">
        <v>1296</v>
      </c>
      <c r="D1321" s="30" t="s">
        <v>6877</v>
      </c>
      <c r="E1321" s="17" t="s">
        <v>674</v>
      </c>
      <c r="F1321" s="454">
        <f t="shared" si="603"/>
        <v>15.67</v>
      </c>
      <c r="G1321" s="529">
        <v>15.67</v>
      </c>
      <c r="H1321" s="487">
        <f t="shared" si="604"/>
        <v>12.54</v>
      </c>
      <c r="I1321" s="706"/>
      <c r="J1321" s="669" t="s">
        <v>5805</v>
      </c>
      <c r="K1321" s="15"/>
      <c r="L1321"/>
      <c r="M1321" s="49">
        <f t="shared" si="605"/>
        <v>15.67</v>
      </c>
      <c r="N1321" s="41">
        <v>11.67</v>
      </c>
      <c r="O1321" s="54"/>
      <c r="P1321" s="15"/>
      <c r="Q1321" t="s">
        <v>1017</v>
      </c>
      <c r="R1321"/>
      <c r="S1321" t="s">
        <v>4180</v>
      </c>
      <c r="T1321" s="178" t="s">
        <v>4180</v>
      </c>
      <c r="U1321" s="55" t="s">
        <v>1017</v>
      </c>
      <c r="V1321"/>
      <c r="W1321" s="65"/>
      <c r="X1321" s="65"/>
      <c r="Y1321"/>
      <c r="Z1321"/>
      <c r="AA1321" s="65"/>
      <c r="AB1321"/>
      <c r="AC1321"/>
      <c r="AD1321" s="91"/>
      <c r="AE1321" s="124"/>
      <c r="AF1321" s="65"/>
      <c r="AG1321" s="91"/>
      <c r="AH1321" s="212" t="str">
        <f t="shared" si="606"/>
        <v/>
      </c>
      <c r="AI1321" s="214" t="str">
        <f t="shared" si="598"/>
        <v/>
      </c>
      <c r="AJ1321" s="214" t="str">
        <f t="shared" si="599"/>
        <v/>
      </c>
      <c r="AK1321" s="214" t="str">
        <f t="shared" si="600"/>
        <v/>
      </c>
      <c r="AL1321" s="214" t="str">
        <f t="shared" si="601"/>
        <v/>
      </c>
      <c r="AM1321" s="214" t="str">
        <f t="shared" si="602"/>
        <v/>
      </c>
      <c r="AN1321" s="213" t="str">
        <f t="shared" si="585"/>
        <v/>
      </c>
      <c r="AO1321" s="213" t="str">
        <f t="shared" si="586"/>
        <v/>
      </c>
      <c r="AP1321" s="213" t="str">
        <f t="shared" si="587"/>
        <v/>
      </c>
      <c r="AQ1321" s="215" t="str">
        <f t="shared" si="588"/>
        <v/>
      </c>
      <c r="AR1321" s="216" t="str">
        <f t="shared" si="589"/>
        <v>BiK81K09y---06</v>
      </c>
      <c r="AS1321" s="215" t="str">
        <f t="shared" si="590"/>
        <v/>
      </c>
      <c r="AT1321">
        <f t="shared" si="591"/>
        <v>14</v>
      </c>
      <c r="AU1321" s="216" t="str">
        <f t="shared" si="592"/>
        <v>0-0,15 MW, Bonusregeln y und K erstmals 2009</v>
      </c>
      <c r="AV1321" s="215" t="str">
        <f t="shared" si="593"/>
        <v/>
      </c>
      <c r="AW1321" s="216" t="str">
        <f t="shared" si="594"/>
        <v>Anteil KWK, erstmals 2009</v>
      </c>
      <c r="AX1321" s="215" t="str">
        <f t="shared" si="595"/>
        <v/>
      </c>
      <c r="AY1321" t="str">
        <f t="shared" si="596"/>
        <v/>
      </c>
      <c r="AZ1321" t="str">
        <f t="shared" si="597"/>
        <v/>
      </c>
    </row>
    <row r="1322" spans="1:52" s="178" customFormat="1" x14ac:dyDescent="0.25">
      <c r="A1322" s="610" t="s">
        <v>4886</v>
      </c>
      <c r="B1322" s="17" t="s">
        <v>5548</v>
      </c>
      <c r="C1322" s="17" t="s">
        <v>1296</v>
      </c>
      <c r="D1322" s="30" t="s">
        <v>6878</v>
      </c>
      <c r="E1322" s="30" t="s">
        <v>3567</v>
      </c>
      <c r="F1322" s="454">
        <f t="shared" si="603"/>
        <v>15.64</v>
      </c>
      <c r="G1322" s="529">
        <v>15.64</v>
      </c>
      <c r="H1322" s="487">
        <f t="shared" si="604"/>
        <v>12.51</v>
      </c>
      <c r="I1322" s="706"/>
      <c r="J1322" s="669" t="s">
        <v>5805</v>
      </c>
      <c r="K1322" s="15"/>
      <c r="L1322"/>
      <c r="M1322" s="49">
        <f t="shared" si="605"/>
        <v>15.64</v>
      </c>
      <c r="N1322" s="41">
        <v>11.67</v>
      </c>
      <c r="O1322" s="54"/>
      <c r="P1322" s="15"/>
      <c r="Q1322"/>
      <c r="R1322" t="s">
        <v>1017</v>
      </c>
      <c r="S1322" t="s">
        <v>4180</v>
      </c>
      <c r="T1322" s="178" t="s">
        <v>4180</v>
      </c>
      <c r="U1322" s="55" t="s">
        <v>1017</v>
      </c>
      <c r="V1322"/>
      <c r="W1322" s="65"/>
      <c r="X1322" s="65"/>
      <c r="Y1322"/>
      <c r="Z1322"/>
      <c r="AA1322" s="65"/>
      <c r="AB1322"/>
      <c r="AC1322"/>
      <c r="AD1322" s="91"/>
      <c r="AE1322" s="124"/>
      <c r="AF1322" s="65"/>
      <c r="AG1322" s="91"/>
      <c r="AH1322" s="212" t="str">
        <f t="shared" si="606"/>
        <v>2010</v>
      </c>
      <c r="AI1322" s="214" t="str">
        <f t="shared" si="598"/>
        <v/>
      </c>
      <c r="AJ1322" s="214" t="str">
        <f t="shared" si="599"/>
        <v/>
      </c>
      <c r="AK1322" s="214" t="str">
        <f t="shared" si="600"/>
        <v/>
      </c>
      <c r="AL1322" s="214" t="str">
        <f t="shared" si="601"/>
        <v/>
      </c>
      <c r="AM1322" s="214" t="str">
        <f t="shared" si="602"/>
        <v/>
      </c>
      <c r="AN1322" s="213" t="str">
        <f t="shared" si="585"/>
        <v>2010</v>
      </c>
      <c r="AO1322" s="213" t="str">
        <f t="shared" si="586"/>
        <v>2010</v>
      </c>
      <c r="AP1322" s="213" t="str">
        <f t="shared" si="587"/>
        <v>2010</v>
      </c>
      <c r="AQ1322" s="215" t="str">
        <f t="shared" si="588"/>
        <v/>
      </c>
      <c r="AR1322" s="216" t="str">
        <f t="shared" si="589"/>
        <v>BiK81K10y---06</v>
      </c>
      <c r="AS1322" s="215" t="str">
        <f t="shared" si="590"/>
        <v/>
      </c>
      <c r="AT1322">
        <f t="shared" si="591"/>
        <v>14</v>
      </c>
      <c r="AU1322" s="216" t="str">
        <f t="shared" si="592"/>
        <v>0-0,15 MW, Bonusregeln y und K erstmals 2010</v>
      </c>
      <c r="AV1322" s="215" t="str">
        <f t="shared" si="593"/>
        <v/>
      </c>
      <c r="AW1322" s="216" t="str">
        <f t="shared" si="594"/>
        <v>Anteil KWK, erstmals 2010</v>
      </c>
      <c r="AX1322" s="215" t="str">
        <f t="shared" si="595"/>
        <v/>
      </c>
      <c r="AY1322" t="str">
        <f t="shared" si="596"/>
        <v/>
      </c>
      <c r="AZ1322" t="str">
        <f t="shared" si="597"/>
        <v/>
      </c>
    </row>
    <row r="1323" spans="1:52" s="178" customFormat="1" x14ac:dyDescent="0.25">
      <c r="A1323" s="610" t="s">
        <v>5355</v>
      </c>
      <c r="B1323" s="17" t="s">
        <v>5548</v>
      </c>
      <c r="C1323" s="17" t="s">
        <v>1296</v>
      </c>
      <c r="D1323" s="30" t="s">
        <v>6879</v>
      </c>
      <c r="E1323" s="30" t="s">
        <v>3055</v>
      </c>
      <c r="F1323" s="454">
        <f t="shared" si="603"/>
        <v>15.61</v>
      </c>
      <c r="G1323" s="529">
        <v>15.61</v>
      </c>
      <c r="H1323" s="487">
        <f t="shared" si="604"/>
        <v>12.49</v>
      </c>
      <c r="I1323" s="706"/>
      <c r="J1323" s="669" t="s">
        <v>5805</v>
      </c>
      <c r="K1323" s="15"/>
      <c r="L1323"/>
      <c r="M1323" s="49">
        <f t="shared" si="605"/>
        <v>15.61</v>
      </c>
      <c r="N1323" s="41">
        <v>11.67</v>
      </c>
      <c r="O1323" s="54"/>
      <c r="P1323" s="15"/>
      <c r="Q1323"/>
      <c r="R1323"/>
      <c r="S1323" t="s">
        <v>1017</v>
      </c>
      <c r="T1323" s="178" t="s">
        <v>4180</v>
      </c>
      <c r="U1323" s="55" t="s">
        <v>1017</v>
      </c>
      <c r="V1323"/>
      <c r="W1323" s="65"/>
      <c r="X1323" s="65"/>
      <c r="Y1323"/>
      <c r="Z1323"/>
      <c r="AA1323" s="65"/>
      <c r="AB1323"/>
      <c r="AC1323"/>
      <c r="AD1323" s="91"/>
      <c r="AE1323" s="124"/>
      <c r="AF1323" s="65"/>
      <c r="AG1323" s="91"/>
      <c r="AH1323" s="212" t="str">
        <f t="shared" si="606"/>
        <v>2011</v>
      </c>
      <c r="AI1323" s="214" t="str">
        <f t="shared" si="598"/>
        <v/>
      </c>
      <c r="AJ1323" s="214" t="str">
        <f t="shared" si="599"/>
        <v/>
      </c>
      <c r="AK1323" s="214" t="str">
        <f t="shared" si="600"/>
        <v/>
      </c>
      <c r="AL1323" s="214" t="str">
        <f t="shared" si="601"/>
        <v/>
      </c>
      <c r="AM1323" s="214" t="str">
        <f t="shared" si="602"/>
        <v/>
      </c>
      <c r="AN1323" s="213" t="str">
        <f t="shared" si="585"/>
        <v>2011</v>
      </c>
      <c r="AO1323" s="213" t="str">
        <f t="shared" si="586"/>
        <v>2011</v>
      </c>
      <c r="AP1323" s="213" t="str">
        <f t="shared" si="587"/>
        <v>2011</v>
      </c>
      <c r="AQ1323" s="215" t="str">
        <f t="shared" si="588"/>
        <v/>
      </c>
      <c r="AR1323" s="216" t="str">
        <f t="shared" si="589"/>
        <v>BiK81K11y---06</v>
      </c>
      <c r="AS1323" s="215" t="str">
        <f t="shared" si="590"/>
        <v/>
      </c>
      <c r="AT1323">
        <f t="shared" si="591"/>
        <v>14</v>
      </c>
      <c r="AU1323" s="216" t="str">
        <f t="shared" si="592"/>
        <v>0-0,15 MW, Bonusregeln y und K erstmals 2011</v>
      </c>
      <c r="AV1323" s="215" t="str">
        <f t="shared" si="593"/>
        <v/>
      </c>
      <c r="AW1323" s="216" t="str">
        <f t="shared" si="594"/>
        <v>Anteil KWK, erstmals 2011</v>
      </c>
      <c r="AX1323" s="215" t="str">
        <f t="shared" si="595"/>
        <v/>
      </c>
      <c r="AY1323" t="str">
        <f t="shared" si="596"/>
        <v>x</v>
      </c>
      <c r="AZ1323" t="str">
        <f t="shared" si="597"/>
        <v/>
      </c>
    </row>
    <row r="1324" spans="1:52" s="178" customFormat="1" x14ac:dyDescent="0.25">
      <c r="A1324" s="625" t="s">
        <v>1605</v>
      </c>
      <c r="B1324" s="221" t="s">
        <v>5548</v>
      </c>
      <c r="C1324" s="221" t="s">
        <v>1296</v>
      </c>
      <c r="D1324" s="219" t="s">
        <v>6880</v>
      </c>
      <c r="E1324" s="219" t="s">
        <v>1980</v>
      </c>
      <c r="F1324" s="455">
        <f t="shared" si="603"/>
        <v>15.58</v>
      </c>
      <c r="G1324" s="530">
        <v>15.58</v>
      </c>
      <c r="H1324" s="488">
        <f t="shared" si="604"/>
        <v>12.46</v>
      </c>
      <c r="I1324" s="707"/>
      <c r="J1324" s="669" t="s">
        <v>5805</v>
      </c>
      <c r="K1324" s="15"/>
      <c r="L1324"/>
      <c r="M1324" s="49">
        <f t="shared" si="605"/>
        <v>15.58</v>
      </c>
      <c r="N1324" s="41">
        <v>11.67</v>
      </c>
      <c r="O1324" s="54"/>
      <c r="P1324" s="15"/>
      <c r="Q1324"/>
      <c r="R1324"/>
      <c r="S1324" t="s">
        <v>4180</v>
      </c>
      <c r="T1324" s="178" t="s">
        <v>1017</v>
      </c>
      <c r="U1324" s="55" t="s">
        <v>1017</v>
      </c>
      <c r="V1324"/>
      <c r="W1324" s="65"/>
      <c r="X1324" s="65"/>
      <c r="Y1324"/>
      <c r="Z1324"/>
      <c r="AA1324" s="65"/>
      <c r="AB1324"/>
      <c r="AC1324"/>
      <c r="AD1324" s="91"/>
      <c r="AE1324" s="124"/>
      <c r="AF1324" s="65"/>
      <c r="AG1324" s="91"/>
      <c r="AH1324" s="217" t="s">
        <v>4179</v>
      </c>
      <c r="AI1324" s="214" t="str">
        <f t="shared" si="598"/>
        <v/>
      </c>
      <c r="AJ1324" s="214" t="str">
        <f t="shared" si="599"/>
        <v/>
      </c>
      <c r="AK1324" s="214" t="str">
        <f t="shared" si="600"/>
        <v/>
      </c>
      <c r="AL1324" s="214" t="str">
        <f t="shared" si="601"/>
        <v/>
      </c>
      <c r="AM1324" s="214" t="str">
        <f t="shared" si="602"/>
        <v/>
      </c>
      <c r="AN1324" s="213" t="str">
        <f t="shared" si="585"/>
        <v>2012</v>
      </c>
      <c r="AO1324" s="213" t="str">
        <f t="shared" si="586"/>
        <v>2012</v>
      </c>
      <c r="AP1324" s="213" t="str">
        <f t="shared" si="587"/>
        <v>2012</v>
      </c>
      <c r="AQ1324" s="215" t="str">
        <f t="shared" si="588"/>
        <v/>
      </c>
      <c r="AR1324" s="216" t="str">
        <f t="shared" si="589"/>
        <v>BiK81K12y---06</v>
      </c>
      <c r="AS1324" s="215" t="str">
        <f t="shared" si="590"/>
        <v/>
      </c>
      <c r="AT1324">
        <f t="shared" si="591"/>
        <v>14</v>
      </c>
      <c r="AU1324" s="216" t="str">
        <f t="shared" si="592"/>
        <v>0-0,15 MW, Bonusregeln y und K erstmals 2012</v>
      </c>
      <c r="AV1324" s="215" t="str">
        <f t="shared" si="593"/>
        <v/>
      </c>
      <c r="AW1324" s="216" t="str">
        <f t="shared" si="594"/>
        <v>Anteil KWK, erstmals 2012</v>
      </c>
      <c r="AX1324" s="215" t="str">
        <f t="shared" si="595"/>
        <v/>
      </c>
      <c r="AY1324" t="str">
        <f t="shared" si="596"/>
        <v/>
      </c>
      <c r="AZ1324" t="str">
        <f t="shared" si="597"/>
        <v>x</v>
      </c>
    </row>
    <row r="1325" spans="1:52" s="178" customFormat="1" x14ac:dyDescent="0.25">
      <c r="A1325" s="618" t="s">
        <v>876</v>
      </c>
      <c r="B1325" s="31" t="s">
        <v>5548</v>
      </c>
      <c r="C1325" s="31" t="s">
        <v>1296</v>
      </c>
      <c r="D1325" s="31" t="s">
        <v>6881</v>
      </c>
      <c r="E1325" s="31" t="s">
        <v>4810</v>
      </c>
      <c r="F1325" s="460">
        <f t="shared" si="603"/>
        <v>17.670000000000002</v>
      </c>
      <c r="G1325" s="536">
        <v>17.670000000000002</v>
      </c>
      <c r="H1325" s="494">
        <f t="shared" si="604"/>
        <v>14.14</v>
      </c>
      <c r="I1325" s="713"/>
      <c r="J1325" s="669" t="s">
        <v>5805</v>
      </c>
      <c r="K1325" s="15"/>
      <c r="L1325"/>
      <c r="M1325" s="49">
        <f t="shared" si="605"/>
        <v>17.670000000000002</v>
      </c>
      <c r="N1325" s="41">
        <v>11.67</v>
      </c>
      <c r="O1325" s="54"/>
      <c r="P1325" s="15"/>
      <c r="Q1325"/>
      <c r="R1325"/>
      <c r="S1325" t="s">
        <v>4180</v>
      </c>
      <c r="T1325" s="178" t="s">
        <v>4180</v>
      </c>
      <c r="U1325" s="55"/>
      <c r="V1325" t="s">
        <v>1017</v>
      </c>
      <c r="W1325" s="65"/>
      <c r="X1325" s="65"/>
      <c r="Y1325"/>
      <c r="Z1325"/>
      <c r="AA1325" s="65"/>
      <c r="AB1325"/>
      <c r="AC1325"/>
      <c r="AD1325" s="91"/>
      <c r="AE1325" s="124"/>
      <c r="AF1325" s="65"/>
      <c r="AG1325" s="91"/>
      <c r="AH1325" s="212" t="str">
        <f t="shared" ref="AH1325:AH1330" si="607">IF(ISERROR(SEARCH("K erstmals 201",D1325)),"",RIGHT(D1325,4))</f>
        <v/>
      </c>
      <c r="AI1325" s="214" t="str">
        <f t="shared" si="598"/>
        <v/>
      </c>
      <c r="AJ1325" s="214" t="str">
        <f t="shared" si="599"/>
        <v/>
      </c>
      <c r="AK1325" s="214" t="str">
        <f t="shared" si="600"/>
        <v/>
      </c>
      <c r="AL1325" s="214" t="str">
        <f t="shared" si="601"/>
        <v/>
      </c>
      <c r="AM1325" s="214" t="str">
        <f t="shared" si="602"/>
        <v/>
      </c>
      <c r="AN1325" s="213" t="str">
        <f t="shared" si="585"/>
        <v/>
      </c>
      <c r="AO1325" s="213" t="str">
        <f t="shared" si="586"/>
        <v/>
      </c>
      <c r="AP1325" s="213" t="str">
        <f t="shared" si="587"/>
        <v/>
      </c>
      <c r="AQ1325" s="215" t="str">
        <f t="shared" si="588"/>
        <v/>
      </c>
      <c r="AR1325" s="216" t="str">
        <f t="shared" si="589"/>
        <v>BiK81a1-----06</v>
      </c>
      <c r="AS1325" s="215" t="str">
        <f t="shared" si="590"/>
        <v/>
      </c>
      <c r="AT1325">
        <f t="shared" si="591"/>
        <v>14</v>
      </c>
      <c r="AU1325" s="216" t="str">
        <f t="shared" si="592"/>
        <v>0-0,15 MW, Bonusregel a1</v>
      </c>
      <c r="AV1325" s="215" t="str">
        <f t="shared" si="593"/>
        <v/>
      </c>
      <c r="AW1325" s="216" t="str">
        <f t="shared" si="594"/>
        <v>Anteil Nicht-KWK</v>
      </c>
      <c r="AX1325" s="215" t="str">
        <f t="shared" si="595"/>
        <v/>
      </c>
      <c r="AY1325" t="str">
        <f t="shared" si="596"/>
        <v/>
      </c>
      <c r="AZ1325" t="str">
        <f t="shared" si="597"/>
        <v/>
      </c>
    </row>
    <row r="1326" spans="1:52" s="178" customFormat="1" x14ac:dyDescent="0.25">
      <c r="A1326" s="618" t="s">
        <v>877</v>
      </c>
      <c r="B1326" s="31" t="s">
        <v>5548</v>
      </c>
      <c r="C1326" s="31" t="s">
        <v>1296</v>
      </c>
      <c r="D1326" s="33" t="s">
        <v>6882</v>
      </c>
      <c r="E1326" s="31" t="s">
        <v>4812</v>
      </c>
      <c r="F1326" s="460">
        <f t="shared" si="603"/>
        <v>19.670000000000002</v>
      </c>
      <c r="G1326" s="536">
        <v>19.670000000000002</v>
      </c>
      <c r="H1326" s="494">
        <f t="shared" si="604"/>
        <v>15.74</v>
      </c>
      <c r="I1326" s="713"/>
      <c r="J1326" s="669" t="s">
        <v>5805</v>
      </c>
      <c r="K1326" s="15"/>
      <c r="L1326"/>
      <c r="M1326" s="49">
        <f t="shared" si="605"/>
        <v>19.670000000000002</v>
      </c>
      <c r="N1326" s="41">
        <v>11.67</v>
      </c>
      <c r="O1326" s="54" t="s">
        <v>1017</v>
      </c>
      <c r="P1326" s="15"/>
      <c r="Q1326"/>
      <c r="R1326"/>
      <c r="S1326" t="s">
        <v>4180</v>
      </c>
      <c r="T1326" s="178" t="s">
        <v>4180</v>
      </c>
      <c r="U1326" s="55"/>
      <c r="V1326" t="s">
        <v>1017</v>
      </c>
      <c r="W1326" s="65"/>
      <c r="X1326" s="65"/>
      <c r="Y1326"/>
      <c r="Z1326"/>
      <c r="AA1326" s="65"/>
      <c r="AB1326"/>
      <c r="AC1326"/>
      <c r="AD1326" s="91"/>
      <c r="AE1326" s="124"/>
      <c r="AF1326" s="65"/>
      <c r="AG1326" s="91"/>
      <c r="AH1326" s="212" t="str">
        <f t="shared" si="607"/>
        <v/>
      </c>
      <c r="AI1326" s="214" t="str">
        <f t="shared" si="598"/>
        <v/>
      </c>
      <c r="AJ1326" s="214" t="str">
        <f t="shared" si="599"/>
        <v/>
      </c>
      <c r="AK1326" s="214" t="str">
        <f t="shared" si="600"/>
        <v/>
      </c>
      <c r="AL1326" s="214" t="str">
        <f t="shared" si="601"/>
        <v/>
      </c>
      <c r="AM1326" s="214" t="str">
        <f t="shared" si="602"/>
        <v/>
      </c>
      <c r="AN1326" s="213" t="str">
        <f t="shared" si="585"/>
        <v/>
      </c>
      <c r="AO1326" s="213" t="str">
        <f t="shared" si="586"/>
        <v/>
      </c>
      <c r="AP1326" s="213" t="str">
        <f t="shared" si="587"/>
        <v/>
      </c>
      <c r="AQ1326" s="215" t="str">
        <f t="shared" si="588"/>
        <v/>
      </c>
      <c r="AR1326" s="216" t="str">
        <f t="shared" si="589"/>
        <v>BiK81a1KWK--06</v>
      </c>
      <c r="AS1326" s="215" t="str">
        <f t="shared" si="590"/>
        <v/>
      </c>
      <c r="AT1326">
        <f t="shared" si="591"/>
        <v>14</v>
      </c>
      <c r="AU1326" s="216" t="str">
        <f t="shared" si="592"/>
        <v>0-0,15 MW, Bonusregeln a1 und KWK</v>
      </c>
      <c r="AV1326" s="215" t="str">
        <f t="shared" si="593"/>
        <v/>
      </c>
      <c r="AW1326" s="216" t="str">
        <f t="shared" si="594"/>
        <v>Anteil KWK</v>
      </c>
      <c r="AX1326" s="215" t="str">
        <f t="shared" si="595"/>
        <v/>
      </c>
      <c r="AY1326" t="str">
        <f t="shared" si="596"/>
        <v/>
      </c>
      <c r="AZ1326" t="str">
        <f t="shared" si="597"/>
        <v/>
      </c>
    </row>
    <row r="1327" spans="1:52" s="178" customFormat="1" x14ac:dyDescent="0.25">
      <c r="A1327" s="610" t="s">
        <v>4351</v>
      </c>
      <c r="B1327" s="17" t="s">
        <v>5548</v>
      </c>
      <c r="C1327" s="30" t="s">
        <v>1296</v>
      </c>
      <c r="D1327" s="30" t="s">
        <v>6883</v>
      </c>
      <c r="E1327" s="30" t="s">
        <v>4331</v>
      </c>
      <c r="F1327" s="454">
        <f t="shared" si="603"/>
        <v>20.67</v>
      </c>
      <c r="G1327" s="529">
        <v>20.67</v>
      </c>
      <c r="H1327" s="487">
        <f t="shared" si="604"/>
        <v>16.54</v>
      </c>
      <c r="I1327" s="706"/>
      <c r="J1327" s="669" t="s">
        <v>5805</v>
      </c>
      <c r="K1327" s="15"/>
      <c r="L1327"/>
      <c r="M1327" s="49">
        <f t="shared" si="605"/>
        <v>20.67</v>
      </c>
      <c r="N1327" s="41">
        <v>11.67</v>
      </c>
      <c r="O1327" s="54"/>
      <c r="P1327" t="s">
        <v>1017</v>
      </c>
      <c r="Q1327"/>
      <c r="R1327"/>
      <c r="S1327" t="s">
        <v>4180</v>
      </c>
      <c r="T1327" s="178" t="s">
        <v>4180</v>
      </c>
      <c r="U1327" s="55"/>
      <c r="V1327" t="s">
        <v>1017</v>
      </c>
      <c r="W1327" s="65"/>
      <c r="X1327" s="65"/>
      <c r="Y1327"/>
      <c r="Z1327"/>
      <c r="AA1327" s="65"/>
      <c r="AB1327"/>
      <c r="AC1327"/>
      <c r="AD1327" s="91"/>
      <c r="AE1327" s="124"/>
      <c r="AF1327" s="65"/>
      <c r="AG1327" s="91"/>
      <c r="AH1327" s="212" t="str">
        <f t="shared" si="607"/>
        <v/>
      </c>
      <c r="AI1327" s="214" t="str">
        <f t="shared" si="598"/>
        <v/>
      </c>
      <c r="AJ1327" s="214" t="str">
        <f t="shared" si="599"/>
        <v/>
      </c>
      <c r="AK1327" s="214" t="str">
        <f t="shared" si="600"/>
        <v/>
      </c>
      <c r="AL1327" s="214" t="str">
        <f t="shared" si="601"/>
        <v/>
      </c>
      <c r="AM1327" s="214" t="str">
        <f t="shared" si="602"/>
        <v/>
      </c>
      <c r="AN1327" s="213" t="str">
        <f t="shared" si="585"/>
        <v/>
      </c>
      <c r="AO1327" s="213" t="str">
        <f t="shared" si="586"/>
        <v/>
      </c>
      <c r="AP1327" s="213" t="str">
        <f t="shared" si="587"/>
        <v/>
      </c>
      <c r="AQ1327" s="215" t="str">
        <f t="shared" si="588"/>
        <v/>
      </c>
      <c r="AR1327" s="216" t="str">
        <f t="shared" si="589"/>
        <v>BiK81a1KA3--06</v>
      </c>
      <c r="AS1327" s="215" t="str">
        <f t="shared" si="590"/>
        <v/>
      </c>
      <c r="AT1327">
        <f t="shared" si="591"/>
        <v>14</v>
      </c>
      <c r="AU1327" s="216" t="str">
        <f t="shared" si="592"/>
        <v>0-0,15 MW, Bonusregeln a1 und K wenn Anlage 3 erfüllt</v>
      </c>
      <c r="AV1327" s="215" t="str">
        <f t="shared" si="593"/>
        <v/>
      </c>
      <c r="AW1327" s="216" t="str">
        <f t="shared" si="594"/>
        <v>Anteil KWK gemäß Anlage 3</v>
      </c>
      <c r="AX1327" s="215" t="str">
        <f t="shared" si="595"/>
        <v/>
      </c>
      <c r="AY1327" t="str">
        <f t="shared" si="596"/>
        <v/>
      </c>
      <c r="AZ1327" t="str">
        <f t="shared" si="597"/>
        <v/>
      </c>
    </row>
    <row r="1328" spans="1:52" s="178" customFormat="1" x14ac:dyDescent="0.25">
      <c r="A1328" s="610" t="s">
        <v>2360</v>
      </c>
      <c r="B1328" s="17" t="s">
        <v>5548</v>
      </c>
      <c r="C1328" s="17" t="s">
        <v>1296</v>
      </c>
      <c r="D1328" s="30" t="s">
        <v>6995</v>
      </c>
      <c r="E1328" s="17" t="s">
        <v>674</v>
      </c>
      <c r="F1328" s="454">
        <f t="shared" si="603"/>
        <v>20.67</v>
      </c>
      <c r="G1328" s="529">
        <v>20.67</v>
      </c>
      <c r="H1328" s="487">
        <f t="shared" si="604"/>
        <v>16.54</v>
      </c>
      <c r="I1328" s="706"/>
      <c r="J1328" s="669" t="s">
        <v>5805</v>
      </c>
      <c r="K1328" s="15"/>
      <c r="L1328"/>
      <c r="M1328" s="49">
        <f t="shared" si="605"/>
        <v>20.67</v>
      </c>
      <c r="N1328" s="41">
        <v>11.67</v>
      </c>
      <c r="O1328" s="54"/>
      <c r="P1328" s="15"/>
      <c r="Q1328" t="s">
        <v>1017</v>
      </c>
      <c r="R1328"/>
      <c r="S1328" t="s">
        <v>4180</v>
      </c>
      <c r="T1328" s="178" t="s">
        <v>4180</v>
      </c>
      <c r="U1328" s="55"/>
      <c r="V1328" t="s">
        <v>1017</v>
      </c>
      <c r="W1328" s="65"/>
      <c r="X1328" s="65"/>
      <c r="Y1328"/>
      <c r="Z1328"/>
      <c r="AA1328" s="65"/>
      <c r="AB1328"/>
      <c r="AC1328"/>
      <c r="AD1328" s="91"/>
      <c r="AE1328" s="124"/>
      <c r="AF1328" s="65"/>
      <c r="AG1328" s="91"/>
      <c r="AH1328" s="212" t="str">
        <f t="shared" si="607"/>
        <v/>
      </c>
      <c r="AI1328" s="214" t="str">
        <f t="shared" si="598"/>
        <v/>
      </c>
      <c r="AJ1328" s="214" t="str">
        <f t="shared" si="599"/>
        <v/>
      </c>
      <c r="AK1328" s="214" t="str">
        <f t="shared" si="600"/>
        <v/>
      </c>
      <c r="AL1328" s="214" t="str">
        <f t="shared" si="601"/>
        <v/>
      </c>
      <c r="AM1328" s="214" t="str">
        <f t="shared" si="602"/>
        <v/>
      </c>
      <c r="AN1328" s="213" t="str">
        <f t="shared" si="585"/>
        <v/>
      </c>
      <c r="AO1328" s="213" t="str">
        <f t="shared" si="586"/>
        <v/>
      </c>
      <c r="AP1328" s="213" t="str">
        <f t="shared" si="587"/>
        <v/>
      </c>
      <c r="AQ1328" s="215" t="str">
        <f t="shared" si="588"/>
        <v/>
      </c>
      <c r="AR1328" s="216" t="str">
        <f t="shared" si="589"/>
        <v>BiK81a1K09--06</v>
      </c>
      <c r="AS1328" s="215" t="str">
        <f t="shared" si="590"/>
        <v/>
      </c>
      <c r="AT1328">
        <f t="shared" si="591"/>
        <v>14</v>
      </c>
      <c r="AU1328" s="216" t="str">
        <f t="shared" si="592"/>
        <v>0-0,15 MW, Bonusregeln a1 und K erstmals 2009</v>
      </c>
      <c r="AV1328" s="215" t="str">
        <f t="shared" si="593"/>
        <v/>
      </c>
      <c r="AW1328" s="216" t="str">
        <f t="shared" si="594"/>
        <v>Anteil KWK, erstmals 2009</v>
      </c>
      <c r="AX1328" s="215" t="str">
        <f t="shared" si="595"/>
        <v/>
      </c>
      <c r="AY1328" t="str">
        <f t="shared" si="596"/>
        <v/>
      </c>
      <c r="AZ1328" t="str">
        <f t="shared" si="597"/>
        <v/>
      </c>
    </row>
    <row r="1329" spans="1:52" s="178" customFormat="1" x14ac:dyDescent="0.25">
      <c r="A1329" s="610" t="s">
        <v>4887</v>
      </c>
      <c r="B1329" s="17" t="s">
        <v>5548</v>
      </c>
      <c r="C1329" s="17" t="s">
        <v>1296</v>
      </c>
      <c r="D1329" s="30" t="s">
        <v>6996</v>
      </c>
      <c r="E1329" s="30" t="s">
        <v>3567</v>
      </c>
      <c r="F1329" s="454">
        <f t="shared" si="603"/>
        <v>20.64</v>
      </c>
      <c r="G1329" s="529">
        <v>20.64</v>
      </c>
      <c r="H1329" s="487">
        <f t="shared" si="604"/>
        <v>16.510000000000002</v>
      </c>
      <c r="I1329" s="706"/>
      <c r="J1329" s="669" t="s">
        <v>5805</v>
      </c>
      <c r="K1329" s="15"/>
      <c r="L1329"/>
      <c r="M1329" s="49">
        <f t="shared" si="605"/>
        <v>20.64</v>
      </c>
      <c r="N1329" s="41">
        <v>11.67</v>
      </c>
      <c r="O1329" s="54"/>
      <c r="P1329" s="15"/>
      <c r="Q1329"/>
      <c r="R1329" t="s">
        <v>1017</v>
      </c>
      <c r="S1329" t="s">
        <v>4180</v>
      </c>
      <c r="T1329" s="178" t="s">
        <v>4180</v>
      </c>
      <c r="U1329" s="55"/>
      <c r="V1329" t="s">
        <v>1017</v>
      </c>
      <c r="W1329" s="65"/>
      <c r="X1329" s="65"/>
      <c r="Y1329"/>
      <c r="Z1329"/>
      <c r="AA1329" s="65"/>
      <c r="AB1329"/>
      <c r="AC1329"/>
      <c r="AD1329" s="91"/>
      <c r="AE1329" s="124"/>
      <c r="AF1329" s="65"/>
      <c r="AG1329" s="91"/>
      <c r="AH1329" s="212" t="str">
        <f t="shared" si="607"/>
        <v>2010</v>
      </c>
      <c r="AI1329" s="214" t="str">
        <f t="shared" si="598"/>
        <v/>
      </c>
      <c r="AJ1329" s="214" t="str">
        <f t="shared" si="599"/>
        <v/>
      </c>
      <c r="AK1329" s="214" t="str">
        <f t="shared" si="600"/>
        <v/>
      </c>
      <c r="AL1329" s="214" t="str">
        <f t="shared" si="601"/>
        <v/>
      </c>
      <c r="AM1329" s="214" t="str">
        <f t="shared" si="602"/>
        <v/>
      </c>
      <c r="AN1329" s="213" t="str">
        <f t="shared" si="585"/>
        <v>2010</v>
      </c>
      <c r="AO1329" s="213" t="str">
        <f t="shared" si="586"/>
        <v>2010</v>
      </c>
      <c r="AP1329" s="213" t="str">
        <f t="shared" si="587"/>
        <v>2010</v>
      </c>
      <c r="AQ1329" s="215" t="str">
        <f t="shared" si="588"/>
        <v/>
      </c>
      <c r="AR1329" s="216" t="str">
        <f t="shared" si="589"/>
        <v>BiK81a1K10--06</v>
      </c>
      <c r="AS1329" s="215" t="str">
        <f t="shared" si="590"/>
        <v/>
      </c>
      <c r="AT1329">
        <f t="shared" si="591"/>
        <v>14</v>
      </c>
      <c r="AU1329" s="216" t="str">
        <f t="shared" si="592"/>
        <v>0-0,15 MW, Bonusregeln a1 und K erstmals 2010</v>
      </c>
      <c r="AV1329" s="215" t="str">
        <f t="shared" si="593"/>
        <v/>
      </c>
      <c r="AW1329" s="216" t="str">
        <f t="shared" si="594"/>
        <v>Anteil KWK, erstmals 2010</v>
      </c>
      <c r="AX1329" s="215" t="str">
        <f t="shared" si="595"/>
        <v/>
      </c>
      <c r="AY1329" t="str">
        <f t="shared" si="596"/>
        <v/>
      </c>
      <c r="AZ1329" t="str">
        <f t="shared" si="597"/>
        <v/>
      </c>
    </row>
    <row r="1330" spans="1:52" s="178" customFormat="1" x14ac:dyDescent="0.25">
      <c r="A1330" s="610" t="s">
        <v>5356</v>
      </c>
      <c r="B1330" s="17" t="s">
        <v>5548</v>
      </c>
      <c r="C1330" s="17" t="s">
        <v>1296</v>
      </c>
      <c r="D1330" s="30" t="s">
        <v>6997</v>
      </c>
      <c r="E1330" s="30" t="s">
        <v>3055</v>
      </c>
      <c r="F1330" s="454">
        <f t="shared" si="603"/>
        <v>20.61</v>
      </c>
      <c r="G1330" s="529">
        <v>20.61</v>
      </c>
      <c r="H1330" s="487">
        <f t="shared" si="604"/>
        <v>16.489999999999998</v>
      </c>
      <c r="I1330" s="706"/>
      <c r="J1330" s="669" t="s">
        <v>5805</v>
      </c>
      <c r="K1330" s="15"/>
      <c r="L1330"/>
      <c r="M1330" s="49">
        <f t="shared" si="605"/>
        <v>20.61</v>
      </c>
      <c r="N1330" s="41">
        <v>11.67</v>
      </c>
      <c r="O1330" s="54"/>
      <c r="P1330" s="15"/>
      <c r="Q1330"/>
      <c r="R1330"/>
      <c r="S1330" t="s">
        <v>1017</v>
      </c>
      <c r="T1330" s="178" t="s">
        <v>4180</v>
      </c>
      <c r="U1330" s="55"/>
      <c r="V1330" t="s">
        <v>1017</v>
      </c>
      <c r="W1330" s="65"/>
      <c r="X1330" s="65"/>
      <c r="Y1330"/>
      <c r="Z1330"/>
      <c r="AA1330" s="65"/>
      <c r="AB1330"/>
      <c r="AC1330"/>
      <c r="AD1330" s="91"/>
      <c r="AE1330" s="124"/>
      <c r="AF1330" s="65"/>
      <c r="AG1330" s="91"/>
      <c r="AH1330" s="212" t="str">
        <f t="shared" si="607"/>
        <v>2011</v>
      </c>
      <c r="AI1330" s="214" t="str">
        <f t="shared" si="598"/>
        <v/>
      </c>
      <c r="AJ1330" s="214" t="str">
        <f t="shared" si="599"/>
        <v/>
      </c>
      <c r="AK1330" s="214" t="str">
        <f t="shared" si="600"/>
        <v/>
      </c>
      <c r="AL1330" s="214" t="str">
        <f t="shared" si="601"/>
        <v/>
      </c>
      <c r="AM1330" s="214" t="str">
        <f t="shared" si="602"/>
        <v/>
      </c>
      <c r="AN1330" s="213" t="str">
        <f t="shared" si="585"/>
        <v>2011</v>
      </c>
      <c r="AO1330" s="213" t="str">
        <f t="shared" si="586"/>
        <v>2011</v>
      </c>
      <c r="AP1330" s="213" t="str">
        <f t="shared" si="587"/>
        <v>2011</v>
      </c>
      <c r="AQ1330" s="215" t="str">
        <f t="shared" si="588"/>
        <v/>
      </c>
      <c r="AR1330" s="216" t="str">
        <f t="shared" si="589"/>
        <v>BiK81a1K11--06</v>
      </c>
      <c r="AS1330" s="215" t="str">
        <f t="shared" si="590"/>
        <v/>
      </c>
      <c r="AT1330">
        <f t="shared" si="591"/>
        <v>14</v>
      </c>
      <c r="AU1330" s="216" t="str">
        <f t="shared" si="592"/>
        <v>0-0,15 MW, Bonusregeln a1 und K erstmals 2011</v>
      </c>
      <c r="AV1330" s="215" t="str">
        <f t="shared" si="593"/>
        <v/>
      </c>
      <c r="AW1330" s="216" t="str">
        <f t="shared" si="594"/>
        <v>Anteil KWK, erstmals 2011</v>
      </c>
      <c r="AX1330" s="215" t="str">
        <f t="shared" si="595"/>
        <v/>
      </c>
      <c r="AY1330" t="str">
        <f t="shared" si="596"/>
        <v>x</v>
      </c>
      <c r="AZ1330" t="str">
        <f t="shared" si="597"/>
        <v/>
      </c>
    </row>
    <row r="1331" spans="1:52" s="178" customFormat="1" x14ac:dyDescent="0.25">
      <c r="A1331" s="625" t="s">
        <v>1606</v>
      </c>
      <c r="B1331" s="221" t="s">
        <v>5548</v>
      </c>
      <c r="C1331" s="221" t="s">
        <v>1296</v>
      </c>
      <c r="D1331" s="219" t="s">
        <v>6998</v>
      </c>
      <c r="E1331" s="219" t="s">
        <v>1980</v>
      </c>
      <c r="F1331" s="455">
        <f t="shared" si="603"/>
        <v>20.58</v>
      </c>
      <c r="G1331" s="530">
        <v>20.58</v>
      </c>
      <c r="H1331" s="488">
        <f t="shared" si="604"/>
        <v>16.46</v>
      </c>
      <c r="I1331" s="707"/>
      <c r="J1331" s="669" t="s">
        <v>5805</v>
      </c>
      <c r="K1331" s="15"/>
      <c r="L1331"/>
      <c r="M1331" s="49">
        <f t="shared" si="605"/>
        <v>20.58</v>
      </c>
      <c r="N1331" s="41">
        <v>11.67</v>
      </c>
      <c r="O1331" s="54"/>
      <c r="P1331" s="15"/>
      <c r="Q1331"/>
      <c r="R1331"/>
      <c r="S1331" t="s">
        <v>4180</v>
      </c>
      <c r="T1331" s="178" t="s">
        <v>1017</v>
      </c>
      <c r="U1331" s="55"/>
      <c r="V1331" t="s">
        <v>1017</v>
      </c>
      <c r="W1331" s="65"/>
      <c r="X1331" s="65"/>
      <c r="Y1331"/>
      <c r="Z1331"/>
      <c r="AA1331" s="65"/>
      <c r="AB1331"/>
      <c r="AC1331"/>
      <c r="AD1331" s="91"/>
      <c r="AE1331" s="124"/>
      <c r="AF1331" s="65"/>
      <c r="AG1331" s="91"/>
      <c r="AH1331" s="217" t="s">
        <v>4179</v>
      </c>
      <c r="AI1331" s="214" t="str">
        <f t="shared" si="598"/>
        <v/>
      </c>
      <c r="AJ1331" s="214" t="str">
        <f t="shared" si="599"/>
        <v/>
      </c>
      <c r="AK1331" s="214" t="str">
        <f t="shared" si="600"/>
        <v/>
      </c>
      <c r="AL1331" s="214" t="str">
        <f t="shared" si="601"/>
        <v/>
      </c>
      <c r="AM1331" s="214" t="str">
        <f t="shared" si="602"/>
        <v/>
      </c>
      <c r="AN1331" s="213" t="str">
        <f t="shared" si="585"/>
        <v>2012</v>
      </c>
      <c r="AO1331" s="213" t="str">
        <f t="shared" si="586"/>
        <v>2012</v>
      </c>
      <c r="AP1331" s="213" t="str">
        <f t="shared" si="587"/>
        <v>2012</v>
      </c>
      <c r="AQ1331" s="215" t="str">
        <f t="shared" si="588"/>
        <v/>
      </c>
      <c r="AR1331" s="216" t="str">
        <f t="shared" si="589"/>
        <v>BiK81a1K12--06</v>
      </c>
      <c r="AS1331" s="215" t="str">
        <f t="shared" si="590"/>
        <v/>
      </c>
      <c r="AT1331">
        <f t="shared" si="591"/>
        <v>14</v>
      </c>
      <c r="AU1331" s="216" t="str">
        <f t="shared" si="592"/>
        <v>0-0,15 MW, Bonusregeln a1 und K erstmals 2012</v>
      </c>
      <c r="AV1331" s="215" t="str">
        <f t="shared" si="593"/>
        <v/>
      </c>
      <c r="AW1331" s="216" t="str">
        <f t="shared" si="594"/>
        <v>Anteil KWK, erstmals 2012</v>
      </c>
      <c r="AX1331" s="215" t="str">
        <f t="shared" si="595"/>
        <v/>
      </c>
      <c r="AY1331" t="str">
        <f t="shared" si="596"/>
        <v/>
      </c>
      <c r="AZ1331" t="str">
        <f t="shared" si="597"/>
        <v>x</v>
      </c>
    </row>
    <row r="1332" spans="1:52" s="178" customFormat="1" x14ac:dyDescent="0.25">
      <c r="A1332" s="610" t="s">
        <v>4023</v>
      </c>
      <c r="B1332" s="17" t="s">
        <v>5548</v>
      </c>
      <c r="C1332" s="17" t="s">
        <v>1296</v>
      </c>
      <c r="D1332" s="30" t="s">
        <v>6888</v>
      </c>
      <c r="E1332" s="17" t="s">
        <v>4810</v>
      </c>
      <c r="F1332" s="454">
        <f t="shared" si="603"/>
        <v>18.670000000000002</v>
      </c>
      <c r="G1332" s="529">
        <v>18.670000000000002</v>
      </c>
      <c r="H1332" s="487">
        <f t="shared" si="604"/>
        <v>14.94</v>
      </c>
      <c r="I1332" s="706"/>
      <c r="J1332" s="669" t="s">
        <v>5805</v>
      </c>
      <c r="K1332" s="15"/>
      <c r="L1332"/>
      <c r="M1332" s="49">
        <f t="shared" si="605"/>
        <v>18.670000000000002</v>
      </c>
      <c r="N1332" s="41">
        <v>11.67</v>
      </c>
      <c r="O1332" s="54"/>
      <c r="P1332" s="15"/>
      <c r="Q1332"/>
      <c r="R1332"/>
      <c r="S1332" t="s">
        <v>4180</v>
      </c>
      <c r="T1332" s="178" t="s">
        <v>4180</v>
      </c>
      <c r="U1332" s="55" t="s">
        <v>1017</v>
      </c>
      <c r="V1332" t="s">
        <v>1017</v>
      </c>
      <c r="W1332" s="65"/>
      <c r="X1332" s="65"/>
      <c r="Y1332"/>
      <c r="Z1332"/>
      <c r="AA1332" s="65"/>
      <c r="AB1332"/>
      <c r="AC1332"/>
      <c r="AD1332" s="91"/>
      <c r="AE1332" s="124"/>
      <c r="AF1332" s="65"/>
      <c r="AG1332" s="91"/>
      <c r="AH1332" s="212" t="str">
        <f t="shared" ref="AH1332:AH1337" si="608">IF(ISERROR(SEARCH("K erstmals 201",D1332)),"",RIGHT(D1332,4))</f>
        <v/>
      </c>
      <c r="AI1332" s="214" t="str">
        <f t="shared" si="598"/>
        <v/>
      </c>
      <c r="AJ1332" s="214" t="str">
        <f t="shared" si="599"/>
        <v/>
      </c>
      <c r="AK1332" s="214" t="str">
        <f t="shared" si="600"/>
        <v/>
      </c>
      <c r="AL1332" s="214" t="str">
        <f t="shared" si="601"/>
        <v/>
      </c>
      <c r="AM1332" s="214" t="str">
        <f t="shared" si="602"/>
        <v/>
      </c>
      <c r="AN1332" s="213" t="str">
        <f t="shared" si="585"/>
        <v/>
      </c>
      <c r="AO1332" s="213" t="str">
        <f t="shared" si="586"/>
        <v/>
      </c>
      <c r="AP1332" s="213" t="str">
        <f t="shared" si="587"/>
        <v/>
      </c>
      <c r="AQ1332" s="215" t="str">
        <f t="shared" si="588"/>
        <v/>
      </c>
      <c r="AR1332" s="216" t="str">
        <f t="shared" si="589"/>
        <v>BiK81a1y----06</v>
      </c>
      <c r="AS1332" s="215" t="str">
        <f t="shared" si="590"/>
        <v/>
      </c>
      <c r="AT1332">
        <f t="shared" si="591"/>
        <v>14</v>
      </c>
      <c r="AU1332" s="216" t="str">
        <f t="shared" si="592"/>
        <v>0-0,15 MW, Bonusregeln a1, y</v>
      </c>
      <c r="AV1332" s="215" t="str">
        <f t="shared" si="593"/>
        <v/>
      </c>
      <c r="AW1332" s="216" t="str">
        <f t="shared" si="594"/>
        <v>Anteil Nicht-KWK</v>
      </c>
      <c r="AX1332" s="215" t="str">
        <f t="shared" si="595"/>
        <v/>
      </c>
      <c r="AY1332" t="str">
        <f t="shared" si="596"/>
        <v/>
      </c>
      <c r="AZ1332" t="str">
        <f t="shared" si="597"/>
        <v/>
      </c>
    </row>
    <row r="1333" spans="1:52" s="178" customFormat="1" x14ac:dyDescent="0.25">
      <c r="A1333" s="610" t="s">
        <v>4024</v>
      </c>
      <c r="B1333" s="17" t="s">
        <v>5548</v>
      </c>
      <c r="C1333" s="17" t="s">
        <v>1296</v>
      </c>
      <c r="D1333" s="30" t="s">
        <v>6889</v>
      </c>
      <c r="E1333" s="17" t="s">
        <v>4812</v>
      </c>
      <c r="F1333" s="454">
        <f t="shared" si="603"/>
        <v>20.67</v>
      </c>
      <c r="G1333" s="529">
        <v>20.67</v>
      </c>
      <c r="H1333" s="487">
        <f t="shared" si="604"/>
        <v>16.54</v>
      </c>
      <c r="I1333" s="706"/>
      <c r="J1333" s="669" t="s">
        <v>5805</v>
      </c>
      <c r="K1333" s="15"/>
      <c r="L1333"/>
      <c r="M1333" s="49">
        <f t="shared" si="605"/>
        <v>20.67</v>
      </c>
      <c r="N1333" s="41">
        <v>11.67</v>
      </c>
      <c r="O1333" s="54" t="s">
        <v>1017</v>
      </c>
      <c r="P1333" s="15"/>
      <c r="Q1333"/>
      <c r="R1333"/>
      <c r="S1333" t="s">
        <v>4180</v>
      </c>
      <c r="T1333" s="178" t="s">
        <v>4180</v>
      </c>
      <c r="U1333" s="55" t="s">
        <v>1017</v>
      </c>
      <c r="V1333" t="s">
        <v>1017</v>
      </c>
      <c r="W1333" s="65"/>
      <c r="X1333" s="65"/>
      <c r="Y1333"/>
      <c r="Z1333"/>
      <c r="AA1333" s="65"/>
      <c r="AB1333"/>
      <c r="AC1333"/>
      <c r="AD1333" s="91"/>
      <c r="AE1333" s="124"/>
      <c r="AF1333" s="65"/>
      <c r="AG1333" s="91"/>
      <c r="AH1333" s="212" t="str">
        <f t="shared" si="608"/>
        <v/>
      </c>
      <c r="AI1333" s="214" t="str">
        <f t="shared" si="598"/>
        <v/>
      </c>
      <c r="AJ1333" s="214" t="str">
        <f t="shared" si="599"/>
        <v/>
      </c>
      <c r="AK1333" s="214" t="str">
        <f t="shared" si="600"/>
        <v/>
      </c>
      <c r="AL1333" s="214" t="str">
        <f t="shared" si="601"/>
        <v/>
      </c>
      <c r="AM1333" s="214" t="str">
        <f t="shared" si="602"/>
        <v/>
      </c>
      <c r="AN1333" s="213" t="str">
        <f t="shared" si="585"/>
        <v/>
      </c>
      <c r="AO1333" s="213" t="str">
        <f t="shared" si="586"/>
        <v/>
      </c>
      <c r="AP1333" s="213" t="str">
        <f t="shared" si="587"/>
        <v/>
      </c>
      <c r="AQ1333" s="215" t="str">
        <f t="shared" si="588"/>
        <v/>
      </c>
      <c r="AR1333" s="216" t="str">
        <f t="shared" si="589"/>
        <v>BiK81a1KWKy-06</v>
      </c>
      <c r="AS1333" s="215" t="str">
        <f t="shared" si="590"/>
        <v/>
      </c>
      <c r="AT1333">
        <f t="shared" si="591"/>
        <v>14</v>
      </c>
      <c r="AU1333" s="216" t="str">
        <f t="shared" si="592"/>
        <v>0-0,15 MW, Bonusregeln a1, y und KWK</v>
      </c>
      <c r="AV1333" s="215" t="str">
        <f t="shared" si="593"/>
        <v/>
      </c>
      <c r="AW1333" s="216" t="str">
        <f t="shared" si="594"/>
        <v>Anteil KWK</v>
      </c>
      <c r="AX1333" s="215" t="str">
        <f t="shared" si="595"/>
        <v/>
      </c>
      <c r="AY1333" t="str">
        <f t="shared" si="596"/>
        <v/>
      </c>
      <c r="AZ1333" t="str">
        <f t="shared" si="597"/>
        <v/>
      </c>
    </row>
    <row r="1334" spans="1:52" s="178" customFormat="1" x14ac:dyDescent="0.25">
      <c r="A1334" s="610" t="s">
        <v>970</v>
      </c>
      <c r="B1334" s="17" t="s">
        <v>5548</v>
      </c>
      <c r="C1334" s="30" t="s">
        <v>1296</v>
      </c>
      <c r="D1334" s="30" t="s">
        <v>6890</v>
      </c>
      <c r="E1334" s="30" t="s">
        <v>4331</v>
      </c>
      <c r="F1334" s="454">
        <f t="shared" si="603"/>
        <v>21.67</v>
      </c>
      <c r="G1334" s="529">
        <v>21.67</v>
      </c>
      <c r="H1334" s="487">
        <f t="shared" si="604"/>
        <v>17.34</v>
      </c>
      <c r="I1334" s="706"/>
      <c r="J1334" s="669" t="s">
        <v>5805</v>
      </c>
      <c r="K1334" s="15"/>
      <c r="L1334"/>
      <c r="M1334" s="49">
        <f t="shared" si="605"/>
        <v>21.67</v>
      </c>
      <c r="N1334" s="41">
        <v>11.67</v>
      </c>
      <c r="O1334" s="54"/>
      <c r="P1334" t="s">
        <v>1017</v>
      </c>
      <c r="Q1334"/>
      <c r="R1334"/>
      <c r="S1334" t="s">
        <v>4180</v>
      </c>
      <c r="T1334" s="178" t="s">
        <v>4180</v>
      </c>
      <c r="U1334" s="55" t="s">
        <v>1017</v>
      </c>
      <c r="V1334" t="s">
        <v>1017</v>
      </c>
      <c r="W1334" s="65"/>
      <c r="X1334" s="65"/>
      <c r="Y1334"/>
      <c r="Z1334"/>
      <c r="AA1334" s="65"/>
      <c r="AB1334"/>
      <c r="AC1334"/>
      <c r="AD1334" s="91"/>
      <c r="AE1334" s="124"/>
      <c r="AF1334" s="65"/>
      <c r="AG1334" s="91"/>
      <c r="AH1334" s="212" t="str">
        <f t="shared" si="608"/>
        <v/>
      </c>
      <c r="AI1334" s="214" t="str">
        <f t="shared" si="598"/>
        <v/>
      </c>
      <c r="AJ1334" s="214" t="str">
        <f t="shared" si="599"/>
        <v/>
      </c>
      <c r="AK1334" s="214" t="str">
        <f t="shared" si="600"/>
        <v/>
      </c>
      <c r="AL1334" s="214" t="str">
        <f t="shared" si="601"/>
        <v/>
      </c>
      <c r="AM1334" s="214" t="str">
        <f t="shared" si="602"/>
        <v/>
      </c>
      <c r="AN1334" s="213" t="str">
        <f t="shared" si="585"/>
        <v/>
      </c>
      <c r="AO1334" s="213" t="str">
        <f t="shared" si="586"/>
        <v/>
      </c>
      <c r="AP1334" s="213" t="str">
        <f t="shared" si="587"/>
        <v/>
      </c>
      <c r="AQ1334" s="215" t="str">
        <f t="shared" si="588"/>
        <v/>
      </c>
      <c r="AR1334" s="216" t="str">
        <f t="shared" si="589"/>
        <v>BiK81a1KA3y-06</v>
      </c>
      <c r="AS1334" s="215" t="str">
        <f t="shared" si="590"/>
        <v/>
      </c>
      <c r="AT1334">
        <f t="shared" si="591"/>
        <v>14</v>
      </c>
      <c r="AU1334" s="216" t="str">
        <f t="shared" si="592"/>
        <v>0-0,15 MW, Bonusregeln a1, y und K wenn Anlage 3 erfüllt</v>
      </c>
      <c r="AV1334" s="215" t="str">
        <f t="shared" si="593"/>
        <v/>
      </c>
      <c r="AW1334" s="216" t="str">
        <f t="shared" si="594"/>
        <v>Anteil KWK gemäß Anlage 3</v>
      </c>
      <c r="AX1334" s="215" t="str">
        <f t="shared" si="595"/>
        <v/>
      </c>
      <c r="AY1334" t="str">
        <f t="shared" si="596"/>
        <v/>
      </c>
      <c r="AZ1334" t="str">
        <f t="shared" si="597"/>
        <v/>
      </c>
    </row>
    <row r="1335" spans="1:52" s="178" customFormat="1" x14ac:dyDescent="0.25">
      <c r="A1335" s="610" t="s">
        <v>971</v>
      </c>
      <c r="B1335" s="17" t="s">
        <v>5548</v>
      </c>
      <c r="C1335" s="17" t="s">
        <v>1296</v>
      </c>
      <c r="D1335" s="30" t="s">
        <v>6891</v>
      </c>
      <c r="E1335" s="17" t="s">
        <v>674</v>
      </c>
      <c r="F1335" s="454">
        <f t="shared" si="603"/>
        <v>21.67</v>
      </c>
      <c r="G1335" s="529">
        <v>21.67</v>
      </c>
      <c r="H1335" s="487">
        <f t="shared" si="604"/>
        <v>17.34</v>
      </c>
      <c r="I1335" s="706"/>
      <c r="J1335" s="669" t="s">
        <v>5805</v>
      </c>
      <c r="K1335" s="15"/>
      <c r="L1335"/>
      <c r="M1335" s="49">
        <f t="shared" si="605"/>
        <v>21.67</v>
      </c>
      <c r="N1335" s="41">
        <v>11.67</v>
      </c>
      <c r="O1335" s="54"/>
      <c r="P1335" s="15"/>
      <c r="Q1335" t="s">
        <v>1017</v>
      </c>
      <c r="R1335"/>
      <c r="S1335" t="s">
        <v>4180</v>
      </c>
      <c r="T1335" s="178" t="s">
        <v>4180</v>
      </c>
      <c r="U1335" s="55" t="s">
        <v>1017</v>
      </c>
      <c r="V1335" t="s">
        <v>1017</v>
      </c>
      <c r="W1335" s="65"/>
      <c r="X1335" s="65"/>
      <c r="Y1335"/>
      <c r="Z1335"/>
      <c r="AA1335" s="65"/>
      <c r="AB1335"/>
      <c r="AC1335"/>
      <c r="AD1335" s="91"/>
      <c r="AE1335" s="124"/>
      <c r="AF1335" s="65"/>
      <c r="AG1335" s="91"/>
      <c r="AH1335" s="212" t="str">
        <f t="shared" si="608"/>
        <v/>
      </c>
      <c r="AI1335" s="214" t="str">
        <f t="shared" si="598"/>
        <v/>
      </c>
      <c r="AJ1335" s="214" t="str">
        <f t="shared" si="599"/>
        <v/>
      </c>
      <c r="AK1335" s="214" t="str">
        <f t="shared" si="600"/>
        <v/>
      </c>
      <c r="AL1335" s="214" t="str">
        <f t="shared" si="601"/>
        <v/>
      </c>
      <c r="AM1335" s="214" t="str">
        <f t="shared" si="602"/>
        <v/>
      </c>
      <c r="AN1335" s="213" t="str">
        <f t="shared" si="585"/>
        <v/>
      </c>
      <c r="AO1335" s="213" t="str">
        <f t="shared" si="586"/>
        <v/>
      </c>
      <c r="AP1335" s="213" t="str">
        <f t="shared" si="587"/>
        <v/>
      </c>
      <c r="AQ1335" s="215" t="str">
        <f t="shared" si="588"/>
        <v/>
      </c>
      <c r="AR1335" s="216" t="str">
        <f t="shared" si="589"/>
        <v>BiK81a1K09y-06</v>
      </c>
      <c r="AS1335" s="215" t="str">
        <f t="shared" si="590"/>
        <v/>
      </c>
      <c r="AT1335">
        <f t="shared" si="591"/>
        <v>14</v>
      </c>
      <c r="AU1335" s="216" t="str">
        <f t="shared" si="592"/>
        <v>0-0,15 MW, Bonusregeln a1, y und K erstmals 2009</v>
      </c>
      <c r="AV1335" s="215" t="str">
        <f t="shared" si="593"/>
        <v/>
      </c>
      <c r="AW1335" s="216" t="str">
        <f t="shared" si="594"/>
        <v>Anteil KWK, erstmals 2009</v>
      </c>
      <c r="AX1335" s="215" t="str">
        <f t="shared" si="595"/>
        <v/>
      </c>
      <c r="AY1335" t="str">
        <f t="shared" si="596"/>
        <v/>
      </c>
      <c r="AZ1335" t="str">
        <f t="shared" si="597"/>
        <v/>
      </c>
    </row>
    <row r="1336" spans="1:52" s="178" customFormat="1" x14ac:dyDescent="0.25">
      <c r="A1336" s="610" t="s">
        <v>4888</v>
      </c>
      <c r="B1336" s="17" t="s">
        <v>5548</v>
      </c>
      <c r="C1336" s="17" t="s">
        <v>1296</v>
      </c>
      <c r="D1336" s="30" t="s">
        <v>6892</v>
      </c>
      <c r="E1336" s="30" t="s">
        <v>3567</v>
      </c>
      <c r="F1336" s="454">
        <f t="shared" si="603"/>
        <v>21.64</v>
      </c>
      <c r="G1336" s="529">
        <v>21.64</v>
      </c>
      <c r="H1336" s="487">
        <f t="shared" si="604"/>
        <v>17.309999999999999</v>
      </c>
      <c r="I1336" s="706"/>
      <c r="J1336" s="669" t="s">
        <v>5805</v>
      </c>
      <c r="K1336" s="15"/>
      <c r="L1336"/>
      <c r="M1336" s="49">
        <f t="shared" si="605"/>
        <v>21.64</v>
      </c>
      <c r="N1336" s="41">
        <v>11.67</v>
      </c>
      <c r="O1336" s="54"/>
      <c r="P1336" s="15"/>
      <c r="Q1336"/>
      <c r="R1336" t="s">
        <v>1017</v>
      </c>
      <c r="S1336" t="s">
        <v>4180</v>
      </c>
      <c r="T1336" s="178" t="s">
        <v>4180</v>
      </c>
      <c r="U1336" s="55" t="s">
        <v>1017</v>
      </c>
      <c r="V1336" t="s">
        <v>1017</v>
      </c>
      <c r="W1336" s="65"/>
      <c r="X1336" s="65"/>
      <c r="Y1336"/>
      <c r="Z1336"/>
      <c r="AA1336" s="65"/>
      <c r="AB1336"/>
      <c r="AC1336"/>
      <c r="AD1336" s="91"/>
      <c r="AE1336" s="124"/>
      <c r="AF1336" s="65"/>
      <c r="AG1336" s="91"/>
      <c r="AH1336" s="212" t="str">
        <f t="shared" si="608"/>
        <v>2010</v>
      </c>
      <c r="AI1336" s="214" t="str">
        <f t="shared" si="598"/>
        <v/>
      </c>
      <c r="AJ1336" s="214" t="str">
        <f t="shared" si="599"/>
        <v/>
      </c>
      <c r="AK1336" s="214" t="str">
        <f t="shared" si="600"/>
        <v/>
      </c>
      <c r="AL1336" s="214" t="str">
        <f t="shared" si="601"/>
        <v/>
      </c>
      <c r="AM1336" s="214" t="str">
        <f t="shared" si="602"/>
        <v/>
      </c>
      <c r="AN1336" s="213" t="str">
        <f t="shared" si="585"/>
        <v>2010</v>
      </c>
      <c r="AO1336" s="213" t="str">
        <f t="shared" si="586"/>
        <v>2010</v>
      </c>
      <c r="AP1336" s="213" t="str">
        <f t="shared" si="587"/>
        <v>2010</v>
      </c>
      <c r="AQ1336" s="215" t="str">
        <f t="shared" si="588"/>
        <v/>
      </c>
      <c r="AR1336" s="216" t="str">
        <f t="shared" si="589"/>
        <v>BiK81a1K10y-06</v>
      </c>
      <c r="AS1336" s="215" t="str">
        <f t="shared" si="590"/>
        <v/>
      </c>
      <c r="AT1336">
        <f t="shared" si="591"/>
        <v>14</v>
      </c>
      <c r="AU1336" s="216" t="str">
        <f t="shared" si="592"/>
        <v>0-0,15 MW, Bonusregeln a1, y und K erstmals 2010</v>
      </c>
      <c r="AV1336" s="215" t="str">
        <f t="shared" si="593"/>
        <v/>
      </c>
      <c r="AW1336" s="216" t="str">
        <f t="shared" si="594"/>
        <v>Anteil KWK, erstmals 2010</v>
      </c>
      <c r="AX1336" s="215" t="str">
        <f t="shared" si="595"/>
        <v/>
      </c>
      <c r="AY1336" t="str">
        <f t="shared" si="596"/>
        <v/>
      </c>
      <c r="AZ1336" t="str">
        <f t="shared" si="597"/>
        <v/>
      </c>
    </row>
    <row r="1337" spans="1:52" s="178" customFormat="1" x14ac:dyDescent="0.25">
      <c r="A1337" s="610" t="s">
        <v>5357</v>
      </c>
      <c r="B1337" s="17" t="s">
        <v>5548</v>
      </c>
      <c r="C1337" s="17" t="s">
        <v>1296</v>
      </c>
      <c r="D1337" s="30" t="s">
        <v>6893</v>
      </c>
      <c r="E1337" s="30" t="s">
        <v>3055</v>
      </c>
      <c r="F1337" s="454">
        <f t="shared" si="603"/>
        <v>21.61</v>
      </c>
      <c r="G1337" s="529">
        <v>21.61</v>
      </c>
      <c r="H1337" s="487">
        <f t="shared" si="604"/>
        <v>17.29</v>
      </c>
      <c r="I1337" s="706"/>
      <c r="J1337" s="669" t="s">
        <v>5805</v>
      </c>
      <c r="K1337" s="15"/>
      <c r="L1337"/>
      <c r="M1337" s="49">
        <f t="shared" si="605"/>
        <v>21.61</v>
      </c>
      <c r="N1337" s="41">
        <v>11.67</v>
      </c>
      <c r="O1337" s="54"/>
      <c r="P1337" s="15"/>
      <c r="Q1337"/>
      <c r="R1337"/>
      <c r="S1337" t="s">
        <v>1017</v>
      </c>
      <c r="T1337" s="178" t="s">
        <v>4180</v>
      </c>
      <c r="U1337" s="55" t="s">
        <v>1017</v>
      </c>
      <c r="V1337" t="s">
        <v>1017</v>
      </c>
      <c r="W1337" s="65"/>
      <c r="X1337" s="65"/>
      <c r="Y1337"/>
      <c r="Z1337"/>
      <c r="AA1337" s="65"/>
      <c r="AB1337"/>
      <c r="AC1337"/>
      <c r="AD1337" s="91"/>
      <c r="AE1337" s="124"/>
      <c r="AF1337" s="65"/>
      <c r="AG1337" s="91"/>
      <c r="AH1337" s="212" t="str">
        <f t="shared" si="608"/>
        <v>2011</v>
      </c>
      <c r="AI1337" s="214" t="str">
        <f t="shared" si="598"/>
        <v/>
      </c>
      <c r="AJ1337" s="214" t="str">
        <f t="shared" si="599"/>
        <v/>
      </c>
      <c r="AK1337" s="214" t="str">
        <f t="shared" si="600"/>
        <v/>
      </c>
      <c r="AL1337" s="214" t="str">
        <f t="shared" si="601"/>
        <v/>
      </c>
      <c r="AM1337" s="214" t="str">
        <f t="shared" si="602"/>
        <v/>
      </c>
      <c r="AN1337" s="213" t="str">
        <f t="shared" si="585"/>
        <v>2011</v>
      </c>
      <c r="AO1337" s="213" t="str">
        <f t="shared" si="586"/>
        <v>2011</v>
      </c>
      <c r="AP1337" s="213" t="str">
        <f t="shared" si="587"/>
        <v>2011</v>
      </c>
      <c r="AQ1337" s="215" t="str">
        <f t="shared" si="588"/>
        <v/>
      </c>
      <c r="AR1337" s="216" t="str">
        <f t="shared" si="589"/>
        <v>BiK81a1K11y-06</v>
      </c>
      <c r="AS1337" s="215" t="str">
        <f t="shared" si="590"/>
        <v/>
      </c>
      <c r="AT1337">
        <f t="shared" si="591"/>
        <v>14</v>
      </c>
      <c r="AU1337" s="216" t="str">
        <f t="shared" si="592"/>
        <v>0-0,15 MW, Bonusregeln a1, y und K erstmals 2011</v>
      </c>
      <c r="AV1337" s="215" t="str">
        <f t="shared" si="593"/>
        <v/>
      </c>
      <c r="AW1337" s="216" t="str">
        <f t="shared" si="594"/>
        <v>Anteil KWK, erstmals 2011</v>
      </c>
      <c r="AX1337" s="215" t="str">
        <f t="shared" si="595"/>
        <v/>
      </c>
      <c r="AY1337" t="str">
        <f t="shared" si="596"/>
        <v>x</v>
      </c>
      <c r="AZ1337" t="str">
        <f t="shared" si="597"/>
        <v/>
      </c>
    </row>
    <row r="1338" spans="1:52" s="178" customFormat="1" x14ac:dyDescent="0.25">
      <c r="A1338" s="625" t="s">
        <v>1607</v>
      </c>
      <c r="B1338" s="221" t="s">
        <v>5548</v>
      </c>
      <c r="C1338" s="221" t="s">
        <v>1296</v>
      </c>
      <c r="D1338" s="219" t="s">
        <v>6894</v>
      </c>
      <c r="E1338" s="219" t="s">
        <v>1980</v>
      </c>
      <c r="F1338" s="455">
        <f t="shared" si="603"/>
        <v>21.58</v>
      </c>
      <c r="G1338" s="530">
        <v>21.58</v>
      </c>
      <c r="H1338" s="488">
        <f t="shared" si="604"/>
        <v>17.260000000000002</v>
      </c>
      <c r="I1338" s="707"/>
      <c r="J1338" s="669" t="s">
        <v>5805</v>
      </c>
      <c r="K1338" s="15"/>
      <c r="L1338"/>
      <c r="M1338" s="49">
        <f t="shared" si="605"/>
        <v>21.58</v>
      </c>
      <c r="N1338" s="41">
        <v>11.67</v>
      </c>
      <c r="O1338" s="54"/>
      <c r="P1338" s="15"/>
      <c r="Q1338"/>
      <c r="R1338"/>
      <c r="S1338" t="s">
        <v>4180</v>
      </c>
      <c r="T1338" s="178" t="s">
        <v>1017</v>
      </c>
      <c r="U1338" s="55" t="s">
        <v>1017</v>
      </c>
      <c r="V1338" t="s">
        <v>1017</v>
      </c>
      <c r="W1338" s="65"/>
      <c r="X1338" s="65"/>
      <c r="Y1338"/>
      <c r="Z1338"/>
      <c r="AA1338" s="65"/>
      <c r="AB1338"/>
      <c r="AC1338"/>
      <c r="AD1338" s="91"/>
      <c r="AE1338" s="124"/>
      <c r="AF1338" s="65"/>
      <c r="AG1338" s="91"/>
      <c r="AH1338" s="217" t="s">
        <v>4179</v>
      </c>
      <c r="AI1338" s="214" t="str">
        <f t="shared" si="598"/>
        <v/>
      </c>
      <c r="AJ1338" s="214" t="str">
        <f t="shared" si="599"/>
        <v/>
      </c>
      <c r="AK1338" s="214" t="str">
        <f t="shared" si="600"/>
        <v/>
      </c>
      <c r="AL1338" s="214" t="str">
        <f t="shared" si="601"/>
        <v/>
      </c>
      <c r="AM1338" s="214" t="str">
        <f t="shared" si="602"/>
        <v/>
      </c>
      <c r="AN1338" s="213" t="str">
        <f t="shared" si="585"/>
        <v>2012</v>
      </c>
      <c r="AO1338" s="213" t="str">
        <f t="shared" si="586"/>
        <v>2012</v>
      </c>
      <c r="AP1338" s="213" t="str">
        <f t="shared" si="587"/>
        <v>2012</v>
      </c>
      <c r="AQ1338" s="215" t="str">
        <f t="shared" si="588"/>
        <v/>
      </c>
      <c r="AR1338" s="216" t="str">
        <f t="shared" si="589"/>
        <v>BiK81a1K12y-06</v>
      </c>
      <c r="AS1338" s="215" t="str">
        <f t="shared" si="590"/>
        <v/>
      </c>
      <c r="AT1338">
        <f t="shared" si="591"/>
        <v>14</v>
      </c>
      <c r="AU1338" s="216" t="str">
        <f t="shared" si="592"/>
        <v>0-0,15 MW, Bonusregeln a1, y und K erstmals 2012</v>
      </c>
      <c r="AV1338" s="215" t="str">
        <f t="shared" si="593"/>
        <v/>
      </c>
      <c r="AW1338" s="216" t="str">
        <f t="shared" si="594"/>
        <v>Anteil KWK, erstmals 2012</v>
      </c>
      <c r="AX1338" s="215" t="str">
        <f t="shared" si="595"/>
        <v/>
      </c>
      <c r="AY1338" t="str">
        <f t="shared" si="596"/>
        <v/>
      </c>
      <c r="AZ1338" t="str">
        <f t="shared" si="597"/>
        <v>x</v>
      </c>
    </row>
    <row r="1339" spans="1:52" s="178" customFormat="1" x14ac:dyDescent="0.25">
      <c r="A1339" s="610" t="s">
        <v>4596</v>
      </c>
      <c r="B1339" s="30" t="s">
        <v>5548</v>
      </c>
      <c r="C1339" s="30" t="s">
        <v>1296</v>
      </c>
      <c r="D1339" s="30" t="s">
        <v>6810</v>
      </c>
      <c r="E1339" s="30" t="s">
        <v>4810</v>
      </c>
      <c r="F1339" s="454">
        <f t="shared" si="603"/>
        <v>18.670000000000002</v>
      </c>
      <c r="G1339" s="529">
        <v>18.670000000000002</v>
      </c>
      <c r="H1339" s="487">
        <f t="shared" si="604"/>
        <v>14.94</v>
      </c>
      <c r="I1339" s="706"/>
      <c r="J1339" s="669" t="s">
        <v>5805</v>
      </c>
      <c r="K1339" s="15"/>
      <c r="L1339"/>
      <c r="M1339" s="49">
        <f t="shared" si="605"/>
        <v>18.670000000000002</v>
      </c>
      <c r="N1339" s="41">
        <v>11.67</v>
      </c>
      <c r="O1339" s="186"/>
      <c r="P1339" s="177"/>
      <c r="S1339" s="178" t="s">
        <v>4180</v>
      </c>
      <c r="T1339" s="178" t="s">
        <v>4180</v>
      </c>
      <c r="U1339" s="179"/>
      <c r="W1339" s="180"/>
      <c r="X1339" s="180"/>
      <c r="Y1339" s="178" t="s">
        <v>1017</v>
      </c>
      <c r="AA1339" s="180"/>
      <c r="AD1339" s="201"/>
      <c r="AE1339" s="200"/>
      <c r="AF1339" s="180"/>
      <c r="AG1339" s="201"/>
      <c r="AH1339" s="212" t="str">
        <f t="shared" ref="AH1339:AH1344" si="609">IF(ISERROR(SEARCH("K erstmals 201",D1339)),"",RIGHT(D1339,4))</f>
        <v/>
      </c>
      <c r="AI1339" s="214" t="str">
        <f t="shared" si="598"/>
        <v/>
      </c>
      <c r="AJ1339" s="214" t="str">
        <f t="shared" si="599"/>
        <v/>
      </c>
      <c r="AK1339" s="214" t="str">
        <f t="shared" si="600"/>
        <v/>
      </c>
      <c r="AL1339" s="214" t="str">
        <f t="shared" si="601"/>
        <v/>
      </c>
      <c r="AM1339" s="214" t="str">
        <f t="shared" si="602"/>
        <v/>
      </c>
      <c r="AN1339" s="213" t="str">
        <f t="shared" si="585"/>
        <v/>
      </c>
      <c r="AO1339" s="213" t="str">
        <f t="shared" si="586"/>
        <v/>
      </c>
      <c r="AP1339" s="213" t="str">
        <f t="shared" si="587"/>
        <v/>
      </c>
      <c r="AQ1339" s="215" t="str">
        <f t="shared" si="588"/>
        <v/>
      </c>
      <c r="AR1339" s="216" t="str">
        <f t="shared" si="589"/>
        <v>BiK81G------06</v>
      </c>
      <c r="AS1339" s="215" t="str">
        <f t="shared" si="590"/>
        <v/>
      </c>
      <c r="AT1339">
        <f t="shared" si="591"/>
        <v>14</v>
      </c>
      <c r="AU1339" s="216" t="str">
        <f t="shared" si="592"/>
        <v>0-0,15 MW, Bonusregel G</v>
      </c>
      <c r="AV1339" s="215" t="str">
        <f t="shared" si="593"/>
        <v/>
      </c>
      <c r="AW1339" s="216" t="str">
        <f t="shared" si="594"/>
        <v>Anteil Nicht-KWK</v>
      </c>
      <c r="AX1339" s="215" t="str">
        <f t="shared" si="595"/>
        <v/>
      </c>
      <c r="AY1339" t="str">
        <f t="shared" si="596"/>
        <v/>
      </c>
      <c r="AZ1339" t="str">
        <f t="shared" si="597"/>
        <v/>
      </c>
    </row>
    <row r="1340" spans="1:52" s="178" customFormat="1" x14ac:dyDescent="0.25">
      <c r="A1340" s="610" t="s">
        <v>4597</v>
      </c>
      <c r="B1340" s="30" t="s">
        <v>5548</v>
      </c>
      <c r="C1340" s="30" t="s">
        <v>1296</v>
      </c>
      <c r="D1340" s="30" t="s">
        <v>6895</v>
      </c>
      <c r="E1340" s="30" t="s">
        <v>4812</v>
      </c>
      <c r="F1340" s="454">
        <f t="shared" si="603"/>
        <v>20.67</v>
      </c>
      <c r="G1340" s="529">
        <v>20.67</v>
      </c>
      <c r="H1340" s="487">
        <f t="shared" si="604"/>
        <v>16.54</v>
      </c>
      <c r="I1340" s="706"/>
      <c r="J1340" s="669" t="s">
        <v>5805</v>
      </c>
      <c r="K1340" s="15"/>
      <c r="L1340"/>
      <c r="M1340" s="49">
        <f t="shared" si="605"/>
        <v>20.67</v>
      </c>
      <c r="N1340" s="41">
        <v>11.67</v>
      </c>
      <c r="O1340" s="186" t="s">
        <v>1017</v>
      </c>
      <c r="P1340" s="177"/>
      <c r="S1340" s="178" t="s">
        <v>4180</v>
      </c>
      <c r="T1340" s="178" t="s">
        <v>4180</v>
      </c>
      <c r="U1340" s="179"/>
      <c r="W1340" s="180"/>
      <c r="X1340" s="180"/>
      <c r="Y1340" s="178" t="s">
        <v>1017</v>
      </c>
      <c r="AA1340" s="180"/>
      <c r="AD1340" s="201"/>
      <c r="AE1340" s="200"/>
      <c r="AF1340" s="180"/>
      <c r="AG1340" s="201"/>
      <c r="AH1340" s="212" t="str">
        <f t="shared" si="609"/>
        <v/>
      </c>
      <c r="AI1340" s="214" t="str">
        <f t="shared" si="598"/>
        <v/>
      </c>
      <c r="AJ1340" s="214" t="str">
        <f t="shared" si="599"/>
        <v/>
      </c>
      <c r="AK1340" s="214" t="str">
        <f t="shared" si="600"/>
        <v/>
      </c>
      <c r="AL1340" s="214" t="str">
        <f t="shared" si="601"/>
        <v/>
      </c>
      <c r="AM1340" s="214" t="str">
        <f t="shared" si="602"/>
        <v/>
      </c>
      <c r="AN1340" s="213" t="str">
        <f t="shared" si="585"/>
        <v/>
      </c>
      <c r="AO1340" s="213" t="str">
        <f t="shared" si="586"/>
        <v/>
      </c>
      <c r="AP1340" s="213" t="str">
        <f t="shared" si="587"/>
        <v/>
      </c>
      <c r="AQ1340" s="215" t="str">
        <f t="shared" si="588"/>
        <v/>
      </c>
      <c r="AR1340" s="216" t="str">
        <f t="shared" si="589"/>
        <v>BiK81GKWK---06</v>
      </c>
      <c r="AS1340" s="215" t="str">
        <f t="shared" si="590"/>
        <v/>
      </c>
      <c r="AT1340">
        <f t="shared" si="591"/>
        <v>14</v>
      </c>
      <c r="AU1340" s="216" t="str">
        <f t="shared" si="592"/>
        <v>0-0,15 MW, Bonusregeln G und KWK</v>
      </c>
      <c r="AV1340" s="215" t="str">
        <f t="shared" si="593"/>
        <v/>
      </c>
      <c r="AW1340" s="216" t="str">
        <f t="shared" si="594"/>
        <v>Anteil KWK</v>
      </c>
      <c r="AX1340" s="215" t="str">
        <f t="shared" si="595"/>
        <v/>
      </c>
      <c r="AY1340" t="str">
        <f t="shared" si="596"/>
        <v/>
      </c>
      <c r="AZ1340" t="str">
        <f t="shared" si="597"/>
        <v/>
      </c>
    </row>
    <row r="1341" spans="1:52" s="178" customFormat="1" x14ac:dyDescent="0.25">
      <c r="A1341" s="610" t="s">
        <v>4598</v>
      </c>
      <c r="B1341" s="30" t="s">
        <v>5548</v>
      </c>
      <c r="C1341" s="30" t="s">
        <v>1296</v>
      </c>
      <c r="D1341" s="30" t="s">
        <v>6811</v>
      </c>
      <c r="E1341" s="30" t="s">
        <v>4331</v>
      </c>
      <c r="F1341" s="454">
        <f t="shared" si="603"/>
        <v>21.67</v>
      </c>
      <c r="G1341" s="529">
        <v>21.67</v>
      </c>
      <c r="H1341" s="487">
        <f t="shared" si="604"/>
        <v>17.34</v>
      </c>
      <c r="I1341" s="706"/>
      <c r="J1341" s="669" t="s">
        <v>5805</v>
      </c>
      <c r="K1341" s="15"/>
      <c r="L1341"/>
      <c r="M1341" s="49">
        <f t="shared" si="605"/>
        <v>21.67</v>
      </c>
      <c r="N1341" s="41">
        <v>11.67</v>
      </c>
      <c r="O1341" s="186"/>
      <c r="P1341" s="178" t="s">
        <v>1017</v>
      </c>
      <c r="S1341" s="178" t="s">
        <v>4180</v>
      </c>
      <c r="T1341" s="178" t="s">
        <v>4180</v>
      </c>
      <c r="U1341" s="179"/>
      <c r="W1341" s="180"/>
      <c r="X1341" s="180"/>
      <c r="Y1341" s="178" t="s">
        <v>1017</v>
      </c>
      <c r="AA1341" s="180"/>
      <c r="AD1341" s="201"/>
      <c r="AE1341" s="200"/>
      <c r="AF1341" s="180"/>
      <c r="AG1341" s="201"/>
      <c r="AH1341" s="212" t="str">
        <f t="shared" si="609"/>
        <v/>
      </c>
      <c r="AI1341" s="214" t="str">
        <f t="shared" si="598"/>
        <v/>
      </c>
      <c r="AJ1341" s="214" t="str">
        <f t="shared" si="599"/>
        <v/>
      </c>
      <c r="AK1341" s="214" t="str">
        <f t="shared" si="600"/>
        <v/>
      </c>
      <c r="AL1341" s="214" t="str">
        <f t="shared" si="601"/>
        <v/>
      </c>
      <c r="AM1341" s="214" t="str">
        <f t="shared" si="602"/>
        <v/>
      </c>
      <c r="AN1341" s="213" t="str">
        <f t="shared" si="585"/>
        <v/>
      </c>
      <c r="AO1341" s="213" t="str">
        <f t="shared" si="586"/>
        <v/>
      </c>
      <c r="AP1341" s="213" t="str">
        <f t="shared" si="587"/>
        <v/>
      </c>
      <c r="AQ1341" s="215" t="str">
        <f t="shared" si="588"/>
        <v/>
      </c>
      <c r="AR1341" s="216" t="str">
        <f t="shared" si="589"/>
        <v>BiK81GKA3---06</v>
      </c>
      <c r="AS1341" s="215" t="str">
        <f t="shared" si="590"/>
        <v/>
      </c>
      <c r="AT1341">
        <f t="shared" si="591"/>
        <v>14</v>
      </c>
      <c r="AU1341" s="216" t="str">
        <f t="shared" si="592"/>
        <v>0-0,15 MW, Bonusregeln G und K wenn Anlage 3 erfüllt</v>
      </c>
      <c r="AV1341" s="215" t="str">
        <f t="shared" si="593"/>
        <v/>
      </c>
      <c r="AW1341" s="216" t="str">
        <f t="shared" si="594"/>
        <v>Anteil KWK gemäß Anlage 3</v>
      </c>
      <c r="AX1341" s="215" t="str">
        <f t="shared" si="595"/>
        <v/>
      </c>
      <c r="AY1341" t="str">
        <f t="shared" si="596"/>
        <v/>
      </c>
      <c r="AZ1341" t="str">
        <f t="shared" si="597"/>
        <v/>
      </c>
    </row>
    <row r="1342" spans="1:52" s="178" customFormat="1" x14ac:dyDescent="0.25">
      <c r="A1342" s="610" t="s">
        <v>4599</v>
      </c>
      <c r="B1342" s="30" t="s">
        <v>5548</v>
      </c>
      <c r="C1342" s="30" t="s">
        <v>1296</v>
      </c>
      <c r="D1342" s="30" t="s">
        <v>6812</v>
      </c>
      <c r="E1342" s="30" t="s">
        <v>674</v>
      </c>
      <c r="F1342" s="454">
        <f t="shared" si="603"/>
        <v>21.67</v>
      </c>
      <c r="G1342" s="529">
        <v>21.67</v>
      </c>
      <c r="H1342" s="487">
        <f t="shared" si="604"/>
        <v>17.34</v>
      </c>
      <c r="I1342" s="706"/>
      <c r="J1342" s="669" t="s">
        <v>5805</v>
      </c>
      <c r="K1342" s="15"/>
      <c r="L1342"/>
      <c r="M1342" s="49">
        <f t="shared" si="605"/>
        <v>21.67</v>
      </c>
      <c r="N1342" s="41">
        <v>11.67</v>
      </c>
      <c r="O1342" s="186"/>
      <c r="P1342" s="177"/>
      <c r="Q1342" s="178" t="s">
        <v>1017</v>
      </c>
      <c r="S1342" s="178" t="s">
        <v>4180</v>
      </c>
      <c r="T1342" s="178" t="s">
        <v>4180</v>
      </c>
      <c r="U1342" s="179"/>
      <c r="W1342" s="180"/>
      <c r="X1342" s="180"/>
      <c r="Y1342" s="178" t="s">
        <v>1017</v>
      </c>
      <c r="AA1342" s="180"/>
      <c r="AD1342" s="201"/>
      <c r="AE1342" s="200"/>
      <c r="AF1342" s="180"/>
      <c r="AG1342" s="201"/>
      <c r="AH1342" s="212" t="str">
        <f t="shared" si="609"/>
        <v/>
      </c>
      <c r="AI1342" s="214" t="str">
        <f t="shared" si="598"/>
        <v/>
      </c>
      <c r="AJ1342" s="214" t="str">
        <f t="shared" si="599"/>
        <v/>
      </c>
      <c r="AK1342" s="214" t="str">
        <f t="shared" si="600"/>
        <v/>
      </c>
      <c r="AL1342" s="214" t="str">
        <f t="shared" si="601"/>
        <v/>
      </c>
      <c r="AM1342" s="214" t="str">
        <f t="shared" si="602"/>
        <v/>
      </c>
      <c r="AN1342" s="213" t="str">
        <f t="shared" si="585"/>
        <v/>
      </c>
      <c r="AO1342" s="213" t="str">
        <f t="shared" si="586"/>
        <v/>
      </c>
      <c r="AP1342" s="213" t="str">
        <f t="shared" si="587"/>
        <v/>
      </c>
      <c r="AQ1342" s="215" t="str">
        <f t="shared" si="588"/>
        <v/>
      </c>
      <c r="AR1342" s="216" t="str">
        <f t="shared" si="589"/>
        <v>BiK81GK09---06</v>
      </c>
      <c r="AS1342" s="215" t="str">
        <f t="shared" si="590"/>
        <v/>
      </c>
      <c r="AT1342">
        <f t="shared" si="591"/>
        <v>14</v>
      </c>
      <c r="AU1342" s="216" t="str">
        <f t="shared" si="592"/>
        <v>0-0,15 MW, Bonusregeln G und K erstmals 2009</v>
      </c>
      <c r="AV1342" s="215" t="str">
        <f t="shared" si="593"/>
        <v/>
      </c>
      <c r="AW1342" s="216" t="str">
        <f t="shared" si="594"/>
        <v>Anteil KWK, erstmals 2009</v>
      </c>
      <c r="AX1342" s="215" t="str">
        <f t="shared" si="595"/>
        <v/>
      </c>
      <c r="AY1342" t="str">
        <f t="shared" si="596"/>
        <v/>
      </c>
      <c r="AZ1342" t="str">
        <f t="shared" si="597"/>
        <v/>
      </c>
    </row>
    <row r="1343" spans="1:52" s="178" customFormat="1" x14ac:dyDescent="0.25">
      <c r="A1343" s="610" t="s">
        <v>4889</v>
      </c>
      <c r="B1343" s="30" t="s">
        <v>5548</v>
      </c>
      <c r="C1343" s="30" t="s">
        <v>1296</v>
      </c>
      <c r="D1343" s="30" t="s">
        <v>6813</v>
      </c>
      <c r="E1343" s="30" t="s">
        <v>3567</v>
      </c>
      <c r="F1343" s="454">
        <f t="shared" si="603"/>
        <v>21.64</v>
      </c>
      <c r="G1343" s="529">
        <v>21.64</v>
      </c>
      <c r="H1343" s="487">
        <f t="shared" si="604"/>
        <v>17.309999999999999</v>
      </c>
      <c r="I1343" s="706"/>
      <c r="J1343" s="669" t="s">
        <v>5805</v>
      </c>
      <c r="K1343" s="15"/>
      <c r="L1343"/>
      <c r="M1343" s="49">
        <f t="shared" si="605"/>
        <v>21.64</v>
      </c>
      <c r="N1343" s="41">
        <v>11.67</v>
      </c>
      <c r="O1343" s="186"/>
      <c r="P1343" s="177"/>
      <c r="R1343" s="178" t="s">
        <v>1017</v>
      </c>
      <c r="S1343" s="178" t="s">
        <v>4180</v>
      </c>
      <c r="T1343" s="178" t="s">
        <v>4180</v>
      </c>
      <c r="U1343" s="179"/>
      <c r="W1343" s="180"/>
      <c r="X1343" s="180"/>
      <c r="Y1343" s="178" t="s">
        <v>1017</v>
      </c>
      <c r="AA1343" s="180"/>
      <c r="AD1343" s="201"/>
      <c r="AE1343" s="200"/>
      <c r="AF1343" s="180"/>
      <c r="AG1343" s="201"/>
      <c r="AH1343" s="212" t="str">
        <f t="shared" si="609"/>
        <v>2010</v>
      </c>
      <c r="AI1343" s="214" t="str">
        <f t="shared" si="598"/>
        <v/>
      </c>
      <c r="AJ1343" s="214" t="str">
        <f t="shared" si="599"/>
        <v/>
      </c>
      <c r="AK1343" s="214" t="str">
        <f t="shared" si="600"/>
        <v/>
      </c>
      <c r="AL1343" s="214" t="str">
        <f t="shared" si="601"/>
        <v/>
      </c>
      <c r="AM1343" s="214" t="str">
        <f t="shared" si="602"/>
        <v/>
      </c>
      <c r="AN1343" s="213" t="str">
        <f t="shared" si="585"/>
        <v>2010</v>
      </c>
      <c r="AO1343" s="213" t="str">
        <f t="shared" si="586"/>
        <v>2010</v>
      </c>
      <c r="AP1343" s="213" t="str">
        <f t="shared" si="587"/>
        <v>2010</v>
      </c>
      <c r="AQ1343" s="215" t="str">
        <f t="shared" si="588"/>
        <v/>
      </c>
      <c r="AR1343" s="216" t="str">
        <f t="shared" si="589"/>
        <v>BiK81GK10---06</v>
      </c>
      <c r="AS1343" s="215" t="str">
        <f t="shared" si="590"/>
        <v/>
      </c>
      <c r="AT1343">
        <f t="shared" si="591"/>
        <v>14</v>
      </c>
      <c r="AU1343" s="216" t="str">
        <f t="shared" si="592"/>
        <v>0-0,15 MW, Bonusregeln G und K erstmals 2010</v>
      </c>
      <c r="AV1343" s="215" t="str">
        <f t="shared" si="593"/>
        <v/>
      </c>
      <c r="AW1343" s="216" t="str">
        <f t="shared" si="594"/>
        <v>Anteil KWK, erstmals 2010</v>
      </c>
      <c r="AX1343" s="215" t="str">
        <f t="shared" si="595"/>
        <v/>
      </c>
      <c r="AY1343" t="str">
        <f t="shared" si="596"/>
        <v/>
      </c>
      <c r="AZ1343" t="str">
        <f t="shared" si="597"/>
        <v/>
      </c>
    </row>
    <row r="1344" spans="1:52" s="178" customFormat="1" x14ac:dyDescent="0.25">
      <c r="A1344" s="610" t="s">
        <v>5358</v>
      </c>
      <c r="B1344" s="30" t="s">
        <v>5548</v>
      </c>
      <c r="C1344" s="30" t="s">
        <v>1296</v>
      </c>
      <c r="D1344" s="30" t="s">
        <v>6814</v>
      </c>
      <c r="E1344" s="30" t="s">
        <v>3055</v>
      </c>
      <c r="F1344" s="454">
        <f t="shared" si="603"/>
        <v>21.61</v>
      </c>
      <c r="G1344" s="529">
        <v>21.61</v>
      </c>
      <c r="H1344" s="487">
        <f t="shared" si="604"/>
        <v>17.29</v>
      </c>
      <c r="I1344" s="706"/>
      <c r="J1344" s="669" t="s">
        <v>5805</v>
      </c>
      <c r="K1344" s="15"/>
      <c r="L1344"/>
      <c r="M1344" s="49">
        <f t="shared" si="605"/>
        <v>21.61</v>
      </c>
      <c r="N1344" s="41">
        <v>11.67</v>
      </c>
      <c r="O1344" s="186"/>
      <c r="P1344" s="177"/>
      <c r="S1344" s="178" t="s">
        <v>1017</v>
      </c>
      <c r="T1344" s="178" t="s">
        <v>4180</v>
      </c>
      <c r="U1344" s="179"/>
      <c r="W1344" s="180"/>
      <c r="X1344" s="180"/>
      <c r="Y1344" s="178" t="s">
        <v>1017</v>
      </c>
      <c r="AA1344" s="180"/>
      <c r="AD1344" s="201"/>
      <c r="AE1344" s="200"/>
      <c r="AF1344" s="180"/>
      <c r="AG1344" s="201"/>
      <c r="AH1344" s="212" t="str">
        <f t="shared" si="609"/>
        <v>2011</v>
      </c>
      <c r="AI1344" s="214" t="str">
        <f t="shared" si="598"/>
        <v/>
      </c>
      <c r="AJ1344" s="214" t="str">
        <f t="shared" si="599"/>
        <v/>
      </c>
      <c r="AK1344" s="214" t="str">
        <f t="shared" si="600"/>
        <v/>
      </c>
      <c r="AL1344" s="214" t="str">
        <f t="shared" si="601"/>
        <v/>
      </c>
      <c r="AM1344" s="214" t="str">
        <f t="shared" si="602"/>
        <v/>
      </c>
      <c r="AN1344" s="213" t="str">
        <f t="shared" si="585"/>
        <v>2011</v>
      </c>
      <c r="AO1344" s="213" t="str">
        <f t="shared" si="586"/>
        <v>2011</v>
      </c>
      <c r="AP1344" s="213" t="str">
        <f t="shared" si="587"/>
        <v>2011</v>
      </c>
      <c r="AQ1344" s="215" t="str">
        <f t="shared" si="588"/>
        <v/>
      </c>
      <c r="AR1344" s="216" t="str">
        <f t="shared" si="589"/>
        <v>BiK81GK11---06</v>
      </c>
      <c r="AS1344" s="215" t="str">
        <f t="shared" si="590"/>
        <v/>
      </c>
      <c r="AT1344">
        <f t="shared" si="591"/>
        <v>14</v>
      </c>
      <c r="AU1344" s="216" t="str">
        <f t="shared" si="592"/>
        <v>0-0,15 MW, Bonusregeln G und K erstmals 2011</v>
      </c>
      <c r="AV1344" s="215" t="str">
        <f t="shared" si="593"/>
        <v/>
      </c>
      <c r="AW1344" s="216" t="str">
        <f t="shared" si="594"/>
        <v>Anteil KWK, erstmals 2011</v>
      </c>
      <c r="AX1344" s="215" t="str">
        <f t="shared" si="595"/>
        <v/>
      </c>
      <c r="AY1344" t="str">
        <f t="shared" si="596"/>
        <v>x</v>
      </c>
      <c r="AZ1344" t="str">
        <f t="shared" si="597"/>
        <v/>
      </c>
    </row>
    <row r="1345" spans="1:52" s="178" customFormat="1" x14ac:dyDescent="0.25">
      <c r="A1345" s="625" t="s">
        <v>1608</v>
      </c>
      <c r="B1345" s="219" t="s">
        <v>5548</v>
      </c>
      <c r="C1345" s="219" t="s">
        <v>1296</v>
      </c>
      <c r="D1345" s="219" t="s">
        <v>6815</v>
      </c>
      <c r="E1345" s="219" t="s">
        <v>1980</v>
      </c>
      <c r="F1345" s="455">
        <f t="shared" si="603"/>
        <v>21.58</v>
      </c>
      <c r="G1345" s="530">
        <v>21.58</v>
      </c>
      <c r="H1345" s="488">
        <f t="shared" si="604"/>
        <v>17.260000000000002</v>
      </c>
      <c r="I1345" s="707"/>
      <c r="J1345" s="669" t="s">
        <v>5805</v>
      </c>
      <c r="K1345" s="15"/>
      <c r="L1345"/>
      <c r="M1345" s="49">
        <f t="shared" si="605"/>
        <v>21.58</v>
      </c>
      <c r="N1345" s="41">
        <v>11.67</v>
      </c>
      <c r="O1345" s="186"/>
      <c r="P1345" s="177"/>
      <c r="S1345" s="178" t="s">
        <v>4180</v>
      </c>
      <c r="T1345" s="178" t="s">
        <v>1017</v>
      </c>
      <c r="U1345" s="179"/>
      <c r="W1345" s="180"/>
      <c r="X1345" s="180"/>
      <c r="Y1345" s="178" t="s">
        <v>1017</v>
      </c>
      <c r="AA1345" s="180"/>
      <c r="AD1345" s="201"/>
      <c r="AE1345" s="200"/>
      <c r="AF1345" s="180"/>
      <c r="AG1345" s="201"/>
      <c r="AH1345" s="217" t="s">
        <v>4179</v>
      </c>
      <c r="AI1345" s="214" t="str">
        <f t="shared" si="598"/>
        <v/>
      </c>
      <c r="AJ1345" s="214" t="str">
        <f t="shared" si="599"/>
        <v/>
      </c>
      <c r="AK1345" s="214" t="str">
        <f t="shared" si="600"/>
        <v/>
      </c>
      <c r="AL1345" s="214" t="str">
        <f t="shared" si="601"/>
        <v/>
      </c>
      <c r="AM1345" s="214" t="str">
        <f t="shared" si="602"/>
        <v/>
      </c>
      <c r="AN1345" s="213" t="str">
        <f t="shared" si="585"/>
        <v>2012</v>
      </c>
      <c r="AO1345" s="213" t="str">
        <f t="shared" si="586"/>
        <v>2012</v>
      </c>
      <c r="AP1345" s="213" t="str">
        <f t="shared" si="587"/>
        <v>2012</v>
      </c>
      <c r="AQ1345" s="215" t="str">
        <f t="shared" si="588"/>
        <v/>
      </c>
      <c r="AR1345" s="216" t="str">
        <f t="shared" si="589"/>
        <v>BiK81GK12---06</v>
      </c>
      <c r="AS1345" s="215" t="str">
        <f t="shared" si="590"/>
        <v/>
      </c>
      <c r="AT1345">
        <f t="shared" si="591"/>
        <v>14</v>
      </c>
      <c r="AU1345" s="216" t="str">
        <f t="shared" si="592"/>
        <v>0-0,15 MW, Bonusregeln G und K erstmals 2012</v>
      </c>
      <c r="AV1345" s="215" t="str">
        <f t="shared" si="593"/>
        <v/>
      </c>
      <c r="AW1345" s="216" t="str">
        <f t="shared" si="594"/>
        <v>Anteil KWK, erstmals 2012</v>
      </c>
      <c r="AX1345" s="215" t="str">
        <f t="shared" si="595"/>
        <v/>
      </c>
      <c r="AY1345" t="str">
        <f t="shared" si="596"/>
        <v/>
      </c>
      <c r="AZ1345" t="str">
        <f t="shared" si="597"/>
        <v>x</v>
      </c>
    </row>
    <row r="1346" spans="1:52" s="178" customFormat="1" x14ac:dyDescent="0.25">
      <c r="A1346" s="610" t="s">
        <v>4600</v>
      </c>
      <c r="B1346" s="30" t="s">
        <v>5548</v>
      </c>
      <c r="C1346" s="30" t="s">
        <v>1296</v>
      </c>
      <c r="D1346" s="30" t="s">
        <v>6816</v>
      </c>
      <c r="E1346" s="30" t="s">
        <v>4810</v>
      </c>
      <c r="F1346" s="454">
        <f t="shared" si="603"/>
        <v>19.670000000000002</v>
      </c>
      <c r="G1346" s="529">
        <v>19.670000000000002</v>
      </c>
      <c r="H1346" s="487">
        <f t="shared" si="604"/>
        <v>15.74</v>
      </c>
      <c r="I1346" s="706"/>
      <c r="J1346" s="669" t="s">
        <v>5805</v>
      </c>
      <c r="K1346" s="15"/>
      <c r="L1346"/>
      <c r="M1346" s="49">
        <f t="shared" si="605"/>
        <v>19.670000000000002</v>
      </c>
      <c r="N1346" s="41">
        <v>11.67</v>
      </c>
      <c r="O1346" s="187"/>
      <c r="P1346" s="183"/>
      <c r="Q1346" s="184"/>
      <c r="R1346" s="184"/>
      <c r="S1346" s="184" t="s">
        <v>4180</v>
      </c>
      <c r="T1346" s="178" t="s">
        <v>4180</v>
      </c>
      <c r="U1346" s="185" t="s">
        <v>1017</v>
      </c>
      <c r="V1346" s="184"/>
      <c r="W1346" s="180"/>
      <c r="X1346" s="180"/>
      <c r="Y1346" s="184" t="s">
        <v>1017</v>
      </c>
      <c r="Z1346" s="184"/>
      <c r="AA1346" s="180"/>
      <c r="AB1346" s="184"/>
      <c r="AC1346" s="184"/>
      <c r="AD1346" s="201"/>
      <c r="AE1346" s="181"/>
      <c r="AF1346" s="180"/>
      <c r="AG1346" s="201"/>
      <c r="AH1346" s="212" t="str">
        <f t="shared" ref="AH1346:AH1351" si="610">IF(ISERROR(SEARCH("K erstmals 201",D1346)),"",RIGHT(D1346,4))</f>
        <v/>
      </c>
      <c r="AI1346" s="214" t="str">
        <f t="shared" si="598"/>
        <v/>
      </c>
      <c r="AJ1346" s="214" t="str">
        <f t="shared" si="599"/>
        <v/>
      </c>
      <c r="AK1346" s="214" t="str">
        <f t="shared" si="600"/>
        <v/>
      </c>
      <c r="AL1346" s="214" t="str">
        <f t="shared" si="601"/>
        <v/>
      </c>
      <c r="AM1346" s="214" t="str">
        <f t="shared" si="602"/>
        <v/>
      </c>
      <c r="AN1346" s="213" t="str">
        <f t="shared" si="585"/>
        <v/>
      </c>
      <c r="AO1346" s="213" t="str">
        <f t="shared" si="586"/>
        <v/>
      </c>
      <c r="AP1346" s="213" t="str">
        <f t="shared" si="587"/>
        <v/>
      </c>
      <c r="AQ1346" s="215" t="str">
        <f t="shared" si="588"/>
        <v/>
      </c>
      <c r="AR1346" s="216" t="str">
        <f t="shared" si="589"/>
        <v>BiK81Gy-----06</v>
      </c>
      <c r="AS1346" s="215" t="str">
        <f t="shared" si="590"/>
        <v/>
      </c>
      <c r="AT1346">
        <f t="shared" si="591"/>
        <v>14</v>
      </c>
      <c r="AU1346" s="216" t="str">
        <f t="shared" si="592"/>
        <v>0-0,15 MW, Bonusregel G, y</v>
      </c>
      <c r="AV1346" s="215" t="str">
        <f t="shared" si="593"/>
        <v/>
      </c>
      <c r="AW1346" s="216" t="str">
        <f t="shared" si="594"/>
        <v>Anteil Nicht-KWK</v>
      </c>
      <c r="AX1346" s="215" t="str">
        <f t="shared" si="595"/>
        <v/>
      </c>
      <c r="AY1346" t="str">
        <f t="shared" si="596"/>
        <v/>
      </c>
      <c r="AZ1346" t="str">
        <f t="shared" si="597"/>
        <v/>
      </c>
    </row>
    <row r="1347" spans="1:52" s="178" customFormat="1" x14ac:dyDescent="0.25">
      <c r="A1347" s="610" t="s">
        <v>4601</v>
      </c>
      <c r="B1347" s="30" t="s">
        <v>5548</v>
      </c>
      <c r="C1347" s="30" t="s">
        <v>1296</v>
      </c>
      <c r="D1347" s="30" t="s">
        <v>6896</v>
      </c>
      <c r="E1347" s="30" t="s">
        <v>4812</v>
      </c>
      <c r="F1347" s="454">
        <f t="shared" si="603"/>
        <v>21.67</v>
      </c>
      <c r="G1347" s="529">
        <v>21.67</v>
      </c>
      <c r="H1347" s="487">
        <f t="shared" si="604"/>
        <v>17.34</v>
      </c>
      <c r="I1347" s="706"/>
      <c r="J1347" s="669" t="s">
        <v>5805</v>
      </c>
      <c r="K1347" s="15"/>
      <c r="L1347"/>
      <c r="M1347" s="49">
        <f t="shared" si="605"/>
        <v>21.67</v>
      </c>
      <c r="N1347" s="41">
        <v>11.67</v>
      </c>
      <c r="O1347" s="187" t="s">
        <v>1017</v>
      </c>
      <c r="P1347" s="183"/>
      <c r="Q1347" s="184"/>
      <c r="R1347" s="184"/>
      <c r="S1347" s="184" t="s">
        <v>4180</v>
      </c>
      <c r="T1347" s="178" t="s">
        <v>4180</v>
      </c>
      <c r="U1347" s="185" t="s">
        <v>1017</v>
      </c>
      <c r="V1347" s="184"/>
      <c r="W1347" s="180"/>
      <c r="X1347" s="180"/>
      <c r="Y1347" s="184" t="s">
        <v>1017</v>
      </c>
      <c r="Z1347" s="184"/>
      <c r="AA1347" s="180"/>
      <c r="AB1347" s="184"/>
      <c r="AC1347" s="184"/>
      <c r="AD1347" s="201"/>
      <c r="AE1347" s="181"/>
      <c r="AF1347" s="180"/>
      <c r="AG1347" s="201"/>
      <c r="AH1347" s="212" t="str">
        <f t="shared" si="610"/>
        <v/>
      </c>
      <c r="AI1347" s="214" t="str">
        <f t="shared" si="598"/>
        <v/>
      </c>
      <c r="AJ1347" s="214" t="str">
        <f t="shared" si="599"/>
        <v/>
      </c>
      <c r="AK1347" s="214" t="str">
        <f t="shared" si="600"/>
        <v/>
      </c>
      <c r="AL1347" s="214" t="str">
        <f t="shared" si="601"/>
        <v/>
      </c>
      <c r="AM1347" s="214" t="str">
        <f t="shared" si="602"/>
        <v/>
      </c>
      <c r="AN1347" s="213" t="str">
        <f t="shared" si="585"/>
        <v/>
      </c>
      <c r="AO1347" s="213" t="str">
        <f t="shared" si="586"/>
        <v/>
      </c>
      <c r="AP1347" s="213" t="str">
        <f t="shared" si="587"/>
        <v/>
      </c>
      <c r="AQ1347" s="215" t="str">
        <f t="shared" si="588"/>
        <v/>
      </c>
      <c r="AR1347" s="216" t="str">
        <f t="shared" si="589"/>
        <v>BiK81GKWKy--06</v>
      </c>
      <c r="AS1347" s="215" t="str">
        <f t="shared" si="590"/>
        <v/>
      </c>
      <c r="AT1347">
        <f t="shared" si="591"/>
        <v>14</v>
      </c>
      <c r="AU1347" s="216" t="str">
        <f t="shared" si="592"/>
        <v>0-0,15 MW, Bonusregeln G, y und KWK</v>
      </c>
      <c r="AV1347" s="215" t="str">
        <f t="shared" si="593"/>
        <v/>
      </c>
      <c r="AW1347" s="216" t="str">
        <f t="shared" si="594"/>
        <v>Anteil KWK</v>
      </c>
      <c r="AX1347" s="215" t="str">
        <f t="shared" si="595"/>
        <v/>
      </c>
      <c r="AY1347" t="str">
        <f t="shared" si="596"/>
        <v/>
      </c>
      <c r="AZ1347" t="str">
        <f t="shared" si="597"/>
        <v/>
      </c>
    </row>
    <row r="1348" spans="1:52" s="178" customFormat="1" x14ac:dyDescent="0.25">
      <c r="A1348" s="610" t="s">
        <v>4602</v>
      </c>
      <c r="B1348" s="30" t="s">
        <v>5548</v>
      </c>
      <c r="C1348" s="30" t="s">
        <v>1296</v>
      </c>
      <c r="D1348" s="109" t="s">
        <v>6817</v>
      </c>
      <c r="E1348" s="30" t="s">
        <v>4331</v>
      </c>
      <c r="F1348" s="454">
        <f t="shared" si="603"/>
        <v>22.67</v>
      </c>
      <c r="G1348" s="529">
        <v>22.67</v>
      </c>
      <c r="H1348" s="487">
        <f t="shared" si="604"/>
        <v>18.14</v>
      </c>
      <c r="I1348" s="706"/>
      <c r="J1348" s="669" t="s">
        <v>5805</v>
      </c>
      <c r="K1348" s="15"/>
      <c r="L1348"/>
      <c r="M1348" s="49">
        <f t="shared" si="605"/>
        <v>22.67</v>
      </c>
      <c r="N1348" s="41">
        <v>11.67</v>
      </c>
      <c r="O1348" s="187"/>
      <c r="P1348" s="184" t="s">
        <v>1017</v>
      </c>
      <c r="Q1348" s="184"/>
      <c r="R1348" s="184"/>
      <c r="S1348" s="184" t="s">
        <v>4180</v>
      </c>
      <c r="T1348" s="178" t="s">
        <v>4180</v>
      </c>
      <c r="U1348" s="185" t="s">
        <v>1017</v>
      </c>
      <c r="V1348" s="184"/>
      <c r="W1348" s="180"/>
      <c r="X1348" s="180"/>
      <c r="Y1348" s="184" t="s">
        <v>1017</v>
      </c>
      <c r="Z1348" s="184"/>
      <c r="AA1348" s="180"/>
      <c r="AB1348" s="184"/>
      <c r="AC1348" s="184"/>
      <c r="AD1348" s="201"/>
      <c r="AE1348" s="181"/>
      <c r="AF1348" s="180"/>
      <c r="AG1348" s="201"/>
      <c r="AH1348" s="212" t="str">
        <f t="shared" si="610"/>
        <v/>
      </c>
      <c r="AI1348" s="214" t="str">
        <f t="shared" si="598"/>
        <v/>
      </c>
      <c r="AJ1348" s="214" t="str">
        <f t="shared" si="599"/>
        <v/>
      </c>
      <c r="AK1348" s="214" t="str">
        <f t="shared" si="600"/>
        <v/>
      </c>
      <c r="AL1348" s="214" t="str">
        <f t="shared" si="601"/>
        <v/>
      </c>
      <c r="AM1348" s="214" t="str">
        <f t="shared" si="602"/>
        <v/>
      </c>
      <c r="AN1348" s="213" t="str">
        <f t="shared" si="585"/>
        <v/>
      </c>
      <c r="AO1348" s="213" t="str">
        <f t="shared" si="586"/>
        <v/>
      </c>
      <c r="AP1348" s="213" t="str">
        <f t="shared" si="587"/>
        <v/>
      </c>
      <c r="AQ1348" s="215" t="str">
        <f t="shared" si="588"/>
        <v/>
      </c>
      <c r="AR1348" s="216" t="str">
        <f t="shared" si="589"/>
        <v>BiK81GKA3y--06</v>
      </c>
      <c r="AS1348" s="215" t="str">
        <f t="shared" si="590"/>
        <v/>
      </c>
      <c r="AT1348">
        <f t="shared" si="591"/>
        <v>14</v>
      </c>
      <c r="AU1348" s="216" t="str">
        <f t="shared" si="592"/>
        <v>0-0,15 MW, Bonusregeln G, y und K wenn Anlage 3 erfüllt</v>
      </c>
      <c r="AV1348" s="215" t="str">
        <f t="shared" si="593"/>
        <v/>
      </c>
      <c r="AW1348" s="216" t="str">
        <f t="shared" si="594"/>
        <v>Anteil KWK gemäß Anlage 3</v>
      </c>
      <c r="AX1348" s="215" t="str">
        <f t="shared" si="595"/>
        <v/>
      </c>
      <c r="AY1348" t="str">
        <f t="shared" si="596"/>
        <v/>
      </c>
      <c r="AZ1348" t="str">
        <f t="shared" si="597"/>
        <v/>
      </c>
    </row>
    <row r="1349" spans="1:52" s="178" customFormat="1" x14ac:dyDescent="0.25">
      <c r="A1349" s="610" t="s">
        <v>4603</v>
      </c>
      <c r="B1349" s="30" t="s">
        <v>5548</v>
      </c>
      <c r="C1349" s="30" t="s">
        <v>1296</v>
      </c>
      <c r="D1349" s="30" t="s">
        <v>6818</v>
      </c>
      <c r="E1349" s="30" t="s">
        <v>674</v>
      </c>
      <c r="F1349" s="454">
        <f t="shared" si="603"/>
        <v>22.67</v>
      </c>
      <c r="G1349" s="529">
        <v>22.67</v>
      </c>
      <c r="H1349" s="487">
        <f t="shared" si="604"/>
        <v>18.14</v>
      </c>
      <c r="I1349" s="706"/>
      <c r="J1349" s="669" t="s">
        <v>5805</v>
      </c>
      <c r="K1349" s="15"/>
      <c r="L1349"/>
      <c r="M1349" s="49">
        <f t="shared" si="605"/>
        <v>22.67</v>
      </c>
      <c r="N1349" s="41">
        <v>11.67</v>
      </c>
      <c r="O1349" s="187"/>
      <c r="P1349" s="183"/>
      <c r="Q1349" s="184" t="s">
        <v>1017</v>
      </c>
      <c r="R1349" s="184"/>
      <c r="S1349" s="184" t="s">
        <v>4180</v>
      </c>
      <c r="T1349" s="178" t="s">
        <v>4180</v>
      </c>
      <c r="U1349" s="185" t="s">
        <v>1017</v>
      </c>
      <c r="V1349" s="184"/>
      <c r="W1349" s="180"/>
      <c r="X1349" s="180"/>
      <c r="Y1349" s="184" t="s">
        <v>1017</v>
      </c>
      <c r="Z1349" s="184"/>
      <c r="AA1349" s="180"/>
      <c r="AB1349" s="184"/>
      <c r="AC1349" s="184"/>
      <c r="AD1349" s="201"/>
      <c r="AE1349" s="181"/>
      <c r="AF1349" s="180"/>
      <c r="AG1349" s="201"/>
      <c r="AH1349" s="212" t="str">
        <f t="shared" si="610"/>
        <v/>
      </c>
      <c r="AI1349" s="214" t="str">
        <f t="shared" si="598"/>
        <v/>
      </c>
      <c r="AJ1349" s="214" t="str">
        <f t="shared" si="599"/>
        <v/>
      </c>
      <c r="AK1349" s="214" t="str">
        <f t="shared" si="600"/>
        <v/>
      </c>
      <c r="AL1349" s="214" t="str">
        <f t="shared" si="601"/>
        <v/>
      </c>
      <c r="AM1349" s="214" t="str">
        <f t="shared" si="602"/>
        <v/>
      </c>
      <c r="AN1349" s="213" t="str">
        <f t="shared" si="585"/>
        <v/>
      </c>
      <c r="AO1349" s="213" t="str">
        <f t="shared" si="586"/>
        <v/>
      </c>
      <c r="AP1349" s="213" t="str">
        <f t="shared" si="587"/>
        <v/>
      </c>
      <c r="AQ1349" s="215" t="str">
        <f t="shared" si="588"/>
        <v/>
      </c>
      <c r="AR1349" s="216" t="str">
        <f t="shared" si="589"/>
        <v>BiK81GK09y--06</v>
      </c>
      <c r="AS1349" s="215" t="str">
        <f t="shared" si="590"/>
        <v/>
      </c>
      <c r="AT1349">
        <f t="shared" si="591"/>
        <v>14</v>
      </c>
      <c r="AU1349" s="216" t="str">
        <f t="shared" si="592"/>
        <v>0-0,15 MW, Bonusregeln G, y und K erstmals 2009</v>
      </c>
      <c r="AV1349" s="215" t="str">
        <f t="shared" si="593"/>
        <v/>
      </c>
      <c r="AW1349" s="216" t="str">
        <f t="shared" si="594"/>
        <v>Anteil KWK, erstmals 2009</v>
      </c>
      <c r="AX1349" s="215" t="str">
        <f t="shared" si="595"/>
        <v/>
      </c>
      <c r="AY1349" t="str">
        <f t="shared" si="596"/>
        <v/>
      </c>
      <c r="AZ1349" t="str">
        <f t="shared" si="597"/>
        <v/>
      </c>
    </row>
    <row r="1350" spans="1:52" s="178" customFormat="1" x14ac:dyDescent="0.25">
      <c r="A1350" s="610" t="s">
        <v>4890</v>
      </c>
      <c r="B1350" s="30" t="s">
        <v>5548</v>
      </c>
      <c r="C1350" s="30" t="s">
        <v>1296</v>
      </c>
      <c r="D1350" s="30" t="s">
        <v>6819</v>
      </c>
      <c r="E1350" s="30" t="s">
        <v>3567</v>
      </c>
      <c r="F1350" s="454">
        <f t="shared" si="603"/>
        <v>22.64</v>
      </c>
      <c r="G1350" s="529">
        <v>22.64</v>
      </c>
      <c r="H1350" s="487">
        <f t="shared" si="604"/>
        <v>18.11</v>
      </c>
      <c r="I1350" s="706"/>
      <c r="J1350" s="669" t="s">
        <v>5805</v>
      </c>
      <c r="K1350" s="15"/>
      <c r="L1350"/>
      <c r="M1350" s="49">
        <f t="shared" si="605"/>
        <v>22.64</v>
      </c>
      <c r="N1350" s="41">
        <v>11.67</v>
      </c>
      <c r="O1350" s="187"/>
      <c r="P1350" s="183"/>
      <c r="Q1350" s="184"/>
      <c r="R1350" s="184" t="s">
        <v>1017</v>
      </c>
      <c r="S1350" s="184" t="s">
        <v>4180</v>
      </c>
      <c r="T1350" s="178" t="s">
        <v>4180</v>
      </c>
      <c r="U1350" s="185" t="s">
        <v>1017</v>
      </c>
      <c r="V1350" s="184"/>
      <c r="W1350" s="180"/>
      <c r="X1350" s="180"/>
      <c r="Y1350" s="184" t="s">
        <v>1017</v>
      </c>
      <c r="Z1350" s="184"/>
      <c r="AA1350" s="180"/>
      <c r="AB1350" s="184"/>
      <c r="AC1350" s="184"/>
      <c r="AD1350" s="201"/>
      <c r="AE1350" s="181"/>
      <c r="AF1350" s="180"/>
      <c r="AG1350" s="201"/>
      <c r="AH1350" s="212" t="str">
        <f t="shared" si="610"/>
        <v>2010</v>
      </c>
      <c r="AI1350" s="214" t="str">
        <f t="shared" si="598"/>
        <v/>
      </c>
      <c r="AJ1350" s="214" t="str">
        <f t="shared" si="599"/>
        <v/>
      </c>
      <c r="AK1350" s="214" t="str">
        <f t="shared" si="600"/>
        <v/>
      </c>
      <c r="AL1350" s="214" t="str">
        <f t="shared" si="601"/>
        <v/>
      </c>
      <c r="AM1350" s="214" t="str">
        <f t="shared" si="602"/>
        <v/>
      </c>
      <c r="AN1350" s="213" t="str">
        <f t="shared" si="585"/>
        <v>2010</v>
      </c>
      <c r="AO1350" s="213" t="str">
        <f t="shared" si="586"/>
        <v>2010</v>
      </c>
      <c r="AP1350" s="213" t="str">
        <f t="shared" si="587"/>
        <v>2010</v>
      </c>
      <c r="AQ1350" s="215" t="str">
        <f t="shared" si="588"/>
        <v/>
      </c>
      <c r="AR1350" s="216" t="str">
        <f t="shared" si="589"/>
        <v>BiK81GK10y--06</v>
      </c>
      <c r="AS1350" s="215" t="str">
        <f t="shared" si="590"/>
        <v/>
      </c>
      <c r="AT1350">
        <f t="shared" si="591"/>
        <v>14</v>
      </c>
      <c r="AU1350" s="216" t="str">
        <f t="shared" si="592"/>
        <v>0-0,15 MW, Bonusregeln G, y und K erstmals 2010</v>
      </c>
      <c r="AV1350" s="215" t="str">
        <f t="shared" si="593"/>
        <v/>
      </c>
      <c r="AW1350" s="216" t="str">
        <f t="shared" si="594"/>
        <v>Anteil KWK, erstmals 2010</v>
      </c>
      <c r="AX1350" s="215" t="str">
        <f t="shared" si="595"/>
        <v/>
      </c>
      <c r="AY1350" t="str">
        <f t="shared" si="596"/>
        <v/>
      </c>
      <c r="AZ1350" t="str">
        <f t="shared" si="597"/>
        <v/>
      </c>
    </row>
    <row r="1351" spans="1:52" s="178" customFormat="1" x14ac:dyDescent="0.25">
      <c r="A1351" s="610" t="s">
        <v>5359</v>
      </c>
      <c r="B1351" s="30" t="s">
        <v>5548</v>
      </c>
      <c r="C1351" s="30" t="s">
        <v>1296</v>
      </c>
      <c r="D1351" s="30" t="s">
        <v>6820</v>
      </c>
      <c r="E1351" s="30" t="s">
        <v>3055</v>
      </c>
      <c r="F1351" s="454">
        <f t="shared" si="603"/>
        <v>22.61</v>
      </c>
      <c r="G1351" s="529">
        <v>22.61</v>
      </c>
      <c r="H1351" s="487">
        <f t="shared" si="604"/>
        <v>18.09</v>
      </c>
      <c r="I1351" s="706"/>
      <c r="J1351" s="669" t="s">
        <v>5805</v>
      </c>
      <c r="K1351" s="15"/>
      <c r="L1351"/>
      <c r="M1351" s="49">
        <f t="shared" si="605"/>
        <v>22.61</v>
      </c>
      <c r="N1351" s="41">
        <v>11.67</v>
      </c>
      <c r="O1351" s="187"/>
      <c r="P1351" s="183"/>
      <c r="Q1351" s="184"/>
      <c r="S1351" s="184" t="s">
        <v>1017</v>
      </c>
      <c r="T1351" s="178" t="s">
        <v>4180</v>
      </c>
      <c r="U1351" s="185" t="s">
        <v>1017</v>
      </c>
      <c r="V1351" s="184"/>
      <c r="W1351" s="180"/>
      <c r="X1351" s="180"/>
      <c r="Y1351" s="184" t="s">
        <v>1017</v>
      </c>
      <c r="Z1351" s="184"/>
      <c r="AA1351" s="180"/>
      <c r="AB1351" s="184"/>
      <c r="AC1351" s="184"/>
      <c r="AD1351" s="201"/>
      <c r="AE1351" s="181"/>
      <c r="AF1351" s="180"/>
      <c r="AG1351" s="201"/>
      <c r="AH1351" s="212" t="str">
        <f t="shared" si="610"/>
        <v>2011</v>
      </c>
      <c r="AI1351" s="214" t="str">
        <f t="shared" si="598"/>
        <v/>
      </c>
      <c r="AJ1351" s="214" t="str">
        <f t="shared" si="599"/>
        <v/>
      </c>
      <c r="AK1351" s="214" t="str">
        <f t="shared" si="600"/>
        <v/>
      </c>
      <c r="AL1351" s="214" t="str">
        <f t="shared" si="601"/>
        <v/>
      </c>
      <c r="AM1351" s="214" t="str">
        <f t="shared" si="602"/>
        <v/>
      </c>
      <c r="AN1351" s="213" t="str">
        <f t="shared" si="585"/>
        <v>2011</v>
      </c>
      <c r="AO1351" s="213" t="str">
        <f t="shared" si="586"/>
        <v>2011</v>
      </c>
      <c r="AP1351" s="213" t="str">
        <f t="shared" si="587"/>
        <v>2011</v>
      </c>
      <c r="AQ1351" s="215" t="str">
        <f t="shared" si="588"/>
        <v/>
      </c>
      <c r="AR1351" s="216" t="str">
        <f t="shared" si="589"/>
        <v>BiK81GK11y--06</v>
      </c>
      <c r="AS1351" s="215" t="str">
        <f t="shared" si="590"/>
        <v/>
      </c>
      <c r="AT1351">
        <f t="shared" si="591"/>
        <v>14</v>
      </c>
      <c r="AU1351" s="216" t="str">
        <f t="shared" si="592"/>
        <v>0-0,15 MW, Bonusregeln G, y und K erstmals 2011</v>
      </c>
      <c r="AV1351" s="215" t="str">
        <f t="shared" si="593"/>
        <v/>
      </c>
      <c r="AW1351" s="216" t="str">
        <f t="shared" si="594"/>
        <v>Anteil KWK, erstmals 2011</v>
      </c>
      <c r="AX1351" s="215" t="str">
        <f t="shared" si="595"/>
        <v/>
      </c>
      <c r="AY1351" t="str">
        <f t="shared" si="596"/>
        <v>x</v>
      </c>
      <c r="AZ1351" t="str">
        <f t="shared" si="597"/>
        <v/>
      </c>
    </row>
    <row r="1352" spans="1:52" s="178" customFormat="1" x14ac:dyDescent="0.25">
      <c r="A1352" s="625" t="s">
        <v>1609</v>
      </c>
      <c r="B1352" s="219" t="s">
        <v>5548</v>
      </c>
      <c r="C1352" s="219" t="s">
        <v>1296</v>
      </c>
      <c r="D1352" s="219" t="s">
        <v>6821</v>
      </c>
      <c r="E1352" s="219" t="s">
        <v>1980</v>
      </c>
      <c r="F1352" s="455">
        <f t="shared" si="603"/>
        <v>22.58</v>
      </c>
      <c r="G1352" s="530">
        <v>22.58</v>
      </c>
      <c r="H1352" s="488">
        <f t="shared" si="604"/>
        <v>18.059999999999999</v>
      </c>
      <c r="I1352" s="707"/>
      <c r="J1352" s="669" t="s">
        <v>5805</v>
      </c>
      <c r="K1352" s="15"/>
      <c r="L1352"/>
      <c r="M1352" s="49">
        <f t="shared" si="605"/>
        <v>22.58</v>
      </c>
      <c r="N1352" s="41">
        <v>11.67</v>
      </c>
      <c r="O1352" s="187"/>
      <c r="P1352" s="183"/>
      <c r="Q1352" s="184"/>
      <c r="S1352" s="184" t="s">
        <v>4180</v>
      </c>
      <c r="T1352" s="178" t="s">
        <v>1017</v>
      </c>
      <c r="U1352" s="185" t="s">
        <v>1017</v>
      </c>
      <c r="V1352" s="184"/>
      <c r="W1352" s="180"/>
      <c r="X1352" s="180"/>
      <c r="Y1352" s="184" t="s">
        <v>1017</v>
      </c>
      <c r="Z1352" s="184"/>
      <c r="AA1352" s="180"/>
      <c r="AB1352" s="184"/>
      <c r="AC1352" s="184"/>
      <c r="AD1352" s="201"/>
      <c r="AE1352" s="181"/>
      <c r="AF1352" s="180"/>
      <c r="AG1352" s="201"/>
      <c r="AH1352" s="217" t="s">
        <v>4179</v>
      </c>
      <c r="AI1352" s="214" t="str">
        <f t="shared" si="598"/>
        <v/>
      </c>
      <c r="AJ1352" s="214" t="str">
        <f t="shared" si="599"/>
        <v/>
      </c>
      <c r="AK1352" s="214" t="str">
        <f t="shared" si="600"/>
        <v/>
      </c>
      <c r="AL1352" s="214" t="str">
        <f t="shared" si="601"/>
        <v/>
      </c>
      <c r="AM1352" s="214" t="str">
        <f t="shared" si="602"/>
        <v/>
      </c>
      <c r="AN1352" s="213" t="str">
        <f t="shared" si="585"/>
        <v>2012</v>
      </c>
      <c r="AO1352" s="213" t="str">
        <f t="shared" si="586"/>
        <v>2012</v>
      </c>
      <c r="AP1352" s="213" t="str">
        <f t="shared" si="587"/>
        <v>2012</v>
      </c>
      <c r="AQ1352" s="215" t="str">
        <f t="shared" si="588"/>
        <v/>
      </c>
      <c r="AR1352" s="216" t="str">
        <f t="shared" si="589"/>
        <v>BiK81GK12y--06</v>
      </c>
      <c r="AS1352" s="215" t="str">
        <f t="shared" si="590"/>
        <v/>
      </c>
      <c r="AT1352">
        <f t="shared" si="591"/>
        <v>14</v>
      </c>
      <c r="AU1352" s="216" t="str">
        <f t="shared" si="592"/>
        <v>0-0,15 MW, Bonusregeln G, y und K erstmals 2012</v>
      </c>
      <c r="AV1352" s="215" t="str">
        <f t="shared" si="593"/>
        <v/>
      </c>
      <c r="AW1352" s="216" t="str">
        <f t="shared" si="594"/>
        <v>Anteil KWK, erstmals 2012</v>
      </c>
      <c r="AX1352" s="215" t="str">
        <f t="shared" si="595"/>
        <v/>
      </c>
      <c r="AY1352" t="str">
        <f t="shared" si="596"/>
        <v/>
      </c>
      <c r="AZ1352" t="str">
        <f t="shared" si="597"/>
        <v>x</v>
      </c>
    </row>
    <row r="1353" spans="1:52" s="178" customFormat="1" x14ac:dyDescent="0.25">
      <c r="A1353" s="610" t="s">
        <v>4604</v>
      </c>
      <c r="B1353" s="30" t="s">
        <v>5548</v>
      </c>
      <c r="C1353" s="30" t="s">
        <v>1296</v>
      </c>
      <c r="D1353" s="30" t="s">
        <v>6822</v>
      </c>
      <c r="E1353" s="30" t="s">
        <v>4810</v>
      </c>
      <c r="F1353" s="454">
        <f t="shared" si="603"/>
        <v>22.67</v>
      </c>
      <c r="G1353" s="529">
        <v>22.67</v>
      </c>
      <c r="H1353" s="487">
        <f t="shared" si="604"/>
        <v>18.14</v>
      </c>
      <c r="I1353" s="706"/>
      <c r="J1353" s="669" t="s">
        <v>5805</v>
      </c>
      <c r="K1353" s="15"/>
      <c r="L1353"/>
      <c r="M1353" s="49">
        <f t="shared" si="605"/>
        <v>22.67</v>
      </c>
      <c r="N1353" s="41">
        <v>11.67</v>
      </c>
      <c r="O1353" s="186"/>
      <c r="P1353" s="177"/>
      <c r="S1353" s="178" t="s">
        <v>4180</v>
      </c>
      <c r="T1353" s="178" t="s">
        <v>4180</v>
      </c>
      <c r="U1353" s="179"/>
      <c r="W1353" s="180"/>
      <c r="X1353" s="180"/>
      <c r="Z1353" s="178" t="s">
        <v>1017</v>
      </c>
      <c r="AA1353" s="180"/>
      <c r="AD1353" s="201"/>
      <c r="AE1353" s="200"/>
      <c r="AF1353" s="180"/>
      <c r="AG1353" s="201"/>
      <c r="AH1353" s="212" t="str">
        <f t="shared" ref="AH1353:AH1358" si="611">IF(ISERROR(SEARCH("K erstmals 201",D1353)),"",RIGHT(D1353,4))</f>
        <v/>
      </c>
      <c r="AI1353" s="214" t="str">
        <f t="shared" si="598"/>
        <v/>
      </c>
      <c r="AJ1353" s="214" t="str">
        <f t="shared" si="599"/>
        <v/>
      </c>
      <c r="AK1353" s="214" t="str">
        <f t="shared" si="600"/>
        <v/>
      </c>
      <c r="AL1353" s="214" t="str">
        <f t="shared" si="601"/>
        <v/>
      </c>
      <c r="AM1353" s="214" t="str">
        <f t="shared" si="602"/>
        <v/>
      </c>
      <c r="AN1353" s="213" t="str">
        <f t="shared" si="585"/>
        <v/>
      </c>
      <c r="AO1353" s="213" t="str">
        <f t="shared" si="586"/>
        <v/>
      </c>
      <c r="AP1353" s="213" t="str">
        <f t="shared" si="587"/>
        <v/>
      </c>
      <c r="AQ1353" s="215" t="str">
        <f t="shared" si="588"/>
        <v/>
      </c>
      <c r="AR1353" s="216" t="str">
        <f t="shared" si="589"/>
        <v>BiK81M1-----06</v>
      </c>
      <c r="AS1353" s="215" t="str">
        <f t="shared" si="590"/>
        <v/>
      </c>
      <c r="AT1353">
        <f t="shared" si="591"/>
        <v>14</v>
      </c>
      <c r="AU1353" s="216" t="str">
        <f t="shared" si="592"/>
        <v>0-0,15 MW, Bonusregel M1</v>
      </c>
      <c r="AV1353" s="215" t="str">
        <f t="shared" si="593"/>
        <v/>
      </c>
      <c r="AW1353" s="216" t="str">
        <f t="shared" si="594"/>
        <v>Anteil Nicht-KWK</v>
      </c>
      <c r="AX1353" s="215" t="str">
        <f t="shared" si="595"/>
        <v/>
      </c>
      <c r="AY1353" t="str">
        <f t="shared" si="596"/>
        <v/>
      </c>
      <c r="AZ1353" t="str">
        <f t="shared" si="597"/>
        <v/>
      </c>
    </row>
    <row r="1354" spans="1:52" s="178" customFormat="1" x14ac:dyDescent="0.25">
      <c r="A1354" s="610" t="s">
        <v>4605</v>
      </c>
      <c r="B1354" s="30" t="s">
        <v>5548</v>
      </c>
      <c r="C1354" s="30" t="s">
        <v>1296</v>
      </c>
      <c r="D1354" s="30" t="s">
        <v>6897</v>
      </c>
      <c r="E1354" s="30" t="s">
        <v>4812</v>
      </c>
      <c r="F1354" s="454">
        <f t="shared" si="603"/>
        <v>24.67</v>
      </c>
      <c r="G1354" s="529">
        <v>24.67</v>
      </c>
      <c r="H1354" s="487">
        <f t="shared" si="604"/>
        <v>19.739999999999998</v>
      </c>
      <c r="I1354" s="706"/>
      <c r="J1354" s="669" t="s">
        <v>5805</v>
      </c>
      <c r="K1354" s="15"/>
      <c r="L1354"/>
      <c r="M1354" s="49">
        <f t="shared" si="605"/>
        <v>24.67</v>
      </c>
      <c r="N1354" s="41">
        <v>11.67</v>
      </c>
      <c r="O1354" s="186" t="s">
        <v>1017</v>
      </c>
      <c r="P1354" s="177"/>
      <c r="S1354" s="178" t="s">
        <v>4180</v>
      </c>
      <c r="T1354" s="178" t="s">
        <v>4180</v>
      </c>
      <c r="U1354" s="179"/>
      <c r="W1354" s="180"/>
      <c r="X1354" s="180"/>
      <c r="Z1354" s="178" t="s">
        <v>1017</v>
      </c>
      <c r="AA1354" s="180"/>
      <c r="AD1354" s="201"/>
      <c r="AE1354" s="200"/>
      <c r="AF1354" s="180"/>
      <c r="AG1354" s="201"/>
      <c r="AH1354" s="212" t="str">
        <f t="shared" si="611"/>
        <v/>
      </c>
      <c r="AI1354" s="214" t="str">
        <f t="shared" si="598"/>
        <v/>
      </c>
      <c r="AJ1354" s="214" t="str">
        <f t="shared" si="599"/>
        <v/>
      </c>
      <c r="AK1354" s="214" t="str">
        <f t="shared" si="600"/>
        <v/>
      </c>
      <c r="AL1354" s="214" t="str">
        <f t="shared" si="601"/>
        <v/>
      </c>
      <c r="AM1354" s="214" t="str">
        <f t="shared" si="602"/>
        <v/>
      </c>
      <c r="AN1354" s="213" t="str">
        <f t="shared" si="585"/>
        <v/>
      </c>
      <c r="AO1354" s="213" t="str">
        <f t="shared" si="586"/>
        <v/>
      </c>
      <c r="AP1354" s="213" t="str">
        <f t="shared" si="587"/>
        <v/>
      </c>
      <c r="AQ1354" s="215" t="str">
        <f t="shared" si="588"/>
        <v/>
      </c>
      <c r="AR1354" s="216" t="str">
        <f t="shared" si="589"/>
        <v>BiK81M1KWK--06</v>
      </c>
      <c r="AS1354" s="215" t="str">
        <f t="shared" si="590"/>
        <v/>
      </c>
      <c r="AT1354">
        <f t="shared" si="591"/>
        <v>14</v>
      </c>
      <c r="AU1354" s="216" t="str">
        <f t="shared" si="592"/>
        <v>0-0,15 MW, Bonusregeln M1 und KWK</v>
      </c>
      <c r="AV1354" s="215" t="str">
        <f t="shared" si="593"/>
        <v/>
      </c>
      <c r="AW1354" s="216" t="str">
        <f t="shared" si="594"/>
        <v>Anteil KWK</v>
      </c>
      <c r="AX1354" s="215" t="str">
        <f t="shared" si="595"/>
        <v/>
      </c>
      <c r="AY1354" t="str">
        <f t="shared" si="596"/>
        <v/>
      </c>
      <c r="AZ1354" t="str">
        <f t="shared" si="597"/>
        <v/>
      </c>
    </row>
    <row r="1355" spans="1:52" s="178" customFormat="1" x14ac:dyDescent="0.25">
      <c r="A1355" s="610" t="s">
        <v>4606</v>
      </c>
      <c r="B1355" s="30" t="s">
        <v>5548</v>
      </c>
      <c r="C1355" s="30" t="s">
        <v>1296</v>
      </c>
      <c r="D1355" s="30" t="s">
        <v>6823</v>
      </c>
      <c r="E1355" s="30" t="s">
        <v>4331</v>
      </c>
      <c r="F1355" s="454">
        <f t="shared" si="603"/>
        <v>25.67</v>
      </c>
      <c r="G1355" s="529">
        <v>25.67</v>
      </c>
      <c r="H1355" s="487">
        <f t="shared" si="604"/>
        <v>20.54</v>
      </c>
      <c r="I1355" s="706"/>
      <c r="J1355" s="669" t="s">
        <v>5805</v>
      </c>
      <c r="K1355" s="15"/>
      <c r="L1355"/>
      <c r="M1355" s="49">
        <f t="shared" si="605"/>
        <v>25.67</v>
      </c>
      <c r="N1355" s="41">
        <v>11.67</v>
      </c>
      <c r="O1355" s="186"/>
      <c r="P1355" s="178" t="s">
        <v>1017</v>
      </c>
      <c r="S1355" s="178" t="s">
        <v>4180</v>
      </c>
      <c r="T1355" s="178" t="s">
        <v>4180</v>
      </c>
      <c r="U1355" s="179"/>
      <c r="W1355" s="180"/>
      <c r="X1355" s="180"/>
      <c r="Z1355" s="178" t="s">
        <v>1017</v>
      </c>
      <c r="AA1355" s="180"/>
      <c r="AD1355" s="201"/>
      <c r="AE1355" s="200"/>
      <c r="AF1355" s="180"/>
      <c r="AG1355" s="201"/>
      <c r="AH1355" s="212" t="str">
        <f t="shared" si="611"/>
        <v/>
      </c>
      <c r="AI1355" s="214" t="str">
        <f t="shared" si="598"/>
        <v/>
      </c>
      <c r="AJ1355" s="214" t="str">
        <f t="shared" si="599"/>
        <v/>
      </c>
      <c r="AK1355" s="214" t="str">
        <f t="shared" si="600"/>
        <v/>
      </c>
      <c r="AL1355" s="214" t="str">
        <f t="shared" si="601"/>
        <v/>
      </c>
      <c r="AM1355" s="214" t="str">
        <f t="shared" si="602"/>
        <v/>
      </c>
      <c r="AN1355" s="213" t="str">
        <f t="shared" si="585"/>
        <v/>
      </c>
      <c r="AO1355" s="213" t="str">
        <f t="shared" si="586"/>
        <v/>
      </c>
      <c r="AP1355" s="213" t="str">
        <f t="shared" si="587"/>
        <v/>
      </c>
      <c r="AQ1355" s="215" t="str">
        <f t="shared" si="588"/>
        <v/>
      </c>
      <c r="AR1355" s="216" t="str">
        <f t="shared" si="589"/>
        <v>BiK81M1KA3--06</v>
      </c>
      <c r="AS1355" s="215" t="str">
        <f t="shared" si="590"/>
        <v/>
      </c>
      <c r="AT1355">
        <f t="shared" si="591"/>
        <v>14</v>
      </c>
      <c r="AU1355" s="216" t="str">
        <f t="shared" si="592"/>
        <v>0-0,15 MW, Bonusregeln M1 und K wenn Anlage 3 erfüllt</v>
      </c>
      <c r="AV1355" s="215" t="str">
        <f t="shared" si="593"/>
        <v/>
      </c>
      <c r="AW1355" s="216" t="str">
        <f t="shared" si="594"/>
        <v>Anteil KWK gemäß Anlage 3</v>
      </c>
      <c r="AX1355" s="215" t="str">
        <f t="shared" si="595"/>
        <v/>
      </c>
      <c r="AY1355" t="str">
        <f t="shared" si="596"/>
        <v/>
      </c>
      <c r="AZ1355" t="str">
        <f t="shared" si="597"/>
        <v/>
      </c>
    </row>
    <row r="1356" spans="1:52" s="178" customFormat="1" x14ac:dyDescent="0.25">
      <c r="A1356" s="610" t="s">
        <v>4607</v>
      </c>
      <c r="B1356" s="30" t="s">
        <v>5548</v>
      </c>
      <c r="C1356" s="30" t="s">
        <v>1296</v>
      </c>
      <c r="D1356" s="30" t="s">
        <v>6898</v>
      </c>
      <c r="E1356" s="30" t="s">
        <v>674</v>
      </c>
      <c r="F1356" s="454">
        <f t="shared" si="603"/>
        <v>25.67</v>
      </c>
      <c r="G1356" s="529">
        <v>25.67</v>
      </c>
      <c r="H1356" s="487">
        <f t="shared" si="604"/>
        <v>20.54</v>
      </c>
      <c r="I1356" s="706"/>
      <c r="J1356" s="669" t="s">
        <v>5805</v>
      </c>
      <c r="K1356" s="15"/>
      <c r="L1356"/>
      <c r="M1356" s="49">
        <f t="shared" si="605"/>
        <v>25.67</v>
      </c>
      <c r="N1356" s="41">
        <v>11.67</v>
      </c>
      <c r="O1356" s="186"/>
      <c r="P1356" s="177"/>
      <c r="Q1356" s="178" t="s">
        <v>1017</v>
      </c>
      <c r="S1356" s="178" t="s">
        <v>4180</v>
      </c>
      <c r="T1356" s="178" t="s">
        <v>4180</v>
      </c>
      <c r="U1356" s="179"/>
      <c r="W1356" s="180"/>
      <c r="X1356" s="180"/>
      <c r="Z1356" s="178" t="s">
        <v>1017</v>
      </c>
      <c r="AA1356" s="180"/>
      <c r="AD1356" s="201"/>
      <c r="AE1356" s="200"/>
      <c r="AF1356" s="180"/>
      <c r="AG1356" s="201"/>
      <c r="AH1356" s="212" t="str">
        <f t="shared" si="611"/>
        <v/>
      </c>
      <c r="AI1356" s="214" t="str">
        <f t="shared" si="598"/>
        <v/>
      </c>
      <c r="AJ1356" s="214" t="str">
        <f t="shared" si="599"/>
        <v/>
      </c>
      <c r="AK1356" s="214" t="str">
        <f t="shared" si="600"/>
        <v/>
      </c>
      <c r="AL1356" s="214" t="str">
        <f t="shared" si="601"/>
        <v/>
      </c>
      <c r="AM1356" s="214" t="str">
        <f t="shared" si="602"/>
        <v/>
      </c>
      <c r="AN1356" s="213" t="str">
        <f t="shared" si="585"/>
        <v/>
      </c>
      <c r="AO1356" s="213" t="str">
        <f t="shared" si="586"/>
        <v/>
      </c>
      <c r="AP1356" s="213" t="str">
        <f t="shared" si="587"/>
        <v/>
      </c>
      <c r="AQ1356" s="215" t="str">
        <f t="shared" si="588"/>
        <v/>
      </c>
      <c r="AR1356" s="216" t="str">
        <f t="shared" si="589"/>
        <v>BiK81M1K09--06</v>
      </c>
      <c r="AS1356" s="215" t="str">
        <f t="shared" si="590"/>
        <v/>
      </c>
      <c r="AT1356">
        <f t="shared" si="591"/>
        <v>14</v>
      </c>
      <c r="AU1356" s="216" t="str">
        <f t="shared" si="592"/>
        <v>0-0,15 MW, Bonusregeln M1, K erstmals 2009</v>
      </c>
      <c r="AV1356" s="215" t="str">
        <f t="shared" si="593"/>
        <v/>
      </c>
      <c r="AW1356" s="216" t="str">
        <f t="shared" si="594"/>
        <v>Anteil KWK, erstmals 2009</v>
      </c>
      <c r="AX1356" s="215" t="str">
        <f t="shared" si="595"/>
        <v/>
      </c>
      <c r="AY1356" t="str">
        <f t="shared" si="596"/>
        <v/>
      </c>
      <c r="AZ1356" t="str">
        <f t="shared" si="597"/>
        <v/>
      </c>
    </row>
    <row r="1357" spans="1:52" s="178" customFormat="1" x14ac:dyDescent="0.25">
      <c r="A1357" s="610" t="s">
        <v>4891</v>
      </c>
      <c r="B1357" s="30" t="s">
        <v>5548</v>
      </c>
      <c r="C1357" s="30" t="s">
        <v>1296</v>
      </c>
      <c r="D1357" s="30" t="s">
        <v>6899</v>
      </c>
      <c r="E1357" s="30" t="s">
        <v>3567</v>
      </c>
      <c r="F1357" s="454">
        <f t="shared" si="603"/>
        <v>25.64</v>
      </c>
      <c r="G1357" s="529">
        <v>25.64</v>
      </c>
      <c r="H1357" s="487">
        <f t="shared" si="604"/>
        <v>20.51</v>
      </c>
      <c r="I1357" s="706"/>
      <c r="J1357" s="669" t="s">
        <v>5805</v>
      </c>
      <c r="K1357" s="15"/>
      <c r="L1357"/>
      <c r="M1357" s="49">
        <f t="shared" si="605"/>
        <v>25.64</v>
      </c>
      <c r="N1357" s="41">
        <v>11.67</v>
      </c>
      <c r="O1357" s="186"/>
      <c r="P1357" s="177"/>
      <c r="R1357" s="178" t="s">
        <v>1017</v>
      </c>
      <c r="S1357" s="178" t="s">
        <v>4180</v>
      </c>
      <c r="T1357" s="178" t="s">
        <v>4180</v>
      </c>
      <c r="U1357" s="179"/>
      <c r="W1357" s="180"/>
      <c r="X1357" s="180"/>
      <c r="Z1357" s="178" t="s">
        <v>1017</v>
      </c>
      <c r="AA1357" s="180"/>
      <c r="AD1357" s="201"/>
      <c r="AE1357" s="200"/>
      <c r="AF1357" s="180"/>
      <c r="AG1357" s="201"/>
      <c r="AH1357" s="212" t="str">
        <f t="shared" si="611"/>
        <v>2010</v>
      </c>
      <c r="AI1357" s="214" t="str">
        <f t="shared" si="598"/>
        <v/>
      </c>
      <c r="AJ1357" s="214" t="str">
        <f t="shared" si="599"/>
        <v/>
      </c>
      <c r="AK1357" s="214" t="str">
        <f t="shared" si="600"/>
        <v/>
      </c>
      <c r="AL1357" s="214" t="str">
        <f t="shared" si="601"/>
        <v/>
      </c>
      <c r="AM1357" s="214" t="str">
        <f t="shared" si="602"/>
        <v/>
      </c>
      <c r="AN1357" s="213" t="str">
        <f t="shared" si="585"/>
        <v>2010</v>
      </c>
      <c r="AO1357" s="213" t="str">
        <f t="shared" si="586"/>
        <v>2010</v>
      </c>
      <c r="AP1357" s="213" t="str">
        <f t="shared" si="587"/>
        <v>2010</v>
      </c>
      <c r="AQ1357" s="215" t="str">
        <f t="shared" si="588"/>
        <v/>
      </c>
      <c r="AR1357" s="216" t="str">
        <f t="shared" si="589"/>
        <v>BiK81M1K10--06</v>
      </c>
      <c r="AS1357" s="215" t="str">
        <f t="shared" si="590"/>
        <v/>
      </c>
      <c r="AT1357">
        <f t="shared" si="591"/>
        <v>14</v>
      </c>
      <c r="AU1357" s="216" t="str">
        <f t="shared" si="592"/>
        <v>0-0,15 MW, Bonusregeln M1, K erstmals 2010</v>
      </c>
      <c r="AV1357" s="215" t="str">
        <f t="shared" si="593"/>
        <v/>
      </c>
      <c r="AW1357" s="216" t="str">
        <f t="shared" si="594"/>
        <v>Anteil KWK, erstmals 2010</v>
      </c>
      <c r="AX1357" s="215" t="str">
        <f t="shared" si="595"/>
        <v/>
      </c>
      <c r="AY1357" t="str">
        <f t="shared" si="596"/>
        <v/>
      </c>
      <c r="AZ1357" t="str">
        <f t="shared" si="597"/>
        <v/>
      </c>
    </row>
    <row r="1358" spans="1:52" s="178" customFormat="1" x14ac:dyDescent="0.25">
      <c r="A1358" s="610" t="s">
        <v>5360</v>
      </c>
      <c r="B1358" s="30" t="s">
        <v>5548</v>
      </c>
      <c r="C1358" s="30" t="s">
        <v>1296</v>
      </c>
      <c r="D1358" s="30" t="s">
        <v>6900</v>
      </c>
      <c r="E1358" s="30" t="s">
        <v>3055</v>
      </c>
      <c r="F1358" s="454">
        <f t="shared" si="603"/>
        <v>25.61</v>
      </c>
      <c r="G1358" s="529">
        <v>25.61</v>
      </c>
      <c r="H1358" s="487">
        <f t="shared" si="604"/>
        <v>20.49</v>
      </c>
      <c r="I1358" s="706"/>
      <c r="J1358" s="669" t="s">
        <v>5805</v>
      </c>
      <c r="K1358" s="15"/>
      <c r="L1358"/>
      <c r="M1358" s="49">
        <f t="shared" si="605"/>
        <v>25.61</v>
      </c>
      <c r="N1358" s="41">
        <v>11.67</v>
      </c>
      <c r="O1358" s="186"/>
      <c r="P1358" s="177"/>
      <c r="S1358" s="178" t="s">
        <v>1017</v>
      </c>
      <c r="T1358" s="178" t="s">
        <v>4180</v>
      </c>
      <c r="U1358" s="179"/>
      <c r="W1358" s="180"/>
      <c r="X1358" s="180"/>
      <c r="Z1358" s="178" t="s">
        <v>1017</v>
      </c>
      <c r="AA1358" s="180"/>
      <c r="AD1358" s="201"/>
      <c r="AE1358" s="200"/>
      <c r="AF1358" s="180"/>
      <c r="AG1358" s="201"/>
      <c r="AH1358" s="212" t="str">
        <f t="shared" si="611"/>
        <v>2011</v>
      </c>
      <c r="AI1358" s="214" t="str">
        <f t="shared" si="598"/>
        <v/>
      </c>
      <c r="AJ1358" s="214" t="str">
        <f t="shared" si="599"/>
        <v/>
      </c>
      <c r="AK1358" s="214" t="str">
        <f t="shared" si="600"/>
        <v/>
      </c>
      <c r="AL1358" s="214" t="str">
        <f t="shared" si="601"/>
        <v/>
      </c>
      <c r="AM1358" s="214" t="str">
        <f t="shared" si="602"/>
        <v/>
      </c>
      <c r="AN1358" s="213" t="str">
        <f t="shared" si="585"/>
        <v>2011</v>
      </c>
      <c r="AO1358" s="213" t="str">
        <f t="shared" si="586"/>
        <v>2011</v>
      </c>
      <c r="AP1358" s="213" t="str">
        <f t="shared" si="587"/>
        <v>2011</v>
      </c>
      <c r="AQ1358" s="215" t="str">
        <f t="shared" si="588"/>
        <v/>
      </c>
      <c r="AR1358" s="216" t="str">
        <f t="shared" si="589"/>
        <v>BiK81M1K11--06</v>
      </c>
      <c r="AS1358" s="215" t="str">
        <f t="shared" si="590"/>
        <v/>
      </c>
      <c r="AT1358">
        <f t="shared" si="591"/>
        <v>14</v>
      </c>
      <c r="AU1358" s="216" t="str">
        <f t="shared" si="592"/>
        <v>0-0,15 MW, Bonusregeln M1, K erstmals 2011</v>
      </c>
      <c r="AV1358" s="215" t="str">
        <f t="shared" si="593"/>
        <v/>
      </c>
      <c r="AW1358" s="216" t="str">
        <f t="shared" si="594"/>
        <v>Anteil KWK, erstmals 2011</v>
      </c>
      <c r="AX1358" s="215" t="str">
        <f t="shared" si="595"/>
        <v/>
      </c>
      <c r="AY1358" t="str">
        <f t="shared" si="596"/>
        <v>x</v>
      </c>
      <c r="AZ1358" t="str">
        <f t="shared" si="597"/>
        <v/>
      </c>
    </row>
    <row r="1359" spans="1:52" s="178" customFormat="1" x14ac:dyDescent="0.25">
      <c r="A1359" s="625" t="s">
        <v>1610</v>
      </c>
      <c r="B1359" s="219" t="s">
        <v>5548</v>
      </c>
      <c r="C1359" s="219" t="s">
        <v>1296</v>
      </c>
      <c r="D1359" s="219" t="s">
        <v>6901</v>
      </c>
      <c r="E1359" s="219" t="s">
        <v>1980</v>
      </c>
      <c r="F1359" s="455">
        <f t="shared" si="603"/>
        <v>25.58</v>
      </c>
      <c r="G1359" s="530">
        <v>25.58</v>
      </c>
      <c r="H1359" s="488">
        <f t="shared" si="604"/>
        <v>20.46</v>
      </c>
      <c r="I1359" s="707"/>
      <c r="J1359" s="669" t="s">
        <v>5805</v>
      </c>
      <c r="K1359" s="15"/>
      <c r="L1359"/>
      <c r="M1359" s="49">
        <f t="shared" si="605"/>
        <v>25.58</v>
      </c>
      <c r="N1359" s="41">
        <v>11.67</v>
      </c>
      <c r="O1359" s="186"/>
      <c r="P1359" s="177"/>
      <c r="S1359" s="178" t="s">
        <v>4180</v>
      </c>
      <c r="T1359" s="178" t="s">
        <v>1017</v>
      </c>
      <c r="U1359" s="179"/>
      <c r="W1359" s="180"/>
      <c r="X1359" s="180"/>
      <c r="Z1359" s="178" t="s">
        <v>1017</v>
      </c>
      <c r="AA1359" s="180"/>
      <c r="AD1359" s="201"/>
      <c r="AE1359" s="200"/>
      <c r="AF1359" s="180"/>
      <c r="AG1359" s="201"/>
      <c r="AH1359" s="217" t="s">
        <v>4179</v>
      </c>
      <c r="AI1359" s="214" t="str">
        <f t="shared" si="598"/>
        <v/>
      </c>
      <c r="AJ1359" s="214" t="str">
        <f t="shared" si="599"/>
        <v/>
      </c>
      <c r="AK1359" s="214" t="str">
        <f t="shared" si="600"/>
        <v/>
      </c>
      <c r="AL1359" s="214" t="str">
        <f t="shared" si="601"/>
        <v/>
      </c>
      <c r="AM1359" s="214" t="str">
        <f t="shared" si="602"/>
        <v/>
      </c>
      <c r="AN1359" s="213" t="str">
        <f t="shared" si="585"/>
        <v>2012</v>
      </c>
      <c r="AO1359" s="213" t="str">
        <f t="shared" si="586"/>
        <v>2012</v>
      </c>
      <c r="AP1359" s="213" t="str">
        <f t="shared" si="587"/>
        <v>2012</v>
      </c>
      <c r="AQ1359" s="215" t="str">
        <f t="shared" si="588"/>
        <v/>
      </c>
      <c r="AR1359" s="216" t="str">
        <f t="shared" si="589"/>
        <v>BiK81M1K12--06</v>
      </c>
      <c r="AS1359" s="215" t="str">
        <f t="shared" si="590"/>
        <v/>
      </c>
      <c r="AT1359">
        <f t="shared" si="591"/>
        <v>14</v>
      </c>
      <c r="AU1359" s="216" t="str">
        <f t="shared" si="592"/>
        <v>0-0,15 MW, Bonusregeln M1, K erstmals 2012</v>
      </c>
      <c r="AV1359" s="215" t="str">
        <f t="shared" si="593"/>
        <v/>
      </c>
      <c r="AW1359" s="216" t="str">
        <f t="shared" si="594"/>
        <v>Anteil KWK, erstmals 2012</v>
      </c>
      <c r="AX1359" s="215" t="str">
        <f t="shared" si="595"/>
        <v/>
      </c>
      <c r="AY1359" t="str">
        <f t="shared" si="596"/>
        <v/>
      </c>
      <c r="AZ1359" t="str">
        <f t="shared" si="597"/>
        <v>x</v>
      </c>
    </row>
    <row r="1360" spans="1:52" s="178" customFormat="1" x14ac:dyDescent="0.25">
      <c r="A1360" s="610" t="s">
        <v>4608</v>
      </c>
      <c r="B1360" s="30" t="s">
        <v>5548</v>
      </c>
      <c r="C1360" s="30" t="s">
        <v>1296</v>
      </c>
      <c r="D1360" s="30" t="s">
        <v>6828</v>
      </c>
      <c r="E1360" s="30" t="s">
        <v>4810</v>
      </c>
      <c r="F1360" s="454">
        <f t="shared" si="603"/>
        <v>23.67</v>
      </c>
      <c r="G1360" s="529">
        <v>23.67</v>
      </c>
      <c r="H1360" s="487">
        <f t="shared" si="604"/>
        <v>18.940000000000001</v>
      </c>
      <c r="I1360" s="706"/>
      <c r="J1360" s="669" t="s">
        <v>5805</v>
      </c>
      <c r="K1360" s="15"/>
      <c r="L1360"/>
      <c r="M1360" s="49">
        <f t="shared" si="605"/>
        <v>23.67</v>
      </c>
      <c r="N1360" s="41">
        <v>11.67</v>
      </c>
      <c r="O1360" s="187"/>
      <c r="P1360" s="183"/>
      <c r="Q1360" s="184"/>
      <c r="R1360" s="184"/>
      <c r="S1360" s="184" t="s">
        <v>4180</v>
      </c>
      <c r="T1360" s="178" t="s">
        <v>4180</v>
      </c>
      <c r="U1360" s="185" t="s">
        <v>1017</v>
      </c>
      <c r="V1360" s="184"/>
      <c r="W1360" s="180"/>
      <c r="X1360" s="180"/>
      <c r="Z1360" s="184" t="s">
        <v>1017</v>
      </c>
      <c r="AA1360" s="180"/>
      <c r="AB1360" s="184"/>
      <c r="AC1360" s="184"/>
      <c r="AD1360" s="201"/>
      <c r="AE1360" s="181"/>
      <c r="AF1360" s="180"/>
      <c r="AG1360" s="201"/>
      <c r="AH1360" s="212" t="str">
        <f t="shared" ref="AH1360:AH1365" si="612">IF(ISERROR(SEARCH("K erstmals 201",D1360)),"",RIGHT(D1360,4))</f>
        <v/>
      </c>
      <c r="AI1360" s="214" t="str">
        <f t="shared" si="598"/>
        <v/>
      </c>
      <c r="AJ1360" s="214" t="str">
        <f t="shared" si="599"/>
        <v/>
      </c>
      <c r="AK1360" s="214" t="str">
        <f t="shared" si="600"/>
        <v/>
      </c>
      <c r="AL1360" s="214" t="str">
        <f t="shared" si="601"/>
        <v/>
      </c>
      <c r="AM1360" s="214" t="str">
        <f t="shared" si="602"/>
        <v/>
      </c>
      <c r="AN1360" s="213" t="str">
        <f t="shared" si="585"/>
        <v/>
      </c>
      <c r="AO1360" s="213" t="str">
        <f t="shared" si="586"/>
        <v/>
      </c>
      <c r="AP1360" s="213" t="str">
        <f t="shared" si="587"/>
        <v/>
      </c>
      <c r="AQ1360" s="215" t="str">
        <f t="shared" si="588"/>
        <v/>
      </c>
      <c r="AR1360" s="216" t="str">
        <f t="shared" si="589"/>
        <v>BiK81M1y----06</v>
      </c>
      <c r="AS1360" s="215" t="str">
        <f t="shared" si="590"/>
        <v/>
      </c>
      <c r="AT1360">
        <f t="shared" si="591"/>
        <v>14</v>
      </c>
      <c r="AU1360" s="216" t="str">
        <f t="shared" si="592"/>
        <v>0-0,15 MW, Bonusregeln M1, y</v>
      </c>
      <c r="AV1360" s="215" t="str">
        <f t="shared" si="593"/>
        <v/>
      </c>
      <c r="AW1360" s="216" t="str">
        <f t="shared" si="594"/>
        <v>Anteil Nicht-KWK</v>
      </c>
      <c r="AX1360" s="215" t="str">
        <f t="shared" si="595"/>
        <v/>
      </c>
      <c r="AY1360" t="str">
        <f t="shared" si="596"/>
        <v/>
      </c>
      <c r="AZ1360" t="str">
        <f t="shared" si="597"/>
        <v/>
      </c>
    </row>
    <row r="1361" spans="1:52" s="178" customFormat="1" x14ac:dyDescent="0.25">
      <c r="A1361" s="610" t="s">
        <v>4609</v>
      </c>
      <c r="B1361" s="30" t="s">
        <v>5548</v>
      </c>
      <c r="C1361" s="30" t="s">
        <v>1296</v>
      </c>
      <c r="D1361" s="30" t="s">
        <v>6902</v>
      </c>
      <c r="E1361" s="30" t="s">
        <v>4812</v>
      </c>
      <c r="F1361" s="454">
        <f t="shared" si="603"/>
        <v>25.67</v>
      </c>
      <c r="G1361" s="529">
        <v>25.67</v>
      </c>
      <c r="H1361" s="487">
        <f t="shared" si="604"/>
        <v>20.54</v>
      </c>
      <c r="I1361" s="706"/>
      <c r="J1361" s="669" t="s">
        <v>5805</v>
      </c>
      <c r="K1361" s="15"/>
      <c r="L1361"/>
      <c r="M1361" s="49">
        <f t="shared" si="605"/>
        <v>25.67</v>
      </c>
      <c r="N1361" s="41">
        <v>11.67</v>
      </c>
      <c r="O1361" s="187" t="s">
        <v>1017</v>
      </c>
      <c r="P1361" s="183"/>
      <c r="Q1361" s="184"/>
      <c r="R1361" s="184"/>
      <c r="S1361" s="184" t="s">
        <v>4180</v>
      </c>
      <c r="T1361" s="178" t="s">
        <v>4180</v>
      </c>
      <c r="U1361" s="185" t="s">
        <v>1017</v>
      </c>
      <c r="V1361" s="184"/>
      <c r="W1361" s="180"/>
      <c r="X1361" s="180"/>
      <c r="Z1361" s="184" t="s">
        <v>1017</v>
      </c>
      <c r="AA1361" s="180"/>
      <c r="AB1361" s="184"/>
      <c r="AC1361" s="184"/>
      <c r="AD1361" s="201"/>
      <c r="AE1361" s="181"/>
      <c r="AF1361" s="180"/>
      <c r="AG1361" s="201"/>
      <c r="AH1361" s="212" t="str">
        <f t="shared" si="612"/>
        <v/>
      </c>
      <c r="AI1361" s="214" t="str">
        <f t="shared" si="598"/>
        <v/>
      </c>
      <c r="AJ1361" s="214" t="str">
        <f t="shared" si="599"/>
        <v/>
      </c>
      <c r="AK1361" s="214" t="str">
        <f t="shared" si="600"/>
        <v/>
      </c>
      <c r="AL1361" s="214" t="str">
        <f t="shared" si="601"/>
        <v/>
      </c>
      <c r="AM1361" s="214" t="str">
        <f t="shared" si="602"/>
        <v/>
      </c>
      <c r="AN1361" s="213" t="str">
        <f t="shared" si="585"/>
        <v/>
      </c>
      <c r="AO1361" s="213" t="str">
        <f t="shared" si="586"/>
        <v/>
      </c>
      <c r="AP1361" s="213" t="str">
        <f t="shared" si="587"/>
        <v/>
      </c>
      <c r="AQ1361" s="215" t="str">
        <f t="shared" si="588"/>
        <v/>
      </c>
      <c r="AR1361" s="216" t="str">
        <f t="shared" si="589"/>
        <v>BiK81M1KWKy-06</v>
      </c>
      <c r="AS1361" s="215" t="str">
        <f t="shared" si="590"/>
        <v/>
      </c>
      <c r="AT1361">
        <f t="shared" si="591"/>
        <v>14</v>
      </c>
      <c r="AU1361" s="216" t="str">
        <f t="shared" si="592"/>
        <v>0-0,15 MW, Bonusregeln M1, y und KWK</v>
      </c>
      <c r="AV1361" s="215" t="str">
        <f t="shared" si="593"/>
        <v/>
      </c>
      <c r="AW1361" s="216" t="str">
        <f t="shared" si="594"/>
        <v>Anteil KWK</v>
      </c>
      <c r="AX1361" s="215" t="str">
        <f t="shared" si="595"/>
        <v/>
      </c>
      <c r="AY1361" t="str">
        <f t="shared" si="596"/>
        <v/>
      </c>
      <c r="AZ1361" t="str">
        <f t="shared" si="597"/>
        <v/>
      </c>
    </row>
    <row r="1362" spans="1:52" s="178" customFormat="1" x14ac:dyDescent="0.25">
      <c r="A1362" s="610" t="s">
        <v>4610</v>
      </c>
      <c r="B1362" s="30" t="s">
        <v>5548</v>
      </c>
      <c r="C1362" s="30" t="s">
        <v>1296</v>
      </c>
      <c r="D1362" s="109" t="s">
        <v>6829</v>
      </c>
      <c r="E1362" s="30" t="s">
        <v>4331</v>
      </c>
      <c r="F1362" s="454">
        <f t="shared" si="603"/>
        <v>26.67</v>
      </c>
      <c r="G1362" s="529">
        <v>26.67</v>
      </c>
      <c r="H1362" s="487">
        <f t="shared" si="604"/>
        <v>21.34</v>
      </c>
      <c r="I1362" s="706"/>
      <c r="J1362" s="669" t="s">
        <v>5805</v>
      </c>
      <c r="K1362" s="15"/>
      <c r="L1362"/>
      <c r="M1362" s="49">
        <f t="shared" si="605"/>
        <v>26.67</v>
      </c>
      <c r="N1362" s="41">
        <v>11.67</v>
      </c>
      <c r="O1362" s="187"/>
      <c r="P1362" s="184" t="s">
        <v>1017</v>
      </c>
      <c r="Q1362" s="184"/>
      <c r="R1362" s="184"/>
      <c r="S1362" s="184" t="s">
        <v>4180</v>
      </c>
      <c r="T1362" s="178" t="s">
        <v>4180</v>
      </c>
      <c r="U1362" s="185" t="s">
        <v>1017</v>
      </c>
      <c r="V1362" s="184"/>
      <c r="W1362" s="180"/>
      <c r="X1362" s="180"/>
      <c r="Z1362" s="184" t="s">
        <v>1017</v>
      </c>
      <c r="AA1362" s="180"/>
      <c r="AB1362" s="184"/>
      <c r="AC1362" s="184"/>
      <c r="AD1362" s="201"/>
      <c r="AE1362" s="181"/>
      <c r="AF1362" s="180"/>
      <c r="AG1362" s="201"/>
      <c r="AH1362" s="212" t="str">
        <f t="shared" si="612"/>
        <v/>
      </c>
      <c r="AI1362" s="214" t="str">
        <f t="shared" si="598"/>
        <v/>
      </c>
      <c r="AJ1362" s="214" t="str">
        <f t="shared" si="599"/>
        <v/>
      </c>
      <c r="AK1362" s="214" t="str">
        <f t="shared" si="600"/>
        <v/>
      </c>
      <c r="AL1362" s="214" t="str">
        <f t="shared" si="601"/>
        <v/>
      </c>
      <c r="AM1362" s="214" t="str">
        <f t="shared" si="602"/>
        <v/>
      </c>
      <c r="AN1362" s="213" t="str">
        <f t="shared" si="585"/>
        <v/>
      </c>
      <c r="AO1362" s="213" t="str">
        <f t="shared" si="586"/>
        <v/>
      </c>
      <c r="AP1362" s="213" t="str">
        <f t="shared" si="587"/>
        <v/>
      </c>
      <c r="AQ1362" s="215" t="str">
        <f t="shared" si="588"/>
        <v/>
      </c>
      <c r="AR1362" s="216" t="str">
        <f t="shared" si="589"/>
        <v>BiK81M1KA3y-06</v>
      </c>
      <c r="AS1362" s="215" t="str">
        <f t="shared" si="590"/>
        <v/>
      </c>
      <c r="AT1362">
        <f t="shared" si="591"/>
        <v>14</v>
      </c>
      <c r="AU1362" s="216" t="str">
        <f t="shared" si="592"/>
        <v>0-0,15 MW, Bonusregeln M1, y und K wenn Anlage 3 erfüllt</v>
      </c>
      <c r="AV1362" s="215" t="str">
        <f t="shared" si="593"/>
        <v/>
      </c>
      <c r="AW1362" s="216" t="str">
        <f t="shared" si="594"/>
        <v>Anteil KWK gemäß Anlage 3</v>
      </c>
      <c r="AX1362" s="215" t="str">
        <f t="shared" si="595"/>
        <v/>
      </c>
      <c r="AY1362" t="str">
        <f t="shared" si="596"/>
        <v/>
      </c>
      <c r="AZ1362" t="str">
        <f t="shared" si="597"/>
        <v/>
      </c>
    </row>
    <row r="1363" spans="1:52" s="178" customFormat="1" x14ac:dyDescent="0.25">
      <c r="A1363" s="610" t="s">
        <v>2725</v>
      </c>
      <c r="B1363" s="30" t="s">
        <v>5548</v>
      </c>
      <c r="C1363" s="30" t="s">
        <v>1296</v>
      </c>
      <c r="D1363" s="30" t="s">
        <v>6830</v>
      </c>
      <c r="E1363" s="30" t="s">
        <v>674</v>
      </c>
      <c r="F1363" s="454">
        <f t="shared" si="603"/>
        <v>26.67</v>
      </c>
      <c r="G1363" s="529">
        <v>26.67</v>
      </c>
      <c r="H1363" s="487">
        <f t="shared" si="604"/>
        <v>21.34</v>
      </c>
      <c r="I1363" s="706"/>
      <c r="J1363" s="669" t="s">
        <v>5805</v>
      </c>
      <c r="K1363" s="15"/>
      <c r="L1363"/>
      <c r="M1363" s="49">
        <f t="shared" si="605"/>
        <v>26.67</v>
      </c>
      <c r="N1363" s="41">
        <v>11.67</v>
      </c>
      <c r="O1363" s="187"/>
      <c r="P1363" s="183"/>
      <c r="Q1363" s="184" t="s">
        <v>1017</v>
      </c>
      <c r="R1363" s="184"/>
      <c r="S1363" s="184" t="s">
        <v>4180</v>
      </c>
      <c r="T1363" s="178" t="s">
        <v>4180</v>
      </c>
      <c r="U1363" s="185" t="s">
        <v>1017</v>
      </c>
      <c r="V1363" s="184"/>
      <c r="W1363" s="180"/>
      <c r="X1363" s="180"/>
      <c r="Z1363" s="184" t="s">
        <v>1017</v>
      </c>
      <c r="AA1363" s="180"/>
      <c r="AB1363" s="184"/>
      <c r="AC1363" s="184"/>
      <c r="AD1363" s="201"/>
      <c r="AE1363" s="181"/>
      <c r="AF1363" s="180"/>
      <c r="AG1363" s="201"/>
      <c r="AH1363" s="212" t="str">
        <f t="shared" si="612"/>
        <v/>
      </c>
      <c r="AI1363" s="214" t="str">
        <f t="shared" si="598"/>
        <v/>
      </c>
      <c r="AJ1363" s="214" t="str">
        <f t="shared" si="599"/>
        <v/>
      </c>
      <c r="AK1363" s="214" t="str">
        <f t="shared" si="600"/>
        <v/>
      </c>
      <c r="AL1363" s="214" t="str">
        <f t="shared" si="601"/>
        <v/>
      </c>
      <c r="AM1363" s="214" t="str">
        <f t="shared" si="602"/>
        <v/>
      </c>
      <c r="AN1363" s="213" t="str">
        <f t="shared" si="585"/>
        <v/>
      </c>
      <c r="AO1363" s="213" t="str">
        <f t="shared" si="586"/>
        <v/>
      </c>
      <c r="AP1363" s="213" t="str">
        <f t="shared" si="587"/>
        <v/>
      </c>
      <c r="AQ1363" s="215" t="str">
        <f t="shared" si="588"/>
        <v/>
      </c>
      <c r="AR1363" s="216" t="str">
        <f t="shared" si="589"/>
        <v>BiK81M1K09y-06</v>
      </c>
      <c r="AS1363" s="215" t="str">
        <f t="shared" si="590"/>
        <v/>
      </c>
      <c r="AT1363">
        <f t="shared" si="591"/>
        <v>14</v>
      </c>
      <c r="AU1363" s="216" t="str">
        <f t="shared" si="592"/>
        <v>0-0,15 MW, Bonusregeln M1, y und K erstmals 2009</v>
      </c>
      <c r="AV1363" s="215" t="str">
        <f t="shared" si="593"/>
        <v/>
      </c>
      <c r="AW1363" s="216" t="str">
        <f t="shared" si="594"/>
        <v>Anteil KWK, erstmals 2009</v>
      </c>
      <c r="AX1363" s="215" t="str">
        <f t="shared" si="595"/>
        <v/>
      </c>
      <c r="AY1363" t="str">
        <f t="shared" si="596"/>
        <v/>
      </c>
      <c r="AZ1363" t="str">
        <f t="shared" si="597"/>
        <v/>
      </c>
    </row>
    <row r="1364" spans="1:52" s="178" customFormat="1" x14ac:dyDescent="0.25">
      <c r="A1364" s="610" t="s">
        <v>4892</v>
      </c>
      <c r="B1364" s="30" t="s">
        <v>5548</v>
      </c>
      <c r="C1364" s="30" t="s">
        <v>1296</v>
      </c>
      <c r="D1364" s="30" t="s">
        <v>6831</v>
      </c>
      <c r="E1364" s="30" t="s">
        <v>3567</v>
      </c>
      <c r="F1364" s="454">
        <f t="shared" si="603"/>
        <v>26.64</v>
      </c>
      <c r="G1364" s="529">
        <v>26.64</v>
      </c>
      <c r="H1364" s="487">
        <f t="shared" si="604"/>
        <v>21.31</v>
      </c>
      <c r="I1364" s="706"/>
      <c r="J1364" s="669" t="s">
        <v>5805</v>
      </c>
      <c r="K1364" s="15"/>
      <c r="L1364"/>
      <c r="M1364" s="49">
        <f t="shared" si="605"/>
        <v>26.64</v>
      </c>
      <c r="N1364" s="41">
        <v>11.67</v>
      </c>
      <c r="O1364" s="187"/>
      <c r="P1364" s="183"/>
      <c r="Q1364" s="184"/>
      <c r="R1364" s="184" t="s">
        <v>1017</v>
      </c>
      <c r="S1364" s="184" t="s">
        <v>4180</v>
      </c>
      <c r="T1364" s="178" t="s">
        <v>4180</v>
      </c>
      <c r="U1364" s="185" t="s">
        <v>1017</v>
      </c>
      <c r="V1364" s="184"/>
      <c r="W1364" s="180"/>
      <c r="X1364" s="180"/>
      <c r="Z1364" s="184" t="s">
        <v>1017</v>
      </c>
      <c r="AA1364" s="180"/>
      <c r="AB1364" s="184"/>
      <c r="AC1364" s="184"/>
      <c r="AD1364" s="201"/>
      <c r="AE1364" s="181"/>
      <c r="AF1364" s="180"/>
      <c r="AG1364" s="201"/>
      <c r="AH1364" s="212" t="str">
        <f t="shared" si="612"/>
        <v>2010</v>
      </c>
      <c r="AI1364" s="214" t="str">
        <f t="shared" si="598"/>
        <v/>
      </c>
      <c r="AJ1364" s="214" t="str">
        <f t="shared" si="599"/>
        <v/>
      </c>
      <c r="AK1364" s="214" t="str">
        <f t="shared" si="600"/>
        <v/>
      </c>
      <c r="AL1364" s="214" t="str">
        <f t="shared" si="601"/>
        <v/>
      </c>
      <c r="AM1364" s="214" t="str">
        <f t="shared" si="602"/>
        <v/>
      </c>
      <c r="AN1364" s="213" t="str">
        <f t="shared" si="585"/>
        <v>2010</v>
      </c>
      <c r="AO1364" s="213" t="str">
        <f t="shared" si="586"/>
        <v>2010</v>
      </c>
      <c r="AP1364" s="213" t="str">
        <f t="shared" si="587"/>
        <v>2010</v>
      </c>
      <c r="AQ1364" s="215" t="str">
        <f t="shared" si="588"/>
        <v/>
      </c>
      <c r="AR1364" s="216" t="str">
        <f t="shared" si="589"/>
        <v>BiK81M1K10y-06</v>
      </c>
      <c r="AS1364" s="215" t="str">
        <f t="shared" si="590"/>
        <v/>
      </c>
      <c r="AT1364">
        <f t="shared" si="591"/>
        <v>14</v>
      </c>
      <c r="AU1364" s="216" t="str">
        <f t="shared" si="592"/>
        <v>0-0,15 MW, Bonusregeln M1, y und K erstmals 2010</v>
      </c>
      <c r="AV1364" s="215" t="str">
        <f t="shared" si="593"/>
        <v/>
      </c>
      <c r="AW1364" s="216" t="str">
        <f t="shared" si="594"/>
        <v>Anteil KWK, erstmals 2010</v>
      </c>
      <c r="AX1364" s="215" t="str">
        <f t="shared" si="595"/>
        <v/>
      </c>
      <c r="AY1364" t="str">
        <f t="shared" si="596"/>
        <v/>
      </c>
      <c r="AZ1364" t="str">
        <f t="shared" si="597"/>
        <v/>
      </c>
    </row>
    <row r="1365" spans="1:52" s="178" customFormat="1" x14ac:dyDescent="0.25">
      <c r="A1365" s="610" t="s">
        <v>5361</v>
      </c>
      <c r="B1365" s="30" t="s">
        <v>5548</v>
      </c>
      <c r="C1365" s="30" t="s">
        <v>1296</v>
      </c>
      <c r="D1365" s="30" t="s">
        <v>6832</v>
      </c>
      <c r="E1365" s="30" t="s">
        <v>3055</v>
      </c>
      <c r="F1365" s="454">
        <f t="shared" si="603"/>
        <v>26.61</v>
      </c>
      <c r="G1365" s="529">
        <v>26.61</v>
      </c>
      <c r="H1365" s="487">
        <f t="shared" si="604"/>
        <v>21.29</v>
      </c>
      <c r="I1365" s="706"/>
      <c r="J1365" s="669" t="s">
        <v>5805</v>
      </c>
      <c r="K1365" s="15"/>
      <c r="L1365"/>
      <c r="M1365" s="49">
        <f t="shared" si="605"/>
        <v>26.61</v>
      </c>
      <c r="N1365" s="41">
        <v>11.67</v>
      </c>
      <c r="O1365" s="187"/>
      <c r="P1365" s="183"/>
      <c r="Q1365" s="184"/>
      <c r="S1365" s="184" t="s">
        <v>1017</v>
      </c>
      <c r="T1365" s="178" t="s">
        <v>4180</v>
      </c>
      <c r="U1365" s="185" t="s">
        <v>1017</v>
      </c>
      <c r="V1365" s="184"/>
      <c r="W1365" s="180"/>
      <c r="X1365" s="180"/>
      <c r="Z1365" s="184" t="s">
        <v>1017</v>
      </c>
      <c r="AA1365" s="180"/>
      <c r="AB1365" s="184"/>
      <c r="AC1365" s="184"/>
      <c r="AD1365" s="201"/>
      <c r="AE1365" s="181"/>
      <c r="AF1365" s="180"/>
      <c r="AG1365" s="201"/>
      <c r="AH1365" s="212" t="str">
        <f t="shared" si="612"/>
        <v>2011</v>
      </c>
      <c r="AI1365" s="214" t="str">
        <f t="shared" si="598"/>
        <v/>
      </c>
      <c r="AJ1365" s="214" t="str">
        <f t="shared" si="599"/>
        <v/>
      </c>
      <c r="AK1365" s="214" t="str">
        <f t="shared" si="600"/>
        <v/>
      </c>
      <c r="AL1365" s="214" t="str">
        <f t="shared" si="601"/>
        <v/>
      </c>
      <c r="AM1365" s="214" t="str">
        <f t="shared" si="602"/>
        <v/>
      </c>
      <c r="AN1365" s="213" t="str">
        <f t="shared" si="585"/>
        <v>2011</v>
      </c>
      <c r="AO1365" s="213" t="str">
        <f t="shared" si="586"/>
        <v>2011</v>
      </c>
      <c r="AP1365" s="213" t="str">
        <f t="shared" si="587"/>
        <v>2011</v>
      </c>
      <c r="AQ1365" s="215" t="str">
        <f t="shared" si="588"/>
        <v/>
      </c>
      <c r="AR1365" s="216" t="str">
        <f t="shared" si="589"/>
        <v>BiK81M1K11y-06</v>
      </c>
      <c r="AS1365" s="215" t="str">
        <f t="shared" si="590"/>
        <v/>
      </c>
      <c r="AT1365">
        <f t="shared" si="591"/>
        <v>14</v>
      </c>
      <c r="AU1365" s="216" t="str">
        <f t="shared" si="592"/>
        <v>0-0,15 MW, Bonusregeln M1, y und K erstmals 2011</v>
      </c>
      <c r="AV1365" s="215" t="str">
        <f t="shared" si="593"/>
        <v/>
      </c>
      <c r="AW1365" s="216" t="str">
        <f t="shared" si="594"/>
        <v>Anteil KWK, erstmals 2011</v>
      </c>
      <c r="AX1365" s="215" t="str">
        <f t="shared" si="595"/>
        <v/>
      </c>
      <c r="AY1365" t="str">
        <f t="shared" si="596"/>
        <v>x</v>
      </c>
      <c r="AZ1365" t="str">
        <f t="shared" si="597"/>
        <v/>
      </c>
    </row>
    <row r="1366" spans="1:52" s="178" customFormat="1" x14ac:dyDescent="0.25">
      <c r="A1366" s="625" t="s">
        <v>1611</v>
      </c>
      <c r="B1366" s="219" t="s">
        <v>5548</v>
      </c>
      <c r="C1366" s="219" t="s">
        <v>1296</v>
      </c>
      <c r="D1366" s="219" t="s">
        <v>6833</v>
      </c>
      <c r="E1366" s="219" t="s">
        <v>1980</v>
      </c>
      <c r="F1366" s="455">
        <f t="shared" si="603"/>
        <v>26.58</v>
      </c>
      <c r="G1366" s="530">
        <v>26.58</v>
      </c>
      <c r="H1366" s="488">
        <f t="shared" si="604"/>
        <v>21.26</v>
      </c>
      <c r="I1366" s="707"/>
      <c r="J1366" s="669" t="s">
        <v>5805</v>
      </c>
      <c r="K1366" s="15"/>
      <c r="L1366"/>
      <c r="M1366" s="49">
        <f t="shared" si="605"/>
        <v>26.58</v>
      </c>
      <c r="N1366" s="41">
        <v>11.67</v>
      </c>
      <c r="O1366" s="187"/>
      <c r="P1366" s="183"/>
      <c r="Q1366" s="184"/>
      <c r="S1366" s="184" t="s">
        <v>4180</v>
      </c>
      <c r="T1366" s="178" t="s">
        <v>1017</v>
      </c>
      <c r="U1366" s="185" t="s">
        <v>1017</v>
      </c>
      <c r="V1366" s="184"/>
      <c r="W1366" s="180"/>
      <c r="X1366" s="180"/>
      <c r="Z1366" s="184" t="s">
        <v>1017</v>
      </c>
      <c r="AA1366" s="180"/>
      <c r="AB1366" s="184"/>
      <c r="AC1366" s="184"/>
      <c r="AD1366" s="201"/>
      <c r="AE1366" s="181"/>
      <c r="AF1366" s="180"/>
      <c r="AG1366" s="201"/>
      <c r="AH1366" s="217" t="s">
        <v>4179</v>
      </c>
      <c r="AI1366" s="214" t="str">
        <f t="shared" si="598"/>
        <v/>
      </c>
      <c r="AJ1366" s="214" t="str">
        <f t="shared" si="599"/>
        <v/>
      </c>
      <c r="AK1366" s="214" t="str">
        <f t="shared" si="600"/>
        <v/>
      </c>
      <c r="AL1366" s="214" t="str">
        <f t="shared" si="601"/>
        <v/>
      </c>
      <c r="AM1366" s="214" t="str">
        <f t="shared" si="602"/>
        <v/>
      </c>
      <c r="AN1366" s="213" t="str">
        <f t="shared" si="585"/>
        <v>2012</v>
      </c>
      <c r="AO1366" s="213" t="str">
        <f t="shared" si="586"/>
        <v>2012</v>
      </c>
      <c r="AP1366" s="213" t="str">
        <f t="shared" si="587"/>
        <v>2012</v>
      </c>
      <c r="AQ1366" s="215" t="str">
        <f t="shared" si="588"/>
        <v/>
      </c>
      <c r="AR1366" s="216" t="str">
        <f t="shared" si="589"/>
        <v>BiK81M1K12y-06</v>
      </c>
      <c r="AS1366" s="215" t="str">
        <f t="shared" si="590"/>
        <v/>
      </c>
      <c r="AT1366">
        <f t="shared" si="591"/>
        <v>14</v>
      </c>
      <c r="AU1366" s="216" t="str">
        <f t="shared" si="592"/>
        <v>0-0,15 MW, Bonusregeln M1, y und K erstmals 2012</v>
      </c>
      <c r="AV1366" s="215" t="str">
        <f t="shared" si="593"/>
        <v/>
      </c>
      <c r="AW1366" s="216" t="str">
        <f t="shared" si="594"/>
        <v>Anteil KWK, erstmals 2012</v>
      </c>
      <c r="AX1366" s="215" t="str">
        <f t="shared" si="595"/>
        <v/>
      </c>
      <c r="AY1366" t="str">
        <f t="shared" si="596"/>
        <v/>
      </c>
      <c r="AZ1366" t="str">
        <f t="shared" si="597"/>
        <v>x</v>
      </c>
    </row>
    <row r="1367" spans="1:52" s="178" customFormat="1" x14ac:dyDescent="0.25">
      <c r="A1367" s="610" t="s">
        <v>2726</v>
      </c>
      <c r="B1367" s="30" t="s">
        <v>5548</v>
      </c>
      <c r="C1367" s="30" t="s">
        <v>1296</v>
      </c>
      <c r="D1367" s="30" t="s">
        <v>6834</v>
      </c>
      <c r="E1367" s="30" t="s">
        <v>4810</v>
      </c>
      <c r="F1367" s="454">
        <f t="shared" si="603"/>
        <v>20.67</v>
      </c>
      <c r="G1367" s="529">
        <v>20.67</v>
      </c>
      <c r="H1367" s="487">
        <f t="shared" si="604"/>
        <v>16.54</v>
      </c>
      <c r="I1367" s="706"/>
      <c r="J1367" s="669" t="s">
        <v>5805</v>
      </c>
      <c r="K1367" s="15"/>
      <c r="L1367"/>
      <c r="M1367" s="49">
        <f t="shared" si="605"/>
        <v>20.67</v>
      </c>
      <c r="N1367" s="41">
        <v>11.67</v>
      </c>
      <c r="O1367" s="186"/>
      <c r="P1367" s="177"/>
      <c r="S1367" s="178" t="s">
        <v>4180</v>
      </c>
      <c r="T1367" s="178" t="s">
        <v>4180</v>
      </c>
      <c r="U1367" s="179"/>
      <c r="W1367" s="180"/>
      <c r="X1367" s="180"/>
      <c r="AA1367" s="180"/>
      <c r="AB1367" s="178" t="s">
        <v>1017</v>
      </c>
      <c r="AD1367" s="201"/>
      <c r="AE1367" s="200"/>
      <c r="AF1367" s="180"/>
      <c r="AG1367" s="201"/>
      <c r="AH1367" s="212" t="str">
        <f t="shared" ref="AH1367:AH1372" si="613">IF(ISERROR(SEARCH("K erstmals 201",D1367)),"",RIGHT(D1367,4))</f>
        <v/>
      </c>
      <c r="AI1367" s="214" t="str">
        <f t="shared" si="598"/>
        <v/>
      </c>
      <c r="AJ1367" s="214" t="str">
        <f t="shared" si="599"/>
        <v/>
      </c>
      <c r="AK1367" s="214" t="str">
        <f t="shared" si="600"/>
        <v/>
      </c>
      <c r="AL1367" s="214" t="str">
        <f t="shared" si="601"/>
        <v/>
      </c>
      <c r="AM1367" s="214" t="str">
        <f t="shared" si="602"/>
        <v/>
      </c>
      <c r="AN1367" s="213" t="str">
        <f t="shared" si="585"/>
        <v/>
      </c>
      <c r="AO1367" s="213" t="str">
        <f t="shared" si="586"/>
        <v/>
      </c>
      <c r="AP1367" s="213" t="str">
        <f t="shared" si="587"/>
        <v/>
      </c>
      <c r="AQ1367" s="215" t="str">
        <f t="shared" si="588"/>
        <v/>
      </c>
      <c r="AR1367" s="216" t="str">
        <f t="shared" si="589"/>
        <v>BiK81L------06</v>
      </c>
      <c r="AS1367" s="215" t="str">
        <f t="shared" si="590"/>
        <v/>
      </c>
      <c r="AT1367">
        <f t="shared" si="591"/>
        <v>14</v>
      </c>
      <c r="AU1367" s="216" t="str">
        <f t="shared" si="592"/>
        <v>0-0,15 MW, Bonusregel L</v>
      </c>
      <c r="AV1367" s="215" t="str">
        <f t="shared" si="593"/>
        <v/>
      </c>
      <c r="AW1367" s="216" t="str">
        <f t="shared" si="594"/>
        <v>Anteil Nicht-KWK</v>
      </c>
      <c r="AX1367" s="215" t="str">
        <f t="shared" si="595"/>
        <v/>
      </c>
      <c r="AY1367" t="str">
        <f t="shared" si="596"/>
        <v/>
      </c>
      <c r="AZ1367" t="str">
        <f t="shared" si="597"/>
        <v/>
      </c>
    </row>
    <row r="1368" spans="1:52" x14ac:dyDescent="0.25">
      <c r="A1368" s="610" t="s">
        <v>2727</v>
      </c>
      <c r="B1368" s="30" t="s">
        <v>5548</v>
      </c>
      <c r="C1368" s="30" t="s">
        <v>1296</v>
      </c>
      <c r="D1368" s="30" t="s">
        <v>6903</v>
      </c>
      <c r="E1368" s="30" t="s">
        <v>4812</v>
      </c>
      <c r="F1368" s="454">
        <f t="shared" si="603"/>
        <v>22.67</v>
      </c>
      <c r="G1368" s="529">
        <v>22.67</v>
      </c>
      <c r="H1368" s="487">
        <f t="shared" si="604"/>
        <v>18.14</v>
      </c>
      <c r="I1368" s="706"/>
      <c r="J1368" s="669" t="s">
        <v>5805</v>
      </c>
      <c r="K1368" s="15"/>
      <c r="M1368" s="49">
        <f t="shared" si="605"/>
        <v>22.67</v>
      </c>
      <c r="N1368" s="41">
        <v>11.67</v>
      </c>
      <c r="O1368" s="186" t="s">
        <v>1017</v>
      </c>
      <c r="P1368" s="177"/>
      <c r="Q1368" s="178"/>
      <c r="R1368" s="178"/>
      <c r="S1368" s="178" t="s">
        <v>4180</v>
      </c>
      <c r="T1368" t="s">
        <v>4180</v>
      </c>
      <c r="U1368" s="179"/>
      <c r="V1368" s="178"/>
      <c r="W1368" s="180"/>
      <c r="X1368" s="180"/>
      <c r="Y1368" s="178"/>
      <c r="Z1368" s="178"/>
      <c r="AA1368" s="180"/>
      <c r="AB1368" s="178" t="s">
        <v>1017</v>
      </c>
      <c r="AC1368" s="178"/>
      <c r="AD1368" s="201"/>
      <c r="AE1368" s="200"/>
      <c r="AF1368" s="180"/>
      <c r="AG1368" s="201"/>
      <c r="AH1368" s="212" t="str">
        <f t="shared" si="613"/>
        <v/>
      </c>
      <c r="AI1368" s="214" t="str">
        <f t="shared" si="598"/>
        <v/>
      </c>
      <c r="AJ1368" s="214" t="str">
        <f t="shared" si="599"/>
        <v/>
      </c>
      <c r="AK1368" s="214" t="str">
        <f t="shared" si="600"/>
        <v/>
      </c>
      <c r="AL1368" s="214" t="str">
        <f t="shared" si="601"/>
        <v/>
      </c>
      <c r="AM1368" s="214" t="str">
        <f t="shared" si="602"/>
        <v/>
      </c>
      <c r="AN1368" s="213" t="str">
        <f t="shared" si="585"/>
        <v/>
      </c>
      <c r="AO1368" s="213" t="str">
        <f t="shared" si="586"/>
        <v/>
      </c>
      <c r="AP1368" s="213" t="str">
        <f t="shared" si="587"/>
        <v/>
      </c>
      <c r="AQ1368" s="215" t="str">
        <f t="shared" si="588"/>
        <v/>
      </c>
      <c r="AR1368" s="216" t="str">
        <f t="shared" si="589"/>
        <v>BiK81LKWK---06</v>
      </c>
      <c r="AS1368" s="215" t="str">
        <f t="shared" si="590"/>
        <v/>
      </c>
      <c r="AT1368">
        <f t="shared" si="591"/>
        <v>14</v>
      </c>
      <c r="AU1368" s="216" t="str">
        <f t="shared" si="592"/>
        <v>0-0,15 MW, Bonusregeln L und KWK</v>
      </c>
      <c r="AV1368" s="215" t="str">
        <f t="shared" si="593"/>
        <v/>
      </c>
      <c r="AW1368" s="216" t="str">
        <f t="shared" si="594"/>
        <v>Anteil KWK</v>
      </c>
      <c r="AX1368" s="215" t="str">
        <f t="shared" si="595"/>
        <v/>
      </c>
      <c r="AY1368" t="str">
        <f t="shared" si="596"/>
        <v/>
      </c>
      <c r="AZ1368" t="str">
        <f t="shared" si="597"/>
        <v/>
      </c>
    </row>
    <row r="1369" spans="1:52" x14ac:dyDescent="0.25">
      <c r="A1369" s="610" t="s">
        <v>2728</v>
      </c>
      <c r="B1369" s="30" t="s">
        <v>5548</v>
      </c>
      <c r="C1369" s="30" t="s">
        <v>1296</v>
      </c>
      <c r="D1369" s="30" t="s">
        <v>6835</v>
      </c>
      <c r="E1369" s="30" t="s">
        <v>4331</v>
      </c>
      <c r="F1369" s="454">
        <f t="shared" si="603"/>
        <v>23.67</v>
      </c>
      <c r="G1369" s="529">
        <v>23.67</v>
      </c>
      <c r="H1369" s="487">
        <f t="shared" si="604"/>
        <v>18.940000000000001</v>
      </c>
      <c r="I1369" s="706"/>
      <c r="J1369" s="669" t="s">
        <v>5805</v>
      </c>
      <c r="K1369" s="15"/>
      <c r="M1369" s="49">
        <f t="shared" si="605"/>
        <v>23.67</v>
      </c>
      <c r="N1369" s="41">
        <v>11.67</v>
      </c>
      <c r="O1369" s="186"/>
      <c r="P1369" s="178" t="s">
        <v>1017</v>
      </c>
      <c r="Q1369" s="178"/>
      <c r="R1369" s="178"/>
      <c r="S1369" s="178" t="s">
        <v>4180</v>
      </c>
      <c r="T1369" t="s">
        <v>4180</v>
      </c>
      <c r="U1369" s="179"/>
      <c r="V1369" s="178"/>
      <c r="W1369" s="180"/>
      <c r="X1369" s="180"/>
      <c r="Y1369" s="178"/>
      <c r="Z1369" s="178"/>
      <c r="AA1369" s="180"/>
      <c r="AB1369" s="178" t="s">
        <v>1017</v>
      </c>
      <c r="AC1369" s="178"/>
      <c r="AD1369" s="201"/>
      <c r="AE1369" s="200"/>
      <c r="AF1369" s="180"/>
      <c r="AG1369" s="201"/>
      <c r="AH1369" s="212" t="str">
        <f t="shared" si="613"/>
        <v/>
      </c>
      <c r="AI1369" s="214" t="str">
        <f t="shared" si="598"/>
        <v/>
      </c>
      <c r="AJ1369" s="214" t="str">
        <f t="shared" si="599"/>
        <v/>
      </c>
      <c r="AK1369" s="214" t="str">
        <f t="shared" si="600"/>
        <v/>
      </c>
      <c r="AL1369" s="214" t="str">
        <f t="shared" si="601"/>
        <v/>
      </c>
      <c r="AM1369" s="214" t="str">
        <f t="shared" si="602"/>
        <v/>
      </c>
      <c r="AN1369" s="213" t="str">
        <f t="shared" ref="AN1369:AN1432" si="614">IF(ISERROR(SEARCH("K1",A1369)),"","20"&amp;MID(A1369,SEARCH("K1",A1369)+1,2))</f>
        <v/>
      </c>
      <c r="AO1369" s="213" t="str">
        <f t="shared" ref="AO1369:AO1432" si="615">IF(ISERROR(SEARCH("erstmals 201",E1369)),"",MID(E1369,SEARCH("erstmals ",E1369)+9,4))</f>
        <v/>
      </c>
      <c r="AP1369" s="213" t="str">
        <f t="shared" ref="AP1369:AP1432" si="616">IF(R1369="x","2010",IF(S1369="x","2011",IF(T1369="x","2012","")))</f>
        <v/>
      </c>
      <c r="AQ1369" s="215" t="str">
        <f t="shared" ref="AQ1369:AQ1432" si="617">IF(OR(AH1369&lt;&gt;AN1369,AH1369&lt;&gt;AO1369,AH1369&lt;&gt;AP1369),"DIFF","")</f>
        <v/>
      </c>
      <c r="AR1369" s="216" t="str">
        <f t="shared" ref="AR1369:AR1432" si="618">IF(A1369="","",IF(ISERROR(SEARCH("K1",A1369)),A1369,LEFT(A1369,SEARCH("K1",A1369)+1)&amp;RIGHT(AH1369,1)&amp;MID(A1369,SEARCH("K1",A1369)+3,14)))</f>
        <v>BiK81LKA3---06</v>
      </c>
      <c r="AS1369" s="215" t="str">
        <f t="shared" ref="AS1369:AS1432" si="619">IF(OR(A1369&lt;&gt;AR1369),"DIFF","")</f>
        <v/>
      </c>
      <c r="AT1369">
        <f t="shared" ref="AT1369:AT1432" si="620">LEN(AR1369)</f>
        <v>14</v>
      </c>
      <c r="AU1369" s="216" t="str">
        <f t="shared" ref="AU1369:AU1432" si="621">IF(D1369="","",IF(OR(A1369="",ISERROR(SEARCH("erstmals 201",D1369))),D1369,LEFT(D1369,SEARCH("erstmals 201",D1369)+8) &amp; AH1369 &amp; MID(D1369,SEARCH("erstmals 201",D1369)+13,255)))</f>
        <v>0-0,15 MW, Bonusregeln L und K wenn Anlage 3 erfüllt</v>
      </c>
      <c r="AV1369" s="215" t="str">
        <f t="shared" ref="AV1369:AV1432" si="622">IF(OR(D1369&lt;&gt;AU1369),"DIFF","")</f>
        <v/>
      </c>
      <c r="AW1369" s="216" t="str">
        <f t="shared" ref="AW1369:AW1432" si="623">IF(E1369="","",IF(OR(E1369="",ISERROR(SEARCH("erstmals 201",E1369))),E1369,LEFT(E1369,SEARCH("erstmals 201",E1369)+8) &amp; AH1369 &amp; MID(E1369,SEARCH("erstmals 201",E1369)+13,255)))</f>
        <v>Anteil KWK gemäß Anlage 3</v>
      </c>
      <c r="AX1369" s="215" t="str">
        <f t="shared" ref="AX1369:AX1432" si="624">IF(OR(E1369&lt;&gt;AW1369),"DIFF","")</f>
        <v/>
      </c>
      <c r="AY1369" t="str">
        <f t="shared" ref="AY1369:AY1432" si="625">IF(AH1369="2011","x",IF(AH1369="2012","","" &amp; S1369))</f>
        <v/>
      </c>
      <c r="AZ1369" t="str">
        <f t="shared" ref="AZ1369:AZ1432" si="626">IF(AH1369="2012","x",IF(AH1369="2011","","" &amp; T1369))</f>
        <v/>
      </c>
    </row>
    <row r="1370" spans="1:52" x14ac:dyDescent="0.25">
      <c r="A1370" s="610" t="s">
        <v>2729</v>
      </c>
      <c r="B1370" s="30" t="s">
        <v>5548</v>
      </c>
      <c r="C1370" s="30" t="s">
        <v>1296</v>
      </c>
      <c r="D1370" s="30" t="s">
        <v>6836</v>
      </c>
      <c r="E1370" s="30" t="s">
        <v>674</v>
      </c>
      <c r="F1370" s="454">
        <f t="shared" si="603"/>
        <v>23.67</v>
      </c>
      <c r="G1370" s="529">
        <v>23.67</v>
      </c>
      <c r="H1370" s="487">
        <f t="shared" si="604"/>
        <v>18.940000000000001</v>
      </c>
      <c r="I1370" s="706"/>
      <c r="J1370" s="669" t="s">
        <v>5805</v>
      </c>
      <c r="K1370" s="15"/>
      <c r="M1370" s="49">
        <f t="shared" si="605"/>
        <v>23.67</v>
      </c>
      <c r="N1370" s="41">
        <v>11.67</v>
      </c>
      <c r="O1370" s="186"/>
      <c r="P1370" s="177"/>
      <c r="Q1370" s="178" t="s">
        <v>1017</v>
      </c>
      <c r="R1370" s="178"/>
      <c r="S1370" s="178" t="s">
        <v>4180</v>
      </c>
      <c r="T1370" t="s">
        <v>4180</v>
      </c>
      <c r="U1370" s="179"/>
      <c r="V1370" s="178"/>
      <c r="W1370" s="180"/>
      <c r="X1370" s="180"/>
      <c r="Y1370" s="178"/>
      <c r="Z1370" s="178"/>
      <c r="AA1370" s="180"/>
      <c r="AB1370" s="178" t="s">
        <v>1017</v>
      </c>
      <c r="AC1370" s="178"/>
      <c r="AD1370" s="201"/>
      <c r="AE1370" s="200"/>
      <c r="AF1370" s="180"/>
      <c r="AG1370" s="201"/>
      <c r="AH1370" s="212" t="str">
        <f t="shared" si="613"/>
        <v/>
      </c>
      <c r="AI1370" s="214" t="str">
        <f t="shared" si="598"/>
        <v/>
      </c>
      <c r="AJ1370" s="214" t="str">
        <f t="shared" si="599"/>
        <v/>
      </c>
      <c r="AK1370" s="214" t="str">
        <f t="shared" si="600"/>
        <v/>
      </c>
      <c r="AL1370" s="214" t="str">
        <f t="shared" si="601"/>
        <v/>
      </c>
      <c r="AM1370" s="214" t="str">
        <f t="shared" si="602"/>
        <v/>
      </c>
      <c r="AN1370" s="213" t="str">
        <f t="shared" si="614"/>
        <v/>
      </c>
      <c r="AO1370" s="213" t="str">
        <f t="shared" si="615"/>
        <v/>
      </c>
      <c r="AP1370" s="213" t="str">
        <f t="shared" si="616"/>
        <v/>
      </c>
      <c r="AQ1370" s="215" t="str">
        <f t="shared" si="617"/>
        <v/>
      </c>
      <c r="AR1370" s="216" t="str">
        <f t="shared" si="618"/>
        <v>BiK81LK09---06</v>
      </c>
      <c r="AS1370" s="215" t="str">
        <f t="shared" si="619"/>
        <v/>
      </c>
      <c r="AT1370">
        <f t="shared" si="620"/>
        <v>14</v>
      </c>
      <c r="AU1370" s="216" t="str">
        <f t="shared" si="621"/>
        <v>0-0,15 MW, Bonusregeln L und K erstmals 2009</v>
      </c>
      <c r="AV1370" s="215" t="str">
        <f t="shared" si="622"/>
        <v/>
      </c>
      <c r="AW1370" s="216" t="str">
        <f t="shared" si="623"/>
        <v>Anteil KWK, erstmals 2009</v>
      </c>
      <c r="AX1370" s="215" t="str">
        <f t="shared" si="624"/>
        <v/>
      </c>
      <c r="AY1370" t="str">
        <f t="shared" si="625"/>
        <v/>
      </c>
      <c r="AZ1370" t="str">
        <f t="shared" si="626"/>
        <v/>
      </c>
    </row>
    <row r="1371" spans="1:52" x14ac:dyDescent="0.25">
      <c r="A1371" s="610" t="s">
        <v>4893</v>
      </c>
      <c r="B1371" s="30" t="s">
        <v>5548</v>
      </c>
      <c r="C1371" s="30" t="s">
        <v>1296</v>
      </c>
      <c r="D1371" s="30" t="s">
        <v>6837</v>
      </c>
      <c r="E1371" s="30" t="s">
        <v>3567</v>
      </c>
      <c r="F1371" s="454">
        <f t="shared" si="603"/>
        <v>23.64</v>
      </c>
      <c r="G1371" s="529">
        <v>23.64</v>
      </c>
      <c r="H1371" s="487">
        <f t="shared" si="604"/>
        <v>18.91</v>
      </c>
      <c r="I1371" s="706"/>
      <c r="J1371" s="669" t="s">
        <v>5805</v>
      </c>
      <c r="K1371" s="15"/>
      <c r="M1371" s="49">
        <f t="shared" si="605"/>
        <v>23.64</v>
      </c>
      <c r="N1371" s="41">
        <v>11.67</v>
      </c>
      <c r="O1371" s="186"/>
      <c r="P1371" s="177"/>
      <c r="Q1371" s="178"/>
      <c r="R1371" s="178" t="s">
        <v>1017</v>
      </c>
      <c r="S1371" s="178" t="s">
        <v>4180</v>
      </c>
      <c r="T1371" t="s">
        <v>4180</v>
      </c>
      <c r="U1371" s="179"/>
      <c r="V1371" s="178"/>
      <c r="W1371" s="180"/>
      <c r="X1371" s="180"/>
      <c r="Y1371" s="178"/>
      <c r="Z1371" s="178"/>
      <c r="AA1371" s="180"/>
      <c r="AB1371" s="178" t="s">
        <v>1017</v>
      </c>
      <c r="AC1371" s="178"/>
      <c r="AD1371" s="201"/>
      <c r="AE1371" s="200"/>
      <c r="AF1371" s="180"/>
      <c r="AG1371" s="201"/>
      <c r="AH1371" s="212" t="str">
        <f t="shared" si="613"/>
        <v>2010</v>
      </c>
      <c r="AI1371" s="214" t="str">
        <f t="shared" ref="AI1371:AI1434" si="627">IF(AND($AH1371&lt;&gt;"",AH1371 =AH1370),"Gleich","")</f>
        <v/>
      </c>
      <c r="AJ1371" s="214" t="str">
        <f t="shared" ref="AJ1371:AJ1434" si="628">IF(AND($AH1371&lt;&gt;"",A1371 =A1370),"Gleich","")</f>
        <v/>
      </c>
      <c r="AK1371" s="214" t="str">
        <f t="shared" ref="AK1371:AK1434" si="629">IF(AND($AH1371&lt;&gt;"",D1371 =D1370),"Gleich","")</f>
        <v/>
      </c>
      <c r="AL1371" s="214" t="str">
        <f t="shared" ref="AL1371:AL1434" si="630">IF(AND($AH1371&lt;&gt;"",E1371 =E1370),"Gleich","")</f>
        <v/>
      </c>
      <c r="AM1371" s="214" t="str">
        <f t="shared" ref="AM1371:AM1434" si="631">IF(AND($AH1371&lt;&gt;"",F1371 =F1370),"Gleich","")</f>
        <v/>
      </c>
      <c r="AN1371" s="213" t="str">
        <f t="shared" si="614"/>
        <v>2010</v>
      </c>
      <c r="AO1371" s="213" t="str">
        <f t="shared" si="615"/>
        <v>2010</v>
      </c>
      <c r="AP1371" s="213" t="str">
        <f t="shared" si="616"/>
        <v>2010</v>
      </c>
      <c r="AQ1371" s="215" t="str">
        <f t="shared" si="617"/>
        <v/>
      </c>
      <c r="AR1371" s="216" t="str">
        <f t="shared" si="618"/>
        <v>BiK81LK10---06</v>
      </c>
      <c r="AS1371" s="215" t="str">
        <f t="shared" si="619"/>
        <v/>
      </c>
      <c r="AT1371">
        <f t="shared" si="620"/>
        <v>14</v>
      </c>
      <c r="AU1371" s="216" t="str">
        <f t="shared" si="621"/>
        <v>0-0,15 MW, Bonusregeln L und K erstmals 2010</v>
      </c>
      <c r="AV1371" s="215" t="str">
        <f t="shared" si="622"/>
        <v/>
      </c>
      <c r="AW1371" s="216" t="str">
        <f t="shared" si="623"/>
        <v>Anteil KWK, erstmals 2010</v>
      </c>
      <c r="AX1371" s="215" t="str">
        <f t="shared" si="624"/>
        <v/>
      </c>
      <c r="AY1371" t="str">
        <f t="shared" si="625"/>
        <v/>
      </c>
      <c r="AZ1371" t="str">
        <f t="shared" si="626"/>
        <v/>
      </c>
    </row>
    <row r="1372" spans="1:52" x14ac:dyDescent="0.25">
      <c r="A1372" s="610" t="s">
        <v>5362</v>
      </c>
      <c r="B1372" s="30" t="s">
        <v>5548</v>
      </c>
      <c r="C1372" s="30" t="s">
        <v>1296</v>
      </c>
      <c r="D1372" s="30" t="s">
        <v>6838</v>
      </c>
      <c r="E1372" s="30" t="s">
        <v>3055</v>
      </c>
      <c r="F1372" s="454">
        <f t="shared" si="603"/>
        <v>23.61</v>
      </c>
      <c r="G1372" s="529">
        <v>23.61</v>
      </c>
      <c r="H1372" s="487">
        <f t="shared" si="604"/>
        <v>18.89</v>
      </c>
      <c r="I1372" s="706"/>
      <c r="J1372" s="669" t="s">
        <v>5805</v>
      </c>
      <c r="K1372" s="15"/>
      <c r="M1372" s="49">
        <f t="shared" si="605"/>
        <v>23.61</v>
      </c>
      <c r="N1372" s="41">
        <v>11.67</v>
      </c>
      <c r="O1372" s="186"/>
      <c r="P1372" s="177"/>
      <c r="Q1372" s="178"/>
      <c r="R1372" s="178"/>
      <c r="S1372" s="178" t="s">
        <v>1017</v>
      </c>
      <c r="T1372" t="s">
        <v>4180</v>
      </c>
      <c r="U1372" s="179"/>
      <c r="V1372" s="178"/>
      <c r="W1372" s="180"/>
      <c r="X1372" s="180"/>
      <c r="Y1372" s="178"/>
      <c r="Z1372" s="178"/>
      <c r="AA1372" s="180"/>
      <c r="AB1372" s="178" t="s">
        <v>1017</v>
      </c>
      <c r="AC1372" s="178"/>
      <c r="AD1372" s="201"/>
      <c r="AE1372" s="200"/>
      <c r="AF1372" s="180"/>
      <c r="AG1372" s="201"/>
      <c r="AH1372" s="212" t="str">
        <f t="shared" si="613"/>
        <v>2011</v>
      </c>
      <c r="AI1372" s="214" t="str">
        <f t="shared" si="627"/>
        <v/>
      </c>
      <c r="AJ1372" s="214" t="str">
        <f t="shared" si="628"/>
        <v/>
      </c>
      <c r="AK1372" s="214" t="str">
        <f t="shared" si="629"/>
        <v/>
      </c>
      <c r="AL1372" s="214" t="str">
        <f t="shared" si="630"/>
        <v/>
      </c>
      <c r="AM1372" s="214" t="str">
        <f t="shared" si="631"/>
        <v/>
      </c>
      <c r="AN1372" s="213" t="str">
        <f t="shared" si="614"/>
        <v>2011</v>
      </c>
      <c r="AO1372" s="213" t="str">
        <f t="shared" si="615"/>
        <v>2011</v>
      </c>
      <c r="AP1372" s="213" t="str">
        <f t="shared" si="616"/>
        <v>2011</v>
      </c>
      <c r="AQ1372" s="215" t="str">
        <f t="shared" si="617"/>
        <v/>
      </c>
      <c r="AR1372" s="216" t="str">
        <f t="shared" si="618"/>
        <v>BiK81LK11---06</v>
      </c>
      <c r="AS1372" s="215" t="str">
        <f t="shared" si="619"/>
        <v/>
      </c>
      <c r="AT1372">
        <f t="shared" si="620"/>
        <v>14</v>
      </c>
      <c r="AU1372" s="216" t="str">
        <f t="shared" si="621"/>
        <v>0-0,15 MW, Bonusregeln L und K erstmals 2011</v>
      </c>
      <c r="AV1372" s="215" t="str">
        <f t="shared" si="622"/>
        <v/>
      </c>
      <c r="AW1372" s="216" t="str">
        <f t="shared" si="623"/>
        <v>Anteil KWK, erstmals 2011</v>
      </c>
      <c r="AX1372" s="215" t="str">
        <f t="shared" si="624"/>
        <v/>
      </c>
      <c r="AY1372" t="str">
        <f t="shared" si="625"/>
        <v>x</v>
      </c>
      <c r="AZ1372" t="str">
        <f t="shared" si="626"/>
        <v/>
      </c>
    </row>
    <row r="1373" spans="1:52" x14ac:dyDescent="0.25">
      <c r="A1373" s="625" t="s">
        <v>3640</v>
      </c>
      <c r="B1373" s="219" t="s">
        <v>5548</v>
      </c>
      <c r="C1373" s="219" t="s">
        <v>1296</v>
      </c>
      <c r="D1373" s="219" t="s">
        <v>6839</v>
      </c>
      <c r="E1373" s="219" t="s">
        <v>1980</v>
      </c>
      <c r="F1373" s="455">
        <f t="shared" si="603"/>
        <v>23.58</v>
      </c>
      <c r="G1373" s="530">
        <v>23.58</v>
      </c>
      <c r="H1373" s="488">
        <f t="shared" si="604"/>
        <v>18.86</v>
      </c>
      <c r="I1373" s="707"/>
      <c r="J1373" s="669" t="s">
        <v>5805</v>
      </c>
      <c r="K1373" s="15"/>
      <c r="M1373" s="49">
        <f t="shared" si="605"/>
        <v>23.58</v>
      </c>
      <c r="N1373" s="41">
        <v>11.67</v>
      </c>
      <c r="O1373" s="186"/>
      <c r="P1373" s="177"/>
      <c r="Q1373" s="178"/>
      <c r="R1373" s="178"/>
      <c r="S1373" s="178" t="s">
        <v>4180</v>
      </c>
      <c r="T1373" t="s">
        <v>1017</v>
      </c>
      <c r="U1373" s="179"/>
      <c r="V1373" s="178"/>
      <c r="W1373" s="180"/>
      <c r="X1373" s="180"/>
      <c r="Y1373" s="178"/>
      <c r="Z1373" s="178"/>
      <c r="AA1373" s="180"/>
      <c r="AB1373" s="178" t="s">
        <v>1017</v>
      </c>
      <c r="AC1373" s="178"/>
      <c r="AD1373" s="201"/>
      <c r="AE1373" s="200"/>
      <c r="AF1373" s="180"/>
      <c r="AG1373" s="201"/>
      <c r="AH1373" s="217" t="s">
        <v>4179</v>
      </c>
      <c r="AI1373" s="214" t="str">
        <f t="shared" si="627"/>
        <v/>
      </c>
      <c r="AJ1373" s="214" t="str">
        <f t="shared" si="628"/>
        <v/>
      </c>
      <c r="AK1373" s="214" t="str">
        <f t="shared" si="629"/>
        <v/>
      </c>
      <c r="AL1373" s="214" t="str">
        <f t="shared" si="630"/>
        <v/>
      </c>
      <c r="AM1373" s="214" t="str">
        <f t="shared" si="631"/>
        <v/>
      </c>
      <c r="AN1373" s="213" t="str">
        <f t="shared" si="614"/>
        <v>2012</v>
      </c>
      <c r="AO1373" s="213" t="str">
        <f t="shared" si="615"/>
        <v>2012</v>
      </c>
      <c r="AP1373" s="213" t="str">
        <f t="shared" si="616"/>
        <v>2012</v>
      </c>
      <c r="AQ1373" s="215" t="str">
        <f t="shared" si="617"/>
        <v/>
      </c>
      <c r="AR1373" s="216" t="str">
        <f t="shared" si="618"/>
        <v>BiK81LK12---06</v>
      </c>
      <c r="AS1373" s="215" t="str">
        <f t="shared" si="619"/>
        <v/>
      </c>
      <c r="AT1373">
        <f t="shared" si="620"/>
        <v>14</v>
      </c>
      <c r="AU1373" s="216" t="str">
        <f t="shared" si="621"/>
        <v>0-0,15 MW, Bonusregeln L und K erstmals 2012</v>
      </c>
      <c r="AV1373" s="215" t="str">
        <f t="shared" si="622"/>
        <v/>
      </c>
      <c r="AW1373" s="216" t="str">
        <f t="shared" si="623"/>
        <v>Anteil KWK, erstmals 2012</v>
      </c>
      <c r="AX1373" s="215" t="str">
        <f t="shared" si="624"/>
        <v/>
      </c>
      <c r="AY1373" t="str">
        <f t="shared" si="625"/>
        <v/>
      </c>
      <c r="AZ1373" t="str">
        <f t="shared" si="626"/>
        <v>x</v>
      </c>
    </row>
    <row r="1374" spans="1:52" x14ac:dyDescent="0.25">
      <c r="A1374" s="610" t="s">
        <v>2730</v>
      </c>
      <c r="B1374" s="30" t="s">
        <v>5548</v>
      </c>
      <c r="C1374" s="30" t="s">
        <v>1296</v>
      </c>
      <c r="D1374" s="30" t="s">
        <v>6840</v>
      </c>
      <c r="E1374" s="30" t="s">
        <v>4810</v>
      </c>
      <c r="F1374" s="454">
        <f t="shared" si="603"/>
        <v>21.67</v>
      </c>
      <c r="G1374" s="529">
        <v>21.67</v>
      </c>
      <c r="H1374" s="487">
        <f t="shared" si="604"/>
        <v>17.34</v>
      </c>
      <c r="I1374" s="706"/>
      <c r="J1374" s="669" t="s">
        <v>5805</v>
      </c>
      <c r="K1374" s="15"/>
      <c r="M1374" s="49">
        <f t="shared" si="605"/>
        <v>21.67</v>
      </c>
      <c r="N1374" s="41">
        <v>11.67</v>
      </c>
      <c r="O1374" s="187"/>
      <c r="P1374" s="183"/>
      <c r="Q1374" s="184"/>
      <c r="R1374" s="184"/>
      <c r="S1374" s="184" t="s">
        <v>4180</v>
      </c>
      <c r="T1374" t="s">
        <v>4180</v>
      </c>
      <c r="U1374" s="185" t="s">
        <v>1017</v>
      </c>
      <c r="V1374" s="184"/>
      <c r="W1374" s="180"/>
      <c r="X1374" s="180"/>
      <c r="Y1374" s="178"/>
      <c r="Z1374" s="178"/>
      <c r="AA1374" s="180"/>
      <c r="AB1374" s="184" t="s">
        <v>1017</v>
      </c>
      <c r="AC1374" s="184"/>
      <c r="AD1374" s="201"/>
      <c r="AE1374" s="181"/>
      <c r="AF1374" s="180"/>
      <c r="AG1374" s="201"/>
      <c r="AH1374" s="212" t="str">
        <f t="shared" ref="AH1374:AH1379" si="632">IF(ISERROR(SEARCH("K erstmals 201",D1374)),"",RIGHT(D1374,4))</f>
        <v/>
      </c>
      <c r="AI1374" s="214" t="str">
        <f t="shared" si="627"/>
        <v/>
      </c>
      <c r="AJ1374" s="214" t="str">
        <f t="shared" si="628"/>
        <v/>
      </c>
      <c r="AK1374" s="214" t="str">
        <f t="shared" si="629"/>
        <v/>
      </c>
      <c r="AL1374" s="214" t="str">
        <f t="shared" si="630"/>
        <v/>
      </c>
      <c r="AM1374" s="214" t="str">
        <f t="shared" si="631"/>
        <v/>
      </c>
      <c r="AN1374" s="213" t="str">
        <f t="shared" si="614"/>
        <v/>
      </c>
      <c r="AO1374" s="213" t="str">
        <f t="shared" si="615"/>
        <v/>
      </c>
      <c r="AP1374" s="213" t="str">
        <f t="shared" si="616"/>
        <v/>
      </c>
      <c r="AQ1374" s="215" t="str">
        <f t="shared" si="617"/>
        <v/>
      </c>
      <c r="AR1374" s="216" t="str">
        <f t="shared" si="618"/>
        <v>BiK81Ly-----06</v>
      </c>
      <c r="AS1374" s="215" t="str">
        <f t="shared" si="619"/>
        <v/>
      </c>
      <c r="AT1374">
        <f t="shared" si="620"/>
        <v>14</v>
      </c>
      <c r="AU1374" s="216" t="str">
        <f t="shared" si="621"/>
        <v>0-0,15 MW, Bonusregeln L, y</v>
      </c>
      <c r="AV1374" s="215" t="str">
        <f t="shared" si="622"/>
        <v/>
      </c>
      <c r="AW1374" s="216" t="str">
        <f t="shared" si="623"/>
        <v>Anteil Nicht-KWK</v>
      </c>
      <c r="AX1374" s="215" t="str">
        <f t="shared" si="624"/>
        <v/>
      </c>
      <c r="AY1374" t="str">
        <f t="shared" si="625"/>
        <v/>
      </c>
      <c r="AZ1374" t="str">
        <f t="shared" si="626"/>
        <v/>
      </c>
    </row>
    <row r="1375" spans="1:52" x14ac:dyDescent="0.25">
      <c r="A1375" s="610" t="s">
        <v>2731</v>
      </c>
      <c r="B1375" s="30" t="s">
        <v>5548</v>
      </c>
      <c r="C1375" s="30" t="s">
        <v>1296</v>
      </c>
      <c r="D1375" s="30" t="s">
        <v>6904</v>
      </c>
      <c r="E1375" s="30" t="s">
        <v>4812</v>
      </c>
      <c r="F1375" s="454">
        <f t="shared" ref="F1375:F1438" si="633">M1375</f>
        <v>23.67</v>
      </c>
      <c r="G1375" s="529">
        <v>23.67</v>
      </c>
      <c r="H1375" s="487">
        <f t="shared" ref="H1375:H1438" si="634">IF(ISNUMBER(G1375),ROUND(0.8*G1375,2),"")</f>
        <v>18.940000000000001</v>
      </c>
      <c r="I1375" s="706"/>
      <c r="J1375" s="669" t="s">
        <v>5805</v>
      </c>
      <c r="K1375" s="15"/>
      <c r="M1375" s="49">
        <f t="shared" ref="M1375:M1438" si="635">N1375+SUMIF(O1375:AG1375,"x",O$1310:AG$1310)</f>
        <v>23.67</v>
      </c>
      <c r="N1375" s="41">
        <v>11.67</v>
      </c>
      <c r="O1375" s="187" t="s">
        <v>1017</v>
      </c>
      <c r="P1375" s="183"/>
      <c r="Q1375" s="184"/>
      <c r="R1375" s="184"/>
      <c r="S1375" s="184" t="s">
        <v>4180</v>
      </c>
      <c r="T1375" t="s">
        <v>4180</v>
      </c>
      <c r="U1375" s="185" t="s">
        <v>1017</v>
      </c>
      <c r="V1375" s="184"/>
      <c r="W1375" s="180"/>
      <c r="X1375" s="180"/>
      <c r="Y1375" s="178"/>
      <c r="Z1375" s="178"/>
      <c r="AA1375" s="180"/>
      <c r="AB1375" s="184" t="s">
        <v>1017</v>
      </c>
      <c r="AC1375" s="184"/>
      <c r="AD1375" s="201"/>
      <c r="AE1375" s="181"/>
      <c r="AF1375" s="180"/>
      <c r="AG1375" s="201"/>
      <c r="AH1375" s="212" t="str">
        <f t="shared" si="632"/>
        <v/>
      </c>
      <c r="AI1375" s="214" t="str">
        <f t="shared" si="627"/>
        <v/>
      </c>
      <c r="AJ1375" s="214" t="str">
        <f t="shared" si="628"/>
        <v/>
      </c>
      <c r="AK1375" s="214" t="str">
        <f t="shared" si="629"/>
        <v/>
      </c>
      <c r="AL1375" s="214" t="str">
        <f t="shared" si="630"/>
        <v/>
      </c>
      <c r="AM1375" s="214" t="str">
        <f t="shared" si="631"/>
        <v/>
      </c>
      <c r="AN1375" s="213" t="str">
        <f t="shared" si="614"/>
        <v/>
      </c>
      <c r="AO1375" s="213" t="str">
        <f t="shared" si="615"/>
        <v/>
      </c>
      <c r="AP1375" s="213" t="str">
        <f t="shared" si="616"/>
        <v/>
      </c>
      <c r="AQ1375" s="215" t="str">
        <f t="shared" si="617"/>
        <v/>
      </c>
      <c r="AR1375" s="216" t="str">
        <f t="shared" si="618"/>
        <v>BiK81LKWKy--06</v>
      </c>
      <c r="AS1375" s="215" t="str">
        <f t="shared" si="619"/>
        <v/>
      </c>
      <c r="AT1375">
        <f t="shared" si="620"/>
        <v>14</v>
      </c>
      <c r="AU1375" s="216" t="str">
        <f t="shared" si="621"/>
        <v>0-0,15 MW, Bonusregeln L, y und KWK</v>
      </c>
      <c r="AV1375" s="215" t="str">
        <f t="shared" si="622"/>
        <v/>
      </c>
      <c r="AW1375" s="216" t="str">
        <f t="shared" si="623"/>
        <v>Anteil KWK</v>
      </c>
      <c r="AX1375" s="215" t="str">
        <f t="shared" si="624"/>
        <v/>
      </c>
      <c r="AY1375" t="str">
        <f t="shared" si="625"/>
        <v/>
      </c>
      <c r="AZ1375" t="str">
        <f t="shared" si="626"/>
        <v/>
      </c>
    </row>
    <row r="1376" spans="1:52" x14ac:dyDescent="0.25">
      <c r="A1376" s="610" t="s">
        <v>2732</v>
      </c>
      <c r="B1376" s="30" t="s">
        <v>5548</v>
      </c>
      <c r="C1376" s="30" t="s">
        <v>1296</v>
      </c>
      <c r="D1376" s="109" t="s">
        <v>6841</v>
      </c>
      <c r="E1376" s="30" t="s">
        <v>4331</v>
      </c>
      <c r="F1376" s="454">
        <f t="shared" si="633"/>
        <v>24.67</v>
      </c>
      <c r="G1376" s="529">
        <v>24.67</v>
      </c>
      <c r="H1376" s="487">
        <f t="shared" si="634"/>
        <v>19.739999999999998</v>
      </c>
      <c r="I1376" s="706"/>
      <c r="J1376" s="669" t="s">
        <v>5805</v>
      </c>
      <c r="K1376" s="15"/>
      <c r="M1376" s="49">
        <f t="shared" si="635"/>
        <v>24.67</v>
      </c>
      <c r="N1376" s="41">
        <v>11.67</v>
      </c>
      <c r="O1376" s="187"/>
      <c r="P1376" s="184" t="s">
        <v>1017</v>
      </c>
      <c r="Q1376" s="184"/>
      <c r="R1376" s="184"/>
      <c r="S1376" s="184" t="s">
        <v>4180</v>
      </c>
      <c r="T1376" t="s">
        <v>4180</v>
      </c>
      <c r="U1376" s="185" t="s">
        <v>1017</v>
      </c>
      <c r="V1376" s="184"/>
      <c r="W1376" s="180"/>
      <c r="X1376" s="180"/>
      <c r="Y1376" s="178"/>
      <c r="Z1376" s="178"/>
      <c r="AA1376" s="180"/>
      <c r="AB1376" s="184" t="s">
        <v>1017</v>
      </c>
      <c r="AC1376" s="184"/>
      <c r="AD1376" s="201"/>
      <c r="AE1376" s="181"/>
      <c r="AF1376" s="180"/>
      <c r="AG1376" s="201"/>
      <c r="AH1376" s="212" t="str">
        <f t="shared" si="632"/>
        <v/>
      </c>
      <c r="AI1376" s="214" t="str">
        <f t="shared" si="627"/>
        <v/>
      </c>
      <c r="AJ1376" s="214" t="str">
        <f t="shared" si="628"/>
        <v/>
      </c>
      <c r="AK1376" s="214" t="str">
        <f t="shared" si="629"/>
        <v/>
      </c>
      <c r="AL1376" s="214" t="str">
        <f t="shared" si="630"/>
        <v/>
      </c>
      <c r="AM1376" s="214" t="str">
        <f t="shared" si="631"/>
        <v/>
      </c>
      <c r="AN1376" s="213" t="str">
        <f t="shared" si="614"/>
        <v/>
      </c>
      <c r="AO1376" s="213" t="str">
        <f t="shared" si="615"/>
        <v/>
      </c>
      <c r="AP1376" s="213" t="str">
        <f t="shared" si="616"/>
        <v/>
      </c>
      <c r="AQ1376" s="215" t="str">
        <f t="shared" si="617"/>
        <v/>
      </c>
      <c r="AR1376" s="216" t="str">
        <f t="shared" si="618"/>
        <v>BiK81LKA3y--06</v>
      </c>
      <c r="AS1376" s="215" t="str">
        <f t="shared" si="619"/>
        <v/>
      </c>
      <c r="AT1376">
        <f t="shared" si="620"/>
        <v>14</v>
      </c>
      <c r="AU1376" s="216" t="str">
        <f t="shared" si="621"/>
        <v>0-0,15 MW, Bonusregeln L, y und K wenn Anlage 3 erfüllt</v>
      </c>
      <c r="AV1376" s="215" t="str">
        <f t="shared" si="622"/>
        <v/>
      </c>
      <c r="AW1376" s="216" t="str">
        <f t="shared" si="623"/>
        <v>Anteil KWK gemäß Anlage 3</v>
      </c>
      <c r="AX1376" s="215" t="str">
        <f t="shared" si="624"/>
        <v/>
      </c>
      <c r="AY1376" t="str">
        <f t="shared" si="625"/>
        <v/>
      </c>
      <c r="AZ1376" t="str">
        <f t="shared" si="626"/>
        <v/>
      </c>
    </row>
    <row r="1377" spans="1:52" x14ac:dyDescent="0.25">
      <c r="A1377" s="610" t="s">
        <v>2733</v>
      </c>
      <c r="B1377" s="30" t="s">
        <v>5548</v>
      </c>
      <c r="C1377" s="30" t="s">
        <v>1296</v>
      </c>
      <c r="D1377" s="30" t="s">
        <v>6842</v>
      </c>
      <c r="E1377" s="30" t="s">
        <v>674</v>
      </c>
      <c r="F1377" s="454">
        <f t="shared" si="633"/>
        <v>24.67</v>
      </c>
      <c r="G1377" s="529">
        <v>24.67</v>
      </c>
      <c r="H1377" s="487">
        <f t="shared" si="634"/>
        <v>19.739999999999998</v>
      </c>
      <c r="I1377" s="706"/>
      <c r="J1377" s="669" t="s">
        <v>5805</v>
      </c>
      <c r="K1377" s="15"/>
      <c r="M1377" s="49">
        <f t="shared" si="635"/>
        <v>24.67</v>
      </c>
      <c r="N1377" s="41">
        <v>11.67</v>
      </c>
      <c r="O1377" s="187"/>
      <c r="P1377" s="183"/>
      <c r="Q1377" s="184" t="s">
        <v>1017</v>
      </c>
      <c r="R1377" s="184"/>
      <c r="S1377" s="184" t="s">
        <v>4180</v>
      </c>
      <c r="T1377" t="s">
        <v>4180</v>
      </c>
      <c r="U1377" s="185" t="s">
        <v>1017</v>
      </c>
      <c r="V1377" s="184"/>
      <c r="W1377" s="180"/>
      <c r="X1377" s="180"/>
      <c r="Y1377" s="178"/>
      <c r="Z1377" s="178"/>
      <c r="AA1377" s="180"/>
      <c r="AB1377" s="184" t="s">
        <v>1017</v>
      </c>
      <c r="AC1377" s="184"/>
      <c r="AD1377" s="201"/>
      <c r="AE1377" s="181"/>
      <c r="AF1377" s="180"/>
      <c r="AG1377" s="201"/>
      <c r="AH1377" s="212" t="str">
        <f t="shared" si="632"/>
        <v/>
      </c>
      <c r="AI1377" s="214" t="str">
        <f t="shared" si="627"/>
        <v/>
      </c>
      <c r="AJ1377" s="214" t="str">
        <f t="shared" si="628"/>
        <v/>
      </c>
      <c r="AK1377" s="214" t="str">
        <f t="shared" si="629"/>
        <v/>
      </c>
      <c r="AL1377" s="214" t="str">
        <f t="shared" si="630"/>
        <v/>
      </c>
      <c r="AM1377" s="214" t="str">
        <f t="shared" si="631"/>
        <v/>
      </c>
      <c r="AN1377" s="213" t="str">
        <f t="shared" si="614"/>
        <v/>
      </c>
      <c r="AO1377" s="213" t="str">
        <f t="shared" si="615"/>
        <v/>
      </c>
      <c r="AP1377" s="213" t="str">
        <f t="shared" si="616"/>
        <v/>
      </c>
      <c r="AQ1377" s="215" t="str">
        <f t="shared" si="617"/>
        <v/>
      </c>
      <c r="AR1377" s="216" t="str">
        <f t="shared" si="618"/>
        <v>BiK81LK09y--06</v>
      </c>
      <c r="AS1377" s="215" t="str">
        <f t="shared" si="619"/>
        <v/>
      </c>
      <c r="AT1377">
        <f t="shared" si="620"/>
        <v>14</v>
      </c>
      <c r="AU1377" s="216" t="str">
        <f t="shared" si="621"/>
        <v>0-0,15 MW, Bonusregeln L, y und K erstmals 2009</v>
      </c>
      <c r="AV1377" s="215" t="str">
        <f t="shared" si="622"/>
        <v/>
      </c>
      <c r="AW1377" s="216" t="str">
        <f t="shared" si="623"/>
        <v>Anteil KWK, erstmals 2009</v>
      </c>
      <c r="AX1377" s="215" t="str">
        <f t="shared" si="624"/>
        <v/>
      </c>
      <c r="AY1377" t="str">
        <f t="shared" si="625"/>
        <v/>
      </c>
      <c r="AZ1377" t="str">
        <f t="shared" si="626"/>
        <v/>
      </c>
    </row>
    <row r="1378" spans="1:52" x14ac:dyDescent="0.25">
      <c r="A1378" s="610" t="s">
        <v>4894</v>
      </c>
      <c r="B1378" s="30" t="s">
        <v>5548</v>
      </c>
      <c r="C1378" s="30" t="s">
        <v>1296</v>
      </c>
      <c r="D1378" s="30" t="s">
        <v>6843</v>
      </c>
      <c r="E1378" s="30" t="s">
        <v>3567</v>
      </c>
      <c r="F1378" s="454">
        <f t="shared" si="633"/>
        <v>24.64</v>
      </c>
      <c r="G1378" s="529">
        <v>24.64</v>
      </c>
      <c r="H1378" s="487">
        <f t="shared" si="634"/>
        <v>19.71</v>
      </c>
      <c r="I1378" s="706"/>
      <c r="J1378" s="669" t="s">
        <v>5805</v>
      </c>
      <c r="K1378" s="15"/>
      <c r="M1378" s="49">
        <f t="shared" si="635"/>
        <v>24.64</v>
      </c>
      <c r="N1378" s="41">
        <v>11.67</v>
      </c>
      <c r="O1378" s="187"/>
      <c r="P1378" s="183"/>
      <c r="Q1378" s="184"/>
      <c r="R1378" s="184" t="s">
        <v>1017</v>
      </c>
      <c r="S1378" s="184" t="s">
        <v>4180</v>
      </c>
      <c r="T1378" t="s">
        <v>4180</v>
      </c>
      <c r="U1378" s="185" t="s">
        <v>1017</v>
      </c>
      <c r="V1378" s="184"/>
      <c r="W1378" s="180"/>
      <c r="X1378" s="180"/>
      <c r="Y1378" s="178"/>
      <c r="Z1378" s="178"/>
      <c r="AA1378" s="180"/>
      <c r="AB1378" s="184" t="s">
        <v>1017</v>
      </c>
      <c r="AC1378" s="184"/>
      <c r="AD1378" s="201"/>
      <c r="AE1378" s="181"/>
      <c r="AF1378" s="180"/>
      <c r="AG1378" s="201"/>
      <c r="AH1378" s="212" t="str">
        <f t="shared" si="632"/>
        <v>2010</v>
      </c>
      <c r="AI1378" s="214" t="str">
        <f t="shared" si="627"/>
        <v/>
      </c>
      <c r="AJ1378" s="214" t="str">
        <f t="shared" si="628"/>
        <v/>
      </c>
      <c r="AK1378" s="214" t="str">
        <f t="shared" si="629"/>
        <v/>
      </c>
      <c r="AL1378" s="214" t="str">
        <f t="shared" si="630"/>
        <v/>
      </c>
      <c r="AM1378" s="214" t="str">
        <f t="shared" si="631"/>
        <v/>
      </c>
      <c r="AN1378" s="213" t="str">
        <f t="shared" si="614"/>
        <v>2010</v>
      </c>
      <c r="AO1378" s="213" t="str">
        <f t="shared" si="615"/>
        <v>2010</v>
      </c>
      <c r="AP1378" s="213" t="str">
        <f t="shared" si="616"/>
        <v>2010</v>
      </c>
      <c r="AQ1378" s="215" t="str">
        <f t="shared" si="617"/>
        <v/>
      </c>
      <c r="AR1378" s="216" t="str">
        <f t="shared" si="618"/>
        <v>BiK81LK10y--06</v>
      </c>
      <c r="AS1378" s="215" t="str">
        <f t="shared" si="619"/>
        <v/>
      </c>
      <c r="AT1378">
        <f t="shared" si="620"/>
        <v>14</v>
      </c>
      <c r="AU1378" s="216" t="str">
        <f t="shared" si="621"/>
        <v>0-0,15 MW, Bonusregeln L, y und K erstmals 2010</v>
      </c>
      <c r="AV1378" s="215" t="str">
        <f t="shared" si="622"/>
        <v/>
      </c>
      <c r="AW1378" s="216" t="str">
        <f t="shared" si="623"/>
        <v>Anteil KWK, erstmals 2010</v>
      </c>
      <c r="AX1378" s="215" t="str">
        <f t="shared" si="624"/>
        <v/>
      </c>
      <c r="AY1378" t="str">
        <f t="shared" si="625"/>
        <v/>
      </c>
      <c r="AZ1378" t="str">
        <f t="shared" si="626"/>
        <v/>
      </c>
    </row>
    <row r="1379" spans="1:52" x14ac:dyDescent="0.25">
      <c r="A1379" s="610" t="s">
        <v>5363</v>
      </c>
      <c r="B1379" s="30" t="s">
        <v>5548</v>
      </c>
      <c r="C1379" s="30" t="s">
        <v>1296</v>
      </c>
      <c r="D1379" s="30" t="s">
        <v>6844</v>
      </c>
      <c r="E1379" s="30" t="s">
        <v>3055</v>
      </c>
      <c r="F1379" s="454">
        <f t="shared" si="633"/>
        <v>24.61</v>
      </c>
      <c r="G1379" s="529">
        <v>24.61</v>
      </c>
      <c r="H1379" s="487">
        <f t="shared" si="634"/>
        <v>19.690000000000001</v>
      </c>
      <c r="I1379" s="706"/>
      <c r="J1379" s="669" t="s">
        <v>5805</v>
      </c>
      <c r="K1379" s="15"/>
      <c r="M1379" s="49">
        <f t="shared" si="635"/>
        <v>24.61</v>
      </c>
      <c r="N1379" s="41">
        <v>11.67</v>
      </c>
      <c r="O1379" s="187"/>
      <c r="P1379" s="183"/>
      <c r="Q1379" s="184"/>
      <c r="R1379" s="178"/>
      <c r="S1379" s="184" t="s">
        <v>1017</v>
      </c>
      <c r="T1379" t="s">
        <v>4180</v>
      </c>
      <c r="U1379" s="185" t="s">
        <v>1017</v>
      </c>
      <c r="V1379" s="184"/>
      <c r="W1379" s="180"/>
      <c r="X1379" s="180"/>
      <c r="Y1379" s="178"/>
      <c r="Z1379" s="178"/>
      <c r="AA1379" s="180"/>
      <c r="AB1379" s="184" t="s">
        <v>1017</v>
      </c>
      <c r="AC1379" s="184"/>
      <c r="AD1379" s="201"/>
      <c r="AE1379" s="181"/>
      <c r="AF1379" s="180"/>
      <c r="AG1379" s="201"/>
      <c r="AH1379" s="212" t="str">
        <f t="shared" si="632"/>
        <v>2011</v>
      </c>
      <c r="AI1379" s="214" t="str">
        <f t="shared" si="627"/>
        <v/>
      </c>
      <c r="AJ1379" s="214" t="str">
        <f t="shared" si="628"/>
        <v/>
      </c>
      <c r="AK1379" s="214" t="str">
        <f t="shared" si="629"/>
        <v/>
      </c>
      <c r="AL1379" s="214" t="str">
        <f t="shared" si="630"/>
        <v/>
      </c>
      <c r="AM1379" s="214" t="str">
        <f t="shared" si="631"/>
        <v/>
      </c>
      <c r="AN1379" s="213" t="str">
        <f t="shared" si="614"/>
        <v>2011</v>
      </c>
      <c r="AO1379" s="213" t="str">
        <f t="shared" si="615"/>
        <v>2011</v>
      </c>
      <c r="AP1379" s="213" t="str">
        <f t="shared" si="616"/>
        <v>2011</v>
      </c>
      <c r="AQ1379" s="215" t="str">
        <f t="shared" si="617"/>
        <v/>
      </c>
      <c r="AR1379" s="216" t="str">
        <f t="shared" si="618"/>
        <v>BiK81LK11y--06</v>
      </c>
      <c r="AS1379" s="215" t="str">
        <f t="shared" si="619"/>
        <v/>
      </c>
      <c r="AT1379">
        <f t="shared" si="620"/>
        <v>14</v>
      </c>
      <c r="AU1379" s="216" t="str">
        <f t="shared" si="621"/>
        <v>0-0,15 MW, Bonusregeln L, y und K erstmals 2011</v>
      </c>
      <c r="AV1379" s="215" t="str">
        <f t="shared" si="622"/>
        <v/>
      </c>
      <c r="AW1379" s="216" t="str">
        <f t="shared" si="623"/>
        <v>Anteil KWK, erstmals 2011</v>
      </c>
      <c r="AX1379" s="215" t="str">
        <f t="shared" si="624"/>
        <v/>
      </c>
      <c r="AY1379" t="str">
        <f t="shared" si="625"/>
        <v>x</v>
      </c>
      <c r="AZ1379" t="str">
        <f t="shared" si="626"/>
        <v/>
      </c>
    </row>
    <row r="1380" spans="1:52" x14ac:dyDescent="0.25">
      <c r="A1380" s="625" t="s">
        <v>3641</v>
      </c>
      <c r="B1380" s="219" t="s">
        <v>5548</v>
      </c>
      <c r="C1380" s="219" t="s">
        <v>1296</v>
      </c>
      <c r="D1380" s="219" t="s">
        <v>6845</v>
      </c>
      <c r="E1380" s="219" t="s">
        <v>1980</v>
      </c>
      <c r="F1380" s="455">
        <f t="shared" si="633"/>
        <v>24.58</v>
      </c>
      <c r="G1380" s="530">
        <v>24.58</v>
      </c>
      <c r="H1380" s="488">
        <f t="shared" si="634"/>
        <v>19.66</v>
      </c>
      <c r="I1380" s="707"/>
      <c r="J1380" s="669" t="s">
        <v>5805</v>
      </c>
      <c r="K1380" s="15"/>
      <c r="M1380" s="49">
        <f t="shared" si="635"/>
        <v>24.58</v>
      </c>
      <c r="N1380" s="41">
        <v>11.67</v>
      </c>
      <c r="O1380" s="187"/>
      <c r="P1380" s="183"/>
      <c r="Q1380" s="184"/>
      <c r="R1380" s="178"/>
      <c r="S1380" s="184" t="s">
        <v>4180</v>
      </c>
      <c r="T1380" t="s">
        <v>1017</v>
      </c>
      <c r="U1380" s="185" t="s">
        <v>1017</v>
      </c>
      <c r="V1380" s="184"/>
      <c r="W1380" s="180"/>
      <c r="X1380" s="180"/>
      <c r="Y1380" s="178"/>
      <c r="Z1380" s="178"/>
      <c r="AA1380" s="180"/>
      <c r="AB1380" s="184" t="s">
        <v>1017</v>
      </c>
      <c r="AC1380" s="184"/>
      <c r="AD1380" s="201"/>
      <c r="AE1380" s="181"/>
      <c r="AF1380" s="180"/>
      <c r="AG1380" s="201"/>
      <c r="AH1380" s="217" t="s">
        <v>4179</v>
      </c>
      <c r="AI1380" s="214" t="str">
        <f t="shared" si="627"/>
        <v/>
      </c>
      <c r="AJ1380" s="214" t="str">
        <f t="shared" si="628"/>
        <v/>
      </c>
      <c r="AK1380" s="214" t="str">
        <f t="shared" si="629"/>
        <v/>
      </c>
      <c r="AL1380" s="214" t="str">
        <f t="shared" si="630"/>
        <v/>
      </c>
      <c r="AM1380" s="214" t="str">
        <f t="shared" si="631"/>
        <v/>
      </c>
      <c r="AN1380" s="213" t="str">
        <f t="shared" si="614"/>
        <v>2012</v>
      </c>
      <c r="AO1380" s="213" t="str">
        <f t="shared" si="615"/>
        <v>2012</v>
      </c>
      <c r="AP1380" s="213" t="str">
        <f t="shared" si="616"/>
        <v>2012</v>
      </c>
      <c r="AQ1380" s="215" t="str">
        <f t="shared" si="617"/>
        <v/>
      </c>
      <c r="AR1380" s="216" t="str">
        <f t="shared" si="618"/>
        <v>BiK81LK12y--06</v>
      </c>
      <c r="AS1380" s="215" t="str">
        <f t="shared" si="619"/>
        <v/>
      </c>
      <c r="AT1380">
        <f t="shared" si="620"/>
        <v>14</v>
      </c>
      <c r="AU1380" s="216" t="str">
        <f t="shared" si="621"/>
        <v>0-0,15 MW, Bonusregeln L, y und K erstmals 2012</v>
      </c>
      <c r="AV1380" s="215" t="str">
        <f t="shared" si="622"/>
        <v/>
      </c>
      <c r="AW1380" s="216" t="str">
        <f t="shared" si="623"/>
        <v>Anteil KWK, erstmals 2012</v>
      </c>
      <c r="AX1380" s="215" t="str">
        <f t="shared" si="624"/>
        <v/>
      </c>
      <c r="AY1380" t="str">
        <f t="shared" si="625"/>
        <v/>
      </c>
      <c r="AZ1380" t="str">
        <f t="shared" si="626"/>
        <v>x</v>
      </c>
    </row>
    <row r="1381" spans="1:52" x14ac:dyDescent="0.25">
      <c r="A1381" s="610" t="s">
        <v>2734</v>
      </c>
      <c r="B1381" s="30" t="s">
        <v>5548</v>
      </c>
      <c r="C1381" s="30" t="s">
        <v>1296</v>
      </c>
      <c r="D1381" s="30" t="s">
        <v>6846</v>
      </c>
      <c r="E1381" s="30" t="s">
        <v>4810</v>
      </c>
      <c r="F1381" s="454">
        <f t="shared" si="633"/>
        <v>24.67</v>
      </c>
      <c r="G1381" s="529">
        <v>24.67</v>
      </c>
      <c r="H1381" s="487">
        <f t="shared" si="634"/>
        <v>19.739999999999998</v>
      </c>
      <c r="I1381" s="706"/>
      <c r="J1381" s="669" t="s">
        <v>5805</v>
      </c>
      <c r="K1381" s="15"/>
      <c r="M1381" s="49">
        <f t="shared" si="635"/>
        <v>24.67</v>
      </c>
      <c r="N1381" s="41">
        <v>11.67</v>
      </c>
      <c r="O1381" s="186"/>
      <c r="P1381" s="177"/>
      <c r="Q1381" s="178"/>
      <c r="R1381" s="178"/>
      <c r="S1381" s="178" t="s">
        <v>4180</v>
      </c>
      <c r="T1381" t="s">
        <v>4180</v>
      </c>
      <c r="U1381" s="179"/>
      <c r="V1381" s="178"/>
      <c r="W1381" s="180"/>
      <c r="X1381" s="180"/>
      <c r="Y1381" s="178"/>
      <c r="Z1381" s="178"/>
      <c r="AA1381" s="180"/>
      <c r="AB1381" s="178"/>
      <c r="AC1381" s="178" t="s">
        <v>1017</v>
      </c>
      <c r="AD1381" s="201"/>
      <c r="AE1381" s="200"/>
      <c r="AF1381" s="180"/>
      <c r="AG1381" s="201"/>
      <c r="AH1381" s="212" t="str">
        <f t="shared" ref="AH1381:AH1386" si="636">IF(ISERROR(SEARCH("K erstmals 201",D1381)),"",RIGHT(D1381,4))</f>
        <v/>
      </c>
      <c r="AI1381" s="214" t="str">
        <f t="shared" si="627"/>
        <v/>
      </c>
      <c r="AJ1381" s="214" t="str">
        <f t="shared" si="628"/>
        <v/>
      </c>
      <c r="AK1381" s="214" t="str">
        <f t="shared" si="629"/>
        <v/>
      </c>
      <c r="AL1381" s="214" t="str">
        <f t="shared" si="630"/>
        <v/>
      </c>
      <c r="AM1381" s="214" t="str">
        <f t="shared" si="631"/>
        <v/>
      </c>
      <c r="AN1381" s="213" t="str">
        <f t="shared" si="614"/>
        <v/>
      </c>
      <c r="AO1381" s="213" t="str">
        <f t="shared" si="615"/>
        <v/>
      </c>
      <c r="AP1381" s="213" t="str">
        <f t="shared" si="616"/>
        <v/>
      </c>
      <c r="AQ1381" s="215" t="str">
        <f t="shared" si="617"/>
        <v/>
      </c>
      <c r="AR1381" s="216" t="str">
        <f t="shared" si="618"/>
        <v>BiK81X1-----06</v>
      </c>
      <c r="AS1381" s="215" t="str">
        <f t="shared" si="619"/>
        <v/>
      </c>
      <c r="AT1381">
        <f t="shared" si="620"/>
        <v>14</v>
      </c>
      <c r="AU1381" s="216" t="str">
        <f t="shared" si="621"/>
        <v>0-0,15 MW, Bonusregel X1</v>
      </c>
      <c r="AV1381" s="215" t="str">
        <f t="shared" si="622"/>
        <v/>
      </c>
      <c r="AW1381" s="216" t="str">
        <f t="shared" si="623"/>
        <v>Anteil Nicht-KWK</v>
      </c>
      <c r="AX1381" s="215" t="str">
        <f t="shared" si="624"/>
        <v/>
      </c>
      <c r="AY1381" t="str">
        <f t="shared" si="625"/>
        <v/>
      </c>
      <c r="AZ1381" t="str">
        <f t="shared" si="626"/>
        <v/>
      </c>
    </row>
    <row r="1382" spans="1:52" x14ac:dyDescent="0.25">
      <c r="A1382" s="610" t="s">
        <v>2735</v>
      </c>
      <c r="B1382" s="30" t="s">
        <v>5548</v>
      </c>
      <c r="C1382" s="30" t="s">
        <v>1296</v>
      </c>
      <c r="D1382" s="30" t="s">
        <v>6905</v>
      </c>
      <c r="E1382" s="30" t="s">
        <v>4812</v>
      </c>
      <c r="F1382" s="454">
        <f t="shared" si="633"/>
        <v>26.67</v>
      </c>
      <c r="G1382" s="529">
        <v>26.67</v>
      </c>
      <c r="H1382" s="487">
        <f t="shared" si="634"/>
        <v>21.34</v>
      </c>
      <c r="I1382" s="706"/>
      <c r="J1382" s="669" t="s">
        <v>5805</v>
      </c>
      <c r="K1382" s="15"/>
      <c r="M1382" s="49">
        <f t="shared" si="635"/>
        <v>26.67</v>
      </c>
      <c r="N1382" s="41">
        <v>11.67</v>
      </c>
      <c r="O1382" s="186" t="s">
        <v>1017</v>
      </c>
      <c r="P1382" s="177"/>
      <c r="Q1382" s="178"/>
      <c r="R1382" s="178"/>
      <c r="S1382" s="178" t="s">
        <v>4180</v>
      </c>
      <c r="T1382" t="s">
        <v>4180</v>
      </c>
      <c r="U1382" s="179"/>
      <c r="V1382" s="178"/>
      <c r="W1382" s="180"/>
      <c r="X1382" s="180"/>
      <c r="Y1382" s="178"/>
      <c r="Z1382" s="178"/>
      <c r="AA1382" s="180"/>
      <c r="AB1382" s="178"/>
      <c r="AC1382" s="178" t="s">
        <v>1017</v>
      </c>
      <c r="AD1382" s="201"/>
      <c r="AE1382" s="200"/>
      <c r="AF1382" s="180"/>
      <c r="AG1382" s="201"/>
      <c r="AH1382" s="212" t="str">
        <f t="shared" si="636"/>
        <v/>
      </c>
      <c r="AI1382" s="214" t="str">
        <f t="shared" si="627"/>
        <v/>
      </c>
      <c r="AJ1382" s="214" t="str">
        <f t="shared" si="628"/>
        <v/>
      </c>
      <c r="AK1382" s="214" t="str">
        <f t="shared" si="629"/>
        <v/>
      </c>
      <c r="AL1382" s="214" t="str">
        <f t="shared" si="630"/>
        <v/>
      </c>
      <c r="AM1382" s="214" t="str">
        <f t="shared" si="631"/>
        <v/>
      </c>
      <c r="AN1382" s="213" t="str">
        <f t="shared" si="614"/>
        <v/>
      </c>
      <c r="AO1382" s="213" t="str">
        <f t="shared" si="615"/>
        <v/>
      </c>
      <c r="AP1382" s="213" t="str">
        <f t="shared" si="616"/>
        <v/>
      </c>
      <c r="AQ1382" s="215" t="str">
        <f t="shared" si="617"/>
        <v/>
      </c>
      <c r="AR1382" s="216" t="str">
        <f t="shared" si="618"/>
        <v>BiK81X1KWK--06</v>
      </c>
      <c r="AS1382" s="215" t="str">
        <f t="shared" si="619"/>
        <v/>
      </c>
      <c r="AT1382">
        <f t="shared" si="620"/>
        <v>14</v>
      </c>
      <c r="AU1382" s="216" t="str">
        <f t="shared" si="621"/>
        <v>0-0,15 MW, Bonusregeln X1 und KWK</v>
      </c>
      <c r="AV1382" s="215" t="str">
        <f t="shared" si="622"/>
        <v/>
      </c>
      <c r="AW1382" s="216" t="str">
        <f t="shared" si="623"/>
        <v>Anteil KWK</v>
      </c>
      <c r="AX1382" s="215" t="str">
        <f t="shared" si="624"/>
        <v/>
      </c>
      <c r="AY1382" t="str">
        <f t="shared" si="625"/>
        <v/>
      </c>
      <c r="AZ1382" t="str">
        <f t="shared" si="626"/>
        <v/>
      </c>
    </row>
    <row r="1383" spans="1:52" x14ac:dyDescent="0.25">
      <c r="A1383" s="610" t="s">
        <v>2736</v>
      </c>
      <c r="B1383" s="30" t="s">
        <v>5548</v>
      </c>
      <c r="C1383" s="30" t="s">
        <v>1296</v>
      </c>
      <c r="D1383" s="30" t="s">
        <v>6847</v>
      </c>
      <c r="E1383" s="30" t="s">
        <v>4331</v>
      </c>
      <c r="F1383" s="454">
        <f t="shared" si="633"/>
        <v>27.67</v>
      </c>
      <c r="G1383" s="529">
        <v>27.67</v>
      </c>
      <c r="H1383" s="487">
        <f t="shared" si="634"/>
        <v>22.14</v>
      </c>
      <c r="I1383" s="706"/>
      <c r="J1383" s="669" t="s">
        <v>5805</v>
      </c>
      <c r="K1383" s="15"/>
      <c r="M1383" s="49">
        <f t="shared" si="635"/>
        <v>27.67</v>
      </c>
      <c r="N1383" s="41">
        <v>11.67</v>
      </c>
      <c r="O1383" s="186"/>
      <c r="P1383" s="178" t="s">
        <v>1017</v>
      </c>
      <c r="Q1383" s="178"/>
      <c r="R1383" s="178"/>
      <c r="S1383" s="178" t="s">
        <v>4180</v>
      </c>
      <c r="T1383" t="s">
        <v>4180</v>
      </c>
      <c r="U1383" s="179"/>
      <c r="V1383" s="178"/>
      <c r="W1383" s="180"/>
      <c r="X1383" s="180"/>
      <c r="Y1383" s="178"/>
      <c r="Z1383" s="178"/>
      <c r="AA1383" s="180"/>
      <c r="AB1383" s="178"/>
      <c r="AC1383" s="178" t="s">
        <v>1017</v>
      </c>
      <c r="AD1383" s="201"/>
      <c r="AE1383" s="200"/>
      <c r="AF1383" s="180"/>
      <c r="AG1383" s="201"/>
      <c r="AH1383" s="212" t="str">
        <f t="shared" si="636"/>
        <v/>
      </c>
      <c r="AI1383" s="214" t="str">
        <f t="shared" si="627"/>
        <v/>
      </c>
      <c r="AJ1383" s="214" t="str">
        <f t="shared" si="628"/>
        <v/>
      </c>
      <c r="AK1383" s="214" t="str">
        <f t="shared" si="629"/>
        <v/>
      </c>
      <c r="AL1383" s="214" t="str">
        <f t="shared" si="630"/>
        <v/>
      </c>
      <c r="AM1383" s="214" t="str">
        <f t="shared" si="631"/>
        <v/>
      </c>
      <c r="AN1383" s="213" t="str">
        <f t="shared" si="614"/>
        <v/>
      </c>
      <c r="AO1383" s="213" t="str">
        <f t="shared" si="615"/>
        <v/>
      </c>
      <c r="AP1383" s="213" t="str">
        <f t="shared" si="616"/>
        <v/>
      </c>
      <c r="AQ1383" s="215" t="str">
        <f t="shared" si="617"/>
        <v/>
      </c>
      <c r="AR1383" s="216" t="str">
        <f t="shared" si="618"/>
        <v>BiK81X1KA3--06</v>
      </c>
      <c r="AS1383" s="215" t="str">
        <f t="shared" si="619"/>
        <v/>
      </c>
      <c r="AT1383">
        <f t="shared" si="620"/>
        <v>14</v>
      </c>
      <c r="AU1383" s="216" t="str">
        <f t="shared" si="621"/>
        <v>0-0,15 MW, Bonusregeln X1 und K wenn Anlage 3 erfüllt</v>
      </c>
      <c r="AV1383" s="215" t="str">
        <f t="shared" si="622"/>
        <v/>
      </c>
      <c r="AW1383" s="216" t="str">
        <f t="shared" si="623"/>
        <v>Anteil KWK gemäß Anlage 3</v>
      </c>
      <c r="AX1383" s="215" t="str">
        <f t="shared" si="624"/>
        <v/>
      </c>
      <c r="AY1383" t="str">
        <f t="shared" si="625"/>
        <v/>
      </c>
      <c r="AZ1383" t="str">
        <f t="shared" si="626"/>
        <v/>
      </c>
    </row>
    <row r="1384" spans="1:52" x14ac:dyDescent="0.25">
      <c r="A1384" s="610" t="s">
        <v>2737</v>
      </c>
      <c r="B1384" s="30" t="s">
        <v>5548</v>
      </c>
      <c r="C1384" s="30" t="s">
        <v>1296</v>
      </c>
      <c r="D1384" s="30" t="s">
        <v>6848</v>
      </c>
      <c r="E1384" s="30" t="s">
        <v>674</v>
      </c>
      <c r="F1384" s="454">
        <f t="shared" si="633"/>
        <v>27.67</v>
      </c>
      <c r="G1384" s="529">
        <v>27.67</v>
      </c>
      <c r="H1384" s="487">
        <f t="shared" si="634"/>
        <v>22.14</v>
      </c>
      <c r="I1384" s="706"/>
      <c r="J1384" s="669" t="s">
        <v>5805</v>
      </c>
      <c r="K1384" s="15"/>
      <c r="M1384" s="49">
        <f t="shared" si="635"/>
        <v>27.67</v>
      </c>
      <c r="N1384" s="41">
        <v>11.67</v>
      </c>
      <c r="O1384" s="186"/>
      <c r="P1384" s="177"/>
      <c r="Q1384" s="178" t="s">
        <v>1017</v>
      </c>
      <c r="R1384" s="178"/>
      <c r="S1384" s="178" t="s">
        <v>4180</v>
      </c>
      <c r="T1384" t="s">
        <v>4180</v>
      </c>
      <c r="U1384" s="179"/>
      <c r="V1384" s="178"/>
      <c r="W1384" s="180"/>
      <c r="X1384" s="180"/>
      <c r="Y1384" s="178"/>
      <c r="Z1384" s="178"/>
      <c r="AA1384" s="180"/>
      <c r="AB1384" s="178"/>
      <c r="AC1384" s="178" t="s">
        <v>1017</v>
      </c>
      <c r="AD1384" s="201"/>
      <c r="AE1384" s="200"/>
      <c r="AF1384" s="180"/>
      <c r="AG1384" s="201"/>
      <c r="AH1384" s="212" t="str">
        <f t="shared" si="636"/>
        <v/>
      </c>
      <c r="AI1384" s="214" t="str">
        <f t="shared" si="627"/>
        <v/>
      </c>
      <c r="AJ1384" s="214" t="str">
        <f t="shared" si="628"/>
        <v/>
      </c>
      <c r="AK1384" s="214" t="str">
        <f t="shared" si="629"/>
        <v/>
      </c>
      <c r="AL1384" s="214" t="str">
        <f t="shared" si="630"/>
        <v/>
      </c>
      <c r="AM1384" s="214" t="str">
        <f t="shared" si="631"/>
        <v/>
      </c>
      <c r="AN1384" s="213" t="str">
        <f t="shared" si="614"/>
        <v/>
      </c>
      <c r="AO1384" s="213" t="str">
        <f t="shared" si="615"/>
        <v/>
      </c>
      <c r="AP1384" s="213" t="str">
        <f t="shared" si="616"/>
        <v/>
      </c>
      <c r="AQ1384" s="215" t="str">
        <f t="shared" si="617"/>
        <v/>
      </c>
      <c r="AR1384" s="216" t="str">
        <f t="shared" si="618"/>
        <v>BiK81X1K09--06</v>
      </c>
      <c r="AS1384" s="215" t="str">
        <f t="shared" si="619"/>
        <v/>
      </c>
      <c r="AT1384">
        <f t="shared" si="620"/>
        <v>14</v>
      </c>
      <c r="AU1384" s="216" t="str">
        <f t="shared" si="621"/>
        <v>0-0,15 MW, Bonusregeln X1 und K erstmals 2009</v>
      </c>
      <c r="AV1384" s="215" t="str">
        <f t="shared" si="622"/>
        <v/>
      </c>
      <c r="AW1384" s="216" t="str">
        <f t="shared" si="623"/>
        <v>Anteil KWK, erstmals 2009</v>
      </c>
      <c r="AX1384" s="215" t="str">
        <f t="shared" si="624"/>
        <v/>
      </c>
      <c r="AY1384" t="str">
        <f t="shared" si="625"/>
        <v/>
      </c>
      <c r="AZ1384" t="str">
        <f t="shared" si="626"/>
        <v/>
      </c>
    </row>
    <row r="1385" spans="1:52" x14ac:dyDescent="0.25">
      <c r="A1385" s="610" t="s">
        <v>4895</v>
      </c>
      <c r="B1385" s="30" t="s">
        <v>5548</v>
      </c>
      <c r="C1385" s="30" t="s">
        <v>1296</v>
      </c>
      <c r="D1385" s="30" t="s">
        <v>6849</v>
      </c>
      <c r="E1385" s="30" t="s">
        <v>3567</v>
      </c>
      <c r="F1385" s="454">
        <f t="shared" si="633"/>
        <v>27.64</v>
      </c>
      <c r="G1385" s="529">
        <v>27.64</v>
      </c>
      <c r="H1385" s="487">
        <f t="shared" si="634"/>
        <v>22.11</v>
      </c>
      <c r="I1385" s="706"/>
      <c r="J1385" s="669" t="s">
        <v>5805</v>
      </c>
      <c r="K1385" s="15"/>
      <c r="M1385" s="49">
        <f t="shared" si="635"/>
        <v>27.64</v>
      </c>
      <c r="N1385" s="41">
        <v>11.67</v>
      </c>
      <c r="O1385" s="186"/>
      <c r="P1385" s="177"/>
      <c r="Q1385" s="178"/>
      <c r="R1385" s="178" t="s">
        <v>1017</v>
      </c>
      <c r="S1385" s="178" t="s">
        <v>4180</v>
      </c>
      <c r="T1385" t="s">
        <v>4180</v>
      </c>
      <c r="U1385" s="179"/>
      <c r="V1385" s="178"/>
      <c r="W1385" s="180"/>
      <c r="X1385" s="180"/>
      <c r="Y1385" s="178"/>
      <c r="Z1385" s="178"/>
      <c r="AA1385" s="180"/>
      <c r="AB1385" s="178"/>
      <c r="AC1385" s="178" t="s">
        <v>1017</v>
      </c>
      <c r="AD1385" s="201"/>
      <c r="AE1385" s="200"/>
      <c r="AF1385" s="180"/>
      <c r="AG1385" s="201"/>
      <c r="AH1385" s="212" t="str">
        <f t="shared" si="636"/>
        <v>2010</v>
      </c>
      <c r="AI1385" s="214" t="str">
        <f t="shared" si="627"/>
        <v/>
      </c>
      <c r="AJ1385" s="214" t="str">
        <f t="shared" si="628"/>
        <v/>
      </c>
      <c r="AK1385" s="214" t="str">
        <f t="shared" si="629"/>
        <v/>
      </c>
      <c r="AL1385" s="214" t="str">
        <f t="shared" si="630"/>
        <v/>
      </c>
      <c r="AM1385" s="214" t="str">
        <f t="shared" si="631"/>
        <v/>
      </c>
      <c r="AN1385" s="213" t="str">
        <f t="shared" si="614"/>
        <v>2010</v>
      </c>
      <c r="AO1385" s="213" t="str">
        <f t="shared" si="615"/>
        <v>2010</v>
      </c>
      <c r="AP1385" s="213" t="str">
        <f t="shared" si="616"/>
        <v>2010</v>
      </c>
      <c r="AQ1385" s="215" t="str">
        <f t="shared" si="617"/>
        <v/>
      </c>
      <c r="AR1385" s="216" t="str">
        <f t="shared" si="618"/>
        <v>BiK81X1K10--06</v>
      </c>
      <c r="AS1385" s="215" t="str">
        <f t="shared" si="619"/>
        <v/>
      </c>
      <c r="AT1385">
        <f t="shared" si="620"/>
        <v>14</v>
      </c>
      <c r="AU1385" s="216" t="str">
        <f t="shared" si="621"/>
        <v>0-0,15 MW, Bonusregeln X1 und K erstmals 2010</v>
      </c>
      <c r="AV1385" s="215" t="str">
        <f t="shared" si="622"/>
        <v/>
      </c>
      <c r="AW1385" s="216" t="str">
        <f t="shared" si="623"/>
        <v>Anteil KWK, erstmals 2010</v>
      </c>
      <c r="AX1385" s="215" t="str">
        <f t="shared" si="624"/>
        <v/>
      </c>
      <c r="AY1385" t="str">
        <f t="shared" si="625"/>
        <v/>
      </c>
      <c r="AZ1385" t="str">
        <f t="shared" si="626"/>
        <v/>
      </c>
    </row>
    <row r="1386" spans="1:52" x14ac:dyDescent="0.25">
      <c r="A1386" s="610" t="s">
        <v>5364</v>
      </c>
      <c r="B1386" s="30" t="s">
        <v>5548</v>
      </c>
      <c r="C1386" s="30" t="s">
        <v>1296</v>
      </c>
      <c r="D1386" s="30" t="s">
        <v>6850</v>
      </c>
      <c r="E1386" s="30" t="s">
        <v>3055</v>
      </c>
      <c r="F1386" s="454">
        <f t="shared" si="633"/>
        <v>27.61</v>
      </c>
      <c r="G1386" s="529">
        <v>27.61</v>
      </c>
      <c r="H1386" s="487">
        <f t="shared" si="634"/>
        <v>22.09</v>
      </c>
      <c r="I1386" s="706"/>
      <c r="J1386" s="669" t="s">
        <v>5805</v>
      </c>
      <c r="K1386" s="15"/>
      <c r="M1386" s="49">
        <f t="shared" si="635"/>
        <v>27.61</v>
      </c>
      <c r="N1386" s="41">
        <v>11.67</v>
      </c>
      <c r="O1386" s="186"/>
      <c r="P1386" s="177"/>
      <c r="Q1386" s="178"/>
      <c r="R1386" s="178"/>
      <c r="S1386" s="178" t="s">
        <v>1017</v>
      </c>
      <c r="T1386" t="s">
        <v>4180</v>
      </c>
      <c r="U1386" s="179"/>
      <c r="V1386" s="178"/>
      <c r="W1386" s="180"/>
      <c r="X1386" s="180"/>
      <c r="Y1386" s="178"/>
      <c r="Z1386" s="178"/>
      <c r="AA1386" s="180"/>
      <c r="AB1386" s="178"/>
      <c r="AC1386" s="178" t="s">
        <v>1017</v>
      </c>
      <c r="AD1386" s="201"/>
      <c r="AE1386" s="200"/>
      <c r="AF1386" s="180"/>
      <c r="AG1386" s="201"/>
      <c r="AH1386" s="212" t="str">
        <f t="shared" si="636"/>
        <v>2011</v>
      </c>
      <c r="AI1386" s="214" t="str">
        <f t="shared" si="627"/>
        <v/>
      </c>
      <c r="AJ1386" s="214" t="str">
        <f t="shared" si="628"/>
        <v/>
      </c>
      <c r="AK1386" s="214" t="str">
        <f t="shared" si="629"/>
        <v/>
      </c>
      <c r="AL1386" s="214" t="str">
        <f t="shared" si="630"/>
        <v/>
      </c>
      <c r="AM1386" s="214" t="str">
        <f t="shared" si="631"/>
        <v/>
      </c>
      <c r="AN1386" s="213" t="str">
        <f t="shared" si="614"/>
        <v>2011</v>
      </c>
      <c r="AO1386" s="213" t="str">
        <f t="shared" si="615"/>
        <v>2011</v>
      </c>
      <c r="AP1386" s="213" t="str">
        <f t="shared" si="616"/>
        <v>2011</v>
      </c>
      <c r="AQ1386" s="215" t="str">
        <f t="shared" si="617"/>
        <v/>
      </c>
      <c r="AR1386" s="216" t="str">
        <f t="shared" si="618"/>
        <v>BiK81X1K11--06</v>
      </c>
      <c r="AS1386" s="215" t="str">
        <f t="shared" si="619"/>
        <v/>
      </c>
      <c r="AT1386">
        <f t="shared" si="620"/>
        <v>14</v>
      </c>
      <c r="AU1386" s="216" t="str">
        <f t="shared" si="621"/>
        <v>0-0,15 MW, Bonusregeln X1 und K erstmals 2011</v>
      </c>
      <c r="AV1386" s="215" t="str">
        <f t="shared" si="622"/>
        <v/>
      </c>
      <c r="AW1386" s="216" t="str">
        <f t="shared" si="623"/>
        <v>Anteil KWK, erstmals 2011</v>
      </c>
      <c r="AX1386" s="215" t="str">
        <f t="shared" si="624"/>
        <v/>
      </c>
      <c r="AY1386" t="str">
        <f t="shared" si="625"/>
        <v>x</v>
      </c>
      <c r="AZ1386" t="str">
        <f t="shared" si="626"/>
        <v/>
      </c>
    </row>
    <row r="1387" spans="1:52" x14ac:dyDescent="0.25">
      <c r="A1387" s="625" t="s">
        <v>3642</v>
      </c>
      <c r="B1387" s="219" t="s">
        <v>5548</v>
      </c>
      <c r="C1387" s="219" t="s">
        <v>1296</v>
      </c>
      <c r="D1387" s="219" t="s">
        <v>6851</v>
      </c>
      <c r="E1387" s="219" t="s">
        <v>1980</v>
      </c>
      <c r="F1387" s="455">
        <f t="shared" si="633"/>
        <v>27.58</v>
      </c>
      <c r="G1387" s="530">
        <v>27.58</v>
      </c>
      <c r="H1387" s="488">
        <f t="shared" si="634"/>
        <v>22.06</v>
      </c>
      <c r="I1387" s="707"/>
      <c r="J1387" s="669" t="s">
        <v>5805</v>
      </c>
      <c r="K1387" s="15"/>
      <c r="M1387" s="49">
        <f t="shared" si="635"/>
        <v>27.58</v>
      </c>
      <c r="N1387" s="41">
        <v>11.67</v>
      </c>
      <c r="O1387" s="186"/>
      <c r="P1387" s="177"/>
      <c r="Q1387" s="178"/>
      <c r="R1387" s="178"/>
      <c r="S1387" s="178" t="s">
        <v>4180</v>
      </c>
      <c r="T1387" t="s">
        <v>1017</v>
      </c>
      <c r="U1387" s="179"/>
      <c r="V1387" s="178"/>
      <c r="W1387" s="180"/>
      <c r="X1387" s="180"/>
      <c r="Y1387" s="178"/>
      <c r="Z1387" s="178"/>
      <c r="AA1387" s="180"/>
      <c r="AB1387" s="178"/>
      <c r="AC1387" s="178" t="s">
        <v>1017</v>
      </c>
      <c r="AD1387" s="201"/>
      <c r="AE1387" s="200"/>
      <c r="AF1387" s="180"/>
      <c r="AG1387" s="201"/>
      <c r="AH1387" s="217" t="s">
        <v>4179</v>
      </c>
      <c r="AI1387" s="214" t="str">
        <f t="shared" si="627"/>
        <v/>
      </c>
      <c r="AJ1387" s="214" t="str">
        <f t="shared" si="628"/>
        <v/>
      </c>
      <c r="AK1387" s="214" t="str">
        <f t="shared" si="629"/>
        <v/>
      </c>
      <c r="AL1387" s="214" t="str">
        <f t="shared" si="630"/>
        <v/>
      </c>
      <c r="AM1387" s="214" t="str">
        <f t="shared" si="631"/>
        <v/>
      </c>
      <c r="AN1387" s="213" t="str">
        <f t="shared" si="614"/>
        <v>2012</v>
      </c>
      <c r="AO1387" s="213" t="str">
        <f t="shared" si="615"/>
        <v>2012</v>
      </c>
      <c r="AP1387" s="213" t="str">
        <f t="shared" si="616"/>
        <v>2012</v>
      </c>
      <c r="AQ1387" s="215" t="str">
        <f t="shared" si="617"/>
        <v/>
      </c>
      <c r="AR1387" s="216" t="str">
        <f t="shared" si="618"/>
        <v>BiK81X1K12--06</v>
      </c>
      <c r="AS1387" s="215" t="str">
        <f t="shared" si="619"/>
        <v/>
      </c>
      <c r="AT1387">
        <f t="shared" si="620"/>
        <v>14</v>
      </c>
      <c r="AU1387" s="216" t="str">
        <f t="shared" si="621"/>
        <v>0-0,15 MW, Bonusregeln X1 und K erstmals 2012</v>
      </c>
      <c r="AV1387" s="215" t="str">
        <f t="shared" si="622"/>
        <v/>
      </c>
      <c r="AW1387" s="216" t="str">
        <f t="shared" si="623"/>
        <v>Anteil KWK, erstmals 2012</v>
      </c>
      <c r="AX1387" s="215" t="str">
        <f t="shared" si="624"/>
        <v/>
      </c>
      <c r="AY1387" t="str">
        <f t="shared" si="625"/>
        <v/>
      </c>
      <c r="AZ1387" t="str">
        <f t="shared" si="626"/>
        <v>x</v>
      </c>
    </row>
    <row r="1388" spans="1:52" x14ac:dyDescent="0.25">
      <c r="A1388" s="610" t="s">
        <v>2738</v>
      </c>
      <c r="B1388" s="30" t="s">
        <v>5548</v>
      </c>
      <c r="C1388" s="30" t="s">
        <v>1296</v>
      </c>
      <c r="D1388" s="30" t="s">
        <v>6852</v>
      </c>
      <c r="E1388" s="30" t="s">
        <v>4810</v>
      </c>
      <c r="F1388" s="454">
        <f t="shared" si="633"/>
        <v>25.67</v>
      </c>
      <c r="G1388" s="529">
        <v>25.67</v>
      </c>
      <c r="H1388" s="487">
        <f t="shared" si="634"/>
        <v>20.54</v>
      </c>
      <c r="I1388" s="706"/>
      <c r="J1388" s="669" t="s">
        <v>5805</v>
      </c>
      <c r="K1388" s="15"/>
      <c r="M1388" s="49">
        <f t="shared" si="635"/>
        <v>25.67</v>
      </c>
      <c r="N1388" s="41">
        <v>11.67</v>
      </c>
      <c r="O1388" s="187"/>
      <c r="P1388" s="183"/>
      <c r="Q1388" s="184"/>
      <c r="R1388" s="184"/>
      <c r="S1388" s="184" t="s">
        <v>4180</v>
      </c>
      <c r="T1388" t="s">
        <v>4180</v>
      </c>
      <c r="U1388" s="185" t="s">
        <v>1017</v>
      </c>
      <c r="V1388" s="184"/>
      <c r="W1388" s="180"/>
      <c r="X1388" s="180"/>
      <c r="Y1388" s="178"/>
      <c r="Z1388" s="178"/>
      <c r="AA1388" s="180"/>
      <c r="AB1388" s="178"/>
      <c r="AC1388" s="184" t="s">
        <v>1017</v>
      </c>
      <c r="AD1388" s="201"/>
      <c r="AE1388" s="181"/>
      <c r="AF1388" s="180"/>
      <c r="AG1388" s="201"/>
      <c r="AH1388" s="212" t="str">
        <f t="shared" ref="AH1388:AH1393" si="637">IF(ISERROR(SEARCH("K erstmals 201",D1388)),"",RIGHT(D1388,4))</f>
        <v/>
      </c>
      <c r="AI1388" s="214" t="str">
        <f t="shared" si="627"/>
        <v/>
      </c>
      <c r="AJ1388" s="214" t="str">
        <f t="shared" si="628"/>
        <v/>
      </c>
      <c r="AK1388" s="214" t="str">
        <f t="shared" si="629"/>
        <v/>
      </c>
      <c r="AL1388" s="214" t="str">
        <f t="shared" si="630"/>
        <v/>
      </c>
      <c r="AM1388" s="214" t="str">
        <f t="shared" si="631"/>
        <v/>
      </c>
      <c r="AN1388" s="213" t="str">
        <f t="shared" si="614"/>
        <v/>
      </c>
      <c r="AO1388" s="213" t="str">
        <f t="shared" si="615"/>
        <v/>
      </c>
      <c r="AP1388" s="213" t="str">
        <f t="shared" si="616"/>
        <v/>
      </c>
      <c r="AQ1388" s="215" t="str">
        <f t="shared" si="617"/>
        <v/>
      </c>
      <c r="AR1388" s="216" t="str">
        <f t="shared" si="618"/>
        <v>BiK81X1y----06</v>
      </c>
      <c r="AS1388" s="215" t="str">
        <f t="shared" si="619"/>
        <v/>
      </c>
      <c r="AT1388">
        <f t="shared" si="620"/>
        <v>14</v>
      </c>
      <c r="AU1388" s="216" t="str">
        <f t="shared" si="621"/>
        <v>0-0,15 MW, Bonusregeln X1, y</v>
      </c>
      <c r="AV1388" s="215" t="str">
        <f t="shared" si="622"/>
        <v/>
      </c>
      <c r="AW1388" s="216" t="str">
        <f t="shared" si="623"/>
        <v>Anteil Nicht-KWK</v>
      </c>
      <c r="AX1388" s="215" t="str">
        <f t="shared" si="624"/>
        <v/>
      </c>
      <c r="AY1388" t="str">
        <f t="shared" si="625"/>
        <v/>
      </c>
      <c r="AZ1388" t="str">
        <f t="shared" si="626"/>
        <v/>
      </c>
    </row>
    <row r="1389" spans="1:52" x14ac:dyDescent="0.25">
      <c r="A1389" s="610" t="s">
        <v>2739</v>
      </c>
      <c r="B1389" s="30" t="s">
        <v>5548</v>
      </c>
      <c r="C1389" s="30" t="s">
        <v>1296</v>
      </c>
      <c r="D1389" s="30" t="s">
        <v>6906</v>
      </c>
      <c r="E1389" s="30" t="s">
        <v>4812</v>
      </c>
      <c r="F1389" s="454">
        <f t="shared" si="633"/>
        <v>27.67</v>
      </c>
      <c r="G1389" s="529">
        <v>27.67</v>
      </c>
      <c r="H1389" s="487">
        <f t="shared" si="634"/>
        <v>22.14</v>
      </c>
      <c r="I1389" s="706"/>
      <c r="J1389" s="669" t="s">
        <v>5805</v>
      </c>
      <c r="K1389" s="15"/>
      <c r="M1389" s="49">
        <f t="shared" si="635"/>
        <v>27.67</v>
      </c>
      <c r="N1389" s="41">
        <v>11.67</v>
      </c>
      <c r="O1389" s="187" t="s">
        <v>1017</v>
      </c>
      <c r="P1389" s="183"/>
      <c r="Q1389" s="184"/>
      <c r="R1389" s="184"/>
      <c r="S1389" s="184" t="s">
        <v>4180</v>
      </c>
      <c r="T1389" t="s">
        <v>4180</v>
      </c>
      <c r="U1389" s="185" t="s">
        <v>1017</v>
      </c>
      <c r="V1389" s="184"/>
      <c r="W1389" s="180"/>
      <c r="X1389" s="180"/>
      <c r="Y1389" s="178"/>
      <c r="Z1389" s="178"/>
      <c r="AA1389" s="180"/>
      <c r="AB1389" s="178"/>
      <c r="AC1389" s="184" t="s">
        <v>1017</v>
      </c>
      <c r="AD1389" s="201"/>
      <c r="AE1389" s="181"/>
      <c r="AF1389" s="180"/>
      <c r="AG1389" s="201"/>
      <c r="AH1389" s="212" t="str">
        <f t="shared" si="637"/>
        <v/>
      </c>
      <c r="AI1389" s="214" t="str">
        <f t="shared" si="627"/>
        <v/>
      </c>
      <c r="AJ1389" s="214" t="str">
        <f t="shared" si="628"/>
        <v/>
      </c>
      <c r="AK1389" s="214" t="str">
        <f t="shared" si="629"/>
        <v/>
      </c>
      <c r="AL1389" s="214" t="str">
        <f t="shared" si="630"/>
        <v/>
      </c>
      <c r="AM1389" s="214" t="str">
        <f t="shared" si="631"/>
        <v/>
      </c>
      <c r="AN1389" s="213" t="str">
        <f t="shared" si="614"/>
        <v/>
      </c>
      <c r="AO1389" s="213" t="str">
        <f t="shared" si="615"/>
        <v/>
      </c>
      <c r="AP1389" s="213" t="str">
        <f t="shared" si="616"/>
        <v/>
      </c>
      <c r="AQ1389" s="215" t="str">
        <f t="shared" si="617"/>
        <v/>
      </c>
      <c r="AR1389" s="216" t="str">
        <f t="shared" si="618"/>
        <v>BiK81X1KWKy-06</v>
      </c>
      <c r="AS1389" s="215" t="str">
        <f t="shared" si="619"/>
        <v/>
      </c>
      <c r="AT1389">
        <f t="shared" si="620"/>
        <v>14</v>
      </c>
      <c r="AU1389" s="216" t="str">
        <f t="shared" si="621"/>
        <v>0-0,15 MW, Bonusregeln X1, y und KWK</v>
      </c>
      <c r="AV1389" s="215" t="str">
        <f t="shared" si="622"/>
        <v/>
      </c>
      <c r="AW1389" s="216" t="str">
        <f t="shared" si="623"/>
        <v>Anteil KWK</v>
      </c>
      <c r="AX1389" s="215" t="str">
        <f t="shared" si="624"/>
        <v/>
      </c>
      <c r="AY1389" t="str">
        <f t="shared" si="625"/>
        <v/>
      </c>
      <c r="AZ1389" t="str">
        <f t="shared" si="626"/>
        <v/>
      </c>
    </row>
    <row r="1390" spans="1:52" x14ac:dyDescent="0.25">
      <c r="A1390" s="610" t="s">
        <v>2740</v>
      </c>
      <c r="B1390" s="30" t="s">
        <v>5548</v>
      </c>
      <c r="C1390" s="30" t="s">
        <v>1296</v>
      </c>
      <c r="D1390" s="109" t="s">
        <v>6853</v>
      </c>
      <c r="E1390" s="30" t="s">
        <v>4331</v>
      </c>
      <c r="F1390" s="454">
        <f t="shared" si="633"/>
        <v>28.67</v>
      </c>
      <c r="G1390" s="529">
        <v>28.67</v>
      </c>
      <c r="H1390" s="487">
        <f t="shared" si="634"/>
        <v>22.94</v>
      </c>
      <c r="I1390" s="706"/>
      <c r="J1390" s="669" t="s">
        <v>5805</v>
      </c>
      <c r="K1390" s="15"/>
      <c r="M1390" s="49">
        <f t="shared" si="635"/>
        <v>28.67</v>
      </c>
      <c r="N1390" s="41">
        <v>11.67</v>
      </c>
      <c r="O1390" s="187"/>
      <c r="P1390" s="184" t="s">
        <v>1017</v>
      </c>
      <c r="Q1390" s="184"/>
      <c r="R1390" s="184"/>
      <c r="S1390" s="184" t="s">
        <v>4180</v>
      </c>
      <c r="T1390" t="s">
        <v>4180</v>
      </c>
      <c r="U1390" s="185" t="s">
        <v>1017</v>
      </c>
      <c r="V1390" s="184"/>
      <c r="W1390" s="180"/>
      <c r="X1390" s="180"/>
      <c r="Y1390" s="178"/>
      <c r="Z1390" s="178"/>
      <c r="AA1390" s="180"/>
      <c r="AB1390" s="178"/>
      <c r="AC1390" s="184" t="s">
        <v>1017</v>
      </c>
      <c r="AD1390" s="201"/>
      <c r="AE1390" s="181"/>
      <c r="AF1390" s="180"/>
      <c r="AG1390" s="201"/>
      <c r="AH1390" s="212" t="str">
        <f t="shared" si="637"/>
        <v/>
      </c>
      <c r="AI1390" s="214" t="str">
        <f t="shared" si="627"/>
        <v/>
      </c>
      <c r="AJ1390" s="214" t="str">
        <f t="shared" si="628"/>
        <v/>
      </c>
      <c r="AK1390" s="214" t="str">
        <f t="shared" si="629"/>
        <v/>
      </c>
      <c r="AL1390" s="214" t="str">
        <f t="shared" si="630"/>
        <v/>
      </c>
      <c r="AM1390" s="214" t="str">
        <f t="shared" si="631"/>
        <v/>
      </c>
      <c r="AN1390" s="213" t="str">
        <f t="shared" si="614"/>
        <v/>
      </c>
      <c r="AO1390" s="213" t="str">
        <f t="shared" si="615"/>
        <v/>
      </c>
      <c r="AP1390" s="213" t="str">
        <f t="shared" si="616"/>
        <v/>
      </c>
      <c r="AQ1390" s="215" t="str">
        <f t="shared" si="617"/>
        <v/>
      </c>
      <c r="AR1390" s="216" t="str">
        <f t="shared" si="618"/>
        <v>BiK81X1KA3y-06</v>
      </c>
      <c r="AS1390" s="215" t="str">
        <f t="shared" si="619"/>
        <v/>
      </c>
      <c r="AT1390">
        <f t="shared" si="620"/>
        <v>14</v>
      </c>
      <c r="AU1390" s="216" t="str">
        <f t="shared" si="621"/>
        <v>0-0,15 MW, Bonusregeln X1, y und K wenn Anlage 3 erfüllt</v>
      </c>
      <c r="AV1390" s="215" t="str">
        <f t="shared" si="622"/>
        <v/>
      </c>
      <c r="AW1390" s="216" t="str">
        <f t="shared" si="623"/>
        <v>Anteil KWK gemäß Anlage 3</v>
      </c>
      <c r="AX1390" s="215" t="str">
        <f t="shared" si="624"/>
        <v/>
      </c>
      <c r="AY1390" t="str">
        <f t="shared" si="625"/>
        <v/>
      </c>
      <c r="AZ1390" t="str">
        <f t="shared" si="626"/>
        <v/>
      </c>
    </row>
    <row r="1391" spans="1:52" x14ac:dyDescent="0.25">
      <c r="A1391" s="610" t="s">
        <v>2741</v>
      </c>
      <c r="B1391" s="30" t="s">
        <v>5548</v>
      </c>
      <c r="C1391" s="30" t="s">
        <v>1296</v>
      </c>
      <c r="D1391" s="30" t="s">
        <v>6854</v>
      </c>
      <c r="E1391" s="30" t="s">
        <v>674</v>
      </c>
      <c r="F1391" s="454">
        <f t="shared" si="633"/>
        <v>28.67</v>
      </c>
      <c r="G1391" s="529">
        <v>28.67</v>
      </c>
      <c r="H1391" s="487">
        <f t="shared" si="634"/>
        <v>22.94</v>
      </c>
      <c r="I1391" s="706"/>
      <c r="J1391" s="669" t="s">
        <v>5805</v>
      </c>
      <c r="K1391" s="15"/>
      <c r="M1391" s="49">
        <f t="shared" si="635"/>
        <v>28.67</v>
      </c>
      <c r="N1391" s="41">
        <v>11.67</v>
      </c>
      <c r="O1391" s="187"/>
      <c r="P1391" s="183"/>
      <c r="Q1391" s="184" t="s">
        <v>1017</v>
      </c>
      <c r="R1391" s="184"/>
      <c r="S1391" s="184" t="s">
        <v>4180</v>
      </c>
      <c r="T1391" t="s">
        <v>4180</v>
      </c>
      <c r="U1391" s="185" t="s">
        <v>1017</v>
      </c>
      <c r="V1391" s="184"/>
      <c r="W1391" s="180"/>
      <c r="X1391" s="180"/>
      <c r="Y1391" s="178"/>
      <c r="Z1391" s="178"/>
      <c r="AA1391" s="180"/>
      <c r="AB1391" s="178"/>
      <c r="AC1391" s="184" t="s">
        <v>1017</v>
      </c>
      <c r="AD1391" s="201"/>
      <c r="AE1391" s="181"/>
      <c r="AF1391" s="180"/>
      <c r="AG1391" s="201"/>
      <c r="AH1391" s="212" t="str">
        <f t="shared" si="637"/>
        <v/>
      </c>
      <c r="AI1391" s="214" t="str">
        <f t="shared" si="627"/>
        <v/>
      </c>
      <c r="AJ1391" s="214" t="str">
        <f t="shared" si="628"/>
        <v/>
      </c>
      <c r="AK1391" s="214" t="str">
        <f t="shared" si="629"/>
        <v/>
      </c>
      <c r="AL1391" s="214" t="str">
        <f t="shared" si="630"/>
        <v/>
      </c>
      <c r="AM1391" s="214" t="str">
        <f t="shared" si="631"/>
        <v/>
      </c>
      <c r="AN1391" s="213" t="str">
        <f t="shared" si="614"/>
        <v/>
      </c>
      <c r="AO1391" s="213" t="str">
        <f t="shared" si="615"/>
        <v/>
      </c>
      <c r="AP1391" s="213" t="str">
        <f t="shared" si="616"/>
        <v/>
      </c>
      <c r="AQ1391" s="215" t="str">
        <f t="shared" si="617"/>
        <v/>
      </c>
      <c r="AR1391" s="216" t="str">
        <f t="shared" si="618"/>
        <v>BiK81X1K09y-06</v>
      </c>
      <c r="AS1391" s="215" t="str">
        <f t="shared" si="619"/>
        <v/>
      </c>
      <c r="AT1391">
        <f t="shared" si="620"/>
        <v>14</v>
      </c>
      <c r="AU1391" s="216" t="str">
        <f t="shared" si="621"/>
        <v>0-0,15 MW, Bonusregeln X1, y und K erstmals 2009</v>
      </c>
      <c r="AV1391" s="215" t="str">
        <f t="shared" si="622"/>
        <v/>
      </c>
      <c r="AW1391" s="216" t="str">
        <f t="shared" si="623"/>
        <v>Anteil KWK, erstmals 2009</v>
      </c>
      <c r="AX1391" s="215" t="str">
        <f t="shared" si="624"/>
        <v/>
      </c>
      <c r="AY1391" t="str">
        <f t="shared" si="625"/>
        <v/>
      </c>
      <c r="AZ1391" t="str">
        <f t="shared" si="626"/>
        <v/>
      </c>
    </row>
    <row r="1392" spans="1:52" x14ac:dyDescent="0.25">
      <c r="A1392" s="610" t="s">
        <v>4896</v>
      </c>
      <c r="B1392" s="30" t="s">
        <v>5548</v>
      </c>
      <c r="C1392" s="30" t="s">
        <v>1296</v>
      </c>
      <c r="D1392" s="30" t="s">
        <v>6855</v>
      </c>
      <c r="E1392" s="30" t="s">
        <v>3567</v>
      </c>
      <c r="F1392" s="454">
        <f t="shared" si="633"/>
        <v>28.64</v>
      </c>
      <c r="G1392" s="529">
        <v>28.64</v>
      </c>
      <c r="H1392" s="487">
        <f t="shared" si="634"/>
        <v>22.91</v>
      </c>
      <c r="I1392" s="706"/>
      <c r="J1392" s="669" t="s">
        <v>5805</v>
      </c>
      <c r="K1392" s="15"/>
      <c r="M1392" s="49">
        <f t="shared" si="635"/>
        <v>28.64</v>
      </c>
      <c r="N1392" s="41">
        <v>11.67</v>
      </c>
      <c r="O1392" s="187"/>
      <c r="P1392" s="183"/>
      <c r="Q1392" s="184"/>
      <c r="R1392" s="184" t="s">
        <v>1017</v>
      </c>
      <c r="S1392" s="184" t="s">
        <v>4180</v>
      </c>
      <c r="T1392" t="s">
        <v>4180</v>
      </c>
      <c r="U1392" s="185" t="s">
        <v>1017</v>
      </c>
      <c r="V1392" s="184"/>
      <c r="W1392" s="180"/>
      <c r="X1392" s="180"/>
      <c r="Y1392" s="178"/>
      <c r="Z1392" s="178"/>
      <c r="AA1392" s="180"/>
      <c r="AB1392" s="178"/>
      <c r="AC1392" s="184" t="s">
        <v>1017</v>
      </c>
      <c r="AD1392" s="201"/>
      <c r="AE1392" s="181"/>
      <c r="AF1392" s="180"/>
      <c r="AG1392" s="201"/>
      <c r="AH1392" s="212" t="str">
        <f t="shared" si="637"/>
        <v>2010</v>
      </c>
      <c r="AI1392" s="214" t="str">
        <f t="shared" si="627"/>
        <v/>
      </c>
      <c r="AJ1392" s="214" t="str">
        <f t="shared" si="628"/>
        <v/>
      </c>
      <c r="AK1392" s="214" t="str">
        <f t="shared" si="629"/>
        <v/>
      </c>
      <c r="AL1392" s="214" t="str">
        <f t="shared" si="630"/>
        <v/>
      </c>
      <c r="AM1392" s="214" t="str">
        <f t="shared" si="631"/>
        <v/>
      </c>
      <c r="AN1392" s="213" t="str">
        <f t="shared" si="614"/>
        <v>2010</v>
      </c>
      <c r="AO1392" s="213" t="str">
        <f t="shared" si="615"/>
        <v>2010</v>
      </c>
      <c r="AP1392" s="213" t="str">
        <f t="shared" si="616"/>
        <v>2010</v>
      </c>
      <c r="AQ1392" s="215" t="str">
        <f t="shared" si="617"/>
        <v/>
      </c>
      <c r="AR1392" s="216" t="str">
        <f t="shared" si="618"/>
        <v>BiK81X1K10y-06</v>
      </c>
      <c r="AS1392" s="215" t="str">
        <f t="shared" si="619"/>
        <v/>
      </c>
      <c r="AT1392">
        <f t="shared" si="620"/>
        <v>14</v>
      </c>
      <c r="AU1392" s="216" t="str">
        <f t="shared" si="621"/>
        <v>0-0,15 MW, Bonusregeln X1, y und K erstmals 2010</v>
      </c>
      <c r="AV1392" s="215" t="str">
        <f t="shared" si="622"/>
        <v/>
      </c>
      <c r="AW1392" s="216" t="str">
        <f t="shared" si="623"/>
        <v>Anteil KWK, erstmals 2010</v>
      </c>
      <c r="AX1392" s="215" t="str">
        <f t="shared" si="624"/>
        <v/>
      </c>
      <c r="AY1392" t="str">
        <f t="shared" si="625"/>
        <v/>
      </c>
      <c r="AZ1392" t="str">
        <f t="shared" si="626"/>
        <v/>
      </c>
    </row>
    <row r="1393" spans="1:52" x14ac:dyDescent="0.25">
      <c r="A1393" s="610" t="s">
        <v>5365</v>
      </c>
      <c r="B1393" s="30" t="s">
        <v>5548</v>
      </c>
      <c r="C1393" s="30" t="s">
        <v>1296</v>
      </c>
      <c r="D1393" s="30" t="s">
        <v>6856</v>
      </c>
      <c r="E1393" s="30" t="s">
        <v>3055</v>
      </c>
      <c r="F1393" s="454">
        <f t="shared" si="633"/>
        <v>28.61</v>
      </c>
      <c r="G1393" s="529">
        <v>28.61</v>
      </c>
      <c r="H1393" s="487">
        <f t="shared" si="634"/>
        <v>22.89</v>
      </c>
      <c r="I1393" s="706"/>
      <c r="J1393" s="669" t="s">
        <v>5805</v>
      </c>
      <c r="K1393" s="15"/>
      <c r="M1393" s="49">
        <f t="shared" si="635"/>
        <v>28.61</v>
      </c>
      <c r="N1393" s="41">
        <v>11.67</v>
      </c>
      <c r="O1393" s="187"/>
      <c r="P1393" s="183"/>
      <c r="Q1393" s="184"/>
      <c r="R1393" s="178"/>
      <c r="S1393" s="184" t="s">
        <v>1017</v>
      </c>
      <c r="T1393" t="s">
        <v>4180</v>
      </c>
      <c r="U1393" s="185" t="s">
        <v>1017</v>
      </c>
      <c r="V1393" s="184"/>
      <c r="W1393" s="180"/>
      <c r="X1393" s="180"/>
      <c r="Y1393" s="178"/>
      <c r="Z1393" s="178"/>
      <c r="AA1393" s="180"/>
      <c r="AB1393" s="178"/>
      <c r="AC1393" s="184" t="s">
        <v>1017</v>
      </c>
      <c r="AD1393" s="201"/>
      <c r="AE1393" s="181"/>
      <c r="AF1393" s="180"/>
      <c r="AG1393" s="201"/>
      <c r="AH1393" s="212" t="str">
        <f t="shared" si="637"/>
        <v>2011</v>
      </c>
      <c r="AI1393" s="214" t="str">
        <f t="shared" si="627"/>
        <v/>
      </c>
      <c r="AJ1393" s="214" t="str">
        <f t="shared" si="628"/>
        <v/>
      </c>
      <c r="AK1393" s="214" t="str">
        <f t="shared" si="629"/>
        <v/>
      </c>
      <c r="AL1393" s="214" t="str">
        <f t="shared" si="630"/>
        <v/>
      </c>
      <c r="AM1393" s="214" t="str">
        <f t="shared" si="631"/>
        <v/>
      </c>
      <c r="AN1393" s="213" t="str">
        <f t="shared" si="614"/>
        <v>2011</v>
      </c>
      <c r="AO1393" s="213" t="str">
        <f t="shared" si="615"/>
        <v>2011</v>
      </c>
      <c r="AP1393" s="213" t="str">
        <f t="shared" si="616"/>
        <v>2011</v>
      </c>
      <c r="AQ1393" s="215" t="str">
        <f t="shared" si="617"/>
        <v/>
      </c>
      <c r="AR1393" s="216" t="str">
        <f t="shared" si="618"/>
        <v>BiK81X1K11y-06</v>
      </c>
      <c r="AS1393" s="215" t="str">
        <f t="shared" si="619"/>
        <v/>
      </c>
      <c r="AT1393">
        <f t="shared" si="620"/>
        <v>14</v>
      </c>
      <c r="AU1393" s="216" t="str">
        <f t="shared" si="621"/>
        <v>0-0,15 MW, Bonusregeln X1, y und K erstmals 2011</v>
      </c>
      <c r="AV1393" s="215" t="str">
        <f t="shared" si="622"/>
        <v/>
      </c>
      <c r="AW1393" s="216" t="str">
        <f t="shared" si="623"/>
        <v>Anteil KWK, erstmals 2011</v>
      </c>
      <c r="AX1393" s="215" t="str">
        <f t="shared" si="624"/>
        <v/>
      </c>
      <c r="AY1393" t="str">
        <f t="shared" si="625"/>
        <v>x</v>
      </c>
      <c r="AZ1393" t="str">
        <f t="shared" si="626"/>
        <v/>
      </c>
    </row>
    <row r="1394" spans="1:52" x14ac:dyDescent="0.25">
      <c r="A1394" s="625" t="s">
        <v>3643</v>
      </c>
      <c r="B1394" s="219" t="s">
        <v>5548</v>
      </c>
      <c r="C1394" s="219" t="s">
        <v>1296</v>
      </c>
      <c r="D1394" s="219" t="s">
        <v>6857</v>
      </c>
      <c r="E1394" s="219" t="s">
        <v>1980</v>
      </c>
      <c r="F1394" s="455">
        <f t="shared" si="633"/>
        <v>28.58</v>
      </c>
      <c r="G1394" s="530">
        <v>28.58</v>
      </c>
      <c r="H1394" s="488">
        <f t="shared" si="634"/>
        <v>22.86</v>
      </c>
      <c r="I1394" s="707"/>
      <c r="J1394" s="669" t="s">
        <v>5805</v>
      </c>
      <c r="K1394" s="15"/>
      <c r="M1394" s="49">
        <f t="shared" si="635"/>
        <v>28.58</v>
      </c>
      <c r="N1394" s="41">
        <v>11.67</v>
      </c>
      <c r="O1394" s="187"/>
      <c r="P1394" s="183"/>
      <c r="Q1394" s="184"/>
      <c r="R1394" s="178"/>
      <c r="S1394" s="184" t="s">
        <v>4180</v>
      </c>
      <c r="T1394" t="s">
        <v>1017</v>
      </c>
      <c r="U1394" s="185" t="s">
        <v>1017</v>
      </c>
      <c r="V1394" s="184"/>
      <c r="W1394" s="180"/>
      <c r="X1394" s="180"/>
      <c r="Y1394" s="178"/>
      <c r="Z1394" s="178"/>
      <c r="AA1394" s="180"/>
      <c r="AB1394" s="178"/>
      <c r="AC1394" s="184" t="s">
        <v>1017</v>
      </c>
      <c r="AD1394" s="201"/>
      <c r="AE1394" s="181"/>
      <c r="AF1394" s="180"/>
      <c r="AG1394" s="201"/>
      <c r="AH1394" s="217" t="s">
        <v>4179</v>
      </c>
      <c r="AI1394" s="214" t="str">
        <f t="shared" si="627"/>
        <v/>
      </c>
      <c r="AJ1394" s="214" t="str">
        <f t="shared" si="628"/>
        <v/>
      </c>
      <c r="AK1394" s="214" t="str">
        <f t="shared" si="629"/>
        <v/>
      </c>
      <c r="AL1394" s="214" t="str">
        <f t="shared" si="630"/>
        <v/>
      </c>
      <c r="AM1394" s="214" t="str">
        <f t="shared" si="631"/>
        <v/>
      </c>
      <c r="AN1394" s="213" t="str">
        <f t="shared" si="614"/>
        <v>2012</v>
      </c>
      <c r="AO1394" s="213" t="str">
        <f t="shared" si="615"/>
        <v>2012</v>
      </c>
      <c r="AP1394" s="213" t="str">
        <f t="shared" si="616"/>
        <v>2012</v>
      </c>
      <c r="AQ1394" s="215" t="str">
        <f t="shared" si="617"/>
        <v/>
      </c>
      <c r="AR1394" s="216" t="str">
        <f t="shared" si="618"/>
        <v>BiK81X1K12y-06</v>
      </c>
      <c r="AS1394" s="215" t="str">
        <f t="shared" si="619"/>
        <v/>
      </c>
      <c r="AT1394">
        <f t="shared" si="620"/>
        <v>14</v>
      </c>
      <c r="AU1394" s="216" t="str">
        <f t="shared" si="621"/>
        <v>0-0,15 MW, Bonusregeln X1, y und K erstmals 2012</v>
      </c>
      <c r="AV1394" s="215" t="str">
        <f t="shared" si="622"/>
        <v/>
      </c>
      <c r="AW1394" s="216" t="str">
        <f t="shared" si="623"/>
        <v>Anteil KWK, erstmals 2012</v>
      </c>
      <c r="AX1394" s="215" t="str">
        <f t="shared" si="624"/>
        <v/>
      </c>
      <c r="AY1394" t="str">
        <f t="shared" si="625"/>
        <v/>
      </c>
      <c r="AZ1394" t="str">
        <f t="shared" si="626"/>
        <v>x</v>
      </c>
    </row>
    <row r="1395" spans="1:52" x14ac:dyDescent="0.25">
      <c r="A1395" s="618" t="s">
        <v>878</v>
      </c>
      <c r="B1395" s="31" t="s">
        <v>5548</v>
      </c>
      <c r="C1395" s="31" t="s">
        <v>1296</v>
      </c>
      <c r="D1395" s="31" t="s">
        <v>6907</v>
      </c>
      <c r="E1395" s="31" t="s">
        <v>4810</v>
      </c>
      <c r="F1395" s="460">
        <f t="shared" si="633"/>
        <v>13.67</v>
      </c>
      <c r="G1395" s="536">
        <v>13.67</v>
      </c>
      <c r="H1395" s="494">
        <f t="shared" si="634"/>
        <v>10.94</v>
      </c>
      <c r="I1395" s="713"/>
      <c r="J1395" s="669" t="s">
        <v>5805</v>
      </c>
      <c r="K1395" s="15"/>
      <c r="M1395" s="49">
        <f t="shared" si="635"/>
        <v>13.67</v>
      </c>
      <c r="N1395" s="41">
        <v>11.67</v>
      </c>
      <c r="O1395" s="54"/>
      <c r="P1395" s="15"/>
      <c r="S1395" t="s">
        <v>4180</v>
      </c>
      <c r="T1395" t="s">
        <v>4180</v>
      </c>
      <c r="U1395" s="55"/>
      <c r="W1395" s="65"/>
      <c r="X1395" s="65"/>
      <c r="AA1395" s="65"/>
      <c r="AD1395" s="91"/>
      <c r="AE1395" s="124" t="s">
        <v>1017</v>
      </c>
      <c r="AF1395" s="65"/>
      <c r="AG1395" s="91"/>
      <c r="AH1395" s="212" t="str">
        <f t="shared" ref="AH1395:AH1400" si="638">IF(ISERROR(SEARCH("K erstmals 201",D1395)),"",RIGHT(D1395,4))</f>
        <v/>
      </c>
      <c r="AI1395" s="214" t="str">
        <f t="shared" si="627"/>
        <v/>
      </c>
      <c r="AJ1395" s="214" t="str">
        <f t="shared" si="628"/>
        <v/>
      </c>
      <c r="AK1395" s="214" t="str">
        <f t="shared" si="629"/>
        <v/>
      </c>
      <c r="AL1395" s="214" t="str">
        <f t="shared" si="630"/>
        <v/>
      </c>
      <c r="AM1395" s="214" t="str">
        <f t="shared" si="631"/>
        <v/>
      </c>
      <c r="AN1395" s="213" t="str">
        <f t="shared" si="614"/>
        <v/>
      </c>
      <c r="AO1395" s="213" t="str">
        <f t="shared" si="615"/>
        <v/>
      </c>
      <c r="AP1395" s="213" t="str">
        <f t="shared" si="616"/>
        <v/>
      </c>
      <c r="AQ1395" s="215" t="str">
        <f t="shared" si="617"/>
        <v/>
      </c>
      <c r="AR1395" s="216" t="str">
        <f t="shared" si="618"/>
        <v>BiK81b------06</v>
      </c>
      <c r="AS1395" s="215" t="str">
        <f t="shared" si="619"/>
        <v/>
      </c>
      <c r="AT1395">
        <f t="shared" si="620"/>
        <v>14</v>
      </c>
      <c r="AU1395" s="216" t="str">
        <f t="shared" si="621"/>
        <v>0-0,15 MW, Bonusregel b</v>
      </c>
      <c r="AV1395" s="215" t="str">
        <f t="shared" si="622"/>
        <v/>
      </c>
      <c r="AW1395" s="216" t="str">
        <f t="shared" si="623"/>
        <v>Anteil Nicht-KWK</v>
      </c>
      <c r="AX1395" s="215" t="str">
        <f t="shared" si="624"/>
        <v/>
      </c>
      <c r="AY1395" t="str">
        <f t="shared" si="625"/>
        <v/>
      </c>
      <c r="AZ1395" t="str">
        <f t="shared" si="626"/>
        <v/>
      </c>
    </row>
    <row r="1396" spans="1:52" x14ac:dyDescent="0.25">
      <c r="A1396" s="618" t="s">
        <v>879</v>
      </c>
      <c r="B1396" s="31" t="s">
        <v>5548</v>
      </c>
      <c r="C1396" s="31" t="s">
        <v>1296</v>
      </c>
      <c r="D1396" s="33" t="s">
        <v>6908</v>
      </c>
      <c r="E1396" s="31" t="s">
        <v>4812</v>
      </c>
      <c r="F1396" s="460">
        <f t="shared" si="633"/>
        <v>15.67</v>
      </c>
      <c r="G1396" s="536">
        <v>15.67</v>
      </c>
      <c r="H1396" s="494">
        <f t="shared" si="634"/>
        <v>12.54</v>
      </c>
      <c r="I1396" s="713"/>
      <c r="J1396" s="669" t="s">
        <v>5805</v>
      </c>
      <c r="K1396" s="15"/>
      <c r="M1396" s="49">
        <f t="shared" si="635"/>
        <v>15.67</v>
      </c>
      <c r="N1396" s="41">
        <v>11.67</v>
      </c>
      <c r="O1396" s="54" t="s">
        <v>1017</v>
      </c>
      <c r="P1396" s="15"/>
      <c r="S1396" t="s">
        <v>4180</v>
      </c>
      <c r="T1396" t="s">
        <v>4180</v>
      </c>
      <c r="U1396" s="55"/>
      <c r="W1396" s="65"/>
      <c r="X1396" s="65"/>
      <c r="AA1396" s="65"/>
      <c r="AD1396" s="91"/>
      <c r="AE1396" s="124" t="s">
        <v>1017</v>
      </c>
      <c r="AF1396" s="65"/>
      <c r="AG1396" s="91"/>
      <c r="AH1396" s="212" t="str">
        <f t="shared" si="638"/>
        <v/>
      </c>
      <c r="AI1396" s="214" t="str">
        <f t="shared" si="627"/>
        <v/>
      </c>
      <c r="AJ1396" s="214" t="str">
        <f t="shared" si="628"/>
        <v/>
      </c>
      <c r="AK1396" s="214" t="str">
        <f t="shared" si="629"/>
        <v/>
      </c>
      <c r="AL1396" s="214" t="str">
        <f t="shared" si="630"/>
        <v/>
      </c>
      <c r="AM1396" s="214" t="str">
        <f t="shared" si="631"/>
        <v/>
      </c>
      <c r="AN1396" s="213" t="str">
        <f t="shared" si="614"/>
        <v/>
      </c>
      <c r="AO1396" s="213" t="str">
        <f t="shared" si="615"/>
        <v/>
      </c>
      <c r="AP1396" s="213" t="str">
        <f t="shared" si="616"/>
        <v/>
      </c>
      <c r="AQ1396" s="215" t="str">
        <f t="shared" si="617"/>
        <v/>
      </c>
      <c r="AR1396" s="216" t="str">
        <f t="shared" si="618"/>
        <v>BiK81bKWK---06</v>
      </c>
      <c r="AS1396" s="215" t="str">
        <f t="shared" si="619"/>
        <v/>
      </c>
      <c r="AT1396">
        <f t="shared" si="620"/>
        <v>14</v>
      </c>
      <c r="AU1396" s="216" t="str">
        <f t="shared" si="621"/>
        <v>0-0,15 MW, Bonusregeln b und KWK</v>
      </c>
      <c r="AV1396" s="215" t="str">
        <f t="shared" si="622"/>
        <v/>
      </c>
      <c r="AW1396" s="216" t="str">
        <f t="shared" si="623"/>
        <v>Anteil KWK</v>
      </c>
      <c r="AX1396" s="215" t="str">
        <f t="shared" si="624"/>
        <v/>
      </c>
      <c r="AY1396" t="str">
        <f t="shared" si="625"/>
        <v/>
      </c>
      <c r="AZ1396" t="str">
        <f t="shared" si="626"/>
        <v/>
      </c>
    </row>
    <row r="1397" spans="1:52" x14ac:dyDescent="0.25">
      <c r="A1397" s="610" t="s">
        <v>4352</v>
      </c>
      <c r="B1397" s="17" t="s">
        <v>5548</v>
      </c>
      <c r="C1397" s="30" t="s">
        <v>1296</v>
      </c>
      <c r="D1397" s="30" t="s">
        <v>6909</v>
      </c>
      <c r="E1397" s="30" t="s">
        <v>4331</v>
      </c>
      <c r="F1397" s="454">
        <f t="shared" si="633"/>
        <v>16.670000000000002</v>
      </c>
      <c r="G1397" s="529">
        <v>16.670000000000002</v>
      </c>
      <c r="H1397" s="487">
        <f t="shared" si="634"/>
        <v>13.34</v>
      </c>
      <c r="I1397" s="706"/>
      <c r="J1397" s="669" t="s">
        <v>5805</v>
      </c>
      <c r="K1397" s="15"/>
      <c r="M1397" s="49">
        <f t="shared" si="635"/>
        <v>16.670000000000002</v>
      </c>
      <c r="N1397" s="41">
        <v>11.67</v>
      </c>
      <c r="O1397" s="54"/>
      <c r="P1397" t="s">
        <v>1017</v>
      </c>
      <c r="S1397" t="s">
        <v>4180</v>
      </c>
      <c r="T1397" t="s">
        <v>4180</v>
      </c>
      <c r="U1397" s="55"/>
      <c r="W1397" s="65"/>
      <c r="X1397" s="65"/>
      <c r="AA1397" s="65"/>
      <c r="AD1397" s="91"/>
      <c r="AE1397" s="124" t="s">
        <v>1017</v>
      </c>
      <c r="AF1397" s="65"/>
      <c r="AG1397" s="91"/>
      <c r="AH1397" s="212" t="str">
        <f t="shared" si="638"/>
        <v/>
      </c>
      <c r="AI1397" s="214" t="str">
        <f t="shared" si="627"/>
        <v/>
      </c>
      <c r="AJ1397" s="214" t="str">
        <f t="shared" si="628"/>
        <v/>
      </c>
      <c r="AK1397" s="214" t="str">
        <f t="shared" si="629"/>
        <v/>
      </c>
      <c r="AL1397" s="214" t="str">
        <f t="shared" si="630"/>
        <v/>
      </c>
      <c r="AM1397" s="214" t="str">
        <f t="shared" si="631"/>
        <v/>
      </c>
      <c r="AN1397" s="213" t="str">
        <f t="shared" si="614"/>
        <v/>
      </c>
      <c r="AO1397" s="213" t="str">
        <f t="shared" si="615"/>
        <v/>
      </c>
      <c r="AP1397" s="213" t="str">
        <f t="shared" si="616"/>
        <v/>
      </c>
      <c r="AQ1397" s="215" t="str">
        <f t="shared" si="617"/>
        <v/>
      </c>
      <c r="AR1397" s="216" t="str">
        <f t="shared" si="618"/>
        <v>BiK81bKA3---06</v>
      </c>
      <c r="AS1397" s="215" t="str">
        <f t="shared" si="619"/>
        <v/>
      </c>
      <c r="AT1397">
        <f t="shared" si="620"/>
        <v>14</v>
      </c>
      <c r="AU1397" s="216" t="str">
        <f t="shared" si="621"/>
        <v>0-0,15 MW, Bonusregeln b und K wenn Anlage 3 erfüllt</v>
      </c>
      <c r="AV1397" s="215" t="str">
        <f t="shared" si="622"/>
        <v/>
      </c>
      <c r="AW1397" s="216" t="str">
        <f t="shared" si="623"/>
        <v>Anteil KWK gemäß Anlage 3</v>
      </c>
      <c r="AX1397" s="215" t="str">
        <f t="shared" si="624"/>
        <v/>
      </c>
      <c r="AY1397" t="str">
        <f t="shared" si="625"/>
        <v/>
      </c>
      <c r="AZ1397" t="str">
        <f t="shared" si="626"/>
        <v/>
      </c>
    </row>
    <row r="1398" spans="1:52" x14ac:dyDescent="0.25">
      <c r="A1398" s="610" t="s">
        <v>5551</v>
      </c>
      <c r="B1398" s="17" t="s">
        <v>5548</v>
      </c>
      <c r="C1398" s="17" t="s">
        <v>1296</v>
      </c>
      <c r="D1398" s="30" t="s">
        <v>6910</v>
      </c>
      <c r="E1398" s="17" t="s">
        <v>674</v>
      </c>
      <c r="F1398" s="454">
        <f t="shared" si="633"/>
        <v>16.670000000000002</v>
      </c>
      <c r="G1398" s="529">
        <v>16.670000000000002</v>
      </c>
      <c r="H1398" s="487">
        <f t="shared" si="634"/>
        <v>13.34</v>
      </c>
      <c r="I1398" s="706"/>
      <c r="J1398" s="669" t="s">
        <v>5805</v>
      </c>
      <c r="K1398" s="15"/>
      <c r="M1398" s="49">
        <f t="shared" si="635"/>
        <v>16.670000000000002</v>
      </c>
      <c r="N1398" s="41">
        <v>11.67</v>
      </c>
      <c r="O1398" s="54"/>
      <c r="P1398" s="15"/>
      <c r="Q1398" t="s">
        <v>1017</v>
      </c>
      <c r="S1398" t="s">
        <v>4180</v>
      </c>
      <c r="T1398" t="s">
        <v>4180</v>
      </c>
      <c r="U1398" s="55"/>
      <c r="W1398" s="65"/>
      <c r="X1398" s="65"/>
      <c r="AA1398" s="65"/>
      <c r="AD1398" s="91"/>
      <c r="AE1398" s="124" t="s">
        <v>1017</v>
      </c>
      <c r="AF1398" s="65"/>
      <c r="AG1398" s="91"/>
      <c r="AH1398" s="212" t="str">
        <f t="shared" si="638"/>
        <v/>
      </c>
      <c r="AI1398" s="214" t="str">
        <f t="shared" si="627"/>
        <v/>
      </c>
      <c r="AJ1398" s="214" t="str">
        <f t="shared" si="628"/>
        <v/>
      </c>
      <c r="AK1398" s="214" t="str">
        <f t="shared" si="629"/>
        <v/>
      </c>
      <c r="AL1398" s="214" t="str">
        <f t="shared" si="630"/>
        <v/>
      </c>
      <c r="AM1398" s="214" t="str">
        <f t="shared" si="631"/>
        <v/>
      </c>
      <c r="AN1398" s="213" t="str">
        <f t="shared" si="614"/>
        <v/>
      </c>
      <c r="AO1398" s="213" t="str">
        <f t="shared" si="615"/>
        <v/>
      </c>
      <c r="AP1398" s="213" t="str">
        <f t="shared" si="616"/>
        <v/>
      </c>
      <c r="AQ1398" s="215" t="str">
        <f t="shared" si="617"/>
        <v/>
      </c>
      <c r="AR1398" s="216" t="str">
        <f t="shared" si="618"/>
        <v>BiK81bK09---06</v>
      </c>
      <c r="AS1398" s="215" t="str">
        <f t="shared" si="619"/>
        <v/>
      </c>
      <c r="AT1398">
        <f t="shared" si="620"/>
        <v>14</v>
      </c>
      <c r="AU1398" s="216" t="str">
        <f t="shared" si="621"/>
        <v>0-0,15 MW, Bonusregeln b und K erstmals 2009</v>
      </c>
      <c r="AV1398" s="215" t="str">
        <f t="shared" si="622"/>
        <v/>
      </c>
      <c r="AW1398" s="216" t="str">
        <f t="shared" si="623"/>
        <v>Anteil KWK, erstmals 2009</v>
      </c>
      <c r="AX1398" s="215" t="str">
        <f t="shared" si="624"/>
        <v/>
      </c>
      <c r="AY1398" t="str">
        <f t="shared" si="625"/>
        <v/>
      </c>
      <c r="AZ1398" t="str">
        <f t="shared" si="626"/>
        <v/>
      </c>
    </row>
    <row r="1399" spans="1:52" x14ac:dyDescent="0.25">
      <c r="A1399" s="610" t="s">
        <v>4897</v>
      </c>
      <c r="B1399" s="17" t="s">
        <v>5548</v>
      </c>
      <c r="C1399" s="17" t="s">
        <v>1296</v>
      </c>
      <c r="D1399" s="30" t="s">
        <v>6911</v>
      </c>
      <c r="E1399" s="30" t="s">
        <v>3567</v>
      </c>
      <c r="F1399" s="454">
        <f t="shared" si="633"/>
        <v>16.64</v>
      </c>
      <c r="G1399" s="529">
        <v>16.64</v>
      </c>
      <c r="H1399" s="487">
        <f t="shared" si="634"/>
        <v>13.31</v>
      </c>
      <c r="I1399" s="706"/>
      <c r="J1399" s="669" t="s">
        <v>5805</v>
      </c>
      <c r="K1399" s="15"/>
      <c r="M1399" s="49">
        <f t="shared" si="635"/>
        <v>16.64</v>
      </c>
      <c r="N1399" s="41">
        <v>11.67</v>
      </c>
      <c r="O1399" s="54"/>
      <c r="P1399" s="15"/>
      <c r="R1399" t="s">
        <v>1017</v>
      </c>
      <c r="S1399" t="s">
        <v>4180</v>
      </c>
      <c r="T1399" t="s">
        <v>4180</v>
      </c>
      <c r="U1399" s="55"/>
      <c r="W1399" s="65"/>
      <c r="X1399" s="65"/>
      <c r="AA1399" s="65"/>
      <c r="AD1399" s="91"/>
      <c r="AE1399" s="124" t="s">
        <v>1017</v>
      </c>
      <c r="AF1399" s="65"/>
      <c r="AG1399" s="91"/>
      <c r="AH1399" s="212" t="str">
        <f t="shared" si="638"/>
        <v>2010</v>
      </c>
      <c r="AI1399" s="214" t="str">
        <f t="shared" si="627"/>
        <v/>
      </c>
      <c r="AJ1399" s="214" t="str">
        <f t="shared" si="628"/>
        <v/>
      </c>
      <c r="AK1399" s="214" t="str">
        <f t="shared" si="629"/>
        <v/>
      </c>
      <c r="AL1399" s="214" t="str">
        <f t="shared" si="630"/>
        <v/>
      </c>
      <c r="AM1399" s="214" t="str">
        <f t="shared" si="631"/>
        <v/>
      </c>
      <c r="AN1399" s="213" t="str">
        <f t="shared" si="614"/>
        <v>2010</v>
      </c>
      <c r="AO1399" s="213" t="str">
        <f t="shared" si="615"/>
        <v>2010</v>
      </c>
      <c r="AP1399" s="213" t="str">
        <f t="shared" si="616"/>
        <v>2010</v>
      </c>
      <c r="AQ1399" s="215" t="str">
        <f t="shared" si="617"/>
        <v/>
      </c>
      <c r="AR1399" s="216" t="str">
        <f t="shared" si="618"/>
        <v>BiK81bK10---06</v>
      </c>
      <c r="AS1399" s="215" t="str">
        <f t="shared" si="619"/>
        <v/>
      </c>
      <c r="AT1399">
        <f t="shared" si="620"/>
        <v>14</v>
      </c>
      <c r="AU1399" s="216" t="str">
        <f t="shared" si="621"/>
        <v>0-0,15 MW, Bonusregeln b und K erstmals 2010</v>
      </c>
      <c r="AV1399" s="215" t="str">
        <f t="shared" si="622"/>
        <v/>
      </c>
      <c r="AW1399" s="216" t="str">
        <f t="shared" si="623"/>
        <v>Anteil KWK, erstmals 2010</v>
      </c>
      <c r="AX1399" s="215" t="str">
        <f t="shared" si="624"/>
        <v/>
      </c>
      <c r="AY1399" t="str">
        <f t="shared" si="625"/>
        <v/>
      </c>
      <c r="AZ1399" t="str">
        <f t="shared" si="626"/>
        <v/>
      </c>
    </row>
    <row r="1400" spans="1:52" s="12" customFormat="1" x14ac:dyDescent="0.25">
      <c r="A1400" s="610" t="s">
        <v>5366</v>
      </c>
      <c r="B1400" s="17" t="s">
        <v>5548</v>
      </c>
      <c r="C1400" s="17" t="s">
        <v>1296</v>
      </c>
      <c r="D1400" s="30" t="s">
        <v>6912</v>
      </c>
      <c r="E1400" s="30" t="s">
        <v>3055</v>
      </c>
      <c r="F1400" s="454">
        <f t="shared" si="633"/>
        <v>16.61</v>
      </c>
      <c r="G1400" s="529">
        <v>16.61</v>
      </c>
      <c r="H1400" s="487">
        <f t="shared" si="634"/>
        <v>13.29</v>
      </c>
      <c r="I1400" s="706"/>
      <c r="J1400" s="669" t="s">
        <v>5805</v>
      </c>
      <c r="K1400" s="15"/>
      <c r="L1400"/>
      <c r="M1400" s="49">
        <f t="shared" si="635"/>
        <v>16.61</v>
      </c>
      <c r="N1400" s="41">
        <v>11.67</v>
      </c>
      <c r="O1400" s="54"/>
      <c r="P1400" s="15"/>
      <c r="Q1400"/>
      <c r="R1400"/>
      <c r="S1400" t="s">
        <v>1017</v>
      </c>
      <c r="T1400" s="12" t="s">
        <v>4180</v>
      </c>
      <c r="U1400" s="55"/>
      <c r="V1400"/>
      <c r="W1400" s="65"/>
      <c r="X1400" s="65"/>
      <c r="Y1400"/>
      <c r="Z1400"/>
      <c r="AA1400" s="65"/>
      <c r="AB1400"/>
      <c r="AC1400"/>
      <c r="AD1400" s="91"/>
      <c r="AE1400" s="124" t="s">
        <v>1017</v>
      </c>
      <c r="AF1400" s="65"/>
      <c r="AG1400" s="91"/>
      <c r="AH1400" s="212" t="str">
        <f t="shared" si="638"/>
        <v>2011</v>
      </c>
      <c r="AI1400" s="214" t="str">
        <f t="shared" si="627"/>
        <v/>
      </c>
      <c r="AJ1400" s="214" t="str">
        <f t="shared" si="628"/>
        <v/>
      </c>
      <c r="AK1400" s="214" t="str">
        <f t="shared" si="629"/>
        <v/>
      </c>
      <c r="AL1400" s="214" t="str">
        <f t="shared" si="630"/>
        <v/>
      </c>
      <c r="AM1400" s="214" t="str">
        <f t="shared" si="631"/>
        <v/>
      </c>
      <c r="AN1400" s="213" t="str">
        <f t="shared" si="614"/>
        <v>2011</v>
      </c>
      <c r="AO1400" s="213" t="str">
        <f t="shared" si="615"/>
        <v>2011</v>
      </c>
      <c r="AP1400" s="213" t="str">
        <f t="shared" si="616"/>
        <v>2011</v>
      </c>
      <c r="AQ1400" s="215" t="str">
        <f t="shared" si="617"/>
        <v/>
      </c>
      <c r="AR1400" s="216" t="str">
        <f t="shared" si="618"/>
        <v>BiK81bK11---06</v>
      </c>
      <c r="AS1400" s="215" t="str">
        <f t="shared" si="619"/>
        <v/>
      </c>
      <c r="AT1400">
        <f t="shared" si="620"/>
        <v>14</v>
      </c>
      <c r="AU1400" s="216" t="str">
        <f t="shared" si="621"/>
        <v>0-0,15 MW, Bonusregeln b und K erstmals 2011</v>
      </c>
      <c r="AV1400" s="215" t="str">
        <f t="shared" si="622"/>
        <v/>
      </c>
      <c r="AW1400" s="216" t="str">
        <f t="shared" si="623"/>
        <v>Anteil KWK, erstmals 2011</v>
      </c>
      <c r="AX1400" s="215" t="str">
        <f t="shared" si="624"/>
        <v/>
      </c>
      <c r="AY1400" t="str">
        <f t="shared" si="625"/>
        <v>x</v>
      </c>
      <c r="AZ1400" t="str">
        <f t="shared" si="626"/>
        <v/>
      </c>
    </row>
    <row r="1401" spans="1:52" s="12" customFormat="1" x14ac:dyDescent="0.25">
      <c r="A1401" s="625" t="s">
        <v>3644</v>
      </c>
      <c r="B1401" s="221" t="s">
        <v>5548</v>
      </c>
      <c r="C1401" s="221" t="s">
        <v>1296</v>
      </c>
      <c r="D1401" s="219" t="s">
        <v>6913</v>
      </c>
      <c r="E1401" s="219" t="s">
        <v>1980</v>
      </c>
      <c r="F1401" s="455">
        <f t="shared" si="633"/>
        <v>16.579999999999998</v>
      </c>
      <c r="G1401" s="530">
        <v>16.579999999999998</v>
      </c>
      <c r="H1401" s="488">
        <f t="shared" si="634"/>
        <v>13.26</v>
      </c>
      <c r="I1401" s="707"/>
      <c r="J1401" s="669" t="s">
        <v>5805</v>
      </c>
      <c r="K1401" s="15"/>
      <c r="L1401"/>
      <c r="M1401" s="49">
        <f t="shared" si="635"/>
        <v>16.579999999999998</v>
      </c>
      <c r="N1401" s="41">
        <v>11.67</v>
      </c>
      <c r="O1401" s="54"/>
      <c r="P1401" s="15"/>
      <c r="Q1401"/>
      <c r="R1401"/>
      <c r="S1401" t="s">
        <v>4180</v>
      </c>
      <c r="T1401" s="12" t="s">
        <v>1017</v>
      </c>
      <c r="U1401" s="55"/>
      <c r="V1401"/>
      <c r="W1401" s="65"/>
      <c r="X1401" s="65"/>
      <c r="Y1401"/>
      <c r="Z1401"/>
      <c r="AA1401" s="65"/>
      <c r="AB1401"/>
      <c r="AC1401"/>
      <c r="AD1401" s="91"/>
      <c r="AE1401" s="124" t="s">
        <v>1017</v>
      </c>
      <c r="AF1401" s="65"/>
      <c r="AG1401" s="91"/>
      <c r="AH1401" s="217" t="s">
        <v>4179</v>
      </c>
      <c r="AI1401" s="214" t="str">
        <f t="shared" si="627"/>
        <v/>
      </c>
      <c r="AJ1401" s="214" t="str">
        <f t="shared" si="628"/>
        <v/>
      </c>
      <c r="AK1401" s="214" t="str">
        <f t="shared" si="629"/>
        <v/>
      </c>
      <c r="AL1401" s="214" t="str">
        <f t="shared" si="630"/>
        <v/>
      </c>
      <c r="AM1401" s="214" t="str">
        <f t="shared" si="631"/>
        <v/>
      </c>
      <c r="AN1401" s="213" t="str">
        <f t="shared" si="614"/>
        <v>2012</v>
      </c>
      <c r="AO1401" s="213" t="str">
        <f t="shared" si="615"/>
        <v>2012</v>
      </c>
      <c r="AP1401" s="213" t="str">
        <f t="shared" si="616"/>
        <v>2012</v>
      </c>
      <c r="AQ1401" s="215" t="str">
        <f t="shared" si="617"/>
        <v/>
      </c>
      <c r="AR1401" s="216" t="str">
        <f t="shared" si="618"/>
        <v>BiK81bK12---06</v>
      </c>
      <c r="AS1401" s="215" t="str">
        <f t="shared" si="619"/>
        <v/>
      </c>
      <c r="AT1401">
        <f t="shared" si="620"/>
        <v>14</v>
      </c>
      <c r="AU1401" s="216" t="str">
        <f t="shared" si="621"/>
        <v>0-0,15 MW, Bonusregeln b und K erstmals 2012</v>
      </c>
      <c r="AV1401" s="215" t="str">
        <f t="shared" si="622"/>
        <v/>
      </c>
      <c r="AW1401" s="216" t="str">
        <f t="shared" si="623"/>
        <v>Anteil KWK, erstmals 2012</v>
      </c>
      <c r="AX1401" s="215" t="str">
        <f t="shared" si="624"/>
        <v/>
      </c>
      <c r="AY1401" t="str">
        <f t="shared" si="625"/>
        <v/>
      </c>
      <c r="AZ1401" t="str">
        <f t="shared" si="626"/>
        <v>x</v>
      </c>
    </row>
    <row r="1402" spans="1:52" s="12" customFormat="1" x14ac:dyDescent="0.25">
      <c r="A1402" s="610" t="s">
        <v>972</v>
      </c>
      <c r="B1402" s="17" t="s">
        <v>5548</v>
      </c>
      <c r="C1402" s="17" t="s">
        <v>1296</v>
      </c>
      <c r="D1402" s="30" t="s">
        <v>6914</v>
      </c>
      <c r="E1402" s="17" t="s">
        <v>4810</v>
      </c>
      <c r="F1402" s="454">
        <f t="shared" si="633"/>
        <v>14.67</v>
      </c>
      <c r="G1402" s="529">
        <v>14.67</v>
      </c>
      <c r="H1402" s="487">
        <f t="shared" si="634"/>
        <v>11.74</v>
      </c>
      <c r="I1402" s="706"/>
      <c r="J1402" s="669" t="s">
        <v>5805</v>
      </c>
      <c r="K1402" s="15"/>
      <c r="L1402"/>
      <c r="M1402" s="49">
        <f t="shared" si="635"/>
        <v>14.67</v>
      </c>
      <c r="N1402" s="41">
        <v>11.67</v>
      </c>
      <c r="O1402" s="54"/>
      <c r="P1402" s="15"/>
      <c r="Q1402"/>
      <c r="R1402"/>
      <c r="S1402" t="s">
        <v>4180</v>
      </c>
      <c r="T1402" s="12" t="s">
        <v>4180</v>
      </c>
      <c r="U1402" s="55" t="s">
        <v>1017</v>
      </c>
      <c r="V1402"/>
      <c r="W1402" s="65"/>
      <c r="X1402" s="65"/>
      <c r="Y1402"/>
      <c r="Z1402"/>
      <c r="AA1402" s="65"/>
      <c r="AB1402"/>
      <c r="AC1402"/>
      <c r="AD1402" s="91"/>
      <c r="AE1402" s="124" t="s">
        <v>1017</v>
      </c>
      <c r="AF1402" s="65"/>
      <c r="AG1402" s="91"/>
      <c r="AH1402" s="212" t="str">
        <f t="shared" ref="AH1402:AH1407" si="639">IF(ISERROR(SEARCH("K erstmals 201",D1402)),"",RIGHT(D1402,4))</f>
        <v/>
      </c>
      <c r="AI1402" s="214" t="str">
        <f t="shared" si="627"/>
        <v/>
      </c>
      <c r="AJ1402" s="214" t="str">
        <f t="shared" si="628"/>
        <v/>
      </c>
      <c r="AK1402" s="214" t="str">
        <f t="shared" si="629"/>
        <v/>
      </c>
      <c r="AL1402" s="214" t="str">
        <f t="shared" si="630"/>
        <v/>
      </c>
      <c r="AM1402" s="214" t="str">
        <f t="shared" si="631"/>
        <v/>
      </c>
      <c r="AN1402" s="213" t="str">
        <f t="shared" si="614"/>
        <v/>
      </c>
      <c r="AO1402" s="213" t="str">
        <f t="shared" si="615"/>
        <v/>
      </c>
      <c r="AP1402" s="213" t="str">
        <f t="shared" si="616"/>
        <v/>
      </c>
      <c r="AQ1402" s="215" t="str">
        <f t="shared" si="617"/>
        <v/>
      </c>
      <c r="AR1402" s="216" t="str">
        <f t="shared" si="618"/>
        <v>BiK81by-----06</v>
      </c>
      <c r="AS1402" s="215" t="str">
        <f t="shared" si="619"/>
        <v/>
      </c>
      <c r="AT1402">
        <f t="shared" si="620"/>
        <v>14</v>
      </c>
      <c r="AU1402" s="216" t="str">
        <f t="shared" si="621"/>
        <v>0-0,15 MW, Bonusregeln b, y</v>
      </c>
      <c r="AV1402" s="215" t="str">
        <f t="shared" si="622"/>
        <v/>
      </c>
      <c r="AW1402" s="216" t="str">
        <f t="shared" si="623"/>
        <v>Anteil Nicht-KWK</v>
      </c>
      <c r="AX1402" s="215" t="str">
        <f t="shared" si="624"/>
        <v/>
      </c>
      <c r="AY1402" t="str">
        <f t="shared" si="625"/>
        <v/>
      </c>
      <c r="AZ1402" t="str">
        <f t="shared" si="626"/>
        <v/>
      </c>
    </row>
    <row r="1403" spans="1:52" s="12" customFormat="1" x14ac:dyDescent="0.25">
      <c r="A1403" s="610" t="s">
        <v>973</v>
      </c>
      <c r="B1403" s="17" t="s">
        <v>5548</v>
      </c>
      <c r="C1403" s="17" t="s">
        <v>1296</v>
      </c>
      <c r="D1403" s="30" t="s">
        <v>6915</v>
      </c>
      <c r="E1403" s="17" t="s">
        <v>4812</v>
      </c>
      <c r="F1403" s="454">
        <f t="shared" si="633"/>
        <v>16.670000000000002</v>
      </c>
      <c r="G1403" s="529">
        <v>16.670000000000002</v>
      </c>
      <c r="H1403" s="487">
        <f t="shared" si="634"/>
        <v>13.34</v>
      </c>
      <c r="I1403" s="706"/>
      <c r="J1403" s="669" t="s">
        <v>5805</v>
      </c>
      <c r="K1403" s="15"/>
      <c r="L1403"/>
      <c r="M1403" s="49">
        <f t="shared" si="635"/>
        <v>16.670000000000002</v>
      </c>
      <c r="N1403" s="41">
        <v>11.67</v>
      </c>
      <c r="O1403" s="54" t="s">
        <v>1017</v>
      </c>
      <c r="P1403" s="15"/>
      <c r="Q1403"/>
      <c r="R1403"/>
      <c r="S1403" t="s">
        <v>4180</v>
      </c>
      <c r="T1403" s="12" t="s">
        <v>4180</v>
      </c>
      <c r="U1403" s="55" t="s">
        <v>1017</v>
      </c>
      <c r="V1403"/>
      <c r="W1403" s="65"/>
      <c r="X1403" s="65"/>
      <c r="Y1403"/>
      <c r="Z1403"/>
      <c r="AA1403" s="65"/>
      <c r="AB1403"/>
      <c r="AC1403"/>
      <c r="AD1403" s="91"/>
      <c r="AE1403" s="124" t="s">
        <v>1017</v>
      </c>
      <c r="AF1403" s="65"/>
      <c r="AG1403" s="91"/>
      <c r="AH1403" s="212" t="str">
        <f t="shared" si="639"/>
        <v/>
      </c>
      <c r="AI1403" s="214" t="str">
        <f t="shared" si="627"/>
        <v/>
      </c>
      <c r="AJ1403" s="214" t="str">
        <f t="shared" si="628"/>
        <v/>
      </c>
      <c r="AK1403" s="214" t="str">
        <f t="shared" si="629"/>
        <v/>
      </c>
      <c r="AL1403" s="214" t="str">
        <f t="shared" si="630"/>
        <v/>
      </c>
      <c r="AM1403" s="214" t="str">
        <f t="shared" si="631"/>
        <v/>
      </c>
      <c r="AN1403" s="213" t="str">
        <f t="shared" si="614"/>
        <v/>
      </c>
      <c r="AO1403" s="213" t="str">
        <f t="shared" si="615"/>
        <v/>
      </c>
      <c r="AP1403" s="213" t="str">
        <f t="shared" si="616"/>
        <v/>
      </c>
      <c r="AQ1403" s="215" t="str">
        <f t="shared" si="617"/>
        <v/>
      </c>
      <c r="AR1403" s="216" t="str">
        <f t="shared" si="618"/>
        <v>BiK81bKWKy--06</v>
      </c>
      <c r="AS1403" s="215" t="str">
        <f t="shared" si="619"/>
        <v/>
      </c>
      <c r="AT1403">
        <f t="shared" si="620"/>
        <v>14</v>
      </c>
      <c r="AU1403" s="216" t="str">
        <f t="shared" si="621"/>
        <v>0-0,15 MW, Bonusregeln b, y und KWK</v>
      </c>
      <c r="AV1403" s="215" t="str">
        <f t="shared" si="622"/>
        <v/>
      </c>
      <c r="AW1403" s="216" t="str">
        <f t="shared" si="623"/>
        <v>Anteil KWK</v>
      </c>
      <c r="AX1403" s="215" t="str">
        <f t="shared" si="624"/>
        <v/>
      </c>
      <c r="AY1403" t="str">
        <f t="shared" si="625"/>
        <v/>
      </c>
      <c r="AZ1403" t="str">
        <f t="shared" si="626"/>
        <v/>
      </c>
    </row>
    <row r="1404" spans="1:52" x14ac:dyDescent="0.25">
      <c r="A1404" s="610" t="s">
        <v>974</v>
      </c>
      <c r="B1404" s="17" t="s">
        <v>5548</v>
      </c>
      <c r="C1404" s="30" t="s">
        <v>1296</v>
      </c>
      <c r="D1404" s="30" t="s">
        <v>6916</v>
      </c>
      <c r="E1404" s="30" t="s">
        <v>4331</v>
      </c>
      <c r="F1404" s="454">
        <f t="shared" si="633"/>
        <v>17.670000000000002</v>
      </c>
      <c r="G1404" s="529">
        <v>17.670000000000002</v>
      </c>
      <c r="H1404" s="487">
        <f t="shared" si="634"/>
        <v>14.14</v>
      </c>
      <c r="I1404" s="706"/>
      <c r="J1404" s="669" t="s">
        <v>5805</v>
      </c>
      <c r="K1404" s="15"/>
      <c r="M1404" s="49">
        <f t="shared" si="635"/>
        <v>17.670000000000002</v>
      </c>
      <c r="N1404" s="41">
        <v>11.67</v>
      </c>
      <c r="O1404" s="54"/>
      <c r="P1404" t="s">
        <v>1017</v>
      </c>
      <c r="S1404" t="s">
        <v>4180</v>
      </c>
      <c r="T1404" t="s">
        <v>4180</v>
      </c>
      <c r="U1404" s="55" t="s">
        <v>1017</v>
      </c>
      <c r="W1404" s="65"/>
      <c r="X1404" s="65"/>
      <c r="AA1404" s="65"/>
      <c r="AD1404" s="65"/>
      <c r="AE1404" s="124" t="s">
        <v>1017</v>
      </c>
      <c r="AF1404" s="65"/>
      <c r="AG1404" s="65"/>
      <c r="AH1404" s="212" t="str">
        <f t="shared" si="639"/>
        <v/>
      </c>
      <c r="AI1404" s="214" t="str">
        <f t="shared" si="627"/>
        <v/>
      </c>
      <c r="AJ1404" s="214" t="str">
        <f t="shared" si="628"/>
        <v/>
      </c>
      <c r="AK1404" s="214" t="str">
        <f t="shared" si="629"/>
        <v/>
      </c>
      <c r="AL1404" s="214" t="str">
        <f t="shared" si="630"/>
        <v/>
      </c>
      <c r="AM1404" s="214" t="str">
        <f t="shared" si="631"/>
        <v/>
      </c>
      <c r="AN1404" s="213" t="str">
        <f t="shared" si="614"/>
        <v/>
      </c>
      <c r="AO1404" s="213" t="str">
        <f t="shared" si="615"/>
        <v/>
      </c>
      <c r="AP1404" s="213" t="str">
        <f t="shared" si="616"/>
        <v/>
      </c>
      <c r="AQ1404" s="215" t="str">
        <f t="shared" si="617"/>
        <v/>
      </c>
      <c r="AR1404" s="216" t="str">
        <f t="shared" si="618"/>
        <v>BiK81bKA3y--06</v>
      </c>
      <c r="AS1404" s="215" t="str">
        <f t="shared" si="619"/>
        <v/>
      </c>
      <c r="AT1404">
        <f t="shared" si="620"/>
        <v>14</v>
      </c>
      <c r="AU1404" s="216" t="str">
        <f t="shared" si="621"/>
        <v>0-0,15 MW, Bonusregeln b, y und K wenn Anlage 3 erfüllt</v>
      </c>
      <c r="AV1404" s="215" t="str">
        <f t="shared" si="622"/>
        <v/>
      </c>
      <c r="AW1404" s="216" t="str">
        <f t="shared" si="623"/>
        <v>Anteil KWK gemäß Anlage 3</v>
      </c>
      <c r="AX1404" s="215" t="str">
        <f t="shared" si="624"/>
        <v/>
      </c>
      <c r="AY1404" t="str">
        <f t="shared" si="625"/>
        <v/>
      </c>
      <c r="AZ1404" t="str">
        <f t="shared" si="626"/>
        <v/>
      </c>
    </row>
    <row r="1405" spans="1:52" ht="17.25" customHeight="1" x14ac:dyDescent="0.25">
      <c r="A1405" s="610" t="s">
        <v>975</v>
      </c>
      <c r="B1405" s="17" t="s">
        <v>5548</v>
      </c>
      <c r="C1405" s="17" t="s">
        <v>1296</v>
      </c>
      <c r="D1405" s="30" t="s">
        <v>6917</v>
      </c>
      <c r="E1405" s="17" t="s">
        <v>674</v>
      </c>
      <c r="F1405" s="454">
        <f t="shared" si="633"/>
        <v>17.670000000000002</v>
      </c>
      <c r="G1405" s="529">
        <v>17.670000000000002</v>
      </c>
      <c r="H1405" s="487">
        <f t="shared" si="634"/>
        <v>14.14</v>
      </c>
      <c r="I1405" s="706"/>
      <c r="J1405" s="669" t="s">
        <v>5805</v>
      </c>
      <c r="K1405" s="15"/>
      <c r="M1405" s="49">
        <f t="shared" si="635"/>
        <v>17.670000000000002</v>
      </c>
      <c r="N1405" s="41">
        <v>11.67</v>
      </c>
      <c r="O1405" s="54"/>
      <c r="P1405" s="15"/>
      <c r="Q1405" t="s">
        <v>1017</v>
      </c>
      <c r="S1405" t="s">
        <v>4180</v>
      </c>
      <c r="T1405" t="s">
        <v>4180</v>
      </c>
      <c r="U1405" s="55" t="s">
        <v>1017</v>
      </c>
      <c r="W1405" s="65"/>
      <c r="X1405" s="65"/>
      <c r="AA1405" s="65"/>
      <c r="AD1405" s="91"/>
      <c r="AE1405" s="124" t="s">
        <v>1017</v>
      </c>
      <c r="AF1405" s="65"/>
      <c r="AG1405" s="91"/>
      <c r="AH1405" s="212" t="str">
        <f t="shared" si="639"/>
        <v/>
      </c>
      <c r="AI1405" s="214" t="str">
        <f t="shared" si="627"/>
        <v/>
      </c>
      <c r="AJ1405" s="214" t="str">
        <f t="shared" si="628"/>
        <v/>
      </c>
      <c r="AK1405" s="214" t="str">
        <f t="shared" si="629"/>
        <v/>
      </c>
      <c r="AL1405" s="214" t="str">
        <f t="shared" si="630"/>
        <v/>
      </c>
      <c r="AM1405" s="214" t="str">
        <f t="shared" si="631"/>
        <v/>
      </c>
      <c r="AN1405" s="213" t="str">
        <f t="shared" si="614"/>
        <v/>
      </c>
      <c r="AO1405" s="213" t="str">
        <f t="shared" si="615"/>
        <v/>
      </c>
      <c r="AP1405" s="213" t="str">
        <f t="shared" si="616"/>
        <v/>
      </c>
      <c r="AQ1405" s="215" t="str">
        <f t="shared" si="617"/>
        <v/>
      </c>
      <c r="AR1405" s="216" t="str">
        <f t="shared" si="618"/>
        <v>BiK81bK09y--06</v>
      </c>
      <c r="AS1405" s="215" t="str">
        <f t="shared" si="619"/>
        <v/>
      </c>
      <c r="AT1405">
        <f t="shared" si="620"/>
        <v>14</v>
      </c>
      <c r="AU1405" s="216" t="str">
        <f t="shared" si="621"/>
        <v>0-0,15 MW, Bonusregeln b, y und K erstmals 2009</v>
      </c>
      <c r="AV1405" s="215" t="str">
        <f t="shared" si="622"/>
        <v/>
      </c>
      <c r="AW1405" s="216" t="str">
        <f t="shared" si="623"/>
        <v>Anteil KWK, erstmals 2009</v>
      </c>
      <c r="AX1405" s="215" t="str">
        <f t="shared" si="624"/>
        <v/>
      </c>
      <c r="AY1405" t="str">
        <f t="shared" si="625"/>
        <v/>
      </c>
      <c r="AZ1405" t="str">
        <f t="shared" si="626"/>
        <v/>
      </c>
    </row>
    <row r="1406" spans="1:52" x14ac:dyDescent="0.25">
      <c r="A1406" s="610" t="s">
        <v>4898</v>
      </c>
      <c r="B1406" s="17" t="s">
        <v>5548</v>
      </c>
      <c r="C1406" s="17" t="s">
        <v>1296</v>
      </c>
      <c r="D1406" s="30" t="s">
        <v>6918</v>
      </c>
      <c r="E1406" s="30" t="s">
        <v>3567</v>
      </c>
      <c r="F1406" s="454">
        <f t="shared" si="633"/>
        <v>17.64</v>
      </c>
      <c r="G1406" s="529">
        <v>17.64</v>
      </c>
      <c r="H1406" s="487">
        <f t="shared" si="634"/>
        <v>14.11</v>
      </c>
      <c r="I1406" s="706"/>
      <c r="J1406" s="669" t="s">
        <v>5805</v>
      </c>
      <c r="K1406" s="15"/>
      <c r="M1406" s="49">
        <f t="shared" si="635"/>
        <v>17.64</v>
      </c>
      <c r="N1406" s="41">
        <v>11.67</v>
      </c>
      <c r="O1406" s="54"/>
      <c r="P1406" s="15"/>
      <c r="R1406" t="s">
        <v>1017</v>
      </c>
      <c r="S1406" t="s">
        <v>4180</v>
      </c>
      <c r="T1406" t="s">
        <v>4180</v>
      </c>
      <c r="U1406" s="55" t="s">
        <v>1017</v>
      </c>
      <c r="V1406" s="92"/>
      <c r="W1406" s="65"/>
      <c r="X1406" s="65"/>
      <c r="AA1406" s="65"/>
      <c r="AD1406" s="91"/>
      <c r="AE1406" s="124" t="s">
        <v>1017</v>
      </c>
      <c r="AF1406" s="65"/>
      <c r="AG1406" s="91"/>
      <c r="AH1406" s="212" t="str">
        <f t="shared" si="639"/>
        <v>2010</v>
      </c>
      <c r="AI1406" s="214" t="str">
        <f t="shared" si="627"/>
        <v/>
      </c>
      <c r="AJ1406" s="214" t="str">
        <f t="shared" si="628"/>
        <v/>
      </c>
      <c r="AK1406" s="214" t="str">
        <f t="shared" si="629"/>
        <v/>
      </c>
      <c r="AL1406" s="214" t="str">
        <f t="shared" si="630"/>
        <v/>
      </c>
      <c r="AM1406" s="214" t="str">
        <f t="shared" si="631"/>
        <v/>
      </c>
      <c r="AN1406" s="213" t="str">
        <f t="shared" si="614"/>
        <v>2010</v>
      </c>
      <c r="AO1406" s="213" t="str">
        <f t="shared" si="615"/>
        <v>2010</v>
      </c>
      <c r="AP1406" s="213" t="str">
        <f t="shared" si="616"/>
        <v>2010</v>
      </c>
      <c r="AQ1406" s="215" t="str">
        <f t="shared" si="617"/>
        <v/>
      </c>
      <c r="AR1406" s="216" t="str">
        <f t="shared" si="618"/>
        <v>BiK81bK10y--06</v>
      </c>
      <c r="AS1406" s="215" t="str">
        <f t="shared" si="619"/>
        <v/>
      </c>
      <c r="AT1406">
        <f t="shared" si="620"/>
        <v>14</v>
      </c>
      <c r="AU1406" s="216" t="str">
        <f t="shared" si="621"/>
        <v>0-0,15 MW, Bonusregeln b, y und K erstmals 2010</v>
      </c>
      <c r="AV1406" s="215" t="str">
        <f t="shared" si="622"/>
        <v/>
      </c>
      <c r="AW1406" s="216" t="str">
        <f t="shared" si="623"/>
        <v>Anteil KWK, erstmals 2010</v>
      </c>
      <c r="AX1406" s="215" t="str">
        <f t="shared" si="624"/>
        <v/>
      </c>
      <c r="AY1406" t="str">
        <f t="shared" si="625"/>
        <v/>
      </c>
      <c r="AZ1406" t="str">
        <f t="shared" si="626"/>
        <v/>
      </c>
    </row>
    <row r="1407" spans="1:52" x14ac:dyDescent="0.25">
      <c r="A1407" s="610" t="s">
        <v>5367</v>
      </c>
      <c r="B1407" s="17" t="s">
        <v>5548</v>
      </c>
      <c r="C1407" s="17" t="s">
        <v>1296</v>
      </c>
      <c r="D1407" s="30" t="s">
        <v>6919</v>
      </c>
      <c r="E1407" s="30" t="s">
        <v>3055</v>
      </c>
      <c r="F1407" s="454">
        <f t="shared" si="633"/>
        <v>17.61</v>
      </c>
      <c r="G1407" s="529">
        <v>17.61</v>
      </c>
      <c r="H1407" s="487">
        <f t="shared" si="634"/>
        <v>14.09</v>
      </c>
      <c r="I1407" s="706"/>
      <c r="J1407" s="669" t="s">
        <v>5805</v>
      </c>
      <c r="K1407" s="15"/>
      <c r="M1407" s="49">
        <f t="shared" si="635"/>
        <v>17.61</v>
      </c>
      <c r="N1407" s="41">
        <v>11.67</v>
      </c>
      <c r="O1407" s="54"/>
      <c r="P1407" s="15"/>
      <c r="S1407" t="s">
        <v>1017</v>
      </c>
      <c r="T1407" t="s">
        <v>4180</v>
      </c>
      <c r="U1407" s="55" t="s">
        <v>1017</v>
      </c>
      <c r="W1407" s="65"/>
      <c r="X1407" s="65"/>
      <c r="AA1407" s="65"/>
      <c r="AD1407" s="91"/>
      <c r="AE1407" s="124" t="s">
        <v>1017</v>
      </c>
      <c r="AF1407" s="65"/>
      <c r="AG1407" s="91"/>
      <c r="AH1407" s="212" t="str">
        <f t="shared" si="639"/>
        <v>2011</v>
      </c>
      <c r="AI1407" s="214" t="str">
        <f t="shared" si="627"/>
        <v/>
      </c>
      <c r="AJ1407" s="214" t="str">
        <f t="shared" si="628"/>
        <v/>
      </c>
      <c r="AK1407" s="214" t="str">
        <f t="shared" si="629"/>
        <v/>
      </c>
      <c r="AL1407" s="214" t="str">
        <f t="shared" si="630"/>
        <v/>
      </c>
      <c r="AM1407" s="214" t="str">
        <f t="shared" si="631"/>
        <v/>
      </c>
      <c r="AN1407" s="213" t="str">
        <f t="shared" si="614"/>
        <v>2011</v>
      </c>
      <c r="AO1407" s="213" t="str">
        <f t="shared" si="615"/>
        <v>2011</v>
      </c>
      <c r="AP1407" s="213" t="str">
        <f t="shared" si="616"/>
        <v>2011</v>
      </c>
      <c r="AQ1407" s="215" t="str">
        <f t="shared" si="617"/>
        <v/>
      </c>
      <c r="AR1407" s="216" t="str">
        <f t="shared" si="618"/>
        <v>BiK81bK11y--06</v>
      </c>
      <c r="AS1407" s="215" t="str">
        <f t="shared" si="619"/>
        <v/>
      </c>
      <c r="AT1407">
        <f t="shared" si="620"/>
        <v>14</v>
      </c>
      <c r="AU1407" s="216" t="str">
        <f t="shared" si="621"/>
        <v>0-0,15 MW, Bonusregeln b, y und K erstmals 2011</v>
      </c>
      <c r="AV1407" s="215" t="str">
        <f t="shared" si="622"/>
        <v/>
      </c>
      <c r="AW1407" s="216" t="str">
        <f t="shared" si="623"/>
        <v>Anteil KWK, erstmals 2011</v>
      </c>
      <c r="AX1407" s="215" t="str">
        <f t="shared" si="624"/>
        <v/>
      </c>
      <c r="AY1407" t="str">
        <f t="shared" si="625"/>
        <v>x</v>
      </c>
      <c r="AZ1407" t="str">
        <f t="shared" si="626"/>
        <v/>
      </c>
    </row>
    <row r="1408" spans="1:52" x14ac:dyDescent="0.25">
      <c r="A1408" s="625" t="s">
        <v>3645</v>
      </c>
      <c r="B1408" s="221" t="s">
        <v>5548</v>
      </c>
      <c r="C1408" s="221" t="s">
        <v>1296</v>
      </c>
      <c r="D1408" s="219" t="s">
        <v>6920</v>
      </c>
      <c r="E1408" s="219" t="s">
        <v>1980</v>
      </c>
      <c r="F1408" s="455">
        <f t="shared" si="633"/>
        <v>17.579999999999998</v>
      </c>
      <c r="G1408" s="530">
        <v>17.579999999999998</v>
      </c>
      <c r="H1408" s="488">
        <f t="shared" si="634"/>
        <v>14.06</v>
      </c>
      <c r="I1408" s="707"/>
      <c r="J1408" s="669" t="s">
        <v>5805</v>
      </c>
      <c r="K1408" s="15"/>
      <c r="M1408" s="49">
        <f t="shared" si="635"/>
        <v>17.579999999999998</v>
      </c>
      <c r="N1408" s="41">
        <v>11.67</v>
      </c>
      <c r="O1408" s="54"/>
      <c r="P1408" s="15"/>
      <c r="S1408" t="s">
        <v>4180</v>
      </c>
      <c r="T1408" t="s">
        <v>1017</v>
      </c>
      <c r="U1408" s="55" t="s">
        <v>1017</v>
      </c>
      <c r="W1408" s="65"/>
      <c r="X1408" s="65"/>
      <c r="AA1408" s="65"/>
      <c r="AD1408" s="91"/>
      <c r="AE1408" s="124" t="s">
        <v>1017</v>
      </c>
      <c r="AF1408" s="65"/>
      <c r="AG1408" s="91"/>
      <c r="AH1408" s="217" t="s">
        <v>4179</v>
      </c>
      <c r="AI1408" s="214" t="str">
        <f t="shared" si="627"/>
        <v/>
      </c>
      <c r="AJ1408" s="214" t="str">
        <f t="shared" si="628"/>
        <v/>
      </c>
      <c r="AK1408" s="214" t="str">
        <f t="shared" si="629"/>
        <v/>
      </c>
      <c r="AL1408" s="214" t="str">
        <f t="shared" si="630"/>
        <v/>
      </c>
      <c r="AM1408" s="214" t="str">
        <f t="shared" si="631"/>
        <v/>
      </c>
      <c r="AN1408" s="213" t="str">
        <f t="shared" si="614"/>
        <v>2012</v>
      </c>
      <c r="AO1408" s="213" t="str">
        <f t="shared" si="615"/>
        <v>2012</v>
      </c>
      <c r="AP1408" s="213" t="str">
        <f t="shared" si="616"/>
        <v>2012</v>
      </c>
      <c r="AQ1408" s="215" t="str">
        <f t="shared" si="617"/>
        <v/>
      </c>
      <c r="AR1408" s="216" t="str">
        <f t="shared" si="618"/>
        <v>BiK81bK12y--06</v>
      </c>
      <c r="AS1408" s="215" t="str">
        <f t="shared" si="619"/>
        <v/>
      </c>
      <c r="AT1408">
        <f t="shared" si="620"/>
        <v>14</v>
      </c>
      <c r="AU1408" s="216" t="str">
        <f t="shared" si="621"/>
        <v>0-0,15 MW, Bonusregeln b, y und K erstmals 2012</v>
      </c>
      <c r="AV1408" s="215" t="str">
        <f t="shared" si="622"/>
        <v/>
      </c>
      <c r="AW1408" s="216" t="str">
        <f t="shared" si="623"/>
        <v>Anteil KWK, erstmals 2012</v>
      </c>
      <c r="AX1408" s="215" t="str">
        <f t="shared" si="624"/>
        <v/>
      </c>
      <c r="AY1408" t="str">
        <f t="shared" si="625"/>
        <v/>
      </c>
      <c r="AZ1408" t="str">
        <f t="shared" si="626"/>
        <v>x</v>
      </c>
    </row>
    <row r="1409" spans="1:52" x14ac:dyDescent="0.25">
      <c r="A1409" s="618" t="s">
        <v>880</v>
      </c>
      <c r="B1409" s="31" t="s">
        <v>5548</v>
      </c>
      <c r="C1409" s="31" t="s">
        <v>1296</v>
      </c>
      <c r="D1409" s="31" t="s">
        <v>6921</v>
      </c>
      <c r="E1409" s="31" t="s">
        <v>4810</v>
      </c>
      <c r="F1409" s="460">
        <f t="shared" si="633"/>
        <v>19.670000000000002</v>
      </c>
      <c r="G1409" s="536">
        <v>19.670000000000002</v>
      </c>
      <c r="H1409" s="494">
        <f t="shared" si="634"/>
        <v>15.74</v>
      </c>
      <c r="I1409" s="713"/>
      <c r="J1409" s="669" t="s">
        <v>5805</v>
      </c>
      <c r="K1409" s="15"/>
      <c r="M1409" s="49">
        <f t="shared" si="635"/>
        <v>19.670000000000002</v>
      </c>
      <c r="N1409" s="41">
        <v>11.67</v>
      </c>
      <c r="O1409" s="54"/>
      <c r="P1409" s="15"/>
      <c r="S1409" t="s">
        <v>4180</v>
      </c>
      <c r="T1409" t="s">
        <v>4180</v>
      </c>
      <c r="U1409" s="55"/>
      <c r="V1409" s="92" t="s">
        <v>1017</v>
      </c>
      <c r="W1409" s="65"/>
      <c r="X1409" s="65"/>
      <c r="AA1409" s="65"/>
      <c r="AD1409" s="91"/>
      <c r="AE1409" s="124" t="s">
        <v>1017</v>
      </c>
      <c r="AF1409" s="65"/>
      <c r="AG1409" s="91"/>
      <c r="AH1409" s="212" t="str">
        <f t="shared" ref="AH1409:AH1414" si="640">IF(ISERROR(SEARCH("K erstmals 201",D1409)),"",RIGHT(D1409,4))</f>
        <v/>
      </c>
      <c r="AI1409" s="214" t="str">
        <f t="shared" si="627"/>
        <v/>
      </c>
      <c r="AJ1409" s="214" t="str">
        <f t="shared" si="628"/>
        <v/>
      </c>
      <c r="AK1409" s="214" t="str">
        <f t="shared" si="629"/>
        <v/>
      </c>
      <c r="AL1409" s="214" t="str">
        <f t="shared" si="630"/>
        <v/>
      </c>
      <c r="AM1409" s="214" t="str">
        <f t="shared" si="631"/>
        <v/>
      </c>
      <c r="AN1409" s="213" t="str">
        <f t="shared" si="614"/>
        <v/>
      </c>
      <c r="AO1409" s="213" t="str">
        <f t="shared" si="615"/>
        <v/>
      </c>
      <c r="AP1409" s="213" t="str">
        <f t="shared" si="616"/>
        <v/>
      </c>
      <c r="AQ1409" s="215" t="str">
        <f t="shared" si="617"/>
        <v/>
      </c>
      <c r="AR1409" s="216" t="str">
        <f t="shared" si="618"/>
        <v>BiK81a1b----06</v>
      </c>
      <c r="AS1409" s="215" t="str">
        <f t="shared" si="619"/>
        <v/>
      </c>
      <c r="AT1409">
        <f t="shared" si="620"/>
        <v>14</v>
      </c>
      <c r="AU1409" s="216" t="str">
        <f t="shared" si="621"/>
        <v>0-0,15 MW, Bonusregeln a1 und b</v>
      </c>
      <c r="AV1409" s="215" t="str">
        <f t="shared" si="622"/>
        <v/>
      </c>
      <c r="AW1409" s="216" t="str">
        <f t="shared" si="623"/>
        <v>Anteil Nicht-KWK</v>
      </c>
      <c r="AX1409" s="215" t="str">
        <f t="shared" si="624"/>
        <v/>
      </c>
      <c r="AY1409" t="str">
        <f t="shared" si="625"/>
        <v/>
      </c>
      <c r="AZ1409" t="str">
        <f t="shared" si="626"/>
        <v/>
      </c>
    </row>
    <row r="1410" spans="1:52" x14ac:dyDescent="0.25">
      <c r="A1410" s="618" t="s">
        <v>881</v>
      </c>
      <c r="B1410" s="31" t="s">
        <v>5548</v>
      </c>
      <c r="C1410" s="31" t="s">
        <v>1296</v>
      </c>
      <c r="D1410" s="31" t="s">
        <v>6922</v>
      </c>
      <c r="E1410" s="31" t="s">
        <v>4812</v>
      </c>
      <c r="F1410" s="460">
        <f t="shared" si="633"/>
        <v>21.67</v>
      </c>
      <c r="G1410" s="536">
        <v>21.67</v>
      </c>
      <c r="H1410" s="494">
        <f t="shared" si="634"/>
        <v>17.34</v>
      </c>
      <c r="I1410" s="713"/>
      <c r="J1410" s="669" t="s">
        <v>5805</v>
      </c>
      <c r="K1410" s="15"/>
      <c r="M1410" s="49">
        <f t="shared" si="635"/>
        <v>21.67</v>
      </c>
      <c r="N1410" s="41">
        <v>11.67</v>
      </c>
      <c r="O1410" s="54" t="s">
        <v>1017</v>
      </c>
      <c r="P1410" s="191"/>
      <c r="Q1410" s="92"/>
      <c r="R1410" s="92"/>
      <c r="S1410" s="92" t="s">
        <v>4180</v>
      </c>
      <c r="T1410" s="92" t="s">
        <v>4180</v>
      </c>
      <c r="U1410" s="55"/>
      <c r="V1410" s="92" t="s">
        <v>1017</v>
      </c>
      <c r="W1410" s="91"/>
      <c r="X1410" s="91"/>
      <c r="Y1410" s="92"/>
      <c r="Z1410" s="92"/>
      <c r="AA1410" s="91"/>
      <c r="AB1410" s="92"/>
      <c r="AC1410" s="92"/>
      <c r="AD1410" s="91"/>
      <c r="AE1410" s="124" t="s">
        <v>1017</v>
      </c>
      <c r="AF1410" s="91"/>
      <c r="AG1410" s="91"/>
      <c r="AH1410" s="212" t="str">
        <f t="shared" si="640"/>
        <v/>
      </c>
      <c r="AI1410" s="214" t="str">
        <f t="shared" si="627"/>
        <v/>
      </c>
      <c r="AJ1410" s="214" t="str">
        <f t="shared" si="628"/>
        <v/>
      </c>
      <c r="AK1410" s="214" t="str">
        <f t="shared" si="629"/>
        <v/>
      </c>
      <c r="AL1410" s="214" t="str">
        <f t="shared" si="630"/>
        <v/>
      </c>
      <c r="AM1410" s="214" t="str">
        <f t="shared" si="631"/>
        <v/>
      </c>
      <c r="AN1410" s="213" t="str">
        <f t="shared" si="614"/>
        <v/>
      </c>
      <c r="AO1410" s="213" t="str">
        <f t="shared" si="615"/>
        <v/>
      </c>
      <c r="AP1410" s="213" t="str">
        <f t="shared" si="616"/>
        <v/>
      </c>
      <c r="AQ1410" s="215" t="str">
        <f t="shared" si="617"/>
        <v/>
      </c>
      <c r="AR1410" s="216" t="str">
        <f t="shared" si="618"/>
        <v>BiK81a1bKWK-06</v>
      </c>
      <c r="AS1410" s="215" t="str">
        <f t="shared" si="619"/>
        <v/>
      </c>
      <c r="AT1410">
        <f t="shared" si="620"/>
        <v>14</v>
      </c>
      <c r="AU1410" s="216" t="str">
        <f t="shared" si="621"/>
        <v>0-0,15 MW, Bonusregeln a1, b und KWK</v>
      </c>
      <c r="AV1410" s="215" t="str">
        <f t="shared" si="622"/>
        <v/>
      </c>
      <c r="AW1410" s="216" t="str">
        <f t="shared" si="623"/>
        <v>Anteil KWK</v>
      </c>
      <c r="AX1410" s="215" t="str">
        <f t="shared" si="624"/>
        <v/>
      </c>
      <c r="AY1410" t="str">
        <f t="shared" si="625"/>
        <v/>
      </c>
      <c r="AZ1410" t="str">
        <f t="shared" si="626"/>
        <v/>
      </c>
    </row>
    <row r="1411" spans="1:52" x14ac:dyDescent="0.25">
      <c r="A1411" s="610" t="s">
        <v>4353</v>
      </c>
      <c r="B1411" s="17" t="s">
        <v>5548</v>
      </c>
      <c r="C1411" s="30" t="s">
        <v>1296</v>
      </c>
      <c r="D1411" s="30" t="s">
        <v>6923</v>
      </c>
      <c r="E1411" s="30" t="s">
        <v>4331</v>
      </c>
      <c r="F1411" s="454">
        <f t="shared" si="633"/>
        <v>22.67</v>
      </c>
      <c r="G1411" s="529">
        <v>22.67</v>
      </c>
      <c r="H1411" s="487">
        <f t="shared" si="634"/>
        <v>18.14</v>
      </c>
      <c r="I1411" s="706"/>
      <c r="J1411" s="669" t="s">
        <v>5805</v>
      </c>
      <c r="K1411" s="15"/>
      <c r="M1411" s="49">
        <f t="shared" si="635"/>
        <v>22.67</v>
      </c>
      <c r="N1411" s="41">
        <v>11.67</v>
      </c>
      <c r="O1411" s="54"/>
      <c r="P1411" t="s">
        <v>1017</v>
      </c>
      <c r="S1411" t="s">
        <v>4180</v>
      </c>
      <c r="T1411" t="s">
        <v>4180</v>
      </c>
      <c r="U1411" s="55"/>
      <c r="V1411" t="s">
        <v>1017</v>
      </c>
      <c r="W1411" s="65"/>
      <c r="X1411" s="65"/>
      <c r="AA1411" s="65"/>
      <c r="AD1411" s="91"/>
      <c r="AE1411" s="124" t="s">
        <v>1017</v>
      </c>
      <c r="AF1411" s="65"/>
      <c r="AG1411" s="91"/>
      <c r="AH1411" s="212" t="str">
        <f t="shared" si="640"/>
        <v/>
      </c>
      <c r="AI1411" s="214" t="str">
        <f t="shared" si="627"/>
        <v/>
      </c>
      <c r="AJ1411" s="214" t="str">
        <f t="shared" si="628"/>
        <v/>
      </c>
      <c r="AK1411" s="214" t="str">
        <f t="shared" si="629"/>
        <v/>
      </c>
      <c r="AL1411" s="214" t="str">
        <f t="shared" si="630"/>
        <v/>
      </c>
      <c r="AM1411" s="214" t="str">
        <f t="shared" si="631"/>
        <v/>
      </c>
      <c r="AN1411" s="213" t="str">
        <f t="shared" si="614"/>
        <v/>
      </c>
      <c r="AO1411" s="213" t="str">
        <f t="shared" si="615"/>
        <v/>
      </c>
      <c r="AP1411" s="213" t="str">
        <f t="shared" si="616"/>
        <v/>
      </c>
      <c r="AQ1411" s="215" t="str">
        <f t="shared" si="617"/>
        <v/>
      </c>
      <c r="AR1411" s="216" t="str">
        <f t="shared" si="618"/>
        <v>BiK81a1bKA3-06</v>
      </c>
      <c r="AS1411" s="215" t="str">
        <f t="shared" si="619"/>
        <v/>
      </c>
      <c r="AT1411">
        <f t="shared" si="620"/>
        <v>14</v>
      </c>
      <c r="AU1411" s="216" t="str">
        <f t="shared" si="621"/>
        <v>0-0,15 MW, Bonusregeln a1, b und K wenn Anlage 3 erfüllt</v>
      </c>
      <c r="AV1411" s="215" t="str">
        <f t="shared" si="622"/>
        <v/>
      </c>
      <c r="AW1411" s="216" t="str">
        <f t="shared" si="623"/>
        <v>Anteil KWK gemäß Anlage 3</v>
      </c>
      <c r="AX1411" s="215" t="str">
        <f t="shared" si="624"/>
        <v/>
      </c>
      <c r="AY1411" t="str">
        <f t="shared" si="625"/>
        <v/>
      </c>
      <c r="AZ1411" t="str">
        <f t="shared" si="626"/>
        <v/>
      </c>
    </row>
    <row r="1412" spans="1:52" x14ac:dyDescent="0.25">
      <c r="A1412" s="610" t="s">
        <v>5552</v>
      </c>
      <c r="B1412" s="17" t="s">
        <v>5548</v>
      </c>
      <c r="C1412" s="17" t="s">
        <v>1296</v>
      </c>
      <c r="D1412" s="30" t="s">
        <v>6924</v>
      </c>
      <c r="E1412" s="17" t="s">
        <v>674</v>
      </c>
      <c r="F1412" s="454">
        <f t="shared" si="633"/>
        <v>22.67</v>
      </c>
      <c r="G1412" s="529">
        <v>22.67</v>
      </c>
      <c r="H1412" s="487">
        <f t="shared" si="634"/>
        <v>18.14</v>
      </c>
      <c r="I1412" s="706"/>
      <c r="J1412" s="669" t="s">
        <v>5805</v>
      </c>
      <c r="K1412" s="15"/>
      <c r="M1412" s="49">
        <f t="shared" si="635"/>
        <v>22.67</v>
      </c>
      <c r="N1412" s="41">
        <v>11.67</v>
      </c>
      <c r="O1412" s="54"/>
      <c r="P1412" s="15"/>
      <c r="Q1412" t="s">
        <v>1017</v>
      </c>
      <c r="S1412" t="s">
        <v>4180</v>
      </c>
      <c r="T1412" t="s">
        <v>4180</v>
      </c>
      <c r="U1412" s="55"/>
      <c r="V1412" t="s">
        <v>1017</v>
      </c>
      <c r="W1412" s="65"/>
      <c r="X1412" s="65"/>
      <c r="AA1412" s="65"/>
      <c r="AD1412" s="91"/>
      <c r="AE1412" s="124" t="s">
        <v>1017</v>
      </c>
      <c r="AF1412" s="65"/>
      <c r="AG1412" s="91"/>
      <c r="AH1412" s="212" t="str">
        <f t="shared" si="640"/>
        <v/>
      </c>
      <c r="AI1412" s="214" t="str">
        <f t="shared" si="627"/>
        <v/>
      </c>
      <c r="AJ1412" s="214" t="str">
        <f t="shared" si="628"/>
        <v/>
      </c>
      <c r="AK1412" s="214" t="str">
        <f t="shared" si="629"/>
        <v/>
      </c>
      <c r="AL1412" s="214" t="str">
        <f t="shared" si="630"/>
        <v/>
      </c>
      <c r="AM1412" s="214" t="str">
        <f t="shared" si="631"/>
        <v/>
      </c>
      <c r="AN1412" s="213" t="str">
        <f t="shared" si="614"/>
        <v/>
      </c>
      <c r="AO1412" s="213" t="str">
        <f t="shared" si="615"/>
        <v/>
      </c>
      <c r="AP1412" s="213" t="str">
        <f t="shared" si="616"/>
        <v/>
      </c>
      <c r="AQ1412" s="215" t="str">
        <f t="shared" si="617"/>
        <v/>
      </c>
      <c r="AR1412" s="216" t="str">
        <f t="shared" si="618"/>
        <v>BiK81a1bK09-06</v>
      </c>
      <c r="AS1412" s="215" t="str">
        <f t="shared" si="619"/>
        <v/>
      </c>
      <c r="AT1412">
        <f t="shared" si="620"/>
        <v>14</v>
      </c>
      <c r="AU1412" s="216" t="str">
        <f t="shared" si="621"/>
        <v>0-0,15 MW, Bonusregeln a1, b und K erstmals 2009</v>
      </c>
      <c r="AV1412" s="215" t="str">
        <f t="shared" si="622"/>
        <v/>
      </c>
      <c r="AW1412" s="216" t="str">
        <f t="shared" si="623"/>
        <v>Anteil KWK, erstmals 2009</v>
      </c>
      <c r="AX1412" s="215" t="str">
        <f t="shared" si="624"/>
        <v/>
      </c>
      <c r="AY1412" t="str">
        <f t="shared" si="625"/>
        <v/>
      </c>
      <c r="AZ1412" t="str">
        <f t="shared" si="626"/>
        <v/>
      </c>
    </row>
    <row r="1413" spans="1:52" x14ac:dyDescent="0.25">
      <c r="A1413" s="610" t="s">
        <v>4899</v>
      </c>
      <c r="B1413" s="17" t="s">
        <v>5548</v>
      </c>
      <c r="C1413" s="17" t="s">
        <v>1296</v>
      </c>
      <c r="D1413" s="30" t="s">
        <v>6925</v>
      </c>
      <c r="E1413" s="30" t="s">
        <v>3567</v>
      </c>
      <c r="F1413" s="454">
        <f t="shared" si="633"/>
        <v>22.64</v>
      </c>
      <c r="G1413" s="529">
        <v>22.64</v>
      </c>
      <c r="H1413" s="487">
        <f t="shared" si="634"/>
        <v>18.11</v>
      </c>
      <c r="I1413" s="706"/>
      <c r="J1413" s="669" t="s">
        <v>5805</v>
      </c>
      <c r="K1413" s="15"/>
      <c r="M1413" s="49">
        <f t="shared" si="635"/>
        <v>22.64</v>
      </c>
      <c r="N1413" s="41">
        <v>11.67</v>
      </c>
      <c r="O1413" s="54"/>
      <c r="P1413" s="15"/>
      <c r="R1413" t="s">
        <v>1017</v>
      </c>
      <c r="S1413" t="s">
        <v>4180</v>
      </c>
      <c r="T1413" t="s">
        <v>4180</v>
      </c>
      <c r="U1413" s="55"/>
      <c r="V1413" t="s">
        <v>1017</v>
      </c>
      <c r="W1413" s="65"/>
      <c r="X1413" s="65"/>
      <c r="AA1413" s="65"/>
      <c r="AD1413" s="91"/>
      <c r="AE1413" s="124" t="s">
        <v>1017</v>
      </c>
      <c r="AF1413" s="65"/>
      <c r="AG1413" s="91"/>
      <c r="AH1413" s="212" t="str">
        <f t="shared" si="640"/>
        <v>2010</v>
      </c>
      <c r="AI1413" s="214" t="str">
        <f t="shared" si="627"/>
        <v/>
      </c>
      <c r="AJ1413" s="214" t="str">
        <f t="shared" si="628"/>
        <v/>
      </c>
      <c r="AK1413" s="214" t="str">
        <f t="shared" si="629"/>
        <v/>
      </c>
      <c r="AL1413" s="214" t="str">
        <f t="shared" si="630"/>
        <v/>
      </c>
      <c r="AM1413" s="214" t="str">
        <f t="shared" si="631"/>
        <v/>
      </c>
      <c r="AN1413" s="213" t="str">
        <f t="shared" si="614"/>
        <v>2010</v>
      </c>
      <c r="AO1413" s="213" t="str">
        <f t="shared" si="615"/>
        <v>2010</v>
      </c>
      <c r="AP1413" s="213" t="str">
        <f t="shared" si="616"/>
        <v>2010</v>
      </c>
      <c r="AQ1413" s="215" t="str">
        <f t="shared" si="617"/>
        <v/>
      </c>
      <c r="AR1413" s="216" t="str">
        <f t="shared" si="618"/>
        <v>BiK81a1bK10-06</v>
      </c>
      <c r="AS1413" s="215" t="str">
        <f t="shared" si="619"/>
        <v/>
      </c>
      <c r="AT1413">
        <f t="shared" si="620"/>
        <v>14</v>
      </c>
      <c r="AU1413" s="216" t="str">
        <f t="shared" si="621"/>
        <v>0-0,15 MW, Bonusregeln a1, b und K erstmals 2010</v>
      </c>
      <c r="AV1413" s="215" t="str">
        <f t="shared" si="622"/>
        <v/>
      </c>
      <c r="AW1413" s="216" t="str">
        <f t="shared" si="623"/>
        <v>Anteil KWK, erstmals 2010</v>
      </c>
      <c r="AX1413" s="215" t="str">
        <f t="shared" si="624"/>
        <v/>
      </c>
      <c r="AY1413" t="str">
        <f t="shared" si="625"/>
        <v/>
      </c>
      <c r="AZ1413" t="str">
        <f t="shared" si="626"/>
        <v/>
      </c>
    </row>
    <row r="1414" spans="1:52" x14ac:dyDescent="0.25">
      <c r="A1414" s="610" t="s">
        <v>5368</v>
      </c>
      <c r="B1414" s="17" t="s">
        <v>5548</v>
      </c>
      <c r="C1414" s="17" t="s">
        <v>1296</v>
      </c>
      <c r="D1414" s="30" t="s">
        <v>6926</v>
      </c>
      <c r="E1414" s="30" t="s">
        <v>3055</v>
      </c>
      <c r="F1414" s="454">
        <f t="shared" si="633"/>
        <v>22.61</v>
      </c>
      <c r="G1414" s="529">
        <v>22.61</v>
      </c>
      <c r="H1414" s="487">
        <f t="shared" si="634"/>
        <v>18.09</v>
      </c>
      <c r="I1414" s="706"/>
      <c r="J1414" s="669" t="s">
        <v>5805</v>
      </c>
      <c r="K1414" s="15"/>
      <c r="M1414" s="49">
        <f t="shared" si="635"/>
        <v>22.61</v>
      </c>
      <c r="N1414" s="41">
        <v>11.67</v>
      </c>
      <c r="O1414" s="54"/>
      <c r="P1414" s="15"/>
      <c r="S1414" t="s">
        <v>1017</v>
      </c>
      <c r="T1414" t="s">
        <v>4180</v>
      </c>
      <c r="U1414" s="55"/>
      <c r="V1414" t="s">
        <v>1017</v>
      </c>
      <c r="W1414" s="65"/>
      <c r="X1414" s="65"/>
      <c r="AA1414" s="65"/>
      <c r="AD1414" s="91"/>
      <c r="AE1414" s="124" t="s">
        <v>1017</v>
      </c>
      <c r="AF1414" s="65"/>
      <c r="AG1414" s="91"/>
      <c r="AH1414" s="212" t="str">
        <f t="shared" si="640"/>
        <v>2011</v>
      </c>
      <c r="AI1414" s="214" t="str">
        <f t="shared" si="627"/>
        <v/>
      </c>
      <c r="AJ1414" s="214" t="str">
        <f t="shared" si="628"/>
        <v/>
      </c>
      <c r="AK1414" s="214" t="str">
        <f t="shared" si="629"/>
        <v/>
      </c>
      <c r="AL1414" s="214" t="str">
        <f t="shared" si="630"/>
        <v/>
      </c>
      <c r="AM1414" s="214" t="str">
        <f t="shared" si="631"/>
        <v/>
      </c>
      <c r="AN1414" s="213" t="str">
        <f t="shared" si="614"/>
        <v>2011</v>
      </c>
      <c r="AO1414" s="213" t="str">
        <f t="shared" si="615"/>
        <v>2011</v>
      </c>
      <c r="AP1414" s="213" t="str">
        <f t="shared" si="616"/>
        <v>2011</v>
      </c>
      <c r="AQ1414" s="215" t="str">
        <f t="shared" si="617"/>
        <v/>
      </c>
      <c r="AR1414" s="216" t="str">
        <f t="shared" si="618"/>
        <v>BiK81a1bK11-06</v>
      </c>
      <c r="AS1414" s="215" t="str">
        <f t="shared" si="619"/>
        <v/>
      </c>
      <c r="AT1414">
        <f t="shared" si="620"/>
        <v>14</v>
      </c>
      <c r="AU1414" s="216" t="str">
        <f t="shared" si="621"/>
        <v>0-0,15 MW, Bonusregeln a1, b und K erstmals 2011</v>
      </c>
      <c r="AV1414" s="215" t="str">
        <f t="shared" si="622"/>
        <v/>
      </c>
      <c r="AW1414" s="216" t="str">
        <f t="shared" si="623"/>
        <v>Anteil KWK, erstmals 2011</v>
      </c>
      <c r="AX1414" s="215" t="str">
        <f t="shared" si="624"/>
        <v/>
      </c>
      <c r="AY1414" t="str">
        <f t="shared" si="625"/>
        <v>x</v>
      </c>
      <c r="AZ1414" t="str">
        <f t="shared" si="626"/>
        <v/>
      </c>
    </row>
    <row r="1415" spans="1:52" x14ac:dyDescent="0.25">
      <c r="A1415" s="625" t="s">
        <v>3646</v>
      </c>
      <c r="B1415" s="221" t="s">
        <v>5548</v>
      </c>
      <c r="C1415" s="221" t="s">
        <v>1296</v>
      </c>
      <c r="D1415" s="219" t="s">
        <v>6927</v>
      </c>
      <c r="E1415" s="219" t="s">
        <v>1980</v>
      </c>
      <c r="F1415" s="455">
        <f t="shared" si="633"/>
        <v>22.58</v>
      </c>
      <c r="G1415" s="530">
        <v>22.58</v>
      </c>
      <c r="H1415" s="488">
        <f t="shared" si="634"/>
        <v>18.059999999999999</v>
      </c>
      <c r="I1415" s="707"/>
      <c r="J1415" s="669" t="s">
        <v>5805</v>
      </c>
      <c r="K1415" s="15"/>
      <c r="M1415" s="49">
        <f t="shared" si="635"/>
        <v>22.58</v>
      </c>
      <c r="N1415" s="41">
        <v>11.67</v>
      </c>
      <c r="O1415" s="54"/>
      <c r="P1415" s="15"/>
      <c r="S1415" t="s">
        <v>4180</v>
      </c>
      <c r="T1415" t="s">
        <v>1017</v>
      </c>
      <c r="U1415" s="55"/>
      <c r="V1415" t="s">
        <v>1017</v>
      </c>
      <c r="W1415" s="65"/>
      <c r="X1415" s="65"/>
      <c r="AA1415" s="65"/>
      <c r="AD1415" s="91"/>
      <c r="AE1415" s="124" t="s">
        <v>1017</v>
      </c>
      <c r="AF1415" s="65"/>
      <c r="AG1415" s="91"/>
      <c r="AH1415" s="217" t="s">
        <v>4179</v>
      </c>
      <c r="AI1415" s="214" t="str">
        <f t="shared" si="627"/>
        <v/>
      </c>
      <c r="AJ1415" s="214" t="str">
        <f t="shared" si="628"/>
        <v/>
      </c>
      <c r="AK1415" s="214" t="str">
        <f t="shared" si="629"/>
        <v/>
      </c>
      <c r="AL1415" s="214" t="str">
        <f t="shared" si="630"/>
        <v/>
      </c>
      <c r="AM1415" s="214" t="str">
        <f t="shared" si="631"/>
        <v/>
      </c>
      <c r="AN1415" s="213" t="str">
        <f t="shared" si="614"/>
        <v>2012</v>
      </c>
      <c r="AO1415" s="213" t="str">
        <f t="shared" si="615"/>
        <v>2012</v>
      </c>
      <c r="AP1415" s="213" t="str">
        <f t="shared" si="616"/>
        <v>2012</v>
      </c>
      <c r="AQ1415" s="215" t="str">
        <f t="shared" si="617"/>
        <v/>
      </c>
      <c r="AR1415" s="216" t="str">
        <f t="shared" si="618"/>
        <v>BiK81a1bK12-06</v>
      </c>
      <c r="AS1415" s="215" t="str">
        <f t="shared" si="619"/>
        <v/>
      </c>
      <c r="AT1415">
        <f t="shared" si="620"/>
        <v>14</v>
      </c>
      <c r="AU1415" s="216" t="str">
        <f t="shared" si="621"/>
        <v>0-0,15 MW, Bonusregeln a1, b und K erstmals 2012</v>
      </c>
      <c r="AV1415" s="215" t="str">
        <f t="shared" si="622"/>
        <v/>
      </c>
      <c r="AW1415" s="216" t="str">
        <f t="shared" si="623"/>
        <v>Anteil KWK, erstmals 2012</v>
      </c>
      <c r="AX1415" s="215" t="str">
        <f t="shared" si="624"/>
        <v/>
      </c>
      <c r="AY1415" t="str">
        <f t="shared" si="625"/>
        <v/>
      </c>
      <c r="AZ1415" t="str">
        <f t="shared" si="626"/>
        <v>x</v>
      </c>
    </row>
    <row r="1416" spans="1:52" x14ac:dyDescent="0.25">
      <c r="A1416" s="610" t="s">
        <v>976</v>
      </c>
      <c r="B1416" s="17" t="s">
        <v>5548</v>
      </c>
      <c r="C1416" s="17" t="s">
        <v>1296</v>
      </c>
      <c r="D1416" s="30" t="s">
        <v>6928</v>
      </c>
      <c r="E1416" s="17" t="s">
        <v>4810</v>
      </c>
      <c r="F1416" s="454">
        <f t="shared" si="633"/>
        <v>20.67</v>
      </c>
      <c r="G1416" s="529">
        <v>20.67</v>
      </c>
      <c r="H1416" s="487">
        <f t="shared" si="634"/>
        <v>16.54</v>
      </c>
      <c r="I1416" s="706"/>
      <c r="J1416" s="669" t="s">
        <v>5805</v>
      </c>
      <c r="K1416" s="15"/>
      <c r="M1416" s="49">
        <f t="shared" si="635"/>
        <v>20.67</v>
      </c>
      <c r="N1416" s="41">
        <v>11.67</v>
      </c>
      <c r="O1416" s="54"/>
      <c r="P1416" s="15"/>
      <c r="S1416" t="s">
        <v>4180</v>
      </c>
      <c r="T1416" t="s">
        <v>4180</v>
      </c>
      <c r="U1416" s="55" t="s">
        <v>1017</v>
      </c>
      <c r="V1416" t="s">
        <v>1017</v>
      </c>
      <c r="W1416" s="65"/>
      <c r="X1416" s="65"/>
      <c r="AA1416" s="65"/>
      <c r="AD1416" s="91"/>
      <c r="AE1416" s="124" t="s">
        <v>1017</v>
      </c>
      <c r="AF1416" s="65"/>
      <c r="AG1416" s="91"/>
      <c r="AH1416" s="212" t="str">
        <f t="shared" ref="AH1416:AH1421" si="641">IF(ISERROR(SEARCH("K erstmals 201",D1416)),"",RIGHT(D1416,4))</f>
        <v/>
      </c>
      <c r="AI1416" s="214" t="str">
        <f t="shared" si="627"/>
        <v/>
      </c>
      <c r="AJ1416" s="214" t="str">
        <f t="shared" si="628"/>
        <v/>
      </c>
      <c r="AK1416" s="214" t="str">
        <f t="shared" si="629"/>
        <v/>
      </c>
      <c r="AL1416" s="214" t="str">
        <f t="shared" si="630"/>
        <v/>
      </c>
      <c r="AM1416" s="214" t="str">
        <f t="shared" si="631"/>
        <v/>
      </c>
      <c r="AN1416" s="213" t="str">
        <f t="shared" si="614"/>
        <v/>
      </c>
      <c r="AO1416" s="213" t="str">
        <f t="shared" si="615"/>
        <v/>
      </c>
      <c r="AP1416" s="213" t="str">
        <f t="shared" si="616"/>
        <v/>
      </c>
      <c r="AQ1416" s="215" t="str">
        <f t="shared" si="617"/>
        <v/>
      </c>
      <c r="AR1416" s="216" t="str">
        <f t="shared" si="618"/>
        <v>BiK81a1by---06</v>
      </c>
      <c r="AS1416" s="215" t="str">
        <f t="shared" si="619"/>
        <v/>
      </c>
      <c r="AT1416">
        <f t="shared" si="620"/>
        <v>14</v>
      </c>
      <c r="AU1416" s="216" t="str">
        <f t="shared" si="621"/>
        <v>0-0,15 MW, Bonusregeln a1, b, y</v>
      </c>
      <c r="AV1416" s="215" t="str">
        <f t="shared" si="622"/>
        <v/>
      </c>
      <c r="AW1416" s="216" t="str">
        <f t="shared" si="623"/>
        <v>Anteil Nicht-KWK</v>
      </c>
      <c r="AX1416" s="215" t="str">
        <f t="shared" si="624"/>
        <v/>
      </c>
      <c r="AY1416" t="str">
        <f t="shared" si="625"/>
        <v/>
      </c>
      <c r="AZ1416" t="str">
        <f t="shared" si="626"/>
        <v/>
      </c>
    </row>
    <row r="1417" spans="1:52" x14ac:dyDescent="0.25">
      <c r="A1417" s="610" t="s">
        <v>977</v>
      </c>
      <c r="B1417" s="17" t="s">
        <v>5548</v>
      </c>
      <c r="C1417" s="17" t="s">
        <v>1296</v>
      </c>
      <c r="D1417" s="17" t="s">
        <v>6929</v>
      </c>
      <c r="E1417" s="17" t="s">
        <v>4812</v>
      </c>
      <c r="F1417" s="454">
        <f t="shared" si="633"/>
        <v>22.67</v>
      </c>
      <c r="G1417" s="529">
        <v>22.67</v>
      </c>
      <c r="H1417" s="487">
        <f t="shared" si="634"/>
        <v>18.14</v>
      </c>
      <c r="I1417" s="706"/>
      <c r="J1417" s="669" t="s">
        <v>5805</v>
      </c>
      <c r="K1417" s="15"/>
      <c r="M1417" s="49">
        <f t="shared" si="635"/>
        <v>22.67</v>
      </c>
      <c r="N1417" s="41">
        <v>11.67</v>
      </c>
      <c r="O1417" s="54" t="s">
        <v>1017</v>
      </c>
      <c r="P1417" s="15"/>
      <c r="S1417" t="s">
        <v>4180</v>
      </c>
      <c r="T1417" t="s">
        <v>4180</v>
      </c>
      <c r="U1417" s="55" t="s">
        <v>1017</v>
      </c>
      <c r="V1417" t="s">
        <v>1017</v>
      </c>
      <c r="W1417" s="65"/>
      <c r="X1417" s="65"/>
      <c r="AA1417" s="65"/>
      <c r="AD1417" s="91"/>
      <c r="AE1417" s="124" t="s">
        <v>1017</v>
      </c>
      <c r="AF1417" s="65"/>
      <c r="AG1417" s="91"/>
      <c r="AH1417" s="212" t="str">
        <f t="shared" si="641"/>
        <v/>
      </c>
      <c r="AI1417" s="214" t="str">
        <f t="shared" si="627"/>
        <v/>
      </c>
      <c r="AJ1417" s="214" t="str">
        <f t="shared" si="628"/>
        <v/>
      </c>
      <c r="AK1417" s="214" t="str">
        <f t="shared" si="629"/>
        <v/>
      </c>
      <c r="AL1417" s="214" t="str">
        <f t="shared" si="630"/>
        <v/>
      </c>
      <c r="AM1417" s="214" t="str">
        <f t="shared" si="631"/>
        <v/>
      </c>
      <c r="AN1417" s="213" t="str">
        <f t="shared" si="614"/>
        <v/>
      </c>
      <c r="AO1417" s="213" t="str">
        <f t="shared" si="615"/>
        <v/>
      </c>
      <c r="AP1417" s="213" t="str">
        <f t="shared" si="616"/>
        <v/>
      </c>
      <c r="AQ1417" s="215" t="str">
        <f t="shared" si="617"/>
        <v/>
      </c>
      <c r="AR1417" s="216" t="str">
        <f t="shared" si="618"/>
        <v>BiK81a1bKWKy06</v>
      </c>
      <c r="AS1417" s="215" t="str">
        <f t="shared" si="619"/>
        <v/>
      </c>
      <c r="AT1417">
        <f t="shared" si="620"/>
        <v>14</v>
      </c>
      <c r="AU1417" s="216" t="str">
        <f t="shared" si="621"/>
        <v>0-0,15 MW, Bonusregeln a1, b, y und KWK</v>
      </c>
      <c r="AV1417" s="215" t="str">
        <f t="shared" si="622"/>
        <v/>
      </c>
      <c r="AW1417" s="216" t="str">
        <f t="shared" si="623"/>
        <v>Anteil KWK</v>
      </c>
      <c r="AX1417" s="215" t="str">
        <f t="shared" si="624"/>
        <v/>
      </c>
      <c r="AY1417" t="str">
        <f t="shared" si="625"/>
        <v/>
      </c>
      <c r="AZ1417" t="str">
        <f t="shared" si="626"/>
        <v/>
      </c>
    </row>
    <row r="1418" spans="1:52" x14ac:dyDescent="0.25">
      <c r="A1418" s="610" t="s">
        <v>978</v>
      </c>
      <c r="B1418" s="17" t="s">
        <v>5548</v>
      </c>
      <c r="C1418" s="30" t="s">
        <v>1296</v>
      </c>
      <c r="D1418" s="30" t="s">
        <v>6930</v>
      </c>
      <c r="E1418" s="30" t="s">
        <v>4331</v>
      </c>
      <c r="F1418" s="454">
        <f t="shared" si="633"/>
        <v>23.67</v>
      </c>
      <c r="G1418" s="529">
        <v>23.67</v>
      </c>
      <c r="H1418" s="487">
        <f t="shared" si="634"/>
        <v>18.940000000000001</v>
      </c>
      <c r="I1418" s="706"/>
      <c r="J1418" s="669" t="s">
        <v>5805</v>
      </c>
      <c r="K1418" s="15"/>
      <c r="M1418" s="49">
        <f t="shared" si="635"/>
        <v>23.67</v>
      </c>
      <c r="N1418" s="41">
        <v>11.67</v>
      </c>
      <c r="O1418" s="54"/>
      <c r="P1418" t="s">
        <v>1017</v>
      </c>
      <c r="S1418" t="s">
        <v>4180</v>
      </c>
      <c r="T1418" t="s">
        <v>4180</v>
      </c>
      <c r="U1418" s="55" t="s">
        <v>1017</v>
      </c>
      <c r="V1418" t="s">
        <v>1017</v>
      </c>
      <c r="W1418" s="65"/>
      <c r="X1418" s="65"/>
      <c r="AA1418" s="65"/>
      <c r="AD1418" s="91"/>
      <c r="AE1418" s="124" t="s">
        <v>1017</v>
      </c>
      <c r="AF1418" s="65"/>
      <c r="AG1418" s="91"/>
      <c r="AH1418" s="212" t="str">
        <f t="shared" si="641"/>
        <v/>
      </c>
      <c r="AI1418" s="214" t="str">
        <f t="shared" si="627"/>
        <v/>
      </c>
      <c r="AJ1418" s="214" t="str">
        <f t="shared" si="628"/>
        <v/>
      </c>
      <c r="AK1418" s="214" t="str">
        <f t="shared" si="629"/>
        <v/>
      </c>
      <c r="AL1418" s="214" t="str">
        <f t="shared" si="630"/>
        <v/>
      </c>
      <c r="AM1418" s="214" t="str">
        <f t="shared" si="631"/>
        <v/>
      </c>
      <c r="AN1418" s="213" t="str">
        <f t="shared" si="614"/>
        <v/>
      </c>
      <c r="AO1418" s="213" t="str">
        <f t="shared" si="615"/>
        <v/>
      </c>
      <c r="AP1418" s="213" t="str">
        <f t="shared" si="616"/>
        <v/>
      </c>
      <c r="AQ1418" s="215" t="str">
        <f t="shared" si="617"/>
        <v/>
      </c>
      <c r="AR1418" s="216" t="str">
        <f t="shared" si="618"/>
        <v>BiK81a1bKA3y06</v>
      </c>
      <c r="AS1418" s="215" t="str">
        <f t="shared" si="619"/>
        <v/>
      </c>
      <c r="AT1418">
        <f t="shared" si="620"/>
        <v>14</v>
      </c>
      <c r="AU1418" s="216" t="str">
        <f t="shared" si="621"/>
        <v>0-0,15 MW, Bonusregeln a1, b, y und K wenn Anlage 3 erfüllt</v>
      </c>
      <c r="AV1418" s="215" t="str">
        <f t="shared" si="622"/>
        <v/>
      </c>
      <c r="AW1418" s="216" t="str">
        <f t="shared" si="623"/>
        <v>Anteil KWK gemäß Anlage 3</v>
      </c>
      <c r="AX1418" s="215" t="str">
        <f t="shared" si="624"/>
        <v/>
      </c>
      <c r="AY1418" t="str">
        <f t="shared" si="625"/>
        <v/>
      </c>
      <c r="AZ1418" t="str">
        <f t="shared" si="626"/>
        <v/>
      </c>
    </row>
    <row r="1419" spans="1:52" x14ac:dyDescent="0.25">
      <c r="A1419" s="610" t="s">
        <v>979</v>
      </c>
      <c r="B1419" s="17" t="s">
        <v>5548</v>
      </c>
      <c r="C1419" s="17" t="s">
        <v>1296</v>
      </c>
      <c r="D1419" s="30" t="s">
        <v>6931</v>
      </c>
      <c r="E1419" s="17" t="s">
        <v>674</v>
      </c>
      <c r="F1419" s="454">
        <f t="shared" si="633"/>
        <v>23.67</v>
      </c>
      <c r="G1419" s="529">
        <v>23.67</v>
      </c>
      <c r="H1419" s="487">
        <f t="shared" si="634"/>
        <v>18.940000000000001</v>
      </c>
      <c r="I1419" s="706"/>
      <c r="J1419" s="669" t="s">
        <v>5805</v>
      </c>
      <c r="K1419" s="15"/>
      <c r="M1419" s="49">
        <f t="shared" si="635"/>
        <v>23.67</v>
      </c>
      <c r="N1419" s="41">
        <v>11.67</v>
      </c>
      <c r="O1419" s="54"/>
      <c r="P1419" s="15"/>
      <c r="Q1419" t="s">
        <v>1017</v>
      </c>
      <c r="S1419" t="s">
        <v>4180</v>
      </c>
      <c r="T1419" t="s">
        <v>4180</v>
      </c>
      <c r="U1419" s="55" t="s">
        <v>1017</v>
      </c>
      <c r="V1419" t="s">
        <v>1017</v>
      </c>
      <c r="W1419" s="65"/>
      <c r="X1419" s="65"/>
      <c r="AA1419" s="65"/>
      <c r="AD1419" s="91"/>
      <c r="AE1419" s="124" t="s">
        <v>1017</v>
      </c>
      <c r="AF1419" s="65"/>
      <c r="AG1419" s="91"/>
      <c r="AH1419" s="212" t="str">
        <f t="shared" si="641"/>
        <v/>
      </c>
      <c r="AI1419" s="214" t="str">
        <f t="shared" si="627"/>
        <v/>
      </c>
      <c r="AJ1419" s="214" t="str">
        <f t="shared" si="628"/>
        <v/>
      </c>
      <c r="AK1419" s="214" t="str">
        <f t="shared" si="629"/>
        <v/>
      </c>
      <c r="AL1419" s="214" t="str">
        <f t="shared" si="630"/>
        <v/>
      </c>
      <c r="AM1419" s="214" t="str">
        <f t="shared" si="631"/>
        <v/>
      </c>
      <c r="AN1419" s="213" t="str">
        <f t="shared" si="614"/>
        <v/>
      </c>
      <c r="AO1419" s="213" t="str">
        <f t="shared" si="615"/>
        <v/>
      </c>
      <c r="AP1419" s="213" t="str">
        <f t="shared" si="616"/>
        <v/>
      </c>
      <c r="AQ1419" s="215" t="str">
        <f t="shared" si="617"/>
        <v/>
      </c>
      <c r="AR1419" s="216" t="str">
        <f t="shared" si="618"/>
        <v>BiK81a1bK09y06</v>
      </c>
      <c r="AS1419" s="215" t="str">
        <f t="shared" si="619"/>
        <v/>
      </c>
      <c r="AT1419">
        <f t="shared" si="620"/>
        <v>14</v>
      </c>
      <c r="AU1419" s="216" t="str">
        <f t="shared" si="621"/>
        <v>0-0,15 MW, Bonusregeln a1, b, y und K erstmals 2009</v>
      </c>
      <c r="AV1419" s="215" t="str">
        <f t="shared" si="622"/>
        <v/>
      </c>
      <c r="AW1419" s="216" t="str">
        <f t="shared" si="623"/>
        <v>Anteil KWK, erstmals 2009</v>
      </c>
      <c r="AX1419" s="215" t="str">
        <f t="shared" si="624"/>
        <v/>
      </c>
      <c r="AY1419" t="str">
        <f t="shared" si="625"/>
        <v/>
      </c>
      <c r="AZ1419" t="str">
        <f t="shared" si="626"/>
        <v/>
      </c>
    </row>
    <row r="1420" spans="1:52" x14ac:dyDescent="0.25">
      <c r="A1420" s="610" t="s">
        <v>4900</v>
      </c>
      <c r="B1420" s="17" t="s">
        <v>5548</v>
      </c>
      <c r="C1420" s="17" t="s">
        <v>1296</v>
      </c>
      <c r="D1420" s="30" t="s">
        <v>6932</v>
      </c>
      <c r="E1420" s="30" t="s">
        <v>3567</v>
      </c>
      <c r="F1420" s="454">
        <f t="shared" si="633"/>
        <v>23.64</v>
      </c>
      <c r="G1420" s="529">
        <v>23.64</v>
      </c>
      <c r="H1420" s="487">
        <f t="shared" si="634"/>
        <v>18.91</v>
      </c>
      <c r="I1420" s="706"/>
      <c r="J1420" s="669" t="s">
        <v>5805</v>
      </c>
      <c r="K1420" s="15"/>
      <c r="M1420" s="49">
        <f t="shared" si="635"/>
        <v>23.64</v>
      </c>
      <c r="N1420" s="41">
        <v>11.67</v>
      </c>
      <c r="O1420" s="54"/>
      <c r="P1420" s="15"/>
      <c r="R1420" t="s">
        <v>1017</v>
      </c>
      <c r="S1420" t="s">
        <v>4180</v>
      </c>
      <c r="T1420" t="s">
        <v>4180</v>
      </c>
      <c r="U1420" s="55" t="s">
        <v>1017</v>
      </c>
      <c r="V1420" t="s">
        <v>1017</v>
      </c>
      <c r="W1420" s="65"/>
      <c r="X1420" s="65"/>
      <c r="AA1420" s="65"/>
      <c r="AD1420" s="91"/>
      <c r="AE1420" s="124" t="s">
        <v>1017</v>
      </c>
      <c r="AF1420" s="65"/>
      <c r="AG1420" s="91"/>
      <c r="AH1420" s="212" t="str">
        <f t="shared" si="641"/>
        <v>2010</v>
      </c>
      <c r="AI1420" s="214" t="str">
        <f t="shared" si="627"/>
        <v/>
      </c>
      <c r="AJ1420" s="214" t="str">
        <f t="shared" si="628"/>
        <v/>
      </c>
      <c r="AK1420" s="214" t="str">
        <f t="shared" si="629"/>
        <v/>
      </c>
      <c r="AL1420" s="214" t="str">
        <f t="shared" si="630"/>
        <v/>
      </c>
      <c r="AM1420" s="214" t="str">
        <f t="shared" si="631"/>
        <v/>
      </c>
      <c r="AN1420" s="213" t="str">
        <f t="shared" si="614"/>
        <v>2010</v>
      </c>
      <c r="AO1420" s="213" t="str">
        <f t="shared" si="615"/>
        <v>2010</v>
      </c>
      <c r="AP1420" s="213" t="str">
        <f t="shared" si="616"/>
        <v>2010</v>
      </c>
      <c r="AQ1420" s="215" t="str">
        <f t="shared" si="617"/>
        <v/>
      </c>
      <c r="AR1420" s="216" t="str">
        <f t="shared" si="618"/>
        <v>BiK81a1bK10y06</v>
      </c>
      <c r="AS1420" s="215" t="str">
        <f t="shared" si="619"/>
        <v/>
      </c>
      <c r="AT1420">
        <f t="shared" si="620"/>
        <v>14</v>
      </c>
      <c r="AU1420" s="216" t="str">
        <f t="shared" si="621"/>
        <v>0-0,15 MW, Bonusregeln a1, b, y und K erstmals 2010</v>
      </c>
      <c r="AV1420" s="215" t="str">
        <f t="shared" si="622"/>
        <v/>
      </c>
      <c r="AW1420" s="216" t="str">
        <f t="shared" si="623"/>
        <v>Anteil KWK, erstmals 2010</v>
      </c>
      <c r="AX1420" s="215" t="str">
        <f t="shared" si="624"/>
        <v/>
      </c>
      <c r="AY1420" t="str">
        <f t="shared" si="625"/>
        <v/>
      </c>
      <c r="AZ1420" t="str">
        <f t="shared" si="626"/>
        <v/>
      </c>
    </row>
    <row r="1421" spans="1:52" x14ac:dyDescent="0.25">
      <c r="A1421" s="610" t="s">
        <v>5369</v>
      </c>
      <c r="B1421" s="17" t="s">
        <v>5548</v>
      </c>
      <c r="C1421" s="17" t="s">
        <v>1296</v>
      </c>
      <c r="D1421" s="30" t="s">
        <v>6933</v>
      </c>
      <c r="E1421" s="30" t="s">
        <v>3055</v>
      </c>
      <c r="F1421" s="454">
        <f t="shared" si="633"/>
        <v>23.61</v>
      </c>
      <c r="G1421" s="529">
        <v>23.61</v>
      </c>
      <c r="H1421" s="487">
        <f t="shared" si="634"/>
        <v>18.89</v>
      </c>
      <c r="I1421" s="706"/>
      <c r="J1421" s="669" t="s">
        <v>5805</v>
      </c>
      <c r="K1421" s="15"/>
      <c r="M1421" s="49">
        <f t="shared" si="635"/>
        <v>23.61</v>
      </c>
      <c r="N1421" s="41">
        <v>11.67</v>
      </c>
      <c r="O1421" s="54"/>
      <c r="P1421" s="15"/>
      <c r="S1421" t="s">
        <v>1017</v>
      </c>
      <c r="T1421" t="s">
        <v>4180</v>
      </c>
      <c r="U1421" s="55" t="s">
        <v>1017</v>
      </c>
      <c r="V1421" t="s">
        <v>1017</v>
      </c>
      <c r="W1421" s="65"/>
      <c r="X1421" s="65"/>
      <c r="AA1421" s="65"/>
      <c r="AD1421" s="91"/>
      <c r="AE1421" s="124" t="s">
        <v>1017</v>
      </c>
      <c r="AF1421" s="65"/>
      <c r="AG1421" s="91"/>
      <c r="AH1421" s="212" t="str">
        <f t="shared" si="641"/>
        <v>2011</v>
      </c>
      <c r="AI1421" s="214" t="str">
        <f t="shared" si="627"/>
        <v/>
      </c>
      <c r="AJ1421" s="214" t="str">
        <f t="shared" si="628"/>
        <v/>
      </c>
      <c r="AK1421" s="214" t="str">
        <f t="shared" si="629"/>
        <v/>
      </c>
      <c r="AL1421" s="214" t="str">
        <f t="shared" si="630"/>
        <v/>
      </c>
      <c r="AM1421" s="214" t="str">
        <f t="shared" si="631"/>
        <v/>
      </c>
      <c r="AN1421" s="213" t="str">
        <f t="shared" si="614"/>
        <v>2011</v>
      </c>
      <c r="AO1421" s="213" t="str">
        <f t="shared" si="615"/>
        <v>2011</v>
      </c>
      <c r="AP1421" s="213" t="str">
        <f t="shared" si="616"/>
        <v>2011</v>
      </c>
      <c r="AQ1421" s="215" t="str">
        <f t="shared" si="617"/>
        <v/>
      </c>
      <c r="AR1421" s="216" t="str">
        <f t="shared" si="618"/>
        <v>BiK81a1bK11y06</v>
      </c>
      <c r="AS1421" s="215" t="str">
        <f t="shared" si="619"/>
        <v/>
      </c>
      <c r="AT1421">
        <f t="shared" si="620"/>
        <v>14</v>
      </c>
      <c r="AU1421" s="216" t="str">
        <f t="shared" si="621"/>
        <v>0-0,15 MW, Bonusregeln a1, b, y und K erstmals 2011</v>
      </c>
      <c r="AV1421" s="215" t="str">
        <f t="shared" si="622"/>
        <v/>
      </c>
      <c r="AW1421" s="216" t="str">
        <f t="shared" si="623"/>
        <v>Anteil KWK, erstmals 2011</v>
      </c>
      <c r="AX1421" s="215" t="str">
        <f t="shared" si="624"/>
        <v/>
      </c>
      <c r="AY1421" t="str">
        <f t="shared" si="625"/>
        <v>x</v>
      </c>
      <c r="AZ1421" t="str">
        <f t="shared" si="626"/>
        <v/>
      </c>
    </row>
    <row r="1422" spans="1:52" x14ac:dyDescent="0.25">
      <c r="A1422" s="625" t="s">
        <v>3647</v>
      </c>
      <c r="B1422" s="221" t="s">
        <v>5548</v>
      </c>
      <c r="C1422" s="221" t="s">
        <v>1296</v>
      </c>
      <c r="D1422" s="219" t="s">
        <v>6934</v>
      </c>
      <c r="E1422" s="219" t="s">
        <v>1980</v>
      </c>
      <c r="F1422" s="455">
        <f t="shared" si="633"/>
        <v>23.58</v>
      </c>
      <c r="G1422" s="530">
        <v>23.58</v>
      </c>
      <c r="H1422" s="488">
        <f t="shared" si="634"/>
        <v>18.86</v>
      </c>
      <c r="I1422" s="707"/>
      <c r="J1422" s="669" t="s">
        <v>5805</v>
      </c>
      <c r="K1422" s="15"/>
      <c r="M1422" s="49">
        <f t="shared" si="635"/>
        <v>23.58</v>
      </c>
      <c r="N1422" s="41">
        <v>11.67</v>
      </c>
      <c r="O1422" s="54"/>
      <c r="P1422" s="15"/>
      <c r="S1422" t="s">
        <v>4180</v>
      </c>
      <c r="T1422" t="s">
        <v>1017</v>
      </c>
      <c r="U1422" s="55" t="s">
        <v>1017</v>
      </c>
      <c r="V1422" t="s">
        <v>1017</v>
      </c>
      <c r="W1422" s="65"/>
      <c r="X1422" s="65"/>
      <c r="AA1422" s="65"/>
      <c r="AD1422" s="91"/>
      <c r="AE1422" s="124" t="s">
        <v>1017</v>
      </c>
      <c r="AF1422" s="65"/>
      <c r="AG1422" s="91"/>
      <c r="AH1422" s="217" t="s">
        <v>4179</v>
      </c>
      <c r="AI1422" s="214" t="str">
        <f t="shared" si="627"/>
        <v/>
      </c>
      <c r="AJ1422" s="214" t="str">
        <f t="shared" si="628"/>
        <v/>
      </c>
      <c r="AK1422" s="214" t="str">
        <f t="shared" si="629"/>
        <v/>
      </c>
      <c r="AL1422" s="214" t="str">
        <f t="shared" si="630"/>
        <v/>
      </c>
      <c r="AM1422" s="214" t="str">
        <f t="shared" si="631"/>
        <v/>
      </c>
      <c r="AN1422" s="213" t="str">
        <f t="shared" si="614"/>
        <v>2012</v>
      </c>
      <c r="AO1422" s="213" t="str">
        <f t="shared" si="615"/>
        <v>2012</v>
      </c>
      <c r="AP1422" s="213" t="str">
        <f t="shared" si="616"/>
        <v>2012</v>
      </c>
      <c r="AQ1422" s="215" t="str">
        <f t="shared" si="617"/>
        <v/>
      </c>
      <c r="AR1422" s="216" t="str">
        <f t="shared" si="618"/>
        <v>BiK81a1bK12y06</v>
      </c>
      <c r="AS1422" s="215" t="str">
        <f t="shared" si="619"/>
        <v/>
      </c>
      <c r="AT1422">
        <f t="shared" si="620"/>
        <v>14</v>
      </c>
      <c r="AU1422" s="216" t="str">
        <f t="shared" si="621"/>
        <v>0-0,15 MW, Bonusregeln a1, b, y und K erstmals 2012</v>
      </c>
      <c r="AV1422" s="215" t="str">
        <f t="shared" si="622"/>
        <v/>
      </c>
      <c r="AW1422" s="216" t="str">
        <f t="shared" si="623"/>
        <v>Anteil KWK, erstmals 2012</v>
      </c>
      <c r="AX1422" s="215" t="str">
        <f t="shared" si="624"/>
        <v/>
      </c>
      <c r="AY1422" t="str">
        <f t="shared" si="625"/>
        <v/>
      </c>
      <c r="AZ1422" t="str">
        <f t="shared" si="626"/>
        <v>x</v>
      </c>
    </row>
    <row r="1423" spans="1:52" x14ac:dyDescent="0.25">
      <c r="A1423" s="610" t="s">
        <v>2742</v>
      </c>
      <c r="B1423" s="30" t="s">
        <v>5548</v>
      </c>
      <c r="C1423" s="30" t="s">
        <v>1296</v>
      </c>
      <c r="D1423" s="30" t="s">
        <v>6935</v>
      </c>
      <c r="E1423" s="30" t="s">
        <v>4810</v>
      </c>
      <c r="F1423" s="454">
        <f t="shared" si="633"/>
        <v>20.67</v>
      </c>
      <c r="G1423" s="529">
        <v>20.67</v>
      </c>
      <c r="H1423" s="487">
        <f t="shared" si="634"/>
        <v>16.54</v>
      </c>
      <c r="I1423" s="706"/>
      <c r="J1423" s="669" t="s">
        <v>5805</v>
      </c>
      <c r="K1423" s="15"/>
      <c r="M1423" s="49">
        <f t="shared" si="635"/>
        <v>20.67</v>
      </c>
      <c r="N1423" s="41">
        <v>11.67</v>
      </c>
      <c r="O1423" s="186"/>
      <c r="P1423" s="177"/>
      <c r="Q1423" s="178"/>
      <c r="R1423" s="178"/>
      <c r="S1423" s="178" t="s">
        <v>4180</v>
      </c>
      <c r="T1423" t="s">
        <v>4180</v>
      </c>
      <c r="U1423" s="179"/>
      <c r="V1423" s="178"/>
      <c r="W1423" s="180"/>
      <c r="X1423" s="180"/>
      <c r="Y1423" s="178" t="s">
        <v>1017</v>
      </c>
      <c r="Z1423" s="178"/>
      <c r="AA1423" s="180"/>
      <c r="AB1423" s="178"/>
      <c r="AC1423" s="178"/>
      <c r="AD1423" s="201"/>
      <c r="AE1423" s="200" t="s">
        <v>1017</v>
      </c>
      <c r="AF1423" s="180"/>
      <c r="AG1423" s="201"/>
      <c r="AH1423" s="212" t="str">
        <f t="shared" ref="AH1423:AH1428" si="642">IF(ISERROR(SEARCH("K erstmals 201",D1423)),"",RIGHT(D1423,4))</f>
        <v/>
      </c>
      <c r="AI1423" s="214" t="str">
        <f t="shared" si="627"/>
        <v/>
      </c>
      <c r="AJ1423" s="214" t="str">
        <f t="shared" si="628"/>
        <v/>
      </c>
      <c r="AK1423" s="214" t="str">
        <f t="shared" si="629"/>
        <v/>
      </c>
      <c r="AL1423" s="214" t="str">
        <f t="shared" si="630"/>
        <v/>
      </c>
      <c r="AM1423" s="214" t="str">
        <f t="shared" si="631"/>
        <v/>
      </c>
      <c r="AN1423" s="213" t="str">
        <f t="shared" si="614"/>
        <v/>
      </c>
      <c r="AO1423" s="213" t="str">
        <f t="shared" si="615"/>
        <v/>
      </c>
      <c r="AP1423" s="213" t="str">
        <f t="shared" si="616"/>
        <v/>
      </c>
      <c r="AQ1423" s="215" t="str">
        <f t="shared" si="617"/>
        <v/>
      </c>
      <c r="AR1423" s="216" t="str">
        <f t="shared" si="618"/>
        <v>BiK81Gb-----06</v>
      </c>
      <c r="AS1423" s="215" t="str">
        <f t="shared" si="619"/>
        <v/>
      </c>
      <c r="AT1423">
        <f t="shared" si="620"/>
        <v>14</v>
      </c>
      <c r="AU1423" s="216" t="str">
        <f t="shared" si="621"/>
        <v>0-0,15 MW, Bonusregeln G, b</v>
      </c>
      <c r="AV1423" s="215" t="str">
        <f t="shared" si="622"/>
        <v/>
      </c>
      <c r="AW1423" s="216" t="str">
        <f t="shared" si="623"/>
        <v>Anteil Nicht-KWK</v>
      </c>
      <c r="AX1423" s="215" t="str">
        <f t="shared" si="624"/>
        <v/>
      </c>
      <c r="AY1423" t="str">
        <f t="shared" si="625"/>
        <v/>
      </c>
      <c r="AZ1423" t="str">
        <f t="shared" si="626"/>
        <v/>
      </c>
    </row>
    <row r="1424" spans="1:52" x14ac:dyDescent="0.25">
      <c r="A1424" s="610" t="s">
        <v>2743</v>
      </c>
      <c r="B1424" s="30" t="s">
        <v>5548</v>
      </c>
      <c r="C1424" s="30" t="s">
        <v>1296</v>
      </c>
      <c r="D1424" s="30" t="s">
        <v>6936</v>
      </c>
      <c r="E1424" s="30" t="s">
        <v>4812</v>
      </c>
      <c r="F1424" s="454">
        <f t="shared" si="633"/>
        <v>22.67</v>
      </c>
      <c r="G1424" s="529">
        <v>22.67</v>
      </c>
      <c r="H1424" s="487">
        <f t="shared" si="634"/>
        <v>18.14</v>
      </c>
      <c r="I1424" s="706"/>
      <c r="J1424" s="669" t="s">
        <v>5805</v>
      </c>
      <c r="K1424" s="15"/>
      <c r="M1424" s="49">
        <f t="shared" si="635"/>
        <v>22.67</v>
      </c>
      <c r="N1424" s="41">
        <v>11.67</v>
      </c>
      <c r="O1424" s="186" t="s">
        <v>1017</v>
      </c>
      <c r="P1424" s="177"/>
      <c r="Q1424" s="178"/>
      <c r="R1424" s="178"/>
      <c r="S1424" s="178" t="s">
        <v>4180</v>
      </c>
      <c r="T1424" t="s">
        <v>4180</v>
      </c>
      <c r="U1424" s="179"/>
      <c r="V1424" s="178"/>
      <c r="W1424" s="180"/>
      <c r="X1424" s="180"/>
      <c r="Y1424" s="178" t="s">
        <v>1017</v>
      </c>
      <c r="Z1424" s="178"/>
      <c r="AA1424" s="180"/>
      <c r="AB1424" s="178"/>
      <c r="AC1424" s="178"/>
      <c r="AD1424" s="201"/>
      <c r="AE1424" s="200" t="s">
        <v>1017</v>
      </c>
      <c r="AF1424" s="180"/>
      <c r="AG1424" s="201"/>
      <c r="AH1424" s="212" t="str">
        <f t="shared" si="642"/>
        <v/>
      </c>
      <c r="AI1424" s="214" t="str">
        <f t="shared" si="627"/>
        <v/>
      </c>
      <c r="AJ1424" s="214" t="str">
        <f t="shared" si="628"/>
        <v/>
      </c>
      <c r="AK1424" s="214" t="str">
        <f t="shared" si="629"/>
        <v/>
      </c>
      <c r="AL1424" s="214" t="str">
        <f t="shared" si="630"/>
        <v/>
      </c>
      <c r="AM1424" s="214" t="str">
        <f t="shared" si="631"/>
        <v/>
      </c>
      <c r="AN1424" s="213" t="str">
        <f t="shared" si="614"/>
        <v/>
      </c>
      <c r="AO1424" s="213" t="str">
        <f t="shared" si="615"/>
        <v/>
      </c>
      <c r="AP1424" s="213" t="str">
        <f t="shared" si="616"/>
        <v/>
      </c>
      <c r="AQ1424" s="215" t="str">
        <f t="shared" si="617"/>
        <v/>
      </c>
      <c r="AR1424" s="216" t="str">
        <f t="shared" si="618"/>
        <v>BiK81GbKWK--06</v>
      </c>
      <c r="AS1424" s="215" t="str">
        <f t="shared" si="619"/>
        <v/>
      </c>
      <c r="AT1424">
        <f t="shared" si="620"/>
        <v>14</v>
      </c>
      <c r="AU1424" s="216" t="str">
        <f t="shared" si="621"/>
        <v>0-0,15 MW, Bonusregeln G, b und KWK</v>
      </c>
      <c r="AV1424" s="215" t="str">
        <f t="shared" si="622"/>
        <v/>
      </c>
      <c r="AW1424" s="216" t="str">
        <f t="shared" si="623"/>
        <v>Anteil KWK</v>
      </c>
      <c r="AX1424" s="215" t="str">
        <f t="shared" si="624"/>
        <v/>
      </c>
      <c r="AY1424" t="str">
        <f t="shared" si="625"/>
        <v/>
      </c>
      <c r="AZ1424" t="str">
        <f t="shared" si="626"/>
        <v/>
      </c>
    </row>
    <row r="1425" spans="1:52" x14ac:dyDescent="0.25">
      <c r="A1425" s="610" t="s">
        <v>2744</v>
      </c>
      <c r="B1425" s="30" t="s">
        <v>5548</v>
      </c>
      <c r="C1425" s="30" t="s">
        <v>1296</v>
      </c>
      <c r="D1425" s="30" t="s">
        <v>6937</v>
      </c>
      <c r="E1425" s="30" t="s">
        <v>4331</v>
      </c>
      <c r="F1425" s="454">
        <f t="shared" si="633"/>
        <v>23.67</v>
      </c>
      <c r="G1425" s="529">
        <v>23.67</v>
      </c>
      <c r="H1425" s="487">
        <f t="shared" si="634"/>
        <v>18.940000000000001</v>
      </c>
      <c r="I1425" s="706"/>
      <c r="J1425" s="669" t="s">
        <v>5805</v>
      </c>
      <c r="K1425" s="15"/>
      <c r="M1425" s="49">
        <f t="shared" si="635"/>
        <v>23.67</v>
      </c>
      <c r="N1425" s="41">
        <v>11.67</v>
      </c>
      <c r="O1425" s="186"/>
      <c r="P1425" s="178" t="s">
        <v>1017</v>
      </c>
      <c r="Q1425" s="178"/>
      <c r="R1425" s="178"/>
      <c r="S1425" s="178" t="s">
        <v>4180</v>
      </c>
      <c r="T1425" t="s">
        <v>4180</v>
      </c>
      <c r="U1425" s="179"/>
      <c r="V1425" s="178"/>
      <c r="W1425" s="180"/>
      <c r="X1425" s="180"/>
      <c r="Y1425" s="178" t="s">
        <v>1017</v>
      </c>
      <c r="Z1425" s="178"/>
      <c r="AA1425" s="180"/>
      <c r="AB1425" s="178"/>
      <c r="AC1425" s="178"/>
      <c r="AD1425" s="201"/>
      <c r="AE1425" s="200" t="s">
        <v>1017</v>
      </c>
      <c r="AF1425" s="180"/>
      <c r="AG1425" s="201"/>
      <c r="AH1425" s="212" t="str">
        <f t="shared" si="642"/>
        <v/>
      </c>
      <c r="AI1425" s="214" t="str">
        <f t="shared" si="627"/>
        <v/>
      </c>
      <c r="AJ1425" s="214" t="str">
        <f t="shared" si="628"/>
        <v/>
      </c>
      <c r="AK1425" s="214" t="str">
        <f t="shared" si="629"/>
        <v/>
      </c>
      <c r="AL1425" s="214" t="str">
        <f t="shared" si="630"/>
        <v/>
      </c>
      <c r="AM1425" s="214" t="str">
        <f t="shared" si="631"/>
        <v/>
      </c>
      <c r="AN1425" s="213" t="str">
        <f t="shared" si="614"/>
        <v/>
      </c>
      <c r="AO1425" s="213" t="str">
        <f t="shared" si="615"/>
        <v/>
      </c>
      <c r="AP1425" s="213" t="str">
        <f t="shared" si="616"/>
        <v/>
      </c>
      <c r="AQ1425" s="215" t="str">
        <f t="shared" si="617"/>
        <v/>
      </c>
      <c r="AR1425" s="216" t="str">
        <f t="shared" si="618"/>
        <v>BiK81GbKA3--06</v>
      </c>
      <c r="AS1425" s="215" t="str">
        <f t="shared" si="619"/>
        <v/>
      </c>
      <c r="AT1425">
        <f t="shared" si="620"/>
        <v>14</v>
      </c>
      <c r="AU1425" s="216" t="str">
        <f t="shared" si="621"/>
        <v>0-0,15 MW, Bonusregeln G, b und K wenn Anlage 3 erfüllt</v>
      </c>
      <c r="AV1425" s="215" t="str">
        <f t="shared" si="622"/>
        <v/>
      </c>
      <c r="AW1425" s="216" t="str">
        <f t="shared" si="623"/>
        <v>Anteil KWK gemäß Anlage 3</v>
      </c>
      <c r="AX1425" s="215" t="str">
        <f t="shared" si="624"/>
        <v/>
      </c>
      <c r="AY1425" t="str">
        <f t="shared" si="625"/>
        <v/>
      </c>
      <c r="AZ1425" t="str">
        <f t="shared" si="626"/>
        <v/>
      </c>
    </row>
    <row r="1426" spans="1:52" x14ac:dyDescent="0.25">
      <c r="A1426" s="610" t="s">
        <v>2745</v>
      </c>
      <c r="B1426" s="30" t="s">
        <v>5548</v>
      </c>
      <c r="C1426" s="30" t="s">
        <v>1296</v>
      </c>
      <c r="D1426" s="30" t="s">
        <v>6938</v>
      </c>
      <c r="E1426" s="30" t="s">
        <v>674</v>
      </c>
      <c r="F1426" s="454">
        <f t="shared" si="633"/>
        <v>23.67</v>
      </c>
      <c r="G1426" s="529">
        <v>23.67</v>
      </c>
      <c r="H1426" s="487">
        <f t="shared" si="634"/>
        <v>18.940000000000001</v>
      </c>
      <c r="I1426" s="706"/>
      <c r="J1426" s="669" t="s">
        <v>5805</v>
      </c>
      <c r="K1426" s="15"/>
      <c r="M1426" s="49">
        <f t="shared" si="635"/>
        <v>23.67</v>
      </c>
      <c r="N1426" s="41">
        <v>11.67</v>
      </c>
      <c r="O1426" s="186"/>
      <c r="P1426" s="177"/>
      <c r="Q1426" s="178" t="s">
        <v>1017</v>
      </c>
      <c r="R1426" s="178"/>
      <c r="S1426" s="178" t="s">
        <v>4180</v>
      </c>
      <c r="T1426" t="s">
        <v>4180</v>
      </c>
      <c r="U1426" s="179"/>
      <c r="V1426" s="178"/>
      <c r="W1426" s="180"/>
      <c r="X1426" s="180"/>
      <c r="Y1426" s="178" t="s">
        <v>1017</v>
      </c>
      <c r="Z1426" s="178"/>
      <c r="AA1426" s="180"/>
      <c r="AB1426" s="178"/>
      <c r="AC1426" s="178"/>
      <c r="AD1426" s="201"/>
      <c r="AE1426" s="200" t="s">
        <v>1017</v>
      </c>
      <c r="AF1426" s="180"/>
      <c r="AG1426" s="201"/>
      <c r="AH1426" s="212" t="str">
        <f t="shared" si="642"/>
        <v/>
      </c>
      <c r="AI1426" s="214" t="str">
        <f t="shared" si="627"/>
        <v/>
      </c>
      <c r="AJ1426" s="214" t="str">
        <f t="shared" si="628"/>
        <v/>
      </c>
      <c r="AK1426" s="214" t="str">
        <f t="shared" si="629"/>
        <v/>
      </c>
      <c r="AL1426" s="214" t="str">
        <f t="shared" si="630"/>
        <v/>
      </c>
      <c r="AM1426" s="214" t="str">
        <f t="shared" si="631"/>
        <v/>
      </c>
      <c r="AN1426" s="213" t="str">
        <f t="shared" si="614"/>
        <v/>
      </c>
      <c r="AO1426" s="213" t="str">
        <f t="shared" si="615"/>
        <v/>
      </c>
      <c r="AP1426" s="213" t="str">
        <f t="shared" si="616"/>
        <v/>
      </c>
      <c r="AQ1426" s="215" t="str">
        <f t="shared" si="617"/>
        <v/>
      </c>
      <c r="AR1426" s="216" t="str">
        <f t="shared" si="618"/>
        <v>BiK81GbK09--06</v>
      </c>
      <c r="AS1426" s="215" t="str">
        <f t="shared" si="619"/>
        <v/>
      </c>
      <c r="AT1426">
        <f t="shared" si="620"/>
        <v>14</v>
      </c>
      <c r="AU1426" s="216" t="str">
        <f t="shared" si="621"/>
        <v>0-0,15 MW, Bonusregeln G, b und K erstmals 2009</v>
      </c>
      <c r="AV1426" s="215" t="str">
        <f t="shared" si="622"/>
        <v/>
      </c>
      <c r="AW1426" s="216" t="str">
        <f t="shared" si="623"/>
        <v>Anteil KWK, erstmals 2009</v>
      </c>
      <c r="AX1426" s="215" t="str">
        <f t="shared" si="624"/>
        <v/>
      </c>
      <c r="AY1426" t="str">
        <f t="shared" si="625"/>
        <v/>
      </c>
      <c r="AZ1426" t="str">
        <f t="shared" si="626"/>
        <v/>
      </c>
    </row>
    <row r="1427" spans="1:52" x14ac:dyDescent="0.25">
      <c r="A1427" s="610" t="s">
        <v>4901</v>
      </c>
      <c r="B1427" s="30" t="s">
        <v>5548</v>
      </c>
      <c r="C1427" s="30" t="s">
        <v>1296</v>
      </c>
      <c r="D1427" s="30" t="s">
        <v>6939</v>
      </c>
      <c r="E1427" s="30" t="s">
        <v>3567</v>
      </c>
      <c r="F1427" s="454">
        <f t="shared" si="633"/>
        <v>23.64</v>
      </c>
      <c r="G1427" s="529">
        <v>23.64</v>
      </c>
      <c r="H1427" s="487">
        <f t="shared" si="634"/>
        <v>18.91</v>
      </c>
      <c r="I1427" s="706"/>
      <c r="J1427" s="669" t="s">
        <v>5805</v>
      </c>
      <c r="K1427" s="15"/>
      <c r="M1427" s="49">
        <f t="shared" si="635"/>
        <v>23.64</v>
      </c>
      <c r="N1427" s="41">
        <v>11.67</v>
      </c>
      <c r="O1427" s="186"/>
      <c r="P1427" s="177"/>
      <c r="Q1427" s="178"/>
      <c r="R1427" s="178" t="s">
        <v>1017</v>
      </c>
      <c r="S1427" s="178" t="s">
        <v>4180</v>
      </c>
      <c r="T1427" t="s">
        <v>4180</v>
      </c>
      <c r="U1427" s="179"/>
      <c r="V1427" s="178"/>
      <c r="W1427" s="180"/>
      <c r="X1427" s="180"/>
      <c r="Y1427" s="178" t="s">
        <v>1017</v>
      </c>
      <c r="Z1427" s="178"/>
      <c r="AA1427" s="180"/>
      <c r="AB1427" s="178"/>
      <c r="AC1427" s="178"/>
      <c r="AD1427" s="201"/>
      <c r="AE1427" s="200" t="s">
        <v>1017</v>
      </c>
      <c r="AF1427" s="180"/>
      <c r="AG1427" s="201"/>
      <c r="AH1427" s="212" t="str">
        <f t="shared" si="642"/>
        <v>2010</v>
      </c>
      <c r="AI1427" s="214" t="str">
        <f t="shared" si="627"/>
        <v/>
      </c>
      <c r="AJ1427" s="214" t="str">
        <f t="shared" si="628"/>
        <v/>
      </c>
      <c r="AK1427" s="214" t="str">
        <f t="shared" si="629"/>
        <v/>
      </c>
      <c r="AL1427" s="214" t="str">
        <f t="shared" si="630"/>
        <v/>
      </c>
      <c r="AM1427" s="214" t="str">
        <f t="shared" si="631"/>
        <v/>
      </c>
      <c r="AN1427" s="213" t="str">
        <f t="shared" si="614"/>
        <v>2010</v>
      </c>
      <c r="AO1427" s="213" t="str">
        <f t="shared" si="615"/>
        <v>2010</v>
      </c>
      <c r="AP1427" s="213" t="str">
        <f t="shared" si="616"/>
        <v>2010</v>
      </c>
      <c r="AQ1427" s="215" t="str">
        <f t="shared" si="617"/>
        <v/>
      </c>
      <c r="AR1427" s="216" t="str">
        <f t="shared" si="618"/>
        <v>BiK81GbK10--06</v>
      </c>
      <c r="AS1427" s="215" t="str">
        <f t="shared" si="619"/>
        <v/>
      </c>
      <c r="AT1427">
        <f t="shared" si="620"/>
        <v>14</v>
      </c>
      <c r="AU1427" s="216" t="str">
        <f t="shared" si="621"/>
        <v>0-0,15 MW, Bonusregeln G, b und K erstmals 2010</v>
      </c>
      <c r="AV1427" s="215" t="str">
        <f t="shared" si="622"/>
        <v/>
      </c>
      <c r="AW1427" s="216" t="str">
        <f t="shared" si="623"/>
        <v>Anteil KWK, erstmals 2010</v>
      </c>
      <c r="AX1427" s="215" t="str">
        <f t="shared" si="624"/>
        <v/>
      </c>
      <c r="AY1427" t="str">
        <f t="shared" si="625"/>
        <v/>
      </c>
      <c r="AZ1427" t="str">
        <f t="shared" si="626"/>
        <v/>
      </c>
    </row>
    <row r="1428" spans="1:52" x14ac:dyDescent="0.25">
      <c r="A1428" s="610" t="s">
        <v>5370</v>
      </c>
      <c r="B1428" s="30" t="s">
        <v>5548</v>
      </c>
      <c r="C1428" s="30" t="s">
        <v>1296</v>
      </c>
      <c r="D1428" s="30" t="s">
        <v>6940</v>
      </c>
      <c r="E1428" s="30" t="s">
        <v>3055</v>
      </c>
      <c r="F1428" s="454">
        <f t="shared" si="633"/>
        <v>23.61</v>
      </c>
      <c r="G1428" s="529">
        <v>23.61</v>
      </c>
      <c r="H1428" s="487">
        <f t="shared" si="634"/>
        <v>18.89</v>
      </c>
      <c r="I1428" s="706"/>
      <c r="J1428" s="669" t="s">
        <v>5805</v>
      </c>
      <c r="K1428" s="15"/>
      <c r="M1428" s="49">
        <f t="shared" si="635"/>
        <v>23.61</v>
      </c>
      <c r="N1428" s="41">
        <v>11.67</v>
      </c>
      <c r="O1428" s="186"/>
      <c r="P1428" s="177"/>
      <c r="Q1428" s="178"/>
      <c r="R1428" s="178"/>
      <c r="S1428" s="178" t="s">
        <v>1017</v>
      </c>
      <c r="T1428" t="s">
        <v>4180</v>
      </c>
      <c r="U1428" s="179"/>
      <c r="V1428" s="178"/>
      <c r="W1428" s="180"/>
      <c r="X1428" s="180"/>
      <c r="Y1428" s="178" t="s">
        <v>1017</v>
      </c>
      <c r="Z1428" s="178"/>
      <c r="AA1428" s="180"/>
      <c r="AB1428" s="178"/>
      <c r="AC1428" s="178"/>
      <c r="AD1428" s="201"/>
      <c r="AE1428" s="200" t="s">
        <v>1017</v>
      </c>
      <c r="AF1428" s="180"/>
      <c r="AG1428" s="201"/>
      <c r="AH1428" s="212" t="str">
        <f t="shared" si="642"/>
        <v>2011</v>
      </c>
      <c r="AI1428" s="214" t="str">
        <f t="shared" si="627"/>
        <v/>
      </c>
      <c r="AJ1428" s="214" t="str">
        <f t="shared" si="628"/>
        <v/>
      </c>
      <c r="AK1428" s="214" t="str">
        <f t="shared" si="629"/>
        <v/>
      </c>
      <c r="AL1428" s="214" t="str">
        <f t="shared" si="630"/>
        <v/>
      </c>
      <c r="AM1428" s="214" t="str">
        <f t="shared" si="631"/>
        <v/>
      </c>
      <c r="AN1428" s="213" t="str">
        <f t="shared" si="614"/>
        <v>2011</v>
      </c>
      <c r="AO1428" s="213" t="str">
        <f t="shared" si="615"/>
        <v>2011</v>
      </c>
      <c r="AP1428" s="213" t="str">
        <f t="shared" si="616"/>
        <v>2011</v>
      </c>
      <c r="AQ1428" s="215" t="str">
        <f t="shared" si="617"/>
        <v/>
      </c>
      <c r="AR1428" s="216" t="str">
        <f t="shared" si="618"/>
        <v>BiK81GbK11--06</v>
      </c>
      <c r="AS1428" s="215" t="str">
        <f t="shared" si="619"/>
        <v/>
      </c>
      <c r="AT1428">
        <f t="shared" si="620"/>
        <v>14</v>
      </c>
      <c r="AU1428" s="216" t="str">
        <f t="shared" si="621"/>
        <v>0-0,15 MW, Bonusregeln G, b und K erstmals 2011</v>
      </c>
      <c r="AV1428" s="215" t="str">
        <f t="shared" si="622"/>
        <v/>
      </c>
      <c r="AW1428" s="216" t="str">
        <f t="shared" si="623"/>
        <v>Anteil KWK, erstmals 2011</v>
      </c>
      <c r="AX1428" s="215" t="str">
        <f t="shared" si="624"/>
        <v/>
      </c>
      <c r="AY1428" t="str">
        <f t="shared" si="625"/>
        <v>x</v>
      </c>
      <c r="AZ1428" t="str">
        <f t="shared" si="626"/>
        <v/>
      </c>
    </row>
    <row r="1429" spans="1:52" x14ac:dyDescent="0.25">
      <c r="A1429" s="625" t="s">
        <v>3648</v>
      </c>
      <c r="B1429" s="219" t="s">
        <v>5548</v>
      </c>
      <c r="C1429" s="219" t="s">
        <v>1296</v>
      </c>
      <c r="D1429" s="219" t="s">
        <v>6941</v>
      </c>
      <c r="E1429" s="219" t="s">
        <v>1980</v>
      </c>
      <c r="F1429" s="455">
        <f t="shared" si="633"/>
        <v>23.58</v>
      </c>
      <c r="G1429" s="530">
        <v>23.58</v>
      </c>
      <c r="H1429" s="488">
        <f t="shared" si="634"/>
        <v>18.86</v>
      </c>
      <c r="I1429" s="707"/>
      <c r="J1429" s="669" t="s">
        <v>5805</v>
      </c>
      <c r="K1429" s="15"/>
      <c r="M1429" s="49">
        <f t="shared" si="635"/>
        <v>23.58</v>
      </c>
      <c r="N1429" s="41">
        <v>11.67</v>
      </c>
      <c r="O1429" s="186"/>
      <c r="P1429" s="177"/>
      <c r="Q1429" s="178"/>
      <c r="R1429" s="178"/>
      <c r="S1429" s="178" t="s">
        <v>4180</v>
      </c>
      <c r="T1429" t="s">
        <v>1017</v>
      </c>
      <c r="U1429" s="179"/>
      <c r="V1429" s="178"/>
      <c r="W1429" s="180"/>
      <c r="X1429" s="180"/>
      <c r="Y1429" s="178" t="s">
        <v>1017</v>
      </c>
      <c r="Z1429" s="178"/>
      <c r="AA1429" s="180"/>
      <c r="AB1429" s="178"/>
      <c r="AC1429" s="178"/>
      <c r="AD1429" s="201"/>
      <c r="AE1429" s="200" t="s">
        <v>1017</v>
      </c>
      <c r="AF1429" s="180"/>
      <c r="AG1429" s="201"/>
      <c r="AH1429" s="217" t="s">
        <v>4179</v>
      </c>
      <c r="AI1429" s="214" t="str">
        <f t="shared" si="627"/>
        <v/>
      </c>
      <c r="AJ1429" s="214" t="str">
        <f t="shared" si="628"/>
        <v/>
      </c>
      <c r="AK1429" s="214" t="str">
        <f t="shared" si="629"/>
        <v/>
      </c>
      <c r="AL1429" s="214" t="str">
        <f t="shared" si="630"/>
        <v/>
      </c>
      <c r="AM1429" s="214" t="str">
        <f t="shared" si="631"/>
        <v/>
      </c>
      <c r="AN1429" s="213" t="str">
        <f t="shared" si="614"/>
        <v>2012</v>
      </c>
      <c r="AO1429" s="213" t="str">
        <f t="shared" si="615"/>
        <v>2012</v>
      </c>
      <c r="AP1429" s="213" t="str">
        <f t="shared" si="616"/>
        <v>2012</v>
      </c>
      <c r="AQ1429" s="215" t="str">
        <f t="shared" si="617"/>
        <v/>
      </c>
      <c r="AR1429" s="216" t="str">
        <f t="shared" si="618"/>
        <v>BiK81GbK12--06</v>
      </c>
      <c r="AS1429" s="215" t="str">
        <f t="shared" si="619"/>
        <v/>
      </c>
      <c r="AT1429">
        <f t="shared" si="620"/>
        <v>14</v>
      </c>
      <c r="AU1429" s="216" t="str">
        <f t="shared" si="621"/>
        <v>0-0,15 MW, Bonusregeln G, b und K erstmals 2012</v>
      </c>
      <c r="AV1429" s="215" t="str">
        <f t="shared" si="622"/>
        <v/>
      </c>
      <c r="AW1429" s="216" t="str">
        <f t="shared" si="623"/>
        <v>Anteil KWK, erstmals 2012</v>
      </c>
      <c r="AX1429" s="215" t="str">
        <f t="shared" si="624"/>
        <v/>
      </c>
      <c r="AY1429" t="str">
        <f t="shared" si="625"/>
        <v/>
      </c>
      <c r="AZ1429" t="str">
        <f t="shared" si="626"/>
        <v>x</v>
      </c>
    </row>
    <row r="1430" spans="1:52" x14ac:dyDescent="0.25">
      <c r="A1430" s="610" t="s">
        <v>2746</v>
      </c>
      <c r="B1430" s="30" t="s">
        <v>5548</v>
      </c>
      <c r="C1430" s="30" t="s">
        <v>1296</v>
      </c>
      <c r="D1430" s="30" t="s">
        <v>6942</v>
      </c>
      <c r="E1430" s="30" t="s">
        <v>4810</v>
      </c>
      <c r="F1430" s="454">
        <f t="shared" si="633"/>
        <v>21.67</v>
      </c>
      <c r="G1430" s="529">
        <v>21.67</v>
      </c>
      <c r="H1430" s="487">
        <f t="shared" si="634"/>
        <v>17.34</v>
      </c>
      <c r="I1430" s="706"/>
      <c r="J1430" s="669" t="s">
        <v>5805</v>
      </c>
      <c r="K1430" s="15"/>
      <c r="M1430" s="49">
        <f t="shared" si="635"/>
        <v>21.67</v>
      </c>
      <c r="N1430" s="41">
        <v>11.67</v>
      </c>
      <c r="O1430" s="187"/>
      <c r="P1430" s="183"/>
      <c r="Q1430" s="184"/>
      <c r="R1430" s="184"/>
      <c r="S1430" s="184" t="s">
        <v>4180</v>
      </c>
      <c r="T1430" t="s">
        <v>4180</v>
      </c>
      <c r="U1430" s="185" t="s">
        <v>1017</v>
      </c>
      <c r="V1430" s="184"/>
      <c r="W1430" s="180"/>
      <c r="X1430" s="180"/>
      <c r="Y1430" s="184" t="s">
        <v>1017</v>
      </c>
      <c r="Z1430" s="184"/>
      <c r="AA1430" s="180"/>
      <c r="AB1430" s="184"/>
      <c r="AC1430" s="184"/>
      <c r="AD1430" s="201"/>
      <c r="AE1430" s="181" t="s">
        <v>1017</v>
      </c>
      <c r="AF1430" s="180"/>
      <c r="AG1430" s="201"/>
      <c r="AH1430" s="212" t="str">
        <f t="shared" ref="AH1430:AH1435" si="643">IF(ISERROR(SEARCH("K erstmals 201",D1430)),"",RIGHT(D1430,4))</f>
        <v/>
      </c>
      <c r="AI1430" s="214" t="str">
        <f t="shared" si="627"/>
        <v/>
      </c>
      <c r="AJ1430" s="214" t="str">
        <f t="shared" si="628"/>
        <v/>
      </c>
      <c r="AK1430" s="214" t="str">
        <f t="shared" si="629"/>
        <v/>
      </c>
      <c r="AL1430" s="214" t="str">
        <f t="shared" si="630"/>
        <v/>
      </c>
      <c r="AM1430" s="214" t="str">
        <f t="shared" si="631"/>
        <v/>
      </c>
      <c r="AN1430" s="213" t="str">
        <f t="shared" si="614"/>
        <v/>
      </c>
      <c r="AO1430" s="213" t="str">
        <f t="shared" si="615"/>
        <v/>
      </c>
      <c r="AP1430" s="213" t="str">
        <f t="shared" si="616"/>
        <v/>
      </c>
      <c r="AQ1430" s="215" t="str">
        <f t="shared" si="617"/>
        <v/>
      </c>
      <c r="AR1430" s="216" t="str">
        <f t="shared" si="618"/>
        <v>BiK81Gby----06</v>
      </c>
      <c r="AS1430" s="215" t="str">
        <f t="shared" si="619"/>
        <v/>
      </c>
      <c r="AT1430">
        <f t="shared" si="620"/>
        <v>14</v>
      </c>
      <c r="AU1430" s="216" t="str">
        <f t="shared" si="621"/>
        <v>0-0,15 MW, Bonusregeln G, y, b</v>
      </c>
      <c r="AV1430" s="215" t="str">
        <f t="shared" si="622"/>
        <v/>
      </c>
      <c r="AW1430" s="216" t="str">
        <f t="shared" si="623"/>
        <v>Anteil Nicht-KWK</v>
      </c>
      <c r="AX1430" s="215" t="str">
        <f t="shared" si="624"/>
        <v/>
      </c>
      <c r="AY1430" t="str">
        <f t="shared" si="625"/>
        <v/>
      </c>
      <c r="AZ1430" t="str">
        <f t="shared" si="626"/>
        <v/>
      </c>
    </row>
    <row r="1431" spans="1:52" x14ac:dyDescent="0.25">
      <c r="A1431" s="610" t="s">
        <v>2747</v>
      </c>
      <c r="B1431" s="30" t="s">
        <v>5548</v>
      </c>
      <c r="C1431" s="30" t="s">
        <v>1296</v>
      </c>
      <c r="D1431" s="30" t="s">
        <v>6943</v>
      </c>
      <c r="E1431" s="30" t="s">
        <v>4812</v>
      </c>
      <c r="F1431" s="454">
        <f t="shared" si="633"/>
        <v>23.67</v>
      </c>
      <c r="G1431" s="529">
        <v>23.67</v>
      </c>
      <c r="H1431" s="487">
        <f t="shared" si="634"/>
        <v>18.940000000000001</v>
      </c>
      <c r="I1431" s="706"/>
      <c r="J1431" s="669" t="s">
        <v>5805</v>
      </c>
      <c r="K1431" s="15"/>
      <c r="M1431" s="49">
        <f t="shared" si="635"/>
        <v>23.67</v>
      </c>
      <c r="N1431" s="41">
        <v>11.67</v>
      </c>
      <c r="O1431" s="187" t="s">
        <v>1017</v>
      </c>
      <c r="P1431" s="183"/>
      <c r="Q1431" s="184"/>
      <c r="R1431" s="184"/>
      <c r="S1431" s="184" t="s">
        <v>4180</v>
      </c>
      <c r="T1431" t="s">
        <v>4180</v>
      </c>
      <c r="U1431" s="185" t="s">
        <v>1017</v>
      </c>
      <c r="V1431" s="184"/>
      <c r="W1431" s="180"/>
      <c r="X1431" s="180"/>
      <c r="Y1431" s="184" t="s">
        <v>1017</v>
      </c>
      <c r="Z1431" s="184"/>
      <c r="AA1431" s="180"/>
      <c r="AB1431" s="184"/>
      <c r="AC1431" s="184"/>
      <c r="AD1431" s="201"/>
      <c r="AE1431" s="181" t="s">
        <v>1017</v>
      </c>
      <c r="AF1431" s="180"/>
      <c r="AG1431" s="201"/>
      <c r="AH1431" s="212" t="str">
        <f t="shared" si="643"/>
        <v/>
      </c>
      <c r="AI1431" s="214" t="str">
        <f t="shared" si="627"/>
        <v/>
      </c>
      <c r="AJ1431" s="214" t="str">
        <f t="shared" si="628"/>
        <v/>
      </c>
      <c r="AK1431" s="214" t="str">
        <f t="shared" si="629"/>
        <v/>
      </c>
      <c r="AL1431" s="214" t="str">
        <f t="shared" si="630"/>
        <v/>
      </c>
      <c r="AM1431" s="214" t="str">
        <f t="shared" si="631"/>
        <v/>
      </c>
      <c r="AN1431" s="213" t="str">
        <f t="shared" si="614"/>
        <v/>
      </c>
      <c r="AO1431" s="213" t="str">
        <f t="shared" si="615"/>
        <v/>
      </c>
      <c r="AP1431" s="213" t="str">
        <f t="shared" si="616"/>
        <v/>
      </c>
      <c r="AQ1431" s="215" t="str">
        <f t="shared" si="617"/>
        <v/>
      </c>
      <c r="AR1431" s="216" t="str">
        <f t="shared" si="618"/>
        <v>BiK81GbKWKy-06</v>
      </c>
      <c r="AS1431" s="215" t="str">
        <f t="shared" si="619"/>
        <v/>
      </c>
      <c r="AT1431">
        <f t="shared" si="620"/>
        <v>14</v>
      </c>
      <c r="AU1431" s="216" t="str">
        <f t="shared" si="621"/>
        <v>0-0,15 MW, Bonusregeln G, y, b und KWK</v>
      </c>
      <c r="AV1431" s="215" t="str">
        <f t="shared" si="622"/>
        <v/>
      </c>
      <c r="AW1431" s="216" t="str">
        <f t="shared" si="623"/>
        <v>Anteil KWK</v>
      </c>
      <c r="AX1431" s="215" t="str">
        <f t="shared" si="624"/>
        <v/>
      </c>
      <c r="AY1431" t="str">
        <f t="shared" si="625"/>
        <v/>
      </c>
      <c r="AZ1431" t="str">
        <f t="shared" si="626"/>
        <v/>
      </c>
    </row>
    <row r="1432" spans="1:52" x14ac:dyDescent="0.25">
      <c r="A1432" s="610" t="s">
        <v>2748</v>
      </c>
      <c r="B1432" s="30" t="s">
        <v>5548</v>
      </c>
      <c r="C1432" s="30" t="s">
        <v>1296</v>
      </c>
      <c r="D1432" s="109" t="s">
        <v>6944</v>
      </c>
      <c r="E1432" s="30" t="s">
        <v>4331</v>
      </c>
      <c r="F1432" s="454">
        <f t="shared" si="633"/>
        <v>24.67</v>
      </c>
      <c r="G1432" s="529">
        <v>24.67</v>
      </c>
      <c r="H1432" s="487">
        <f t="shared" si="634"/>
        <v>19.739999999999998</v>
      </c>
      <c r="I1432" s="706"/>
      <c r="J1432" s="669" t="s">
        <v>5805</v>
      </c>
      <c r="K1432" s="15"/>
      <c r="M1432" s="49">
        <f t="shared" si="635"/>
        <v>24.67</v>
      </c>
      <c r="N1432" s="41">
        <v>11.67</v>
      </c>
      <c r="O1432" s="187"/>
      <c r="P1432" s="184" t="s">
        <v>1017</v>
      </c>
      <c r="Q1432" s="184"/>
      <c r="R1432" s="184"/>
      <c r="S1432" s="184" t="s">
        <v>4180</v>
      </c>
      <c r="T1432" t="s">
        <v>4180</v>
      </c>
      <c r="U1432" s="185" t="s">
        <v>1017</v>
      </c>
      <c r="V1432" s="184"/>
      <c r="W1432" s="180"/>
      <c r="X1432" s="180"/>
      <c r="Y1432" s="184" t="s">
        <v>1017</v>
      </c>
      <c r="Z1432" s="184"/>
      <c r="AA1432" s="180"/>
      <c r="AB1432" s="184"/>
      <c r="AC1432" s="184"/>
      <c r="AD1432" s="201"/>
      <c r="AE1432" s="181" t="s">
        <v>1017</v>
      </c>
      <c r="AF1432" s="180"/>
      <c r="AG1432" s="201"/>
      <c r="AH1432" s="212" t="str">
        <f t="shared" si="643"/>
        <v/>
      </c>
      <c r="AI1432" s="214" t="str">
        <f t="shared" si="627"/>
        <v/>
      </c>
      <c r="AJ1432" s="214" t="str">
        <f t="shared" si="628"/>
        <v/>
      </c>
      <c r="AK1432" s="214" t="str">
        <f t="shared" si="629"/>
        <v/>
      </c>
      <c r="AL1432" s="214" t="str">
        <f t="shared" si="630"/>
        <v/>
      </c>
      <c r="AM1432" s="214" t="str">
        <f t="shared" si="631"/>
        <v/>
      </c>
      <c r="AN1432" s="213" t="str">
        <f t="shared" si="614"/>
        <v/>
      </c>
      <c r="AO1432" s="213" t="str">
        <f t="shared" si="615"/>
        <v/>
      </c>
      <c r="AP1432" s="213" t="str">
        <f t="shared" si="616"/>
        <v/>
      </c>
      <c r="AQ1432" s="215" t="str">
        <f t="shared" si="617"/>
        <v/>
      </c>
      <c r="AR1432" s="216" t="str">
        <f t="shared" si="618"/>
        <v>BiK81GbKA3y-06</v>
      </c>
      <c r="AS1432" s="215" t="str">
        <f t="shared" si="619"/>
        <v/>
      </c>
      <c r="AT1432">
        <f t="shared" si="620"/>
        <v>14</v>
      </c>
      <c r="AU1432" s="216" t="str">
        <f t="shared" si="621"/>
        <v>0-0,15 MW, Bonusregeln G, y, b und K wenn Anlage 3 erfüllt</v>
      </c>
      <c r="AV1432" s="215" t="str">
        <f t="shared" si="622"/>
        <v/>
      </c>
      <c r="AW1432" s="216" t="str">
        <f t="shared" si="623"/>
        <v>Anteil KWK gemäß Anlage 3</v>
      </c>
      <c r="AX1432" s="215" t="str">
        <f t="shared" si="624"/>
        <v/>
      </c>
      <c r="AY1432" t="str">
        <f t="shared" si="625"/>
        <v/>
      </c>
      <c r="AZ1432" t="str">
        <f t="shared" si="626"/>
        <v/>
      </c>
    </row>
    <row r="1433" spans="1:52" x14ac:dyDescent="0.25">
      <c r="A1433" s="610" t="s">
        <v>2749</v>
      </c>
      <c r="B1433" s="30" t="s">
        <v>5548</v>
      </c>
      <c r="C1433" s="30" t="s">
        <v>1296</v>
      </c>
      <c r="D1433" s="30" t="s">
        <v>6945</v>
      </c>
      <c r="E1433" s="30" t="s">
        <v>674</v>
      </c>
      <c r="F1433" s="454">
        <f t="shared" si="633"/>
        <v>24.67</v>
      </c>
      <c r="G1433" s="529">
        <v>24.67</v>
      </c>
      <c r="H1433" s="487">
        <f t="shared" si="634"/>
        <v>19.739999999999998</v>
      </c>
      <c r="I1433" s="706"/>
      <c r="J1433" s="669" t="s">
        <v>5805</v>
      </c>
      <c r="K1433" s="15"/>
      <c r="M1433" s="49">
        <f t="shared" si="635"/>
        <v>24.67</v>
      </c>
      <c r="N1433" s="41">
        <v>11.67</v>
      </c>
      <c r="O1433" s="187"/>
      <c r="P1433" s="183"/>
      <c r="Q1433" s="184" t="s">
        <v>1017</v>
      </c>
      <c r="R1433" s="184"/>
      <c r="S1433" s="184" t="s">
        <v>4180</v>
      </c>
      <c r="T1433" t="s">
        <v>4180</v>
      </c>
      <c r="U1433" s="185" t="s">
        <v>1017</v>
      </c>
      <c r="V1433" s="184"/>
      <c r="W1433" s="180"/>
      <c r="X1433" s="180"/>
      <c r="Y1433" s="184" t="s">
        <v>1017</v>
      </c>
      <c r="Z1433" s="184"/>
      <c r="AA1433" s="180"/>
      <c r="AB1433" s="184"/>
      <c r="AC1433" s="184"/>
      <c r="AD1433" s="201"/>
      <c r="AE1433" s="181" t="s">
        <v>1017</v>
      </c>
      <c r="AF1433" s="180"/>
      <c r="AG1433" s="201"/>
      <c r="AH1433" s="212" t="str">
        <f t="shared" si="643"/>
        <v/>
      </c>
      <c r="AI1433" s="214" t="str">
        <f t="shared" si="627"/>
        <v/>
      </c>
      <c r="AJ1433" s="214" t="str">
        <f t="shared" si="628"/>
        <v/>
      </c>
      <c r="AK1433" s="214" t="str">
        <f t="shared" si="629"/>
        <v/>
      </c>
      <c r="AL1433" s="214" t="str">
        <f t="shared" si="630"/>
        <v/>
      </c>
      <c r="AM1433" s="214" t="str">
        <f t="shared" si="631"/>
        <v/>
      </c>
      <c r="AN1433" s="213" t="str">
        <f t="shared" ref="AN1433:AN1496" si="644">IF(ISERROR(SEARCH("K1",A1433)),"","20"&amp;MID(A1433,SEARCH("K1",A1433)+1,2))</f>
        <v/>
      </c>
      <c r="AO1433" s="213" t="str">
        <f t="shared" ref="AO1433:AO1496" si="645">IF(ISERROR(SEARCH("erstmals 201",E1433)),"",MID(E1433,SEARCH("erstmals ",E1433)+9,4))</f>
        <v/>
      </c>
      <c r="AP1433" s="213" t="str">
        <f t="shared" ref="AP1433:AP1496" si="646">IF(R1433="x","2010",IF(S1433="x","2011",IF(T1433="x","2012","")))</f>
        <v/>
      </c>
      <c r="AQ1433" s="215" t="str">
        <f t="shared" ref="AQ1433:AQ1496" si="647">IF(OR(AH1433&lt;&gt;AN1433,AH1433&lt;&gt;AO1433,AH1433&lt;&gt;AP1433),"DIFF","")</f>
        <v/>
      </c>
      <c r="AR1433" s="216" t="str">
        <f t="shared" ref="AR1433:AR1496" si="648">IF(A1433="","",IF(ISERROR(SEARCH("K1",A1433)),A1433,LEFT(A1433,SEARCH("K1",A1433)+1)&amp;RIGHT(AH1433,1)&amp;MID(A1433,SEARCH("K1",A1433)+3,14)))</f>
        <v>BiK81GbK09y-06</v>
      </c>
      <c r="AS1433" s="215" t="str">
        <f t="shared" ref="AS1433:AS1496" si="649">IF(OR(A1433&lt;&gt;AR1433),"DIFF","")</f>
        <v/>
      </c>
      <c r="AT1433">
        <f t="shared" ref="AT1433:AT1496" si="650">LEN(AR1433)</f>
        <v>14</v>
      </c>
      <c r="AU1433" s="216" t="str">
        <f t="shared" ref="AU1433:AU1496" si="651">IF(D1433="","",IF(OR(A1433="",ISERROR(SEARCH("erstmals 201",D1433))),D1433,LEFT(D1433,SEARCH("erstmals 201",D1433)+8) &amp; AH1433 &amp; MID(D1433,SEARCH("erstmals 201",D1433)+13,255)))</f>
        <v>0-0,15 MW, Bonusregeln G, y, b und K erstmals 2009</v>
      </c>
      <c r="AV1433" s="215" t="str">
        <f t="shared" ref="AV1433:AV1496" si="652">IF(OR(D1433&lt;&gt;AU1433),"DIFF","")</f>
        <v/>
      </c>
      <c r="AW1433" s="216" t="str">
        <f t="shared" ref="AW1433:AW1496" si="653">IF(E1433="","",IF(OR(E1433="",ISERROR(SEARCH("erstmals 201",E1433))),E1433,LEFT(E1433,SEARCH("erstmals 201",E1433)+8) &amp; AH1433 &amp; MID(E1433,SEARCH("erstmals 201",E1433)+13,255)))</f>
        <v>Anteil KWK, erstmals 2009</v>
      </c>
      <c r="AX1433" s="215" t="str">
        <f t="shared" ref="AX1433:AX1496" si="654">IF(OR(E1433&lt;&gt;AW1433),"DIFF","")</f>
        <v/>
      </c>
      <c r="AY1433" t="str">
        <f t="shared" ref="AY1433:AY1496" si="655">IF(AH1433="2011","x",IF(AH1433="2012","","" &amp; S1433))</f>
        <v/>
      </c>
      <c r="AZ1433" t="str">
        <f t="shared" ref="AZ1433:AZ1496" si="656">IF(AH1433="2012","x",IF(AH1433="2011","","" &amp; T1433))</f>
        <v/>
      </c>
    </row>
    <row r="1434" spans="1:52" s="178" customFormat="1" x14ac:dyDescent="0.25">
      <c r="A1434" s="610" t="s">
        <v>4902</v>
      </c>
      <c r="B1434" s="30" t="s">
        <v>5548</v>
      </c>
      <c r="C1434" s="30" t="s">
        <v>1296</v>
      </c>
      <c r="D1434" s="30" t="s">
        <v>6946</v>
      </c>
      <c r="E1434" s="30" t="s">
        <v>3567</v>
      </c>
      <c r="F1434" s="454">
        <f t="shared" si="633"/>
        <v>24.64</v>
      </c>
      <c r="G1434" s="529">
        <v>24.64</v>
      </c>
      <c r="H1434" s="487">
        <f t="shared" si="634"/>
        <v>19.71</v>
      </c>
      <c r="I1434" s="706"/>
      <c r="J1434" s="669" t="s">
        <v>5805</v>
      </c>
      <c r="K1434" s="15"/>
      <c r="L1434"/>
      <c r="M1434" s="49">
        <f t="shared" si="635"/>
        <v>24.64</v>
      </c>
      <c r="N1434" s="41">
        <v>11.67</v>
      </c>
      <c r="O1434" s="187"/>
      <c r="P1434" s="183"/>
      <c r="Q1434" s="184"/>
      <c r="R1434" s="184" t="s">
        <v>1017</v>
      </c>
      <c r="S1434" s="184" t="s">
        <v>4180</v>
      </c>
      <c r="T1434" s="178" t="s">
        <v>4180</v>
      </c>
      <c r="U1434" s="185" t="s">
        <v>1017</v>
      </c>
      <c r="V1434" s="184"/>
      <c r="W1434" s="180"/>
      <c r="X1434" s="180"/>
      <c r="Y1434" s="184" t="s">
        <v>1017</v>
      </c>
      <c r="Z1434" s="184"/>
      <c r="AA1434" s="180"/>
      <c r="AB1434" s="184"/>
      <c r="AC1434" s="184"/>
      <c r="AD1434" s="201"/>
      <c r="AE1434" s="181" t="s">
        <v>1017</v>
      </c>
      <c r="AF1434" s="180"/>
      <c r="AG1434" s="201"/>
      <c r="AH1434" s="212" t="str">
        <f t="shared" si="643"/>
        <v>2010</v>
      </c>
      <c r="AI1434" s="214" t="str">
        <f t="shared" si="627"/>
        <v/>
      </c>
      <c r="AJ1434" s="214" t="str">
        <f t="shared" si="628"/>
        <v/>
      </c>
      <c r="AK1434" s="214" t="str">
        <f t="shared" si="629"/>
        <v/>
      </c>
      <c r="AL1434" s="214" t="str">
        <f t="shared" si="630"/>
        <v/>
      </c>
      <c r="AM1434" s="214" t="str">
        <f t="shared" si="631"/>
        <v/>
      </c>
      <c r="AN1434" s="213" t="str">
        <f t="shared" si="644"/>
        <v>2010</v>
      </c>
      <c r="AO1434" s="213" t="str">
        <f t="shared" si="645"/>
        <v>2010</v>
      </c>
      <c r="AP1434" s="213" t="str">
        <f t="shared" si="646"/>
        <v>2010</v>
      </c>
      <c r="AQ1434" s="215" t="str">
        <f t="shared" si="647"/>
        <v/>
      </c>
      <c r="AR1434" s="216" t="str">
        <f t="shared" si="648"/>
        <v>BiK81GbK10y-06</v>
      </c>
      <c r="AS1434" s="215" t="str">
        <f t="shared" si="649"/>
        <v/>
      </c>
      <c r="AT1434">
        <f t="shared" si="650"/>
        <v>14</v>
      </c>
      <c r="AU1434" s="216" t="str">
        <f t="shared" si="651"/>
        <v>0-0,15 MW, Bonusregeln G, y, b und K erstmals 2010</v>
      </c>
      <c r="AV1434" s="215" t="str">
        <f t="shared" si="652"/>
        <v/>
      </c>
      <c r="AW1434" s="216" t="str">
        <f t="shared" si="653"/>
        <v>Anteil KWK, erstmals 2010</v>
      </c>
      <c r="AX1434" s="215" t="str">
        <f t="shared" si="654"/>
        <v/>
      </c>
      <c r="AY1434" t="str">
        <f t="shared" si="655"/>
        <v/>
      </c>
      <c r="AZ1434" t="str">
        <f t="shared" si="656"/>
        <v/>
      </c>
    </row>
    <row r="1435" spans="1:52" s="178" customFormat="1" x14ac:dyDescent="0.25">
      <c r="A1435" s="610" t="s">
        <v>5371</v>
      </c>
      <c r="B1435" s="30" t="s">
        <v>5548</v>
      </c>
      <c r="C1435" s="30" t="s">
        <v>1296</v>
      </c>
      <c r="D1435" s="30" t="s">
        <v>6947</v>
      </c>
      <c r="E1435" s="30" t="s">
        <v>3055</v>
      </c>
      <c r="F1435" s="454">
        <f t="shared" si="633"/>
        <v>24.61</v>
      </c>
      <c r="G1435" s="529">
        <v>24.61</v>
      </c>
      <c r="H1435" s="487">
        <f t="shared" si="634"/>
        <v>19.690000000000001</v>
      </c>
      <c r="I1435" s="706"/>
      <c r="J1435" s="669" t="s">
        <v>5805</v>
      </c>
      <c r="K1435" s="15"/>
      <c r="L1435"/>
      <c r="M1435" s="49">
        <f t="shared" si="635"/>
        <v>24.61</v>
      </c>
      <c r="N1435" s="41">
        <v>11.67</v>
      </c>
      <c r="O1435" s="187"/>
      <c r="P1435" s="183"/>
      <c r="Q1435" s="184"/>
      <c r="S1435" s="184" t="s">
        <v>1017</v>
      </c>
      <c r="T1435" s="178" t="s">
        <v>4180</v>
      </c>
      <c r="U1435" s="185" t="s">
        <v>1017</v>
      </c>
      <c r="V1435" s="184"/>
      <c r="W1435" s="180"/>
      <c r="X1435" s="180"/>
      <c r="Y1435" s="184" t="s">
        <v>1017</v>
      </c>
      <c r="Z1435" s="184"/>
      <c r="AA1435" s="180"/>
      <c r="AB1435" s="184"/>
      <c r="AC1435" s="184"/>
      <c r="AD1435" s="201"/>
      <c r="AE1435" s="181" t="s">
        <v>1017</v>
      </c>
      <c r="AF1435" s="180"/>
      <c r="AG1435" s="201"/>
      <c r="AH1435" s="212" t="str">
        <f t="shared" si="643"/>
        <v>2011</v>
      </c>
      <c r="AI1435" s="214" t="str">
        <f t="shared" ref="AI1435:AI1498" si="657">IF(AND($AH1435&lt;&gt;"",AH1435 =AH1434),"Gleich","")</f>
        <v/>
      </c>
      <c r="AJ1435" s="214" t="str">
        <f t="shared" ref="AJ1435:AJ1498" si="658">IF(AND($AH1435&lt;&gt;"",A1435 =A1434),"Gleich","")</f>
        <v/>
      </c>
      <c r="AK1435" s="214" t="str">
        <f t="shared" ref="AK1435:AK1498" si="659">IF(AND($AH1435&lt;&gt;"",D1435 =D1434),"Gleich","")</f>
        <v/>
      </c>
      <c r="AL1435" s="214" t="str">
        <f t="shared" ref="AL1435:AL1498" si="660">IF(AND($AH1435&lt;&gt;"",E1435 =E1434),"Gleich","")</f>
        <v/>
      </c>
      <c r="AM1435" s="214" t="str">
        <f t="shared" ref="AM1435:AM1498" si="661">IF(AND($AH1435&lt;&gt;"",F1435 =F1434),"Gleich","")</f>
        <v/>
      </c>
      <c r="AN1435" s="213" t="str">
        <f t="shared" si="644"/>
        <v>2011</v>
      </c>
      <c r="AO1435" s="213" t="str">
        <f t="shared" si="645"/>
        <v>2011</v>
      </c>
      <c r="AP1435" s="213" t="str">
        <f t="shared" si="646"/>
        <v>2011</v>
      </c>
      <c r="AQ1435" s="215" t="str">
        <f t="shared" si="647"/>
        <v/>
      </c>
      <c r="AR1435" s="216" t="str">
        <f t="shared" si="648"/>
        <v>BiK81GbK11y-06</v>
      </c>
      <c r="AS1435" s="215" t="str">
        <f t="shared" si="649"/>
        <v/>
      </c>
      <c r="AT1435">
        <f t="shared" si="650"/>
        <v>14</v>
      </c>
      <c r="AU1435" s="216" t="str">
        <f t="shared" si="651"/>
        <v>0-0,15 MW, Bonusregeln G, y, b und K erstmals 2011</v>
      </c>
      <c r="AV1435" s="215" t="str">
        <f t="shared" si="652"/>
        <v/>
      </c>
      <c r="AW1435" s="216" t="str">
        <f t="shared" si="653"/>
        <v>Anteil KWK, erstmals 2011</v>
      </c>
      <c r="AX1435" s="215" t="str">
        <f t="shared" si="654"/>
        <v/>
      </c>
      <c r="AY1435" t="str">
        <f t="shared" si="655"/>
        <v>x</v>
      </c>
      <c r="AZ1435" t="str">
        <f t="shared" si="656"/>
        <v/>
      </c>
    </row>
    <row r="1436" spans="1:52" s="178" customFormat="1" x14ac:dyDescent="0.25">
      <c r="A1436" s="625" t="s">
        <v>3649</v>
      </c>
      <c r="B1436" s="219" t="s">
        <v>5548</v>
      </c>
      <c r="C1436" s="219" t="s">
        <v>1296</v>
      </c>
      <c r="D1436" s="219" t="s">
        <v>6948</v>
      </c>
      <c r="E1436" s="219" t="s">
        <v>1980</v>
      </c>
      <c r="F1436" s="455">
        <f t="shared" si="633"/>
        <v>24.58</v>
      </c>
      <c r="G1436" s="530">
        <v>24.58</v>
      </c>
      <c r="H1436" s="488">
        <f t="shared" si="634"/>
        <v>19.66</v>
      </c>
      <c r="I1436" s="707"/>
      <c r="J1436" s="669" t="s">
        <v>5805</v>
      </c>
      <c r="K1436" s="15"/>
      <c r="L1436"/>
      <c r="M1436" s="49">
        <f t="shared" si="635"/>
        <v>24.58</v>
      </c>
      <c r="N1436" s="41">
        <v>11.67</v>
      </c>
      <c r="O1436" s="187"/>
      <c r="P1436" s="183"/>
      <c r="Q1436" s="184"/>
      <c r="S1436" s="184" t="s">
        <v>4180</v>
      </c>
      <c r="T1436" s="178" t="s">
        <v>1017</v>
      </c>
      <c r="U1436" s="185" t="s">
        <v>1017</v>
      </c>
      <c r="V1436" s="184"/>
      <c r="W1436" s="180"/>
      <c r="X1436" s="180"/>
      <c r="Y1436" s="184" t="s">
        <v>1017</v>
      </c>
      <c r="Z1436" s="184"/>
      <c r="AA1436" s="180"/>
      <c r="AB1436" s="184"/>
      <c r="AC1436" s="184"/>
      <c r="AD1436" s="201"/>
      <c r="AE1436" s="181" t="s">
        <v>1017</v>
      </c>
      <c r="AF1436" s="180"/>
      <c r="AG1436" s="201"/>
      <c r="AH1436" s="217" t="s">
        <v>4179</v>
      </c>
      <c r="AI1436" s="214" t="str">
        <f t="shared" si="657"/>
        <v/>
      </c>
      <c r="AJ1436" s="214" t="str">
        <f t="shared" si="658"/>
        <v/>
      </c>
      <c r="AK1436" s="214" t="str">
        <f t="shared" si="659"/>
        <v/>
      </c>
      <c r="AL1436" s="214" t="str">
        <f t="shared" si="660"/>
        <v/>
      </c>
      <c r="AM1436" s="214" t="str">
        <f t="shared" si="661"/>
        <v/>
      </c>
      <c r="AN1436" s="213" t="str">
        <f t="shared" si="644"/>
        <v>2012</v>
      </c>
      <c r="AO1436" s="213" t="str">
        <f t="shared" si="645"/>
        <v>2012</v>
      </c>
      <c r="AP1436" s="213" t="str">
        <f t="shared" si="646"/>
        <v>2012</v>
      </c>
      <c r="AQ1436" s="215" t="str">
        <f t="shared" si="647"/>
        <v/>
      </c>
      <c r="AR1436" s="216" t="str">
        <f t="shared" si="648"/>
        <v>BiK81GbK12y-06</v>
      </c>
      <c r="AS1436" s="215" t="str">
        <f t="shared" si="649"/>
        <v/>
      </c>
      <c r="AT1436">
        <f t="shared" si="650"/>
        <v>14</v>
      </c>
      <c r="AU1436" s="216" t="str">
        <f t="shared" si="651"/>
        <v>0-0,15 MW, Bonusregeln G, y, b und K erstmals 2012</v>
      </c>
      <c r="AV1436" s="215" t="str">
        <f t="shared" si="652"/>
        <v/>
      </c>
      <c r="AW1436" s="216" t="str">
        <f t="shared" si="653"/>
        <v>Anteil KWK, erstmals 2012</v>
      </c>
      <c r="AX1436" s="215" t="str">
        <f t="shared" si="654"/>
        <v/>
      </c>
      <c r="AY1436" t="str">
        <f t="shared" si="655"/>
        <v/>
      </c>
      <c r="AZ1436" t="str">
        <f t="shared" si="656"/>
        <v>x</v>
      </c>
    </row>
    <row r="1437" spans="1:52" s="178" customFormat="1" x14ac:dyDescent="0.25">
      <c r="A1437" s="610" t="s">
        <v>2750</v>
      </c>
      <c r="B1437" s="30" t="s">
        <v>5548</v>
      </c>
      <c r="C1437" s="30" t="s">
        <v>1296</v>
      </c>
      <c r="D1437" s="30" t="s">
        <v>6949</v>
      </c>
      <c r="E1437" s="30" t="s">
        <v>4810</v>
      </c>
      <c r="F1437" s="454">
        <f t="shared" si="633"/>
        <v>24.67</v>
      </c>
      <c r="G1437" s="529">
        <v>24.67</v>
      </c>
      <c r="H1437" s="487">
        <f t="shared" si="634"/>
        <v>19.739999999999998</v>
      </c>
      <c r="I1437" s="706"/>
      <c r="J1437" s="669" t="s">
        <v>5805</v>
      </c>
      <c r="K1437" s="15"/>
      <c r="L1437"/>
      <c r="M1437" s="49">
        <f t="shared" si="635"/>
        <v>24.67</v>
      </c>
      <c r="N1437" s="41">
        <v>11.67</v>
      </c>
      <c r="O1437" s="186"/>
      <c r="P1437" s="177"/>
      <c r="S1437" s="178" t="s">
        <v>4180</v>
      </c>
      <c r="T1437" s="178" t="s">
        <v>4180</v>
      </c>
      <c r="U1437" s="179"/>
      <c r="W1437" s="180"/>
      <c r="X1437" s="180"/>
      <c r="Z1437" s="178" t="s">
        <v>1017</v>
      </c>
      <c r="AA1437" s="180"/>
      <c r="AD1437" s="201"/>
      <c r="AE1437" s="181" t="s">
        <v>1017</v>
      </c>
      <c r="AF1437" s="180"/>
      <c r="AG1437" s="201"/>
      <c r="AH1437" s="212" t="str">
        <f t="shared" ref="AH1437:AH1442" si="662">IF(ISERROR(SEARCH("K erstmals 201",D1437)),"",RIGHT(D1437,4))</f>
        <v/>
      </c>
      <c r="AI1437" s="214" t="str">
        <f t="shared" si="657"/>
        <v/>
      </c>
      <c r="AJ1437" s="214" t="str">
        <f t="shared" si="658"/>
        <v/>
      </c>
      <c r="AK1437" s="214" t="str">
        <f t="shared" si="659"/>
        <v/>
      </c>
      <c r="AL1437" s="214" t="str">
        <f t="shared" si="660"/>
        <v/>
      </c>
      <c r="AM1437" s="214" t="str">
        <f t="shared" si="661"/>
        <v/>
      </c>
      <c r="AN1437" s="213" t="str">
        <f t="shared" si="644"/>
        <v/>
      </c>
      <c r="AO1437" s="213" t="str">
        <f t="shared" si="645"/>
        <v/>
      </c>
      <c r="AP1437" s="213" t="str">
        <f t="shared" si="646"/>
        <v/>
      </c>
      <c r="AQ1437" s="215" t="str">
        <f t="shared" si="647"/>
        <v/>
      </c>
      <c r="AR1437" s="216" t="str">
        <f t="shared" si="648"/>
        <v>BiK81M1b----06</v>
      </c>
      <c r="AS1437" s="215" t="str">
        <f t="shared" si="649"/>
        <v/>
      </c>
      <c r="AT1437">
        <f t="shared" si="650"/>
        <v>14</v>
      </c>
      <c r="AU1437" s="216" t="str">
        <f t="shared" si="651"/>
        <v>0-0,15 MW, Bonusregeln M1, b</v>
      </c>
      <c r="AV1437" s="215" t="str">
        <f t="shared" si="652"/>
        <v/>
      </c>
      <c r="AW1437" s="216" t="str">
        <f t="shared" si="653"/>
        <v>Anteil Nicht-KWK</v>
      </c>
      <c r="AX1437" s="215" t="str">
        <f t="shared" si="654"/>
        <v/>
      </c>
      <c r="AY1437" t="str">
        <f t="shared" si="655"/>
        <v/>
      </c>
      <c r="AZ1437" t="str">
        <f t="shared" si="656"/>
        <v/>
      </c>
    </row>
    <row r="1438" spans="1:52" s="178" customFormat="1" x14ac:dyDescent="0.25">
      <c r="A1438" s="610" t="s">
        <v>2751</v>
      </c>
      <c r="B1438" s="30" t="s">
        <v>5548</v>
      </c>
      <c r="C1438" s="30" t="s">
        <v>1296</v>
      </c>
      <c r="D1438" s="30" t="s">
        <v>6950</v>
      </c>
      <c r="E1438" s="30" t="s">
        <v>4812</v>
      </c>
      <c r="F1438" s="454">
        <f t="shared" si="633"/>
        <v>26.67</v>
      </c>
      <c r="G1438" s="529">
        <v>26.67</v>
      </c>
      <c r="H1438" s="487">
        <f t="shared" si="634"/>
        <v>21.34</v>
      </c>
      <c r="I1438" s="706"/>
      <c r="J1438" s="669" t="s">
        <v>5805</v>
      </c>
      <c r="K1438" s="15"/>
      <c r="L1438"/>
      <c r="M1438" s="49">
        <f t="shared" si="635"/>
        <v>26.67</v>
      </c>
      <c r="N1438" s="41">
        <v>11.67</v>
      </c>
      <c r="O1438" s="186" t="s">
        <v>1017</v>
      </c>
      <c r="P1438" s="177"/>
      <c r="S1438" s="178" t="s">
        <v>4180</v>
      </c>
      <c r="T1438" s="178" t="s">
        <v>4180</v>
      </c>
      <c r="U1438" s="179"/>
      <c r="W1438" s="180"/>
      <c r="X1438" s="180"/>
      <c r="Z1438" s="178" t="s">
        <v>1017</v>
      </c>
      <c r="AA1438" s="180"/>
      <c r="AD1438" s="201"/>
      <c r="AE1438" s="181" t="s">
        <v>1017</v>
      </c>
      <c r="AF1438" s="180"/>
      <c r="AG1438" s="201"/>
      <c r="AH1438" s="212" t="str">
        <f t="shared" si="662"/>
        <v/>
      </c>
      <c r="AI1438" s="214" t="str">
        <f t="shared" si="657"/>
        <v/>
      </c>
      <c r="AJ1438" s="214" t="str">
        <f t="shared" si="658"/>
        <v/>
      </c>
      <c r="AK1438" s="214" t="str">
        <f t="shared" si="659"/>
        <v/>
      </c>
      <c r="AL1438" s="214" t="str">
        <f t="shared" si="660"/>
        <v/>
      </c>
      <c r="AM1438" s="214" t="str">
        <f t="shared" si="661"/>
        <v/>
      </c>
      <c r="AN1438" s="213" t="str">
        <f t="shared" si="644"/>
        <v/>
      </c>
      <c r="AO1438" s="213" t="str">
        <f t="shared" si="645"/>
        <v/>
      </c>
      <c r="AP1438" s="213" t="str">
        <f t="shared" si="646"/>
        <v/>
      </c>
      <c r="AQ1438" s="215" t="str">
        <f t="shared" si="647"/>
        <v/>
      </c>
      <c r="AR1438" s="216" t="str">
        <f t="shared" si="648"/>
        <v>BiK81M1bKWK-06</v>
      </c>
      <c r="AS1438" s="215" t="str">
        <f t="shared" si="649"/>
        <v/>
      </c>
      <c r="AT1438">
        <f t="shared" si="650"/>
        <v>14</v>
      </c>
      <c r="AU1438" s="216" t="str">
        <f t="shared" si="651"/>
        <v>0-0,15 MW, Bonusregeln M1, b und KWK</v>
      </c>
      <c r="AV1438" s="215" t="str">
        <f t="shared" si="652"/>
        <v/>
      </c>
      <c r="AW1438" s="216" t="str">
        <f t="shared" si="653"/>
        <v>Anteil KWK</v>
      </c>
      <c r="AX1438" s="215" t="str">
        <f t="shared" si="654"/>
        <v/>
      </c>
      <c r="AY1438" t="str">
        <f t="shared" si="655"/>
        <v/>
      </c>
      <c r="AZ1438" t="str">
        <f t="shared" si="656"/>
        <v/>
      </c>
    </row>
    <row r="1439" spans="1:52" s="178" customFormat="1" x14ac:dyDescent="0.25">
      <c r="A1439" s="610" t="s">
        <v>2752</v>
      </c>
      <c r="B1439" s="30" t="s">
        <v>5548</v>
      </c>
      <c r="C1439" s="30" t="s">
        <v>1296</v>
      </c>
      <c r="D1439" s="30" t="s">
        <v>6951</v>
      </c>
      <c r="E1439" s="30" t="s">
        <v>4331</v>
      </c>
      <c r="F1439" s="454">
        <f t="shared" ref="F1439:F1502" si="663">M1439</f>
        <v>27.67</v>
      </c>
      <c r="G1439" s="529">
        <v>27.67</v>
      </c>
      <c r="H1439" s="487">
        <f t="shared" ref="H1439:H1502" si="664">IF(ISNUMBER(G1439),ROUND(0.8*G1439,2),"")</f>
        <v>22.14</v>
      </c>
      <c r="I1439" s="706"/>
      <c r="J1439" s="669" t="s">
        <v>5805</v>
      </c>
      <c r="K1439" s="15"/>
      <c r="L1439"/>
      <c r="M1439" s="49">
        <f t="shared" ref="M1439:M1502" si="665">N1439+SUMIF(O1439:AG1439,"x",O$1310:AG$1310)</f>
        <v>27.67</v>
      </c>
      <c r="N1439" s="41">
        <v>11.67</v>
      </c>
      <c r="O1439" s="186"/>
      <c r="P1439" s="178" t="s">
        <v>1017</v>
      </c>
      <c r="S1439" s="178" t="s">
        <v>4180</v>
      </c>
      <c r="T1439" s="178" t="s">
        <v>4180</v>
      </c>
      <c r="U1439" s="179"/>
      <c r="W1439" s="180"/>
      <c r="X1439" s="180"/>
      <c r="Z1439" s="178" t="s">
        <v>1017</v>
      </c>
      <c r="AA1439" s="180"/>
      <c r="AD1439" s="201"/>
      <c r="AE1439" s="181" t="s">
        <v>1017</v>
      </c>
      <c r="AF1439" s="180"/>
      <c r="AG1439" s="201"/>
      <c r="AH1439" s="212" t="str">
        <f t="shared" si="662"/>
        <v/>
      </c>
      <c r="AI1439" s="214" t="str">
        <f t="shared" si="657"/>
        <v/>
      </c>
      <c r="AJ1439" s="214" t="str">
        <f t="shared" si="658"/>
        <v/>
      </c>
      <c r="AK1439" s="214" t="str">
        <f t="shared" si="659"/>
        <v/>
      </c>
      <c r="AL1439" s="214" t="str">
        <f t="shared" si="660"/>
        <v/>
      </c>
      <c r="AM1439" s="214" t="str">
        <f t="shared" si="661"/>
        <v/>
      </c>
      <c r="AN1439" s="213" t="str">
        <f t="shared" si="644"/>
        <v/>
      </c>
      <c r="AO1439" s="213" t="str">
        <f t="shared" si="645"/>
        <v/>
      </c>
      <c r="AP1439" s="213" t="str">
        <f t="shared" si="646"/>
        <v/>
      </c>
      <c r="AQ1439" s="215" t="str">
        <f t="shared" si="647"/>
        <v/>
      </c>
      <c r="AR1439" s="216" t="str">
        <f t="shared" si="648"/>
        <v>BiK81M1bKA3-06</v>
      </c>
      <c r="AS1439" s="215" t="str">
        <f t="shared" si="649"/>
        <v/>
      </c>
      <c r="AT1439">
        <f t="shared" si="650"/>
        <v>14</v>
      </c>
      <c r="AU1439" s="216" t="str">
        <f t="shared" si="651"/>
        <v>0-0,15 MW, Bonusregeln M1, b und K wenn Anlage 3 erfüllt</v>
      </c>
      <c r="AV1439" s="215" t="str">
        <f t="shared" si="652"/>
        <v/>
      </c>
      <c r="AW1439" s="216" t="str">
        <f t="shared" si="653"/>
        <v>Anteil KWK gemäß Anlage 3</v>
      </c>
      <c r="AX1439" s="215" t="str">
        <f t="shared" si="654"/>
        <v/>
      </c>
      <c r="AY1439" t="str">
        <f t="shared" si="655"/>
        <v/>
      </c>
      <c r="AZ1439" t="str">
        <f t="shared" si="656"/>
        <v/>
      </c>
    </row>
    <row r="1440" spans="1:52" s="178" customFormat="1" x14ac:dyDescent="0.25">
      <c r="A1440" s="610" t="s">
        <v>2753</v>
      </c>
      <c r="B1440" s="30" t="s">
        <v>5548</v>
      </c>
      <c r="C1440" s="30" t="s">
        <v>1296</v>
      </c>
      <c r="D1440" s="30" t="s">
        <v>6952</v>
      </c>
      <c r="E1440" s="30" t="s">
        <v>674</v>
      </c>
      <c r="F1440" s="454">
        <f t="shared" si="663"/>
        <v>27.67</v>
      </c>
      <c r="G1440" s="529">
        <v>27.67</v>
      </c>
      <c r="H1440" s="487">
        <f t="shared" si="664"/>
        <v>22.14</v>
      </c>
      <c r="I1440" s="706"/>
      <c r="J1440" s="669" t="s">
        <v>5805</v>
      </c>
      <c r="K1440" s="15"/>
      <c r="L1440"/>
      <c r="M1440" s="49">
        <f t="shared" si="665"/>
        <v>27.67</v>
      </c>
      <c r="N1440" s="41">
        <v>11.67</v>
      </c>
      <c r="O1440" s="186"/>
      <c r="P1440" s="177"/>
      <c r="Q1440" s="178" t="s">
        <v>1017</v>
      </c>
      <c r="S1440" s="178" t="s">
        <v>4180</v>
      </c>
      <c r="T1440" s="178" t="s">
        <v>4180</v>
      </c>
      <c r="U1440" s="179"/>
      <c r="W1440" s="180"/>
      <c r="X1440" s="180"/>
      <c r="Z1440" s="178" t="s">
        <v>1017</v>
      </c>
      <c r="AA1440" s="180"/>
      <c r="AD1440" s="201"/>
      <c r="AE1440" s="181" t="s">
        <v>1017</v>
      </c>
      <c r="AF1440" s="180"/>
      <c r="AG1440" s="201"/>
      <c r="AH1440" s="212" t="str">
        <f t="shared" si="662"/>
        <v/>
      </c>
      <c r="AI1440" s="214" t="str">
        <f t="shared" si="657"/>
        <v/>
      </c>
      <c r="AJ1440" s="214" t="str">
        <f t="shared" si="658"/>
        <v/>
      </c>
      <c r="AK1440" s="214" t="str">
        <f t="shared" si="659"/>
        <v/>
      </c>
      <c r="AL1440" s="214" t="str">
        <f t="shared" si="660"/>
        <v/>
      </c>
      <c r="AM1440" s="214" t="str">
        <f t="shared" si="661"/>
        <v/>
      </c>
      <c r="AN1440" s="213" t="str">
        <f t="shared" si="644"/>
        <v/>
      </c>
      <c r="AO1440" s="213" t="str">
        <f t="shared" si="645"/>
        <v/>
      </c>
      <c r="AP1440" s="213" t="str">
        <f t="shared" si="646"/>
        <v/>
      </c>
      <c r="AQ1440" s="215" t="str">
        <f t="shared" si="647"/>
        <v/>
      </c>
      <c r="AR1440" s="216" t="str">
        <f t="shared" si="648"/>
        <v>BiK81M1bK09-06</v>
      </c>
      <c r="AS1440" s="215" t="str">
        <f t="shared" si="649"/>
        <v/>
      </c>
      <c r="AT1440">
        <f t="shared" si="650"/>
        <v>14</v>
      </c>
      <c r="AU1440" s="216" t="str">
        <f t="shared" si="651"/>
        <v>0-0,15 MW, Bonusregeln M1, b und K erstmals 2009</v>
      </c>
      <c r="AV1440" s="215" t="str">
        <f t="shared" si="652"/>
        <v/>
      </c>
      <c r="AW1440" s="216" t="str">
        <f t="shared" si="653"/>
        <v>Anteil KWK, erstmals 2009</v>
      </c>
      <c r="AX1440" s="215" t="str">
        <f t="shared" si="654"/>
        <v/>
      </c>
      <c r="AY1440" t="str">
        <f t="shared" si="655"/>
        <v/>
      </c>
      <c r="AZ1440" t="str">
        <f t="shared" si="656"/>
        <v/>
      </c>
    </row>
    <row r="1441" spans="1:52" s="178" customFormat="1" x14ac:dyDescent="0.25">
      <c r="A1441" s="610" t="s">
        <v>4903</v>
      </c>
      <c r="B1441" s="30" t="s">
        <v>5548</v>
      </c>
      <c r="C1441" s="30" t="s">
        <v>1296</v>
      </c>
      <c r="D1441" s="30" t="s">
        <v>6953</v>
      </c>
      <c r="E1441" s="30" t="s">
        <v>3567</v>
      </c>
      <c r="F1441" s="454">
        <f t="shared" si="663"/>
        <v>27.64</v>
      </c>
      <c r="G1441" s="529">
        <v>27.64</v>
      </c>
      <c r="H1441" s="487">
        <f t="shared" si="664"/>
        <v>22.11</v>
      </c>
      <c r="I1441" s="706"/>
      <c r="J1441" s="669" t="s">
        <v>5805</v>
      </c>
      <c r="K1441" s="15"/>
      <c r="L1441"/>
      <c r="M1441" s="49">
        <f t="shared" si="665"/>
        <v>27.64</v>
      </c>
      <c r="N1441" s="41">
        <v>11.67</v>
      </c>
      <c r="O1441" s="186"/>
      <c r="P1441" s="177"/>
      <c r="R1441" s="178" t="s">
        <v>1017</v>
      </c>
      <c r="S1441" s="178" t="s">
        <v>4180</v>
      </c>
      <c r="T1441" s="178" t="s">
        <v>4180</v>
      </c>
      <c r="U1441" s="179"/>
      <c r="W1441" s="180"/>
      <c r="X1441" s="180"/>
      <c r="Z1441" s="178" t="s">
        <v>1017</v>
      </c>
      <c r="AA1441" s="180"/>
      <c r="AD1441" s="201"/>
      <c r="AE1441" s="181" t="s">
        <v>1017</v>
      </c>
      <c r="AF1441" s="180"/>
      <c r="AG1441" s="201"/>
      <c r="AH1441" s="212" t="str">
        <f t="shared" si="662"/>
        <v>2010</v>
      </c>
      <c r="AI1441" s="214" t="str">
        <f t="shared" si="657"/>
        <v/>
      </c>
      <c r="AJ1441" s="214" t="str">
        <f t="shared" si="658"/>
        <v/>
      </c>
      <c r="AK1441" s="214" t="str">
        <f t="shared" si="659"/>
        <v/>
      </c>
      <c r="AL1441" s="214" t="str">
        <f t="shared" si="660"/>
        <v/>
      </c>
      <c r="AM1441" s="214" t="str">
        <f t="shared" si="661"/>
        <v/>
      </c>
      <c r="AN1441" s="213" t="str">
        <f t="shared" si="644"/>
        <v>2010</v>
      </c>
      <c r="AO1441" s="213" t="str">
        <f t="shared" si="645"/>
        <v>2010</v>
      </c>
      <c r="AP1441" s="213" t="str">
        <f t="shared" si="646"/>
        <v>2010</v>
      </c>
      <c r="AQ1441" s="215" t="str">
        <f t="shared" si="647"/>
        <v/>
      </c>
      <c r="AR1441" s="216" t="str">
        <f t="shared" si="648"/>
        <v>BiK81M1bK10-06</v>
      </c>
      <c r="AS1441" s="215" t="str">
        <f t="shared" si="649"/>
        <v/>
      </c>
      <c r="AT1441">
        <f t="shared" si="650"/>
        <v>14</v>
      </c>
      <c r="AU1441" s="216" t="str">
        <f t="shared" si="651"/>
        <v>0-0,15 MW, Bonusregeln M1, b und K erstmals 2010</v>
      </c>
      <c r="AV1441" s="215" t="str">
        <f t="shared" si="652"/>
        <v/>
      </c>
      <c r="AW1441" s="216" t="str">
        <f t="shared" si="653"/>
        <v>Anteil KWK, erstmals 2010</v>
      </c>
      <c r="AX1441" s="215" t="str">
        <f t="shared" si="654"/>
        <v/>
      </c>
      <c r="AY1441" t="str">
        <f t="shared" si="655"/>
        <v/>
      </c>
      <c r="AZ1441" t="str">
        <f t="shared" si="656"/>
        <v/>
      </c>
    </row>
    <row r="1442" spans="1:52" s="178" customFormat="1" x14ac:dyDescent="0.25">
      <c r="A1442" s="610" t="s">
        <v>5372</v>
      </c>
      <c r="B1442" s="30" t="s">
        <v>5548</v>
      </c>
      <c r="C1442" s="30" t="s">
        <v>1296</v>
      </c>
      <c r="D1442" s="30" t="s">
        <v>6954</v>
      </c>
      <c r="E1442" s="30" t="s">
        <v>3055</v>
      </c>
      <c r="F1442" s="454">
        <f t="shared" si="663"/>
        <v>27.61</v>
      </c>
      <c r="G1442" s="529">
        <v>27.61</v>
      </c>
      <c r="H1442" s="487">
        <f t="shared" si="664"/>
        <v>22.09</v>
      </c>
      <c r="I1442" s="706"/>
      <c r="J1442" s="669" t="s">
        <v>5805</v>
      </c>
      <c r="K1442" s="15"/>
      <c r="L1442"/>
      <c r="M1442" s="49">
        <f t="shared" si="665"/>
        <v>27.61</v>
      </c>
      <c r="N1442" s="41">
        <v>11.67</v>
      </c>
      <c r="O1442" s="186"/>
      <c r="P1442" s="177"/>
      <c r="S1442" s="178" t="s">
        <v>1017</v>
      </c>
      <c r="T1442" s="178" t="s">
        <v>4180</v>
      </c>
      <c r="U1442" s="179"/>
      <c r="W1442" s="180"/>
      <c r="X1442" s="180"/>
      <c r="Z1442" s="178" t="s">
        <v>1017</v>
      </c>
      <c r="AA1442" s="180"/>
      <c r="AD1442" s="201"/>
      <c r="AE1442" s="181" t="s">
        <v>1017</v>
      </c>
      <c r="AF1442" s="180"/>
      <c r="AG1442" s="201"/>
      <c r="AH1442" s="212" t="str">
        <f t="shared" si="662"/>
        <v>2011</v>
      </c>
      <c r="AI1442" s="214" t="str">
        <f t="shared" si="657"/>
        <v/>
      </c>
      <c r="AJ1442" s="214" t="str">
        <f t="shared" si="658"/>
        <v/>
      </c>
      <c r="AK1442" s="214" t="str">
        <f t="shared" si="659"/>
        <v/>
      </c>
      <c r="AL1442" s="214" t="str">
        <f t="shared" si="660"/>
        <v/>
      </c>
      <c r="AM1442" s="214" t="str">
        <f t="shared" si="661"/>
        <v/>
      </c>
      <c r="AN1442" s="213" t="str">
        <f t="shared" si="644"/>
        <v>2011</v>
      </c>
      <c r="AO1442" s="213" t="str">
        <f t="shared" si="645"/>
        <v>2011</v>
      </c>
      <c r="AP1442" s="213" t="str">
        <f t="shared" si="646"/>
        <v>2011</v>
      </c>
      <c r="AQ1442" s="215" t="str">
        <f t="shared" si="647"/>
        <v/>
      </c>
      <c r="AR1442" s="216" t="str">
        <f t="shared" si="648"/>
        <v>BiK81M1bK11-06</v>
      </c>
      <c r="AS1442" s="215" t="str">
        <f t="shared" si="649"/>
        <v/>
      </c>
      <c r="AT1442">
        <f t="shared" si="650"/>
        <v>14</v>
      </c>
      <c r="AU1442" s="216" t="str">
        <f t="shared" si="651"/>
        <v>0-0,15 MW, Bonusregeln M1, b und K erstmals 2011</v>
      </c>
      <c r="AV1442" s="215" t="str">
        <f t="shared" si="652"/>
        <v/>
      </c>
      <c r="AW1442" s="216" t="str">
        <f t="shared" si="653"/>
        <v>Anteil KWK, erstmals 2011</v>
      </c>
      <c r="AX1442" s="215" t="str">
        <f t="shared" si="654"/>
        <v/>
      </c>
      <c r="AY1442" t="str">
        <f t="shared" si="655"/>
        <v>x</v>
      </c>
      <c r="AZ1442" t="str">
        <f t="shared" si="656"/>
        <v/>
      </c>
    </row>
    <row r="1443" spans="1:52" s="178" customFormat="1" x14ac:dyDescent="0.25">
      <c r="A1443" s="625" t="s">
        <v>3650</v>
      </c>
      <c r="B1443" s="219" t="s">
        <v>5548</v>
      </c>
      <c r="C1443" s="219" t="s">
        <v>1296</v>
      </c>
      <c r="D1443" s="219" t="s">
        <v>6955</v>
      </c>
      <c r="E1443" s="219" t="s">
        <v>1980</v>
      </c>
      <c r="F1443" s="455">
        <f t="shared" si="663"/>
        <v>27.58</v>
      </c>
      <c r="G1443" s="530">
        <v>27.58</v>
      </c>
      <c r="H1443" s="488">
        <f t="shared" si="664"/>
        <v>22.06</v>
      </c>
      <c r="I1443" s="707"/>
      <c r="J1443" s="669" t="s">
        <v>5805</v>
      </c>
      <c r="K1443" s="15"/>
      <c r="L1443"/>
      <c r="M1443" s="49">
        <f t="shared" si="665"/>
        <v>27.58</v>
      </c>
      <c r="N1443" s="41">
        <v>11.67</v>
      </c>
      <c r="O1443" s="186"/>
      <c r="P1443" s="177"/>
      <c r="S1443" s="178" t="s">
        <v>4180</v>
      </c>
      <c r="T1443" s="178" t="s">
        <v>1017</v>
      </c>
      <c r="U1443" s="179"/>
      <c r="W1443" s="180"/>
      <c r="X1443" s="180"/>
      <c r="Z1443" s="178" t="s">
        <v>1017</v>
      </c>
      <c r="AA1443" s="180"/>
      <c r="AD1443" s="201"/>
      <c r="AE1443" s="181" t="s">
        <v>1017</v>
      </c>
      <c r="AF1443" s="180"/>
      <c r="AG1443" s="201"/>
      <c r="AH1443" s="217" t="s">
        <v>4179</v>
      </c>
      <c r="AI1443" s="214" t="str">
        <f t="shared" si="657"/>
        <v/>
      </c>
      <c r="AJ1443" s="214" t="str">
        <f t="shared" si="658"/>
        <v/>
      </c>
      <c r="AK1443" s="214" t="str">
        <f t="shared" si="659"/>
        <v/>
      </c>
      <c r="AL1443" s="214" t="str">
        <f t="shared" si="660"/>
        <v/>
      </c>
      <c r="AM1443" s="214" t="str">
        <f t="shared" si="661"/>
        <v/>
      </c>
      <c r="AN1443" s="213" t="str">
        <f t="shared" si="644"/>
        <v>2012</v>
      </c>
      <c r="AO1443" s="213" t="str">
        <f t="shared" si="645"/>
        <v>2012</v>
      </c>
      <c r="AP1443" s="213" t="str">
        <f t="shared" si="646"/>
        <v>2012</v>
      </c>
      <c r="AQ1443" s="215" t="str">
        <f t="shared" si="647"/>
        <v/>
      </c>
      <c r="AR1443" s="216" t="str">
        <f t="shared" si="648"/>
        <v>BiK81M1bK12-06</v>
      </c>
      <c r="AS1443" s="215" t="str">
        <f t="shared" si="649"/>
        <v/>
      </c>
      <c r="AT1443">
        <f t="shared" si="650"/>
        <v>14</v>
      </c>
      <c r="AU1443" s="216" t="str">
        <f t="shared" si="651"/>
        <v>0-0,15 MW, Bonusregeln M1, b und K erstmals 2012</v>
      </c>
      <c r="AV1443" s="215" t="str">
        <f t="shared" si="652"/>
        <v/>
      </c>
      <c r="AW1443" s="216" t="str">
        <f t="shared" si="653"/>
        <v>Anteil KWK, erstmals 2012</v>
      </c>
      <c r="AX1443" s="215" t="str">
        <f t="shared" si="654"/>
        <v/>
      </c>
      <c r="AY1443" t="str">
        <f t="shared" si="655"/>
        <v/>
      </c>
      <c r="AZ1443" t="str">
        <f t="shared" si="656"/>
        <v>x</v>
      </c>
    </row>
    <row r="1444" spans="1:52" s="178" customFormat="1" x14ac:dyDescent="0.25">
      <c r="A1444" s="610" t="s">
        <v>2754</v>
      </c>
      <c r="B1444" s="30" t="s">
        <v>5548</v>
      </c>
      <c r="C1444" s="30" t="s">
        <v>1296</v>
      </c>
      <c r="D1444" s="30" t="s">
        <v>6956</v>
      </c>
      <c r="E1444" s="30" t="s">
        <v>4810</v>
      </c>
      <c r="F1444" s="454">
        <f t="shared" si="663"/>
        <v>25.67</v>
      </c>
      <c r="G1444" s="529">
        <v>25.67</v>
      </c>
      <c r="H1444" s="487">
        <f t="shared" si="664"/>
        <v>20.54</v>
      </c>
      <c r="I1444" s="706"/>
      <c r="J1444" s="669" t="s">
        <v>5805</v>
      </c>
      <c r="K1444" s="15"/>
      <c r="L1444"/>
      <c r="M1444" s="49">
        <f t="shared" si="665"/>
        <v>25.67</v>
      </c>
      <c r="N1444" s="41">
        <v>11.67</v>
      </c>
      <c r="O1444" s="187"/>
      <c r="P1444" s="183"/>
      <c r="Q1444" s="184"/>
      <c r="R1444" s="184"/>
      <c r="S1444" s="184" t="s">
        <v>4180</v>
      </c>
      <c r="T1444" s="178" t="s">
        <v>4180</v>
      </c>
      <c r="U1444" s="185" t="s">
        <v>1017</v>
      </c>
      <c r="V1444" s="184"/>
      <c r="W1444" s="180"/>
      <c r="X1444" s="180"/>
      <c r="Z1444" s="184" t="s">
        <v>1017</v>
      </c>
      <c r="AA1444" s="180"/>
      <c r="AB1444" s="184"/>
      <c r="AC1444" s="184"/>
      <c r="AD1444" s="201"/>
      <c r="AE1444" s="181" t="s">
        <v>1017</v>
      </c>
      <c r="AF1444" s="180"/>
      <c r="AG1444" s="201"/>
      <c r="AH1444" s="212" t="str">
        <f t="shared" ref="AH1444:AH1449" si="666">IF(ISERROR(SEARCH("K erstmals 201",D1444)),"",RIGHT(D1444,4))</f>
        <v/>
      </c>
      <c r="AI1444" s="214" t="str">
        <f t="shared" si="657"/>
        <v/>
      </c>
      <c r="AJ1444" s="214" t="str">
        <f t="shared" si="658"/>
        <v/>
      </c>
      <c r="AK1444" s="214" t="str">
        <f t="shared" si="659"/>
        <v/>
      </c>
      <c r="AL1444" s="214" t="str">
        <f t="shared" si="660"/>
        <v/>
      </c>
      <c r="AM1444" s="214" t="str">
        <f t="shared" si="661"/>
        <v/>
      </c>
      <c r="AN1444" s="213" t="str">
        <f t="shared" si="644"/>
        <v/>
      </c>
      <c r="AO1444" s="213" t="str">
        <f t="shared" si="645"/>
        <v/>
      </c>
      <c r="AP1444" s="213" t="str">
        <f t="shared" si="646"/>
        <v/>
      </c>
      <c r="AQ1444" s="215" t="str">
        <f t="shared" si="647"/>
        <v/>
      </c>
      <c r="AR1444" s="216" t="str">
        <f t="shared" si="648"/>
        <v>BiK81M1by---06</v>
      </c>
      <c r="AS1444" s="215" t="str">
        <f t="shared" si="649"/>
        <v/>
      </c>
      <c r="AT1444">
        <f t="shared" si="650"/>
        <v>14</v>
      </c>
      <c r="AU1444" s="216" t="str">
        <f t="shared" si="651"/>
        <v>0-0,15 MW, Bonusregeln M1, y, b</v>
      </c>
      <c r="AV1444" s="215" t="str">
        <f t="shared" si="652"/>
        <v/>
      </c>
      <c r="AW1444" s="216" t="str">
        <f t="shared" si="653"/>
        <v>Anteil Nicht-KWK</v>
      </c>
      <c r="AX1444" s="215" t="str">
        <f t="shared" si="654"/>
        <v/>
      </c>
      <c r="AY1444" t="str">
        <f t="shared" si="655"/>
        <v/>
      </c>
      <c r="AZ1444" t="str">
        <f t="shared" si="656"/>
        <v/>
      </c>
    </row>
    <row r="1445" spans="1:52" s="178" customFormat="1" x14ac:dyDescent="0.25">
      <c r="A1445" s="610" t="s">
        <v>2755</v>
      </c>
      <c r="B1445" s="30" t="s">
        <v>5548</v>
      </c>
      <c r="C1445" s="30" t="s">
        <v>1296</v>
      </c>
      <c r="D1445" s="30" t="s">
        <v>6957</v>
      </c>
      <c r="E1445" s="30" t="s">
        <v>4812</v>
      </c>
      <c r="F1445" s="454">
        <f t="shared" si="663"/>
        <v>27.67</v>
      </c>
      <c r="G1445" s="529">
        <v>27.67</v>
      </c>
      <c r="H1445" s="487">
        <f t="shared" si="664"/>
        <v>22.14</v>
      </c>
      <c r="I1445" s="706"/>
      <c r="J1445" s="669" t="s">
        <v>5805</v>
      </c>
      <c r="K1445" s="15"/>
      <c r="L1445"/>
      <c r="M1445" s="49">
        <f t="shared" si="665"/>
        <v>27.67</v>
      </c>
      <c r="N1445" s="41">
        <v>11.67</v>
      </c>
      <c r="O1445" s="187" t="s">
        <v>1017</v>
      </c>
      <c r="P1445" s="183"/>
      <c r="Q1445" s="184"/>
      <c r="R1445" s="184"/>
      <c r="S1445" s="184" t="s">
        <v>4180</v>
      </c>
      <c r="T1445" s="178" t="s">
        <v>4180</v>
      </c>
      <c r="U1445" s="185" t="s">
        <v>1017</v>
      </c>
      <c r="V1445" s="184"/>
      <c r="W1445" s="180"/>
      <c r="X1445" s="180"/>
      <c r="Z1445" s="184" t="s">
        <v>1017</v>
      </c>
      <c r="AA1445" s="180"/>
      <c r="AB1445" s="184"/>
      <c r="AC1445" s="184"/>
      <c r="AD1445" s="201"/>
      <c r="AE1445" s="181" t="s">
        <v>1017</v>
      </c>
      <c r="AF1445" s="180"/>
      <c r="AG1445" s="201"/>
      <c r="AH1445" s="212" t="str">
        <f t="shared" si="666"/>
        <v/>
      </c>
      <c r="AI1445" s="214" t="str">
        <f t="shared" si="657"/>
        <v/>
      </c>
      <c r="AJ1445" s="214" t="str">
        <f t="shared" si="658"/>
        <v/>
      </c>
      <c r="AK1445" s="214" t="str">
        <f t="shared" si="659"/>
        <v/>
      </c>
      <c r="AL1445" s="214" t="str">
        <f t="shared" si="660"/>
        <v/>
      </c>
      <c r="AM1445" s="214" t="str">
        <f t="shared" si="661"/>
        <v/>
      </c>
      <c r="AN1445" s="213" t="str">
        <f t="shared" si="644"/>
        <v/>
      </c>
      <c r="AO1445" s="213" t="str">
        <f t="shared" si="645"/>
        <v/>
      </c>
      <c r="AP1445" s="213" t="str">
        <f t="shared" si="646"/>
        <v/>
      </c>
      <c r="AQ1445" s="215" t="str">
        <f t="shared" si="647"/>
        <v/>
      </c>
      <c r="AR1445" s="216" t="str">
        <f t="shared" si="648"/>
        <v>BiK81M1bKWKy06</v>
      </c>
      <c r="AS1445" s="215" t="str">
        <f t="shared" si="649"/>
        <v/>
      </c>
      <c r="AT1445">
        <f t="shared" si="650"/>
        <v>14</v>
      </c>
      <c r="AU1445" s="216" t="str">
        <f t="shared" si="651"/>
        <v>0-0,15 MW, Bonusregeln M1, y, b und KWK</v>
      </c>
      <c r="AV1445" s="215" t="str">
        <f t="shared" si="652"/>
        <v/>
      </c>
      <c r="AW1445" s="216" t="str">
        <f t="shared" si="653"/>
        <v>Anteil KWK</v>
      </c>
      <c r="AX1445" s="215" t="str">
        <f t="shared" si="654"/>
        <v/>
      </c>
      <c r="AY1445" t="str">
        <f t="shared" si="655"/>
        <v/>
      </c>
      <c r="AZ1445" t="str">
        <f t="shared" si="656"/>
        <v/>
      </c>
    </row>
    <row r="1446" spans="1:52" s="178" customFormat="1" x14ac:dyDescent="0.25">
      <c r="A1446" s="610" t="s">
        <v>2756</v>
      </c>
      <c r="B1446" s="30" t="s">
        <v>5548</v>
      </c>
      <c r="C1446" s="30" t="s">
        <v>1296</v>
      </c>
      <c r="D1446" s="109" t="s">
        <v>6958</v>
      </c>
      <c r="E1446" s="30" t="s">
        <v>4331</v>
      </c>
      <c r="F1446" s="454">
        <f t="shared" si="663"/>
        <v>28.67</v>
      </c>
      <c r="G1446" s="529">
        <v>28.67</v>
      </c>
      <c r="H1446" s="487">
        <f t="shared" si="664"/>
        <v>22.94</v>
      </c>
      <c r="I1446" s="706"/>
      <c r="J1446" s="669" t="s">
        <v>5805</v>
      </c>
      <c r="K1446" s="15"/>
      <c r="L1446"/>
      <c r="M1446" s="49">
        <f t="shared" si="665"/>
        <v>28.67</v>
      </c>
      <c r="N1446" s="41">
        <v>11.67</v>
      </c>
      <c r="O1446" s="187"/>
      <c r="P1446" s="184" t="s">
        <v>1017</v>
      </c>
      <c r="Q1446" s="184"/>
      <c r="R1446" s="184"/>
      <c r="S1446" s="184" t="s">
        <v>4180</v>
      </c>
      <c r="T1446" s="178" t="s">
        <v>4180</v>
      </c>
      <c r="U1446" s="185" t="s">
        <v>1017</v>
      </c>
      <c r="V1446" s="184"/>
      <c r="W1446" s="180"/>
      <c r="X1446" s="180"/>
      <c r="Z1446" s="184" t="s">
        <v>1017</v>
      </c>
      <c r="AA1446" s="180"/>
      <c r="AB1446" s="184"/>
      <c r="AC1446" s="184"/>
      <c r="AD1446" s="201"/>
      <c r="AE1446" s="181" t="s">
        <v>1017</v>
      </c>
      <c r="AF1446" s="180"/>
      <c r="AG1446" s="201"/>
      <c r="AH1446" s="212" t="str">
        <f t="shared" si="666"/>
        <v/>
      </c>
      <c r="AI1446" s="214" t="str">
        <f t="shared" si="657"/>
        <v/>
      </c>
      <c r="AJ1446" s="214" t="str">
        <f t="shared" si="658"/>
        <v/>
      </c>
      <c r="AK1446" s="214" t="str">
        <f t="shared" si="659"/>
        <v/>
      </c>
      <c r="AL1446" s="214" t="str">
        <f t="shared" si="660"/>
        <v/>
      </c>
      <c r="AM1446" s="214" t="str">
        <f t="shared" si="661"/>
        <v/>
      </c>
      <c r="AN1446" s="213" t="str">
        <f t="shared" si="644"/>
        <v/>
      </c>
      <c r="AO1446" s="213" t="str">
        <f t="shared" si="645"/>
        <v/>
      </c>
      <c r="AP1446" s="213" t="str">
        <f t="shared" si="646"/>
        <v/>
      </c>
      <c r="AQ1446" s="215" t="str">
        <f t="shared" si="647"/>
        <v/>
      </c>
      <c r="AR1446" s="216" t="str">
        <f t="shared" si="648"/>
        <v>BiK81M1bKA3y06</v>
      </c>
      <c r="AS1446" s="215" t="str">
        <f t="shared" si="649"/>
        <v/>
      </c>
      <c r="AT1446">
        <f t="shared" si="650"/>
        <v>14</v>
      </c>
      <c r="AU1446" s="216" t="str">
        <f t="shared" si="651"/>
        <v>0-0,15 MW, Bonusregeln M1, y, b und K wenn Anlage 3 erfüllt</v>
      </c>
      <c r="AV1446" s="215" t="str">
        <f t="shared" si="652"/>
        <v/>
      </c>
      <c r="AW1446" s="216" t="str">
        <f t="shared" si="653"/>
        <v>Anteil KWK gemäß Anlage 3</v>
      </c>
      <c r="AX1446" s="215" t="str">
        <f t="shared" si="654"/>
        <v/>
      </c>
      <c r="AY1446" t="str">
        <f t="shared" si="655"/>
        <v/>
      </c>
      <c r="AZ1446" t="str">
        <f t="shared" si="656"/>
        <v/>
      </c>
    </row>
    <row r="1447" spans="1:52" s="178" customFormat="1" x14ac:dyDescent="0.25">
      <c r="A1447" s="610" t="s">
        <v>2757</v>
      </c>
      <c r="B1447" s="30" t="s">
        <v>5548</v>
      </c>
      <c r="C1447" s="30" t="s">
        <v>1296</v>
      </c>
      <c r="D1447" s="30" t="s">
        <v>6959</v>
      </c>
      <c r="E1447" s="30" t="s">
        <v>674</v>
      </c>
      <c r="F1447" s="454">
        <f t="shared" si="663"/>
        <v>28.67</v>
      </c>
      <c r="G1447" s="529">
        <v>28.67</v>
      </c>
      <c r="H1447" s="487">
        <f t="shared" si="664"/>
        <v>22.94</v>
      </c>
      <c r="I1447" s="706"/>
      <c r="J1447" s="669" t="s">
        <v>5805</v>
      </c>
      <c r="K1447" s="15"/>
      <c r="L1447"/>
      <c r="M1447" s="49">
        <f t="shared" si="665"/>
        <v>28.67</v>
      </c>
      <c r="N1447" s="41">
        <v>11.67</v>
      </c>
      <c r="O1447" s="187"/>
      <c r="P1447" s="183"/>
      <c r="Q1447" s="184" t="s">
        <v>1017</v>
      </c>
      <c r="R1447" s="184"/>
      <c r="S1447" s="184" t="s">
        <v>4180</v>
      </c>
      <c r="T1447" s="178" t="s">
        <v>4180</v>
      </c>
      <c r="U1447" s="185" t="s">
        <v>1017</v>
      </c>
      <c r="V1447" s="184"/>
      <c r="W1447" s="180"/>
      <c r="X1447" s="180"/>
      <c r="Z1447" s="184" t="s">
        <v>1017</v>
      </c>
      <c r="AA1447" s="180"/>
      <c r="AB1447" s="184"/>
      <c r="AC1447" s="184"/>
      <c r="AD1447" s="201"/>
      <c r="AE1447" s="181" t="s">
        <v>1017</v>
      </c>
      <c r="AF1447" s="180"/>
      <c r="AG1447" s="201"/>
      <c r="AH1447" s="212" t="str">
        <f t="shared" si="666"/>
        <v/>
      </c>
      <c r="AI1447" s="214" t="str">
        <f t="shared" si="657"/>
        <v/>
      </c>
      <c r="AJ1447" s="214" t="str">
        <f t="shared" si="658"/>
        <v/>
      </c>
      <c r="AK1447" s="214" t="str">
        <f t="shared" si="659"/>
        <v/>
      </c>
      <c r="AL1447" s="214" t="str">
        <f t="shared" si="660"/>
        <v/>
      </c>
      <c r="AM1447" s="214" t="str">
        <f t="shared" si="661"/>
        <v/>
      </c>
      <c r="AN1447" s="213" t="str">
        <f t="shared" si="644"/>
        <v/>
      </c>
      <c r="AO1447" s="213" t="str">
        <f t="shared" si="645"/>
        <v/>
      </c>
      <c r="AP1447" s="213" t="str">
        <f t="shared" si="646"/>
        <v/>
      </c>
      <c r="AQ1447" s="215" t="str">
        <f t="shared" si="647"/>
        <v/>
      </c>
      <c r="AR1447" s="216" t="str">
        <f t="shared" si="648"/>
        <v>BiK81M1bK09y06</v>
      </c>
      <c r="AS1447" s="215" t="str">
        <f t="shared" si="649"/>
        <v/>
      </c>
      <c r="AT1447">
        <f t="shared" si="650"/>
        <v>14</v>
      </c>
      <c r="AU1447" s="216" t="str">
        <f t="shared" si="651"/>
        <v>0-0,15 MW, Bonusregeln M1, y, b und K erstmals 2009</v>
      </c>
      <c r="AV1447" s="215" t="str">
        <f t="shared" si="652"/>
        <v/>
      </c>
      <c r="AW1447" s="216" t="str">
        <f t="shared" si="653"/>
        <v>Anteil KWK, erstmals 2009</v>
      </c>
      <c r="AX1447" s="215" t="str">
        <f t="shared" si="654"/>
        <v/>
      </c>
      <c r="AY1447" t="str">
        <f t="shared" si="655"/>
        <v/>
      </c>
      <c r="AZ1447" t="str">
        <f t="shared" si="656"/>
        <v/>
      </c>
    </row>
    <row r="1448" spans="1:52" s="178" customFormat="1" x14ac:dyDescent="0.25">
      <c r="A1448" s="610" t="s">
        <v>4904</v>
      </c>
      <c r="B1448" s="30" t="s">
        <v>5548</v>
      </c>
      <c r="C1448" s="30" t="s">
        <v>1296</v>
      </c>
      <c r="D1448" s="30" t="s">
        <v>6960</v>
      </c>
      <c r="E1448" s="30" t="s">
        <v>3567</v>
      </c>
      <c r="F1448" s="454">
        <f t="shared" si="663"/>
        <v>28.64</v>
      </c>
      <c r="G1448" s="529">
        <v>28.64</v>
      </c>
      <c r="H1448" s="487">
        <f t="shared" si="664"/>
        <v>22.91</v>
      </c>
      <c r="I1448" s="706"/>
      <c r="J1448" s="669" t="s">
        <v>5805</v>
      </c>
      <c r="K1448" s="15"/>
      <c r="L1448"/>
      <c r="M1448" s="49">
        <f t="shared" si="665"/>
        <v>28.64</v>
      </c>
      <c r="N1448" s="41">
        <v>11.67</v>
      </c>
      <c r="O1448" s="187"/>
      <c r="P1448" s="183"/>
      <c r="Q1448" s="184"/>
      <c r="R1448" s="184" t="s">
        <v>1017</v>
      </c>
      <c r="S1448" s="184" t="s">
        <v>4180</v>
      </c>
      <c r="T1448" s="178" t="s">
        <v>4180</v>
      </c>
      <c r="U1448" s="185" t="s">
        <v>1017</v>
      </c>
      <c r="V1448" s="184"/>
      <c r="W1448" s="180"/>
      <c r="X1448" s="180"/>
      <c r="Z1448" s="184" t="s">
        <v>1017</v>
      </c>
      <c r="AA1448" s="180"/>
      <c r="AB1448" s="184"/>
      <c r="AC1448" s="184"/>
      <c r="AD1448" s="201"/>
      <c r="AE1448" s="181" t="s">
        <v>1017</v>
      </c>
      <c r="AF1448" s="180"/>
      <c r="AG1448" s="201"/>
      <c r="AH1448" s="212" t="str">
        <f t="shared" si="666"/>
        <v>2010</v>
      </c>
      <c r="AI1448" s="214" t="str">
        <f t="shared" si="657"/>
        <v/>
      </c>
      <c r="AJ1448" s="214" t="str">
        <f t="shared" si="658"/>
        <v/>
      </c>
      <c r="AK1448" s="214" t="str">
        <f t="shared" si="659"/>
        <v/>
      </c>
      <c r="AL1448" s="214" t="str">
        <f t="shared" si="660"/>
        <v/>
      </c>
      <c r="AM1448" s="214" t="str">
        <f t="shared" si="661"/>
        <v/>
      </c>
      <c r="AN1448" s="213" t="str">
        <f t="shared" si="644"/>
        <v>2010</v>
      </c>
      <c r="AO1448" s="213" t="str">
        <f t="shared" si="645"/>
        <v>2010</v>
      </c>
      <c r="AP1448" s="213" t="str">
        <f t="shared" si="646"/>
        <v>2010</v>
      </c>
      <c r="AQ1448" s="215" t="str">
        <f t="shared" si="647"/>
        <v/>
      </c>
      <c r="AR1448" s="216" t="str">
        <f t="shared" si="648"/>
        <v>BiK81M1bK10y06</v>
      </c>
      <c r="AS1448" s="215" t="str">
        <f t="shared" si="649"/>
        <v/>
      </c>
      <c r="AT1448">
        <f t="shared" si="650"/>
        <v>14</v>
      </c>
      <c r="AU1448" s="216" t="str">
        <f t="shared" si="651"/>
        <v>0-0,15 MW, Bonusregeln M1, y, b und K erstmals 2010</v>
      </c>
      <c r="AV1448" s="215" t="str">
        <f t="shared" si="652"/>
        <v/>
      </c>
      <c r="AW1448" s="216" t="str">
        <f t="shared" si="653"/>
        <v>Anteil KWK, erstmals 2010</v>
      </c>
      <c r="AX1448" s="215" t="str">
        <f t="shared" si="654"/>
        <v/>
      </c>
      <c r="AY1448" t="str">
        <f t="shared" si="655"/>
        <v/>
      </c>
      <c r="AZ1448" t="str">
        <f t="shared" si="656"/>
        <v/>
      </c>
    </row>
    <row r="1449" spans="1:52" s="178" customFormat="1" x14ac:dyDescent="0.25">
      <c r="A1449" s="610" t="s">
        <v>5373</v>
      </c>
      <c r="B1449" s="30" t="s">
        <v>5548</v>
      </c>
      <c r="C1449" s="30" t="s">
        <v>1296</v>
      </c>
      <c r="D1449" s="30" t="s">
        <v>6961</v>
      </c>
      <c r="E1449" s="30" t="s">
        <v>3055</v>
      </c>
      <c r="F1449" s="454">
        <f t="shared" si="663"/>
        <v>28.61</v>
      </c>
      <c r="G1449" s="529">
        <v>28.61</v>
      </c>
      <c r="H1449" s="487">
        <f t="shared" si="664"/>
        <v>22.89</v>
      </c>
      <c r="I1449" s="706"/>
      <c r="J1449" s="669" t="s">
        <v>5805</v>
      </c>
      <c r="K1449" s="15"/>
      <c r="L1449"/>
      <c r="M1449" s="49">
        <f t="shared" si="665"/>
        <v>28.61</v>
      </c>
      <c r="N1449" s="41">
        <v>11.67</v>
      </c>
      <c r="O1449" s="187"/>
      <c r="P1449" s="183"/>
      <c r="Q1449" s="184"/>
      <c r="S1449" s="184" t="s">
        <v>1017</v>
      </c>
      <c r="T1449" s="178" t="s">
        <v>4180</v>
      </c>
      <c r="U1449" s="185" t="s">
        <v>1017</v>
      </c>
      <c r="V1449" s="184"/>
      <c r="W1449" s="180"/>
      <c r="X1449" s="180"/>
      <c r="Z1449" s="184" t="s">
        <v>1017</v>
      </c>
      <c r="AA1449" s="180"/>
      <c r="AB1449" s="184"/>
      <c r="AC1449" s="184"/>
      <c r="AD1449" s="201"/>
      <c r="AE1449" s="181" t="s">
        <v>1017</v>
      </c>
      <c r="AF1449" s="180"/>
      <c r="AG1449" s="201"/>
      <c r="AH1449" s="212" t="str">
        <f t="shared" si="666"/>
        <v>2011</v>
      </c>
      <c r="AI1449" s="214" t="str">
        <f t="shared" si="657"/>
        <v/>
      </c>
      <c r="AJ1449" s="214" t="str">
        <f t="shared" si="658"/>
        <v/>
      </c>
      <c r="AK1449" s="214" t="str">
        <f t="shared" si="659"/>
        <v/>
      </c>
      <c r="AL1449" s="214" t="str">
        <f t="shared" si="660"/>
        <v/>
      </c>
      <c r="AM1449" s="214" t="str">
        <f t="shared" si="661"/>
        <v/>
      </c>
      <c r="AN1449" s="213" t="str">
        <f t="shared" si="644"/>
        <v>2011</v>
      </c>
      <c r="AO1449" s="213" t="str">
        <f t="shared" si="645"/>
        <v>2011</v>
      </c>
      <c r="AP1449" s="213" t="str">
        <f t="shared" si="646"/>
        <v>2011</v>
      </c>
      <c r="AQ1449" s="215" t="str">
        <f t="shared" si="647"/>
        <v/>
      </c>
      <c r="AR1449" s="216" t="str">
        <f t="shared" si="648"/>
        <v>BiK81M1bK11y06</v>
      </c>
      <c r="AS1449" s="215" t="str">
        <f t="shared" si="649"/>
        <v/>
      </c>
      <c r="AT1449">
        <f t="shared" si="650"/>
        <v>14</v>
      </c>
      <c r="AU1449" s="216" t="str">
        <f t="shared" si="651"/>
        <v>0-0,15 MW, Bonusregeln M1, y, b und K erstmals 2011</v>
      </c>
      <c r="AV1449" s="215" t="str">
        <f t="shared" si="652"/>
        <v/>
      </c>
      <c r="AW1449" s="216" t="str">
        <f t="shared" si="653"/>
        <v>Anteil KWK, erstmals 2011</v>
      </c>
      <c r="AX1449" s="215" t="str">
        <f t="shared" si="654"/>
        <v/>
      </c>
      <c r="AY1449" t="str">
        <f t="shared" si="655"/>
        <v>x</v>
      </c>
      <c r="AZ1449" t="str">
        <f t="shared" si="656"/>
        <v/>
      </c>
    </row>
    <row r="1450" spans="1:52" s="178" customFormat="1" x14ac:dyDescent="0.25">
      <c r="A1450" s="625" t="s">
        <v>3651</v>
      </c>
      <c r="B1450" s="219" t="s">
        <v>5548</v>
      </c>
      <c r="C1450" s="219" t="s">
        <v>1296</v>
      </c>
      <c r="D1450" s="219" t="s">
        <v>6962</v>
      </c>
      <c r="E1450" s="219" t="s">
        <v>1980</v>
      </c>
      <c r="F1450" s="455">
        <f t="shared" si="663"/>
        <v>28.58</v>
      </c>
      <c r="G1450" s="530">
        <v>28.58</v>
      </c>
      <c r="H1450" s="488">
        <f t="shared" si="664"/>
        <v>22.86</v>
      </c>
      <c r="I1450" s="707"/>
      <c r="J1450" s="669" t="s">
        <v>5805</v>
      </c>
      <c r="K1450" s="15"/>
      <c r="L1450"/>
      <c r="M1450" s="49">
        <f t="shared" si="665"/>
        <v>28.58</v>
      </c>
      <c r="N1450" s="41">
        <v>11.67</v>
      </c>
      <c r="O1450" s="187"/>
      <c r="P1450" s="183"/>
      <c r="Q1450" s="184"/>
      <c r="S1450" s="184" t="s">
        <v>4180</v>
      </c>
      <c r="T1450" s="178" t="s">
        <v>1017</v>
      </c>
      <c r="U1450" s="185" t="s">
        <v>1017</v>
      </c>
      <c r="V1450" s="184"/>
      <c r="W1450" s="180"/>
      <c r="X1450" s="180"/>
      <c r="Z1450" s="184" t="s">
        <v>1017</v>
      </c>
      <c r="AA1450" s="180"/>
      <c r="AB1450" s="184"/>
      <c r="AC1450" s="184"/>
      <c r="AD1450" s="201"/>
      <c r="AE1450" s="181" t="s">
        <v>1017</v>
      </c>
      <c r="AF1450" s="180"/>
      <c r="AG1450" s="201"/>
      <c r="AH1450" s="217" t="s">
        <v>4179</v>
      </c>
      <c r="AI1450" s="214" t="str">
        <f t="shared" si="657"/>
        <v/>
      </c>
      <c r="AJ1450" s="214" t="str">
        <f t="shared" si="658"/>
        <v/>
      </c>
      <c r="AK1450" s="214" t="str">
        <f t="shared" si="659"/>
        <v/>
      </c>
      <c r="AL1450" s="214" t="str">
        <f t="shared" si="660"/>
        <v/>
      </c>
      <c r="AM1450" s="214" t="str">
        <f t="shared" si="661"/>
        <v/>
      </c>
      <c r="AN1450" s="213" t="str">
        <f t="shared" si="644"/>
        <v>2012</v>
      </c>
      <c r="AO1450" s="213" t="str">
        <f t="shared" si="645"/>
        <v>2012</v>
      </c>
      <c r="AP1450" s="213" t="str">
        <f t="shared" si="646"/>
        <v>2012</v>
      </c>
      <c r="AQ1450" s="215" t="str">
        <f t="shared" si="647"/>
        <v/>
      </c>
      <c r="AR1450" s="216" t="str">
        <f t="shared" si="648"/>
        <v>BiK81M1bK12y06</v>
      </c>
      <c r="AS1450" s="215" t="str">
        <f t="shared" si="649"/>
        <v/>
      </c>
      <c r="AT1450">
        <f t="shared" si="650"/>
        <v>14</v>
      </c>
      <c r="AU1450" s="216" t="str">
        <f t="shared" si="651"/>
        <v>0-0,15 MW, Bonusregeln M1, y, b und K erstmals 2012</v>
      </c>
      <c r="AV1450" s="215" t="str">
        <f t="shared" si="652"/>
        <v/>
      </c>
      <c r="AW1450" s="216" t="str">
        <f t="shared" si="653"/>
        <v>Anteil KWK, erstmals 2012</v>
      </c>
      <c r="AX1450" s="215" t="str">
        <f t="shared" si="654"/>
        <v/>
      </c>
      <c r="AY1450" t="str">
        <f t="shared" si="655"/>
        <v/>
      </c>
      <c r="AZ1450" t="str">
        <f t="shared" si="656"/>
        <v>x</v>
      </c>
    </row>
    <row r="1451" spans="1:52" s="178" customFormat="1" x14ac:dyDescent="0.25">
      <c r="A1451" s="610" t="s">
        <v>2758</v>
      </c>
      <c r="B1451" s="30" t="s">
        <v>5548</v>
      </c>
      <c r="C1451" s="30" t="s">
        <v>1296</v>
      </c>
      <c r="D1451" s="30" t="s">
        <v>6963</v>
      </c>
      <c r="E1451" s="30" t="s">
        <v>4810</v>
      </c>
      <c r="F1451" s="454">
        <f t="shared" si="663"/>
        <v>22.67</v>
      </c>
      <c r="G1451" s="529">
        <v>22.67</v>
      </c>
      <c r="H1451" s="487">
        <f t="shared" si="664"/>
        <v>18.14</v>
      </c>
      <c r="I1451" s="706"/>
      <c r="J1451" s="669" t="s">
        <v>5805</v>
      </c>
      <c r="K1451" s="15"/>
      <c r="L1451"/>
      <c r="M1451" s="49">
        <f t="shared" si="665"/>
        <v>22.67</v>
      </c>
      <c r="N1451" s="41">
        <v>11.67</v>
      </c>
      <c r="O1451" s="186"/>
      <c r="P1451" s="177"/>
      <c r="S1451" s="178" t="s">
        <v>4180</v>
      </c>
      <c r="T1451" s="178" t="s">
        <v>4180</v>
      </c>
      <c r="U1451" s="179"/>
      <c r="W1451" s="180"/>
      <c r="X1451" s="180"/>
      <c r="AA1451" s="180"/>
      <c r="AB1451" s="178" t="s">
        <v>1017</v>
      </c>
      <c r="AD1451" s="201"/>
      <c r="AE1451" s="181" t="s">
        <v>1017</v>
      </c>
      <c r="AF1451" s="180"/>
      <c r="AG1451" s="201"/>
      <c r="AH1451" s="212" t="str">
        <f t="shared" ref="AH1451:AH1456" si="667">IF(ISERROR(SEARCH("K erstmals 201",D1451)),"",RIGHT(D1451,4))</f>
        <v/>
      </c>
      <c r="AI1451" s="214" t="str">
        <f t="shared" si="657"/>
        <v/>
      </c>
      <c r="AJ1451" s="214" t="str">
        <f t="shared" si="658"/>
        <v/>
      </c>
      <c r="AK1451" s="214" t="str">
        <f t="shared" si="659"/>
        <v/>
      </c>
      <c r="AL1451" s="214" t="str">
        <f t="shared" si="660"/>
        <v/>
      </c>
      <c r="AM1451" s="214" t="str">
        <f t="shared" si="661"/>
        <v/>
      </c>
      <c r="AN1451" s="213" t="str">
        <f t="shared" si="644"/>
        <v/>
      </c>
      <c r="AO1451" s="213" t="str">
        <f t="shared" si="645"/>
        <v/>
      </c>
      <c r="AP1451" s="213" t="str">
        <f t="shared" si="646"/>
        <v/>
      </c>
      <c r="AQ1451" s="215" t="str">
        <f t="shared" si="647"/>
        <v/>
      </c>
      <c r="AR1451" s="216" t="str">
        <f t="shared" si="648"/>
        <v>BiK81Lb-----06</v>
      </c>
      <c r="AS1451" s="215" t="str">
        <f t="shared" si="649"/>
        <v/>
      </c>
      <c r="AT1451">
        <f t="shared" si="650"/>
        <v>14</v>
      </c>
      <c r="AU1451" s="216" t="str">
        <f t="shared" si="651"/>
        <v>0-0,15 MW, Bonusregeln L, b</v>
      </c>
      <c r="AV1451" s="215" t="str">
        <f t="shared" si="652"/>
        <v/>
      </c>
      <c r="AW1451" s="216" t="str">
        <f t="shared" si="653"/>
        <v>Anteil Nicht-KWK</v>
      </c>
      <c r="AX1451" s="215" t="str">
        <f t="shared" si="654"/>
        <v/>
      </c>
      <c r="AY1451" t="str">
        <f t="shared" si="655"/>
        <v/>
      </c>
      <c r="AZ1451" t="str">
        <f t="shared" si="656"/>
        <v/>
      </c>
    </row>
    <row r="1452" spans="1:52" s="178" customFormat="1" x14ac:dyDescent="0.25">
      <c r="A1452" s="610" t="s">
        <v>2759</v>
      </c>
      <c r="B1452" s="30" t="s">
        <v>5548</v>
      </c>
      <c r="C1452" s="30" t="s">
        <v>1296</v>
      </c>
      <c r="D1452" s="30" t="s">
        <v>6964</v>
      </c>
      <c r="E1452" s="30" t="s">
        <v>4812</v>
      </c>
      <c r="F1452" s="454">
        <f t="shared" si="663"/>
        <v>24.67</v>
      </c>
      <c r="G1452" s="529">
        <v>24.67</v>
      </c>
      <c r="H1452" s="487">
        <f t="shared" si="664"/>
        <v>19.739999999999998</v>
      </c>
      <c r="I1452" s="706"/>
      <c r="J1452" s="669" t="s">
        <v>5805</v>
      </c>
      <c r="K1452" s="15"/>
      <c r="L1452"/>
      <c r="M1452" s="49">
        <f t="shared" si="665"/>
        <v>24.67</v>
      </c>
      <c r="N1452" s="41">
        <v>11.67</v>
      </c>
      <c r="O1452" s="186" t="s">
        <v>1017</v>
      </c>
      <c r="P1452" s="177"/>
      <c r="S1452" s="178" t="s">
        <v>4180</v>
      </c>
      <c r="T1452" s="178" t="s">
        <v>4180</v>
      </c>
      <c r="U1452" s="179"/>
      <c r="W1452" s="180"/>
      <c r="X1452" s="180"/>
      <c r="AA1452" s="180"/>
      <c r="AB1452" s="178" t="s">
        <v>1017</v>
      </c>
      <c r="AD1452" s="201"/>
      <c r="AE1452" s="181" t="s">
        <v>1017</v>
      </c>
      <c r="AF1452" s="180"/>
      <c r="AG1452" s="201"/>
      <c r="AH1452" s="212" t="str">
        <f t="shared" si="667"/>
        <v/>
      </c>
      <c r="AI1452" s="214" t="str">
        <f t="shared" si="657"/>
        <v/>
      </c>
      <c r="AJ1452" s="214" t="str">
        <f t="shared" si="658"/>
        <v/>
      </c>
      <c r="AK1452" s="214" t="str">
        <f t="shared" si="659"/>
        <v/>
      </c>
      <c r="AL1452" s="214" t="str">
        <f t="shared" si="660"/>
        <v/>
      </c>
      <c r="AM1452" s="214" t="str">
        <f t="shared" si="661"/>
        <v/>
      </c>
      <c r="AN1452" s="213" t="str">
        <f t="shared" si="644"/>
        <v/>
      </c>
      <c r="AO1452" s="213" t="str">
        <f t="shared" si="645"/>
        <v/>
      </c>
      <c r="AP1452" s="213" t="str">
        <f t="shared" si="646"/>
        <v/>
      </c>
      <c r="AQ1452" s="215" t="str">
        <f t="shared" si="647"/>
        <v/>
      </c>
      <c r="AR1452" s="216" t="str">
        <f t="shared" si="648"/>
        <v>BiK81LbKWK--06</v>
      </c>
      <c r="AS1452" s="215" t="str">
        <f t="shared" si="649"/>
        <v/>
      </c>
      <c r="AT1452">
        <f t="shared" si="650"/>
        <v>14</v>
      </c>
      <c r="AU1452" s="216" t="str">
        <f t="shared" si="651"/>
        <v>0-0,15 MW, Bonusregeln L, b und KWK</v>
      </c>
      <c r="AV1452" s="215" t="str">
        <f t="shared" si="652"/>
        <v/>
      </c>
      <c r="AW1452" s="216" t="str">
        <f t="shared" si="653"/>
        <v>Anteil KWK</v>
      </c>
      <c r="AX1452" s="215" t="str">
        <f t="shared" si="654"/>
        <v/>
      </c>
      <c r="AY1452" t="str">
        <f t="shared" si="655"/>
        <v/>
      </c>
      <c r="AZ1452" t="str">
        <f t="shared" si="656"/>
        <v/>
      </c>
    </row>
    <row r="1453" spans="1:52" s="178" customFormat="1" x14ac:dyDescent="0.25">
      <c r="A1453" s="610" t="s">
        <v>2760</v>
      </c>
      <c r="B1453" s="30" t="s">
        <v>5548</v>
      </c>
      <c r="C1453" s="30" t="s">
        <v>1296</v>
      </c>
      <c r="D1453" s="30" t="s">
        <v>6965</v>
      </c>
      <c r="E1453" s="30" t="s">
        <v>4331</v>
      </c>
      <c r="F1453" s="454">
        <f t="shared" si="663"/>
        <v>25.67</v>
      </c>
      <c r="G1453" s="529">
        <v>25.67</v>
      </c>
      <c r="H1453" s="487">
        <f t="shared" si="664"/>
        <v>20.54</v>
      </c>
      <c r="I1453" s="706"/>
      <c r="J1453" s="669" t="s">
        <v>5805</v>
      </c>
      <c r="K1453" s="15"/>
      <c r="L1453"/>
      <c r="M1453" s="49">
        <f t="shared" si="665"/>
        <v>25.67</v>
      </c>
      <c r="N1453" s="41">
        <v>11.67</v>
      </c>
      <c r="O1453" s="186"/>
      <c r="P1453" s="178" t="s">
        <v>1017</v>
      </c>
      <c r="S1453" s="178" t="s">
        <v>4180</v>
      </c>
      <c r="T1453" s="178" t="s">
        <v>4180</v>
      </c>
      <c r="U1453" s="179"/>
      <c r="W1453" s="180"/>
      <c r="X1453" s="180"/>
      <c r="AA1453" s="180"/>
      <c r="AB1453" s="178" t="s">
        <v>1017</v>
      </c>
      <c r="AD1453" s="201"/>
      <c r="AE1453" s="181" t="s">
        <v>1017</v>
      </c>
      <c r="AF1453" s="180"/>
      <c r="AG1453" s="201"/>
      <c r="AH1453" s="212" t="str">
        <f t="shared" si="667"/>
        <v/>
      </c>
      <c r="AI1453" s="214" t="str">
        <f t="shared" si="657"/>
        <v/>
      </c>
      <c r="AJ1453" s="214" t="str">
        <f t="shared" si="658"/>
        <v/>
      </c>
      <c r="AK1453" s="214" t="str">
        <f t="shared" si="659"/>
        <v/>
      </c>
      <c r="AL1453" s="214" t="str">
        <f t="shared" si="660"/>
        <v/>
      </c>
      <c r="AM1453" s="214" t="str">
        <f t="shared" si="661"/>
        <v/>
      </c>
      <c r="AN1453" s="213" t="str">
        <f t="shared" si="644"/>
        <v/>
      </c>
      <c r="AO1453" s="213" t="str">
        <f t="shared" si="645"/>
        <v/>
      </c>
      <c r="AP1453" s="213" t="str">
        <f t="shared" si="646"/>
        <v/>
      </c>
      <c r="AQ1453" s="215" t="str">
        <f t="shared" si="647"/>
        <v/>
      </c>
      <c r="AR1453" s="216" t="str">
        <f t="shared" si="648"/>
        <v>BiK81LbKA3--06</v>
      </c>
      <c r="AS1453" s="215" t="str">
        <f t="shared" si="649"/>
        <v/>
      </c>
      <c r="AT1453">
        <f t="shared" si="650"/>
        <v>14</v>
      </c>
      <c r="AU1453" s="216" t="str">
        <f t="shared" si="651"/>
        <v>0-0,15 MW, Bonusregeln L, b und K wenn Anlage 3 erfüllt</v>
      </c>
      <c r="AV1453" s="215" t="str">
        <f t="shared" si="652"/>
        <v/>
      </c>
      <c r="AW1453" s="216" t="str">
        <f t="shared" si="653"/>
        <v>Anteil KWK gemäß Anlage 3</v>
      </c>
      <c r="AX1453" s="215" t="str">
        <f t="shared" si="654"/>
        <v/>
      </c>
      <c r="AY1453" t="str">
        <f t="shared" si="655"/>
        <v/>
      </c>
      <c r="AZ1453" t="str">
        <f t="shared" si="656"/>
        <v/>
      </c>
    </row>
    <row r="1454" spans="1:52" s="178" customFormat="1" x14ac:dyDescent="0.25">
      <c r="A1454" s="610" t="s">
        <v>2761</v>
      </c>
      <c r="B1454" s="30" t="s">
        <v>5548</v>
      </c>
      <c r="C1454" s="30" t="s">
        <v>1296</v>
      </c>
      <c r="D1454" s="30" t="s">
        <v>6966</v>
      </c>
      <c r="E1454" s="30" t="s">
        <v>674</v>
      </c>
      <c r="F1454" s="454">
        <f t="shared" si="663"/>
        <v>25.67</v>
      </c>
      <c r="G1454" s="529">
        <v>25.67</v>
      </c>
      <c r="H1454" s="487">
        <f t="shared" si="664"/>
        <v>20.54</v>
      </c>
      <c r="I1454" s="706"/>
      <c r="J1454" s="669" t="s">
        <v>5805</v>
      </c>
      <c r="K1454" s="15"/>
      <c r="L1454"/>
      <c r="M1454" s="49">
        <f t="shared" si="665"/>
        <v>25.67</v>
      </c>
      <c r="N1454" s="41">
        <v>11.67</v>
      </c>
      <c r="O1454" s="186"/>
      <c r="P1454" s="177"/>
      <c r="Q1454" s="178" t="s">
        <v>1017</v>
      </c>
      <c r="S1454" s="178" t="s">
        <v>4180</v>
      </c>
      <c r="T1454" s="178" t="s">
        <v>4180</v>
      </c>
      <c r="U1454" s="179"/>
      <c r="W1454" s="180"/>
      <c r="X1454" s="180"/>
      <c r="AA1454" s="180"/>
      <c r="AB1454" s="178" t="s">
        <v>1017</v>
      </c>
      <c r="AD1454" s="201"/>
      <c r="AE1454" s="181" t="s">
        <v>1017</v>
      </c>
      <c r="AF1454" s="180"/>
      <c r="AG1454" s="201"/>
      <c r="AH1454" s="212" t="str">
        <f t="shared" si="667"/>
        <v/>
      </c>
      <c r="AI1454" s="214" t="str">
        <f t="shared" si="657"/>
        <v/>
      </c>
      <c r="AJ1454" s="214" t="str">
        <f t="shared" si="658"/>
        <v/>
      </c>
      <c r="AK1454" s="214" t="str">
        <f t="shared" si="659"/>
        <v/>
      </c>
      <c r="AL1454" s="214" t="str">
        <f t="shared" si="660"/>
        <v/>
      </c>
      <c r="AM1454" s="214" t="str">
        <f t="shared" si="661"/>
        <v/>
      </c>
      <c r="AN1454" s="213" t="str">
        <f t="shared" si="644"/>
        <v/>
      </c>
      <c r="AO1454" s="213" t="str">
        <f t="shared" si="645"/>
        <v/>
      </c>
      <c r="AP1454" s="213" t="str">
        <f t="shared" si="646"/>
        <v/>
      </c>
      <c r="AQ1454" s="215" t="str">
        <f t="shared" si="647"/>
        <v/>
      </c>
      <c r="AR1454" s="216" t="str">
        <f t="shared" si="648"/>
        <v>BiK81LbK09--06</v>
      </c>
      <c r="AS1454" s="215" t="str">
        <f t="shared" si="649"/>
        <v/>
      </c>
      <c r="AT1454">
        <f t="shared" si="650"/>
        <v>14</v>
      </c>
      <c r="AU1454" s="216" t="str">
        <f t="shared" si="651"/>
        <v>0-0,15 MW, Bonusregeln L, b und K erstmals 2009</v>
      </c>
      <c r="AV1454" s="215" t="str">
        <f t="shared" si="652"/>
        <v/>
      </c>
      <c r="AW1454" s="216" t="str">
        <f t="shared" si="653"/>
        <v>Anteil KWK, erstmals 2009</v>
      </c>
      <c r="AX1454" s="215" t="str">
        <f t="shared" si="654"/>
        <v/>
      </c>
      <c r="AY1454" t="str">
        <f t="shared" si="655"/>
        <v/>
      </c>
      <c r="AZ1454" t="str">
        <f t="shared" si="656"/>
        <v/>
      </c>
    </row>
    <row r="1455" spans="1:52" s="178" customFormat="1" x14ac:dyDescent="0.25">
      <c r="A1455" s="610" t="s">
        <v>4905</v>
      </c>
      <c r="B1455" s="30" t="s">
        <v>5548</v>
      </c>
      <c r="C1455" s="30" t="s">
        <v>1296</v>
      </c>
      <c r="D1455" s="30" t="s">
        <v>6967</v>
      </c>
      <c r="E1455" s="30" t="s">
        <v>3567</v>
      </c>
      <c r="F1455" s="454">
        <f t="shared" si="663"/>
        <v>25.64</v>
      </c>
      <c r="G1455" s="529">
        <v>25.64</v>
      </c>
      <c r="H1455" s="487">
        <f t="shared" si="664"/>
        <v>20.51</v>
      </c>
      <c r="I1455" s="706"/>
      <c r="J1455" s="669" t="s">
        <v>5805</v>
      </c>
      <c r="K1455" s="15"/>
      <c r="L1455"/>
      <c r="M1455" s="49">
        <f t="shared" si="665"/>
        <v>25.64</v>
      </c>
      <c r="N1455" s="41">
        <v>11.67</v>
      </c>
      <c r="O1455" s="186"/>
      <c r="P1455" s="177"/>
      <c r="R1455" s="178" t="s">
        <v>1017</v>
      </c>
      <c r="S1455" s="178" t="s">
        <v>4180</v>
      </c>
      <c r="T1455" s="178" t="s">
        <v>4180</v>
      </c>
      <c r="U1455" s="179"/>
      <c r="W1455" s="180"/>
      <c r="X1455" s="180"/>
      <c r="AA1455" s="180"/>
      <c r="AB1455" s="178" t="s">
        <v>1017</v>
      </c>
      <c r="AD1455" s="201"/>
      <c r="AE1455" s="181" t="s">
        <v>1017</v>
      </c>
      <c r="AF1455" s="180"/>
      <c r="AG1455" s="201"/>
      <c r="AH1455" s="212" t="str">
        <f t="shared" si="667"/>
        <v>2010</v>
      </c>
      <c r="AI1455" s="214" t="str">
        <f t="shared" si="657"/>
        <v/>
      </c>
      <c r="AJ1455" s="214" t="str">
        <f t="shared" si="658"/>
        <v/>
      </c>
      <c r="AK1455" s="214" t="str">
        <f t="shared" si="659"/>
        <v/>
      </c>
      <c r="AL1455" s="214" t="str">
        <f t="shared" si="660"/>
        <v/>
      </c>
      <c r="AM1455" s="214" t="str">
        <f t="shared" si="661"/>
        <v/>
      </c>
      <c r="AN1455" s="213" t="str">
        <f t="shared" si="644"/>
        <v>2010</v>
      </c>
      <c r="AO1455" s="213" t="str">
        <f t="shared" si="645"/>
        <v>2010</v>
      </c>
      <c r="AP1455" s="213" t="str">
        <f t="shared" si="646"/>
        <v>2010</v>
      </c>
      <c r="AQ1455" s="215" t="str">
        <f t="shared" si="647"/>
        <v/>
      </c>
      <c r="AR1455" s="216" t="str">
        <f t="shared" si="648"/>
        <v>BiK81LbK10--06</v>
      </c>
      <c r="AS1455" s="215" t="str">
        <f t="shared" si="649"/>
        <v/>
      </c>
      <c r="AT1455">
        <f t="shared" si="650"/>
        <v>14</v>
      </c>
      <c r="AU1455" s="216" t="str">
        <f t="shared" si="651"/>
        <v>0-0,15 MW, Bonusregeln L, b und K erstmals 2010</v>
      </c>
      <c r="AV1455" s="215" t="str">
        <f t="shared" si="652"/>
        <v/>
      </c>
      <c r="AW1455" s="216" t="str">
        <f t="shared" si="653"/>
        <v>Anteil KWK, erstmals 2010</v>
      </c>
      <c r="AX1455" s="215" t="str">
        <f t="shared" si="654"/>
        <v/>
      </c>
      <c r="AY1455" t="str">
        <f t="shared" si="655"/>
        <v/>
      </c>
      <c r="AZ1455" t="str">
        <f t="shared" si="656"/>
        <v/>
      </c>
    </row>
    <row r="1456" spans="1:52" s="178" customFormat="1" x14ac:dyDescent="0.25">
      <c r="A1456" s="610" t="s">
        <v>3952</v>
      </c>
      <c r="B1456" s="30" t="s">
        <v>5548</v>
      </c>
      <c r="C1456" s="30" t="s">
        <v>1296</v>
      </c>
      <c r="D1456" s="30" t="s">
        <v>6968</v>
      </c>
      <c r="E1456" s="30" t="s">
        <v>3055</v>
      </c>
      <c r="F1456" s="454">
        <f t="shared" si="663"/>
        <v>25.61</v>
      </c>
      <c r="G1456" s="529">
        <v>25.61</v>
      </c>
      <c r="H1456" s="487">
        <f t="shared" si="664"/>
        <v>20.49</v>
      </c>
      <c r="I1456" s="706"/>
      <c r="J1456" s="669" t="s">
        <v>5805</v>
      </c>
      <c r="K1456" s="15"/>
      <c r="L1456"/>
      <c r="M1456" s="49">
        <f t="shared" si="665"/>
        <v>25.61</v>
      </c>
      <c r="N1456" s="41">
        <v>11.67</v>
      </c>
      <c r="O1456" s="186"/>
      <c r="P1456" s="177"/>
      <c r="S1456" s="178" t="s">
        <v>1017</v>
      </c>
      <c r="T1456" s="178" t="s">
        <v>4180</v>
      </c>
      <c r="U1456" s="179"/>
      <c r="W1456" s="180"/>
      <c r="X1456" s="180"/>
      <c r="AA1456" s="180"/>
      <c r="AB1456" s="178" t="s">
        <v>1017</v>
      </c>
      <c r="AD1456" s="201"/>
      <c r="AE1456" s="181" t="s">
        <v>1017</v>
      </c>
      <c r="AF1456" s="180"/>
      <c r="AG1456" s="201"/>
      <c r="AH1456" s="212" t="str">
        <f t="shared" si="667"/>
        <v>2011</v>
      </c>
      <c r="AI1456" s="214" t="str">
        <f t="shared" si="657"/>
        <v/>
      </c>
      <c r="AJ1456" s="214" t="str">
        <f t="shared" si="658"/>
        <v/>
      </c>
      <c r="AK1456" s="214" t="str">
        <f t="shared" si="659"/>
        <v/>
      </c>
      <c r="AL1456" s="214" t="str">
        <f t="shared" si="660"/>
        <v/>
      </c>
      <c r="AM1456" s="214" t="str">
        <f t="shared" si="661"/>
        <v/>
      </c>
      <c r="AN1456" s="213" t="str">
        <f t="shared" si="644"/>
        <v>2011</v>
      </c>
      <c r="AO1456" s="213" t="str">
        <f t="shared" si="645"/>
        <v>2011</v>
      </c>
      <c r="AP1456" s="213" t="str">
        <f t="shared" si="646"/>
        <v>2011</v>
      </c>
      <c r="AQ1456" s="215" t="str">
        <f t="shared" si="647"/>
        <v/>
      </c>
      <c r="AR1456" s="216" t="str">
        <f t="shared" si="648"/>
        <v>BiK81LbK11--06</v>
      </c>
      <c r="AS1456" s="215" t="str">
        <f t="shared" si="649"/>
        <v/>
      </c>
      <c r="AT1456">
        <f t="shared" si="650"/>
        <v>14</v>
      </c>
      <c r="AU1456" s="216" t="str">
        <f t="shared" si="651"/>
        <v>0-0,15 MW, Bonusregeln L, b und K erstmals 2011</v>
      </c>
      <c r="AV1456" s="215" t="str">
        <f t="shared" si="652"/>
        <v/>
      </c>
      <c r="AW1456" s="216" t="str">
        <f t="shared" si="653"/>
        <v>Anteil KWK, erstmals 2011</v>
      </c>
      <c r="AX1456" s="215" t="str">
        <f t="shared" si="654"/>
        <v/>
      </c>
      <c r="AY1456" t="str">
        <f t="shared" si="655"/>
        <v>x</v>
      </c>
      <c r="AZ1456" t="str">
        <f t="shared" si="656"/>
        <v/>
      </c>
    </row>
    <row r="1457" spans="1:52" s="178" customFormat="1" x14ac:dyDescent="0.25">
      <c r="A1457" s="625" t="s">
        <v>3652</v>
      </c>
      <c r="B1457" s="219" t="s">
        <v>5548</v>
      </c>
      <c r="C1457" s="219" t="s">
        <v>1296</v>
      </c>
      <c r="D1457" s="219" t="s">
        <v>6969</v>
      </c>
      <c r="E1457" s="219" t="s">
        <v>1980</v>
      </c>
      <c r="F1457" s="455">
        <f t="shared" si="663"/>
        <v>25.58</v>
      </c>
      <c r="G1457" s="530">
        <v>25.58</v>
      </c>
      <c r="H1457" s="488">
        <f t="shared" si="664"/>
        <v>20.46</v>
      </c>
      <c r="I1457" s="707"/>
      <c r="J1457" s="669" t="s">
        <v>5805</v>
      </c>
      <c r="K1457" s="15"/>
      <c r="L1457"/>
      <c r="M1457" s="49">
        <f t="shared" si="665"/>
        <v>25.58</v>
      </c>
      <c r="N1457" s="41">
        <v>11.67</v>
      </c>
      <c r="O1457" s="186"/>
      <c r="P1457" s="177"/>
      <c r="S1457" s="178" t="s">
        <v>4180</v>
      </c>
      <c r="T1457" s="178" t="s">
        <v>1017</v>
      </c>
      <c r="U1457" s="179"/>
      <c r="W1457" s="180"/>
      <c r="X1457" s="180"/>
      <c r="AA1457" s="180"/>
      <c r="AB1457" s="178" t="s">
        <v>1017</v>
      </c>
      <c r="AD1457" s="201"/>
      <c r="AE1457" s="181" t="s">
        <v>1017</v>
      </c>
      <c r="AF1457" s="180"/>
      <c r="AG1457" s="201"/>
      <c r="AH1457" s="217" t="s">
        <v>4179</v>
      </c>
      <c r="AI1457" s="214" t="str">
        <f t="shared" si="657"/>
        <v/>
      </c>
      <c r="AJ1457" s="214" t="str">
        <f t="shared" si="658"/>
        <v/>
      </c>
      <c r="AK1457" s="214" t="str">
        <f t="shared" si="659"/>
        <v/>
      </c>
      <c r="AL1457" s="214" t="str">
        <f t="shared" si="660"/>
        <v/>
      </c>
      <c r="AM1457" s="214" t="str">
        <f t="shared" si="661"/>
        <v/>
      </c>
      <c r="AN1457" s="213" t="str">
        <f t="shared" si="644"/>
        <v>2012</v>
      </c>
      <c r="AO1457" s="213" t="str">
        <f t="shared" si="645"/>
        <v>2012</v>
      </c>
      <c r="AP1457" s="213" t="str">
        <f t="shared" si="646"/>
        <v>2012</v>
      </c>
      <c r="AQ1457" s="215" t="str">
        <f t="shared" si="647"/>
        <v/>
      </c>
      <c r="AR1457" s="216" t="str">
        <f t="shared" si="648"/>
        <v>BiK81LbK12--06</v>
      </c>
      <c r="AS1457" s="215" t="str">
        <f t="shared" si="649"/>
        <v/>
      </c>
      <c r="AT1457">
        <f t="shared" si="650"/>
        <v>14</v>
      </c>
      <c r="AU1457" s="216" t="str">
        <f t="shared" si="651"/>
        <v>0-0,15 MW, Bonusregeln L, b und K erstmals 2012</v>
      </c>
      <c r="AV1457" s="215" t="str">
        <f t="shared" si="652"/>
        <v/>
      </c>
      <c r="AW1457" s="216" t="str">
        <f t="shared" si="653"/>
        <v>Anteil KWK, erstmals 2012</v>
      </c>
      <c r="AX1457" s="215" t="str">
        <f t="shared" si="654"/>
        <v/>
      </c>
      <c r="AY1457" t="str">
        <f t="shared" si="655"/>
        <v/>
      </c>
      <c r="AZ1457" t="str">
        <f t="shared" si="656"/>
        <v>x</v>
      </c>
    </row>
    <row r="1458" spans="1:52" s="178" customFormat="1" x14ac:dyDescent="0.25">
      <c r="A1458" s="610" t="s">
        <v>2762</v>
      </c>
      <c r="B1458" s="30" t="s">
        <v>5548</v>
      </c>
      <c r="C1458" s="30" t="s">
        <v>1296</v>
      </c>
      <c r="D1458" s="30" t="s">
        <v>6970</v>
      </c>
      <c r="E1458" s="30" t="s">
        <v>4810</v>
      </c>
      <c r="F1458" s="454">
        <f t="shared" si="663"/>
        <v>23.67</v>
      </c>
      <c r="G1458" s="529">
        <v>23.67</v>
      </c>
      <c r="H1458" s="487">
        <f t="shared" si="664"/>
        <v>18.940000000000001</v>
      </c>
      <c r="I1458" s="706"/>
      <c r="J1458" s="669" t="s">
        <v>5805</v>
      </c>
      <c r="K1458" s="15"/>
      <c r="L1458"/>
      <c r="M1458" s="49">
        <f t="shared" si="665"/>
        <v>23.67</v>
      </c>
      <c r="N1458" s="41">
        <v>11.67</v>
      </c>
      <c r="O1458" s="187"/>
      <c r="P1458" s="183"/>
      <c r="Q1458" s="184"/>
      <c r="R1458" s="184"/>
      <c r="S1458" s="184" t="s">
        <v>4180</v>
      </c>
      <c r="T1458" s="178" t="s">
        <v>4180</v>
      </c>
      <c r="U1458" s="185" t="s">
        <v>1017</v>
      </c>
      <c r="V1458" s="184"/>
      <c r="W1458" s="180"/>
      <c r="X1458" s="180"/>
      <c r="AA1458" s="180"/>
      <c r="AB1458" s="184" t="s">
        <v>1017</v>
      </c>
      <c r="AC1458" s="184"/>
      <c r="AD1458" s="201"/>
      <c r="AE1458" s="181" t="s">
        <v>1017</v>
      </c>
      <c r="AF1458" s="180"/>
      <c r="AG1458" s="201"/>
      <c r="AH1458" s="212" t="str">
        <f t="shared" ref="AH1458:AH1463" si="668">IF(ISERROR(SEARCH("K erstmals 201",D1458)),"",RIGHT(D1458,4))</f>
        <v/>
      </c>
      <c r="AI1458" s="214" t="str">
        <f t="shared" si="657"/>
        <v/>
      </c>
      <c r="AJ1458" s="214" t="str">
        <f t="shared" si="658"/>
        <v/>
      </c>
      <c r="AK1458" s="214" t="str">
        <f t="shared" si="659"/>
        <v/>
      </c>
      <c r="AL1458" s="214" t="str">
        <f t="shared" si="660"/>
        <v/>
      </c>
      <c r="AM1458" s="214" t="str">
        <f t="shared" si="661"/>
        <v/>
      </c>
      <c r="AN1458" s="213" t="str">
        <f t="shared" si="644"/>
        <v/>
      </c>
      <c r="AO1458" s="213" t="str">
        <f t="shared" si="645"/>
        <v/>
      </c>
      <c r="AP1458" s="213" t="str">
        <f t="shared" si="646"/>
        <v/>
      </c>
      <c r="AQ1458" s="215" t="str">
        <f t="shared" si="647"/>
        <v/>
      </c>
      <c r="AR1458" s="216" t="str">
        <f t="shared" si="648"/>
        <v>BiK81Lby----06</v>
      </c>
      <c r="AS1458" s="215" t="str">
        <f t="shared" si="649"/>
        <v/>
      </c>
      <c r="AT1458">
        <f t="shared" si="650"/>
        <v>14</v>
      </c>
      <c r="AU1458" s="216" t="str">
        <f t="shared" si="651"/>
        <v>0-0,15 MW, Bonusregeln L, y, b</v>
      </c>
      <c r="AV1458" s="215" t="str">
        <f t="shared" si="652"/>
        <v/>
      </c>
      <c r="AW1458" s="216" t="str">
        <f t="shared" si="653"/>
        <v>Anteil Nicht-KWK</v>
      </c>
      <c r="AX1458" s="215" t="str">
        <f t="shared" si="654"/>
        <v/>
      </c>
      <c r="AY1458" t="str">
        <f t="shared" si="655"/>
        <v/>
      </c>
      <c r="AZ1458" t="str">
        <f t="shared" si="656"/>
        <v/>
      </c>
    </row>
    <row r="1459" spans="1:52" s="178" customFormat="1" x14ac:dyDescent="0.25">
      <c r="A1459" s="610" t="s">
        <v>2763</v>
      </c>
      <c r="B1459" s="30" t="s">
        <v>5548</v>
      </c>
      <c r="C1459" s="30" t="s">
        <v>1296</v>
      </c>
      <c r="D1459" s="30" t="s">
        <v>6971</v>
      </c>
      <c r="E1459" s="30" t="s">
        <v>4812</v>
      </c>
      <c r="F1459" s="454">
        <f t="shared" si="663"/>
        <v>25.67</v>
      </c>
      <c r="G1459" s="529">
        <v>25.67</v>
      </c>
      <c r="H1459" s="487">
        <f t="shared" si="664"/>
        <v>20.54</v>
      </c>
      <c r="I1459" s="706"/>
      <c r="J1459" s="669" t="s">
        <v>5805</v>
      </c>
      <c r="K1459" s="15"/>
      <c r="L1459"/>
      <c r="M1459" s="49">
        <f t="shared" si="665"/>
        <v>25.67</v>
      </c>
      <c r="N1459" s="41">
        <v>11.67</v>
      </c>
      <c r="O1459" s="187" t="s">
        <v>1017</v>
      </c>
      <c r="P1459" s="183"/>
      <c r="Q1459" s="184"/>
      <c r="R1459" s="184"/>
      <c r="S1459" s="184" t="s">
        <v>4180</v>
      </c>
      <c r="T1459" s="178" t="s">
        <v>4180</v>
      </c>
      <c r="U1459" s="185" t="s">
        <v>1017</v>
      </c>
      <c r="V1459" s="184"/>
      <c r="W1459" s="180"/>
      <c r="X1459" s="180"/>
      <c r="AA1459" s="180"/>
      <c r="AB1459" s="184" t="s">
        <v>1017</v>
      </c>
      <c r="AC1459" s="184"/>
      <c r="AD1459" s="201"/>
      <c r="AE1459" s="181" t="s">
        <v>1017</v>
      </c>
      <c r="AF1459" s="180"/>
      <c r="AG1459" s="201"/>
      <c r="AH1459" s="212" t="str">
        <f t="shared" si="668"/>
        <v/>
      </c>
      <c r="AI1459" s="214" t="str">
        <f t="shared" si="657"/>
        <v/>
      </c>
      <c r="AJ1459" s="214" t="str">
        <f t="shared" si="658"/>
        <v/>
      </c>
      <c r="AK1459" s="214" t="str">
        <f t="shared" si="659"/>
        <v/>
      </c>
      <c r="AL1459" s="214" t="str">
        <f t="shared" si="660"/>
        <v/>
      </c>
      <c r="AM1459" s="214" t="str">
        <f t="shared" si="661"/>
        <v/>
      </c>
      <c r="AN1459" s="213" t="str">
        <f t="shared" si="644"/>
        <v/>
      </c>
      <c r="AO1459" s="213" t="str">
        <f t="shared" si="645"/>
        <v/>
      </c>
      <c r="AP1459" s="213" t="str">
        <f t="shared" si="646"/>
        <v/>
      </c>
      <c r="AQ1459" s="215" t="str">
        <f t="shared" si="647"/>
        <v/>
      </c>
      <c r="AR1459" s="216" t="str">
        <f t="shared" si="648"/>
        <v>BiK81LbKWKy-06</v>
      </c>
      <c r="AS1459" s="215" t="str">
        <f t="shared" si="649"/>
        <v/>
      </c>
      <c r="AT1459">
        <f t="shared" si="650"/>
        <v>14</v>
      </c>
      <c r="AU1459" s="216" t="str">
        <f t="shared" si="651"/>
        <v>0-0,15 MW, Bonusregeln L, y, b und KWK</v>
      </c>
      <c r="AV1459" s="215" t="str">
        <f t="shared" si="652"/>
        <v/>
      </c>
      <c r="AW1459" s="216" t="str">
        <f t="shared" si="653"/>
        <v>Anteil KWK</v>
      </c>
      <c r="AX1459" s="215" t="str">
        <f t="shared" si="654"/>
        <v/>
      </c>
      <c r="AY1459" t="str">
        <f t="shared" si="655"/>
        <v/>
      </c>
      <c r="AZ1459" t="str">
        <f t="shared" si="656"/>
        <v/>
      </c>
    </row>
    <row r="1460" spans="1:52" s="178" customFormat="1" x14ac:dyDescent="0.25">
      <c r="A1460" s="610" t="s">
        <v>2764</v>
      </c>
      <c r="B1460" s="30" t="s">
        <v>5548</v>
      </c>
      <c r="C1460" s="30" t="s">
        <v>1296</v>
      </c>
      <c r="D1460" s="109" t="s">
        <v>6972</v>
      </c>
      <c r="E1460" s="30" t="s">
        <v>4331</v>
      </c>
      <c r="F1460" s="454">
        <f t="shared" si="663"/>
        <v>26.67</v>
      </c>
      <c r="G1460" s="529">
        <v>26.67</v>
      </c>
      <c r="H1460" s="487">
        <f t="shared" si="664"/>
        <v>21.34</v>
      </c>
      <c r="I1460" s="706"/>
      <c r="J1460" s="669" t="s">
        <v>5805</v>
      </c>
      <c r="K1460" s="15"/>
      <c r="L1460"/>
      <c r="M1460" s="49">
        <f t="shared" si="665"/>
        <v>26.67</v>
      </c>
      <c r="N1460" s="41">
        <v>11.67</v>
      </c>
      <c r="O1460" s="187"/>
      <c r="P1460" s="184" t="s">
        <v>1017</v>
      </c>
      <c r="Q1460" s="184"/>
      <c r="R1460" s="184"/>
      <c r="S1460" s="184" t="s">
        <v>4180</v>
      </c>
      <c r="T1460" s="178" t="s">
        <v>4180</v>
      </c>
      <c r="U1460" s="185" t="s">
        <v>1017</v>
      </c>
      <c r="V1460" s="184"/>
      <c r="W1460" s="180"/>
      <c r="X1460" s="180"/>
      <c r="AA1460" s="180"/>
      <c r="AB1460" s="184" t="s">
        <v>1017</v>
      </c>
      <c r="AC1460" s="184"/>
      <c r="AD1460" s="201"/>
      <c r="AE1460" s="181" t="s">
        <v>1017</v>
      </c>
      <c r="AF1460" s="180"/>
      <c r="AG1460" s="201"/>
      <c r="AH1460" s="212" t="str">
        <f t="shared" si="668"/>
        <v/>
      </c>
      <c r="AI1460" s="214" t="str">
        <f t="shared" si="657"/>
        <v/>
      </c>
      <c r="AJ1460" s="214" t="str">
        <f t="shared" si="658"/>
        <v/>
      </c>
      <c r="AK1460" s="214" t="str">
        <f t="shared" si="659"/>
        <v/>
      </c>
      <c r="AL1460" s="214" t="str">
        <f t="shared" si="660"/>
        <v/>
      </c>
      <c r="AM1460" s="214" t="str">
        <f t="shared" si="661"/>
        <v/>
      </c>
      <c r="AN1460" s="213" t="str">
        <f t="shared" si="644"/>
        <v/>
      </c>
      <c r="AO1460" s="213" t="str">
        <f t="shared" si="645"/>
        <v/>
      </c>
      <c r="AP1460" s="213" t="str">
        <f t="shared" si="646"/>
        <v/>
      </c>
      <c r="AQ1460" s="215" t="str">
        <f t="shared" si="647"/>
        <v/>
      </c>
      <c r="AR1460" s="216" t="str">
        <f t="shared" si="648"/>
        <v>BiK81LbKA3y-06</v>
      </c>
      <c r="AS1460" s="215" t="str">
        <f t="shared" si="649"/>
        <v/>
      </c>
      <c r="AT1460">
        <f t="shared" si="650"/>
        <v>14</v>
      </c>
      <c r="AU1460" s="216" t="str">
        <f t="shared" si="651"/>
        <v>0-0,15 MW, Bonusregeln L, y, b und K wenn Anlage 3 erfüllt</v>
      </c>
      <c r="AV1460" s="215" t="str">
        <f t="shared" si="652"/>
        <v/>
      </c>
      <c r="AW1460" s="216" t="str">
        <f t="shared" si="653"/>
        <v>Anteil KWK gemäß Anlage 3</v>
      </c>
      <c r="AX1460" s="215" t="str">
        <f t="shared" si="654"/>
        <v/>
      </c>
      <c r="AY1460" t="str">
        <f t="shared" si="655"/>
        <v/>
      </c>
      <c r="AZ1460" t="str">
        <f t="shared" si="656"/>
        <v/>
      </c>
    </row>
    <row r="1461" spans="1:52" s="178" customFormat="1" x14ac:dyDescent="0.25">
      <c r="A1461" s="610" t="s">
        <v>2765</v>
      </c>
      <c r="B1461" s="30" t="s">
        <v>5548</v>
      </c>
      <c r="C1461" s="30" t="s">
        <v>1296</v>
      </c>
      <c r="D1461" s="30" t="s">
        <v>6973</v>
      </c>
      <c r="E1461" s="30" t="s">
        <v>674</v>
      </c>
      <c r="F1461" s="454">
        <f t="shared" si="663"/>
        <v>26.67</v>
      </c>
      <c r="G1461" s="529">
        <v>26.67</v>
      </c>
      <c r="H1461" s="487">
        <f t="shared" si="664"/>
        <v>21.34</v>
      </c>
      <c r="I1461" s="706"/>
      <c r="J1461" s="669" t="s">
        <v>5805</v>
      </c>
      <c r="K1461" s="15"/>
      <c r="L1461"/>
      <c r="M1461" s="49">
        <f t="shared" si="665"/>
        <v>26.67</v>
      </c>
      <c r="N1461" s="41">
        <v>11.67</v>
      </c>
      <c r="O1461" s="187"/>
      <c r="P1461" s="183"/>
      <c r="Q1461" s="184" t="s">
        <v>1017</v>
      </c>
      <c r="R1461" s="184"/>
      <c r="S1461" s="184" t="s">
        <v>4180</v>
      </c>
      <c r="T1461" s="178" t="s">
        <v>4180</v>
      </c>
      <c r="U1461" s="185" t="s">
        <v>1017</v>
      </c>
      <c r="V1461" s="184"/>
      <c r="W1461" s="180"/>
      <c r="X1461" s="180"/>
      <c r="AA1461" s="180"/>
      <c r="AB1461" s="184" t="s">
        <v>1017</v>
      </c>
      <c r="AC1461" s="184"/>
      <c r="AD1461" s="201"/>
      <c r="AE1461" s="181" t="s">
        <v>1017</v>
      </c>
      <c r="AF1461" s="180"/>
      <c r="AG1461" s="201"/>
      <c r="AH1461" s="212" t="str">
        <f t="shared" si="668"/>
        <v/>
      </c>
      <c r="AI1461" s="214" t="str">
        <f t="shared" si="657"/>
        <v/>
      </c>
      <c r="AJ1461" s="214" t="str">
        <f t="shared" si="658"/>
        <v/>
      </c>
      <c r="AK1461" s="214" t="str">
        <f t="shared" si="659"/>
        <v/>
      </c>
      <c r="AL1461" s="214" t="str">
        <f t="shared" si="660"/>
        <v/>
      </c>
      <c r="AM1461" s="214" t="str">
        <f t="shared" si="661"/>
        <v/>
      </c>
      <c r="AN1461" s="213" t="str">
        <f t="shared" si="644"/>
        <v/>
      </c>
      <c r="AO1461" s="213" t="str">
        <f t="shared" si="645"/>
        <v/>
      </c>
      <c r="AP1461" s="213" t="str">
        <f t="shared" si="646"/>
        <v/>
      </c>
      <c r="AQ1461" s="215" t="str">
        <f t="shared" si="647"/>
        <v/>
      </c>
      <c r="AR1461" s="216" t="str">
        <f t="shared" si="648"/>
        <v>BiK81LbK09y-06</v>
      </c>
      <c r="AS1461" s="215" t="str">
        <f t="shared" si="649"/>
        <v/>
      </c>
      <c r="AT1461">
        <f t="shared" si="650"/>
        <v>14</v>
      </c>
      <c r="AU1461" s="216" t="str">
        <f t="shared" si="651"/>
        <v>0-0,15 MW, Bonusregeln L, y, b und K erstmals 2009</v>
      </c>
      <c r="AV1461" s="215" t="str">
        <f t="shared" si="652"/>
        <v/>
      </c>
      <c r="AW1461" s="216" t="str">
        <f t="shared" si="653"/>
        <v>Anteil KWK, erstmals 2009</v>
      </c>
      <c r="AX1461" s="215" t="str">
        <f t="shared" si="654"/>
        <v/>
      </c>
      <c r="AY1461" t="str">
        <f t="shared" si="655"/>
        <v/>
      </c>
      <c r="AZ1461" t="str">
        <f t="shared" si="656"/>
        <v/>
      </c>
    </row>
    <row r="1462" spans="1:52" s="178" customFormat="1" x14ac:dyDescent="0.25">
      <c r="A1462" s="610" t="s">
        <v>4906</v>
      </c>
      <c r="B1462" s="30" t="s">
        <v>5548</v>
      </c>
      <c r="C1462" s="30" t="s">
        <v>1296</v>
      </c>
      <c r="D1462" s="30" t="s">
        <v>6974</v>
      </c>
      <c r="E1462" s="30" t="s">
        <v>3567</v>
      </c>
      <c r="F1462" s="454">
        <f t="shared" si="663"/>
        <v>26.64</v>
      </c>
      <c r="G1462" s="529">
        <v>26.64</v>
      </c>
      <c r="H1462" s="487">
        <f t="shared" si="664"/>
        <v>21.31</v>
      </c>
      <c r="I1462" s="706"/>
      <c r="J1462" s="669" t="s">
        <v>5805</v>
      </c>
      <c r="K1462" s="15"/>
      <c r="L1462"/>
      <c r="M1462" s="49">
        <f t="shared" si="665"/>
        <v>26.64</v>
      </c>
      <c r="N1462" s="41">
        <v>11.67</v>
      </c>
      <c r="O1462" s="187"/>
      <c r="P1462" s="183"/>
      <c r="Q1462" s="184"/>
      <c r="R1462" s="184" t="s">
        <v>1017</v>
      </c>
      <c r="S1462" s="184" t="s">
        <v>4180</v>
      </c>
      <c r="T1462" s="178" t="s">
        <v>4180</v>
      </c>
      <c r="U1462" s="185" t="s">
        <v>1017</v>
      </c>
      <c r="V1462" s="184"/>
      <c r="W1462" s="180"/>
      <c r="X1462" s="180"/>
      <c r="AA1462" s="180"/>
      <c r="AB1462" s="184" t="s">
        <v>1017</v>
      </c>
      <c r="AC1462" s="184"/>
      <c r="AD1462" s="201"/>
      <c r="AE1462" s="181" t="s">
        <v>1017</v>
      </c>
      <c r="AF1462" s="180"/>
      <c r="AG1462" s="201"/>
      <c r="AH1462" s="212" t="str">
        <f t="shared" si="668"/>
        <v>2010</v>
      </c>
      <c r="AI1462" s="214" t="str">
        <f t="shared" si="657"/>
        <v/>
      </c>
      <c r="AJ1462" s="214" t="str">
        <f t="shared" si="658"/>
        <v/>
      </c>
      <c r="AK1462" s="214" t="str">
        <f t="shared" si="659"/>
        <v/>
      </c>
      <c r="AL1462" s="214" t="str">
        <f t="shared" si="660"/>
        <v/>
      </c>
      <c r="AM1462" s="214" t="str">
        <f t="shared" si="661"/>
        <v/>
      </c>
      <c r="AN1462" s="213" t="str">
        <f t="shared" si="644"/>
        <v>2010</v>
      </c>
      <c r="AO1462" s="213" t="str">
        <f t="shared" si="645"/>
        <v>2010</v>
      </c>
      <c r="AP1462" s="213" t="str">
        <f t="shared" si="646"/>
        <v>2010</v>
      </c>
      <c r="AQ1462" s="215" t="str">
        <f t="shared" si="647"/>
        <v/>
      </c>
      <c r="AR1462" s="216" t="str">
        <f t="shared" si="648"/>
        <v>BiK81LbK10y-06</v>
      </c>
      <c r="AS1462" s="215" t="str">
        <f t="shared" si="649"/>
        <v/>
      </c>
      <c r="AT1462">
        <f t="shared" si="650"/>
        <v>14</v>
      </c>
      <c r="AU1462" s="216" t="str">
        <f t="shared" si="651"/>
        <v>0-0,15 MW, Bonusregeln L, y, b und K erstmals 2010</v>
      </c>
      <c r="AV1462" s="215" t="str">
        <f t="shared" si="652"/>
        <v/>
      </c>
      <c r="AW1462" s="216" t="str">
        <f t="shared" si="653"/>
        <v>Anteil KWK, erstmals 2010</v>
      </c>
      <c r="AX1462" s="215" t="str">
        <f t="shared" si="654"/>
        <v/>
      </c>
      <c r="AY1462" t="str">
        <f t="shared" si="655"/>
        <v/>
      </c>
      <c r="AZ1462" t="str">
        <f t="shared" si="656"/>
        <v/>
      </c>
    </row>
    <row r="1463" spans="1:52" s="178" customFormat="1" x14ac:dyDescent="0.25">
      <c r="A1463" s="610" t="s">
        <v>3953</v>
      </c>
      <c r="B1463" s="30" t="s">
        <v>5548</v>
      </c>
      <c r="C1463" s="30" t="s">
        <v>1296</v>
      </c>
      <c r="D1463" s="30" t="s">
        <v>6975</v>
      </c>
      <c r="E1463" s="30" t="s">
        <v>3055</v>
      </c>
      <c r="F1463" s="454">
        <f t="shared" si="663"/>
        <v>26.61</v>
      </c>
      <c r="G1463" s="529">
        <v>26.61</v>
      </c>
      <c r="H1463" s="487">
        <f t="shared" si="664"/>
        <v>21.29</v>
      </c>
      <c r="I1463" s="706"/>
      <c r="J1463" s="669" t="s">
        <v>5805</v>
      </c>
      <c r="K1463" s="15"/>
      <c r="L1463"/>
      <c r="M1463" s="49">
        <f t="shared" si="665"/>
        <v>26.61</v>
      </c>
      <c r="N1463" s="41">
        <v>11.67</v>
      </c>
      <c r="O1463" s="187"/>
      <c r="P1463" s="183"/>
      <c r="Q1463" s="184"/>
      <c r="S1463" s="184" t="s">
        <v>1017</v>
      </c>
      <c r="T1463" s="178" t="s">
        <v>4180</v>
      </c>
      <c r="U1463" s="185" t="s">
        <v>1017</v>
      </c>
      <c r="V1463" s="184"/>
      <c r="W1463" s="180"/>
      <c r="X1463" s="180"/>
      <c r="AA1463" s="180"/>
      <c r="AB1463" s="184" t="s">
        <v>1017</v>
      </c>
      <c r="AC1463" s="184"/>
      <c r="AD1463" s="201"/>
      <c r="AE1463" s="181" t="s">
        <v>1017</v>
      </c>
      <c r="AF1463" s="180"/>
      <c r="AG1463" s="201"/>
      <c r="AH1463" s="212" t="str">
        <f t="shared" si="668"/>
        <v>2011</v>
      </c>
      <c r="AI1463" s="214" t="str">
        <f t="shared" si="657"/>
        <v/>
      </c>
      <c r="AJ1463" s="214" t="str">
        <f t="shared" si="658"/>
        <v/>
      </c>
      <c r="AK1463" s="214" t="str">
        <f t="shared" si="659"/>
        <v/>
      </c>
      <c r="AL1463" s="214" t="str">
        <f t="shared" si="660"/>
        <v/>
      </c>
      <c r="AM1463" s="214" t="str">
        <f t="shared" si="661"/>
        <v/>
      </c>
      <c r="AN1463" s="213" t="str">
        <f t="shared" si="644"/>
        <v>2011</v>
      </c>
      <c r="AO1463" s="213" t="str">
        <f t="shared" si="645"/>
        <v>2011</v>
      </c>
      <c r="AP1463" s="213" t="str">
        <f t="shared" si="646"/>
        <v>2011</v>
      </c>
      <c r="AQ1463" s="215" t="str">
        <f t="shared" si="647"/>
        <v/>
      </c>
      <c r="AR1463" s="216" t="str">
        <f t="shared" si="648"/>
        <v>BiK81LbK11y-06</v>
      </c>
      <c r="AS1463" s="215" t="str">
        <f t="shared" si="649"/>
        <v/>
      </c>
      <c r="AT1463">
        <f t="shared" si="650"/>
        <v>14</v>
      </c>
      <c r="AU1463" s="216" t="str">
        <f t="shared" si="651"/>
        <v>0-0,15 MW, Bonusregeln L, y, b und K erstmals 2011</v>
      </c>
      <c r="AV1463" s="215" t="str">
        <f t="shared" si="652"/>
        <v/>
      </c>
      <c r="AW1463" s="216" t="str">
        <f t="shared" si="653"/>
        <v>Anteil KWK, erstmals 2011</v>
      </c>
      <c r="AX1463" s="215" t="str">
        <f t="shared" si="654"/>
        <v/>
      </c>
      <c r="AY1463" t="str">
        <f t="shared" si="655"/>
        <v>x</v>
      </c>
      <c r="AZ1463" t="str">
        <f t="shared" si="656"/>
        <v/>
      </c>
    </row>
    <row r="1464" spans="1:52" s="178" customFormat="1" x14ac:dyDescent="0.25">
      <c r="A1464" s="625" t="s">
        <v>3653</v>
      </c>
      <c r="B1464" s="219" t="s">
        <v>5548</v>
      </c>
      <c r="C1464" s="219" t="s">
        <v>1296</v>
      </c>
      <c r="D1464" s="219" t="s">
        <v>6976</v>
      </c>
      <c r="E1464" s="219" t="s">
        <v>1980</v>
      </c>
      <c r="F1464" s="455">
        <f t="shared" si="663"/>
        <v>26.58</v>
      </c>
      <c r="G1464" s="530">
        <v>26.58</v>
      </c>
      <c r="H1464" s="488">
        <f t="shared" si="664"/>
        <v>21.26</v>
      </c>
      <c r="I1464" s="707"/>
      <c r="J1464" s="669" t="s">
        <v>5805</v>
      </c>
      <c r="K1464" s="15"/>
      <c r="L1464"/>
      <c r="M1464" s="49">
        <f t="shared" si="665"/>
        <v>26.58</v>
      </c>
      <c r="N1464" s="41">
        <v>11.67</v>
      </c>
      <c r="O1464" s="187"/>
      <c r="P1464" s="183"/>
      <c r="Q1464" s="184"/>
      <c r="S1464" s="184" t="s">
        <v>4180</v>
      </c>
      <c r="T1464" s="178" t="s">
        <v>1017</v>
      </c>
      <c r="U1464" s="185" t="s">
        <v>1017</v>
      </c>
      <c r="V1464" s="184"/>
      <c r="W1464" s="180"/>
      <c r="X1464" s="180"/>
      <c r="AA1464" s="180"/>
      <c r="AB1464" s="184" t="s">
        <v>1017</v>
      </c>
      <c r="AC1464" s="184"/>
      <c r="AD1464" s="201"/>
      <c r="AE1464" s="181" t="s">
        <v>1017</v>
      </c>
      <c r="AF1464" s="180"/>
      <c r="AG1464" s="201"/>
      <c r="AH1464" s="217" t="s">
        <v>4179</v>
      </c>
      <c r="AI1464" s="214" t="str">
        <f t="shared" si="657"/>
        <v/>
      </c>
      <c r="AJ1464" s="214" t="str">
        <f t="shared" si="658"/>
        <v/>
      </c>
      <c r="AK1464" s="214" t="str">
        <f t="shared" si="659"/>
        <v/>
      </c>
      <c r="AL1464" s="214" t="str">
        <f t="shared" si="660"/>
        <v/>
      </c>
      <c r="AM1464" s="214" t="str">
        <f t="shared" si="661"/>
        <v/>
      </c>
      <c r="AN1464" s="213" t="str">
        <f t="shared" si="644"/>
        <v>2012</v>
      </c>
      <c r="AO1464" s="213" t="str">
        <f t="shared" si="645"/>
        <v>2012</v>
      </c>
      <c r="AP1464" s="213" t="str">
        <f t="shared" si="646"/>
        <v>2012</v>
      </c>
      <c r="AQ1464" s="215" t="str">
        <f t="shared" si="647"/>
        <v/>
      </c>
      <c r="AR1464" s="216" t="str">
        <f t="shared" si="648"/>
        <v>BiK81LbK12y-06</v>
      </c>
      <c r="AS1464" s="215" t="str">
        <f t="shared" si="649"/>
        <v/>
      </c>
      <c r="AT1464">
        <f t="shared" si="650"/>
        <v>14</v>
      </c>
      <c r="AU1464" s="216" t="str">
        <f t="shared" si="651"/>
        <v>0-0,15 MW, Bonusregeln L, y, b und K erstmals 2012</v>
      </c>
      <c r="AV1464" s="215" t="str">
        <f t="shared" si="652"/>
        <v/>
      </c>
      <c r="AW1464" s="216" t="str">
        <f t="shared" si="653"/>
        <v>Anteil KWK, erstmals 2012</v>
      </c>
      <c r="AX1464" s="215" t="str">
        <f t="shared" si="654"/>
        <v/>
      </c>
      <c r="AY1464" t="str">
        <f t="shared" si="655"/>
        <v/>
      </c>
      <c r="AZ1464" t="str">
        <f t="shared" si="656"/>
        <v>x</v>
      </c>
    </row>
    <row r="1465" spans="1:52" s="178" customFormat="1" x14ac:dyDescent="0.25">
      <c r="A1465" s="610" t="s">
        <v>2766</v>
      </c>
      <c r="B1465" s="30" t="s">
        <v>5548</v>
      </c>
      <c r="C1465" s="30" t="s">
        <v>1296</v>
      </c>
      <c r="D1465" s="30" t="s">
        <v>6977</v>
      </c>
      <c r="E1465" s="30" t="s">
        <v>4810</v>
      </c>
      <c r="F1465" s="454">
        <f t="shared" si="663"/>
        <v>26.67</v>
      </c>
      <c r="G1465" s="529">
        <v>26.67</v>
      </c>
      <c r="H1465" s="487">
        <f t="shared" si="664"/>
        <v>21.34</v>
      </c>
      <c r="I1465" s="706"/>
      <c r="J1465" s="669" t="s">
        <v>5805</v>
      </c>
      <c r="K1465" s="15"/>
      <c r="L1465"/>
      <c r="M1465" s="49">
        <f t="shared" si="665"/>
        <v>26.67</v>
      </c>
      <c r="N1465" s="41">
        <v>11.67</v>
      </c>
      <c r="O1465" s="186"/>
      <c r="P1465" s="177"/>
      <c r="S1465" s="178" t="s">
        <v>4180</v>
      </c>
      <c r="T1465" s="178" t="s">
        <v>4180</v>
      </c>
      <c r="U1465" s="179"/>
      <c r="W1465" s="180"/>
      <c r="X1465" s="180"/>
      <c r="AA1465" s="180"/>
      <c r="AC1465" s="178" t="s">
        <v>1017</v>
      </c>
      <c r="AD1465" s="201"/>
      <c r="AE1465" s="181" t="s">
        <v>1017</v>
      </c>
      <c r="AF1465" s="180"/>
      <c r="AG1465" s="201"/>
      <c r="AH1465" s="212" t="str">
        <f t="shared" ref="AH1465:AH1470" si="669">IF(ISERROR(SEARCH("K erstmals 201",D1465)),"",RIGHT(D1465,4))</f>
        <v/>
      </c>
      <c r="AI1465" s="214" t="str">
        <f t="shared" si="657"/>
        <v/>
      </c>
      <c r="AJ1465" s="214" t="str">
        <f t="shared" si="658"/>
        <v/>
      </c>
      <c r="AK1465" s="214" t="str">
        <f t="shared" si="659"/>
        <v/>
      </c>
      <c r="AL1465" s="214" t="str">
        <f t="shared" si="660"/>
        <v/>
      </c>
      <c r="AM1465" s="214" t="str">
        <f t="shared" si="661"/>
        <v/>
      </c>
      <c r="AN1465" s="213" t="str">
        <f t="shared" si="644"/>
        <v/>
      </c>
      <c r="AO1465" s="213" t="str">
        <f t="shared" si="645"/>
        <v/>
      </c>
      <c r="AP1465" s="213" t="str">
        <f t="shared" si="646"/>
        <v/>
      </c>
      <c r="AQ1465" s="215" t="str">
        <f t="shared" si="647"/>
        <v/>
      </c>
      <c r="AR1465" s="216" t="str">
        <f t="shared" si="648"/>
        <v>BiK81X1b----06</v>
      </c>
      <c r="AS1465" s="215" t="str">
        <f t="shared" si="649"/>
        <v/>
      </c>
      <c r="AT1465">
        <f t="shared" si="650"/>
        <v>14</v>
      </c>
      <c r="AU1465" s="216" t="str">
        <f t="shared" si="651"/>
        <v>0-0,15 MW, Bonusregeln X1, b</v>
      </c>
      <c r="AV1465" s="215" t="str">
        <f t="shared" si="652"/>
        <v/>
      </c>
      <c r="AW1465" s="216" t="str">
        <f t="shared" si="653"/>
        <v>Anteil Nicht-KWK</v>
      </c>
      <c r="AX1465" s="215" t="str">
        <f t="shared" si="654"/>
        <v/>
      </c>
      <c r="AY1465" t="str">
        <f t="shared" si="655"/>
        <v/>
      </c>
      <c r="AZ1465" t="str">
        <f t="shared" si="656"/>
        <v/>
      </c>
    </row>
    <row r="1466" spans="1:52" s="178" customFormat="1" x14ac:dyDescent="0.25">
      <c r="A1466" s="610" t="s">
        <v>2767</v>
      </c>
      <c r="B1466" s="30" t="s">
        <v>5548</v>
      </c>
      <c r="C1466" s="30" t="s">
        <v>1296</v>
      </c>
      <c r="D1466" s="30" t="s">
        <v>6978</v>
      </c>
      <c r="E1466" s="30" t="s">
        <v>4812</v>
      </c>
      <c r="F1466" s="454">
        <f t="shared" si="663"/>
        <v>28.67</v>
      </c>
      <c r="G1466" s="529">
        <v>28.67</v>
      </c>
      <c r="H1466" s="487">
        <f t="shared" si="664"/>
        <v>22.94</v>
      </c>
      <c r="I1466" s="706"/>
      <c r="J1466" s="669" t="s">
        <v>5805</v>
      </c>
      <c r="K1466" s="15"/>
      <c r="L1466"/>
      <c r="M1466" s="49">
        <f t="shared" si="665"/>
        <v>28.67</v>
      </c>
      <c r="N1466" s="41">
        <v>11.67</v>
      </c>
      <c r="O1466" s="186" t="s">
        <v>1017</v>
      </c>
      <c r="P1466" s="177"/>
      <c r="S1466" s="178" t="s">
        <v>4180</v>
      </c>
      <c r="T1466" s="178" t="s">
        <v>4180</v>
      </c>
      <c r="U1466" s="179"/>
      <c r="W1466" s="180"/>
      <c r="X1466" s="180"/>
      <c r="AA1466" s="180"/>
      <c r="AC1466" s="178" t="s">
        <v>1017</v>
      </c>
      <c r="AD1466" s="201"/>
      <c r="AE1466" s="181" t="s">
        <v>1017</v>
      </c>
      <c r="AF1466" s="180"/>
      <c r="AG1466" s="201"/>
      <c r="AH1466" s="212" t="str">
        <f t="shared" si="669"/>
        <v/>
      </c>
      <c r="AI1466" s="214" t="str">
        <f t="shared" si="657"/>
        <v/>
      </c>
      <c r="AJ1466" s="214" t="str">
        <f t="shared" si="658"/>
        <v/>
      </c>
      <c r="AK1466" s="214" t="str">
        <f t="shared" si="659"/>
        <v/>
      </c>
      <c r="AL1466" s="214" t="str">
        <f t="shared" si="660"/>
        <v/>
      </c>
      <c r="AM1466" s="214" t="str">
        <f t="shared" si="661"/>
        <v/>
      </c>
      <c r="AN1466" s="213" t="str">
        <f t="shared" si="644"/>
        <v/>
      </c>
      <c r="AO1466" s="213" t="str">
        <f t="shared" si="645"/>
        <v/>
      </c>
      <c r="AP1466" s="213" t="str">
        <f t="shared" si="646"/>
        <v/>
      </c>
      <c r="AQ1466" s="215" t="str">
        <f t="shared" si="647"/>
        <v/>
      </c>
      <c r="AR1466" s="216" t="str">
        <f t="shared" si="648"/>
        <v>BiK81X1bKWK-06</v>
      </c>
      <c r="AS1466" s="215" t="str">
        <f t="shared" si="649"/>
        <v/>
      </c>
      <c r="AT1466">
        <f t="shared" si="650"/>
        <v>14</v>
      </c>
      <c r="AU1466" s="216" t="str">
        <f t="shared" si="651"/>
        <v>0-0,15 MW, Bonusregeln X1, b und KWK</v>
      </c>
      <c r="AV1466" s="215" t="str">
        <f t="shared" si="652"/>
        <v/>
      </c>
      <c r="AW1466" s="216" t="str">
        <f t="shared" si="653"/>
        <v>Anteil KWK</v>
      </c>
      <c r="AX1466" s="215" t="str">
        <f t="shared" si="654"/>
        <v/>
      </c>
      <c r="AY1466" t="str">
        <f t="shared" si="655"/>
        <v/>
      </c>
      <c r="AZ1466" t="str">
        <f t="shared" si="656"/>
        <v/>
      </c>
    </row>
    <row r="1467" spans="1:52" s="178" customFormat="1" x14ac:dyDescent="0.25">
      <c r="A1467" s="610" t="s">
        <v>2768</v>
      </c>
      <c r="B1467" s="30" t="s">
        <v>5548</v>
      </c>
      <c r="C1467" s="30" t="s">
        <v>1296</v>
      </c>
      <c r="D1467" s="30" t="s">
        <v>6979</v>
      </c>
      <c r="E1467" s="30" t="s">
        <v>4331</v>
      </c>
      <c r="F1467" s="454">
        <f t="shared" si="663"/>
        <v>29.67</v>
      </c>
      <c r="G1467" s="529">
        <v>29.67</v>
      </c>
      <c r="H1467" s="487">
        <f t="shared" si="664"/>
        <v>23.74</v>
      </c>
      <c r="I1467" s="706"/>
      <c r="J1467" s="669" t="s">
        <v>5805</v>
      </c>
      <c r="K1467" s="15"/>
      <c r="L1467"/>
      <c r="M1467" s="49">
        <f t="shared" si="665"/>
        <v>29.67</v>
      </c>
      <c r="N1467" s="41">
        <v>11.67</v>
      </c>
      <c r="O1467" s="186"/>
      <c r="P1467" s="178" t="s">
        <v>1017</v>
      </c>
      <c r="S1467" s="178" t="s">
        <v>4180</v>
      </c>
      <c r="T1467" s="178" t="s">
        <v>4180</v>
      </c>
      <c r="U1467" s="179"/>
      <c r="W1467" s="180"/>
      <c r="X1467" s="180"/>
      <c r="AA1467" s="180"/>
      <c r="AC1467" s="178" t="s">
        <v>1017</v>
      </c>
      <c r="AD1467" s="201"/>
      <c r="AE1467" s="181" t="s">
        <v>1017</v>
      </c>
      <c r="AF1467" s="180"/>
      <c r="AG1467" s="201"/>
      <c r="AH1467" s="212" t="str">
        <f t="shared" si="669"/>
        <v/>
      </c>
      <c r="AI1467" s="214" t="str">
        <f t="shared" si="657"/>
        <v/>
      </c>
      <c r="AJ1467" s="214" t="str">
        <f t="shared" si="658"/>
        <v/>
      </c>
      <c r="AK1467" s="214" t="str">
        <f t="shared" si="659"/>
        <v/>
      </c>
      <c r="AL1467" s="214" t="str">
        <f t="shared" si="660"/>
        <v/>
      </c>
      <c r="AM1467" s="214" t="str">
        <f t="shared" si="661"/>
        <v/>
      </c>
      <c r="AN1467" s="213" t="str">
        <f t="shared" si="644"/>
        <v/>
      </c>
      <c r="AO1467" s="213" t="str">
        <f t="shared" si="645"/>
        <v/>
      </c>
      <c r="AP1467" s="213" t="str">
        <f t="shared" si="646"/>
        <v/>
      </c>
      <c r="AQ1467" s="215" t="str">
        <f t="shared" si="647"/>
        <v/>
      </c>
      <c r="AR1467" s="216" t="str">
        <f t="shared" si="648"/>
        <v>BiK81X1bKA3-06</v>
      </c>
      <c r="AS1467" s="215" t="str">
        <f t="shared" si="649"/>
        <v/>
      </c>
      <c r="AT1467">
        <f t="shared" si="650"/>
        <v>14</v>
      </c>
      <c r="AU1467" s="216" t="str">
        <f t="shared" si="651"/>
        <v>0-0,15 MW, Bonusregeln X1, b und K wenn Anlage 3 erfüllt</v>
      </c>
      <c r="AV1467" s="215" t="str">
        <f t="shared" si="652"/>
        <v/>
      </c>
      <c r="AW1467" s="216" t="str">
        <f t="shared" si="653"/>
        <v>Anteil KWK gemäß Anlage 3</v>
      </c>
      <c r="AX1467" s="215" t="str">
        <f t="shared" si="654"/>
        <v/>
      </c>
      <c r="AY1467" t="str">
        <f t="shared" si="655"/>
        <v/>
      </c>
      <c r="AZ1467" t="str">
        <f t="shared" si="656"/>
        <v/>
      </c>
    </row>
    <row r="1468" spans="1:52" s="178" customFormat="1" x14ac:dyDescent="0.25">
      <c r="A1468" s="610" t="s">
        <v>2769</v>
      </c>
      <c r="B1468" s="30" t="s">
        <v>5548</v>
      </c>
      <c r="C1468" s="30" t="s">
        <v>1296</v>
      </c>
      <c r="D1468" s="30" t="s">
        <v>6980</v>
      </c>
      <c r="E1468" s="30" t="s">
        <v>674</v>
      </c>
      <c r="F1468" s="454">
        <f t="shared" si="663"/>
        <v>29.67</v>
      </c>
      <c r="G1468" s="529">
        <v>29.67</v>
      </c>
      <c r="H1468" s="487">
        <f t="shared" si="664"/>
        <v>23.74</v>
      </c>
      <c r="I1468" s="706"/>
      <c r="J1468" s="669" t="s">
        <v>5805</v>
      </c>
      <c r="K1468" s="15"/>
      <c r="L1468"/>
      <c r="M1468" s="49">
        <f t="shared" si="665"/>
        <v>29.67</v>
      </c>
      <c r="N1468" s="41">
        <v>11.67</v>
      </c>
      <c r="O1468" s="186"/>
      <c r="P1468" s="177"/>
      <c r="Q1468" s="178" t="s">
        <v>1017</v>
      </c>
      <c r="S1468" s="178" t="s">
        <v>4180</v>
      </c>
      <c r="T1468" s="178" t="s">
        <v>4180</v>
      </c>
      <c r="U1468" s="179"/>
      <c r="W1468" s="180"/>
      <c r="X1468" s="180"/>
      <c r="AA1468" s="180"/>
      <c r="AC1468" s="178" t="s">
        <v>1017</v>
      </c>
      <c r="AD1468" s="201"/>
      <c r="AE1468" s="181" t="s">
        <v>1017</v>
      </c>
      <c r="AF1468" s="180"/>
      <c r="AG1468" s="201"/>
      <c r="AH1468" s="212" t="str">
        <f t="shared" si="669"/>
        <v/>
      </c>
      <c r="AI1468" s="214" t="str">
        <f t="shared" si="657"/>
        <v/>
      </c>
      <c r="AJ1468" s="214" t="str">
        <f t="shared" si="658"/>
        <v/>
      </c>
      <c r="AK1468" s="214" t="str">
        <f t="shared" si="659"/>
        <v/>
      </c>
      <c r="AL1468" s="214" t="str">
        <f t="shared" si="660"/>
        <v/>
      </c>
      <c r="AM1468" s="214" t="str">
        <f t="shared" si="661"/>
        <v/>
      </c>
      <c r="AN1468" s="213" t="str">
        <f t="shared" si="644"/>
        <v/>
      </c>
      <c r="AO1468" s="213" t="str">
        <f t="shared" si="645"/>
        <v/>
      </c>
      <c r="AP1468" s="213" t="str">
        <f t="shared" si="646"/>
        <v/>
      </c>
      <c r="AQ1468" s="215" t="str">
        <f t="shared" si="647"/>
        <v/>
      </c>
      <c r="AR1468" s="216" t="str">
        <f t="shared" si="648"/>
        <v>BiK81X1bK09-06</v>
      </c>
      <c r="AS1468" s="215" t="str">
        <f t="shared" si="649"/>
        <v/>
      </c>
      <c r="AT1468">
        <f t="shared" si="650"/>
        <v>14</v>
      </c>
      <c r="AU1468" s="216" t="str">
        <f t="shared" si="651"/>
        <v>0-0,15 MW, Bonusregeln X1, b und K erstmals 2009</v>
      </c>
      <c r="AV1468" s="215" t="str">
        <f t="shared" si="652"/>
        <v/>
      </c>
      <c r="AW1468" s="216" t="str">
        <f t="shared" si="653"/>
        <v>Anteil KWK, erstmals 2009</v>
      </c>
      <c r="AX1468" s="215" t="str">
        <f t="shared" si="654"/>
        <v/>
      </c>
      <c r="AY1468" t="str">
        <f t="shared" si="655"/>
        <v/>
      </c>
      <c r="AZ1468" t="str">
        <f t="shared" si="656"/>
        <v/>
      </c>
    </row>
    <row r="1469" spans="1:52" s="178" customFormat="1" x14ac:dyDescent="0.25">
      <c r="A1469" s="610" t="s">
        <v>4907</v>
      </c>
      <c r="B1469" s="30" t="s">
        <v>5548</v>
      </c>
      <c r="C1469" s="30" t="s">
        <v>1296</v>
      </c>
      <c r="D1469" s="30" t="s">
        <v>6981</v>
      </c>
      <c r="E1469" s="30" t="s">
        <v>3567</v>
      </c>
      <c r="F1469" s="454">
        <f t="shared" si="663"/>
        <v>29.64</v>
      </c>
      <c r="G1469" s="529">
        <v>29.64</v>
      </c>
      <c r="H1469" s="487">
        <f t="shared" si="664"/>
        <v>23.71</v>
      </c>
      <c r="I1469" s="706"/>
      <c r="J1469" s="669" t="s">
        <v>5805</v>
      </c>
      <c r="K1469" s="15"/>
      <c r="L1469"/>
      <c r="M1469" s="49">
        <f t="shared" si="665"/>
        <v>29.64</v>
      </c>
      <c r="N1469" s="41">
        <v>11.67</v>
      </c>
      <c r="O1469" s="186"/>
      <c r="P1469" s="177"/>
      <c r="R1469" s="178" t="s">
        <v>1017</v>
      </c>
      <c r="S1469" s="178" t="s">
        <v>4180</v>
      </c>
      <c r="T1469" s="178" t="s">
        <v>4180</v>
      </c>
      <c r="U1469" s="179"/>
      <c r="W1469" s="180"/>
      <c r="X1469" s="180"/>
      <c r="AA1469" s="180"/>
      <c r="AC1469" s="178" t="s">
        <v>1017</v>
      </c>
      <c r="AD1469" s="201"/>
      <c r="AE1469" s="181" t="s">
        <v>1017</v>
      </c>
      <c r="AF1469" s="180"/>
      <c r="AG1469" s="201"/>
      <c r="AH1469" s="212" t="str">
        <f t="shared" si="669"/>
        <v>2010</v>
      </c>
      <c r="AI1469" s="214" t="str">
        <f t="shared" si="657"/>
        <v/>
      </c>
      <c r="AJ1469" s="214" t="str">
        <f t="shared" si="658"/>
        <v/>
      </c>
      <c r="AK1469" s="214" t="str">
        <f t="shared" si="659"/>
        <v/>
      </c>
      <c r="AL1469" s="214" t="str">
        <f t="shared" si="660"/>
        <v/>
      </c>
      <c r="AM1469" s="214" t="str">
        <f t="shared" si="661"/>
        <v/>
      </c>
      <c r="AN1469" s="213" t="str">
        <f t="shared" si="644"/>
        <v>2010</v>
      </c>
      <c r="AO1469" s="213" t="str">
        <f t="shared" si="645"/>
        <v>2010</v>
      </c>
      <c r="AP1469" s="213" t="str">
        <f t="shared" si="646"/>
        <v>2010</v>
      </c>
      <c r="AQ1469" s="215" t="str">
        <f t="shared" si="647"/>
        <v/>
      </c>
      <c r="AR1469" s="216" t="str">
        <f t="shared" si="648"/>
        <v>BiK81X1bK10-06</v>
      </c>
      <c r="AS1469" s="215" t="str">
        <f t="shared" si="649"/>
        <v/>
      </c>
      <c r="AT1469">
        <f t="shared" si="650"/>
        <v>14</v>
      </c>
      <c r="AU1469" s="216" t="str">
        <f t="shared" si="651"/>
        <v>0-0,15 MW, Bonusregeln X1, b und K erstmals 2010</v>
      </c>
      <c r="AV1469" s="215" t="str">
        <f t="shared" si="652"/>
        <v/>
      </c>
      <c r="AW1469" s="216" t="str">
        <f t="shared" si="653"/>
        <v>Anteil KWK, erstmals 2010</v>
      </c>
      <c r="AX1469" s="215" t="str">
        <f t="shared" si="654"/>
        <v/>
      </c>
      <c r="AY1469" t="str">
        <f t="shared" si="655"/>
        <v/>
      </c>
      <c r="AZ1469" t="str">
        <f t="shared" si="656"/>
        <v/>
      </c>
    </row>
    <row r="1470" spans="1:52" s="178" customFormat="1" x14ac:dyDescent="0.25">
      <c r="A1470" s="610" t="s">
        <v>3954</v>
      </c>
      <c r="B1470" s="30" t="s">
        <v>5548</v>
      </c>
      <c r="C1470" s="30" t="s">
        <v>1296</v>
      </c>
      <c r="D1470" s="30" t="s">
        <v>6982</v>
      </c>
      <c r="E1470" s="30" t="s">
        <v>3055</v>
      </c>
      <c r="F1470" s="454">
        <f t="shared" si="663"/>
        <v>29.61</v>
      </c>
      <c r="G1470" s="529">
        <v>29.61</v>
      </c>
      <c r="H1470" s="487">
        <f t="shared" si="664"/>
        <v>23.69</v>
      </c>
      <c r="I1470" s="706"/>
      <c r="J1470" s="669" t="s">
        <v>5805</v>
      </c>
      <c r="K1470" s="15"/>
      <c r="L1470"/>
      <c r="M1470" s="49">
        <f t="shared" si="665"/>
        <v>29.61</v>
      </c>
      <c r="N1470" s="41">
        <v>11.67</v>
      </c>
      <c r="O1470" s="186"/>
      <c r="P1470" s="177"/>
      <c r="S1470" s="178" t="s">
        <v>1017</v>
      </c>
      <c r="T1470" s="178" t="s">
        <v>4180</v>
      </c>
      <c r="U1470" s="179"/>
      <c r="W1470" s="180"/>
      <c r="X1470" s="180"/>
      <c r="AA1470" s="180"/>
      <c r="AC1470" s="178" t="s">
        <v>1017</v>
      </c>
      <c r="AD1470" s="201"/>
      <c r="AE1470" s="181" t="s">
        <v>1017</v>
      </c>
      <c r="AF1470" s="180"/>
      <c r="AG1470" s="201"/>
      <c r="AH1470" s="212" t="str">
        <f t="shared" si="669"/>
        <v>2011</v>
      </c>
      <c r="AI1470" s="214" t="str">
        <f t="shared" si="657"/>
        <v/>
      </c>
      <c r="AJ1470" s="214" t="str">
        <f t="shared" si="658"/>
        <v/>
      </c>
      <c r="AK1470" s="214" t="str">
        <f t="shared" si="659"/>
        <v/>
      </c>
      <c r="AL1470" s="214" t="str">
        <f t="shared" si="660"/>
        <v/>
      </c>
      <c r="AM1470" s="214" t="str">
        <f t="shared" si="661"/>
        <v/>
      </c>
      <c r="AN1470" s="213" t="str">
        <f t="shared" si="644"/>
        <v>2011</v>
      </c>
      <c r="AO1470" s="213" t="str">
        <f t="shared" si="645"/>
        <v>2011</v>
      </c>
      <c r="AP1470" s="213" t="str">
        <f t="shared" si="646"/>
        <v>2011</v>
      </c>
      <c r="AQ1470" s="215" t="str">
        <f t="shared" si="647"/>
        <v/>
      </c>
      <c r="AR1470" s="216" t="str">
        <f t="shared" si="648"/>
        <v>BiK81X1bK11-06</v>
      </c>
      <c r="AS1470" s="215" t="str">
        <f t="shared" si="649"/>
        <v/>
      </c>
      <c r="AT1470">
        <f t="shared" si="650"/>
        <v>14</v>
      </c>
      <c r="AU1470" s="216" t="str">
        <f t="shared" si="651"/>
        <v>0-0,15 MW, Bonusregeln X1, b und K erstmals 2011</v>
      </c>
      <c r="AV1470" s="215" t="str">
        <f t="shared" si="652"/>
        <v/>
      </c>
      <c r="AW1470" s="216" t="str">
        <f t="shared" si="653"/>
        <v>Anteil KWK, erstmals 2011</v>
      </c>
      <c r="AX1470" s="215" t="str">
        <f t="shared" si="654"/>
        <v/>
      </c>
      <c r="AY1470" t="str">
        <f t="shared" si="655"/>
        <v>x</v>
      </c>
      <c r="AZ1470" t="str">
        <f t="shared" si="656"/>
        <v/>
      </c>
    </row>
    <row r="1471" spans="1:52" s="178" customFormat="1" x14ac:dyDescent="0.25">
      <c r="A1471" s="625" t="s">
        <v>3654</v>
      </c>
      <c r="B1471" s="219" t="s">
        <v>5548</v>
      </c>
      <c r="C1471" s="219" t="s">
        <v>1296</v>
      </c>
      <c r="D1471" s="219" t="s">
        <v>6983</v>
      </c>
      <c r="E1471" s="219" t="s">
        <v>1980</v>
      </c>
      <c r="F1471" s="455">
        <f t="shared" si="663"/>
        <v>29.58</v>
      </c>
      <c r="G1471" s="530">
        <v>29.58</v>
      </c>
      <c r="H1471" s="488">
        <f t="shared" si="664"/>
        <v>23.66</v>
      </c>
      <c r="I1471" s="707"/>
      <c r="J1471" s="669" t="s">
        <v>5805</v>
      </c>
      <c r="K1471" s="15"/>
      <c r="L1471"/>
      <c r="M1471" s="49">
        <f t="shared" si="665"/>
        <v>29.58</v>
      </c>
      <c r="N1471" s="41">
        <v>11.67</v>
      </c>
      <c r="O1471" s="186"/>
      <c r="P1471" s="177"/>
      <c r="S1471" s="178" t="s">
        <v>4180</v>
      </c>
      <c r="T1471" s="178" t="s">
        <v>1017</v>
      </c>
      <c r="U1471" s="179"/>
      <c r="W1471" s="180"/>
      <c r="X1471" s="180"/>
      <c r="AA1471" s="180"/>
      <c r="AC1471" s="178" t="s">
        <v>1017</v>
      </c>
      <c r="AD1471" s="201"/>
      <c r="AE1471" s="181" t="s">
        <v>1017</v>
      </c>
      <c r="AF1471" s="180"/>
      <c r="AG1471" s="201"/>
      <c r="AH1471" s="217" t="s">
        <v>4179</v>
      </c>
      <c r="AI1471" s="214" t="str">
        <f t="shared" si="657"/>
        <v/>
      </c>
      <c r="AJ1471" s="214" t="str">
        <f t="shared" si="658"/>
        <v/>
      </c>
      <c r="AK1471" s="214" t="str">
        <f t="shared" si="659"/>
        <v/>
      </c>
      <c r="AL1471" s="214" t="str">
        <f t="shared" si="660"/>
        <v/>
      </c>
      <c r="AM1471" s="214" t="str">
        <f t="shared" si="661"/>
        <v/>
      </c>
      <c r="AN1471" s="213" t="str">
        <f t="shared" si="644"/>
        <v>2012</v>
      </c>
      <c r="AO1471" s="213" t="str">
        <f t="shared" si="645"/>
        <v>2012</v>
      </c>
      <c r="AP1471" s="213" t="str">
        <f t="shared" si="646"/>
        <v>2012</v>
      </c>
      <c r="AQ1471" s="215" t="str">
        <f t="shared" si="647"/>
        <v/>
      </c>
      <c r="AR1471" s="216" t="str">
        <f t="shared" si="648"/>
        <v>BiK81X1bK12-06</v>
      </c>
      <c r="AS1471" s="215" t="str">
        <f t="shared" si="649"/>
        <v/>
      </c>
      <c r="AT1471">
        <f t="shared" si="650"/>
        <v>14</v>
      </c>
      <c r="AU1471" s="216" t="str">
        <f t="shared" si="651"/>
        <v>0-0,15 MW, Bonusregeln X1, b und K erstmals 2012</v>
      </c>
      <c r="AV1471" s="215" t="str">
        <f t="shared" si="652"/>
        <v/>
      </c>
      <c r="AW1471" s="216" t="str">
        <f t="shared" si="653"/>
        <v>Anteil KWK, erstmals 2012</v>
      </c>
      <c r="AX1471" s="215" t="str">
        <f t="shared" si="654"/>
        <v/>
      </c>
      <c r="AY1471" t="str">
        <f t="shared" si="655"/>
        <v/>
      </c>
      <c r="AZ1471" t="str">
        <f t="shared" si="656"/>
        <v>x</v>
      </c>
    </row>
    <row r="1472" spans="1:52" s="178" customFormat="1" x14ac:dyDescent="0.25">
      <c r="A1472" s="610" t="s">
        <v>2093</v>
      </c>
      <c r="B1472" s="30" t="s">
        <v>5548</v>
      </c>
      <c r="C1472" s="30" t="s">
        <v>1296</v>
      </c>
      <c r="D1472" s="30" t="s">
        <v>6984</v>
      </c>
      <c r="E1472" s="30" t="s">
        <v>4810</v>
      </c>
      <c r="F1472" s="454">
        <f t="shared" si="663"/>
        <v>27.67</v>
      </c>
      <c r="G1472" s="529">
        <v>27.67</v>
      </c>
      <c r="H1472" s="487">
        <f t="shared" si="664"/>
        <v>22.14</v>
      </c>
      <c r="I1472" s="706"/>
      <c r="J1472" s="669" t="s">
        <v>5805</v>
      </c>
      <c r="K1472" s="15"/>
      <c r="L1472"/>
      <c r="M1472" s="49">
        <f t="shared" si="665"/>
        <v>27.67</v>
      </c>
      <c r="N1472" s="41">
        <v>11.67</v>
      </c>
      <c r="O1472" s="187"/>
      <c r="P1472" s="183"/>
      <c r="Q1472" s="184"/>
      <c r="R1472" s="184"/>
      <c r="S1472" s="184" t="s">
        <v>4180</v>
      </c>
      <c r="T1472" s="178" t="s">
        <v>4180</v>
      </c>
      <c r="U1472" s="185" t="s">
        <v>1017</v>
      </c>
      <c r="V1472" s="184"/>
      <c r="W1472" s="180"/>
      <c r="X1472" s="180"/>
      <c r="AA1472" s="180"/>
      <c r="AC1472" s="184" t="s">
        <v>1017</v>
      </c>
      <c r="AD1472" s="201"/>
      <c r="AE1472" s="181" t="s">
        <v>1017</v>
      </c>
      <c r="AF1472" s="180"/>
      <c r="AG1472" s="201"/>
      <c r="AH1472" s="212" t="str">
        <f t="shared" ref="AH1472:AH1477" si="670">IF(ISERROR(SEARCH("K erstmals 201",D1472)),"",RIGHT(D1472,4))</f>
        <v/>
      </c>
      <c r="AI1472" s="214" t="str">
        <f t="shared" si="657"/>
        <v/>
      </c>
      <c r="AJ1472" s="214" t="str">
        <f t="shared" si="658"/>
        <v/>
      </c>
      <c r="AK1472" s="214" t="str">
        <f t="shared" si="659"/>
        <v/>
      </c>
      <c r="AL1472" s="214" t="str">
        <f t="shared" si="660"/>
        <v/>
      </c>
      <c r="AM1472" s="214" t="str">
        <f t="shared" si="661"/>
        <v/>
      </c>
      <c r="AN1472" s="213" t="str">
        <f t="shared" si="644"/>
        <v/>
      </c>
      <c r="AO1472" s="213" t="str">
        <f t="shared" si="645"/>
        <v/>
      </c>
      <c r="AP1472" s="213" t="str">
        <f t="shared" si="646"/>
        <v/>
      </c>
      <c r="AQ1472" s="215" t="str">
        <f t="shared" si="647"/>
        <v/>
      </c>
      <c r="AR1472" s="216" t="str">
        <f t="shared" si="648"/>
        <v>BiK81X1by---06</v>
      </c>
      <c r="AS1472" s="215" t="str">
        <f t="shared" si="649"/>
        <v/>
      </c>
      <c r="AT1472">
        <f t="shared" si="650"/>
        <v>14</v>
      </c>
      <c r="AU1472" s="216" t="str">
        <f t="shared" si="651"/>
        <v>0-0,15 MW, Bonusregeln X1, y, b</v>
      </c>
      <c r="AV1472" s="215" t="str">
        <f t="shared" si="652"/>
        <v/>
      </c>
      <c r="AW1472" s="216" t="str">
        <f t="shared" si="653"/>
        <v>Anteil Nicht-KWK</v>
      </c>
      <c r="AX1472" s="215" t="str">
        <f t="shared" si="654"/>
        <v/>
      </c>
      <c r="AY1472" t="str">
        <f t="shared" si="655"/>
        <v/>
      </c>
      <c r="AZ1472" t="str">
        <f t="shared" si="656"/>
        <v/>
      </c>
    </row>
    <row r="1473" spans="1:52" s="178" customFormat="1" x14ac:dyDescent="0.25">
      <c r="A1473" s="610" t="s">
        <v>2094</v>
      </c>
      <c r="B1473" s="30" t="s">
        <v>5548</v>
      </c>
      <c r="C1473" s="30" t="s">
        <v>1296</v>
      </c>
      <c r="D1473" s="30" t="s">
        <v>6985</v>
      </c>
      <c r="E1473" s="30" t="s">
        <v>4812</v>
      </c>
      <c r="F1473" s="454">
        <f t="shared" si="663"/>
        <v>29.67</v>
      </c>
      <c r="G1473" s="529">
        <v>29.67</v>
      </c>
      <c r="H1473" s="487">
        <f t="shared" si="664"/>
        <v>23.74</v>
      </c>
      <c r="I1473" s="706"/>
      <c r="J1473" s="669" t="s">
        <v>5805</v>
      </c>
      <c r="K1473" s="15"/>
      <c r="L1473"/>
      <c r="M1473" s="49">
        <f t="shared" si="665"/>
        <v>29.67</v>
      </c>
      <c r="N1473" s="41">
        <v>11.67</v>
      </c>
      <c r="O1473" s="187" t="s">
        <v>1017</v>
      </c>
      <c r="P1473" s="183"/>
      <c r="Q1473" s="184"/>
      <c r="R1473" s="184"/>
      <c r="S1473" s="184" t="s">
        <v>4180</v>
      </c>
      <c r="T1473" s="178" t="s">
        <v>4180</v>
      </c>
      <c r="U1473" s="185" t="s">
        <v>1017</v>
      </c>
      <c r="V1473" s="184"/>
      <c r="W1473" s="180"/>
      <c r="X1473" s="180"/>
      <c r="AA1473" s="180"/>
      <c r="AC1473" s="184" t="s">
        <v>1017</v>
      </c>
      <c r="AD1473" s="201"/>
      <c r="AE1473" s="181" t="s">
        <v>1017</v>
      </c>
      <c r="AF1473" s="180"/>
      <c r="AG1473" s="201"/>
      <c r="AH1473" s="212" t="str">
        <f t="shared" si="670"/>
        <v/>
      </c>
      <c r="AI1473" s="214" t="str">
        <f t="shared" si="657"/>
        <v/>
      </c>
      <c r="AJ1473" s="214" t="str">
        <f t="shared" si="658"/>
        <v/>
      </c>
      <c r="AK1473" s="214" t="str">
        <f t="shared" si="659"/>
        <v/>
      </c>
      <c r="AL1473" s="214" t="str">
        <f t="shared" si="660"/>
        <v/>
      </c>
      <c r="AM1473" s="214" t="str">
        <f t="shared" si="661"/>
        <v/>
      </c>
      <c r="AN1473" s="213" t="str">
        <f t="shared" si="644"/>
        <v/>
      </c>
      <c r="AO1473" s="213" t="str">
        <f t="shared" si="645"/>
        <v/>
      </c>
      <c r="AP1473" s="213" t="str">
        <f t="shared" si="646"/>
        <v/>
      </c>
      <c r="AQ1473" s="215" t="str">
        <f t="shared" si="647"/>
        <v/>
      </c>
      <c r="AR1473" s="216" t="str">
        <f t="shared" si="648"/>
        <v>BiK81X1bKWKy06</v>
      </c>
      <c r="AS1473" s="215" t="str">
        <f t="shared" si="649"/>
        <v/>
      </c>
      <c r="AT1473">
        <f t="shared" si="650"/>
        <v>14</v>
      </c>
      <c r="AU1473" s="216" t="str">
        <f t="shared" si="651"/>
        <v>0-0,15 MW, Bonusregeln X1, y, b und KWK</v>
      </c>
      <c r="AV1473" s="215" t="str">
        <f t="shared" si="652"/>
        <v/>
      </c>
      <c r="AW1473" s="216" t="str">
        <f t="shared" si="653"/>
        <v>Anteil KWK</v>
      </c>
      <c r="AX1473" s="215" t="str">
        <f t="shared" si="654"/>
        <v/>
      </c>
      <c r="AY1473" t="str">
        <f t="shared" si="655"/>
        <v/>
      </c>
      <c r="AZ1473" t="str">
        <f t="shared" si="656"/>
        <v/>
      </c>
    </row>
    <row r="1474" spans="1:52" s="178" customFormat="1" x14ac:dyDescent="0.25">
      <c r="A1474" s="610" t="s">
        <v>2095</v>
      </c>
      <c r="B1474" s="30" t="s">
        <v>5548</v>
      </c>
      <c r="C1474" s="30" t="s">
        <v>1296</v>
      </c>
      <c r="D1474" s="109" t="s">
        <v>6986</v>
      </c>
      <c r="E1474" s="30" t="s">
        <v>4331</v>
      </c>
      <c r="F1474" s="454">
        <f t="shared" si="663"/>
        <v>30.67</v>
      </c>
      <c r="G1474" s="529">
        <v>30.67</v>
      </c>
      <c r="H1474" s="487">
        <f t="shared" si="664"/>
        <v>24.54</v>
      </c>
      <c r="I1474" s="706"/>
      <c r="J1474" s="669" t="s">
        <v>5805</v>
      </c>
      <c r="K1474" s="15"/>
      <c r="L1474"/>
      <c r="M1474" s="49">
        <f t="shared" si="665"/>
        <v>30.67</v>
      </c>
      <c r="N1474" s="41">
        <v>11.67</v>
      </c>
      <c r="O1474" s="187"/>
      <c r="P1474" s="184" t="s">
        <v>1017</v>
      </c>
      <c r="Q1474" s="184"/>
      <c r="R1474" s="184"/>
      <c r="S1474" s="184" t="s">
        <v>4180</v>
      </c>
      <c r="T1474" s="178" t="s">
        <v>4180</v>
      </c>
      <c r="U1474" s="185" t="s">
        <v>1017</v>
      </c>
      <c r="V1474" s="184"/>
      <c r="W1474" s="180"/>
      <c r="X1474" s="180"/>
      <c r="AA1474" s="180"/>
      <c r="AC1474" s="184" t="s">
        <v>1017</v>
      </c>
      <c r="AD1474" s="201"/>
      <c r="AE1474" s="181" t="s">
        <v>1017</v>
      </c>
      <c r="AF1474" s="180"/>
      <c r="AG1474" s="201"/>
      <c r="AH1474" s="212" t="str">
        <f t="shared" si="670"/>
        <v/>
      </c>
      <c r="AI1474" s="214" t="str">
        <f t="shared" si="657"/>
        <v/>
      </c>
      <c r="AJ1474" s="214" t="str">
        <f t="shared" si="658"/>
        <v/>
      </c>
      <c r="AK1474" s="214" t="str">
        <f t="shared" si="659"/>
        <v/>
      </c>
      <c r="AL1474" s="214" t="str">
        <f t="shared" si="660"/>
        <v/>
      </c>
      <c r="AM1474" s="214" t="str">
        <f t="shared" si="661"/>
        <v/>
      </c>
      <c r="AN1474" s="213" t="str">
        <f t="shared" si="644"/>
        <v/>
      </c>
      <c r="AO1474" s="213" t="str">
        <f t="shared" si="645"/>
        <v/>
      </c>
      <c r="AP1474" s="213" t="str">
        <f t="shared" si="646"/>
        <v/>
      </c>
      <c r="AQ1474" s="215" t="str">
        <f t="shared" si="647"/>
        <v/>
      </c>
      <c r="AR1474" s="216" t="str">
        <f t="shared" si="648"/>
        <v>BiK81X1bKA3y06</v>
      </c>
      <c r="AS1474" s="215" t="str">
        <f t="shared" si="649"/>
        <v/>
      </c>
      <c r="AT1474">
        <f t="shared" si="650"/>
        <v>14</v>
      </c>
      <c r="AU1474" s="216" t="str">
        <f t="shared" si="651"/>
        <v>0-0,15 MW, Bonusregeln X1, y, b und K wenn Anlage 3 erfüllt</v>
      </c>
      <c r="AV1474" s="215" t="str">
        <f t="shared" si="652"/>
        <v/>
      </c>
      <c r="AW1474" s="216" t="str">
        <f t="shared" si="653"/>
        <v>Anteil KWK gemäß Anlage 3</v>
      </c>
      <c r="AX1474" s="215" t="str">
        <f t="shared" si="654"/>
        <v/>
      </c>
      <c r="AY1474" t="str">
        <f t="shared" si="655"/>
        <v/>
      </c>
      <c r="AZ1474" t="str">
        <f t="shared" si="656"/>
        <v/>
      </c>
    </row>
    <row r="1475" spans="1:52" s="178" customFormat="1" x14ac:dyDescent="0.25">
      <c r="A1475" s="610" t="s">
        <v>2096</v>
      </c>
      <c r="B1475" s="30" t="s">
        <v>5548</v>
      </c>
      <c r="C1475" s="30" t="s">
        <v>1296</v>
      </c>
      <c r="D1475" s="30" t="s">
        <v>6987</v>
      </c>
      <c r="E1475" s="30" t="s">
        <v>674</v>
      </c>
      <c r="F1475" s="454">
        <f t="shared" si="663"/>
        <v>30.67</v>
      </c>
      <c r="G1475" s="529">
        <v>30.67</v>
      </c>
      <c r="H1475" s="487">
        <f t="shared" si="664"/>
        <v>24.54</v>
      </c>
      <c r="I1475" s="706"/>
      <c r="J1475" s="669" t="s">
        <v>5805</v>
      </c>
      <c r="K1475" s="15"/>
      <c r="L1475"/>
      <c r="M1475" s="49">
        <f t="shared" si="665"/>
        <v>30.67</v>
      </c>
      <c r="N1475" s="41">
        <v>11.67</v>
      </c>
      <c r="O1475" s="187"/>
      <c r="P1475" s="183"/>
      <c r="Q1475" s="184" t="s">
        <v>1017</v>
      </c>
      <c r="R1475" s="184"/>
      <c r="S1475" s="184" t="s">
        <v>4180</v>
      </c>
      <c r="T1475" s="178" t="s">
        <v>4180</v>
      </c>
      <c r="U1475" s="185" t="s">
        <v>1017</v>
      </c>
      <c r="V1475" s="184"/>
      <c r="W1475" s="180"/>
      <c r="X1475" s="180"/>
      <c r="AA1475" s="180"/>
      <c r="AC1475" s="184" t="s">
        <v>1017</v>
      </c>
      <c r="AD1475" s="201"/>
      <c r="AE1475" s="181" t="s">
        <v>1017</v>
      </c>
      <c r="AF1475" s="180"/>
      <c r="AG1475" s="201"/>
      <c r="AH1475" s="212" t="str">
        <f t="shared" si="670"/>
        <v/>
      </c>
      <c r="AI1475" s="214" t="str">
        <f t="shared" si="657"/>
        <v/>
      </c>
      <c r="AJ1475" s="214" t="str">
        <f t="shared" si="658"/>
        <v/>
      </c>
      <c r="AK1475" s="214" t="str">
        <f t="shared" si="659"/>
        <v/>
      </c>
      <c r="AL1475" s="214" t="str">
        <f t="shared" si="660"/>
        <v/>
      </c>
      <c r="AM1475" s="214" t="str">
        <f t="shared" si="661"/>
        <v/>
      </c>
      <c r="AN1475" s="213" t="str">
        <f t="shared" si="644"/>
        <v/>
      </c>
      <c r="AO1475" s="213" t="str">
        <f t="shared" si="645"/>
        <v/>
      </c>
      <c r="AP1475" s="213" t="str">
        <f t="shared" si="646"/>
        <v/>
      </c>
      <c r="AQ1475" s="215" t="str">
        <f t="shared" si="647"/>
        <v/>
      </c>
      <c r="AR1475" s="216" t="str">
        <f t="shared" si="648"/>
        <v>BiK81X1bK09y06</v>
      </c>
      <c r="AS1475" s="215" t="str">
        <f t="shared" si="649"/>
        <v/>
      </c>
      <c r="AT1475">
        <f t="shared" si="650"/>
        <v>14</v>
      </c>
      <c r="AU1475" s="216" t="str">
        <f t="shared" si="651"/>
        <v>0-0,15 MW, Bonusregeln X1, y, b und K erstmals 2009</v>
      </c>
      <c r="AV1475" s="215" t="str">
        <f t="shared" si="652"/>
        <v/>
      </c>
      <c r="AW1475" s="216" t="str">
        <f t="shared" si="653"/>
        <v>Anteil KWK, erstmals 2009</v>
      </c>
      <c r="AX1475" s="215" t="str">
        <f t="shared" si="654"/>
        <v/>
      </c>
      <c r="AY1475" t="str">
        <f t="shared" si="655"/>
        <v/>
      </c>
      <c r="AZ1475" t="str">
        <f t="shared" si="656"/>
        <v/>
      </c>
    </row>
    <row r="1476" spans="1:52" s="178" customFormat="1" x14ac:dyDescent="0.25">
      <c r="A1476" s="610" t="s">
        <v>4908</v>
      </c>
      <c r="B1476" s="30" t="s">
        <v>5548</v>
      </c>
      <c r="C1476" s="30" t="s">
        <v>1296</v>
      </c>
      <c r="D1476" s="30" t="s">
        <v>6988</v>
      </c>
      <c r="E1476" s="30" t="s">
        <v>3567</v>
      </c>
      <c r="F1476" s="454">
        <f t="shared" si="663"/>
        <v>30.64</v>
      </c>
      <c r="G1476" s="529">
        <v>30.64</v>
      </c>
      <c r="H1476" s="487">
        <f t="shared" si="664"/>
        <v>24.51</v>
      </c>
      <c r="I1476" s="706"/>
      <c r="J1476" s="669" t="s">
        <v>5805</v>
      </c>
      <c r="K1476" s="15"/>
      <c r="L1476"/>
      <c r="M1476" s="49">
        <f t="shared" si="665"/>
        <v>30.64</v>
      </c>
      <c r="N1476" s="41">
        <v>11.67</v>
      </c>
      <c r="O1476" s="187"/>
      <c r="P1476" s="183"/>
      <c r="Q1476" s="184"/>
      <c r="R1476" s="184" t="s">
        <v>1017</v>
      </c>
      <c r="S1476" s="184" t="s">
        <v>4180</v>
      </c>
      <c r="T1476" s="178" t="s">
        <v>4180</v>
      </c>
      <c r="U1476" s="185" t="s">
        <v>1017</v>
      </c>
      <c r="V1476" s="184"/>
      <c r="W1476" s="180"/>
      <c r="X1476" s="180"/>
      <c r="AA1476" s="180"/>
      <c r="AC1476" s="184" t="s">
        <v>1017</v>
      </c>
      <c r="AD1476" s="201"/>
      <c r="AE1476" s="181" t="s">
        <v>1017</v>
      </c>
      <c r="AF1476" s="180"/>
      <c r="AG1476" s="201"/>
      <c r="AH1476" s="212" t="str">
        <f t="shared" si="670"/>
        <v>2010</v>
      </c>
      <c r="AI1476" s="214" t="str">
        <f t="shared" si="657"/>
        <v/>
      </c>
      <c r="AJ1476" s="214" t="str">
        <f t="shared" si="658"/>
        <v/>
      </c>
      <c r="AK1476" s="214" t="str">
        <f t="shared" si="659"/>
        <v/>
      </c>
      <c r="AL1476" s="214" t="str">
        <f t="shared" si="660"/>
        <v/>
      </c>
      <c r="AM1476" s="214" t="str">
        <f t="shared" si="661"/>
        <v/>
      </c>
      <c r="AN1476" s="213" t="str">
        <f t="shared" si="644"/>
        <v>2010</v>
      </c>
      <c r="AO1476" s="213" t="str">
        <f t="shared" si="645"/>
        <v>2010</v>
      </c>
      <c r="AP1476" s="213" t="str">
        <f t="shared" si="646"/>
        <v>2010</v>
      </c>
      <c r="AQ1476" s="215" t="str">
        <f t="shared" si="647"/>
        <v/>
      </c>
      <c r="AR1476" s="216" t="str">
        <f t="shared" si="648"/>
        <v>BiK81X1bK10y06</v>
      </c>
      <c r="AS1476" s="215" t="str">
        <f t="shared" si="649"/>
        <v/>
      </c>
      <c r="AT1476">
        <f t="shared" si="650"/>
        <v>14</v>
      </c>
      <c r="AU1476" s="216" t="str">
        <f t="shared" si="651"/>
        <v>0-0,15 MW, Bonusregeln X1, y, b und K erstmals 2010</v>
      </c>
      <c r="AV1476" s="215" t="str">
        <f t="shared" si="652"/>
        <v/>
      </c>
      <c r="AW1476" s="216" t="str">
        <f t="shared" si="653"/>
        <v>Anteil KWK, erstmals 2010</v>
      </c>
      <c r="AX1476" s="215" t="str">
        <f t="shared" si="654"/>
        <v/>
      </c>
      <c r="AY1476" t="str">
        <f t="shared" si="655"/>
        <v/>
      </c>
      <c r="AZ1476" t="str">
        <f t="shared" si="656"/>
        <v/>
      </c>
    </row>
    <row r="1477" spans="1:52" s="178" customFormat="1" x14ac:dyDescent="0.25">
      <c r="A1477" s="610" t="s">
        <v>3955</v>
      </c>
      <c r="B1477" s="30" t="s">
        <v>5548</v>
      </c>
      <c r="C1477" s="30" t="s">
        <v>1296</v>
      </c>
      <c r="D1477" s="30" t="s">
        <v>6989</v>
      </c>
      <c r="E1477" s="30" t="s">
        <v>3055</v>
      </c>
      <c r="F1477" s="454">
        <f t="shared" si="663"/>
        <v>30.61</v>
      </c>
      <c r="G1477" s="529">
        <v>30.61</v>
      </c>
      <c r="H1477" s="487">
        <f t="shared" si="664"/>
        <v>24.49</v>
      </c>
      <c r="I1477" s="706"/>
      <c r="J1477" s="669" t="s">
        <v>5805</v>
      </c>
      <c r="K1477" s="15"/>
      <c r="L1477"/>
      <c r="M1477" s="49">
        <f t="shared" si="665"/>
        <v>30.61</v>
      </c>
      <c r="N1477" s="41">
        <v>11.67</v>
      </c>
      <c r="O1477" s="187"/>
      <c r="P1477" s="183"/>
      <c r="Q1477" s="184"/>
      <c r="S1477" s="184" t="s">
        <v>1017</v>
      </c>
      <c r="T1477" s="178" t="s">
        <v>4180</v>
      </c>
      <c r="U1477" s="185" t="s">
        <v>1017</v>
      </c>
      <c r="V1477" s="184"/>
      <c r="W1477" s="180"/>
      <c r="X1477" s="180"/>
      <c r="AA1477" s="180"/>
      <c r="AC1477" s="184" t="s">
        <v>1017</v>
      </c>
      <c r="AD1477" s="201"/>
      <c r="AE1477" s="181" t="s">
        <v>1017</v>
      </c>
      <c r="AF1477" s="180"/>
      <c r="AG1477" s="201"/>
      <c r="AH1477" s="212" t="str">
        <f t="shared" si="670"/>
        <v>2011</v>
      </c>
      <c r="AI1477" s="214" t="str">
        <f t="shared" si="657"/>
        <v/>
      </c>
      <c r="AJ1477" s="214" t="str">
        <f t="shared" si="658"/>
        <v/>
      </c>
      <c r="AK1477" s="214" t="str">
        <f t="shared" si="659"/>
        <v/>
      </c>
      <c r="AL1477" s="214" t="str">
        <f t="shared" si="660"/>
        <v/>
      </c>
      <c r="AM1477" s="214" t="str">
        <f t="shared" si="661"/>
        <v/>
      </c>
      <c r="AN1477" s="213" t="str">
        <f t="shared" si="644"/>
        <v>2011</v>
      </c>
      <c r="AO1477" s="213" t="str">
        <f t="shared" si="645"/>
        <v>2011</v>
      </c>
      <c r="AP1477" s="213" t="str">
        <f t="shared" si="646"/>
        <v>2011</v>
      </c>
      <c r="AQ1477" s="215" t="str">
        <f t="shared" si="647"/>
        <v/>
      </c>
      <c r="AR1477" s="216" t="str">
        <f t="shared" si="648"/>
        <v>BiK81X1bK11y06</v>
      </c>
      <c r="AS1477" s="215" t="str">
        <f t="shared" si="649"/>
        <v/>
      </c>
      <c r="AT1477">
        <f t="shared" si="650"/>
        <v>14</v>
      </c>
      <c r="AU1477" s="216" t="str">
        <f t="shared" si="651"/>
        <v>0-0,15 MW, Bonusregeln X1, y, b und K erstmals 2011</v>
      </c>
      <c r="AV1477" s="215" t="str">
        <f t="shared" si="652"/>
        <v/>
      </c>
      <c r="AW1477" s="216" t="str">
        <f t="shared" si="653"/>
        <v>Anteil KWK, erstmals 2011</v>
      </c>
      <c r="AX1477" s="215" t="str">
        <f t="shared" si="654"/>
        <v/>
      </c>
      <c r="AY1477" t="str">
        <f t="shared" si="655"/>
        <v>x</v>
      </c>
      <c r="AZ1477" t="str">
        <f t="shared" si="656"/>
        <v/>
      </c>
    </row>
    <row r="1478" spans="1:52" s="178" customFormat="1" x14ac:dyDescent="0.25">
      <c r="A1478" s="625" t="s">
        <v>3655</v>
      </c>
      <c r="B1478" s="219" t="s">
        <v>5548</v>
      </c>
      <c r="C1478" s="219" t="s">
        <v>1296</v>
      </c>
      <c r="D1478" s="219" t="s">
        <v>6990</v>
      </c>
      <c r="E1478" s="219" t="s">
        <v>1980</v>
      </c>
      <c r="F1478" s="455">
        <f t="shared" si="663"/>
        <v>30.58</v>
      </c>
      <c r="G1478" s="530">
        <v>30.58</v>
      </c>
      <c r="H1478" s="488">
        <f t="shared" si="664"/>
        <v>24.46</v>
      </c>
      <c r="I1478" s="707"/>
      <c r="J1478" s="669" t="s">
        <v>5805</v>
      </c>
      <c r="K1478" s="15"/>
      <c r="L1478"/>
      <c r="M1478" s="49">
        <f t="shared" si="665"/>
        <v>30.58</v>
      </c>
      <c r="N1478" s="41">
        <v>11.67</v>
      </c>
      <c r="O1478" s="187"/>
      <c r="P1478" s="183"/>
      <c r="Q1478" s="184"/>
      <c r="S1478" s="184" t="s">
        <v>4180</v>
      </c>
      <c r="T1478" s="178" t="s">
        <v>1017</v>
      </c>
      <c r="U1478" s="185" t="s">
        <v>1017</v>
      </c>
      <c r="V1478" s="184"/>
      <c r="W1478" s="180"/>
      <c r="X1478" s="180"/>
      <c r="AA1478" s="180"/>
      <c r="AC1478" s="184" t="s">
        <v>1017</v>
      </c>
      <c r="AD1478" s="201"/>
      <c r="AE1478" s="181" t="s">
        <v>1017</v>
      </c>
      <c r="AF1478" s="180"/>
      <c r="AG1478" s="201"/>
      <c r="AH1478" s="217" t="s">
        <v>4179</v>
      </c>
      <c r="AI1478" s="214" t="str">
        <f t="shared" si="657"/>
        <v/>
      </c>
      <c r="AJ1478" s="214" t="str">
        <f t="shared" si="658"/>
        <v/>
      </c>
      <c r="AK1478" s="214" t="str">
        <f t="shared" si="659"/>
        <v/>
      </c>
      <c r="AL1478" s="214" t="str">
        <f t="shared" si="660"/>
        <v/>
      </c>
      <c r="AM1478" s="214" t="str">
        <f t="shared" si="661"/>
        <v/>
      </c>
      <c r="AN1478" s="213" t="str">
        <f t="shared" si="644"/>
        <v>2012</v>
      </c>
      <c r="AO1478" s="213" t="str">
        <f t="shared" si="645"/>
        <v>2012</v>
      </c>
      <c r="AP1478" s="213" t="str">
        <f t="shared" si="646"/>
        <v>2012</v>
      </c>
      <c r="AQ1478" s="215" t="str">
        <f t="shared" si="647"/>
        <v/>
      </c>
      <c r="AR1478" s="216" t="str">
        <f t="shared" si="648"/>
        <v>BiK81X1bK12y06</v>
      </c>
      <c r="AS1478" s="215" t="str">
        <f t="shared" si="649"/>
        <v/>
      </c>
      <c r="AT1478">
        <f t="shared" si="650"/>
        <v>14</v>
      </c>
      <c r="AU1478" s="216" t="str">
        <f t="shared" si="651"/>
        <v>0-0,15 MW, Bonusregeln X1, y, b und K erstmals 2012</v>
      </c>
      <c r="AV1478" s="215" t="str">
        <f t="shared" si="652"/>
        <v/>
      </c>
      <c r="AW1478" s="216" t="str">
        <f t="shared" si="653"/>
        <v>Anteil KWK, erstmals 2012</v>
      </c>
      <c r="AX1478" s="215" t="str">
        <f t="shared" si="654"/>
        <v/>
      </c>
      <c r="AY1478" t="str">
        <f t="shared" si="655"/>
        <v/>
      </c>
      <c r="AZ1478" t="str">
        <f t="shared" si="656"/>
        <v>x</v>
      </c>
    </row>
    <row r="1479" spans="1:52" s="178" customFormat="1" x14ac:dyDescent="0.25">
      <c r="A1479" s="609" t="s">
        <v>882</v>
      </c>
      <c r="B1479" s="1" t="s">
        <v>5548</v>
      </c>
      <c r="C1479" s="2" t="s">
        <v>1296</v>
      </c>
      <c r="D1479" s="1" t="s">
        <v>1779</v>
      </c>
      <c r="E1479" s="1" t="s">
        <v>4810</v>
      </c>
      <c r="F1479" s="456">
        <f t="shared" si="663"/>
        <v>9.6</v>
      </c>
      <c r="G1479" s="531">
        <v>9.6</v>
      </c>
      <c r="H1479" s="489">
        <f t="shared" si="664"/>
        <v>7.68</v>
      </c>
      <c r="I1479" s="708"/>
      <c r="J1479" s="669" t="s">
        <v>5805</v>
      </c>
      <c r="K1479" s="15"/>
      <c r="L1479"/>
      <c r="M1479" s="49">
        <f t="shared" si="665"/>
        <v>9.6</v>
      </c>
      <c r="N1479" s="41">
        <v>9.6</v>
      </c>
      <c r="O1479" s="88"/>
      <c r="P1479" s="23"/>
      <c r="Q1479" s="12"/>
      <c r="R1479" s="12"/>
      <c r="S1479" s="12" t="s">
        <v>4180</v>
      </c>
      <c r="T1479" s="178" t="s">
        <v>4180</v>
      </c>
      <c r="U1479" s="58"/>
      <c r="V1479" s="12"/>
      <c r="W1479" s="65"/>
      <c r="X1479" s="65"/>
      <c r="Y1479"/>
      <c r="Z1479" s="65"/>
      <c r="AA1479"/>
      <c r="AB1479"/>
      <c r="AC1479" s="65"/>
      <c r="AD1479" s="92"/>
      <c r="AE1479" s="124"/>
      <c r="AF1479" s="65"/>
      <c r="AG1479" s="91"/>
      <c r="AH1479" s="212" t="str">
        <f t="shared" ref="AH1479:AH1484" si="671">IF(ISERROR(SEARCH("K erstmals 201",D1479)),"",RIGHT(D1479,4))</f>
        <v/>
      </c>
      <c r="AI1479" s="214" t="str">
        <f t="shared" si="657"/>
        <v/>
      </c>
      <c r="AJ1479" s="214" t="str">
        <f t="shared" si="658"/>
        <v/>
      </c>
      <c r="AK1479" s="214" t="str">
        <f t="shared" si="659"/>
        <v/>
      </c>
      <c r="AL1479" s="214" t="str">
        <f t="shared" si="660"/>
        <v/>
      </c>
      <c r="AM1479" s="214" t="str">
        <f t="shared" si="661"/>
        <v/>
      </c>
      <c r="AN1479" s="213" t="str">
        <f t="shared" si="644"/>
        <v/>
      </c>
      <c r="AO1479" s="213" t="str">
        <f t="shared" si="645"/>
        <v/>
      </c>
      <c r="AP1479" s="213" t="str">
        <f t="shared" si="646"/>
        <v/>
      </c>
      <c r="AQ1479" s="215" t="str">
        <f t="shared" si="647"/>
        <v/>
      </c>
      <c r="AR1479" s="216" t="str">
        <f t="shared" si="648"/>
        <v>BiK82-------06</v>
      </c>
      <c r="AS1479" s="215" t="str">
        <f t="shared" si="649"/>
        <v/>
      </c>
      <c r="AT1479">
        <f t="shared" si="650"/>
        <v>14</v>
      </c>
      <c r="AU1479" s="216" t="str">
        <f t="shared" si="651"/>
        <v>0,15-0,5 MW</v>
      </c>
      <c r="AV1479" s="215" t="str">
        <f t="shared" si="652"/>
        <v/>
      </c>
      <c r="AW1479" s="216" t="str">
        <f t="shared" si="653"/>
        <v>Anteil Nicht-KWK</v>
      </c>
      <c r="AX1479" s="215" t="str">
        <f t="shared" si="654"/>
        <v/>
      </c>
      <c r="AY1479" t="str">
        <f t="shared" si="655"/>
        <v/>
      </c>
      <c r="AZ1479" t="str">
        <f t="shared" si="656"/>
        <v/>
      </c>
    </row>
    <row r="1480" spans="1:52" s="178" customFormat="1" x14ac:dyDescent="0.25">
      <c r="A1480" s="609" t="s">
        <v>883</v>
      </c>
      <c r="B1480" s="1" t="s">
        <v>5548</v>
      </c>
      <c r="C1480" s="2" t="s">
        <v>1296</v>
      </c>
      <c r="D1480" s="1" t="s">
        <v>7091</v>
      </c>
      <c r="E1480" s="1" t="s">
        <v>4812</v>
      </c>
      <c r="F1480" s="456">
        <f t="shared" si="663"/>
        <v>11.6</v>
      </c>
      <c r="G1480" s="531">
        <v>11.6</v>
      </c>
      <c r="H1480" s="489">
        <f t="shared" si="664"/>
        <v>9.2799999999999994</v>
      </c>
      <c r="I1480" s="708"/>
      <c r="J1480" s="669" t="s">
        <v>5805</v>
      </c>
      <c r="K1480" s="15"/>
      <c r="L1480"/>
      <c r="M1480" s="49">
        <f t="shared" si="665"/>
        <v>11.6</v>
      </c>
      <c r="N1480" s="41">
        <v>9.6</v>
      </c>
      <c r="O1480" s="54" t="s">
        <v>1017</v>
      </c>
      <c r="P1480" s="15"/>
      <c r="Q1480"/>
      <c r="R1480"/>
      <c r="S1480" t="s">
        <v>4180</v>
      </c>
      <c r="T1480" s="178" t="s">
        <v>4180</v>
      </c>
      <c r="U1480" s="55"/>
      <c r="V1480"/>
      <c r="W1480" s="65"/>
      <c r="X1480" s="65"/>
      <c r="Y1480"/>
      <c r="Z1480" s="65"/>
      <c r="AA1480"/>
      <c r="AB1480"/>
      <c r="AC1480" s="65"/>
      <c r="AD1480" s="92"/>
      <c r="AE1480" s="124"/>
      <c r="AF1480" s="65"/>
      <c r="AG1480" s="91"/>
      <c r="AH1480" s="212" t="str">
        <f t="shared" si="671"/>
        <v/>
      </c>
      <c r="AI1480" s="214" t="str">
        <f t="shared" si="657"/>
        <v/>
      </c>
      <c r="AJ1480" s="214" t="str">
        <f t="shared" si="658"/>
        <v/>
      </c>
      <c r="AK1480" s="214" t="str">
        <f t="shared" si="659"/>
        <v/>
      </c>
      <c r="AL1480" s="214" t="str">
        <f t="shared" si="660"/>
        <v/>
      </c>
      <c r="AM1480" s="214" t="str">
        <f t="shared" si="661"/>
        <v/>
      </c>
      <c r="AN1480" s="213" t="str">
        <f t="shared" si="644"/>
        <v/>
      </c>
      <c r="AO1480" s="213" t="str">
        <f t="shared" si="645"/>
        <v/>
      </c>
      <c r="AP1480" s="213" t="str">
        <f t="shared" si="646"/>
        <v/>
      </c>
      <c r="AQ1480" s="215" t="str">
        <f t="shared" si="647"/>
        <v/>
      </c>
      <c r="AR1480" s="216" t="str">
        <f t="shared" si="648"/>
        <v>BiK82KWK----06</v>
      </c>
      <c r="AS1480" s="215" t="str">
        <f t="shared" si="649"/>
        <v/>
      </c>
      <c r="AT1480">
        <f t="shared" si="650"/>
        <v>14</v>
      </c>
      <c r="AU1480" s="216" t="str">
        <f t="shared" si="651"/>
        <v>0,15-0,5 MW, Bonusregel KWK</v>
      </c>
      <c r="AV1480" s="215" t="str">
        <f t="shared" si="652"/>
        <v/>
      </c>
      <c r="AW1480" s="216" t="str">
        <f t="shared" si="653"/>
        <v>Anteil KWK</v>
      </c>
      <c r="AX1480" s="215" t="str">
        <f t="shared" si="654"/>
        <v/>
      </c>
      <c r="AY1480" t="str">
        <f t="shared" si="655"/>
        <v/>
      </c>
      <c r="AZ1480" t="str">
        <f t="shared" si="656"/>
        <v/>
      </c>
    </row>
    <row r="1481" spans="1:52" x14ac:dyDescent="0.25">
      <c r="A1481" s="610" t="s">
        <v>4354</v>
      </c>
      <c r="B1481" s="17" t="s">
        <v>5548</v>
      </c>
      <c r="C1481" s="30" t="s">
        <v>1296</v>
      </c>
      <c r="D1481" s="30" t="s">
        <v>7092</v>
      </c>
      <c r="E1481" s="30" t="s">
        <v>4331</v>
      </c>
      <c r="F1481" s="454">
        <f t="shared" si="663"/>
        <v>12.6</v>
      </c>
      <c r="G1481" s="529">
        <v>12.6</v>
      </c>
      <c r="H1481" s="487">
        <f t="shared" si="664"/>
        <v>10.08</v>
      </c>
      <c r="I1481" s="706"/>
      <c r="J1481" s="669" t="s">
        <v>5805</v>
      </c>
      <c r="K1481" s="15"/>
      <c r="M1481" s="49">
        <f t="shared" si="665"/>
        <v>12.6</v>
      </c>
      <c r="N1481" s="41">
        <v>9.6</v>
      </c>
      <c r="O1481" s="54"/>
      <c r="P1481" t="s">
        <v>1017</v>
      </c>
      <c r="S1481" t="s">
        <v>4180</v>
      </c>
      <c r="T1481" t="s">
        <v>4180</v>
      </c>
      <c r="U1481" s="55"/>
      <c r="W1481" s="65"/>
      <c r="X1481" s="65"/>
      <c r="Z1481" s="65"/>
      <c r="AC1481" s="65"/>
      <c r="AD1481" s="92"/>
      <c r="AE1481" s="124"/>
      <c r="AF1481" s="65"/>
      <c r="AG1481" s="91"/>
      <c r="AH1481" s="212" t="str">
        <f t="shared" si="671"/>
        <v/>
      </c>
      <c r="AI1481" s="214" t="str">
        <f t="shared" si="657"/>
        <v/>
      </c>
      <c r="AJ1481" s="214" t="str">
        <f t="shared" si="658"/>
        <v/>
      </c>
      <c r="AK1481" s="214" t="str">
        <f t="shared" si="659"/>
        <v/>
      </c>
      <c r="AL1481" s="214" t="str">
        <f t="shared" si="660"/>
        <v/>
      </c>
      <c r="AM1481" s="214" t="str">
        <f t="shared" si="661"/>
        <v/>
      </c>
      <c r="AN1481" s="213" t="str">
        <f t="shared" si="644"/>
        <v/>
      </c>
      <c r="AO1481" s="213" t="str">
        <f t="shared" si="645"/>
        <v/>
      </c>
      <c r="AP1481" s="213" t="str">
        <f t="shared" si="646"/>
        <v/>
      </c>
      <c r="AQ1481" s="215" t="str">
        <f t="shared" si="647"/>
        <v/>
      </c>
      <c r="AR1481" s="216" t="str">
        <f t="shared" si="648"/>
        <v>BiK82KA3----06</v>
      </c>
      <c r="AS1481" s="215" t="str">
        <f t="shared" si="649"/>
        <v/>
      </c>
      <c r="AT1481">
        <f t="shared" si="650"/>
        <v>14</v>
      </c>
      <c r="AU1481" s="216" t="str">
        <f t="shared" si="651"/>
        <v>0,15-0,5 MW, Bonusregel K wenn Anlage 3 erfüllt</v>
      </c>
      <c r="AV1481" s="215" t="str">
        <f t="shared" si="652"/>
        <v/>
      </c>
      <c r="AW1481" s="216" t="str">
        <f t="shared" si="653"/>
        <v>Anteil KWK gemäß Anlage 3</v>
      </c>
      <c r="AX1481" s="215" t="str">
        <f t="shared" si="654"/>
        <v/>
      </c>
      <c r="AY1481" t="str">
        <f t="shared" si="655"/>
        <v/>
      </c>
      <c r="AZ1481" t="str">
        <f t="shared" si="656"/>
        <v/>
      </c>
    </row>
    <row r="1482" spans="1:52" x14ac:dyDescent="0.25">
      <c r="A1482" s="610" t="s">
        <v>5553</v>
      </c>
      <c r="B1482" s="17" t="s">
        <v>5548</v>
      </c>
      <c r="C1482" s="17" t="s">
        <v>1296</v>
      </c>
      <c r="D1482" s="30" t="s">
        <v>7093</v>
      </c>
      <c r="E1482" s="17" t="s">
        <v>674</v>
      </c>
      <c r="F1482" s="454">
        <f t="shared" si="663"/>
        <v>12.6</v>
      </c>
      <c r="G1482" s="529">
        <v>12.6</v>
      </c>
      <c r="H1482" s="487">
        <f t="shared" si="664"/>
        <v>10.08</v>
      </c>
      <c r="I1482" s="706"/>
      <c r="J1482" s="669" t="s">
        <v>5805</v>
      </c>
      <c r="K1482" s="15"/>
      <c r="M1482" s="49">
        <f t="shared" si="665"/>
        <v>12.6</v>
      </c>
      <c r="N1482" s="41">
        <v>9.6</v>
      </c>
      <c r="O1482" s="54"/>
      <c r="P1482" s="15"/>
      <c r="Q1482" t="s">
        <v>1017</v>
      </c>
      <c r="S1482" t="s">
        <v>4180</v>
      </c>
      <c r="T1482" t="s">
        <v>4180</v>
      </c>
      <c r="U1482" s="55"/>
      <c r="W1482" s="65"/>
      <c r="X1482" s="65"/>
      <c r="Z1482" s="65"/>
      <c r="AC1482" s="65"/>
      <c r="AD1482" s="92"/>
      <c r="AE1482" s="124"/>
      <c r="AF1482" s="65"/>
      <c r="AG1482" s="91"/>
      <c r="AH1482" s="212" t="str">
        <f t="shared" si="671"/>
        <v/>
      </c>
      <c r="AI1482" s="214" t="str">
        <f t="shared" si="657"/>
        <v/>
      </c>
      <c r="AJ1482" s="214" t="str">
        <f t="shared" si="658"/>
        <v/>
      </c>
      <c r="AK1482" s="214" t="str">
        <f t="shared" si="659"/>
        <v/>
      </c>
      <c r="AL1482" s="214" t="str">
        <f t="shared" si="660"/>
        <v/>
      </c>
      <c r="AM1482" s="214" t="str">
        <f t="shared" si="661"/>
        <v/>
      </c>
      <c r="AN1482" s="213" t="str">
        <f t="shared" si="644"/>
        <v/>
      </c>
      <c r="AO1482" s="213" t="str">
        <f t="shared" si="645"/>
        <v/>
      </c>
      <c r="AP1482" s="213" t="str">
        <f t="shared" si="646"/>
        <v/>
      </c>
      <c r="AQ1482" s="215" t="str">
        <f t="shared" si="647"/>
        <v/>
      </c>
      <c r="AR1482" s="216" t="str">
        <f t="shared" si="648"/>
        <v>BiK82K09----06</v>
      </c>
      <c r="AS1482" s="215" t="str">
        <f t="shared" si="649"/>
        <v/>
      </c>
      <c r="AT1482">
        <f t="shared" si="650"/>
        <v>14</v>
      </c>
      <c r="AU1482" s="216" t="str">
        <f t="shared" si="651"/>
        <v>0,15-0,5 MW, Bonusregel K erstmals 2009</v>
      </c>
      <c r="AV1482" s="215" t="str">
        <f t="shared" si="652"/>
        <v/>
      </c>
      <c r="AW1482" s="216" t="str">
        <f t="shared" si="653"/>
        <v>Anteil KWK, erstmals 2009</v>
      </c>
      <c r="AX1482" s="215" t="str">
        <f t="shared" si="654"/>
        <v/>
      </c>
      <c r="AY1482" t="str">
        <f t="shared" si="655"/>
        <v/>
      </c>
      <c r="AZ1482" t="str">
        <f t="shared" si="656"/>
        <v/>
      </c>
    </row>
    <row r="1483" spans="1:52" x14ac:dyDescent="0.25">
      <c r="A1483" s="610" t="s">
        <v>4909</v>
      </c>
      <c r="B1483" s="17" t="s">
        <v>5548</v>
      </c>
      <c r="C1483" s="17" t="s">
        <v>1296</v>
      </c>
      <c r="D1483" s="30" t="s">
        <v>7094</v>
      </c>
      <c r="E1483" s="30" t="s">
        <v>3567</v>
      </c>
      <c r="F1483" s="454">
        <f t="shared" si="663"/>
        <v>12.57</v>
      </c>
      <c r="G1483" s="529">
        <v>12.57</v>
      </c>
      <c r="H1483" s="487">
        <f t="shared" si="664"/>
        <v>10.06</v>
      </c>
      <c r="I1483" s="706"/>
      <c r="J1483" s="669" t="s">
        <v>5805</v>
      </c>
      <c r="K1483" s="15"/>
      <c r="M1483" s="49">
        <f t="shared" si="665"/>
        <v>12.57</v>
      </c>
      <c r="N1483" s="41">
        <v>9.6</v>
      </c>
      <c r="O1483" s="54"/>
      <c r="P1483" s="15"/>
      <c r="R1483" t="s">
        <v>1017</v>
      </c>
      <c r="S1483" t="s">
        <v>4180</v>
      </c>
      <c r="T1483" t="s">
        <v>4180</v>
      </c>
      <c r="U1483" s="55"/>
      <c r="W1483" s="65"/>
      <c r="X1483" s="65"/>
      <c r="Z1483" s="65"/>
      <c r="AC1483" s="65"/>
      <c r="AD1483" s="92"/>
      <c r="AE1483" s="124"/>
      <c r="AF1483" s="65"/>
      <c r="AG1483" s="91"/>
      <c r="AH1483" s="212" t="str">
        <f t="shared" si="671"/>
        <v>2010</v>
      </c>
      <c r="AI1483" s="214" t="str">
        <f t="shared" si="657"/>
        <v/>
      </c>
      <c r="AJ1483" s="214" t="str">
        <f t="shared" si="658"/>
        <v/>
      </c>
      <c r="AK1483" s="214" t="str">
        <f t="shared" si="659"/>
        <v/>
      </c>
      <c r="AL1483" s="214" t="str">
        <f t="shared" si="660"/>
        <v/>
      </c>
      <c r="AM1483" s="214" t="str">
        <f t="shared" si="661"/>
        <v/>
      </c>
      <c r="AN1483" s="213" t="str">
        <f t="shared" si="644"/>
        <v>2010</v>
      </c>
      <c r="AO1483" s="213" t="str">
        <f t="shared" si="645"/>
        <v>2010</v>
      </c>
      <c r="AP1483" s="213" t="str">
        <f t="shared" si="646"/>
        <v>2010</v>
      </c>
      <c r="AQ1483" s="215" t="str">
        <f t="shared" si="647"/>
        <v/>
      </c>
      <c r="AR1483" s="216" t="str">
        <f t="shared" si="648"/>
        <v>BiK82K10----06</v>
      </c>
      <c r="AS1483" s="215" t="str">
        <f t="shared" si="649"/>
        <v/>
      </c>
      <c r="AT1483">
        <f t="shared" si="650"/>
        <v>14</v>
      </c>
      <c r="AU1483" s="216" t="str">
        <f t="shared" si="651"/>
        <v>0,15-0,5 MW, Bonusregel K erstmals 2010</v>
      </c>
      <c r="AV1483" s="215" t="str">
        <f t="shared" si="652"/>
        <v/>
      </c>
      <c r="AW1483" s="216" t="str">
        <f t="shared" si="653"/>
        <v>Anteil KWK, erstmals 2010</v>
      </c>
      <c r="AX1483" s="215" t="str">
        <f t="shared" si="654"/>
        <v/>
      </c>
      <c r="AY1483" t="str">
        <f t="shared" si="655"/>
        <v/>
      </c>
      <c r="AZ1483" t="str">
        <f t="shared" si="656"/>
        <v/>
      </c>
    </row>
    <row r="1484" spans="1:52" x14ac:dyDescent="0.25">
      <c r="A1484" s="610" t="s">
        <v>3956</v>
      </c>
      <c r="B1484" s="17" t="s">
        <v>5548</v>
      </c>
      <c r="C1484" s="17" t="s">
        <v>1296</v>
      </c>
      <c r="D1484" s="30" t="s">
        <v>7095</v>
      </c>
      <c r="E1484" s="30" t="s">
        <v>3055</v>
      </c>
      <c r="F1484" s="454">
        <f t="shared" si="663"/>
        <v>12.54</v>
      </c>
      <c r="G1484" s="529">
        <v>12.54</v>
      </c>
      <c r="H1484" s="487">
        <f t="shared" si="664"/>
        <v>10.029999999999999</v>
      </c>
      <c r="I1484" s="706"/>
      <c r="J1484" s="669" t="s">
        <v>5805</v>
      </c>
      <c r="K1484" s="15"/>
      <c r="M1484" s="49">
        <f t="shared" si="665"/>
        <v>12.54</v>
      </c>
      <c r="N1484" s="41">
        <v>9.6</v>
      </c>
      <c r="O1484" s="54"/>
      <c r="P1484" s="15"/>
      <c r="S1484" t="s">
        <v>1017</v>
      </c>
      <c r="T1484" t="s">
        <v>4180</v>
      </c>
      <c r="U1484" s="55"/>
      <c r="W1484" s="65"/>
      <c r="X1484" s="65"/>
      <c r="Z1484" s="65"/>
      <c r="AC1484" s="65"/>
      <c r="AD1484" s="92"/>
      <c r="AE1484" s="124"/>
      <c r="AF1484" s="65"/>
      <c r="AG1484" s="91"/>
      <c r="AH1484" s="212" t="str">
        <f t="shared" si="671"/>
        <v>2011</v>
      </c>
      <c r="AI1484" s="214" t="str">
        <f t="shared" si="657"/>
        <v/>
      </c>
      <c r="AJ1484" s="214" t="str">
        <f t="shared" si="658"/>
        <v/>
      </c>
      <c r="AK1484" s="214" t="str">
        <f t="shared" si="659"/>
        <v/>
      </c>
      <c r="AL1484" s="214" t="str">
        <f t="shared" si="660"/>
        <v/>
      </c>
      <c r="AM1484" s="214" t="str">
        <f t="shared" si="661"/>
        <v/>
      </c>
      <c r="AN1484" s="213" t="str">
        <f t="shared" si="644"/>
        <v>2011</v>
      </c>
      <c r="AO1484" s="213" t="str">
        <f t="shared" si="645"/>
        <v>2011</v>
      </c>
      <c r="AP1484" s="213" t="str">
        <f t="shared" si="646"/>
        <v>2011</v>
      </c>
      <c r="AQ1484" s="215" t="str">
        <f t="shared" si="647"/>
        <v/>
      </c>
      <c r="AR1484" s="216" t="str">
        <f t="shared" si="648"/>
        <v>BiK82K11----06</v>
      </c>
      <c r="AS1484" s="215" t="str">
        <f t="shared" si="649"/>
        <v/>
      </c>
      <c r="AT1484">
        <f t="shared" si="650"/>
        <v>14</v>
      </c>
      <c r="AU1484" s="216" t="str">
        <f t="shared" si="651"/>
        <v>0,15-0,5 MW, Bonusregel K erstmals 2011</v>
      </c>
      <c r="AV1484" s="215" t="str">
        <f t="shared" si="652"/>
        <v/>
      </c>
      <c r="AW1484" s="216" t="str">
        <f t="shared" si="653"/>
        <v>Anteil KWK, erstmals 2011</v>
      </c>
      <c r="AX1484" s="215" t="str">
        <f t="shared" si="654"/>
        <v/>
      </c>
      <c r="AY1484" t="str">
        <f t="shared" si="655"/>
        <v>x</v>
      </c>
      <c r="AZ1484" t="str">
        <f t="shared" si="656"/>
        <v/>
      </c>
    </row>
    <row r="1485" spans="1:52" x14ac:dyDescent="0.25">
      <c r="A1485" s="625" t="s">
        <v>3656</v>
      </c>
      <c r="B1485" s="221" t="s">
        <v>5548</v>
      </c>
      <c r="C1485" s="221" t="s">
        <v>1296</v>
      </c>
      <c r="D1485" s="219" t="s">
        <v>7096</v>
      </c>
      <c r="E1485" s="219" t="s">
        <v>1980</v>
      </c>
      <c r="F1485" s="455">
        <f t="shared" si="663"/>
        <v>12.51</v>
      </c>
      <c r="G1485" s="530">
        <v>12.51</v>
      </c>
      <c r="H1485" s="488">
        <f t="shared" si="664"/>
        <v>10.01</v>
      </c>
      <c r="I1485" s="707"/>
      <c r="J1485" s="669" t="s">
        <v>5805</v>
      </c>
      <c r="K1485" s="15"/>
      <c r="M1485" s="49">
        <f t="shared" si="665"/>
        <v>12.51</v>
      </c>
      <c r="N1485" s="41">
        <v>9.6</v>
      </c>
      <c r="O1485" s="54"/>
      <c r="P1485" s="15"/>
      <c r="S1485" t="s">
        <v>4180</v>
      </c>
      <c r="T1485" t="s">
        <v>1017</v>
      </c>
      <c r="U1485" s="55"/>
      <c r="W1485" s="65"/>
      <c r="X1485" s="65"/>
      <c r="Z1485" s="65"/>
      <c r="AC1485" s="65"/>
      <c r="AD1485" s="92"/>
      <c r="AE1485" s="124"/>
      <c r="AF1485" s="65"/>
      <c r="AG1485" s="91"/>
      <c r="AH1485" s="217" t="s">
        <v>4179</v>
      </c>
      <c r="AI1485" s="214" t="str">
        <f t="shared" si="657"/>
        <v/>
      </c>
      <c r="AJ1485" s="214" t="str">
        <f t="shared" si="658"/>
        <v/>
      </c>
      <c r="AK1485" s="214" t="str">
        <f t="shared" si="659"/>
        <v/>
      </c>
      <c r="AL1485" s="214" t="str">
        <f t="shared" si="660"/>
        <v/>
      </c>
      <c r="AM1485" s="214" t="str">
        <f t="shared" si="661"/>
        <v/>
      </c>
      <c r="AN1485" s="213" t="str">
        <f t="shared" si="644"/>
        <v>2012</v>
      </c>
      <c r="AO1485" s="213" t="str">
        <f t="shared" si="645"/>
        <v>2012</v>
      </c>
      <c r="AP1485" s="213" t="str">
        <f t="shared" si="646"/>
        <v>2012</v>
      </c>
      <c r="AQ1485" s="215" t="str">
        <f t="shared" si="647"/>
        <v/>
      </c>
      <c r="AR1485" s="216" t="str">
        <f t="shared" si="648"/>
        <v>BiK82K12----06</v>
      </c>
      <c r="AS1485" s="215" t="str">
        <f t="shared" si="649"/>
        <v/>
      </c>
      <c r="AT1485">
        <f t="shared" si="650"/>
        <v>14</v>
      </c>
      <c r="AU1485" s="216" t="str">
        <f t="shared" si="651"/>
        <v>0,15-0,5 MW, Bonusregel K erstmals 2012</v>
      </c>
      <c r="AV1485" s="215" t="str">
        <f t="shared" si="652"/>
        <v/>
      </c>
      <c r="AW1485" s="216" t="str">
        <f t="shared" si="653"/>
        <v>Anteil KWK, erstmals 2012</v>
      </c>
      <c r="AX1485" s="215" t="str">
        <f t="shared" si="654"/>
        <v/>
      </c>
      <c r="AY1485" t="str">
        <f t="shared" si="655"/>
        <v/>
      </c>
      <c r="AZ1485" t="str">
        <f t="shared" si="656"/>
        <v>x</v>
      </c>
    </row>
    <row r="1486" spans="1:52" x14ac:dyDescent="0.25">
      <c r="A1486" s="610" t="s">
        <v>980</v>
      </c>
      <c r="B1486" s="17" t="s">
        <v>5548</v>
      </c>
      <c r="C1486" s="17" t="s">
        <v>1296</v>
      </c>
      <c r="D1486" s="30" t="s">
        <v>7097</v>
      </c>
      <c r="E1486" s="17" t="s">
        <v>4810</v>
      </c>
      <c r="F1486" s="454">
        <f t="shared" si="663"/>
        <v>10.6</v>
      </c>
      <c r="G1486" s="529">
        <v>10.6</v>
      </c>
      <c r="H1486" s="487">
        <f t="shared" si="664"/>
        <v>8.48</v>
      </c>
      <c r="I1486" s="706"/>
      <c r="J1486" s="669" t="s">
        <v>5805</v>
      </c>
      <c r="K1486" s="15"/>
      <c r="M1486" s="49">
        <f t="shared" si="665"/>
        <v>10.6</v>
      </c>
      <c r="N1486" s="41">
        <v>9.6</v>
      </c>
      <c r="O1486" s="88"/>
      <c r="P1486" s="23"/>
      <c r="Q1486" s="12"/>
      <c r="R1486" s="12"/>
      <c r="S1486" s="12" t="s">
        <v>4180</v>
      </c>
      <c r="T1486" t="s">
        <v>4180</v>
      </c>
      <c r="U1486" s="58" t="s">
        <v>1017</v>
      </c>
      <c r="V1486" s="12"/>
      <c r="W1486" s="65"/>
      <c r="X1486" s="65"/>
      <c r="Z1486" s="65"/>
      <c r="AC1486" s="65"/>
      <c r="AD1486" s="92"/>
      <c r="AE1486" s="124"/>
      <c r="AF1486" s="65"/>
      <c r="AG1486" s="91"/>
      <c r="AH1486" s="212" t="str">
        <f t="shared" ref="AH1486:AH1491" si="672">IF(ISERROR(SEARCH("K erstmals 201",D1486)),"",RIGHT(D1486,4))</f>
        <v/>
      </c>
      <c r="AI1486" s="214" t="str">
        <f t="shared" si="657"/>
        <v/>
      </c>
      <c r="AJ1486" s="214" t="str">
        <f t="shared" si="658"/>
        <v/>
      </c>
      <c r="AK1486" s="214" t="str">
        <f t="shared" si="659"/>
        <v/>
      </c>
      <c r="AL1486" s="214" t="str">
        <f t="shared" si="660"/>
        <v/>
      </c>
      <c r="AM1486" s="214" t="str">
        <f t="shared" si="661"/>
        <v/>
      </c>
      <c r="AN1486" s="213" t="str">
        <f t="shared" si="644"/>
        <v/>
      </c>
      <c r="AO1486" s="213" t="str">
        <f t="shared" si="645"/>
        <v/>
      </c>
      <c r="AP1486" s="213" t="str">
        <f t="shared" si="646"/>
        <v/>
      </c>
      <c r="AQ1486" s="215" t="str">
        <f t="shared" si="647"/>
        <v/>
      </c>
      <c r="AR1486" s="216" t="str">
        <f t="shared" si="648"/>
        <v>BiK82y------06</v>
      </c>
      <c r="AS1486" s="215" t="str">
        <f t="shared" si="649"/>
        <v/>
      </c>
      <c r="AT1486">
        <f t="shared" si="650"/>
        <v>14</v>
      </c>
      <c r="AU1486" s="216" t="str">
        <f t="shared" si="651"/>
        <v>0,15-0,5 MW, Bonusregel y</v>
      </c>
      <c r="AV1486" s="215" t="str">
        <f t="shared" si="652"/>
        <v/>
      </c>
      <c r="AW1486" s="216" t="str">
        <f t="shared" si="653"/>
        <v>Anteil Nicht-KWK</v>
      </c>
      <c r="AX1486" s="215" t="str">
        <f t="shared" si="654"/>
        <v/>
      </c>
      <c r="AY1486" t="str">
        <f t="shared" si="655"/>
        <v/>
      </c>
      <c r="AZ1486" t="str">
        <f t="shared" si="656"/>
        <v/>
      </c>
    </row>
    <row r="1487" spans="1:52" x14ac:dyDescent="0.25">
      <c r="A1487" s="610" t="s">
        <v>981</v>
      </c>
      <c r="B1487" s="17" t="s">
        <v>5548</v>
      </c>
      <c r="C1487" s="17" t="s">
        <v>1296</v>
      </c>
      <c r="D1487" s="30" t="s">
        <v>7098</v>
      </c>
      <c r="E1487" s="17" t="s">
        <v>4812</v>
      </c>
      <c r="F1487" s="454">
        <f t="shared" si="663"/>
        <v>12.6</v>
      </c>
      <c r="G1487" s="529">
        <v>12.6</v>
      </c>
      <c r="H1487" s="487">
        <f t="shared" si="664"/>
        <v>10.08</v>
      </c>
      <c r="I1487" s="706"/>
      <c r="J1487" s="669" t="s">
        <v>5805</v>
      </c>
      <c r="K1487" s="15"/>
      <c r="M1487" s="49">
        <f t="shared" si="665"/>
        <v>12.6</v>
      </c>
      <c r="N1487" s="41">
        <v>9.6</v>
      </c>
      <c r="O1487" s="54" t="s">
        <v>1017</v>
      </c>
      <c r="P1487" s="15"/>
      <c r="S1487" t="s">
        <v>4180</v>
      </c>
      <c r="T1487" t="s">
        <v>4180</v>
      </c>
      <c r="U1487" s="55" t="s">
        <v>1017</v>
      </c>
      <c r="W1487" s="65"/>
      <c r="X1487" s="65"/>
      <c r="Z1487" s="65"/>
      <c r="AC1487" s="65"/>
      <c r="AD1487" s="92"/>
      <c r="AE1487" s="124"/>
      <c r="AF1487" s="65"/>
      <c r="AG1487" s="91"/>
      <c r="AH1487" s="212" t="str">
        <f t="shared" si="672"/>
        <v/>
      </c>
      <c r="AI1487" s="214" t="str">
        <f t="shared" si="657"/>
        <v/>
      </c>
      <c r="AJ1487" s="214" t="str">
        <f t="shared" si="658"/>
        <v/>
      </c>
      <c r="AK1487" s="214" t="str">
        <f t="shared" si="659"/>
        <v/>
      </c>
      <c r="AL1487" s="214" t="str">
        <f t="shared" si="660"/>
        <v/>
      </c>
      <c r="AM1487" s="214" t="str">
        <f t="shared" si="661"/>
        <v/>
      </c>
      <c r="AN1487" s="213" t="str">
        <f t="shared" si="644"/>
        <v/>
      </c>
      <c r="AO1487" s="213" t="str">
        <f t="shared" si="645"/>
        <v/>
      </c>
      <c r="AP1487" s="213" t="str">
        <f t="shared" si="646"/>
        <v/>
      </c>
      <c r="AQ1487" s="215" t="str">
        <f t="shared" si="647"/>
        <v/>
      </c>
      <c r="AR1487" s="216" t="str">
        <f t="shared" si="648"/>
        <v>BiK82KWKy---06</v>
      </c>
      <c r="AS1487" s="215" t="str">
        <f t="shared" si="649"/>
        <v/>
      </c>
      <c r="AT1487">
        <f t="shared" si="650"/>
        <v>14</v>
      </c>
      <c r="AU1487" s="216" t="str">
        <f t="shared" si="651"/>
        <v>0,15-0,5 MW, Bonusregeln y und KWK</v>
      </c>
      <c r="AV1487" s="215" t="str">
        <f t="shared" si="652"/>
        <v/>
      </c>
      <c r="AW1487" s="216" t="str">
        <f t="shared" si="653"/>
        <v>Anteil KWK</v>
      </c>
      <c r="AX1487" s="215" t="str">
        <f t="shared" si="654"/>
        <v/>
      </c>
      <c r="AY1487" t="str">
        <f t="shared" si="655"/>
        <v/>
      </c>
      <c r="AZ1487" t="str">
        <f t="shared" si="656"/>
        <v/>
      </c>
    </row>
    <row r="1488" spans="1:52" x14ac:dyDescent="0.25">
      <c r="A1488" s="610" t="s">
        <v>982</v>
      </c>
      <c r="B1488" s="17" t="s">
        <v>5548</v>
      </c>
      <c r="C1488" s="30" t="s">
        <v>1296</v>
      </c>
      <c r="D1488" s="30" t="s">
        <v>7099</v>
      </c>
      <c r="E1488" s="30" t="s">
        <v>4331</v>
      </c>
      <c r="F1488" s="454">
        <f t="shared" si="663"/>
        <v>13.6</v>
      </c>
      <c r="G1488" s="529">
        <v>13.6</v>
      </c>
      <c r="H1488" s="487">
        <f t="shared" si="664"/>
        <v>10.88</v>
      </c>
      <c r="I1488" s="706"/>
      <c r="J1488" s="669" t="s">
        <v>5805</v>
      </c>
      <c r="K1488" s="15"/>
      <c r="M1488" s="49">
        <f t="shared" si="665"/>
        <v>13.6</v>
      </c>
      <c r="N1488" s="41">
        <v>9.6</v>
      </c>
      <c r="O1488" s="54"/>
      <c r="P1488" t="s">
        <v>1017</v>
      </c>
      <c r="S1488" t="s">
        <v>4180</v>
      </c>
      <c r="T1488" t="s">
        <v>4180</v>
      </c>
      <c r="U1488" s="55" t="s">
        <v>1017</v>
      </c>
      <c r="W1488" s="65"/>
      <c r="X1488" s="65"/>
      <c r="Z1488" s="65"/>
      <c r="AC1488" s="65"/>
      <c r="AD1488" s="92"/>
      <c r="AE1488" s="124"/>
      <c r="AF1488" s="65"/>
      <c r="AG1488" s="91"/>
      <c r="AH1488" s="212" t="str">
        <f t="shared" si="672"/>
        <v/>
      </c>
      <c r="AI1488" s="214" t="str">
        <f t="shared" si="657"/>
        <v/>
      </c>
      <c r="AJ1488" s="214" t="str">
        <f t="shared" si="658"/>
        <v/>
      </c>
      <c r="AK1488" s="214" t="str">
        <f t="shared" si="659"/>
        <v/>
      </c>
      <c r="AL1488" s="214" t="str">
        <f t="shared" si="660"/>
        <v/>
      </c>
      <c r="AM1488" s="214" t="str">
        <f t="shared" si="661"/>
        <v/>
      </c>
      <c r="AN1488" s="213" t="str">
        <f t="shared" si="644"/>
        <v/>
      </c>
      <c r="AO1488" s="213" t="str">
        <f t="shared" si="645"/>
        <v/>
      </c>
      <c r="AP1488" s="213" t="str">
        <f t="shared" si="646"/>
        <v/>
      </c>
      <c r="AQ1488" s="215" t="str">
        <f t="shared" si="647"/>
        <v/>
      </c>
      <c r="AR1488" s="216" t="str">
        <f t="shared" si="648"/>
        <v>BiK82KA3y---06</v>
      </c>
      <c r="AS1488" s="215" t="str">
        <f t="shared" si="649"/>
        <v/>
      </c>
      <c r="AT1488">
        <f t="shared" si="650"/>
        <v>14</v>
      </c>
      <c r="AU1488" s="216" t="str">
        <f t="shared" si="651"/>
        <v>0,15-0,5 MW, Bonusregeln y und K wenn Anlage 3 erfüllt</v>
      </c>
      <c r="AV1488" s="215" t="str">
        <f t="shared" si="652"/>
        <v/>
      </c>
      <c r="AW1488" s="216" t="str">
        <f t="shared" si="653"/>
        <v>Anteil KWK gemäß Anlage 3</v>
      </c>
      <c r="AX1488" s="215" t="str">
        <f t="shared" si="654"/>
        <v/>
      </c>
      <c r="AY1488" t="str">
        <f t="shared" si="655"/>
        <v/>
      </c>
      <c r="AZ1488" t="str">
        <f t="shared" si="656"/>
        <v/>
      </c>
    </row>
    <row r="1489" spans="1:52" x14ac:dyDescent="0.25">
      <c r="A1489" s="610" t="s">
        <v>983</v>
      </c>
      <c r="B1489" s="17" t="s">
        <v>5548</v>
      </c>
      <c r="C1489" s="17" t="s">
        <v>1296</v>
      </c>
      <c r="D1489" s="30" t="s">
        <v>7100</v>
      </c>
      <c r="E1489" s="17" t="s">
        <v>674</v>
      </c>
      <c r="F1489" s="454">
        <f t="shared" si="663"/>
        <v>13.6</v>
      </c>
      <c r="G1489" s="529">
        <v>13.6</v>
      </c>
      <c r="H1489" s="487">
        <f t="shared" si="664"/>
        <v>10.88</v>
      </c>
      <c r="I1489" s="706"/>
      <c r="J1489" s="669" t="s">
        <v>5805</v>
      </c>
      <c r="K1489" s="15"/>
      <c r="M1489" s="49">
        <f t="shared" si="665"/>
        <v>13.6</v>
      </c>
      <c r="N1489" s="41">
        <v>9.6</v>
      </c>
      <c r="O1489" s="54"/>
      <c r="P1489" s="15"/>
      <c r="Q1489" t="s">
        <v>1017</v>
      </c>
      <c r="S1489" t="s">
        <v>4180</v>
      </c>
      <c r="T1489" t="s">
        <v>4180</v>
      </c>
      <c r="U1489" s="55" t="s">
        <v>1017</v>
      </c>
      <c r="W1489" s="65"/>
      <c r="X1489" s="65"/>
      <c r="Z1489" s="65"/>
      <c r="AC1489" s="65"/>
      <c r="AD1489" s="92"/>
      <c r="AE1489" s="124"/>
      <c r="AF1489" s="65"/>
      <c r="AG1489" s="91"/>
      <c r="AH1489" s="212" t="str">
        <f t="shared" si="672"/>
        <v/>
      </c>
      <c r="AI1489" s="214" t="str">
        <f t="shared" si="657"/>
        <v/>
      </c>
      <c r="AJ1489" s="214" t="str">
        <f t="shared" si="658"/>
        <v/>
      </c>
      <c r="AK1489" s="214" t="str">
        <f t="shared" si="659"/>
        <v/>
      </c>
      <c r="AL1489" s="214" t="str">
        <f t="shared" si="660"/>
        <v/>
      </c>
      <c r="AM1489" s="214" t="str">
        <f t="shared" si="661"/>
        <v/>
      </c>
      <c r="AN1489" s="213" t="str">
        <f t="shared" si="644"/>
        <v/>
      </c>
      <c r="AO1489" s="213" t="str">
        <f t="shared" si="645"/>
        <v/>
      </c>
      <c r="AP1489" s="213" t="str">
        <f t="shared" si="646"/>
        <v/>
      </c>
      <c r="AQ1489" s="215" t="str">
        <f t="shared" si="647"/>
        <v/>
      </c>
      <c r="AR1489" s="216" t="str">
        <f t="shared" si="648"/>
        <v>BiK82K09y---06</v>
      </c>
      <c r="AS1489" s="215" t="str">
        <f t="shared" si="649"/>
        <v/>
      </c>
      <c r="AT1489">
        <f t="shared" si="650"/>
        <v>14</v>
      </c>
      <c r="AU1489" s="216" t="str">
        <f t="shared" si="651"/>
        <v>0,15-0,5 MW, Bonusregeln y und K erstmals 2009</v>
      </c>
      <c r="AV1489" s="215" t="str">
        <f t="shared" si="652"/>
        <v/>
      </c>
      <c r="AW1489" s="216" t="str">
        <f t="shared" si="653"/>
        <v>Anteil KWK, erstmals 2009</v>
      </c>
      <c r="AX1489" s="215" t="str">
        <f t="shared" si="654"/>
        <v/>
      </c>
      <c r="AY1489" t="str">
        <f t="shared" si="655"/>
        <v/>
      </c>
      <c r="AZ1489" t="str">
        <f t="shared" si="656"/>
        <v/>
      </c>
    </row>
    <row r="1490" spans="1:52" x14ac:dyDescent="0.25">
      <c r="A1490" s="610" t="s">
        <v>4910</v>
      </c>
      <c r="B1490" s="17" t="s">
        <v>5548</v>
      </c>
      <c r="C1490" s="17" t="s">
        <v>1296</v>
      </c>
      <c r="D1490" s="30" t="s">
        <v>7101</v>
      </c>
      <c r="E1490" s="30" t="s">
        <v>3567</v>
      </c>
      <c r="F1490" s="454">
        <f t="shared" si="663"/>
        <v>13.57</v>
      </c>
      <c r="G1490" s="529">
        <v>13.57</v>
      </c>
      <c r="H1490" s="487">
        <f t="shared" si="664"/>
        <v>10.86</v>
      </c>
      <c r="I1490" s="706"/>
      <c r="J1490" s="669" t="s">
        <v>5805</v>
      </c>
      <c r="K1490" s="15"/>
      <c r="M1490" s="49">
        <f t="shared" si="665"/>
        <v>13.57</v>
      </c>
      <c r="N1490" s="41">
        <v>9.6</v>
      </c>
      <c r="O1490" s="54"/>
      <c r="P1490" s="15"/>
      <c r="R1490" t="s">
        <v>1017</v>
      </c>
      <c r="S1490" t="s">
        <v>4180</v>
      </c>
      <c r="T1490" t="s">
        <v>4180</v>
      </c>
      <c r="U1490" s="55" t="s">
        <v>1017</v>
      </c>
      <c r="W1490" s="65"/>
      <c r="X1490" s="65"/>
      <c r="Z1490" s="65"/>
      <c r="AC1490" s="65"/>
      <c r="AD1490" s="92"/>
      <c r="AE1490" s="124"/>
      <c r="AF1490" s="65"/>
      <c r="AG1490" s="91"/>
      <c r="AH1490" s="212" t="str">
        <f t="shared" si="672"/>
        <v>2010</v>
      </c>
      <c r="AI1490" s="214" t="str">
        <f t="shared" si="657"/>
        <v/>
      </c>
      <c r="AJ1490" s="214" t="str">
        <f t="shared" si="658"/>
        <v/>
      </c>
      <c r="AK1490" s="214" t="str">
        <f t="shared" si="659"/>
        <v/>
      </c>
      <c r="AL1490" s="214" t="str">
        <f t="shared" si="660"/>
        <v/>
      </c>
      <c r="AM1490" s="214" t="str">
        <f t="shared" si="661"/>
        <v/>
      </c>
      <c r="AN1490" s="213" t="str">
        <f t="shared" si="644"/>
        <v>2010</v>
      </c>
      <c r="AO1490" s="213" t="str">
        <f t="shared" si="645"/>
        <v>2010</v>
      </c>
      <c r="AP1490" s="213" t="str">
        <f t="shared" si="646"/>
        <v>2010</v>
      </c>
      <c r="AQ1490" s="215" t="str">
        <f t="shared" si="647"/>
        <v/>
      </c>
      <c r="AR1490" s="216" t="str">
        <f t="shared" si="648"/>
        <v>BiK82K10y---06</v>
      </c>
      <c r="AS1490" s="215" t="str">
        <f t="shared" si="649"/>
        <v/>
      </c>
      <c r="AT1490">
        <f t="shared" si="650"/>
        <v>14</v>
      </c>
      <c r="AU1490" s="216" t="str">
        <f t="shared" si="651"/>
        <v>0,15-0,5 MW, Bonusregeln y und K erstmals 2010</v>
      </c>
      <c r="AV1490" s="215" t="str">
        <f t="shared" si="652"/>
        <v/>
      </c>
      <c r="AW1490" s="216" t="str">
        <f t="shared" si="653"/>
        <v>Anteil KWK, erstmals 2010</v>
      </c>
      <c r="AX1490" s="215" t="str">
        <f t="shared" si="654"/>
        <v/>
      </c>
      <c r="AY1490" t="str">
        <f t="shared" si="655"/>
        <v/>
      </c>
      <c r="AZ1490" t="str">
        <f t="shared" si="656"/>
        <v/>
      </c>
    </row>
    <row r="1491" spans="1:52" x14ac:dyDescent="0.25">
      <c r="A1491" s="610" t="s">
        <v>3957</v>
      </c>
      <c r="B1491" s="17" t="s">
        <v>5548</v>
      </c>
      <c r="C1491" s="17" t="s">
        <v>1296</v>
      </c>
      <c r="D1491" s="30" t="s">
        <v>7102</v>
      </c>
      <c r="E1491" s="30" t="s">
        <v>3055</v>
      </c>
      <c r="F1491" s="454">
        <f t="shared" si="663"/>
        <v>13.54</v>
      </c>
      <c r="G1491" s="529">
        <v>13.54</v>
      </c>
      <c r="H1491" s="487">
        <f t="shared" si="664"/>
        <v>10.83</v>
      </c>
      <c r="I1491" s="706"/>
      <c r="J1491" s="669" t="s">
        <v>5805</v>
      </c>
      <c r="K1491" s="15"/>
      <c r="M1491" s="49">
        <f t="shared" si="665"/>
        <v>13.54</v>
      </c>
      <c r="N1491" s="41">
        <v>9.6</v>
      </c>
      <c r="O1491" s="54"/>
      <c r="P1491" s="15"/>
      <c r="S1491" t="s">
        <v>1017</v>
      </c>
      <c r="T1491" t="s">
        <v>4180</v>
      </c>
      <c r="U1491" s="55" t="s">
        <v>1017</v>
      </c>
      <c r="W1491" s="65"/>
      <c r="X1491" s="65"/>
      <c r="Z1491" s="65"/>
      <c r="AC1491" s="65"/>
      <c r="AD1491" s="92"/>
      <c r="AE1491" s="124"/>
      <c r="AF1491" s="65"/>
      <c r="AG1491" s="91"/>
      <c r="AH1491" s="212" t="str">
        <f t="shared" si="672"/>
        <v>2011</v>
      </c>
      <c r="AI1491" s="214" t="str">
        <f t="shared" si="657"/>
        <v/>
      </c>
      <c r="AJ1491" s="214" t="str">
        <f t="shared" si="658"/>
        <v/>
      </c>
      <c r="AK1491" s="214" t="str">
        <f t="shared" si="659"/>
        <v/>
      </c>
      <c r="AL1491" s="214" t="str">
        <f t="shared" si="660"/>
        <v/>
      </c>
      <c r="AM1491" s="214" t="str">
        <f t="shared" si="661"/>
        <v/>
      </c>
      <c r="AN1491" s="213" t="str">
        <f t="shared" si="644"/>
        <v>2011</v>
      </c>
      <c r="AO1491" s="213" t="str">
        <f t="shared" si="645"/>
        <v>2011</v>
      </c>
      <c r="AP1491" s="213" t="str">
        <f t="shared" si="646"/>
        <v>2011</v>
      </c>
      <c r="AQ1491" s="215" t="str">
        <f t="shared" si="647"/>
        <v/>
      </c>
      <c r="AR1491" s="216" t="str">
        <f t="shared" si="648"/>
        <v>BiK82K11y---06</v>
      </c>
      <c r="AS1491" s="215" t="str">
        <f t="shared" si="649"/>
        <v/>
      </c>
      <c r="AT1491">
        <f t="shared" si="650"/>
        <v>14</v>
      </c>
      <c r="AU1491" s="216" t="str">
        <f t="shared" si="651"/>
        <v>0,15-0,5 MW, Bonusregeln y und K erstmals 2011</v>
      </c>
      <c r="AV1491" s="215" t="str">
        <f t="shared" si="652"/>
        <v/>
      </c>
      <c r="AW1491" s="216" t="str">
        <f t="shared" si="653"/>
        <v>Anteil KWK, erstmals 2011</v>
      </c>
      <c r="AX1491" s="215" t="str">
        <f t="shared" si="654"/>
        <v/>
      </c>
      <c r="AY1491" t="str">
        <f t="shared" si="655"/>
        <v>x</v>
      </c>
      <c r="AZ1491" t="str">
        <f t="shared" si="656"/>
        <v/>
      </c>
    </row>
    <row r="1492" spans="1:52" x14ac:dyDescent="0.25">
      <c r="A1492" s="625" t="s">
        <v>3657</v>
      </c>
      <c r="B1492" s="221" t="s">
        <v>5548</v>
      </c>
      <c r="C1492" s="221" t="s">
        <v>1296</v>
      </c>
      <c r="D1492" s="219" t="s">
        <v>7103</v>
      </c>
      <c r="E1492" s="219" t="s">
        <v>1980</v>
      </c>
      <c r="F1492" s="455">
        <f t="shared" si="663"/>
        <v>13.51</v>
      </c>
      <c r="G1492" s="530">
        <v>13.51</v>
      </c>
      <c r="H1492" s="488">
        <f t="shared" si="664"/>
        <v>10.81</v>
      </c>
      <c r="I1492" s="707"/>
      <c r="J1492" s="669" t="s">
        <v>5805</v>
      </c>
      <c r="K1492" s="15"/>
      <c r="M1492" s="49">
        <f t="shared" si="665"/>
        <v>13.51</v>
      </c>
      <c r="N1492" s="41">
        <v>9.6</v>
      </c>
      <c r="O1492" s="54"/>
      <c r="P1492" s="15"/>
      <c r="S1492" t="s">
        <v>4180</v>
      </c>
      <c r="T1492" t="s">
        <v>1017</v>
      </c>
      <c r="U1492" s="55" t="s">
        <v>1017</v>
      </c>
      <c r="W1492" s="65"/>
      <c r="X1492" s="65"/>
      <c r="Z1492" s="65"/>
      <c r="AC1492" s="65"/>
      <c r="AD1492" s="92"/>
      <c r="AE1492" s="124"/>
      <c r="AF1492" s="65"/>
      <c r="AG1492" s="91"/>
      <c r="AH1492" s="217" t="s">
        <v>4179</v>
      </c>
      <c r="AI1492" s="214" t="str">
        <f t="shared" si="657"/>
        <v/>
      </c>
      <c r="AJ1492" s="214" t="str">
        <f t="shared" si="658"/>
        <v/>
      </c>
      <c r="AK1492" s="214" t="str">
        <f t="shared" si="659"/>
        <v/>
      </c>
      <c r="AL1492" s="214" t="str">
        <f t="shared" si="660"/>
        <v/>
      </c>
      <c r="AM1492" s="214" t="str">
        <f t="shared" si="661"/>
        <v/>
      </c>
      <c r="AN1492" s="213" t="str">
        <f t="shared" si="644"/>
        <v>2012</v>
      </c>
      <c r="AO1492" s="213" t="str">
        <f t="shared" si="645"/>
        <v>2012</v>
      </c>
      <c r="AP1492" s="213" t="str">
        <f t="shared" si="646"/>
        <v>2012</v>
      </c>
      <c r="AQ1492" s="215" t="str">
        <f t="shared" si="647"/>
        <v/>
      </c>
      <c r="AR1492" s="216" t="str">
        <f t="shared" si="648"/>
        <v>BiK82K12y---06</v>
      </c>
      <c r="AS1492" s="215" t="str">
        <f t="shared" si="649"/>
        <v/>
      </c>
      <c r="AT1492">
        <f t="shared" si="650"/>
        <v>14</v>
      </c>
      <c r="AU1492" s="216" t="str">
        <f t="shared" si="651"/>
        <v>0,15-0,5 MW, Bonusregeln y und K erstmals 2012</v>
      </c>
      <c r="AV1492" s="215" t="str">
        <f t="shared" si="652"/>
        <v/>
      </c>
      <c r="AW1492" s="216" t="str">
        <f t="shared" si="653"/>
        <v>Anteil KWK, erstmals 2012</v>
      </c>
      <c r="AX1492" s="215" t="str">
        <f t="shared" si="654"/>
        <v/>
      </c>
      <c r="AY1492" t="str">
        <f t="shared" si="655"/>
        <v/>
      </c>
      <c r="AZ1492" t="str">
        <f t="shared" si="656"/>
        <v>x</v>
      </c>
    </row>
    <row r="1493" spans="1:52" x14ac:dyDescent="0.25">
      <c r="A1493" s="609" t="s">
        <v>884</v>
      </c>
      <c r="B1493" s="1" t="s">
        <v>5548</v>
      </c>
      <c r="C1493" s="2" t="s">
        <v>1296</v>
      </c>
      <c r="D1493" s="1" t="s">
        <v>7104</v>
      </c>
      <c r="E1493" s="1" t="s">
        <v>4810</v>
      </c>
      <c r="F1493" s="456">
        <f t="shared" si="663"/>
        <v>15.6</v>
      </c>
      <c r="G1493" s="531">
        <v>15.6</v>
      </c>
      <c r="H1493" s="489">
        <f t="shared" si="664"/>
        <v>12.48</v>
      </c>
      <c r="I1493" s="708"/>
      <c r="J1493" s="669" t="s">
        <v>5805</v>
      </c>
      <c r="K1493" s="15"/>
      <c r="M1493" s="49">
        <f t="shared" si="665"/>
        <v>15.6</v>
      </c>
      <c r="N1493" s="41">
        <v>9.6</v>
      </c>
      <c r="O1493" s="54"/>
      <c r="P1493" s="15"/>
      <c r="S1493" t="s">
        <v>4180</v>
      </c>
      <c r="T1493" t="s">
        <v>4180</v>
      </c>
      <c r="U1493" s="55"/>
      <c r="V1493" t="s">
        <v>1017</v>
      </c>
      <c r="W1493" s="65"/>
      <c r="X1493" s="65"/>
      <c r="Z1493" s="65"/>
      <c r="AC1493" s="65"/>
      <c r="AD1493" s="92"/>
      <c r="AE1493" s="124"/>
      <c r="AF1493" s="65"/>
      <c r="AG1493" s="91"/>
      <c r="AH1493" s="212" t="str">
        <f t="shared" ref="AH1493:AH1498" si="673">IF(ISERROR(SEARCH("K erstmals 201",D1493)),"",RIGHT(D1493,4))</f>
        <v/>
      </c>
      <c r="AI1493" s="214" t="str">
        <f t="shared" si="657"/>
        <v/>
      </c>
      <c r="AJ1493" s="214" t="str">
        <f t="shared" si="658"/>
        <v/>
      </c>
      <c r="AK1493" s="214" t="str">
        <f t="shared" si="659"/>
        <v/>
      </c>
      <c r="AL1493" s="214" t="str">
        <f t="shared" si="660"/>
        <v/>
      </c>
      <c r="AM1493" s="214" t="str">
        <f t="shared" si="661"/>
        <v/>
      </c>
      <c r="AN1493" s="213" t="str">
        <f t="shared" si="644"/>
        <v/>
      </c>
      <c r="AO1493" s="213" t="str">
        <f t="shared" si="645"/>
        <v/>
      </c>
      <c r="AP1493" s="213" t="str">
        <f t="shared" si="646"/>
        <v/>
      </c>
      <c r="AQ1493" s="215" t="str">
        <f t="shared" si="647"/>
        <v/>
      </c>
      <c r="AR1493" s="216" t="str">
        <f t="shared" si="648"/>
        <v>BiK82a1-----06</v>
      </c>
      <c r="AS1493" s="215" t="str">
        <f t="shared" si="649"/>
        <v/>
      </c>
      <c r="AT1493">
        <f t="shared" si="650"/>
        <v>14</v>
      </c>
      <c r="AU1493" s="216" t="str">
        <f t="shared" si="651"/>
        <v>0,15-0,5 MW, Bonusregel a1</v>
      </c>
      <c r="AV1493" s="215" t="str">
        <f t="shared" si="652"/>
        <v/>
      </c>
      <c r="AW1493" s="216" t="str">
        <f t="shared" si="653"/>
        <v>Anteil Nicht-KWK</v>
      </c>
      <c r="AX1493" s="215" t="str">
        <f t="shared" si="654"/>
        <v/>
      </c>
      <c r="AY1493" t="str">
        <f t="shared" si="655"/>
        <v/>
      </c>
      <c r="AZ1493" t="str">
        <f t="shared" si="656"/>
        <v/>
      </c>
    </row>
    <row r="1494" spans="1:52" x14ac:dyDescent="0.25">
      <c r="A1494" s="609" t="s">
        <v>885</v>
      </c>
      <c r="B1494" s="1" t="s">
        <v>5548</v>
      </c>
      <c r="C1494" s="2" t="s">
        <v>1296</v>
      </c>
      <c r="D1494" s="1" t="s">
        <v>7105</v>
      </c>
      <c r="E1494" s="1" t="s">
        <v>4812</v>
      </c>
      <c r="F1494" s="456">
        <f t="shared" si="663"/>
        <v>17.600000000000001</v>
      </c>
      <c r="G1494" s="531">
        <v>17.600000000000001</v>
      </c>
      <c r="H1494" s="489">
        <f t="shared" si="664"/>
        <v>14.08</v>
      </c>
      <c r="I1494" s="708"/>
      <c r="J1494" s="669" t="s">
        <v>5805</v>
      </c>
      <c r="K1494" s="15"/>
      <c r="M1494" s="49">
        <f t="shared" si="665"/>
        <v>17.600000000000001</v>
      </c>
      <c r="N1494" s="41">
        <v>9.6</v>
      </c>
      <c r="O1494" s="54" t="s">
        <v>1017</v>
      </c>
      <c r="P1494" s="15"/>
      <c r="S1494" t="s">
        <v>4180</v>
      </c>
      <c r="T1494" t="s">
        <v>4180</v>
      </c>
      <c r="U1494" s="55"/>
      <c r="V1494" t="s">
        <v>1017</v>
      </c>
      <c r="W1494" s="65"/>
      <c r="X1494" s="65"/>
      <c r="Z1494" s="65"/>
      <c r="AC1494" s="65"/>
      <c r="AD1494" s="92"/>
      <c r="AE1494" s="124"/>
      <c r="AF1494" s="65"/>
      <c r="AG1494" s="91"/>
      <c r="AH1494" s="212" t="str">
        <f t="shared" si="673"/>
        <v/>
      </c>
      <c r="AI1494" s="214" t="str">
        <f t="shared" si="657"/>
        <v/>
      </c>
      <c r="AJ1494" s="214" t="str">
        <f t="shared" si="658"/>
        <v/>
      </c>
      <c r="AK1494" s="214" t="str">
        <f t="shared" si="659"/>
        <v/>
      </c>
      <c r="AL1494" s="214" t="str">
        <f t="shared" si="660"/>
        <v/>
      </c>
      <c r="AM1494" s="214" t="str">
        <f t="shared" si="661"/>
        <v/>
      </c>
      <c r="AN1494" s="213" t="str">
        <f t="shared" si="644"/>
        <v/>
      </c>
      <c r="AO1494" s="213" t="str">
        <f t="shared" si="645"/>
        <v/>
      </c>
      <c r="AP1494" s="213" t="str">
        <f t="shared" si="646"/>
        <v/>
      </c>
      <c r="AQ1494" s="215" t="str">
        <f t="shared" si="647"/>
        <v/>
      </c>
      <c r="AR1494" s="216" t="str">
        <f t="shared" si="648"/>
        <v>BiK82a1KWK--06</v>
      </c>
      <c r="AS1494" s="215" t="str">
        <f t="shared" si="649"/>
        <v/>
      </c>
      <c r="AT1494">
        <f t="shared" si="650"/>
        <v>14</v>
      </c>
      <c r="AU1494" s="216" t="str">
        <f t="shared" si="651"/>
        <v>0,15-0,5 MW, Bonusregel a1 und KWK</v>
      </c>
      <c r="AV1494" s="215" t="str">
        <f t="shared" si="652"/>
        <v/>
      </c>
      <c r="AW1494" s="216" t="str">
        <f t="shared" si="653"/>
        <v>Anteil KWK</v>
      </c>
      <c r="AX1494" s="215" t="str">
        <f t="shared" si="654"/>
        <v/>
      </c>
      <c r="AY1494" t="str">
        <f t="shared" si="655"/>
        <v/>
      </c>
      <c r="AZ1494" t="str">
        <f t="shared" si="656"/>
        <v/>
      </c>
    </row>
    <row r="1495" spans="1:52" x14ac:dyDescent="0.25">
      <c r="A1495" s="610" t="s">
        <v>4355</v>
      </c>
      <c r="B1495" s="17" t="s">
        <v>5548</v>
      </c>
      <c r="C1495" s="30" t="s">
        <v>1296</v>
      </c>
      <c r="D1495" s="30" t="s">
        <v>7106</v>
      </c>
      <c r="E1495" s="30" t="s">
        <v>4331</v>
      </c>
      <c r="F1495" s="454">
        <f t="shared" si="663"/>
        <v>18.600000000000001</v>
      </c>
      <c r="G1495" s="529">
        <v>18.600000000000001</v>
      </c>
      <c r="H1495" s="487">
        <f t="shared" si="664"/>
        <v>14.88</v>
      </c>
      <c r="I1495" s="706"/>
      <c r="J1495" s="669" t="s">
        <v>5805</v>
      </c>
      <c r="K1495" s="15"/>
      <c r="M1495" s="49">
        <f t="shared" si="665"/>
        <v>18.600000000000001</v>
      </c>
      <c r="N1495" s="41">
        <v>9.6</v>
      </c>
      <c r="O1495" s="54"/>
      <c r="P1495" t="s">
        <v>1017</v>
      </c>
      <c r="S1495" t="s">
        <v>4180</v>
      </c>
      <c r="T1495" t="s">
        <v>4180</v>
      </c>
      <c r="U1495" s="55"/>
      <c r="V1495" t="s">
        <v>1017</v>
      </c>
      <c r="W1495" s="65"/>
      <c r="X1495" s="65"/>
      <c r="Z1495" s="65"/>
      <c r="AC1495" s="65"/>
      <c r="AD1495" s="92"/>
      <c r="AE1495" s="124"/>
      <c r="AF1495" s="65"/>
      <c r="AG1495" s="91"/>
      <c r="AH1495" s="212" t="str">
        <f t="shared" si="673"/>
        <v/>
      </c>
      <c r="AI1495" s="214" t="str">
        <f t="shared" si="657"/>
        <v/>
      </c>
      <c r="AJ1495" s="214" t="str">
        <f t="shared" si="658"/>
        <v/>
      </c>
      <c r="AK1495" s="214" t="str">
        <f t="shared" si="659"/>
        <v/>
      </c>
      <c r="AL1495" s="214" t="str">
        <f t="shared" si="660"/>
        <v/>
      </c>
      <c r="AM1495" s="214" t="str">
        <f t="shared" si="661"/>
        <v/>
      </c>
      <c r="AN1495" s="213" t="str">
        <f t="shared" si="644"/>
        <v/>
      </c>
      <c r="AO1495" s="213" t="str">
        <f t="shared" si="645"/>
        <v/>
      </c>
      <c r="AP1495" s="213" t="str">
        <f t="shared" si="646"/>
        <v/>
      </c>
      <c r="AQ1495" s="215" t="str">
        <f t="shared" si="647"/>
        <v/>
      </c>
      <c r="AR1495" s="216" t="str">
        <f t="shared" si="648"/>
        <v>BiK82a1KA3--06</v>
      </c>
      <c r="AS1495" s="215" t="str">
        <f t="shared" si="649"/>
        <v/>
      </c>
      <c r="AT1495">
        <f t="shared" si="650"/>
        <v>14</v>
      </c>
      <c r="AU1495" s="216" t="str">
        <f t="shared" si="651"/>
        <v>0,15-0,5 MW, Bonusregeln a1 und K wenn Anlage 3 erfüllt</v>
      </c>
      <c r="AV1495" s="215" t="str">
        <f t="shared" si="652"/>
        <v/>
      </c>
      <c r="AW1495" s="216" t="str">
        <f t="shared" si="653"/>
        <v>Anteil KWK gemäß Anlage 3</v>
      </c>
      <c r="AX1495" s="215" t="str">
        <f t="shared" si="654"/>
        <v/>
      </c>
      <c r="AY1495" t="str">
        <f t="shared" si="655"/>
        <v/>
      </c>
      <c r="AZ1495" t="str">
        <f t="shared" si="656"/>
        <v/>
      </c>
    </row>
    <row r="1496" spans="1:52" x14ac:dyDescent="0.25">
      <c r="A1496" s="610" t="s">
        <v>4591</v>
      </c>
      <c r="B1496" s="17" t="s">
        <v>5548</v>
      </c>
      <c r="C1496" s="17" t="s">
        <v>1296</v>
      </c>
      <c r="D1496" s="30" t="s">
        <v>7107</v>
      </c>
      <c r="E1496" s="17" t="s">
        <v>674</v>
      </c>
      <c r="F1496" s="454">
        <f t="shared" si="663"/>
        <v>18.600000000000001</v>
      </c>
      <c r="G1496" s="529">
        <v>18.600000000000001</v>
      </c>
      <c r="H1496" s="487">
        <f t="shared" si="664"/>
        <v>14.88</v>
      </c>
      <c r="I1496" s="706"/>
      <c r="J1496" s="669" t="s">
        <v>5805</v>
      </c>
      <c r="K1496" s="15"/>
      <c r="M1496" s="49">
        <f t="shared" si="665"/>
        <v>18.600000000000001</v>
      </c>
      <c r="N1496" s="41">
        <v>9.6</v>
      </c>
      <c r="O1496" s="54"/>
      <c r="P1496" s="15"/>
      <c r="Q1496" t="s">
        <v>1017</v>
      </c>
      <c r="S1496" t="s">
        <v>4180</v>
      </c>
      <c r="T1496" t="s">
        <v>4180</v>
      </c>
      <c r="U1496" s="55"/>
      <c r="V1496" t="s">
        <v>1017</v>
      </c>
      <c r="W1496" s="65"/>
      <c r="X1496" s="65"/>
      <c r="Z1496" s="65"/>
      <c r="AC1496" s="65"/>
      <c r="AD1496" s="92"/>
      <c r="AE1496" s="124"/>
      <c r="AF1496" s="65"/>
      <c r="AG1496" s="91"/>
      <c r="AH1496" s="212" t="str">
        <f t="shared" si="673"/>
        <v/>
      </c>
      <c r="AI1496" s="214" t="str">
        <f t="shared" si="657"/>
        <v/>
      </c>
      <c r="AJ1496" s="214" t="str">
        <f t="shared" si="658"/>
        <v/>
      </c>
      <c r="AK1496" s="214" t="str">
        <f t="shared" si="659"/>
        <v/>
      </c>
      <c r="AL1496" s="214" t="str">
        <f t="shared" si="660"/>
        <v/>
      </c>
      <c r="AM1496" s="214" t="str">
        <f t="shared" si="661"/>
        <v/>
      </c>
      <c r="AN1496" s="213" t="str">
        <f t="shared" si="644"/>
        <v/>
      </c>
      <c r="AO1496" s="213" t="str">
        <f t="shared" si="645"/>
        <v/>
      </c>
      <c r="AP1496" s="213" t="str">
        <f t="shared" si="646"/>
        <v/>
      </c>
      <c r="AQ1496" s="215" t="str">
        <f t="shared" si="647"/>
        <v/>
      </c>
      <c r="AR1496" s="216" t="str">
        <f t="shared" si="648"/>
        <v>BiK82a1K09--06</v>
      </c>
      <c r="AS1496" s="215" t="str">
        <f t="shared" si="649"/>
        <v/>
      </c>
      <c r="AT1496">
        <f t="shared" si="650"/>
        <v>14</v>
      </c>
      <c r="AU1496" s="216" t="str">
        <f t="shared" si="651"/>
        <v>0,15-0,5 MW, Bonusregeln a1 und K erstmals 2009</v>
      </c>
      <c r="AV1496" s="215" t="str">
        <f t="shared" si="652"/>
        <v/>
      </c>
      <c r="AW1496" s="216" t="str">
        <f t="shared" si="653"/>
        <v>Anteil KWK, erstmals 2009</v>
      </c>
      <c r="AX1496" s="215" t="str">
        <f t="shared" si="654"/>
        <v/>
      </c>
      <c r="AY1496" t="str">
        <f t="shared" si="655"/>
        <v/>
      </c>
      <c r="AZ1496" t="str">
        <f t="shared" si="656"/>
        <v/>
      </c>
    </row>
    <row r="1497" spans="1:52" x14ac:dyDescent="0.25">
      <c r="A1497" s="610" t="s">
        <v>4911</v>
      </c>
      <c r="B1497" s="17" t="s">
        <v>5548</v>
      </c>
      <c r="C1497" s="17" t="s">
        <v>1296</v>
      </c>
      <c r="D1497" s="30" t="s">
        <v>7108</v>
      </c>
      <c r="E1497" s="30" t="s">
        <v>3567</v>
      </c>
      <c r="F1497" s="454">
        <f t="shared" si="663"/>
        <v>18.57</v>
      </c>
      <c r="G1497" s="529">
        <v>18.57</v>
      </c>
      <c r="H1497" s="487">
        <f t="shared" si="664"/>
        <v>14.86</v>
      </c>
      <c r="I1497" s="706"/>
      <c r="J1497" s="669" t="s">
        <v>5805</v>
      </c>
      <c r="K1497" s="15"/>
      <c r="M1497" s="49">
        <f t="shared" si="665"/>
        <v>18.57</v>
      </c>
      <c r="N1497" s="41">
        <v>9.6</v>
      </c>
      <c r="O1497" s="54"/>
      <c r="P1497" s="15"/>
      <c r="R1497" t="s">
        <v>1017</v>
      </c>
      <c r="S1497" t="s">
        <v>4180</v>
      </c>
      <c r="T1497" t="s">
        <v>4180</v>
      </c>
      <c r="U1497" s="55"/>
      <c r="V1497" t="s">
        <v>1017</v>
      </c>
      <c r="W1497" s="65"/>
      <c r="X1497" s="65"/>
      <c r="Z1497" s="65"/>
      <c r="AC1497" s="65"/>
      <c r="AD1497" s="92"/>
      <c r="AE1497" s="124"/>
      <c r="AF1497" s="65"/>
      <c r="AG1497" s="91"/>
      <c r="AH1497" s="212" t="str">
        <f t="shared" si="673"/>
        <v>2010</v>
      </c>
      <c r="AI1497" s="214" t="str">
        <f t="shared" si="657"/>
        <v/>
      </c>
      <c r="AJ1497" s="214" t="str">
        <f t="shared" si="658"/>
        <v/>
      </c>
      <c r="AK1497" s="214" t="str">
        <f t="shared" si="659"/>
        <v/>
      </c>
      <c r="AL1497" s="214" t="str">
        <f t="shared" si="660"/>
        <v/>
      </c>
      <c r="AM1497" s="214" t="str">
        <f t="shared" si="661"/>
        <v/>
      </c>
      <c r="AN1497" s="213" t="str">
        <f t="shared" ref="AN1497:AN1560" si="674">IF(ISERROR(SEARCH("K1",A1497)),"","20"&amp;MID(A1497,SEARCH("K1",A1497)+1,2))</f>
        <v>2010</v>
      </c>
      <c r="AO1497" s="213" t="str">
        <f t="shared" ref="AO1497:AO1560" si="675">IF(ISERROR(SEARCH("erstmals 201",E1497)),"",MID(E1497,SEARCH("erstmals ",E1497)+9,4))</f>
        <v>2010</v>
      </c>
      <c r="AP1497" s="213" t="str">
        <f t="shared" ref="AP1497:AP1560" si="676">IF(R1497="x","2010",IF(S1497="x","2011",IF(T1497="x","2012","")))</f>
        <v>2010</v>
      </c>
      <c r="AQ1497" s="215" t="str">
        <f t="shared" ref="AQ1497:AQ1560" si="677">IF(OR(AH1497&lt;&gt;AN1497,AH1497&lt;&gt;AO1497,AH1497&lt;&gt;AP1497),"DIFF","")</f>
        <v/>
      </c>
      <c r="AR1497" s="216" t="str">
        <f t="shared" ref="AR1497:AR1560" si="678">IF(A1497="","",IF(ISERROR(SEARCH("K1",A1497)),A1497,LEFT(A1497,SEARCH("K1",A1497)+1)&amp;RIGHT(AH1497,1)&amp;MID(A1497,SEARCH("K1",A1497)+3,14)))</f>
        <v>BiK82a1K10--06</v>
      </c>
      <c r="AS1497" s="215" t="str">
        <f t="shared" ref="AS1497:AS1560" si="679">IF(OR(A1497&lt;&gt;AR1497),"DIFF","")</f>
        <v/>
      </c>
      <c r="AT1497">
        <f t="shared" ref="AT1497:AT1560" si="680">LEN(AR1497)</f>
        <v>14</v>
      </c>
      <c r="AU1497" s="216" t="str">
        <f t="shared" ref="AU1497:AU1560" si="681">IF(D1497="","",IF(OR(A1497="",ISERROR(SEARCH("erstmals 201",D1497))),D1497,LEFT(D1497,SEARCH("erstmals 201",D1497)+8) &amp; AH1497 &amp; MID(D1497,SEARCH("erstmals 201",D1497)+13,255)))</f>
        <v>0,15-0,5 MW, Bonusregeln a1 und K erstmals 2010</v>
      </c>
      <c r="AV1497" s="215" t="str">
        <f t="shared" ref="AV1497:AV1560" si="682">IF(OR(D1497&lt;&gt;AU1497),"DIFF","")</f>
        <v/>
      </c>
      <c r="AW1497" s="216" t="str">
        <f t="shared" ref="AW1497:AW1560" si="683">IF(E1497="","",IF(OR(E1497="",ISERROR(SEARCH("erstmals 201",E1497))),E1497,LEFT(E1497,SEARCH("erstmals 201",E1497)+8) &amp; AH1497 &amp; MID(E1497,SEARCH("erstmals 201",E1497)+13,255)))</f>
        <v>Anteil KWK, erstmals 2010</v>
      </c>
      <c r="AX1497" s="215" t="str">
        <f t="shared" ref="AX1497:AX1560" si="684">IF(OR(E1497&lt;&gt;AW1497),"DIFF","")</f>
        <v/>
      </c>
      <c r="AY1497" t="str">
        <f t="shared" ref="AY1497:AY1560" si="685">IF(AH1497="2011","x",IF(AH1497="2012","","" &amp; S1497))</f>
        <v/>
      </c>
      <c r="AZ1497" t="str">
        <f t="shared" ref="AZ1497:AZ1560" si="686">IF(AH1497="2012","x",IF(AH1497="2011","","" &amp; T1497))</f>
        <v/>
      </c>
    </row>
    <row r="1498" spans="1:52" x14ac:dyDescent="0.25">
      <c r="A1498" s="610" t="s">
        <v>3958</v>
      </c>
      <c r="B1498" s="17" t="s">
        <v>5548</v>
      </c>
      <c r="C1498" s="17" t="s">
        <v>1296</v>
      </c>
      <c r="D1498" s="30" t="s">
        <v>7109</v>
      </c>
      <c r="E1498" s="30" t="s">
        <v>3055</v>
      </c>
      <c r="F1498" s="454">
        <f t="shared" si="663"/>
        <v>18.54</v>
      </c>
      <c r="G1498" s="529">
        <v>18.54</v>
      </c>
      <c r="H1498" s="487">
        <f t="shared" si="664"/>
        <v>14.83</v>
      </c>
      <c r="I1498" s="706"/>
      <c r="J1498" s="669" t="s">
        <v>5805</v>
      </c>
      <c r="K1498" s="15"/>
      <c r="M1498" s="49">
        <f t="shared" si="665"/>
        <v>18.54</v>
      </c>
      <c r="N1498" s="41">
        <v>9.6</v>
      </c>
      <c r="O1498" s="54"/>
      <c r="P1498" s="15"/>
      <c r="S1498" t="s">
        <v>1017</v>
      </c>
      <c r="T1498" t="s">
        <v>4180</v>
      </c>
      <c r="U1498" s="55"/>
      <c r="V1498" t="s">
        <v>1017</v>
      </c>
      <c r="W1498" s="65"/>
      <c r="X1498" s="65"/>
      <c r="Z1498" s="65"/>
      <c r="AC1498" s="65"/>
      <c r="AD1498" s="92"/>
      <c r="AE1498" s="124"/>
      <c r="AF1498" s="65"/>
      <c r="AG1498" s="91"/>
      <c r="AH1498" s="212" t="str">
        <f t="shared" si="673"/>
        <v>2011</v>
      </c>
      <c r="AI1498" s="214" t="str">
        <f t="shared" si="657"/>
        <v/>
      </c>
      <c r="AJ1498" s="214" t="str">
        <f t="shared" si="658"/>
        <v/>
      </c>
      <c r="AK1498" s="214" t="str">
        <f t="shared" si="659"/>
        <v/>
      </c>
      <c r="AL1498" s="214" t="str">
        <f t="shared" si="660"/>
        <v/>
      </c>
      <c r="AM1498" s="214" t="str">
        <f t="shared" si="661"/>
        <v/>
      </c>
      <c r="AN1498" s="213" t="str">
        <f t="shared" si="674"/>
        <v>2011</v>
      </c>
      <c r="AO1498" s="213" t="str">
        <f t="shared" si="675"/>
        <v>2011</v>
      </c>
      <c r="AP1498" s="213" t="str">
        <f t="shared" si="676"/>
        <v>2011</v>
      </c>
      <c r="AQ1498" s="215" t="str">
        <f t="shared" si="677"/>
        <v/>
      </c>
      <c r="AR1498" s="216" t="str">
        <f t="shared" si="678"/>
        <v>BiK82a1K11--06</v>
      </c>
      <c r="AS1498" s="215" t="str">
        <f t="shared" si="679"/>
        <v/>
      </c>
      <c r="AT1498">
        <f t="shared" si="680"/>
        <v>14</v>
      </c>
      <c r="AU1498" s="216" t="str">
        <f t="shared" si="681"/>
        <v>0,15-0,5 MW, Bonusregeln a1 und K erstmals 2011</v>
      </c>
      <c r="AV1498" s="215" t="str">
        <f t="shared" si="682"/>
        <v/>
      </c>
      <c r="AW1498" s="216" t="str">
        <f t="shared" si="683"/>
        <v>Anteil KWK, erstmals 2011</v>
      </c>
      <c r="AX1498" s="215" t="str">
        <f t="shared" si="684"/>
        <v/>
      </c>
      <c r="AY1498" t="str">
        <f t="shared" si="685"/>
        <v>x</v>
      </c>
      <c r="AZ1498" t="str">
        <f t="shared" si="686"/>
        <v/>
      </c>
    </row>
    <row r="1499" spans="1:52" x14ac:dyDescent="0.25">
      <c r="A1499" s="625" t="s">
        <v>3658</v>
      </c>
      <c r="B1499" s="221" t="s">
        <v>5548</v>
      </c>
      <c r="C1499" s="221" t="s">
        <v>1296</v>
      </c>
      <c r="D1499" s="219" t="s">
        <v>7110</v>
      </c>
      <c r="E1499" s="219" t="s">
        <v>1980</v>
      </c>
      <c r="F1499" s="455">
        <f t="shared" si="663"/>
        <v>18.509999999999998</v>
      </c>
      <c r="G1499" s="530">
        <v>18.509999999999998</v>
      </c>
      <c r="H1499" s="488">
        <f t="shared" si="664"/>
        <v>14.81</v>
      </c>
      <c r="I1499" s="707"/>
      <c r="J1499" s="669" t="s">
        <v>5805</v>
      </c>
      <c r="K1499" s="15"/>
      <c r="M1499" s="49">
        <f t="shared" si="665"/>
        <v>18.509999999999998</v>
      </c>
      <c r="N1499" s="41">
        <v>9.6</v>
      </c>
      <c r="O1499" s="54"/>
      <c r="P1499" s="15"/>
      <c r="S1499" t="s">
        <v>4180</v>
      </c>
      <c r="T1499" t="s">
        <v>1017</v>
      </c>
      <c r="U1499" s="55"/>
      <c r="V1499" t="s">
        <v>1017</v>
      </c>
      <c r="W1499" s="65"/>
      <c r="X1499" s="65"/>
      <c r="Z1499" s="65"/>
      <c r="AC1499" s="65"/>
      <c r="AD1499" s="92"/>
      <c r="AE1499" s="124"/>
      <c r="AF1499" s="65"/>
      <c r="AG1499" s="91"/>
      <c r="AH1499" s="217" t="s">
        <v>4179</v>
      </c>
      <c r="AI1499" s="214" t="str">
        <f t="shared" ref="AI1499:AI1562" si="687">IF(AND($AH1499&lt;&gt;"",AH1499 =AH1498),"Gleich","")</f>
        <v/>
      </c>
      <c r="AJ1499" s="214" t="str">
        <f t="shared" ref="AJ1499:AJ1562" si="688">IF(AND($AH1499&lt;&gt;"",A1499 =A1498),"Gleich","")</f>
        <v/>
      </c>
      <c r="AK1499" s="214" t="str">
        <f t="shared" ref="AK1499:AK1562" si="689">IF(AND($AH1499&lt;&gt;"",D1499 =D1498),"Gleich","")</f>
        <v/>
      </c>
      <c r="AL1499" s="214" t="str">
        <f t="shared" ref="AL1499:AL1562" si="690">IF(AND($AH1499&lt;&gt;"",E1499 =E1498),"Gleich","")</f>
        <v/>
      </c>
      <c r="AM1499" s="214" t="str">
        <f t="shared" ref="AM1499:AM1562" si="691">IF(AND($AH1499&lt;&gt;"",F1499 =F1498),"Gleich","")</f>
        <v/>
      </c>
      <c r="AN1499" s="213" t="str">
        <f t="shared" si="674"/>
        <v>2012</v>
      </c>
      <c r="AO1499" s="213" t="str">
        <f t="shared" si="675"/>
        <v>2012</v>
      </c>
      <c r="AP1499" s="213" t="str">
        <f t="shared" si="676"/>
        <v>2012</v>
      </c>
      <c r="AQ1499" s="215" t="str">
        <f t="shared" si="677"/>
        <v/>
      </c>
      <c r="AR1499" s="216" t="str">
        <f t="shared" si="678"/>
        <v>BiK82a1K12--06</v>
      </c>
      <c r="AS1499" s="215" t="str">
        <f t="shared" si="679"/>
        <v/>
      </c>
      <c r="AT1499">
        <f t="shared" si="680"/>
        <v>14</v>
      </c>
      <c r="AU1499" s="216" t="str">
        <f t="shared" si="681"/>
        <v>0,15-0,5 MW, Bonusregeln a1 und K erstmals 2012</v>
      </c>
      <c r="AV1499" s="215" t="str">
        <f t="shared" si="682"/>
        <v/>
      </c>
      <c r="AW1499" s="216" t="str">
        <f t="shared" si="683"/>
        <v>Anteil KWK, erstmals 2012</v>
      </c>
      <c r="AX1499" s="215" t="str">
        <f t="shared" si="684"/>
        <v/>
      </c>
      <c r="AY1499" t="str">
        <f t="shared" si="685"/>
        <v/>
      </c>
      <c r="AZ1499" t="str">
        <f t="shared" si="686"/>
        <v>x</v>
      </c>
    </row>
    <row r="1500" spans="1:52" x14ac:dyDescent="0.25">
      <c r="A1500" s="610" t="s">
        <v>984</v>
      </c>
      <c r="B1500" s="17" t="s">
        <v>5548</v>
      </c>
      <c r="C1500" s="17" t="s">
        <v>1296</v>
      </c>
      <c r="D1500" s="30" t="s">
        <v>7111</v>
      </c>
      <c r="E1500" s="17" t="s">
        <v>4810</v>
      </c>
      <c r="F1500" s="454">
        <f t="shared" si="663"/>
        <v>16.600000000000001</v>
      </c>
      <c r="G1500" s="529">
        <v>16.600000000000001</v>
      </c>
      <c r="H1500" s="487">
        <f t="shared" si="664"/>
        <v>13.28</v>
      </c>
      <c r="I1500" s="706"/>
      <c r="J1500" s="669" t="s">
        <v>5805</v>
      </c>
      <c r="K1500" s="15"/>
      <c r="M1500" s="49">
        <f t="shared" si="665"/>
        <v>16.600000000000001</v>
      </c>
      <c r="N1500" s="41">
        <v>9.6</v>
      </c>
      <c r="O1500" s="54"/>
      <c r="P1500" s="15"/>
      <c r="S1500" t="s">
        <v>4180</v>
      </c>
      <c r="T1500" t="s">
        <v>4180</v>
      </c>
      <c r="U1500" s="55" t="s">
        <v>1017</v>
      </c>
      <c r="V1500" t="s">
        <v>1017</v>
      </c>
      <c r="W1500" s="65"/>
      <c r="X1500" s="65"/>
      <c r="Z1500" s="65"/>
      <c r="AC1500" s="65"/>
      <c r="AD1500" s="92"/>
      <c r="AE1500" s="124"/>
      <c r="AF1500" s="65"/>
      <c r="AG1500" s="91"/>
      <c r="AH1500" s="212" t="str">
        <f t="shared" ref="AH1500:AH1505" si="692">IF(ISERROR(SEARCH("K erstmals 201",D1500)),"",RIGHT(D1500,4))</f>
        <v/>
      </c>
      <c r="AI1500" s="214" t="str">
        <f t="shared" si="687"/>
        <v/>
      </c>
      <c r="AJ1500" s="214" t="str">
        <f t="shared" si="688"/>
        <v/>
      </c>
      <c r="AK1500" s="214" t="str">
        <f t="shared" si="689"/>
        <v/>
      </c>
      <c r="AL1500" s="214" t="str">
        <f t="shared" si="690"/>
        <v/>
      </c>
      <c r="AM1500" s="214" t="str">
        <f t="shared" si="691"/>
        <v/>
      </c>
      <c r="AN1500" s="213" t="str">
        <f t="shared" si="674"/>
        <v/>
      </c>
      <c r="AO1500" s="213" t="str">
        <f t="shared" si="675"/>
        <v/>
      </c>
      <c r="AP1500" s="213" t="str">
        <f t="shared" si="676"/>
        <v/>
      </c>
      <c r="AQ1500" s="215" t="str">
        <f t="shared" si="677"/>
        <v/>
      </c>
      <c r="AR1500" s="216" t="str">
        <f t="shared" si="678"/>
        <v>BiK82a1y----06</v>
      </c>
      <c r="AS1500" s="215" t="str">
        <f t="shared" si="679"/>
        <v/>
      </c>
      <c r="AT1500">
        <f t="shared" si="680"/>
        <v>14</v>
      </c>
      <c r="AU1500" s="216" t="str">
        <f t="shared" si="681"/>
        <v>0,15-0,5 MW, Bonusregeln a1, y</v>
      </c>
      <c r="AV1500" s="215" t="str">
        <f t="shared" si="682"/>
        <v/>
      </c>
      <c r="AW1500" s="216" t="str">
        <f t="shared" si="683"/>
        <v>Anteil Nicht-KWK</v>
      </c>
      <c r="AX1500" s="215" t="str">
        <f t="shared" si="684"/>
        <v/>
      </c>
      <c r="AY1500" t="str">
        <f t="shared" si="685"/>
        <v/>
      </c>
      <c r="AZ1500" t="str">
        <f t="shared" si="686"/>
        <v/>
      </c>
    </row>
    <row r="1501" spans="1:52" x14ac:dyDescent="0.25">
      <c r="A1501" s="610" t="s">
        <v>985</v>
      </c>
      <c r="B1501" s="17" t="s">
        <v>5548</v>
      </c>
      <c r="C1501" s="17" t="s">
        <v>1296</v>
      </c>
      <c r="D1501" s="30" t="s">
        <v>7112</v>
      </c>
      <c r="E1501" s="17" t="s">
        <v>4812</v>
      </c>
      <c r="F1501" s="454">
        <f t="shared" si="663"/>
        <v>18.600000000000001</v>
      </c>
      <c r="G1501" s="529">
        <v>18.600000000000001</v>
      </c>
      <c r="H1501" s="487">
        <f t="shared" si="664"/>
        <v>14.88</v>
      </c>
      <c r="I1501" s="706"/>
      <c r="J1501" s="669" t="s">
        <v>5805</v>
      </c>
      <c r="K1501" s="15"/>
      <c r="M1501" s="49">
        <f t="shared" si="665"/>
        <v>18.600000000000001</v>
      </c>
      <c r="N1501" s="41">
        <v>9.6</v>
      </c>
      <c r="O1501" s="54" t="s">
        <v>1017</v>
      </c>
      <c r="P1501" s="15"/>
      <c r="S1501" t="s">
        <v>4180</v>
      </c>
      <c r="T1501" t="s">
        <v>4180</v>
      </c>
      <c r="U1501" s="55" t="s">
        <v>1017</v>
      </c>
      <c r="V1501" t="s">
        <v>1017</v>
      </c>
      <c r="W1501" s="65"/>
      <c r="X1501" s="65"/>
      <c r="Z1501" s="65"/>
      <c r="AC1501" s="65"/>
      <c r="AD1501" s="92"/>
      <c r="AE1501" s="124"/>
      <c r="AF1501" s="65"/>
      <c r="AG1501" s="91"/>
      <c r="AH1501" s="212" t="str">
        <f t="shared" si="692"/>
        <v/>
      </c>
      <c r="AI1501" s="214" t="str">
        <f t="shared" si="687"/>
        <v/>
      </c>
      <c r="AJ1501" s="214" t="str">
        <f t="shared" si="688"/>
        <v/>
      </c>
      <c r="AK1501" s="214" t="str">
        <f t="shared" si="689"/>
        <v/>
      </c>
      <c r="AL1501" s="214" t="str">
        <f t="shared" si="690"/>
        <v/>
      </c>
      <c r="AM1501" s="214" t="str">
        <f t="shared" si="691"/>
        <v/>
      </c>
      <c r="AN1501" s="213" t="str">
        <f t="shared" si="674"/>
        <v/>
      </c>
      <c r="AO1501" s="213" t="str">
        <f t="shared" si="675"/>
        <v/>
      </c>
      <c r="AP1501" s="213" t="str">
        <f t="shared" si="676"/>
        <v/>
      </c>
      <c r="AQ1501" s="215" t="str">
        <f t="shared" si="677"/>
        <v/>
      </c>
      <c r="AR1501" s="216" t="str">
        <f t="shared" si="678"/>
        <v>BiK82a1KWKy-06</v>
      </c>
      <c r="AS1501" s="215" t="str">
        <f t="shared" si="679"/>
        <v/>
      </c>
      <c r="AT1501">
        <f t="shared" si="680"/>
        <v>14</v>
      </c>
      <c r="AU1501" s="216" t="str">
        <f t="shared" si="681"/>
        <v>0,15-0,5 MW, Bonusregeln a1, y und KWK</v>
      </c>
      <c r="AV1501" s="215" t="str">
        <f t="shared" si="682"/>
        <v/>
      </c>
      <c r="AW1501" s="216" t="str">
        <f t="shared" si="683"/>
        <v>Anteil KWK</v>
      </c>
      <c r="AX1501" s="215" t="str">
        <f t="shared" si="684"/>
        <v/>
      </c>
      <c r="AY1501" t="str">
        <f t="shared" si="685"/>
        <v/>
      </c>
      <c r="AZ1501" t="str">
        <f t="shared" si="686"/>
        <v/>
      </c>
    </row>
    <row r="1502" spans="1:52" x14ac:dyDescent="0.25">
      <c r="A1502" s="610" t="s">
        <v>986</v>
      </c>
      <c r="B1502" s="17" t="s">
        <v>5548</v>
      </c>
      <c r="C1502" s="30" t="s">
        <v>1296</v>
      </c>
      <c r="D1502" s="30" t="s">
        <v>7113</v>
      </c>
      <c r="E1502" s="30" t="s">
        <v>4331</v>
      </c>
      <c r="F1502" s="454">
        <f t="shared" si="663"/>
        <v>19.600000000000001</v>
      </c>
      <c r="G1502" s="529">
        <v>19.600000000000001</v>
      </c>
      <c r="H1502" s="487">
        <f t="shared" si="664"/>
        <v>15.68</v>
      </c>
      <c r="I1502" s="706"/>
      <c r="J1502" s="669" t="s">
        <v>5805</v>
      </c>
      <c r="K1502" s="15"/>
      <c r="M1502" s="49">
        <f t="shared" si="665"/>
        <v>19.600000000000001</v>
      </c>
      <c r="N1502" s="41">
        <v>9.6</v>
      </c>
      <c r="O1502" s="54"/>
      <c r="P1502" t="s">
        <v>1017</v>
      </c>
      <c r="S1502" t="s">
        <v>4180</v>
      </c>
      <c r="T1502" t="s">
        <v>4180</v>
      </c>
      <c r="U1502" s="55" t="s">
        <v>1017</v>
      </c>
      <c r="V1502" t="s">
        <v>1017</v>
      </c>
      <c r="W1502" s="65"/>
      <c r="X1502" s="65"/>
      <c r="Z1502" s="65"/>
      <c r="AC1502" s="65"/>
      <c r="AD1502" s="92"/>
      <c r="AE1502" s="124"/>
      <c r="AF1502" s="65"/>
      <c r="AG1502" s="91"/>
      <c r="AH1502" s="212" t="str">
        <f t="shared" si="692"/>
        <v/>
      </c>
      <c r="AI1502" s="214" t="str">
        <f t="shared" si="687"/>
        <v/>
      </c>
      <c r="AJ1502" s="214" t="str">
        <f t="shared" si="688"/>
        <v/>
      </c>
      <c r="AK1502" s="214" t="str">
        <f t="shared" si="689"/>
        <v/>
      </c>
      <c r="AL1502" s="214" t="str">
        <f t="shared" si="690"/>
        <v/>
      </c>
      <c r="AM1502" s="214" t="str">
        <f t="shared" si="691"/>
        <v/>
      </c>
      <c r="AN1502" s="213" t="str">
        <f t="shared" si="674"/>
        <v/>
      </c>
      <c r="AO1502" s="213" t="str">
        <f t="shared" si="675"/>
        <v/>
      </c>
      <c r="AP1502" s="213" t="str">
        <f t="shared" si="676"/>
        <v/>
      </c>
      <c r="AQ1502" s="215" t="str">
        <f t="shared" si="677"/>
        <v/>
      </c>
      <c r="AR1502" s="216" t="str">
        <f t="shared" si="678"/>
        <v>BiK82a1KA3y-06</v>
      </c>
      <c r="AS1502" s="215" t="str">
        <f t="shared" si="679"/>
        <v/>
      </c>
      <c r="AT1502">
        <f t="shared" si="680"/>
        <v>14</v>
      </c>
      <c r="AU1502" s="216" t="str">
        <f t="shared" si="681"/>
        <v>0,15-0,5 MW, Bonusregeln a1, y und K wenn Anlage 3 erfüllt</v>
      </c>
      <c r="AV1502" s="215" t="str">
        <f t="shared" si="682"/>
        <v/>
      </c>
      <c r="AW1502" s="216" t="str">
        <f t="shared" si="683"/>
        <v>Anteil KWK gemäß Anlage 3</v>
      </c>
      <c r="AX1502" s="215" t="str">
        <f t="shared" si="684"/>
        <v/>
      </c>
      <c r="AY1502" t="str">
        <f t="shared" si="685"/>
        <v/>
      </c>
      <c r="AZ1502" t="str">
        <f t="shared" si="686"/>
        <v/>
      </c>
    </row>
    <row r="1503" spans="1:52" x14ac:dyDescent="0.25">
      <c r="A1503" s="610" t="s">
        <v>987</v>
      </c>
      <c r="B1503" s="17" t="s">
        <v>5548</v>
      </c>
      <c r="C1503" s="17" t="s">
        <v>1296</v>
      </c>
      <c r="D1503" s="30" t="s">
        <v>7114</v>
      </c>
      <c r="E1503" s="17" t="s">
        <v>674</v>
      </c>
      <c r="F1503" s="454">
        <f t="shared" ref="F1503:F1566" si="693">M1503</f>
        <v>19.600000000000001</v>
      </c>
      <c r="G1503" s="529">
        <v>19.600000000000001</v>
      </c>
      <c r="H1503" s="487">
        <f t="shared" ref="H1503:H1566" si="694">IF(ISNUMBER(G1503),ROUND(0.8*G1503,2),"")</f>
        <v>15.68</v>
      </c>
      <c r="I1503" s="706"/>
      <c r="J1503" s="669" t="s">
        <v>5805</v>
      </c>
      <c r="K1503" s="15"/>
      <c r="M1503" s="49">
        <f t="shared" ref="M1503:M1566" si="695">N1503+SUMIF(O1503:AG1503,"x",O$1310:AG$1310)</f>
        <v>19.600000000000001</v>
      </c>
      <c r="N1503" s="41">
        <v>9.6</v>
      </c>
      <c r="O1503" s="54"/>
      <c r="P1503" s="15"/>
      <c r="Q1503" t="s">
        <v>1017</v>
      </c>
      <c r="S1503" t="s">
        <v>4180</v>
      </c>
      <c r="T1503" t="s">
        <v>4180</v>
      </c>
      <c r="U1503" s="55" t="s">
        <v>1017</v>
      </c>
      <c r="V1503" t="s">
        <v>1017</v>
      </c>
      <c r="W1503" s="65"/>
      <c r="X1503" s="65"/>
      <c r="Z1503" s="65"/>
      <c r="AC1503" s="65"/>
      <c r="AD1503" s="92"/>
      <c r="AE1503" s="124"/>
      <c r="AF1503" s="65"/>
      <c r="AG1503" s="91"/>
      <c r="AH1503" s="212" t="str">
        <f t="shared" si="692"/>
        <v/>
      </c>
      <c r="AI1503" s="214" t="str">
        <f t="shared" si="687"/>
        <v/>
      </c>
      <c r="AJ1503" s="214" t="str">
        <f t="shared" si="688"/>
        <v/>
      </c>
      <c r="AK1503" s="214" t="str">
        <f t="shared" si="689"/>
        <v/>
      </c>
      <c r="AL1503" s="214" t="str">
        <f t="shared" si="690"/>
        <v/>
      </c>
      <c r="AM1503" s="214" t="str">
        <f t="shared" si="691"/>
        <v/>
      </c>
      <c r="AN1503" s="213" t="str">
        <f t="shared" si="674"/>
        <v/>
      </c>
      <c r="AO1503" s="213" t="str">
        <f t="shared" si="675"/>
        <v/>
      </c>
      <c r="AP1503" s="213" t="str">
        <f t="shared" si="676"/>
        <v/>
      </c>
      <c r="AQ1503" s="215" t="str">
        <f t="shared" si="677"/>
        <v/>
      </c>
      <c r="AR1503" s="216" t="str">
        <f t="shared" si="678"/>
        <v>BiK82a1K09y-06</v>
      </c>
      <c r="AS1503" s="215" t="str">
        <f t="shared" si="679"/>
        <v/>
      </c>
      <c r="AT1503">
        <f t="shared" si="680"/>
        <v>14</v>
      </c>
      <c r="AU1503" s="216" t="str">
        <f t="shared" si="681"/>
        <v>0,15-0,5 MW, Bonusregeln a1, y und K erstmals 2009</v>
      </c>
      <c r="AV1503" s="215" t="str">
        <f t="shared" si="682"/>
        <v/>
      </c>
      <c r="AW1503" s="216" t="str">
        <f t="shared" si="683"/>
        <v>Anteil KWK, erstmals 2009</v>
      </c>
      <c r="AX1503" s="215" t="str">
        <f t="shared" si="684"/>
        <v/>
      </c>
      <c r="AY1503" t="str">
        <f t="shared" si="685"/>
        <v/>
      </c>
      <c r="AZ1503" t="str">
        <f t="shared" si="686"/>
        <v/>
      </c>
    </row>
    <row r="1504" spans="1:52" s="178" customFormat="1" x14ac:dyDescent="0.25">
      <c r="A1504" s="610" t="s">
        <v>4912</v>
      </c>
      <c r="B1504" s="17" t="s">
        <v>5548</v>
      </c>
      <c r="C1504" s="17" t="s">
        <v>1296</v>
      </c>
      <c r="D1504" s="30" t="s">
        <v>7115</v>
      </c>
      <c r="E1504" s="30" t="s">
        <v>3567</v>
      </c>
      <c r="F1504" s="454">
        <f t="shared" si="693"/>
        <v>19.57</v>
      </c>
      <c r="G1504" s="529">
        <v>19.57</v>
      </c>
      <c r="H1504" s="487">
        <f t="shared" si="694"/>
        <v>15.66</v>
      </c>
      <c r="I1504" s="706"/>
      <c r="J1504" s="669" t="s">
        <v>5805</v>
      </c>
      <c r="K1504" s="15"/>
      <c r="L1504"/>
      <c r="M1504" s="49">
        <f t="shared" si="695"/>
        <v>19.57</v>
      </c>
      <c r="N1504" s="41">
        <v>9.6</v>
      </c>
      <c r="O1504" s="54"/>
      <c r="P1504" s="15"/>
      <c r="Q1504"/>
      <c r="R1504" t="s">
        <v>1017</v>
      </c>
      <c r="S1504" t="s">
        <v>4180</v>
      </c>
      <c r="T1504" s="178" t="s">
        <v>4180</v>
      </c>
      <c r="U1504" s="55" t="s">
        <v>1017</v>
      </c>
      <c r="V1504" t="s">
        <v>1017</v>
      </c>
      <c r="W1504" s="65"/>
      <c r="X1504" s="65"/>
      <c r="Y1504"/>
      <c r="Z1504" s="65"/>
      <c r="AA1504"/>
      <c r="AB1504"/>
      <c r="AC1504" s="65"/>
      <c r="AD1504" s="92"/>
      <c r="AE1504" s="124"/>
      <c r="AF1504" s="65"/>
      <c r="AG1504" s="91"/>
      <c r="AH1504" s="212" t="str">
        <f t="shared" si="692"/>
        <v>2010</v>
      </c>
      <c r="AI1504" s="214" t="str">
        <f t="shared" si="687"/>
        <v/>
      </c>
      <c r="AJ1504" s="214" t="str">
        <f t="shared" si="688"/>
        <v/>
      </c>
      <c r="AK1504" s="214" t="str">
        <f t="shared" si="689"/>
        <v/>
      </c>
      <c r="AL1504" s="214" t="str">
        <f t="shared" si="690"/>
        <v/>
      </c>
      <c r="AM1504" s="214" t="str">
        <f t="shared" si="691"/>
        <v/>
      </c>
      <c r="AN1504" s="213" t="str">
        <f t="shared" si="674"/>
        <v>2010</v>
      </c>
      <c r="AO1504" s="213" t="str">
        <f t="shared" si="675"/>
        <v>2010</v>
      </c>
      <c r="AP1504" s="213" t="str">
        <f t="shared" si="676"/>
        <v>2010</v>
      </c>
      <c r="AQ1504" s="215" t="str">
        <f t="shared" si="677"/>
        <v/>
      </c>
      <c r="AR1504" s="216" t="str">
        <f t="shared" si="678"/>
        <v>BiK82a1K10y-06</v>
      </c>
      <c r="AS1504" s="215" t="str">
        <f t="shared" si="679"/>
        <v/>
      </c>
      <c r="AT1504">
        <f t="shared" si="680"/>
        <v>14</v>
      </c>
      <c r="AU1504" s="216" t="str">
        <f t="shared" si="681"/>
        <v>0,15-0,5 MW, Bonusregeln a1, y und K erstmals 2010</v>
      </c>
      <c r="AV1504" s="215" t="str">
        <f t="shared" si="682"/>
        <v/>
      </c>
      <c r="AW1504" s="216" t="str">
        <f t="shared" si="683"/>
        <v>Anteil KWK, erstmals 2010</v>
      </c>
      <c r="AX1504" s="215" t="str">
        <f t="shared" si="684"/>
        <v/>
      </c>
      <c r="AY1504" t="str">
        <f t="shared" si="685"/>
        <v/>
      </c>
      <c r="AZ1504" t="str">
        <f t="shared" si="686"/>
        <v/>
      </c>
    </row>
    <row r="1505" spans="1:52" s="178" customFormat="1" x14ac:dyDescent="0.25">
      <c r="A1505" s="610" t="s">
        <v>3959</v>
      </c>
      <c r="B1505" s="17" t="s">
        <v>5548</v>
      </c>
      <c r="C1505" s="17" t="s">
        <v>1296</v>
      </c>
      <c r="D1505" s="30" t="s">
        <v>7116</v>
      </c>
      <c r="E1505" s="30" t="s">
        <v>3055</v>
      </c>
      <c r="F1505" s="454">
        <f t="shared" si="693"/>
        <v>19.54</v>
      </c>
      <c r="G1505" s="529">
        <v>19.54</v>
      </c>
      <c r="H1505" s="487">
        <f t="shared" si="694"/>
        <v>15.63</v>
      </c>
      <c r="I1505" s="706"/>
      <c r="J1505" s="669" t="s">
        <v>5805</v>
      </c>
      <c r="K1505" s="15"/>
      <c r="L1505"/>
      <c r="M1505" s="49">
        <f t="shared" si="695"/>
        <v>19.54</v>
      </c>
      <c r="N1505" s="41">
        <v>9.6</v>
      </c>
      <c r="O1505" s="54"/>
      <c r="P1505" s="15"/>
      <c r="Q1505"/>
      <c r="R1505"/>
      <c r="S1505" t="s">
        <v>1017</v>
      </c>
      <c r="T1505" s="178" t="s">
        <v>4180</v>
      </c>
      <c r="U1505" s="55" t="s">
        <v>1017</v>
      </c>
      <c r="V1505" t="s">
        <v>1017</v>
      </c>
      <c r="W1505" s="65"/>
      <c r="X1505" s="65"/>
      <c r="Y1505"/>
      <c r="Z1505" s="65"/>
      <c r="AA1505"/>
      <c r="AB1505"/>
      <c r="AC1505" s="65"/>
      <c r="AD1505" s="92"/>
      <c r="AE1505" s="124"/>
      <c r="AF1505" s="65"/>
      <c r="AG1505" s="91"/>
      <c r="AH1505" s="212" t="str">
        <f t="shared" si="692"/>
        <v>2011</v>
      </c>
      <c r="AI1505" s="214" t="str">
        <f t="shared" si="687"/>
        <v/>
      </c>
      <c r="AJ1505" s="214" t="str">
        <f t="shared" si="688"/>
        <v/>
      </c>
      <c r="AK1505" s="214" t="str">
        <f t="shared" si="689"/>
        <v/>
      </c>
      <c r="AL1505" s="214" t="str">
        <f t="shared" si="690"/>
        <v/>
      </c>
      <c r="AM1505" s="214" t="str">
        <f t="shared" si="691"/>
        <v/>
      </c>
      <c r="AN1505" s="213" t="str">
        <f t="shared" si="674"/>
        <v>2011</v>
      </c>
      <c r="AO1505" s="213" t="str">
        <f t="shared" si="675"/>
        <v>2011</v>
      </c>
      <c r="AP1505" s="213" t="str">
        <f t="shared" si="676"/>
        <v>2011</v>
      </c>
      <c r="AQ1505" s="215" t="str">
        <f t="shared" si="677"/>
        <v/>
      </c>
      <c r="AR1505" s="216" t="str">
        <f t="shared" si="678"/>
        <v>BiK82a1K11y-06</v>
      </c>
      <c r="AS1505" s="215" t="str">
        <f t="shared" si="679"/>
        <v/>
      </c>
      <c r="AT1505">
        <f t="shared" si="680"/>
        <v>14</v>
      </c>
      <c r="AU1505" s="216" t="str">
        <f t="shared" si="681"/>
        <v>0,15-0,5 MW, Bonusregeln a1, y und K erstmals 2011</v>
      </c>
      <c r="AV1505" s="215" t="str">
        <f t="shared" si="682"/>
        <v/>
      </c>
      <c r="AW1505" s="216" t="str">
        <f t="shared" si="683"/>
        <v>Anteil KWK, erstmals 2011</v>
      </c>
      <c r="AX1505" s="215" t="str">
        <f t="shared" si="684"/>
        <v/>
      </c>
      <c r="AY1505" t="str">
        <f t="shared" si="685"/>
        <v>x</v>
      </c>
      <c r="AZ1505" t="str">
        <f t="shared" si="686"/>
        <v/>
      </c>
    </row>
    <row r="1506" spans="1:52" s="178" customFormat="1" x14ac:dyDescent="0.25">
      <c r="A1506" s="625" t="s">
        <v>3659</v>
      </c>
      <c r="B1506" s="221" t="s">
        <v>5548</v>
      </c>
      <c r="C1506" s="221" t="s">
        <v>1296</v>
      </c>
      <c r="D1506" s="219" t="s">
        <v>7117</v>
      </c>
      <c r="E1506" s="219" t="s">
        <v>1980</v>
      </c>
      <c r="F1506" s="455">
        <f t="shared" si="693"/>
        <v>19.509999999999998</v>
      </c>
      <c r="G1506" s="530">
        <v>19.509999999999998</v>
      </c>
      <c r="H1506" s="488">
        <f t="shared" si="694"/>
        <v>15.61</v>
      </c>
      <c r="I1506" s="707"/>
      <c r="J1506" s="669" t="s">
        <v>5805</v>
      </c>
      <c r="K1506" s="15"/>
      <c r="L1506"/>
      <c r="M1506" s="49">
        <f t="shared" si="695"/>
        <v>19.509999999999998</v>
      </c>
      <c r="N1506" s="41">
        <v>9.6</v>
      </c>
      <c r="O1506" s="54"/>
      <c r="P1506" s="15"/>
      <c r="Q1506"/>
      <c r="R1506"/>
      <c r="S1506" t="s">
        <v>4180</v>
      </c>
      <c r="T1506" s="178" t="s">
        <v>1017</v>
      </c>
      <c r="U1506" s="55" t="s">
        <v>1017</v>
      </c>
      <c r="V1506" t="s">
        <v>1017</v>
      </c>
      <c r="W1506" s="65"/>
      <c r="X1506" s="65"/>
      <c r="Y1506"/>
      <c r="Z1506" s="65"/>
      <c r="AA1506"/>
      <c r="AB1506"/>
      <c r="AC1506" s="65"/>
      <c r="AD1506" s="92"/>
      <c r="AE1506" s="124"/>
      <c r="AF1506" s="65"/>
      <c r="AG1506" s="91"/>
      <c r="AH1506" s="217" t="s">
        <v>4179</v>
      </c>
      <c r="AI1506" s="214" t="str">
        <f t="shared" si="687"/>
        <v/>
      </c>
      <c r="AJ1506" s="214" t="str">
        <f t="shared" si="688"/>
        <v/>
      </c>
      <c r="AK1506" s="214" t="str">
        <f t="shared" si="689"/>
        <v/>
      </c>
      <c r="AL1506" s="214" t="str">
        <f t="shared" si="690"/>
        <v/>
      </c>
      <c r="AM1506" s="214" t="str">
        <f t="shared" si="691"/>
        <v/>
      </c>
      <c r="AN1506" s="213" t="str">
        <f t="shared" si="674"/>
        <v>2012</v>
      </c>
      <c r="AO1506" s="213" t="str">
        <f t="shared" si="675"/>
        <v>2012</v>
      </c>
      <c r="AP1506" s="213" t="str">
        <f t="shared" si="676"/>
        <v>2012</v>
      </c>
      <c r="AQ1506" s="215" t="str">
        <f t="shared" si="677"/>
        <v/>
      </c>
      <c r="AR1506" s="216" t="str">
        <f t="shared" si="678"/>
        <v>BiK82a1K12y-06</v>
      </c>
      <c r="AS1506" s="215" t="str">
        <f t="shared" si="679"/>
        <v/>
      </c>
      <c r="AT1506">
        <f t="shared" si="680"/>
        <v>14</v>
      </c>
      <c r="AU1506" s="216" t="str">
        <f t="shared" si="681"/>
        <v>0,15-0,5 MW, Bonusregeln a1, y und K erstmals 2012</v>
      </c>
      <c r="AV1506" s="215" t="str">
        <f t="shared" si="682"/>
        <v/>
      </c>
      <c r="AW1506" s="216" t="str">
        <f t="shared" si="683"/>
        <v>Anteil KWK, erstmals 2012</v>
      </c>
      <c r="AX1506" s="215" t="str">
        <f t="shared" si="684"/>
        <v/>
      </c>
      <c r="AY1506" t="str">
        <f t="shared" si="685"/>
        <v/>
      </c>
      <c r="AZ1506" t="str">
        <f t="shared" si="686"/>
        <v>x</v>
      </c>
    </row>
    <row r="1507" spans="1:52" s="178" customFormat="1" x14ac:dyDescent="0.25">
      <c r="A1507" s="610" t="s">
        <v>2770</v>
      </c>
      <c r="B1507" s="30" t="s">
        <v>5548</v>
      </c>
      <c r="C1507" s="30" t="s">
        <v>1296</v>
      </c>
      <c r="D1507" s="30" t="s">
        <v>7034</v>
      </c>
      <c r="E1507" s="30" t="s">
        <v>4810</v>
      </c>
      <c r="F1507" s="454">
        <f t="shared" si="693"/>
        <v>16.600000000000001</v>
      </c>
      <c r="G1507" s="529">
        <v>16.600000000000001</v>
      </c>
      <c r="H1507" s="487">
        <f t="shared" si="694"/>
        <v>13.28</v>
      </c>
      <c r="I1507" s="706"/>
      <c r="J1507" s="669" t="s">
        <v>5805</v>
      </c>
      <c r="K1507" s="15"/>
      <c r="L1507"/>
      <c r="M1507" s="49">
        <f t="shared" si="695"/>
        <v>16.600000000000001</v>
      </c>
      <c r="N1507" s="41">
        <v>9.6</v>
      </c>
      <c r="O1507" s="186"/>
      <c r="P1507" s="177"/>
      <c r="S1507" s="178" t="s">
        <v>4180</v>
      </c>
      <c r="T1507" s="178" t="s">
        <v>4180</v>
      </c>
      <c r="U1507" s="179"/>
      <c r="W1507" s="180"/>
      <c r="X1507" s="180"/>
      <c r="Y1507" s="178" t="s">
        <v>1017</v>
      </c>
      <c r="Z1507" s="180"/>
      <c r="AC1507" s="180"/>
      <c r="AD1507" s="182"/>
      <c r="AE1507" s="200"/>
      <c r="AF1507" s="180"/>
      <c r="AG1507" s="201"/>
      <c r="AH1507" s="212" t="str">
        <f t="shared" ref="AH1507:AH1512" si="696">IF(ISERROR(SEARCH("K erstmals 201",D1507)),"",RIGHT(D1507,4))</f>
        <v/>
      </c>
      <c r="AI1507" s="214" t="str">
        <f t="shared" si="687"/>
        <v/>
      </c>
      <c r="AJ1507" s="214" t="str">
        <f t="shared" si="688"/>
        <v/>
      </c>
      <c r="AK1507" s="214" t="str">
        <f t="shared" si="689"/>
        <v/>
      </c>
      <c r="AL1507" s="214" t="str">
        <f t="shared" si="690"/>
        <v/>
      </c>
      <c r="AM1507" s="214" t="str">
        <f t="shared" si="691"/>
        <v/>
      </c>
      <c r="AN1507" s="213" t="str">
        <f t="shared" si="674"/>
        <v/>
      </c>
      <c r="AO1507" s="213" t="str">
        <f t="shared" si="675"/>
        <v/>
      </c>
      <c r="AP1507" s="213" t="str">
        <f t="shared" si="676"/>
        <v/>
      </c>
      <c r="AQ1507" s="215" t="str">
        <f t="shared" si="677"/>
        <v/>
      </c>
      <c r="AR1507" s="216" t="str">
        <f t="shared" si="678"/>
        <v>BiK82G------06</v>
      </c>
      <c r="AS1507" s="215" t="str">
        <f t="shared" si="679"/>
        <v/>
      </c>
      <c r="AT1507">
        <f t="shared" si="680"/>
        <v>14</v>
      </c>
      <c r="AU1507" s="216" t="str">
        <f t="shared" si="681"/>
        <v>0,15-0,5 MW, Bonusregel G</v>
      </c>
      <c r="AV1507" s="215" t="str">
        <f t="shared" si="682"/>
        <v/>
      </c>
      <c r="AW1507" s="216" t="str">
        <f t="shared" si="683"/>
        <v>Anteil Nicht-KWK</v>
      </c>
      <c r="AX1507" s="215" t="str">
        <f t="shared" si="684"/>
        <v/>
      </c>
      <c r="AY1507" t="str">
        <f t="shared" si="685"/>
        <v/>
      </c>
      <c r="AZ1507" t="str">
        <f t="shared" si="686"/>
        <v/>
      </c>
    </row>
    <row r="1508" spans="1:52" s="178" customFormat="1" x14ac:dyDescent="0.25">
      <c r="A1508" s="610" t="s">
        <v>2771</v>
      </c>
      <c r="B1508" s="30" t="s">
        <v>5548</v>
      </c>
      <c r="C1508" s="30" t="s">
        <v>1296</v>
      </c>
      <c r="D1508" s="30" t="s">
        <v>7118</v>
      </c>
      <c r="E1508" s="30" t="s">
        <v>4812</v>
      </c>
      <c r="F1508" s="454">
        <f t="shared" si="693"/>
        <v>18.600000000000001</v>
      </c>
      <c r="G1508" s="529">
        <v>18.600000000000001</v>
      </c>
      <c r="H1508" s="487">
        <f t="shared" si="694"/>
        <v>14.88</v>
      </c>
      <c r="I1508" s="706"/>
      <c r="J1508" s="669" t="s">
        <v>5805</v>
      </c>
      <c r="K1508" s="15"/>
      <c r="L1508"/>
      <c r="M1508" s="49">
        <f t="shared" si="695"/>
        <v>18.600000000000001</v>
      </c>
      <c r="N1508" s="41">
        <v>9.6</v>
      </c>
      <c r="O1508" s="186" t="s">
        <v>1017</v>
      </c>
      <c r="P1508" s="177"/>
      <c r="S1508" s="178" t="s">
        <v>4180</v>
      </c>
      <c r="T1508" s="178" t="s">
        <v>4180</v>
      </c>
      <c r="U1508" s="179"/>
      <c r="W1508" s="180"/>
      <c r="X1508" s="180"/>
      <c r="Y1508" s="178" t="s">
        <v>1017</v>
      </c>
      <c r="Z1508" s="180"/>
      <c r="AC1508" s="180"/>
      <c r="AD1508" s="182"/>
      <c r="AE1508" s="200"/>
      <c r="AF1508" s="180"/>
      <c r="AG1508" s="201"/>
      <c r="AH1508" s="212" t="str">
        <f t="shared" si="696"/>
        <v/>
      </c>
      <c r="AI1508" s="214" t="str">
        <f t="shared" si="687"/>
        <v/>
      </c>
      <c r="AJ1508" s="214" t="str">
        <f t="shared" si="688"/>
        <v/>
      </c>
      <c r="AK1508" s="214" t="str">
        <f t="shared" si="689"/>
        <v/>
      </c>
      <c r="AL1508" s="214" t="str">
        <f t="shared" si="690"/>
        <v/>
      </c>
      <c r="AM1508" s="214" t="str">
        <f t="shared" si="691"/>
        <v/>
      </c>
      <c r="AN1508" s="213" t="str">
        <f t="shared" si="674"/>
        <v/>
      </c>
      <c r="AO1508" s="213" t="str">
        <f t="shared" si="675"/>
        <v/>
      </c>
      <c r="AP1508" s="213" t="str">
        <f t="shared" si="676"/>
        <v/>
      </c>
      <c r="AQ1508" s="215" t="str">
        <f t="shared" si="677"/>
        <v/>
      </c>
      <c r="AR1508" s="216" t="str">
        <f t="shared" si="678"/>
        <v>BiK82GKWK---06</v>
      </c>
      <c r="AS1508" s="215" t="str">
        <f t="shared" si="679"/>
        <v/>
      </c>
      <c r="AT1508">
        <f t="shared" si="680"/>
        <v>14</v>
      </c>
      <c r="AU1508" s="216" t="str">
        <f t="shared" si="681"/>
        <v>0,15-0,5 MW, Bonusregeln G und KWK</v>
      </c>
      <c r="AV1508" s="215" t="str">
        <f t="shared" si="682"/>
        <v/>
      </c>
      <c r="AW1508" s="216" t="str">
        <f t="shared" si="683"/>
        <v>Anteil KWK</v>
      </c>
      <c r="AX1508" s="215" t="str">
        <f t="shared" si="684"/>
        <v/>
      </c>
      <c r="AY1508" t="str">
        <f t="shared" si="685"/>
        <v/>
      </c>
      <c r="AZ1508" t="str">
        <f t="shared" si="686"/>
        <v/>
      </c>
    </row>
    <row r="1509" spans="1:52" s="178" customFormat="1" x14ac:dyDescent="0.25">
      <c r="A1509" s="610" t="s">
        <v>2772</v>
      </c>
      <c r="B1509" s="30" t="s">
        <v>5548</v>
      </c>
      <c r="C1509" s="30" t="s">
        <v>1296</v>
      </c>
      <c r="D1509" s="30" t="s">
        <v>7035</v>
      </c>
      <c r="E1509" s="30" t="s">
        <v>4331</v>
      </c>
      <c r="F1509" s="454">
        <f t="shared" si="693"/>
        <v>19.600000000000001</v>
      </c>
      <c r="G1509" s="529">
        <v>19.600000000000001</v>
      </c>
      <c r="H1509" s="487">
        <f t="shared" si="694"/>
        <v>15.68</v>
      </c>
      <c r="I1509" s="706"/>
      <c r="J1509" s="669" t="s">
        <v>5805</v>
      </c>
      <c r="K1509" s="15"/>
      <c r="L1509"/>
      <c r="M1509" s="49">
        <f t="shared" si="695"/>
        <v>19.600000000000001</v>
      </c>
      <c r="N1509" s="41">
        <v>9.6</v>
      </c>
      <c r="O1509" s="186"/>
      <c r="P1509" s="178" t="s">
        <v>1017</v>
      </c>
      <c r="S1509" s="178" t="s">
        <v>4180</v>
      </c>
      <c r="T1509" s="178" t="s">
        <v>4180</v>
      </c>
      <c r="U1509" s="179"/>
      <c r="W1509" s="180"/>
      <c r="X1509" s="180"/>
      <c r="Y1509" s="178" t="s">
        <v>1017</v>
      </c>
      <c r="Z1509" s="180"/>
      <c r="AC1509" s="180"/>
      <c r="AD1509" s="182"/>
      <c r="AE1509" s="200"/>
      <c r="AF1509" s="180"/>
      <c r="AG1509" s="201"/>
      <c r="AH1509" s="212" t="str">
        <f t="shared" si="696"/>
        <v/>
      </c>
      <c r="AI1509" s="214" t="str">
        <f t="shared" si="687"/>
        <v/>
      </c>
      <c r="AJ1509" s="214" t="str">
        <f t="shared" si="688"/>
        <v/>
      </c>
      <c r="AK1509" s="214" t="str">
        <f t="shared" si="689"/>
        <v/>
      </c>
      <c r="AL1509" s="214" t="str">
        <f t="shared" si="690"/>
        <v/>
      </c>
      <c r="AM1509" s="214" t="str">
        <f t="shared" si="691"/>
        <v/>
      </c>
      <c r="AN1509" s="213" t="str">
        <f t="shared" si="674"/>
        <v/>
      </c>
      <c r="AO1509" s="213" t="str">
        <f t="shared" si="675"/>
        <v/>
      </c>
      <c r="AP1509" s="213" t="str">
        <f t="shared" si="676"/>
        <v/>
      </c>
      <c r="AQ1509" s="215" t="str">
        <f t="shared" si="677"/>
        <v/>
      </c>
      <c r="AR1509" s="216" t="str">
        <f t="shared" si="678"/>
        <v>BiK82GKA3---06</v>
      </c>
      <c r="AS1509" s="215" t="str">
        <f t="shared" si="679"/>
        <v/>
      </c>
      <c r="AT1509">
        <f t="shared" si="680"/>
        <v>14</v>
      </c>
      <c r="AU1509" s="216" t="str">
        <f t="shared" si="681"/>
        <v>0,15-0,5 MW, Bonusregeln G und K wenn Anlage 3 erfüllt</v>
      </c>
      <c r="AV1509" s="215" t="str">
        <f t="shared" si="682"/>
        <v/>
      </c>
      <c r="AW1509" s="216" t="str">
        <f t="shared" si="683"/>
        <v>Anteil KWK gemäß Anlage 3</v>
      </c>
      <c r="AX1509" s="215" t="str">
        <f t="shared" si="684"/>
        <v/>
      </c>
      <c r="AY1509" t="str">
        <f t="shared" si="685"/>
        <v/>
      </c>
      <c r="AZ1509" t="str">
        <f t="shared" si="686"/>
        <v/>
      </c>
    </row>
    <row r="1510" spans="1:52" s="178" customFormat="1" x14ac:dyDescent="0.25">
      <c r="A1510" s="610" t="s">
        <v>2773</v>
      </c>
      <c r="B1510" s="30" t="s">
        <v>5548</v>
      </c>
      <c r="C1510" s="30" t="s">
        <v>1296</v>
      </c>
      <c r="D1510" s="30" t="s">
        <v>7036</v>
      </c>
      <c r="E1510" s="30" t="s">
        <v>674</v>
      </c>
      <c r="F1510" s="454">
        <f t="shared" si="693"/>
        <v>19.600000000000001</v>
      </c>
      <c r="G1510" s="529">
        <v>19.600000000000001</v>
      </c>
      <c r="H1510" s="487">
        <f t="shared" si="694"/>
        <v>15.68</v>
      </c>
      <c r="I1510" s="706"/>
      <c r="J1510" s="669" t="s">
        <v>5805</v>
      </c>
      <c r="K1510" s="15"/>
      <c r="L1510"/>
      <c r="M1510" s="49">
        <f t="shared" si="695"/>
        <v>19.600000000000001</v>
      </c>
      <c r="N1510" s="41">
        <v>9.6</v>
      </c>
      <c r="O1510" s="186"/>
      <c r="P1510" s="177"/>
      <c r="Q1510" s="178" t="s">
        <v>1017</v>
      </c>
      <c r="S1510" s="178" t="s">
        <v>4180</v>
      </c>
      <c r="T1510" s="178" t="s">
        <v>4180</v>
      </c>
      <c r="U1510" s="179"/>
      <c r="W1510" s="180"/>
      <c r="X1510" s="180"/>
      <c r="Y1510" s="178" t="s">
        <v>1017</v>
      </c>
      <c r="Z1510" s="180"/>
      <c r="AC1510" s="180"/>
      <c r="AD1510" s="182"/>
      <c r="AE1510" s="200"/>
      <c r="AF1510" s="180"/>
      <c r="AG1510" s="201"/>
      <c r="AH1510" s="212" t="str">
        <f t="shared" si="696"/>
        <v/>
      </c>
      <c r="AI1510" s="214" t="str">
        <f t="shared" si="687"/>
        <v/>
      </c>
      <c r="AJ1510" s="214" t="str">
        <f t="shared" si="688"/>
        <v/>
      </c>
      <c r="AK1510" s="214" t="str">
        <f t="shared" si="689"/>
        <v/>
      </c>
      <c r="AL1510" s="214" t="str">
        <f t="shared" si="690"/>
        <v/>
      </c>
      <c r="AM1510" s="214" t="str">
        <f t="shared" si="691"/>
        <v/>
      </c>
      <c r="AN1510" s="213" t="str">
        <f t="shared" si="674"/>
        <v/>
      </c>
      <c r="AO1510" s="213" t="str">
        <f t="shared" si="675"/>
        <v/>
      </c>
      <c r="AP1510" s="213" t="str">
        <f t="shared" si="676"/>
        <v/>
      </c>
      <c r="AQ1510" s="215" t="str">
        <f t="shared" si="677"/>
        <v/>
      </c>
      <c r="AR1510" s="216" t="str">
        <f t="shared" si="678"/>
        <v>BiK82GK09---06</v>
      </c>
      <c r="AS1510" s="215" t="str">
        <f t="shared" si="679"/>
        <v/>
      </c>
      <c r="AT1510">
        <f t="shared" si="680"/>
        <v>14</v>
      </c>
      <c r="AU1510" s="216" t="str">
        <f t="shared" si="681"/>
        <v>0,15-0,5 MW, Bonusregeln G und K erstmals 2009</v>
      </c>
      <c r="AV1510" s="215" t="str">
        <f t="shared" si="682"/>
        <v/>
      </c>
      <c r="AW1510" s="216" t="str">
        <f t="shared" si="683"/>
        <v>Anteil KWK, erstmals 2009</v>
      </c>
      <c r="AX1510" s="215" t="str">
        <f t="shared" si="684"/>
        <v/>
      </c>
      <c r="AY1510" t="str">
        <f t="shared" si="685"/>
        <v/>
      </c>
      <c r="AZ1510" t="str">
        <f t="shared" si="686"/>
        <v/>
      </c>
    </row>
    <row r="1511" spans="1:52" s="178" customFormat="1" x14ac:dyDescent="0.25">
      <c r="A1511" s="610" t="s">
        <v>4913</v>
      </c>
      <c r="B1511" s="30" t="s">
        <v>5548</v>
      </c>
      <c r="C1511" s="30" t="s">
        <v>1296</v>
      </c>
      <c r="D1511" s="30" t="s">
        <v>7037</v>
      </c>
      <c r="E1511" s="30" t="s">
        <v>3567</v>
      </c>
      <c r="F1511" s="454">
        <f t="shared" si="693"/>
        <v>19.57</v>
      </c>
      <c r="G1511" s="529">
        <v>19.57</v>
      </c>
      <c r="H1511" s="487">
        <f t="shared" si="694"/>
        <v>15.66</v>
      </c>
      <c r="I1511" s="706"/>
      <c r="J1511" s="669" t="s">
        <v>5805</v>
      </c>
      <c r="K1511" s="15"/>
      <c r="L1511"/>
      <c r="M1511" s="49">
        <f t="shared" si="695"/>
        <v>19.57</v>
      </c>
      <c r="N1511" s="41">
        <v>9.6</v>
      </c>
      <c r="O1511" s="186"/>
      <c r="P1511" s="177"/>
      <c r="R1511" s="178" t="s">
        <v>1017</v>
      </c>
      <c r="S1511" s="178" t="s">
        <v>4180</v>
      </c>
      <c r="T1511" s="178" t="s">
        <v>4180</v>
      </c>
      <c r="U1511" s="179"/>
      <c r="W1511" s="180"/>
      <c r="X1511" s="180"/>
      <c r="Y1511" s="178" t="s">
        <v>1017</v>
      </c>
      <c r="Z1511" s="180"/>
      <c r="AC1511" s="180"/>
      <c r="AD1511" s="182"/>
      <c r="AE1511" s="200"/>
      <c r="AF1511" s="180"/>
      <c r="AG1511" s="201"/>
      <c r="AH1511" s="212" t="str">
        <f t="shared" si="696"/>
        <v>2010</v>
      </c>
      <c r="AI1511" s="214" t="str">
        <f t="shared" si="687"/>
        <v/>
      </c>
      <c r="AJ1511" s="214" t="str">
        <f t="shared" si="688"/>
        <v/>
      </c>
      <c r="AK1511" s="214" t="str">
        <f t="shared" si="689"/>
        <v/>
      </c>
      <c r="AL1511" s="214" t="str">
        <f t="shared" si="690"/>
        <v/>
      </c>
      <c r="AM1511" s="214" t="str">
        <f t="shared" si="691"/>
        <v/>
      </c>
      <c r="AN1511" s="213" t="str">
        <f t="shared" si="674"/>
        <v>2010</v>
      </c>
      <c r="AO1511" s="213" t="str">
        <f t="shared" si="675"/>
        <v>2010</v>
      </c>
      <c r="AP1511" s="213" t="str">
        <f t="shared" si="676"/>
        <v>2010</v>
      </c>
      <c r="AQ1511" s="215" t="str">
        <f t="shared" si="677"/>
        <v/>
      </c>
      <c r="AR1511" s="216" t="str">
        <f t="shared" si="678"/>
        <v>BiK82GK10---06</v>
      </c>
      <c r="AS1511" s="215" t="str">
        <f t="shared" si="679"/>
        <v/>
      </c>
      <c r="AT1511">
        <f t="shared" si="680"/>
        <v>14</v>
      </c>
      <c r="AU1511" s="216" t="str">
        <f t="shared" si="681"/>
        <v>0,15-0,5 MW, Bonusregeln G und K erstmals 2010</v>
      </c>
      <c r="AV1511" s="215" t="str">
        <f t="shared" si="682"/>
        <v/>
      </c>
      <c r="AW1511" s="216" t="str">
        <f t="shared" si="683"/>
        <v>Anteil KWK, erstmals 2010</v>
      </c>
      <c r="AX1511" s="215" t="str">
        <f t="shared" si="684"/>
        <v/>
      </c>
      <c r="AY1511" t="str">
        <f t="shared" si="685"/>
        <v/>
      </c>
      <c r="AZ1511" t="str">
        <f t="shared" si="686"/>
        <v/>
      </c>
    </row>
    <row r="1512" spans="1:52" s="178" customFormat="1" x14ac:dyDescent="0.25">
      <c r="A1512" s="610" t="s">
        <v>3960</v>
      </c>
      <c r="B1512" s="30" t="s">
        <v>5548</v>
      </c>
      <c r="C1512" s="30" t="s">
        <v>1296</v>
      </c>
      <c r="D1512" s="30" t="s">
        <v>7038</v>
      </c>
      <c r="E1512" s="30" t="s">
        <v>3055</v>
      </c>
      <c r="F1512" s="454">
        <f t="shared" si="693"/>
        <v>19.54</v>
      </c>
      <c r="G1512" s="529">
        <v>19.54</v>
      </c>
      <c r="H1512" s="487">
        <f t="shared" si="694"/>
        <v>15.63</v>
      </c>
      <c r="I1512" s="706"/>
      <c r="J1512" s="669" t="s">
        <v>5805</v>
      </c>
      <c r="K1512" s="15"/>
      <c r="L1512"/>
      <c r="M1512" s="49">
        <f t="shared" si="695"/>
        <v>19.54</v>
      </c>
      <c r="N1512" s="41">
        <v>9.6</v>
      </c>
      <c r="O1512" s="186"/>
      <c r="P1512" s="177"/>
      <c r="S1512" s="178" t="s">
        <v>1017</v>
      </c>
      <c r="T1512" s="178" t="s">
        <v>4180</v>
      </c>
      <c r="U1512" s="179"/>
      <c r="W1512" s="180"/>
      <c r="X1512" s="180"/>
      <c r="Y1512" s="178" t="s">
        <v>1017</v>
      </c>
      <c r="Z1512" s="180"/>
      <c r="AC1512" s="180"/>
      <c r="AD1512" s="182"/>
      <c r="AE1512" s="200"/>
      <c r="AF1512" s="180"/>
      <c r="AG1512" s="201"/>
      <c r="AH1512" s="212" t="str">
        <f t="shared" si="696"/>
        <v>2011</v>
      </c>
      <c r="AI1512" s="214" t="str">
        <f t="shared" si="687"/>
        <v/>
      </c>
      <c r="AJ1512" s="214" t="str">
        <f t="shared" si="688"/>
        <v/>
      </c>
      <c r="AK1512" s="214" t="str">
        <f t="shared" si="689"/>
        <v/>
      </c>
      <c r="AL1512" s="214" t="str">
        <f t="shared" si="690"/>
        <v/>
      </c>
      <c r="AM1512" s="214" t="str">
        <f t="shared" si="691"/>
        <v/>
      </c>
      <c r="AN1512" s="213" t="str">
        <f t="shared" si="674"/>
        <v>2011</v>
      </c>
      <c r="AO1512" s="213" t="str">
        <f t="shared" si="675"/>
        <v>2011</v>
      </c>
      <c r="AP1512" s="213" t="str">
        <f t="shared" si="676"/>
        <v>2011</v>
      </c>
      <c r="AQ1512" s="215" t="str">
        <f t="shared" si="677"/>
        <v/>
      </c>
      <c r="AR1512" s="216" t="str">
        <f t="shared" si="678"/>
        <v>BiK82GK11---06</v>
      </c>
      <c r="AS1512" s="215" t="str">
        <f t="shared" si="679"/>
        <v/>
      </c>
      <c r="AT1512">
        <f t="shared" si="680"/>
        <v>14</v>
      </c>
      <c r="AU1512" s="216" t="str">
        <f t="shared" si="681"/>
        <v>0,15-0,5 MW, Bonusregeln G und K erstmals 2011</v>
      </c>
      <c r="AV1512" s="215" t="str">
        <f t="shared" si="682"/>
        <v/>
      </c>
      <c r="AW1512" s="216" t="str">
        <f t="shared" si="683"/>
        <v>Anteil KWK, erstmals 2011</v>
      </c>
      <c r="AX1512" s="215" t="str">
        <f t="shared" si="684"/>
        <v/>
      </c>
      <c r="AY1512" t="str">
        <f t="shared" si="685"/>
        <v>x</v>
      </c>
      <c r="AZ1512" t="str">
        <f t="shared" si="686"/>
        <v/>
      </c>
    </row>
    <row r="1513" spans="1:52" s="178" customFormat="1" x14ac:dyDescent="0.25">
      <c r="A1513" s="625" t="s">
        <v>1782</v>
      </c>
      <c r="B1513" s="219" t="s">
        <v>5548</v>
      </c>
      <c r="C1513" s="219" t="s">
        <v>1296</v>
      </c>
      <c r="D1513" s="219" t="s">
        <v>7039</v>
      </c>
      <c r="E1513" s="219" t="s">
        <v>1980</v>
      </c>
      <c r="F1513" s="455">
        <f t="shared" si="693"/>
        <v>19.509999999999998</v>
      </c>
      <c r="G1513" s="530">
        <v>19.509999999999998</v>
      </c>
      <c r="H1513" s="488">
        <f t="shared" si="694"/>
        <v>15.61</v>
      </c>
      <c r="I1513" s="707"/>
      <c r="J1513" s="669" t="s">
        <v>5805</v>
      </c>
      <c r="K1513" s="15"/>
      <c r="L1513"/>
      <c r="M1513" s="49">
        <f t="shared" si="695"/>
        <v>19.509999999999998</v>
      </c>
      <c r="N1513" s="41">
        <v>9.6</v>
      </c>
      <c r="O1513" s="186"/>
      <c r="P1513" s="177"/>
      <c r="S1513" s="178" t="s">
        <v>4180</v>
      </c>
      <c r="T1513" s="178" t="s">
        <v>1017</v>
      </c>
      <c r="U1513" s="179"/>
      <c r="W1513" s="180"/>
      <c r="X1513" s="180"/>
      <c r="Y1513" s="178" t="s">
        <v>1017</v>
      </c>
      <c r="Z1513" s="180"/>
      <c r="AC1513" s="180"/>
      <c r="AD1513" s="182"/>
      <c r="AE1513" s="200"/>
      <c r="AF1513" s="180"/>
      <c r="AG1513" s="201"/>
      <c r="AH1513" s="217" t="s">
        <v>4179</v>
      </c>
      <c r="AI1513" s="214" t="str">
        <f t="shared" si="687"/>
        <v/>
      </c>
      <c r="AJ1513" s="214" t="str">
        <f t="shared" si="688"/>
        <v/>
      </c>
      <c r="AK1513" s="214" t="str">
        <f t="shared" si="689"/>
        <v/>
      </c>
      <c r="AL1513" s="214" t="str">
        <f t="shared" si="690"/>
        <v/>
      </c>
      <c r="AM1513" s="214" t="str">
        <f t="shared" si="691"/>
        <v/>
      </c>
      <c r="AN1513" s="213" t="str">
        <f t="shared" si="674"/>
        <v>2012</v>
      </c>
      <c r="AO1513" s="213" t="str">
        <f t="shared" si="675"/>
        <v>2012</v>
      </c>
      <c r="AP1513" s="213" t="str">
        <f t="shared" si="676"/>
        <v>2012</v>
      </c>
      <c r="AQ1513" s="215" t="str">
        <f t="shared" si="677"/>
        <v/>
      </c>
      <c r="AR1513" s="216" t="str">
        <f t="shared" si="678"/>
        <v>BiK82GK12---06</v>
      </c>
      <c r="AS1513" s="215" t="str">
        <f t="shared" si="679"/>
        <v/>
      </c>
      <c r="AT1513">
        <f t="shared" si="680"/>
        <v>14</v>
      </c>
      <c r="AU1513" s="216" t="str">
        <f t="shared" si="681"/>
        <v>0,15-0,5 MW, Bonusregeln G und K erstmals 2012</v>
      </c>
      <c r="AV1513" s="215" t="str">
        <f t="shared" si="682"/>
        <v/>
      </c>
      <c r="AW1513" s="216" t="str">
        <f t="shared" si="683"/>
        <v>Anteil KWK, erstmals 2012</v>
      </c>
      <c r="AX1513" s="215" t="str">
        <f t="shared" si="684"/>
        <v/>
      </c>
      <c r="AY1513" t="str">
        <f t="shared" si="685"/>
        <v/>
      </c>
      <c r="AZ1513" t="str">
        <f t="shared" si="686"/>
        <v>x</v>
      </c>
    </row>
    <row r="1514" spans="1:52" s="178" customFormat="1" x14ac:dyDescent="0.25">
      <c r="A1514" s="610" t="s">
        <v>2774</v>
      </c>
      <c r="B1514" s="30" t="s">
        <v>5548</v>
      </c>
      <c r="C1514" s="30" t="s">
        <v>1296</v>
      </c>
      <c r="D1514" s="30" t="s">
        <v>7040</v>
      </c>
      <c r="E1514" s="30" t="s">
        <v>4810</v>
      </c>
      <c r="F1514" s="454">
        <f t="shared" si="693"/>
        <v>17.600000000000001</v>
      </c>
      <c r="G1514" s="529">
        <v>17.600000000000001</v>
      </c>
      <c r="H1514" s="487">
        <f t="shared" si="694"/>
        <v>14.08</v>
      </c>
      <c r="I1514" s="706"/>
      <c r="J1514" s="669" t="s">
        <v>5805</v>
      </c>
      <c r="K1514" s="15"/>
      <c r="L1514"/>
      <c r="M1514" s="49">
        <f t="shared" si="695"/>
        <v>17.600000000000001</v>
      </c>
      <c r="N1514" s="41">
        <v>9.6</v>
      </c>
      <c r="O1514" s="187"/>
      <c r="P1514" s="183"/>
      <c r="Q1514" s="184"/>
      <c r="R1514" s="184"/>
      <c r="S1514" s="184" t="s">
        <v>4180</v>
      </c>
      <c r="T1514" s="178" t="s">
        <v>4180</v>
      </c>
      <c r="U1514" s="185" t="s">
        <v>1017</v>
      </c>
      <c r="V1514" s="184"/>
      <c r="W1514" s="180"/>
      <c r="X1514" s="180"/>
      <c r="Y1514" s="184" t="s">
        <v>1017</v>
      </c>
      <c r="Z1514" s="180"/>
      <c r="AA1514" s="184"/>
      <c r="AB1514" s="184"/>
      <c r="AC1514" s="180"/>
      <c r="AD1514" s="182"/>
      <c r="AE1514" s="181"/>
      <c r="AF1514" s="180"/>
      <c r="AG1514" s="201"/>
      <c r="AH1514" s="212" t="str">
        <f t="shared" ref="AH1514:AH1519" si="697">IF(ISERROR(SEARCH("K erstmals 201",D1514)),"",RIGHT(D1514,4))</f>
        <v/>
      </c>
      <c r="AI1514" s="214" t="str">
        <f t="shared" si="687"/>
        <v/>
      </c>
      <c r="AJ1514" s="214" t="str">
        <f t="shared" si="688"/>
        <v/>
      </c>
      <c r="AK1514" s="214" t="str">
        <f t="shared" si="689"/>
        <v/>
      </c>
      <c r="AL1514" s="214" t="str">
        <f t="shared" si="690"/>
        <v/>
      </c>
      <c r="AM1514" s="214" t="str">
        <f t="shared" si="691"/>
        <v/>
      </c>
      <c r="AN1514" s="213" t="str">
        <f t="shared" si="674"/>
        <v/>
      </c>
      <c r="AO1514" s="213" t="str">
        <f t="shared" si="675"/>
        <v/>
      </c>
      <c r="AP1514" s="213" t="str">
        <f t="shared" si="676"/>
        <v/>
      </c>
      <c r="AQ1514" s="215" t="str">
        <f t="shared" si="677"/>
        <v/>
      </c>
      <c r="AR1514" s="216" t="str">
        <f t="shared" si="678"/>
        <v>BiK82Gy-----06</v>
      </c>
      <c r="AS1514" s="215" t="str">
        <f t="shared" si="679"/>
        <v/>
      </c>
      <c r="AT1514">
        <f t="shared" si="680"/>
        <v>14</v>
      </c>
      <c r="AU1514" s="216" t="str">
        <f t="shared" si="681"/>
        <v>0,15-0,5 MW, Bonusregel G, y</v>
      </c>
      <c r="AV1514" s="215" t="str">
        <f t="shared" si="682"/>
        <v/>
      </c>
      <c r="AW1514" s="216" t="str">
        <f t="shared" si="683"/>
        <v>Anteil Nicht-KWK</v>
      </c>
      <c r="AX1514" s="215" t="str">
        <f t="shared" si="684"/>
        <v/>
      </c>
      <c r="AY1514" t="str">
        <f t="shared" si="685"/>
        <v/>
      </c>
      <c r="AZ1514" t="str">
        <f t="shared" si="686"/>
        <v/>
      </c>
    </row>
    <row r="1515" spans="1:52" s="178" customFormat="1" x14ac:dyDescent="0.25">
      <c r="A1515" s="610" t="s">
        <v>2775</v>
      </c>
      <c r="B1515" s="30" t="s">
        <v>5548</v>
      </c>
      <c r="C1515" s="30" t="s">
        <v>1296</v>
      </c>
      <c r="D1515" s="30" t="s">
        <v>7119</v>
      </c>
      <c r="E1515" s="30" t="s">
        <v>4812</v>
      </c>
      <c r="F1515" s="454">
        <f t="shared" si="693"/>
        <v>19.600000000000001</v>
      </c>
      <c r="G1515" s="529">
        <v>19.600000000000001</v>
      </c>
      <c r="H1515" s="487">
        <f t="shared" si="694"/>
        <v>15.68</v>
      </c>
      <c r="I1515" s="706"/>
      <c r="J1515" s="669" t="s">
        <v>5805</v>
      </c>
      <c r="K1515" s="15"/>
      <c r="L1515"/>
      <c r="M1515" s="49">
        <f t="shared" si="695"/>
        <v>19.600000000000001</v>
      </c>
      <c r="N1515" s="41">
        <v>9.6</v>
      </c>
      <c r="O1515" s="187" t="s">
        <v>1017</v>
      </c>
      <c r="P1515" s="183"/>
      <c r="Q1515" s="184"/>
      <c r="R1515" s="184"/>
      <c r="S1515" s="184" t="s">
        <v>4180</v>
      </c>
      <c r="T1515" s="178" t="s">
        <v>4180</v>
      </c>
      <c r="U1515" s="185" t="s">
        <v>1017</v>
      </c>
      <c r="V1515" s="184"/>
      <c r="W1515" s="180"/>
      <c r="X1515" s="180"/>
      <c r="Y1515" s="184" t="s">
        <v>1017</v>
      </c>
      <c r="Z1515" s="180"/>
      <c r="AA1515" s="184"/>
      <c r="AB1515" s="184"/>
      <c r="AC1515" s="180"/>
      <c r="AD1515" s="182"/>
      <c r="AE1515" s="181"/>
      <c r="AF1515" s="180"/>
      <c r="AG1515" s="201"/>
      <c r="AH1515" s="212" t="str">
        <f t="shared" si="697"/>
        <v/>
      </c>
      <c r="AI1515" s="214" t="str">
        <f t="shared" si="687"/>
        <v/>
      </c>
      <c r="AJ1515" s="214" t="str">
        <f t="shared" si="688"/>
        <v/>
      </c>
      <c r="AK1515" s="214" t="str">
        <f t="shared" si="689"/>
        <v/>
      </c>
      <c r="AL1515" s="214" t="str">
        <f t="shared" si="690"/>
        <v/>
      </c>
      <c r="AM1515" s="214" t="str">
        <f t="shared" si="691"/>
        <v/>
      </c>
      <c r="AN1515" s="213" t="str">
        <f t="shared" si="674"/>
        <v/>
      </c>
      <c r="AO1515" s="213" t="str">
        <f t="shared" si="675"/>
        <v/>
      </c>
      <c r="AP1515" s="213" t="str">
        <f t="shared" si="676"/>
        <v/>
      </c>
      <c r="AQ1515" s="215" t="str">
        <f t="shared" si="677"/>
        <v/>
      </c>
      <c r="AR1515" s="216" t="str">
        <f t="shared" si="678"/>
        <v>BiK82GKWKy--06</v>
      </c>
      <c r="AS1515" s="215" t="str">
        <f t="shared" si="679"/>
        <v/>
      </c>
      <c r="AT1515">
        <f t="shared" si="680"/>
        <v>14</v>
      </c>
      <c r="AU1515" s="216" t="str">
        <f t="shared" si="681"/>
        <v>0,15-0,5 MW, Bonusregeln G, y und KWK</v>
      </c>
      <c r="AV1515" s="215" t="str">
        <f t="shared" si="682"/>
        <v/>
      </c>
      <c r="AW1515" s="216" t="str">
        <f t="shared" si="683"/>
        <v>Anteil KWK</v>
      </c>
      <c r="AX1515" s="215" t="str">
        <f t="shared" si="684"/>
        <v/>
      </c>
      <c r="AY1515" t="str">
        <f t="shared" si="685"/>
        <v/>
      </c>
      <c r="AZ1515" t="str">
        <f t="shared" si="686"/>
        <v/>
      </c>
    </row>
    <row r="1516" spans="1:52" s="178" customFormat="1" x14ac:dyDescent="0.25">
      <c r="A1516" s="610" t="s">
        <v>2776</v>
      </c>
      <c r="B1516" s="30" t="s">
        <v>5548</v>
      </c>
      <c r="C1516" s="30" t="s">
        <v>1296</v>
      </c>
      <c r="D1516" s="109" t="s">
        <v>7041</v>
      </c>
      <c r="E1516" s="30" t="s">
        <v>4331</v>
      </c>
      <c r="F1516" s="454">
        <f t="shared" si="693"/>
        <v>20.6</v>
      </c>
      <c r="G1516" s="529">
        <v>20.6</v>
      </c>
      <c r="H1516" s="487">
        <f t="shared" si="694"/>
        <v>16.48</v>
      </c>
      <c r="I1516" s="706"/>
      <c r="J1516" s="669" t="s">
        <v>5805</v>
      </c>
      <c r="K1516" s="15"/>
      <c r="L1516"/>
      <c r="M1516" s="49">
        <f t="shared" si="695"/>
        <v>20.6</v>
      </c>
      <c r="N1516" s="41">
        <v>9.6</v>
      </c>
      <c r="O1516" s="187"/>
      <c r="P1516" s="184" t="s">
        <v>1017</v>
      </c>
      <c r="Q1516" s="184"/>
      <c r="R1516" s="184"/>
      <c r="S1516" s="184" t="s">
        <v>4180</v>
      </c>
      <c r="T1516" s="178" t="s">
        <v>4180</v>
      </c>
      <c r="U1516" s="185" t="s">
        <v>1017</v>
      </c>
      <c r="V1516" s="184"/>
      <c r="W1516" s="180"/>
      <c r="X1516" s="180"/>
      <c r="Y1516" s="184" t="s">
        <v>1017</v>
      </c>
      <c r="Z1516" s="180"/>
      <c r="AA1516" s="184"/>
      <c r="AB1516" s="184"/>
      <c r="AC1516" s="180"/>
      <c r="AD1516" s="182"/>
      <c r="AE1516" s="181"/>
      <c r="AF1516" s="180"/>
      <c r="AG1516" s="201"/>
      <c r="AH1516" s="212" t="str">
        <f t="shared" si="697"/>
        <v/>
      </c>
      <c r="AI1516" s="214" t="str">
        <f t="shared" si="687"/>
        <v/>
      </c>
      <c r="AJ1516" s="214" t="str">
        <f t="shared" si="688"/>
        <v/>
      </c>
      <c r="AK1516" s="214" t="str">
        <f t="shared" si="689"/>
        <v/>
      </c>
      <c r="AL1516" s="214" t="str">
        <f t="shared" si="690"/>
        <v/>
      </c>
      <c r="AM1516" s="214" t="str">
        <f t="shared" si="691"/>
        <v/>
      </c>
      <c r="AN1516" s="213" t="str">
        <f t="shared" si="674"/>
        <v/>
      </c>
      <c r="AO1516" s="213" t="str">
        <f t="shared" si="675"/>
        <v/>
      </c>
      <c r="AP1516" s="213" t="str">
        <f t="shared" si="676"/>
        <v/>
      </c>
      <c r="AQ1516" s="215" t="str">
        <f t="shared" si="677"/>
        <v/>
      </c>
      <c r="AR1516" s="216" t="str">
        <f t="shared" si="678"/>
        <v>BiK82GKA3y--06</v>
      </c>
      <c r="AS1516" s="215" t="str">
        <f t="shared" si="679"/>
        <v/>
      </c>
      <c r="AT1516">
        <f t="shared" si="680"/>
        <v>14</v>
      </c>
      <c r="AU1516" s="216" t="str">
        <f t="shared" si="681"/>
        <v>0,15-0,5 MW, Bonusregeln G, y und K wenn Anlage 3 erfüllt</v>
      </c>
      <c r="AV1516" s="215" t="str">
        <f t="shared" si="682"/>
        <v/>
      </c>
      <c r="AW1516" s="216" t="str">
        <f t="shared" si="683"/>
        <v>Anteil KWK gemäß Anlage 3</v>
      </c>
      <c r="AX1516" s="215" t="str">
        <f t="shared" si="684"/>
        <v/>
      </c>
      <c r="AY1516" t="str">
        <f t="shared" si="685"/>
        <v/>
      </c>
      <c r="AZ1516" t="str">
        <f t="shared" si="686"/>
        <v/>
      </c>
    </row>
    <row r="1517" spans="1:52" s="178" customFormat="1" x14ac:dyDescent="0.25">
      <c r="A1517" s="610" t="s">
        <v>2777</v>
      </c>
      <c r="B1517" s="30" t="s">
        <v>5548</v>
      </c>
      <c r="C1517" s="30" t="s">
        <v>1296</v>
      </c>
      <c r="D1517" s="30" t="s">
        <v>7042</v>
      </c>
      <c r="E1517" s="30" t="s">
        <v>674</v>
      </c>
      <c r="F1517" s="454">
        <f t="shared" si="693"/>
        <v>20.6</v>
      </c>
      <c r="G1517" s="529">
        <v>20.6</v>
      </c>
      <c r="H1517" s="487">
        <f t="shared" si="694"/>
        <v>16.48</v>
      </c>
      <c r="I1517" s="706"/>
      <c r="J1517" s="669" t="s">
        <v>5805</v>
      </c>
      <c r="K1517" s="15"/>
      <c r="L1517"/>
      <c r="M1517" s="49">
        <f t="shared" si="695"/>
        <v>20.6</v>
      </c>
      <c r="N1517" s="41">
        <v>9.6</v>
      </c>
      <c r="O1517" s="187"/>
      <c r="P1517" s="183"/>
      <c r="Q1517" s="184" t="s">
        <v>1017</v>
      </c>
      <c r="R1517" s="184"/>
      <c r="S1517" s="184" t="s">
        <v>4180</v>
      </c>
      <c r="T1517" s="178" t="s">
        <v>4180</v>
      </c>
      <c r="U1517" s="185" t="s">
        <v>1017</v>
      </c>
      <c r="V1517" s="184"/>
      <c r="W1517" s="180"/>
      <c r="X1517" s="180"/>
      <c r="Y1517" s="184" t="s">
        <v>1017</v>
      </c>
      <c r="Z1517" s="180"/>
      <c r="AA1517" s="184"/>
      <c r="AB1517" s="184"/>
      <c r="AC1517" s="180"/>
      <c r="AD1517" s="182"/>
      <c r="AE1517" s="181"/>
      <c r="AF1517" s="180"/>
      <c r="AG1517" s="201"/>
      <c r="AH1517" s="212" t="str">
        <f t="shared" si="697"/>
        <v/>
      </c>
      <c r="AI1517" s="214" t="str">
        <f t="shared" si="687"/>
        <v/>
      </c>
      <c r="AJ1517" s="214" t="str">
        <f t="shared" si="688"/>
        <v/>
      </c>
      <c r="AK1517" s="214" t="str">
        <f t="shared" si="689"/>
        <v/>
      </c>
      <c r="AL1517" s="214" t="str">
        <f t="shared" si="690"/>
        <v/>
      </c>
      <c r="AM1517" s="214" t="str">
        <f t="shared" si="691"/>
        <v/>
      </c>
      <c r="AN1517" s="213" t="str">
        <f t="shared" si="674"/>
        <v/>
      </c>
      <c r="AO1517" s="213" t="str">
        <f t="shared" si="675"/>
        <v/>
      </c>
      <c r="AP1517" s="213" t="str">
        <f t="shared" si="676"/>
        <v/>
      </c>
      <c r="AQ1517" s="215" t="str">
        <f t="shared" si="677"/>
        <v/>
      </c>
      <c r="AR1517" s="216" t="str">
        <f t="shared" si="678"/>
        <v>BiK82GK09y--06</v>
      </c>
      <c r="AS1517" s="215" t="str">
        <f t="shared" si="679"/>
        <v/>
      </c>
      <c r="AT1517">
        <f t="shared" si="680"/>
        <v>14</v>
      </c>
      <c r="AU1517" s="216" t="str">
        <f t="shared" si="681"/>
        <v>0,15-0,5 MW, Bonusregeln G, y und K erstmals 2009</v>
      </c>
      <c r="AV1517" s="215" t="str">
        <f t="shared" si="682"/>
        <v/>
      </c>
      <c r="AW1517" s="216" t="str">
        <f t="shared" si="683"/>
        <v>Anteil KWK, erstmals 2009</v>
      </c>
      <c r="AX1517" s="215" t="str">
        <f t="shared" si="684"/>
        <v/>
      </c>
      <c r="AY1517" t="str">
        <f t="shared" si="685"/>
        <v/>
      </c>
      <c r="AZ1517" t="str">
        <f t="shared" si="686"/>
        <v/>
      </c>
    </row>
    <row r="1518" spans="1:52" s="178" customFormat="1" x14ac:dyDescent="0.25">
      <c r="A1518" s="610" t="s">
        <v>4914</v>
      </c>
      <c r="B1518" s="30" t="s">
        <v>5548</v>
      </c>
      <c r="C1518" s="30" t="s">
        <v>1296</v>
      </c>
      <c r="D1518" s="30" t="s">
        <v>7043</v>
      </c>
      <c r="E1518" s="30" t="s">
        <v>3567</v>
      </c>
      <c r="F1518" s="454">
        <f t="shared" si="693"/>
        <v>20.57</v>
      </c>
      <c r="G1518" s="529">
        <v>20.57</v>
      </c>
      <c r="H1518" s="487">
        <f t="shared" si="694"/>
        <v>16.46</v>
      </c>
      <c r="I1518" s="706"/>
      <c r="J1518" s="669" t="s">
        <v>5805</v>
      </c>
      <c r="K1518" s="15"/>
      <c r="L1518"/>
      <c r="M1518" s="49">
        <f t="shared" si="695"/>
        <v>20.57</v>
      </c>
      <c r="N1518" s="41">
        <v>9.6</v>
      </c>
      <c r="O1518" s="187"/>
      <c r="P1518" s="183"/>
      <c r="Q1518" s="184"/>
      <c r="R1518" s="184" t="s">
        <v>1017</v>
      </c>
      <c r="S1518" s="184" t="s">
        <v>4180</v>
      </c>
      <c r="T1518" s="178" t="s">
        <v>4180</v>
      </c>
      <c r="U1518" s="185" t="s">
        <v>1017</v>
      </c>
      <c r="V1518" s="184"/>
      <c r="W1518" s="180"/>
      <c r="X1518" s="180"/>
      <c r="Y1518" s="184" t="s">
        <v>1017</v>
      </c>
      <c r="Z1518" s="180"/>
      <c r="AA1518" s="184"/>
      <c r="AB1518" s="184"/>
      <c r="AC1518" s="180"/>
      <c r="AD1518" s="182"/>
      <c r="AE1518" s="181"/>
      <c r="AF1518" s="180"/>
      <c r="AG1518" s="201"/>
      <c r="AH1518" s="212" t="str">
        <f t="shared" si="697"/>
        <v>2010</v>
      </c>
      <c r="AI1518" s="214" t="str">
        <f t="shared" si="687"/>
        <v/>
      </c>
      <c r="AJ1518" s="214" t="str">
        <f t="shared" si="688"/>
        <v/>
      </c>
      <c r="AK1518" s="214" t="str">
        <f t="shared" si="689"/>
        <v/>
      </c>
      <c r="AL1518" s="214" t="str">
        <f t="shared" si="690"/>
        <v/>
      </c>
      <c r="AM1518" s="214" t="str">
        <f t="shared" si="691"/>
        <v/>
      </c>
      <c r="AN1518" s="213" t="str">
        <f t="shared" si="674"/>
        <v>2010</v>
      </c>
      <c r="AO1518" s="213" t="str">
        <f t="shared" si="675"/>
        <v>2010</v>
      </c>
      <c r="AP1518" s="213" t="str">
        <f t="shared" si="676"/>
        <v>2010</v>
      </c>
      <c r="AQ1518" s="215" t="str">
        <f t="shared" si="677"/>
        <v/>
      </c>
      <c r="AR1518" s="216" t="str">
        <f t="shared" si="678"/>
        <v>BiK82GK10y--06</v>
      </c>
      <c r="AS1518" s="215" t="str">
        <f t="shared" si="679"/>
        <v/>
      </c>
      <c r="AT1518">
        <f t="shared" si="680"/>
        <v>14</v>
      </c>
      <c r="AU1518" s="216" t="str">
        <f t="shared" si="681"/>
        <v>0,15-0,5 MW, Bonusregeln G, y und K erstmals 2010</v>
      </c>
      <c r="AV1518" s="215" t="str">
        <f t="shared" si="682"/>
        <v/>
      </c>
      <c r="AW1518" s="216" t="str">
        <f t="shared" si="683"/>
        <v>Anteil KWK, erstmals 2010</v>
      </c>
      <c r="AX1518" s="215" t="str">
        <f t="shared" si="684"/>
        <v/>
      </c>
      <c r="AY1518" t="str">
        <f t="shared" si="685"/>
        <v/>
      </c>
      <c r="AZ1518" t="str">
        <f t="shared" si="686"/>
        <v/>
      </c>
    </row>
    <row r="1519" spans="1:52" s="178" customFormat="1" x14ac:dyDescent="0.25">
      <c r="A1519" s="610" t="s">
        <v>3961</v>
      </c>
      <c r="B1519" s="30" t="s">
        <v>5548</v>
      </c>
      <c r="C1519" s="30" t="s">
        <v>1296</v>
      </c>
      <c r="D1519" s="30" t="s">
        <v>7044</v>
      </c>
      <c r="E1519" s="30" t="s">
        <v>3055</v>
      </c>
      <c r="F1519" s="454">
        <f t="shared" si="693"/>
        <v>20.54</v>
      </c>
      <c r="G1519" s="529">
        <v>20.54</v>
      </c>
      <c r="H1519" s="487">
        <f t="shared" si="694"/>
        <v>16.43</v>
      </c>
      <c r="I1519" s="706"/>
      <c r="J1519" s="669" t="s">
        <v>5805</v>
      </c>
      <c r="K1519" s="15"/>
      <c r="L1519"/>
      <c r="M1519" s="49">
        <f t="shared" si="695"/>
        <v>20.54</v>
      </c>
      <c r="N1519" s="41">
        <v>9.6</v>
      </c>
      <c r="O1519" s="187"/>
      <c r="P1519" s="183"/>
      <c r="Q1519" s="184"/>
      <c r="S1519" s="184" t="s">
        <v>1017</v>
      </c>
      <c r="T1519" s="178" t="s">
        <v>4180</v>
      </c>
      <c r="U1519" s="185" t="s">
        <v>1017</v>
      </c>
      <c r="V1519" s="184"/>
      <c r="W1519" s="180"/>
      <c r="X1519" s="180"/>
      <c r="Y1519" s="184" t="s">
        <v>1017</v>
      </c>
      <c r="Z1519" s="180"/>
      <c r="AA1519" s="184"/>
      <c r="AB1519" s="184"/>
      <c r="AC1519" s="180"/>
      <c r="AD1519" s="182"/>
      <c r="AE1519" s="181"/>
      <c r="AF1519" s="180"/>
      <c r="AG1519" s="201"/>
      <c r="AH1519" s="212" t="str">
        <f t="shared" si="697"/>
        <v>2011</v>
      </c>
      <c r="AI1519" s="214" t="str">
        <f t="shared" si="687"/>
        <v/>
      </c>
      <c r="AJ1519" s="214" t="str">
        <f t="shared" si="688"/>
        <v/>
      </c>
      <c r="AK1519" s="214" t="str">
        <f t="shared" si="689"/>
        <v/>
      </c>
      <c r="AL1519" s="214" t="str">
        <f t="shared" si="690"/>
        <v/>
      </c>
      <c r="AM1519" s="214" t="str">
        <f t="shared" si="691"/>
        <v/>
      </c>
      <c r="AN1519" s="213" t="str">
        <f t="shared" si="674"/>
        <v>2011</v>
      </c>
      <c r="AO1519" s="213" t="str">
        <f t="shared" si="675"/>
        <v>2011</v>
      </c>
      <c r="AP1519" s="213" t="str">
        <f t="shared" si="676"/>
        <v>2011</v>
      </c>
      <c r="AQ1519" s="215" t="str">
        <f t="shared" si="677"/>
        <v/>
      </c>
      <c r="AR1519" s="216" t="str">
        <f t="shared" si="678"/>
        <v>BiK82GK11y--06</v>
      </c>
      <c r="AS1519" s="215" t="str">
        <f t="shared" si="679"/>
        <v/>
      </c>
      <c r="AT1519">
        <f t="shared" si="680"/>
        <v>14</v>
      </c>
      <c r="AU1519" s="216" t="str">
        <f t="shared" si="681"/>
        <v>0,15-0,5 MW, Bonusregeln G, y und K erstmals 2011</v>
      </c>
      <c r="AV1519" s="215" t="str">
        <f t="shared" si="682"/>
        <v/>
      </c>
      <c r="AW1519" s="216" t="str">
        <f t="shared" si="683"/>
        <v>Anteil KWK, erstmals 2011</v>
      </c>
      <c r="AX1519" s="215" t="str">
        <f t="shared" si="684"/>
        <v/>
      </c>
      <c r="AY1519" t="str">
        <f t="shared" si="685"/>
        <v>x</v>
      </c>
      <c r="AZ1519" t="str">
        <f t="shared" si="686"/>
        <v/>
      </c>
    </row>
    <row r="1520" spans="1:52" s="178" customFormat="1" x14ac:dyDescent="0.25">
      <c r="A1520" s="625" t="s">
        <v>1783</v>
      </c>
      <c r="B1520" s="219" t="s">
        <v>5548</v>
      </c>
      <c r="C1520" s="219" t="s">
        <v>1296</v>
      </c>
      <c r="D1520" s="219" t="s">
        <v>7045</v>
      </c>
      <c r="E1520" s="219" t="s">
        <v>1980</v>
      </c>
      <c r="F1520" s="455">
        <f t="shared" si="693"/>
        <v>20.509999999999998</v>
      </c>
      <c r="G1520" s="530">
        <v>20.509999999999998</v>
      </c>
      <c r="H1520" s="488">
        <f t="shared" si="694"/>
        <v>16.41</v>
      </c>
      <c r="I1520" s="707"/>
      <c r="J1520" s="669" t="s">
        <v>5805</v>
      </c>
      <c r="K1520" s="15"/>
      <c r="L1520"/>
      <c r="M1520" s="49">
        <f t="shared" si="695"/>
        <v>20.509999999999998</v>
      </c>
      <c r="N1520" s="41">
        <v>9.6</v>
      </c>
      <c r="O1520" s="187"/>
      <c r="P1520" s="183"/>
      <c r="Q1520" s="184"/>
      <c r="S1520" s="184" t="s">
        <v>4180</v>
      </c>
      <c r="T1520" s="178" t="s">
        <v>1017</v>
      </c>
      <c r="U1520" s="185" t="s">
        <v>1017</v>
      </c>
      <c r="V1520" s="184"/>
      <c r="W1520" s="180"/>
      <c r="X1520" s="180"/>
      <c r="Y1520" s="184" t="s">
        <v>1017</v>
      </c>
      <c r="Z1520" s="180"/>
      <c r="AA1520" s="184"/>
      <c r="AB1520" s="184"/>
      <c r="AC1520" s="180"/>
      <c r="AD1520" s="182"/>
      <c r="AE1520" s="181"/>
      <c r="AF1520" s="180"/>
      <c r="AG1520" s="201"/>
      <c r="AH1520" s="217" t="s">
        <v>4179</v>
      </c>
      <c r="AI1520" s="214" t="str">
        <f t="shared" si="687"/>
        <v/>
      </c>
      <c r="AJ1520" s="214" t="str">
        <f t="shared" si="688"/>
        <v/>
      </c>
      <c r="AK1520" s="214" t="str">
        <f t="shared" si="689"/>
        <v/>
      </c>
      <c r="AL1520" s="214" t="str">
        <f t="shared" si="690"/>
        <v/>
      </c>
      <c r="AM1520" s="214" t="str">
        <f t="shared" si="691"/>
        <v/>
      </c>
      <c r="AN1520" s="213" t="str">
        <f t="shared" si="674"/>
        <v>2012</v>
      </c>
      <c r="AO1520" s="213" t="str">
        <f t="shared" si="675"/>
        <v>2012</v>
      </c>
      <c r="AP1520" s="213" t="str">
        <f t="shared" si="676"/>
        <v>2012</v>
      </c>
      <c r="AQ1520" s="215" t="str">
        <f t="shared" si="677"/>
        <v/>
      </c>
      <c r="AR1520" s="216" t="str">
        <f t="shared" si="678"/>
        <v>BiK82GK12y--06</v>
      </c>
      <c r="AS1520" s="215" t="str">
        <f t="shared" si="679"/>
        <v/>
      </c>
      <c r="AT1520">
        <f t="shared" si="680"/>
        <v>14</v>
      </c>
      <c r="AU1520" s="216" t="str">
        <f t="shared" si="681"/>
        <v>0,15-0,5 MW, Bonusregeln G, y und K erstmals 2012</v>
      </c>
      <c r="AV1520" s="215" t="str">
        <f t="shared" si="682"/>
        <v/>
      </c>
      <c r="AW1520" s="216" t="str">
        <f t="shared" si="683"/>
        <v>Anteil KWK, erstmals 2012</v>
      </c>
      <c r="AX1520" s="215" t="str">
        <f t="shared" si="684"/>
        <v/>
      </c>
      <c r="AY1520" t="str">
        <f t="shared" si="685"/>
        <v/>
      </c>
      <c r="AZ1520" t="str">
        <f t="shared" si="686"/>
        <v>x</v>
      </c>
    </row>
    <row r="1521" spans="1:52" s="178" customFormat="1" x14ac:dyDescent="0.25">
      <c r="A1521" s="610" t="s">
        <v>2778</v>
      </c>
      <c r="B1521" s="30" t="s">
        <v>5548</v>
      </c>
      <c r="C1521" s="30" t="s">
        <v>1296</v>
      </c>
      <c r="D1521" s="30" t="s">
        <v>7046</v>
      </c>
      <c r="E1521" s="30" t="s">
        <v>4810</v>
      </c>
      <c r="F1521" s="454">
        <f t="shared" si="693"/>
        <v>17.600000000000001</v>
      </c>
      <c r="G1521" s="529">
        <v>17.600000000000001</v>
      </c>
      <c r="H1521" s="487">
        <f t="shared" si="694"/>
        <v>14.08</v>
      </c>
      <c r="I1521" s="706"/>
      <c r="J1521" s="669" t="s">
        <v>5805</v>
      </c>
      <c r="K1521" s="15"/>
      <c r="L1521"/>
      <c r="M1521" s="49">
        <f t="shared" si="695"/>
        <v>17.600000000000001</v>
      </c>
      <c r="N1521" s="41">
        <v>9.6</v>
      </c>
      <c r="O1521" s="186"/>
      <c r="P1521" s="177"/>
      <c r="S1521" s="178" t="s">
        <v>4180</v>
      </c>
      <c r="T1521" s="178" t="s">
        <v>4180</v>
      </c>
      <c r="U1521" s="179"/>
      <c r="W1521" s="180"/>
      <c r="X1521" s="180"/>
      <c r="Z1521" s="180"/>
      <c r="AA1521" s="178" t="s">
        <v>1017</v>
      </c>
      <c r="AC1521" s="180"/>
      <c r="AD1521" s="182"/>
      <c r="AE1521" s="200"/>
      <c r="AF1521" s="180"/>
      <c r="AG1521" s="201"/>
      <c r="AH1521" s="212" t="str">
        <f t="shared" ref="AH1521:AH1526" si="698">IF(ISERROR(SEARCH("K erstmals 201",D1521)),"",RIGHT(D1521,4))</f>
        <v/>
      </c>
      <c r="AI1521" s="214" t="str">
        <f t="shared" si="687"/>
        <v/>
      </c>
      <c r="AJ1521" s="214" t="str">
        <f t="shared" si="688"/>
        <v/>
      </c>
      <c r="AK1521" s="214" t="str">
        <f t="shared" si="689"/>
        <v/>
      </c>
      <c r="AL1521" s="214" t="str">
        <f t="shared" si="690"/>
        <v/>
      </c>
      <c r="AM1521" s="214" t="str">
        <f t="shared" si="691"/>
        <v/>
      </c>
      <c r="AN1521" s="213" t="str">
        <f t="shared" si="674"/>
        <v/>
      </c>
      <c r="AO1521" s="213" t="str">
        <f t="shared" si="675"/>
        <v/>
      </c>
      <c r="AP1521" s="213" t="str">
        <f t="shared" si="676"/>
        <v/>
      </c>
      <c r="AQ1521" s="215" t="str">
        <f t="shared" si="677"/>
        <v/>
      </c>
      <c r="AR1521" s="216" t="str">
        <f t="shared" si="678"/>
        <v>BiK82M2-----06</v>
      </c>
      <c r="AS1521" s="215" t="str">
        <f t="shared" si="679"/>
        <v/>
      </c>
      <c r="AT1521">
        <f t="shared" si="680"/>
        <v>14</v>
      </c>
      <c r="AU1521" s="216" t="str">
        <f t="shared" si="681"/>
        <v>0,15-0,5 MW, Bonusregel M2</v>
      </c>
      <c r="AV1521" s="215" t="str">
        <f t="shared" si="682"/>
        <v/>
      </c>
      <c r="AW1521" s="216" t="str">
        <f t="shared" si="683"/>
        <v>Anteil Nicht-KWK</v>
      </c>
      <c r="AX1521" s="215" t="str">
        <f t="shared" si="684"/>
        <v/>
      </c>
      <c r="AY1521" t="str">
        <f t="shared" si="685"/>
        <v/>
      </c>
      <c r="AZ1521" t="str">
        <f t="shared" si="686"/>
        <v/>
      </c>
    </row>
    <row r="1522" spans="1:52" s="178" customFormat="1" x14ac:dyDescent="0.25">
      <c r="A1522" s="610" t="s">
        <v>2779</v>
      </c>
      <c r="B1522" s="30" t="s">
        <v>5548</v>
      </c>
      <c r="C1522" s="30" t="s">
        <v>1296</v>
      </c>
      <c r="D1522" s="30" t="s">
        <v>7120</v>
      </c>
      <c r="E1522" s="30" t="s">
        <v>4812</v>
      </c>
      <c r="F1522" s="454">
        <f t="shared" si="693"/>
        <v>19.600000000000001</v>
      </c>
      <c r="G1522" s="529">
        <v>19.600000000000001</v>
      </c>
      <c r="H1522" s="487">
        <f t="shared" si="694"/>
        <v>15.68</v>
      </c>
      <c r="I1522" s="706"/>
      <c r="J1522" s="669" t="s">
        <v>5805</v>
      </c>
      <c r="K1522" s="15"/>
      <c r="L1522"/>
      <c r="M1522" s="49">
        <f t="shared" si="695"/>
        <v>19.600000000000001</v>
      </c>
      <c r="N1522" s="41">
        <v>9.6</v>
      </c>
      <c r="O1522" s="186" t="s">
        <v>1017</v>
      </c>
      <c r="P1522" s="177"/>
      <c r="S1522" s="178" t="s">
        <v>4180</v>
      </c>
      <c r="T1522" s="178" t="s">
        <v>4180</v>
      </c>
      <c r="U1522" s="179"/>
      <c r="W1522" s="180"/>
      <c r="X1522" s="180"/>
      <c r="Z1522" s="180"/>
      <c r="AA1522" s="178" t="s">
        <v>1017</v>
      </c>
      <c r="AC1522" s="180"/>
      <c r="AD1522" s="182"/>
      <c r="AE1522" s="200"/>
      <c r="AF1522" s="180"/>
      <c r="AG1522" s="201"/>
      <c r="AH1522" s="212" t="str">
        <f t="shared" si="698"/>
        <v/>
      </c>
      <c r="AI1522" s="214" t="str">
        <f t="shared" si="687"/>
        <v/>
      </c>
      <c r="AJ1522" s="214" t="str">
        <f t="shared" si="688"/>
        <v/>
      </c>
      <c r="AK1522" s="214" t="str">
        <f t="shared" si="689"/>
        <v/>
      </c>
      <c r="AL1522" s="214" t="str">
        <f t="shared" si="690"/>
        <v/>
      </c>
      <c r="AM1522" s="214" t="str">
        <f t="shared" si="691"/>
        <v/>
      </c>
      <c r="AN1522" s="213" t="str">
        <f t="shared" si="674"/>
        <v/>
      </c>
      <c r="AO1522" s="213" t="str">
        <f t="shared" si="675"/>
        <v/>
      </c>
      <c r="AP1522" s="213" t="str">
        <f t="shared" si="676"/>
        <v/>
      </c>
      <c r="AQ1522" s="215" t="str">
        <f t="shared" si="677"/>
        <v/>
      </c>
      <c r="AR1522" s="216" t="str">
        <f t="shared" si="678"/>
        <v>BiK82M2KWK--06</v>
      </c>
      <c r="AS1522" s="215" t="str">
        <f t="shared" si="679"/>
        <v/>
      </c>
      <c r="AT1522">
        <f t="shared" si="680"/>
        <v>14</v>
      </c>
      <c r="AU1522" s="216" t="str">
        <f t="shared" si="681"/>
        <v>0,15-0,5 MW, Bonusregeln M2 und KWK</v>
      </c>
      <c r="AV1522" s="215" t="str">
        <f t="shared" si="682"/>
        <v/>
      </c>
      <c r="AW1522" s="216" t="str">
        <f t="shared" si="683"/>
        <v>Anteil KWK</v>
      </c>
      <c r="AX1522" s="215" t="str">
        <f t="shared" si="684"/>
        <v/>
      </c>
      <c r="AY1522" t="str">
        <f t="shared" si="685"/>
        <v/>
      </c>
      <c r="AZ1522" t="str">
        <f t="shared" si="686"/>
        <v/>
      </c>
    </row>
    <row r="1523" spans="1:52" s="178" customFormat="1" x14ac:dyDescent="0.25">
      <c r="A1523" s="610" t="s">
        <v>2780</v>
      </c>
      <c r="B1523" s="30" t="s">
        <v>5548</v>
      </c>
      <c r="C1523" s="30" t="s">
        <v>1296</v>
      </c>
      <c r="D1523" s="30" t="s">
        <v>7047</v>
      </c>
      <c r="E1523" s="30" t="s">
        <v>4331</v>
      </c>
      <c r="F1523" s="454">
        <f t="shared" si="693"/>
        <v>20.6</v>
      </c>
      <c r="G1523" s="529">
        <v>20.6</v>
      </c>
      <c r="H1523" s="487">
        <f t="shared" si="694"/>
        <v>16.48</v>
      </c>
      <c r="I1523" s="706"/>
      <c r="J1523" s="669" t="s">
        <v>5805</v>
      </c>
      <c r="K1523" s="15"/>
      <c r="L1523"/>
      <c r="M1523" s="49">
        <f t="shared" si="695"/>
        <v>20.6</v>
      </c>
      <c r="N1523" s="41">
        <v>9.6</v>
      </c>
      <c r="O1523" s="186"/>
      <c r="P1523" s="178" t="s">
        <v>1017</v>
      </c>
      <c r="S1523" s="178" t="s">
        <v>4180</v>
      </c>
      <c r="T1523" s="178" t="s">
        <v>4180</v>
      </c>
      <c r="U1523" s="179"/>
      <c r="W1523" s="180"/>
      <c r="X1523" s="180"/>
      <c r="Z1523" s="180"/>
      <c r="AA1523" s="178" t="s">
        <v>1017</v>
      </c>
      <c r="AC1523" s="180"/>
      <c r="AD1523" s="182"/>
      <c r="AE1523" s="200"/>
      <c r="AF1523" s="180"/>
      <c r="AG1523" s="201"/>
      <c r="AH1523" s="212" t="str">
        <f t="shared" si="698"/>
        <v/>
      </c>
      <c r="AI1523" s="214" t="str">
        <f t="shared" si="687"/>
        <v/>
      </c>
      <c r="AJ1523" s="214" t="str">
        <f t="shared" si="688"/>
        <v/>
      </c>
      <c r="AK1523" s="214" t="str">
        <f t="shared" si="689"/>
        <v/>
      </c>
      <c r="AL1523" s="214" t="str">
        <f t="shared" si="690"/>
        <v/>
      </c>
      <c r="AM1523" s="214" t="str">
        <f t="shared" si="691"/>
        <v/>
      </c>
      <c r="AN1523" s="213" t="str">
        <f t="shared" si="674"/>
        <v/>
      </c>
      <c r="AO1523" s="213" t="str">
        <f t="shared" si="675"/>
        <v/>
      </c>
      <c r="AP1523" s="213" t="str">
        <f t="shared" si="676"/>
        <v/>
      </c>
      <c r="AQ1523" s="215" t="str">
        <f t="shared" si="677"/>
        <v/>
      </c>
      <c r="AR1523" s="216" t="str">
        <f t="shared" si="678"/>
        <v>BiK82M2KA3--06</v>
      </c>
      <c r="AS1523" s="215" t="str">
        <f t="shared" si="679"/>
        <v/>
      </c>
      <c r="AT1523">
        <f t="shared" si="680"/>
        <v>14</v>
      </c>
      <c r="AU1523" s="216" t="str">
        <f t="shared" si="681"/>
        <v>0,15-0,5 MW, Bonusregeln M2 und K wenn Anlage 3 erfüllt</v>
      </c>
      <c r="AV1523" s="215" t="str">
        <f t="shared" si="682"/>
        <v/>
      </c>
      <c r="AW1523" s="216" t="str">
        <f t="shared" si="683"/>
        <v>Anteil KWK gemäß Anlage 3</v>
      </c>
      <c r="AX1523" s="215" t="str">
        <f t="shared" si="684"/>
        <v/>
      </c>
      <c r="AY1523" t="str">
        <f t="shared" si="685"/>
        <v/>
      </c>
      <c r="AZ1523" t="str">
        <f t="shared" si="686"/>
        <v/>
      </c>
    </row>
    <row r="1524" spans="1:52" s="178" customFormat="1" x14ac:dyDescent="0.25">
      <c r="A1524" s="610" t="s">
        <v>2781</v>
      </c>
      <c r="B1524" s="30" t="s">
        <v>5548</v>
      </c>
      <c r="C1524" s="30" t="s">
        <v>1296</v>
      </c>
      <c r="D1524" s="30" t="s">
        <v>7121</v>
      </c>
      <c r="E1524" s="30" t="s">
        <v>674</v>
      </c>
      <c r="F1524" s="454">
        <f t="shared" si="693"/>
        <v>20.6</v>
      </c>
      <c r="G1524" s="529">
        <v>20.6</v>
      </c>
      <c r="H1524" s="487">
        <f t="shared" si="694"/>
        <v>16.48</v>
      </c>
      <c r="I1524" s="706"/>
      <c r="J1524" s="669" t="s">
        <v>5805</v>
      </c>
      <c r="K1524" s="15"/>
      <c r="L1524"/>
      <c r="M1524" s="49">
        <f t="shared" si="695"/>
        <v>20.6</v>
      </c>
      <c r="N1524" s="41">
        <v>9.6</v>
      </c>
      <c r="O1524" s="186"/>
      <c r="P1524" s="177"/>
      <c r="Q1524" s="178" t="s">
        <v>1017</v>
      </c>
      <c r="S1524" s="178" t="s">
        <v>4180</v>
      </c>
      <c r="T1524" s="178" t="s">
        <v>4180</v>
      </c>
      <c r="U1524" s="179"/>
      <c r="W1524" s="180"/>
      <c r="X1524" s="180"/>
      <c r="Z1524" s="180"/>
      <c r="AA1524" s="178" t="s">
        <v>1017</v>
      </c>
      <c r="AC1524" s="180"/>
      <c r="AD1524" s="182"/>
      <c r="AE1524" s="200"/>
      <c r="AF1524" s="180"/>
      <c r="AG1524" s="201"/>
      <c r="AH1524" s="212" t="str">
        <f t="shared" si="698"/>
        <v/>
      </c>
      <c r="AI1524" s="214" t="str">
        <f t="shared" si="687"/>
        <v/>
      </c>
      <c r="AJ1524" s="214" t="str">
        <f t="shared" si="688"/>
        <v/>
      </c>
      <c r="AK1524" s="214" t="str">
        <f t="shared" si="689"/>
        <v/>
      </c>
      <c r="AL1524" s="214" t="str">
        <f t="shared" si="690"/>
        <v/>
      </c>
      <c r="AM1524" s="214" t="str">
        <f t="shared" si="691"/>
        <v/>
      </c>
      <c r="AN1524" s="213" t="str">
        <f t="shared" si="674"/>
        <v/>
      </c>
      <c r="AO1524" s="213" t="str">
        <f t="shared" si="675"/>
        <v/>
      </c>
      <c r="AP1524" s="213" t="str">
        <f t="shared" si="676"/>
        <v/>
      </c>
      <c r="AQ1524" s="215" t="str">
        <f t="shared" si="677"/>
        <v/>
      </c>
      <c r="AR1524" s="216" t="str">
        <f t="shared" si="678"/>
        <v>BiK82M2K09--06</v>
      </c>
      <c r="AS1524" s="215" t="str">
        <f t="shared" si="679"/>
        <v/>
      </c>
      <c r="AT1524">
        <f t="shared" si="680"/>
        <v>14</v>
      </c>
      <c r="AU1524" s="216" t="str">
        <f t="shared" si="681"/>
        <v>0,15-0,5 MW, Bonusregeln M2, K erstmals 2009</v>
      </c>
      <c r="AV1524" s="215" t="str">
        <f t="shared" si="682"/>
        <v/>
      </c>
      <c r="AW1524" s="216" t="str">
        <f t="shared" si="683"/>
        <v>Anteil KWK, erstmals 2009</v>
      </c>
      <c r="AX1524" s="215" t="str">
        <f t="shared" si="684"/>
        <v/>
      </c>
      <c r="AY1524" t="str">
        <f t="shared" si="685"/>
        <v/>
      </c>
      <c r="AZ1524" t="str">
        <f t="shared" si="686"/>
        <v/>
      </c>
    </row>
    <row r="1525" spans="1:52" s="178" customFormat="1" x14ac:dyDescent="0.25">
      <c r="A1525" s="610" t="s">
        <v>4915</v>
      </c>
      <c r="B1525" s="30" t="s">
        <v>5548</v>
      </c>
      <c r="C1525" s="30" t="s">
        <v>1296</v>
      </c>
      <c r="D1525" s="30" t="s">
        <v>7122</v>
      </c>
      <c r="E1525" s="30" t="s">
        <v>3567</v>
      </c>
      <c r="F1525" s="454">
        <f t="shared" si="693"/>
        <v>20.57</v>
      </c>
      <c r="G1525" s="529">
        <v>20.57</v>
      </c>
      <c r="H1525" s="487">
        <f t="shared" si="694"/>
        <v>16.46</v>
      </c>
      <c r="I1525" s="706"/>
      <c r="J1525" s="669" t="s">
        <v>5805</v>
      </c>
      <c r="K1525" s="15"/>
      <c r="L1525"/>
      <c r="M1525" s="49">
        <f t="shared" si="695"/>
        <v>20.57</v>
      </c>
      <c r="N1525" s="41">
        <v>9.6</v>
      </c>
      <c r="O1525" s="186"/>
      <c r="P1525" s="177"/>
      <c r="R1525" s="178" t="s">
        <v>1017</v>
      </c>
      <c r="S1525" s="178" t="s">
        <v>4180</v>
      </c>
      <c r="T1525" s="178" t="s">
        <v>4180</v>
      </c>
      <c r="U1525" s="179"/>
      <c r="W1525" s="180"/>
      <c r="X1525" s="180"/>
      <c r="Z1525" s="180"/>
      <c r="AA1525" s="178" t="s">
        <v>1017</v>
      </c>
      <c r="AC1525" s="180"/>
      <c r="AD1525" s="182"/>
      <c r="AE1525" s="200"/>
      <c r="AF1525" s="180"/>
      <c r="AG1525" s="201"/>
      <c r="AH1525" s="212" t="str">
        <f t="shared" si="698"/>
        <v>2010</v>
      </c>
      <c r="AI1525" s="214" t="str">
        <f t="shared" si="687"/>
        <v/>
      </c>
      <c r="AJ1525" s="214" t="str">
        <f t="shared" si="688"/>
        <v/>
      </c>
      <c r="AK1525" s="214" t="str">
        <f t="shared" si="689"/>
        <v/>
      </c>
      <c r="AL1525" s="214" t="str">
        <f t="shared" si="690"/>
        <v/>
      </c>
      <c r="AM1525" s="214" t="str">
        <f t="shared" si="691"/>
        <v/>
      </c>
      <c r="AN1525" s="213" t="str">
        <f t="shared" si="674"/>
        <v>2010</v>
      </c>
      <c r="AO1525" s="213" t="str">
        <f t="shared" si="675"/>
        <v>2010</v>
      </c>
      <c r="AP1525" s="213" t="str">
        <f t="shared" si="676"/>
        <v>2010</v>
      </c>
      <c r="AQ1525" s="215" t="str">
        <f t="shared" si="677"/>
        <v/>
      </c>
      <c r="AR1525" s="216" t="str">
        <f t="shared" si="678"/>
        <v>BiK82M2K10--06</v>
      </c>
      <c r="AS1525" s="215" t="str">
        <f t="shared" si="679"/>
        <v/>
      </c>
      <c r="AT1525">
        <f t="shared" si="680"/>
        <v>14</v>
      </c>
      <c r="AU1525" s="216" t="str">
        <f t="shared" si="681"/>
        <v>0,15-0,5 MW, Bonusregeln M2, K erstmals 2010</v>
      </c>
      <c r="AV1525" s="215" t="str">
        <f t="shared" si="682"/>
        <v/>
      </c>
      <c r="AW1525" s="216" t="str">
        <f t="shared" si="683"/>
        <v>Anteil KWK, erstmals 2010</v>
      </c>
      <c r="AX1525" s="215" t="str">
        <f t="shared" si="684"/>
        <v/>
      </c>
      <c r="AY1525" t="str">
        <f t="shared" si="685"/>
        <v/>
      </c>
      <c r="AZ1525" t="str">
        <f t="shared" si="686"/>
        <v/>
      </c>
    </row>
    <row r="1526" spans="1:52" s="178" customFormat="1" x14ac:dyDescent="0.25">
      <c r="A1526" s="610" t="s">
        <v>3962</v>
      </c>
      <c r="B1526" s="30" t="s">
        <v>5548</v>
      </c>
      <c r="C1526" s="30" t="s">
        <v>1296</v>
      </c>
      <c r="D1526" s="30" t="s">
        <v>7123</v>
      </c>
      <c r="E1526" s="30" t="s">
        <v>3055</v>
      </c>
      <c r="F1526" s="454">
        <f t="shared" si="693"/>
        <v>20.54</v>
      </c>
      <c r="G1526" s="529">
        <v>20.54</v>
      </c>
      <c r="H1526" s="487">
        <f t="shared" si="694"/>
        <v>16.43</v>
      </c>
      <c r="I1526" s="706"/>
      <c r="J1526" s="669" t="s">
        <v>5805</v>
      </c>
      <c r="K1526" s="15"/>
      <c r="L1526"/>
      <c r="M1526" s="49">
        <f t="shared" si="695"/>
        <v>20.54</v>
      </c>
      <c r="N1526" s="41">
        <v>9.6</v>
      </c>
      <c r="O1526" s="186"/>
      <c r="P1526" s="177"/>
      <c r="S1526" s="178" t="s">
        <v>1017</v>
      </c>
      <c r="T1526" s="178" t="s">
        <v>4180</v>
      </c>
      <c r="U1526" s="179"/>
      <c r="W1526" s="180"/>
      <c r="X1526" s="180"/>
      <c r="Z1526" s="180"/>
      <c r="AA1526" s="178" t="s">
        <v>1017</v>
      </c>
      <c r="AC1526" s="180"/>
      <c r="AD1526" s="182"/>
      <c r="AE1526" s="200"/>
      <c r="AF1526" s="180"/>
      <c r="AG1526" s="201"/>
      <c r="AH1526" s="212" t="str">
        <f t="shared" si="698"/>
        <v>2011</v>
      </c>
      <c r="AI1526" s="214" t="str">
        <f t="shared" si="687"/>
        <v/>
      </c>
      <c r="AJ1526" s="214" t="str">
        <f t="shared" si="688"/>
        <v/>
      </c>
      <c r="AK1526" s="214" t="str">
        <f t="shared" si="689"/>
        <v/>
      </c>
      <c r="AL1526" s="214" t="str">
        <f t="shared" si="690"/>
        <v/>
      </c>
      <c r="AM1526" s="214" t="str">
        <f t="shared" si="691"/>
        <v/>
      </c>
      <c r="AN1526" s="213" t="str">
        <f t="shared" si="674"/>
        <v>2011</v>
      </c>
      <c r="AO1526" s="213" t="str">
        <f t="shared" si="675"/>
        <v>2011</v>
      </c>
      <c r="AP1526" s="213" t="str">
        <f t="shared" si="676"/>
        <v>2011</v>
      </c>
      <c r="AQ1526" s="215" t="str">
        <f t="shared" si="677"/>
        <v/>
      </c>
      <c r="AR1526" s="216" t="str">
        <f t="shared" si="678"/>
        <v>BiK82M2K11--06</v>
      </c>
      <c r="AS1526" s="215" t="str">
        <f t="shared" si="679"/>
        <v/>
      </c>
      <c r="AT1526">
        <f t="shared" si="680"/>
        <v>14</v>
      </c>
      <c r="AU1526" s="216" t="str">
        <f t="shared" si="681"/>
        <v>0,15-0,5 MW, Bonusregeln M2, K erstmals 2011</v>
      </c>
      <c r="AV1526" s="215" t="str">
        <f t="shared" si="682"/>
        <v/>
      </c>
      <c r="AW1526" s="216" t="str">
        <f t="shared" si="683"/>
        <v>Anteil KWK, erstmals 2011</v>
      </c>
      <c r="AX1526" s="215" t="str">
        <f t="shared" si="684"/>
        <v/>
      </c>
      <c r="AY1526" t="str">
        <f t="shared" si="685"/>
        <v>x</v>
      </c>
      <c r="AZ1526" t="str">
        <f t="shared" si="686"/>
        <v/>
      </c>
    </row>
    <row r="1527" spans="1:52" s="178" customFormat="1" x14ac:dyDescent="0.25">
      <c r="A1527" s="625" t="s">
        <v>1784</v>
      </c>
      <c r="B1527" s="219" t="s">
        <v>5548</v>
      </c>
      <c r="C1527" s="219" t="s">
        <v>1296</v>
      </c>
      <c r="D1527" s="219" t="s">
        <v>7124</v>
      </c>
      <c r="E1527" s="219" t="s">
        <v>1980</v>
      </c>
      <c r="F1527" s="455">
        <f t="shared" si="693"/>
        <v>20.509999999999998</v>
      </c>
      <c r="G1527" s="530">
        <v>20.509999999999998</v>
      </c>
      <c r="H1527" s="488">
        <f t="shared" si="694"/>
        <v>16.41</v>
      </c>
      <c r="I1527" s="707"/>
      <c r="J1527" s="669" t="s">
        <v>5805</v>
      </c>
      <c r="K1527" s="15"/>
      <c r="L1527"/>
      <c r="M1527" s="49">
        <f t="shared" si="695"/>
        <v>20.509999999999998</v>
      </c>
      <c r="N1527" s="41">
        <v>9.6</v>
      </c>
      <c r="O1527" s="186"/>
      <c r="P1527" s="177"/>
      <c r="S1527" s="178" t="s">
        <v>4180</v>
      </c>
      <c r="T1527" s="178" t="s">
        <v>1017</v>
      </c>
      <c r="U1527" s="179"/>
      <c r="W1527" s="180"/>
      <c r="X1527" s="180"/>
      <c r="Z1527" s="180"/>
      <c r="AA1527" s="178" t="s">
        <v>1017</v>
      </c>
      <c r="AC1527" s="180"/>
      <c r="AD1527" s="182"/>
      <c r="AE1527" s="200"/>
      <c r="AF1527" s="180"/>
      <c r="AG1527" s="201"/>
      <c r="AH1527" s="217" t="s">
        <v>4179</v>
      </c>
      <c r="AI1527" s="214" t="str">
        <f t="shared" si="687"/>
        <v/>
      </c>
      <c r="AJ1527" s="214" t="str">
        <f t="shared" si="688"/>
        <v/>
      </c>
      <c r="AK1527" s="214" t="str">
        <f t="shared" si="689"/>
        <v/>
      </c>
      <c r="AL1527" s="214" t="str">
        <f t="shared" si="690"/>
        <v/>
      </c>
      <c r="AM1527" s="214" t="str">
        <f t="shared" si="691"/>
        <v/>
      </c>
      <c r="AN1527" s="213" t="str">
        <f t="shared" si="674"/>
        <v>2012</v>
      </c>
      <c r="AO1527" s="213" t="str">
        <f t="shared" si="675"/>
        <v>2012</v>
      </c>
      <c r="AP1527" s="213" t="str">
        <f t="shared" si="676"/>
        <v>2012</v>
      </c>
      <c r="AQ1527" s="215" t="str">
        <f t="shared" si="677"/>
        <v/>
      </c>
      <c r="AR1527" s="216" t="str">
        <f t="shared" si="678"/>
        <v>BiK82M2K12--06</v>
      </c>
      <c r="AS1527" s="215" t="str">
        <f t="shared" si="679"/>
        <v/>
      </c>
      <c r="AT1527">
        <f t="shared" si="680"/>
        <v>14</v>
      </c>
      <c r="AU1527" s="216" t="str">
        <f t="shared" si="681"/>
        <v>0,15-0,5 MW, Bonusregeln M2, K erstmals 2012</v>
      </c>
      <c r="AV1527" s="215" t="str">
        <f t="shared" si="682"/>
        <v/>
      </c>
      <c r="AW1527" s="216" t="str">
        <f t="shared" si="683"/>
        <v>Anteil KWK, erstmals 2012</v>
      </c>
      <c r="AX1527" s="215" t="str">
        <f t="shared" si="684"/>
        <v/>
      </c>
      <c r="AY1527" t="str">
        <f t="shared" si="685"/>
        <v/>
      </c>
      <c r="AZ1527" t="str">
        <f t="shared" si="686"/>
        <v>x</v>
      </c>
    </row>
    <row r="1528" spans="1:52" s="178" customFormat="1" x14ac:dyDescent="0.25">
      <c r="A1528" s="610" t="s">
        <v>2782</v>
      </c>
      <c r="B1528" s="30" t="s">
        <v>5548</v>
      </c>
      <c r="C1528" s="30" t="s">
        <v>1296</v>
      </c>
      <c r="D1528" s="30" t="s">
        <v>7052</v>
      </c>
      <c r="E1528" s="30" t="s">
        <v>4810</v>
      </c>
      <c r="F1528" s="454">
        <f t="shared" si="693"/>
        <v>18.600000000000001</v>
      </c>
      <c r="G1528" s="529">
        <v>18.600000000000001</v>
      </c>
      <c r="H1528" s="487">
        <f t="shared" si="694"/>
        <v>14.88</v>
      </c>
      <c r="I1528" s="706"/>
      <c r="J1528" s="669" t="s">
        <v>5805</v>
      </c>
      <c r="K1528" s="15"/>
      <c r="L1528"/>
      <c r="M1528" s="49">
        <f t="shared" si="695"/>
        <v>18.600000000000001</v>
      </c>
      <c r="N1528" s="41">
        <v>9.6</v>
      </c>
      <c r="O1528" s="187"/>
      <c r="P1528" s="183"/>
      <c r="Q1528" s="184"/>
      <c r="R1528" s="184"/>
      <c r="S1528" s="184" t="s">
        <v>4180</v>
      </c>
      <c r="T1528" s="178" t="s">
        <v>4180</v>
      </c>
      <c r="U1528" s="185" t="s">
        <v>1017</v>
      </c>
      <c r="V1528" s="184"/>
      <c r="W1528" s="180"/>
      <c r="X1528" s="180"/>
      <c r="Z1528" s="180"/>
      <c r="AA1528" s="184" t="s">
        <v>1017</v>
      </c>
      <c r="AB1528" s="184"/>
      <c r="AC1528" s="180"/>
      <c r="AD1528" s="182"/>
      <c r="AE1528" s="181"/>
      <c r="AF1528" s="180"/>
      <c r="AG1528" s="201"/>
      <c r="AH1528" s="212" t="str">
        <f t="shared" ref="AH1528:AH1533" si="699">IF(ISERROR(SEARCH("K erstmals 201",D1528)),"",RIGHT(D1528,4))</f>
        <v/>
      </c>
      <c r="AI1528" s="214" t="str">
        <f t="shared" si="687"/>
        <v/>
      </c>
      <c r="AJ1528" s="214" t="str">
        <f t="shared" si="688"/>
        <v/>
      </c>
      <c r="AK1528" s="214" t="str">
        <f t="shared" si="689"/>
        <v/>
      </c>
      <c r="AL1528" s="214" t="str">
        <f t="shared" si="690"/>
        <v/>
      </c>
      <c r="AM1528" s="214" t="str">
        <f t="shared" si="691"/>
        <v/>
      </c>
      <c r="AN1528" s="213" t="str">
        <f t="shared" si="674"/>
        <v/>
      </c>
      <c r="AO1528" s="213" t="str">
        <f t="shared" si="675"/>
        <v/>
      </c>
      <c r="AP1528" s="213" t="str">
        <f t="shared" si="676"/>
        <v/>
      </c>
      <c r="AQ1528" s="215" t="str">
        <f t="shared" si="677"/>
        <v/>
      </c>
      <c r="AR1528" s="216" t="str">
        <f t="shared" si="678"/>
        <v>BiK82M2y----06</v>
      </c>
      <c r="AS1528" s="215" t="str">
        <f t="shared" si="679"/>
        <v/>
      </c>
      <c r="AT1528">
        <f t="shared" si="680"/>
        <v>14</v>
      </c>
      <c r="AU1528" s="216" t="str">
        <f t="shared" si="681"/>
        <v>0,15-0,5 MW, Bonusregeln M2, y</v>
      </c>
      <c r="AV1528" s="215" t="str">
        <f t="shared" si="682"/>
        <v/>
      </c>
      <c r="AW1528" s="216" t="str">
        <f t="shared" si="683"/>
        <v>Anteil Nicht-KWK</v>
      </c>
      <c r="AX1528" s="215" t="str">
        <f t="shared" si="684"/>
        <v/>
      </c>
      <c r="AY1528" t="str">
        <f t="shared" si="685"/>
        <v/>
      </c>
      <c r="AZ1528" t="str">
        <f t="shared" si="686"/>
        <v/>
      </c>
    </row>
    <row r="1529" spans="1:52" s="178" customFormat="1" x14ac:dyDescent="0.25">
      <c r="A1529" s="610" t="s">
        <v>2783</v>
      </c>
      <c r="B1529" s="30" t="s">
        <v>5548</v>
      </c>
      <c r="C1529" s="30" t="s">
        <v>1296</v>
      </c>
      <c r="D1529" s="30" t="s">
        <v>7125</v>
      </c>
      <c r="E1529" s="30" t="s">
        <v>4812</v>
      </c>
      <c r="F1529" s="454">
        <f t="shared" si="693"/>
        <v>20.6</v>
      </c>
      <c r="G1529" s="529">
        <v>20.6</v>
      </c>
      <c r="H1529" s="487">
        <f t="shared" si="694"/>
        <v>16.48</v>
      </c>
      <c r="I1529" s="706"/>
      <c r="J1529" s="669" t="s">
        <v>5805</v>
      </c>
      <c r="K1529" s="15"/>
      <c r="L1529"/>
      <c r="M1529" s="49">
        <f t="shared" si="695"/>
        <v>20.6</v>
      </c>
      <c r="N1529" s="41">
        <v>9.6</v>
      </c>
      <c r="O1529" s="187" t="s">
        <v>1017</v>
      </c>
      <c r="P1529" s="183"/>
      <c r="Q1529" s="184"/>
      <c r="R1529" s="184"/>
      <c r="S1529" s="184" t="s">
        <v>4180</v>
      </c>
      <c r="T1529" s="178" t="s">
        <v>4180</v>
      </c>
      <c r="U1529" s="185" t="s">
        <v>1017</v>
      </c>
      <c r="V1529" s="184"/>
      <c r="W1529" s="180"/>
      <c r="X1529" s="180"/>
      <c r="Z1529" s="180"/>
      <c r="AA1529" s="184" t="s">
        <v>1017</v>
      </c>
      <c r="AB1529" s="184"/>
      <c r="AC1529" s="180"/>
      <c r="AD1529" s="182"/>
      <c r="AE1529" s="181"/>
      <c r="AF1529" s="180"/>
      <c r="AG1529" s="201"/>
      <c r="AH1529" s="212" t="str">
        <f t="shared" si="699"/>
        <v/>
      </c>
      <c r="AI1529" s="214" t="str">
        <f t="shared" si="687"/>
        <v/>
      </c>
      <c r="AJ1529" s="214" t="str">
        <f t="shared" si="688"/>
        <v/>
      </c>
      <c r="AK1529" s="214" t="str">
        <f t="shared" si="689"/>
        <v/>
      </c>
      <c r="AL1529" s="214" t="str">
        <f t="shared" si="690"/>
        <v/>
      </c>
      <c r="AM1529" s="214" t="str">
        <f t="shared" si="691"/>
        <v/>
      </c>
      <c r="AN1529" s="213" t="str">
        <f t="shared" si="674"/>
        <v/>
      </c>
      <c r="AO1529" s="213" t="str">
        <f t="shared" si="675"/>
        <v/>
      </c>
      <c r="AP1529" s="213" t="str">
        <f t="shared" si="676"/>
        <v/>
      </c>
      <c r="AQ1529" s="215" t="str">
        <f t="shared" si="677"/>
        <v/>
      </c>
      <c r="AR1529" s="216" t="str">
        <f t="shared" si="678"/>
        <v>BiK82M2KWKy-06</v>
      </c>
      <c r="AS1529" s="215" t="str">
        <f t="shared" si="679"/>
        <v/>
      </c>
      <c r="AT1529">
        <f t="shared" si="680"/>
        <v>14</v>
      </c>
      <c r="AU1529" s="216" t="str">
        <f t="shared" si="681"/>
        <v>0,15-0,5 MW, Bonusregeln M2, y und KWK</v>
      </c>
      <c r="AV1529" s="215" t="str">
        <f t="shared" si="682"/>
        <v/>
      </c>
      <c r="AW1529" s="216" t="str">
        <f t="shared" si="683"/>
        <v>Anteil KWK</v>
      </c>
      <c r="AX1529" s="215" t="str">
        <f t="shared" si="684"/>
        <v/>
      </c>
      <c r="AY1529" t="str">
        <f t="shared" si="685"/>
        <v/>
      </c>
      <c r="AZ1529" t="str">
        <f t="shared" si="686"/>
        <v/>
      </c>
    </row>
    <row r="1530" spans="1:52" s="178" customFormat="1" x14ac:dyDescent="0.25">
      <c r="A1530" s="610" t="s">
        <v>2784</v>
      </c>
      <c r="B1530" s="30" t="s">
        <v>5548</v>
      </c>
      <c r="C1530" s="30" t="s">
        <v>1296</v>
      </c>
      <c r="D1530" s="109" t="s">
        <v>7053</v>
      </c>
      <c r="E1530" s="30" t="s">
        <v>4331</v>
      </c>
      <c r="F1530" s="454">
        <f t="shared" si="693"/>
        <v>21.6</v>
      </c>
      <c r="G1530" s="529">
        <v>21.6</v>
      </c>
      <c r="H1530" s="487">
        <f t="shared" si="694"/>
        <v>17.28</v>
      </c>
      <c r="I1530" s="706"/>
      <c r="J1530" s="669" t="s">
        <v>5805</v>
      </c>
      <c r="K1530" s="15"/>
      <c r="L1530"/>
      <c r="M1530" s="49">
        <f t="shared" si="695"/>
        <v>21.6</v>
      </c>
      <c r="N1530" s="41">
        <v>9.6</v>
      </c>
      <c r="O1530" s="187"/>
      <c r="P1530" s="184" t="s">
        <v>1017</v>
      </c>
      <c r="Q1530" s="184"/>
      <c r="R1530" s="184"/>
      <c r="S1530" s="184" t="s">
        <v>4180</v>
      </c>
      <c r="T1530" s="178" t="s">
        <v>4180</v>
      </c>
      <c r="U1530" s="185" t="s">
        <v>1017</v>
      </c>
      <c r="V1530" s="184"/>
      <c r="W1530" s="180"/>
      <c r="X1530" s="180"/>
      <c r="Z1530" s="180"/>
      <c r="AA1530" s="184" t="s">
        <v>1017</v>
      </c>
      <c r="AB1530" s="184"/>
      <c r="AC1530" s="180"/>
      <c r="AD1530" s="182"/>
      <c r="AE1530" s="181"/>
      <c r="AF1530" s="180"/>
      <c r="AG1530" s="201"/>
      <c r="AH1530" s="212" t="str">
        <f t="shared" si="699"/>
        <v/>
      </c>
      <c r="AI1530" s="214" t="str">
        <f t="shared" si="687"/>
        <v/>
      </c>
      <c r="AJ1530" s="214" t="str">
        <f t="shared" si="688"/>
        <v/>
      </c>
      <c r="AK1530" s="214" t="str">
        <f t="shared" si="689"/>
        <v/>
      </c>
      <c r="AL1530" s="214" t="str">
        <f t="shared" si="690"/>
        <v/>
      </c>
      <c r="AM1530" s="214" t="str">
        <f t="shared" si="691"/>
        <v/>
      </c>
      <c r="AN1530" s="213" t="str">
        <f t="shared" si="674"/>
        <v/>
      </c>
      <c r="AO1530" s="213" t="str">
        <f t="shared" si="675"/>
        <v/>
      </c>
      <c r="AP1530" s="213" t="str">
        <f t="shared" si="676"/>
        <v/>
      </c>
      <c r="AQ1530" s="215" t="str">
        <f t="shared" si="677"/>
        <v/>
      </c>
      <c r="AR1530" s="216" t="str">
        <f t="shared" si="678"/>
        <v>BiK82M2KA3y-06</v>
      </c>
      <c r="AS1530" s="215" t="str">
        <f t="shared" si="679"/>
        <v/>
      </c>
      <c r="AT1530">
        <f t="shared" si="680"/>
        <v>14</v>
      </c>
      <c r="AU1530" s="216" t="str">
        <f t="shared" si="681"/>
        <v>0,15-0,5 MW, Bonusregeln M2, y und K wenn Anlage 3 erfüllt</v>
      </c>
      <c r="AV1530" s="215" t="str">
        <f t="shared" si="682"/>
        <v/>
      </c>
      <c r="AW1530" s="216" t="str">
        <f t="shared" si="683"/>
        <v>Anteil KWK gemäß Anlage 3</v>
      </c>
      <c r="AX1530" s="215" t="str">
        <f t="shared" si="684"/>
        <v/>
      </c>
      <c r="AY1530" t="str">
        <f t="shared" si="685"/>
        <v/>
      </c>
      <c r="AZ1530" t="str">
        <f t="shared" si="686"/>
        <v/>
      </c>
    </row>
    <row r="1531" spans="1:52" s="178" customFormat="1" x14ac:dyDescent="0.25">
      <c r="A1531" s="610" t="s">
        <v>2785</v>
      </c>
      <c r="B1531" s="30" t="s">
        <v>5548</v>
      </c>
      <c r="C1531" s="30" t="s">
        <v>1296</v>
      </c>
      <c r="D1531" s="30" t="s">
        <v>7054</v>
      </c>
      <c r="E1531" s="30" t="s">
        <v>674</v>
      </c>
      <c r="F1531" s="454">
        <f t="shared" si="693"/>
        <v>21.6</v>
      </c>
      <c r="G1531" s="529">
        <v>21.6</v>
      </c>
      <c r="H1531" s="487">
        <f t="shared" si="694"/>
        <v>17.28</v>
      </c>
      <c r="I1531" s="706"/>
      <c r="J1531" s="669" t="s">
        <v>5805</v>
      </c>
      <c r="K1531" s="15"/>
      <c r="L1531"/>
      <c r="M1531" s="49">
        <f t="shared" si="695"/>
        <v>21.6</v>
      </c>
      <c r="N1531" s="41">
        <v>9.6</v>
      </c>
      <c r="O1531" s="187"/>
      <c r="P1531" s="183"/>
      <c r="Q1531" s="184" t="s">
        <v>1017</v>
      </c>
      <c r="R1531" s="184"/>
      <c r="S1531" s="184" t="s">
        <v>4180</v>
      </c>
      <c r="T1531" s="178" t="s">
        <v>4180</v>
      </c>
      <c r="U1531" s="185" t="s">
        <v>1017</v>
      </c>
      <c r="V1531" s="184"/>
      <c r="W1531" s="180"/>
      <c r="X1531" s="180"/>
      <c r="Z1531" s="180"/>
      <c r="AA1531" s="184" t="s">
        <v>1017</v>
      </c>
      <c r="AB1531" s="184"/>
      <c r="AC1531" s="180"/>
      <c r="AD1531" s="182"/>
      <c r="AE1531" s="181"/>
      <c r="AF1531" s="180"/>
      <c r="AG1531" s="201"/>
      <c r="AH1531" s="212" t="str">
        <f t="shared" si="699"/>
        <v/>
      </c>
      <c r="AI1531" s="214" t="str">
        <f t="shared" si="687"/>
        <v/>
      </c>
      <c r="AJ1531" s="214" t="str">
        <f t="shared" si="688"/>
        <v/>
      </c>
      <c r="AK1531" s="214" t="str">
        <f t="shared" si="689"/>
        <v/>
      </c>
      <c r="AL1531" s="214" t="str">
        <f t="shared" si="690"/>
        <v/>
      </c>
      <c r="AM1531" s="214" t="str">
        <f t="shared" si="691"/>
        <v/>
      </c>
      <c r="AN1531" s="213" t="str">
        <f t="shared" si="674"/>
        <v/>
      </c>
      <c r="AO1531" s="213" t="str">
        <f t="shared" si="675"/>
        <v/>
      </c>
      <c r="AP1531" s="213" t="str">
        <f t="shared" si="676"/>
        <v/>
      </c>
      <c r="AQ1531" s="215" t="str">
        <f t="shared" si="677"/>
        <v/>
      </c>
      <c r="AR1531" s="216" t="str">
        <f t="shared" si="678"/>
        <v>BiK82M2K09y-06</v>
      </c>
      <c r="AS1531" s="215" t="str">
        <f t="shared" si="679"/>
        <v/>
      </c>
      <c r="AT1531">
        <f t="shared" si="680"/>
        <v>14</v>
      </c>
      <c r="AU1531" s="216" t="str">
        <f t="shared" si="681"/>
        <v>0,15-0,5 MW, Bonusregeln M2, y und K erstmals 2009</v>
      </c>
      <c r="AV1531" s="215" t="str">
        <f t="shared" si="682"/>
        <v/>
      </c>
      <c r="AW1531" s="216" t="str">
        <f t="shared" si="683"/>
        <v>Anteil KWK, erstmals 2009</v>
      </c>
      <c r="AX1531" s="215" t="str">
        <f t="shared" si="684"/>
        <v/>
      </c>
      <c r="AY1531" t="str">
        <f t="shared" si="685"/>
        <v/>
      </c>
      <c r="AZ1531" t="str">
        <f t="shared" si="686"/>
        <v/>
      </c>
    </row>
    <row r="1532" spans="1:52" s="178" customFormat="1" x14ac:dyDescent="0.25">
      <c r="A1532" s="610" t="s">
        <v>4916</v>
      </c>
      <c r="B1532" s="30" t="s">
        <v>5548</v>
      </c>
      <c r="C1532" s="30" t="s">
        <v>1296</v>
      </c>
      <c r="D1532" s="30" t="s">
        <v>7055</v>
      </c>
      <c r="E1532" s="30" t="s">
        <v>3567</v>
      </c>
      <c r="F1532" s="454">
        <f t="shared" si="693"/>
        <v>21.57</v>
      </c>
      <c r="G1532" s="529">
        <v>21.57</v>
      </c>
      <c r="H1532" s="487">
        <f t="shared" si="694"/>
        <v>17.260000000000002</v>
      </c>
      <c r="I1532" s="706"/>
      <c r="J1532" s="669" t="s">
        <v>5805</v>
      </c>
      <c r="K1532" s="15"/>
      <c r="L1532"/>
      <c r="M1532" s="49">
        <f t="shared" si="695"/>
        <v>21.57</v>
      </c>
      <c r="N1532" s="41">
        <v>9.6</v>
      </c>
      <c r="O1532" s="187"/>
      <c r="P1532" s="183"/>
      <c r="Q1532" s="184"/>
      <c r="R1532" s="184" t="s">
        <v>1017</v>
      </c>
      <c r="S1532" s="184" t="s">
        <v>4180</v>
      </c>
      <c r="T1532" s="178" t="s">
        <v>4180</v>
      </c>
      <c r="U1532" s="185" t="s">
        <v>1017</v>
      </c>
      <c r="V1532" s="184"/>
      <c r="W1532" s="180"/>
      <c r="X1532" s="180"/>
      <c r="Z1532" s="180"/>
      <c r="AA1532" s="184" t="s">
        <v>1017</v>
      </c>
      <c r="AB1532" s="184"/>
      <c r="AC1532" s="180"/>
      <c r="AD1532" s="182"/>
      <c r="AE1532" s="181"/>
      <c r="AF1532" s="180"/>
      <c r="AG1532" s="201"/>
      <c r="AH1532" s="212" t="str">
        <f t="shared" si="699"/>
        <v>2010</v>
      </c>
      <c r="AI1532" s="214" t="str">
        <f t="shared" si="687"/>
        <v/>
      </c>
      <c r="AJ1532" s="214" t="str">
        <f t="shared" si="688"/>
        <v/>
      </c>
      <c r="AK1532" s="214" t="str">
        <f t="shared" si="689"/>
        <v/>
      </c>
      <c r="AL1532" s="214" t="str">
        <f t="shared" si="690"/>
        <v/>
      </c>
      <c r="AM1532" s="214" t="str">
        <f t="shared" si="691"/>
        <v/>
      </c>
      <c r="AN1532" s="213" t="str">
        <f t="shared" si="674"/>
        <v>2010</v>
      </c>
      <c r="AO1532" s="213" t="str">
        <f t="shared" si="675"/>
        <v>2010</v>
      </c>
      <c r="AP1532" s="213" t="str">
        <f t="shared" si="676"/>
        <v>2010</v>
      </c>
      <c r="AQ1532" s="215" t="str">
        <f t="shared" si="677"/>
        <v/>
      </c>
      <c r="AR1532" s="216" t="str">
        <f t="shared" si="678"/>
        <v>BiK82M2K10y-06</v>
      </c>
      <c r="AS1532" s="215" t="str">
        <f t="shared" si="679"/>
        <v/>
      </c>
      <c r="AT1532">
        <f t="shared" si="680"/>
        <v>14</v>
      </c>
      <c r="AU1532" s="216" t="str">
        <f t="shared" si="681"/>
        <v>0,15-0,5 MW, Bonusregeln M2, y und K erstmals 2010</v>
      </c>
      <c r="AV1532" s="215" t="str">
        <f t="shared" si="682"/>
        <v/>
      </c>
      <c r="AW1532" s="216" t="str">
        <f t="shared" si="683"/>
        <v>Anteil KWK, erstmals 2010</v>
      </c>
      <c r="AX1532" s="215" t="str">
        <f t="shared" si="684"/>
        <v/>
      </c>
      <c r="AY1532" t="str">
        <f t="shared" si="685"/>
        <v/>
      </c>
      <c r="AZ1532" t="str">
        <f t="shared" si="686"/>
        <v/>
      </c>
    </row>
    <row r="1533" spans="1:52" s="178" customFormat="1" x14ac:dyDescent="0.25">
      <c r="A1533" s="610" t="s">
        <v>3963</v>
      </c>
      <c r="B1533" s="30" t="s">
        <v>5548</v>
      </c>
      <c r="C1533" s="30" t="s">
        <v>1296</v>
      </c>
      <c r="D1533" s="30" t="s">
        <v>7056</v>
      </c>
      <c r="E1533" s="30" t="s">
        <v>3055</v>
      </c>
      <c r="F1533" s="454">
        <f t="shared" si="693"/>
        <v>21.54</v>
      </c>
      <c r="G1533" s="529">
        <v>21.54</v>
      </c>
      <c r="H1533" s="487">
        <f t="shared" si="694"/>
        <v>17.23</v>
      </c>
      <c r="I1533" s="706"/>
      <c r="J1533" s="669" t="s">
        <v>5805</v>
      </c>
      <c r="K1533" s="15"/>
      <c r="L1533"/>
      <c r="M1533" s="49">
        <f t="shared" si="695"/>
        <v>21.54</v>
      </c>
      <c r="N1533" s="41">
        <v>9.6</v>
      </c>
      <c r="O1533" s="187"/>
      <c r="P1533" s="183"/>
      <c r="Q1533" s="184"/>
      <c r="S1533" s="184" t="s">
        <v>1017</v>
      </c>
      <c r="T1533" s="178" t="s">
        <v>4180</v>
      </c>
      <c r="U1533" s="185" t="s">
        <v>1017</v>
      </c>
      <c r="V1533" s="184"/>
      <c r="W1533" s="180"/>
      <c r="X1533" s="180"/>
      <c r="Z1533" s="180"/>
      <c r="AA1533" s="184" t="s">
        <v>1017</v>
      </c>
      <c r="AB1533" s="184"/>
      <c r="AC1533" s="180"/>
      <c r="AD1533" s="182"/>
      <c r="AE1533" s="181"/>
      <c r="AF1533" s="180"/>
      <c r="AG1533" s="201"/>
      <c r="AH1533" s="212" t="str">
        <f t="shared" si="699"/>
        <v>2011</v>
      </c>
      <c r="AI1533" s="214" t="str">
        <f t="shared" si="687"/>
        <v/>
      </c>
      <c r="AJ1533" s="214" t="str">
        <f t="shared" si="688"/>
        <v/>
      </c>
      <c r="AK1533" s="214" t="str">
        <f t="shared" si="689"/>
        <v/>
      </c>
      <c r="AL1533" s="214" t="str">
        <f t="shared" si="690"/>
        <v/>
      </c>
      <c r="AM1533" s="214" t="str">
        <f t="shared" si="691"/>
        <v/>
      </c>
      <c r="AN1533" s="213" t="str">
        <f t="shared" si="674"/>
        <v>2011</v>
      </c>
      <c r="AO1533" s="213" t="str">
        <f t="shared" si="675"/>
        <v>2011</v>
      </c>
      <c r="AP1533" s="213" t="str">
        <f t="shared" si="676"/>
        <v>2011</v>
      </c>
      <c r="AQ1533" s="215" t="str">
        <f t="shared" si="677"/>
        <v/>
      </c>
      <c r="AR1533" s="216" t="str">
        <f t="shared" si="678"/>
        <v>BiK82M2K11y-06</v>
      </c>
      <c r="AS1533" s="215" t="str">
        <f t="shared" si="679"/>
        <v/>
      </c>
      <c r="AT1533">
        <f t="shared" si="680"/>
        <v>14</v>
      </c>
      <c r="AU1533" s="216" t="str">
        <f t="shared" si="681"/>
        <v>0,15-0,5 MW, Bonusregeln M2, y und K erstmals 2011</v>
      </c>
      <c r="AV1533" s="215" t="str">
        <f t="shared" si="682"/>
        <v/>
      </c>
      <c r="AW1533" s="216" t="str">
        <f t="shared" si="683"/>
        <v>Anteil KWK, erstmals 2011</v>
      </c>
      <c r="AX1533" s="215" t="str">
        <f t="shared" si="684"/>
        <v/>
      </c>
      <c r="AY1533" t="str">
        <f t="shared" si="685"/>
        <v>x</v>
      </c>
      <c r="AZ1533" t="str">
        <f t="shared" si="686"/>
        <v/>
      </c>
    </row>
    <row r="1534" spans="1:52" s="178" customFormat="1" x14ac:dyDescent="0.25">
      <c r="A1534" s="625" t="s">
        <v>1785</v>
      </c>
      <c r="B1534" s="219" t="s">
        <v>5548</v>
      </c>
      <c r="C1534" s="219" t="s">
        <v>1296</v>
      </c>
      <c r="D1534" s="219" t="s">
        <v>7057</v>
      </c>
      <c r="E1534" s="219" t="s">
        <v>1980</v>
      </c>
      <c r="F1534" s="455">
        <f t="shared" si="693"/>
        <v>21.509999999999998</v>
      </c>
      <c r="G1534" s="530">
        <v>21.509999999999998</v>
      </c>
      <c r="H1534" s="488">
        <f t="shared" si="694"/>
        <v>17.21</v>
      </c>
      <c r="I1534" s="707"/>
      <c r="J1534" s="669" t="s">
        <v>5805</v>
      </c>
      <c r="K1534" s="15"/>
      <c r="L1534"/>
      <c r="M1534" s="49">
        <f t="shared" si="695"/>
        <v>21.509999999999998</v>
      </c>
      <c r="N1534" s="41">
        <v>9.6</v>
      </c>
      <c r="O1534" s="187"/>
      <c r="P1534" s="183"/>
      <c r="Q1534" s="184"/>
      <c r="S1534" s="184" t="s">
        <v>4180</v>
      </c>
      <c r="T1534" s="178" t="s">
        <v>1017</v>
      </c>
      <c r="U1534" s="185" t="s">
        <v>1017</v>
      </c>
      <c r="V1534" s="184"/>
      <c r="W1534" s="180"/>
      <c r="X1534" s="180"/>
      <c r="Z1534" s="180"/>
      <c r="AA1534" s="184" t="s">
        <v>1017</v>
      </c>
      <c r="AB1534" s="184"/>
      <c r="AC1534" s="180"/>
      <c r="AD1534" s="182"/>
      <c r="AE1534" s="181"/>
      <c r="AF1534" s="180"/>
      <c r="AG1534" s="201"/>
      <c r="AH1534" s="217" t="s">
        <v>4179</v>
      </c>
      <c r="AI1534" s="214" t="str">
        <f t="shared" si="687"/>
        <v/>
      </c>
      <c r="AJ1534" s="214" t="str">
        <f t="shared" si="688"/>
        <v/>
      </c>
      <c r="AK1534" s="214" t="str">
        <f t="shared" si="689"/>
        <v/>
      </c>
      <c r="AL1534" s="214" t="str">
        <f t="shared" si="690"/>
        <v/>
      </c>
      <c r="AM1534" s="214" t="str">
        <f t="shared" si="691"/>
        <v/>
      </c>
      <c r="AN1534" s="213" t="str">
        <f t="shared" si="674"/>
        <v>2012</v>
      </c>
      <c r="AO1534" s="213" t="str">
        <f t="shared" si="675"/>
        <v>2012</v>
      </c>
      <c r="AP1534" s="213" t="str">
        <f t="shared" si="676"/>
        <v>2012</v>
      </c>
      <c r="AQ1534" s="215" t="str">
        <f t="shared" si="677"/>
        <v/>
      </c>
      <c r="AR1534" s="216" t="str">
        <f t="shared" si="678"/>
        <v>BiK82M2K12y-06</v>
      </c>
      <c r="AS1534" s="215" t="str">
        <f t="shared" si="679"/>
        <v/>
      </c>
      <c r="AT1534">
        <f t="shared" si="680"/>
        <v>14</v>
      </c>
      <c r="AU1534" s="216" t="str">
        <f t="shared" si="681"/>
        <v>0,15-0,5 MW, Bonusregeln M2, y und K erstmals 2012</v>
      </c>
      <c r="AV1534" s="215" t="str">
        <f t="shared" si="682"/>
        <v/>
      </c>
      <c r="AW1534" s="216" t="str">
        <f t="shared" si="683"/>
        <v>Anteil KWK, erstmals 2012</v>
      </c>
      <c r="AX1534" s="215" t="str">
        <f t="shared" si="684"/>
        <v/>
      </c>
      <c r="AY1534" t="str">
        <f t="shared" si="685"/>
        <v/>
      </c>
      <c r="AZ1534" t="str">
        <f t="shared" si="686"/>
        <v>x</v>
      </c>
    </row>
    <row r="1535" spans="1:52" s="178" customFormat="1" x14ac:dyDescent="0.25">
      <c r="A1535" s="610" t="s">
        <v>2786</v>
      </c>
      <c r="B1535" s="30" t="s">
        <v>5548</v>
      </c>
      <c r="C1535" s="30" t="s">
        <v>1296</v>
      </c>
      <c r="D1535" s="30" t="s">
        <v>7058</v>
      </c>
      <c r="E1535" s="30" t="s">
        <v>4810</v>
      </c>
      <c r="F1535" s="454">
        <f t="shared" si="693"/>
        <v>18.600000000000001</v>
      </c>
      <c r="G1535" s="529">
        <v>18.600000000000001</v>
      </c>
      <c r="H1535" s="487">
        <f t="shared" si="694"/>
        <v>14.88</v>
      </c>
      <c r="I1535" s="706"/>
      <c r="J1535" s="669" t="s">
        <v>5805</v>
      </c>
      <c r="K1535" s="15"/>
      <c r="L1535"/>
      <c r="M1535" s="49">
        <f t="shared" si="695"/>
        <v>18.600000000000001</v>
      </c>
      <c r="N1535" s="41">
        <v>9.6</v>
      </c>
      <c r="O1535" s="186"/>
      <c r="P1535" s="177"/>
      <c r="S1535" s="178" t="s">
        <v>4180</v>
      </c>
      <c r="T1535" s="178" t="s">
        <v>4180</v>
      </c>
      <c r="U1535" s="179"/>
      <c r="W1535" s="180"/>
      <c r="X1535" s="180"/>
      <c r="Z1535" s="180"/>
      <c r="AA1535" s="184"/>
      <c r="AB1535" s="178" t="s">
        <v>1017</v>
      </c>
      <c r="AC1535" s="180"/>
      <c r="AD1535" s="182"/>
      <c r="AE1535" s="200"/>
      <c r="AF1535" s="180"/>
      <c r="AG1535" s="201"/>
      <c r="AH1535" s="212" t="str">
        <f t="shared" ref="AH1535:AH1540" si="700">IF(ISERROR(SEARCH("K erstmals 201",D1535)),"",RIGHT(D1535,4))</f>
        <v/>
      </c>
      <c r="AI1535" s="214" t="str">
        <f t="shared" si="687"/>
        <v/>
      </c>
      <c r="AJ1535" s="214" t="str">
        <f t="shared" si="688"/>
        <v/>
      </c>
      <c r="AK1535" s="214" t="str">
        <f t="shared" si="689"/>
        <v/>
      </c>
      <c r="AL1535" s="214" t="str">
        <f t="shared" si="690"/>
        <v/>
      </c>
      <c r="AM1535" s="214" t="str">
        <f t="shared" si="691"/>
        <v/>
      </c>
      <c r="AN1535" s="213" t="str">
        <f t="shared" si="674"/>
        <v/>
      </c>
      <c r="AO1535" s="213" t="str">
        <f t="shared" si="675"/>
        <v/>
      </c>
      <c r="AP1535" s="213" t="str">
        <f t="shared" si="676"/>
        <v/>
      </c>
      <c r="AQ1535" s="215" t="str">
        <f t="shared" si="677"/>
        <v/>
      </c>
      <c r="AR1535" s="216" t="str">
        <f t="shared" si="678"/>
        <v>BiK82L------06</v>
      </c>
      <c r="AS1535" s="215" t="str">
        <f t="shared" si="679"/>
        <v/>
      </c>
      <c r="AT1535">
        <f t="shared" si="680"/>
        <v>14</v>
      </c>
      <c r="AU1535" s="216" t="str">
        <f t="shared" si="681"/>
        <v>0,15-0,5 MW, Bonusregel L</v>
      </c>
      <c r="AV1535" s="215" t="str">
        <f t="shared" si="682"/>
        <v/>
      </c>
      <c r="AW1535" s="216" t="str">
        <f t="shared" si="683"/>
        <v>Anteil Nicht-KWK</v>
      </c>
      <c r="AX1535" s="215" t="str">
        <f t="shared" si="684"/>
        <v/>
      </c>
      <c r="AY1535" t="str">
        <f t="shared" si="685"/>
        <v/>
      </c>
      <c r="AZ1535" t="str">
        <f t="shared" si="686"/>
        <v/>
      </c>
    </row>
    <row r="1536" spans="1:52" s="178" customFormat="1" x14ac:dyDescent="0.25">
      <c r="A1536" s="610" t="s">
        <v>2787</v>
      </c>
      <c r="B1536" s="30" t="s">
        <v>5548</v>
      </c>
      <c r="C1536" s="30" t="s">
        <v>1296</v>
      </c>
      <c r="D1536" s="30" t="s">
        <v>7126</v>
      </c>
      <c r="E1536" s="30" t="s">
        <v>4812</v>
      </c>
      <c r="F1536" s="454">
        <f t="shared" si="693"/>
        <v>20.6</v>
      </c>
      <c r="G1536" s="529">
        <v>20.6</v>
      </c>
      <c r="H1536" s="487">
        <f t="shared" si="694"/>
        <v>16.48</v>
      </c>
      <c r="I1536" s="706"/>
      <c r="J1536" s="669" t="s">
        <v>5805</v>
      </c>
      <c r="K1536" s="15"/>
      <c r="L1536"/>
      <c r="M1536" s="49">
        <f t="shared" si="695"/>
        <v>20.6</v>
      </c>
      <c r="N1536" s="41">
        <v>9.6</v>
      </c>
      <c r="O1536" s="186" t="s">
        <v>1017</v>
      </c>
      <c r="P1536" s="177"/>
      <c r="S1536" s="178" t="s">
        <v>4180</v>
      </c>
      <c r="T1536" s="178" t="s">
        <v>4180</v>
      </c>
      <c r="U1536" s="179"/>
      <c r="W1536" s="180"/>
      <c r="X1536" s="180"/>
      <c r="Z1536" s="180"/>
      <c r="AA1536" s="184"/>
      <c r="AB1536" s="178" t="s">
        <v>1017</v>
      </c>
      <c r="AC1536" s="180"/>
      <c r="AD1536" s="182"/>
      <c r="AE1536" s="200"/>
      <c r="AF1536" s="180"/>
      <c r="AG1536" s="201"/>
      <c r="AH1536" s="212" t="str">
        <f t="shared" si="700"/>
        <v/>
      </c>
      <c r="AI1536" s="214" t="str">
        <f t="shared" si="687"/>
        <v/>
      </c>
      <c r="AJ1536" s="214" t="str">
        <f t="shared" si="688"/>
        <v/>
      </c>
      <c r="AK1536" s="214" t="str">
        <f t="shared" si="689"/>
        <v/>
      </c>
      <c r="AL1536" s="214" t="str">
        <f t="shared" si="690"/>
        <v/>
      </c>
      <c r="AM1536" s="214" t="str">
        <f t="shared" si="691"/>
        <v/>
      </c>
      <c r="AN1536" s="213" t="str">
        <f t="shared" si="674"/>
        <v/>
      </c>
      <c r="AO1536" s="213" t="str">
        <f t="shared" si="675"/>
        <v/>
      </c>
      <c r="AP1536" s="213" t="str">
        <f t="shared" si="676"/>
        <v/>
      </c>
      <c r="AQ1536" s="215" t="str">
        <f t="shared" si="677"/>
        <v/>
      </c>
      <c r="AR1536" s="216" t="str">
        <f t="shared" si="678"/>
        <v>BiK82LKWK---06</v>
      </c>
      <c r="AS1536" s="215" t="str">
        <f t="shared" si="679"/>
        <v/>
      </c>
      <c r="AT1536">
        <f t="shared" si="680"/>
        <v>14</v>
      </c>
      <c r="AU1536" s="216" t="str">
        <f t="shared" si="681"/>
        <v>0,15-0,5 MW, Bonusregeln L und KWK</v>
      </c>
      <c r="AV1536" s="215" t="str">
        <f t="shared" si="682"/>
        <v/>
      </c>
      <c r="AW1536" s="216" t="str">
        <f t="shared" si="683"/>
        <v>Anteil KWK</v>
      </c>
      <c r="AX1536" s="215" t="str">
        <f t="shared" si="684"/>
        <v/>
      </c>
      <c r="AY1536" t="str">
        <f t="shared" si="685"/>
        <v/>
      </c>
      <c r="AZ1536" t="str">
        <f t="shared" si="686"/>
        <v/>
      </c>
    </row>
    <row r="1537" spans="1:52" s="178" customFormat="1" x14ac:dyDescent="0.25">
      <c r="A1537" s="610" t="s">
        <v>2788</v>
      </c>
      <c r="B1537" s="30" t="s">
        <v>5548</v>
      </c>
      <c r="C1537" s="30" t="s">
        <v>1296</v>
      </c>
      <c r="D1537" s="30" t="s">
        <v>7059</v>
      </c>
      <c r="E1537" s="30" t="s">
        <v>4331</v>
      </c>
      <c r="F1537" s="454">
        <f t="shared" si="693"/>
        <v>21.6</v>
      </c>
      <c r="G1537" s="529">
        <v>21.6</v>
      </c>
      <c r="H1537" s="487">
        <f t="shared" si="694"/>
        <v>17.28</v>
      </c>
      <c r="I1537" s="706"/>
      <c r="J1537" s="669" t="s">
        <v>5805</v>
      </c>
      <c r="K1537" s="15"/>
      <c r="L1537"/>
      <c r="M1537" s="49">
        <f t="shared" si="695"/>
        <v>21.6</v>
      </c>
      <c r="N1537" s="41">
        <v>9.6</v>
      </c>
      <c r="O1537" s="186"/>
      <c r="P1537" s="178" t="s">
        <v>1017</v>
      </c>
      <c r="S1537" s="178" t="s">
        <v>4180</v>
      </c>
      <c r="T1537" s="178" t="s">
        <v>4180</v>
      </c>
      <c r="U1537" s="179"/>
      <c r="W1537" s="180"/>
      <c r="X1537" s="180"/>
      <c r="Z1537" s="180"/>
      <c r="AA1537" s="184"/>
      <c r="AB1537" s="178" t="s">
        <v>1017</v>
      </c>
      <c r="AC1537" s="180"/>
      <c r="AD1537" s="182"/>
      <c r="AE1537" s="200"/>
      <c r="AF1537" s="180"/>
      <c r="AG1537" s="201"/>
      <c r="AH1537" s="212" t="str">
        <f t="shared" si="700"/>
        <v/>
      </c>
      <c r="AI1537" s="214" t="str">
        <f t="shared" si="687"/>
        <v/>
      </c>
      <c r="AJ1537" s="214" t="str">
        <f t="shared" si="688"/>
        <v/>
      </c>
      <c r="AK1537" s="214" t="str">
        <f t="shared" si="689"/>
        <v/>
      </c>
      <c r="AL1537" s="214" t="str">
        <f t="shared" si="690"/>
        <v/>
      </c>
      <c r="AM1537" s="214" t="str">
        <f t="shared" si="691"/>
        <v/>
      </c>
      <c r="AN1537" s="213" t="str">
        <f t="shared" si="674"/>
        <v/>
      </c>
      <c r="AO1537" s="213" t="str">
        <f t="shared" si="675"/>
        <v/>
      </c>
      <c r="AP1537" s="213" t="str">
        <f t="shared" si="676"/>
        <v/>
      </c>
      <c r="AQ1537" s="215" t="str">
        <f t="shared" si="677"/>
        <v/>
      </c>
      <c r="AR1537" s="216" t="str">
        <f t="shared" si="678"/>
        <v>BiK82LKA3---06</v>
      </c>
      <c r="AS1537" s="215" t="str">
        <f t="shared" si="679"/>
        <v/>
      </c>
      <c r="AT1537">
        <f t="shared" si="680"/>
        <v>14</v>
      </c>
      <c r="AU1537" s="216" t="str">
        <f t="shared" si="681"/>
        <v>0,15-0,5 MW, Bonusregeln L und K wenn Anlage 3 erfüllt</v>
      </c>
      <c r="AV1537" s="215" t="str">
        <f t="shared" si="682"/>
        <v/>
      </c>
      <c r="AW1537" s="216" t="str">
        <f t="shared" si="683"/>
        <v>Anteil KWK gemäß Anlage 3</v>
      </c>
      <c r="AX1537" s="215" t="str">
        <f t="shared" si="684"/>
        <v/>
      </c>
      <c r="AY1537" t="str">
        <f t="shared" si="685"/>
        <v/>
      </c>
      <c r="AZ1537" t="str">
        <f t="shared" si="686"/>
        <v/>
      </c>
    </row>
    <row r="1538" spans="1:52" s="178" customFormat="1" x14ac:dyDescent="0.25">
      <c r="A1538" s="610" t="s">
        <v>2789</v>
      </c>
      <c r="B1538" s="30" t="s">
        <v>5548</v>
      </c>
      <c r="C1538" s="30" t="s">
        <v>1296</v>
      </c>
      <c r="D1538" s="30" t="s">
        <v>7060</v>
      </c>
      <c r="E1538" s="30" t="s">
        <v>674</v>
      </c>
      <c r="F1538" s="454">
        <f t="shared" si="693"/>
        <v>21.6</v>
      </c>
      <c r="G1538" s="529">
        <v>21.6</v>
      </c>
      <c r="H1538" s="487">
        <f t="shared" si="694"/>
        <v>17.28</v>
      </c>
      <c r="I1538" s="706"/>
      <c r="J1538" s="669" t="s">
        <v>5805</v>
      </c>
      <c r="K1538" s="15"/>
      <c r="L1538"/>
      <c r="M1538" s="49">
        <f t="shared" si="695"/>
        <v>21.6</v>
      </c>
      <c r="N1538" s="41">
        <v>9.6</v>
      </c>
      <c r="O1538" s="186"/>
      <c r="P1538" s="177"/>
      <c r="Q1538" s="178" t="s">
        <v>1017</v>
      </c>
      <c r="S1538" s="178" t="s">
        <v>4180</v>
      </c>
      <c r="T1538" s="178" t="s">
        <v>4180</v>
      </c>
      <c r="U1538" s="179"/>
      <c r="W1538" s="180"/>
      <c r="X1538" s="180"/>
      <c r="Z1538" s="180"/>
      <c r="AA1538" s="184"/>
      <c r="AB1538" s="178" t="s">
        <v>1017</v>
      </c>
      <c r="AC1538" s="180"/>
      <c r="AD1538" s="182"/>
      <c r="AE1538" s="200"/>
      <c r="AF1538" s="180"/>
      <c r="AG1538" s="201"/>
      <c r="AH1538" s="212" t="str">
        <f t="shared" si="700"/>
        <v/>
      </c>
      <c r="AI1538" s="214" t="str">
        <f t="shared" si="687"/>
        <v/>
      </c>
      <c r="AJ1538" s="214" t="str">
        <f t="shared" si="688"/>
        <v/>
      </c>
      <c r="AK1538" s="214" t="str">
        <f t="shared" si="689"/>
        <v/>
      </c>
      <c r="AL1538" s="214" t="str">
        <f t="shared" si="690"/>
        <v/>
      </c>
      <c r="AM1538" s="214" t="str">
        <f t="shared" si="691"/>
        <v/>
      </c>
      <c r="AN1538" s="213" t="str">
        <f t="shared" si="674"/>
        <v/>
      </c>
      <c r="AO1538" s="213" t="str">
        <f t="shared" si="675"/>
        <v/>
      </c>
      <c r="AP1538" s="213" t="str">
        <f t="shared" si="676"/>
        <v/>
      </c>
      <c r="AQ1538" s="215" t="str">
        <f t="shared" si="677"/>
        <v/>
      </c>
      <c r="AR1538" s="216" t="str">
        <f t="shared" si="678"/>
        <v>BiK82LK09---06</v>
      </c>
      <c r="AS1538" s="215" t="str">
        <f t="shared" si="679"/>
        <v/>
      </c>
      <c r="AT1538">
        <f t="shared" si="680"/>
        <v>14</v>
      </c>
      <c r="AU1538" s="216" t="str">
        <f t="shared" si="681"/>
        <v>0,15-0,5 MW, Bonusregeln L und K erstmals 2009</v>
      </c>
      <c r="AV1538" s="215" t="str">
        <f t="shared" si="682"/>
        <v/>
      </c>
      <c r="AW1538" s="216" t="str">
        <f t="shared" si="683"/>
        <v>Anteil KWK, erstmals 2009</v>
      </c>
      <c r="AX1538" s="215" t="str">
        <f t="shared" si="684"/>
        <v/>
      </c>
      <c r="AY1538" t="str">
        <f t="shared" si="685"/>
        <v/>
      </c>
      <c r="AZ1538" t="str">
        <f t="shared" si="686"/>
        <v/>
      </c>
    </row>
    <row r="1539" spans="1:52" s="178" customFormat="1" x14ac:dyDescent="0.25">
      <c r="A1539" s="610" t="s">
        <v>4917</v>
      </c>
      <c r="B1539" s="30" t="s">
        <v>5548</v>
      </c>
      <c r="C1539" s="30" t="s">
        <v>1296</v>
      </c>
      <c r="D1539" s="30" t="s">
        <v>7061</v>
      </c>
      <c r="E1539" s="30" t="s">
        <v>3567</v>
      </c>
      <c r="F1539" s="454">
        <f t="shared" si="693"/>
        <v>21.57</v>
      </c>
      <c r="G1539" s="529">
        <v>21.57</v>
      </c>
      <c r="H1539" s="487">
        <f t="shared" si="694"/>
        <v>17.260000000000002</v>
      </c>
      <c r="I1539" s="706"/>
      <c r="J1539" s="669" t="s">
        <v>5805</v>
      </c>
      <c r="K1539" s="15"/>
      <c r="L1539"/>
      <c r="M1539" s="49">
        <f t="shared" si="695"/>
        <v>21.57</v>
      </c>
      <c r="N1539" s="41">
        <v>9.6</v>
      </c>
      <c r="O1539" s="186"/>
      <c r="P1539" s="177"/>
      <c r="R1539" s="178" t="s">
        <v>1017</v>
      </c>
      <c r="S1539" s="178" t="s">
        <v>4180</v>
      </c>
      <c r="T1539" s="178" t="s">
        <v>4180</v>
      </c>
      <c r="U1539" s="179"/>
      <c r="W1539" s="180"/>
      <c r="X1539" s="180"/>
      <c r="Z1539" s="180"/>
      <c r="AA1539" s="184"/>
      <c r="AB1539" s="178" t="s">
        <v>1017</v>
      </c>
      <c r="AC1539" s="180"/>
      <c r="AD1539" s="182"/>
      <c r="AE1539" s="200"/>
      <c r="AF1539" s="180"/>
      <c r="AG1539" s="201"/>
      <c r="AH1539" s="212" t="str">
        <f t="shared" si="700"/>
        <v>2010</v>
      </c>
      <c r="AI1539" s="214" t="str">
        <f t="shared" si="687"/>
        <v/>
      </c>
      <c r="AJ1539" s="214" t="str">
        <f t="shared" si="688"/>
        <v/>
      </c>
      <c r="AK1539" s="214" t="str">
        <f t="shared" si="689"/>
        <v/>
      </c>
      <c r="AL1539" s="214" t="str">
        <f t="shared" si="690"/>
        <v/>
      </c>
      <c r="AM1539" s="214" t="str">
        <f t="shared" si="691"/>
        <v/>
      </c>
      <c r="AN1539" s="213" t="str">
        <f t="shared" si="674"/>
        <v>2010</v>
      </c>
      <c r="AO1539" s="213" t="str">
        <f t="shared" si="675"/>
        <v>2010</v>
      </c>
      <c r="AP1539" s="213" t="str">
        <f t="shared" si="676"/>
        <v>2010</v>
      </c>
      <c r="AQ1539" s="215" t="str">
        <f t="shared" si="677"/>
        <v/>
      </c>
      <c r="AR1539" s="216" t="str">
        <f t="shared" si="678"/>
        <v>BiK82LK10---06</v>
      </c>
      <c r="AS1539" s="215" t="str">
        <f t="shared" si="679"/>
        <v/>
      </c>
      <c r="AT1539">
        <f t="shared" si="680"/>
        <v>14</v>
      </c>
      <c r="AU1539" s="216" t="str">
        <f t="shared" si="681"/>
        <v>0,15-0,5 MW, Bonusregeln L und K erstmals 2010</v>
      </c>
      <c r="AV1539" s="215" t="str">
        <f t="shared" si="682"/>
        <v/>
      </c>
      <c r="AW1539" s="216" t="str">
        <f t="shared" si="683"/>
        <v>Anteil KWK, erstmals 2010</v>
      </c>
      <c r="AX1539" s="215" t="str">
        <f t="shared" si="684"/>
        <v/>
      </c>
      <c r="AY1539" t="str">
        <f t="shared" si="685"/>
        <v/>
      </c>
      <c r="AZ1539" t="str">
        <f t="shared" si="686"/>
        <v/>
      </c>
    </row>
    <row r="1540" spans="1:52" s="178" customFormat="1" x14ac:dyDescent="0.25">
      <c r="A1540" s="610" t="s">
        <v>3964</v>
      </c>
      <c r="B1540" s="30" t="s">
        <v>5548</v>
      </c>
      <c r="C1540" s="30" t="s">
        <v>1296</v>
      </c>
      <c r="D1540" s="30" t="s">
        <v>7062</v>
      </c>
      <c r="E1540" s="30" t="s">
        <v>3055</v>
      </c>
      <c r="F1540" s="454">
        <f t="shared" si="693"/>
        <v>21.54</v>
      </c>
      <c r="G1540" s="529">
        <v>21.54</v>
      </c>
      <c r="H1540" s="487">
        <f t="shared" si="694"/>
        <v>17.23</v>
      </c>
      <c r="I1540" s="706"/>
      <c r="J1540" s="669" t="s">
        <v>5805</v>
      </c>
      <c r="K1540" s="15"/>
      <c r="L1540"/>
      <c r="M1540" s="49">
        <f t="shared" si="695"/>
        <v>21.54</v>
      </c>
      <c r="N1540" s="41">
        <v>9.6</v>
      </c>
      <c r="O1540" s="186"/>
      <c r="P1540" s="177"/>
      <c r="S1540" s="178" t="s">
        <v>1017</v>
      </c>
      <c r="T1540" s="178" t="s">
        <v>4180</v>
      </c>
      <c r="U1540" s="179"/>
      <c r="W1540" s="180"/>
      <c r="X1540" s="180"/>
      <c r="Z1540" s="180"/>
      <c r="AA1540" s="184"/>
      <c r="AB1540" s="178" t="s">
        <v>1017</v>
      </c>
      <c r="AC1540" s="180"/>
      <c r="AD1540" s="182"/>
      <c r="AE1540" s="200"/>
      <c r="AF1540" s="180"/>
      <c r="AG1540" s="201"/>
      <c r="AH1540" s="212" t="str">
        <f t="shared" si="700"/>
        <v>2011</v>
      </c>
      <c r="AI1540" s="214" t="str">
        <f t="shared" si="687"/>
        <v/>
      </c>
      <c r="AJ1540" s="214" t="str">
        <f t="shared" si="688"/>
        <v/>
      </c>
      <c r="AK1540" s="214" t="str">
        <f t="shared" si="689"/>
        <v/>
      </c>
      <c r="AL1540" s="214" t="str">
        <f t="shared" si="690"/>
        <v/>
      </c>
      <c r="AM1540" s="214" t="str">
        <f t="shared" si="691"/>
        <v/>
      </c>
      <c r="AN1540" s="213" t="str">
        <f t="shared" si="674"/>
        <v>2011</v>
      </c>
      <c r="AO1540" s="213" t="str">
        <f t="shared" si="675"/>
        <v>2011</v>
      </c>
      <c r="AP1540" s="213" t="str">
        <f t="shared" si="676"/>
        <v>2011</v>
      </c>
      <c r="AQ1540" s="215" t="str">
        <f t="shared" si="677"/>
        <v/>
      </c>
      <c r="AR1540" s="216" t="str">
        <f t="shared" si="678"/>
        <v>BiK82LK11---06</v>
      </c>
      <c r="AS1540" s="215" t="str">
        <f t="shared" si="679"/>
        <v/>
      </c>
      <c r="AT1540">
        <f t="shared" si="680"/>
        <v>14</v>
      </c>
      <c r="AU1540" s="216" t="str">
        <f t="shared" si="681"/>
        <v>0,15-0,5 MW, Bonusregeln L und K erstmals 2011</v>
      </c>
      <c r="AV1540" s="215" t="str">
        <f t="shared" si="682"/>
        <v/>
      </c>
      <c r="AW1540" s="216" t="str">
        <f t="shared" si="683"/>
        <v>Anteil KWK, erstmals 2011</v>
      </c>
      <c r="AX1540" s="215" t="str">
        <f t="shared" si="684"/>
        <v/>
      </c>
      <c r="AY1540" t="str">
        <f t="shared" si="685"/>
        <v>x</v>
      </c>
      <c r="AZ1540" t="str">
        <f t="shared" si="686"/>
        <v/>
      </c>
    </row>
    <row r="1541" spans="1:52" s="178" customFormat="1" x14ac:dyDescent="0.25">
      <c r="A1541" s="625" t="s">
        <v>1786</v>
      </c>
      <c r="B1541" s="219" t="s">
        <v>5548</v>
      </c>
      <c r="C1541" s="219" t="s">
        <v>1296</v>
      </c>
      <c r="D1541" s="219" t="s">
        <v>7063</v>
      </c>
      <c r="E1541" s="219" t="s">
        <v>1980</v>
      </c>
      <c r="F1541" s="455">
        <f t="shared" si="693"/>
        <v>21.509999999999998</v>
      </c>
      <c r="G1541" s="530">
        <v>21.509999999999998</v>
      </c>
      <c r="H1541" s="488">
        <f t="shared" si="694"/>
        <v>17.21</v>
      </c>
      <c r="I1541" s="707"/>
      <c r="J1541" s="669" t="s">
        <v>5805</v>
      </c>
      <c r="K1541" s="15"/>
      <c r="L1541"/>
      <c r="M1541" s="49">
        <f t="shared" si="695"/>
        <v>21.509999999999998</v>
      </c>
      <c r="N1541" s="41">
        <v>9.6</v>
      </c>
      <c r="O1541" s="186"/>
      <c r="P1541" s="177"/>
      <c r="S1541" s="178" t="s">
        <v>4180</v>
      </c>
      <c r="T1541" s="178" t="s">
        <v>1017</v>
      </c>
      <c r="U1541" s="179"/>
      <c r="W1541" s="180"/>
      <c r="X1541" s="180"/>
      <c r="Z1541" s="180"/>
      <c r="AA1541" s="184"/>
      <c r="AB1541" s="178" t="s">
        <v>1017</v>
      </c>
      <c r="AC1541" s="180"/>
      <c r="AD1541" s="182"/>
      <c r="AE1541" s="200"/>
      <c r="AF1541" s="180"/>
      <c r="AG1541" s="201"/>
      <c r="AH1541" s="217" t="s">
        <v>4179</v>
      </c>
      <c r="AI1541" s="214" t="str">
        <f t="shared" si="687"/>
        <v/>
      </c>
      <c r="AJ1541" s="214" t="str">
        <f t="shared" si="688"/>
        <v/>
      </c>
      <c r="AK1541" s="214" t="str">
        <f t="shared" si="689"/>
        <v/>
      </c>
      <c r="AL1541" s="214" t="str">
        <f t="shared" si="690"/>
        <v/>
      </c>
      <c r="AM1541" s="214" t="str">
        <f t="shared" si="691"/>
        <v/>
      </c>
      <c r="AN1541" s="213" t="str">
        <f t="shared" si="674"/>
        <v>2012</v>
      </c>
      <c r="AO1541" s="213" t="str">
        <f t="shared" si="675"/>
        <v>2012</v>
      </c>
      <c r="AP1541" s="213" t="str">
        <f t="shared" si="676"/>
        <v>2012</v>
      </c>
      <c r="AQ1541" s="215" t="str">
        <f t="shared" si="677"/>
        <v/>
      </c>
      <c r="AR1541" s="216" t="str">
        <f t="shared" si="678"/>
        <v>BiK82LK12---06</v>
      </c>
      <c r="AS1541" s="215" t="str">
        <f t="shared" si="679"/>
        <v/>
      </c>
      <c r="AT1541">
        <f t="shared" si="680"/>
        <v>14</v>
      </c>
      <c r="AU1541" s="216" t="str">
        <f t="shared" si="681"/>
        <v>0,15-0,5 MW, Bonusregeln L und K erstmals 2012</v>
      </c>
      <c r="AV1541" s="215" t="str">
        <f t="shared" si="682"/>
        <v/>
      </c>
      <c r="AW1541" s="216" t="str">
        <f t="shared" si="683"/>
        <v>Anteil KWK, erstmals 2012</v>
      </c>
      <c r="AX1541" s="215" t="str">
        <f t="shared" si="684"/>
        <v/>
      </c>
      <c r="AY1541" t="str">
        <f t="shared" si="685"/>
        <v/>
      </c>
      <c r="AZ1541" t="str">
        <f t="shared" si="686"/>
        <v>x</v>
      </c>
    </row>
    <row r="1542" spans="1:52" s="178" customFormat="1" x14ac:dyDescent="0.25">
      <c r="A1542" s="610" t="s">
        <v>2790</v>
      </c>
      <c r="B1542" s="30" t="s">
        <v>5548</v>
      </c>
      <c r="C1542" s="30" t="s">
        <v>1296</v>
      </c>
      <c r="D1542" s="30" t="s">
        <v>7064</v>
      </c>
      <c r="E1542" s="30" t="s">
        <v>4810</v>
      </c>
      <c r="F1542" s="454">
        <f t="shared" si="693"/>
        <v>19.600000000000001</v>
      </c>
      <c r="G1542" s="529">
        <v>19.600000000000001</v>
      </c>
      <c r="H1542" s="487">
        <f t="shared" si="694"/>
        <v>15.68</v>
      </c>
      <c r="I1542" s="706"/>
      <c r="J1542" s="669" t="s">
        <v>5805</v>
      </c>
      <c r="K1542" s="15"/>
      <c r="L1542"/>
      <c r="M1542" s="49">
        <f t="shared" si="695"/>
        <v>19.600000000000001</v>
      </c>
      <c r="N1542" s="41">
        <v>9.6</v>
      </c>
      <c r="O1542" s="187"/>
      <c r="P1542" s="183"/>
      <c r="Q1542" s="184"/>
      <c r="R1542" s="184"/>
      <c r="S1542" s="184" t="s">
        <v>4180</v>
      </c>
      <c r="T1542" s="178" t="s">
        <v>4180</v>
      </c>
      <c r="U1542" s="185" t="s">
        <v>1017</v>
      </c>
      <c r="V1542" s="184"/>
      <c r="W1542" s="180"/>
      <c r="X1542" s="180"/>
      <c r="Z1542" s="180"/>
      <c r="AA1542" s="184"/>
      <c r="AB1542" s="184" t="s">
        <v>1017</v>
      </c>
      <c r="AC1542" s="180"/>
      <c r="AD1542" s="182"/>
      <c r="AE1542" s="181"/>
      <c r="AF1542" s="180"/>
      <c r="AG1542" s="201"/>
      <c r="AH1542" s="212" t="str">
        <f t="shared" ref="AH1542:AH1547" si="701">IF(ISERROR(SEARCH("K erstmals 201",D1542)),"",RIGHT(D1542,4))</f>
        <v/>
      </c>
      <c r="AI1542" s="214" t="str">
        <f t="shared" si="687"/>
        <v/>
      </c>
      <c r="AJ1542" s="214" t="str">
        <f t="shared" si="688"/>
        <v/>
      </c>
      <c r="AK1542" s="214" t="str">
        <f t="shared" si="689"/>
        <v/>
      </c>
      <c r="AL1542" s="214" t="str">
        <f t="shared" si="690"/>
        <v/>
      </c>
      <c r="AM1542" s="214" t="str">
        <f t="shared" si="691"/>
        <v/>
      </c>
      <c r="AN1542" s="213" t="str">
        <f t="shared" si="674"/>
        <v/>
      </c>
      <c r="AO1542" s="213" t="str">
        <f t="shared" si="675"/>
        <v/>
      </c>
      <c r="AP1542" s="213" t="str">
        <f t="shared" si="676"/>
        <v/>
      </c>
      <c r="AQ1542" s="215" t="str">
        <f t="shared" si="677"/>
        <v/>
      </c>
      <c r="AR1542" s="216" t="str">
        <f t="shared" si="678"/>
        <v>BiK82Ly-----06</v>
      </c>
      <c r="AS1542" s="215" t="str">
        <f t="shared" si="679"/>
        <v/>
      </c>
      <c r="AT1542">
        <f t="shared" si="680"/>
        <v>14</v>
      </c>
      <c r="AU1542" s="216" t="str">
        <f t="shared" si="681"/>
        <v>0,15-0,5 MW, Bonusregeln L, y</v>
      </c>
      <c r="AV1542" s="215" t="str">
        <f t="shared" si="682"/>
        <v/>
      </c>
      <c r="AW1542" s="216" t="str">
        <f t="shared" si="683"/>
        <v>Anteil Nicht-KWK</v>
      </c>
      <c r="AX1542" s="215" t="str">
        <f t="shared" si="684"/>
        <v/>
      </c>
      <c r="AY1542" t="str">
        <f t="shared" si="685"/>
        <v/>
      </c>
      <c r="AZ1542" t="str">
        <f t="shared" si="686"/>
        <v/>
      </c>
    </row>
    <row r="1543" spans="1:52" s="178" customFormat="1" x14ac:dyDescent="0.25">
      <c r="A1543" s="610" t="s">
        <v>2791</v>
      </c>
      <c r="B1543" s="30" t="s">
        <v>5548</v>
      </c>
      <c r="C1543" s="30" t="s">
        <v>1296</v>
      </c>
      <c r="D1543" s="30" t="s">
        <v>7127</v>
      </c>
      <c r="E1543" s="30" t="s">
        <v>4812</v>
      </c>
      <c r="F1543" s="454">
        <f t="shared" si="693"/>
        <v>21.6</v>
      </c>
      <c r="G1543" s="529">
        <v>21.6</v>
      </c>
      <c r="H1543" s="487">
        <f t="shared" si="694"/>
        <v>17.28</v>
      </c>
      <c r="I1543" s="706"/>
      <c r="J1543" s="669" t="s">
        <v>5805</v>
      </c>
      <c r="K1543" s="15"/>
      <c r="L1543"/>
      <c r="M1543" s="49">
        <f t="shared" si="695"/>
        <v>21.6</v>
      </c>
      <c r="N1543" s="41">
        <v>9.6</v>
      </c>
      <c r="O1543" s="187" t="s">
        <v>1017</v>
      </c>
      <c r="P1543" s="183"/>
      <c r="Q1543" s="184"/>
      <c r="R1543" s="184"/>
      <c r="S1543" s="184" t="s">
        <v>4180</v>
      </c>
      <c r="T1543" s="178" t="s">
        <v>4180</v>
      </c>
      <c r="U1543" s="185" t="s">
        <v>1017</v>
      </c>
      <c r="V1543" s="184"/>
      <c r="W1543" s="180"/>
      <c r="X1543" s="180"/>
      <c r="Z1543" s="180"/>
      <c r="AA1543" s="184"/>
      <c r="AB1543" s="184" t="s">
        <v>1017</v>
      </c>
      <c r="AC1543" s="180"/>
      <c r="AD1543" s="182"/>
      <c r="AE1543" s="181"/>
      <c r="AF1543" s="180"/>
      <c r="AG1543" s="201"/>
      <c r="AH1543" s="212" t="str">
        <f t="shared" si="701"/>
        <v/>
      </c>
      <c r="AI1543" s="214" t="str">
        <f t="shared" si="687"/>
        <v/>
      </c>
      <c r="AJ1543" s="214" t="str">
        <f t="shared" si="688"/>
        <v/>
      </c>
      <c r="AK1543" s="214" t="str">
        <f t="shared" si="689"/>
        <v/>
      </c>
      <c r="AL1543" s="214" t="str">
        <f t="shared" si="690"/>
        <v/>
      </c>
      <c r="AM1543" s="214" t="str">
        <f t="shared" si="691"/>
        <v/>
      </c>
      <c r="AN1543" s="213" t="str">
        <f t="shared" si="674"/>
        <v/>
      </c>
      <c r="AO1543" s="213" t="str">
        <f t="shared" si="675"/>
        <v/>
      </c>
      <c r="AP1543" s="213" t="str">
        <f t="shared" si="676"/>
        <v/>
      </c>
      <c r="AQ1543" s="215" t="str">
        <f t="shared" si="677"/>
        <v/>
      </c>
      <c r="AR1543" s="216" t="str">
        <f t="shared" si="678"/>
        <v>BiK82LKWKy--06</v>
      </c>
      <c r="AS1543" s="215" t="str">
        <f t="shared" si="679"/>
        <v/>
      </c>
      <c r="AT1543">
        <f t="shared" si="680"/>
        <v>14</v>
      </c>
      <c r="AU1543" s="216" t="str">
        <f t="shared" si="681"/>
        <v>0,15-0,5 MW, Bonusregeln L, y und KWK</v>
      </c>
      <c r="AV1543" s="215" t="str">
        <f t="shared" si="682"/>
        <v/>
      </c>
      <c r="AW1543" s="216" t="str">
        <f t="shared" si="683"/>
        <v>Anteil KWK</v>
      </c>
      <c r="AX1543" s="215" t="str">
        <f t="shared" si="684"/>
        <v/>
      </c>
      <c r="AY1543" t="str">
        <f t="shared" si="685"/>
        <v/>
      </c>
      <c r="AZ1543" t="str">
        <f t="shared" si="686"/>
        <v/>
      </c>
    </row>
    <row r="1544" spans="1:52" s="178" customFormat="1" x14ac:dyDescent="0.25">
      <c r="A1544" s="610" t="s">
        <v>2792</v>
      </c>
      <c r="B1544" s="30" t="s">
        <v>5548</v>
      </c>
      <c r="C1544" s="30" t="s">
        <v>1296</v>
      </c>
      <c r="D1544" s="109" t="s">
        <v>7065</v>
      </c>
      <c r="E1544" s="30" t="s">
        <v>4331</v>
      </c>
      <c r="F1544" s="454">
        <f t="shared" si="693"/>
        <v>22.6</v>
      </c>
      <c r="G1544" s="529">
        <v>22.6</v>
      </c>
      <c r="H1544" s="487">
        <f t="shared" si="694"/>
        <v>18.079999999999998</v>
      </c>
      <c r="I1544" s="706"/>
      <c r="J1544" s="669" t="s">
        <v>5805</v>
      </c>
      <c r="K1544" s="15"/>
      <c r="L1544"/>
      <c r="M1544" s="49">
        <f t="shared" si="695"/>
        <v>22.6</v>
      </c>
      <c r="N1544" s="41">
        <v>9.6</v>
      </c>
      <c r="O1544" s="187"/>
      <c r="P1544" s="184" t="s">
        <v>1017</v>
      </c>
      <c r="Q1544" s="184"/>
      <c r="R1544" s="184"/>
      <c r="S1544" s="184" t="s">
        <v>4180</v>
      </c>
      <c r="T1544" s="178" t="s">
        <v>4180</v>
      </c>
      <c r="U1544" s="185" t="s">
        <v>1017</v>
      </c>
      <c r="V1544" s="184"/>
      <c r="W1544" s="180"/>
      <c r="X1544" s="180"/>
      <c r="Z1544" s="180"/>
      <c r="AA1544" s="184"/>
      <c r="AB1544" s="184" t="s">
        <v>1017</v>
      </c>
      <c r="AC1544" s="180"/>
      <c r="AD1544" s="182"/>
      <c r="AE1544" s="181"/>
      <c r="AF1544" s="180"/>
      <c r="AG1544" s="201"/>
      <c r="AH1544" s="212" t="str">
        <f t="shared" si="701"/>
        <v/>
      </c>
      <c r="AI1544" s="214" t="str">
        <f t="shared" si="687"/>
        <v/>
      </c>
      <c r="AJ1544" s="214" t="str">
        <f t="shared" si="688"/>
        <v/>
      </c>
      <c r="AK1544" s="214" t="str">
        <f t="shared" si="689"/>
        <v/>
      </c>
      <c r="AL1544" s="214" t="str">
        <f t="shared" si="690"/>
        <v/>
      </c>
      <c r="AM1544" s="214" t="str">
        <f t="shared" si="691"/>
        <v/>
      </c>
      <c r="AN1544" s="213" t="str">
        <f t="shared" si="674"/>
        <v/>
      </c>
      <c r="AO1544" s="213" t="str">
        <f t="shared" si="675"/>
        <v/>
      </c>
      <c r="AP1544" s="213" t="str">
        <f t="shared" si="676"/>
        <v/>
      </c>
      <c r="AQ1544" s="215" t="str">
        <f t="shared" si="677"/>
        <v/>
      </c>
      <c r="AR1544" s="216" t="str">
        <f t="shared" si="678"/>
        <v>BiK82LKA3y--06</v>
      </c>
      <c r="AS1544" s="215" t="str">
        <f t="shared" si="679"/>
        <v/>
      </c>
      <c r="AT1544">
        <f t="shared" si="680"/>
        <v>14</v>
      </c>
      <c r="AU1544" s="216" t="str">
        <f t="shared" si="681"/>
        <v>0,15-0,5 MW, Bonusregeln L, y und K wenn Anlage 3 erfüllt</v>
      </c>
      <c r="AV1544" s="215" t="str">
        <f t="shared" si="682"/>
        <v/>
      </c>
      <c r="AW1544" s="216" t="str">
        <f t="shared" si="683"/>
        <v>Anteil KWK gemäß Anlage 3</v>
      </c>
      <c r="AX1544" s="215" t="str">
        <f t="shared" si="684"/>
        <v/>
      </c>
      <c r="AY1544" t="str">
        <f t="shared" si="685"/>
        <v/>
      </c>
      <c r="AZ1544" t="str">
        <f t="shared" si="686"/>
        <v/>
      </c>
    </row>
    <row r="1545" spans="1:52" s="178" customFormat="1" x14ac:dyDescent="0.25">
      <c r="A1545" s="610" t="s">
        <v>2793</v>
      </c>
      <c r="B1545" s="30" t="s">
        <v>5548</v>
      </c>
      <c r="C1545" s="30" t="s">
        <v>1296</v>
      </c>
      <c r="D1545" s="30" t="s">
        <v>7066</v>
      </c>
      <c r="E1545" s="30" t="s">
        <v>674</v>
      </c>
      <c r="F1545" s="454">
        <f t="shared" si="693"/>
        <v>22.6</v>
      </c>
      <c r="G1545" s="529">
        <v>22.6</v>
      </c>
      <c r="H1545" s="487">
        <f t="shared" si="694"/>
        <v>18.079999999999998</v>
      </c>
      <c r="I1545" s="706"/>
      <c r="J1545" s="669" t="s">
        <v>5805</v>
      </c>
      <c r="K1545" s="15"/>
      <c r="L1545"/>
      <c r="M1545" s="49">
        <f t="shared" si="695"/>
        <v>22.6</v>
      </c>
      <c r="N1545" s="41">
        <v>9.6</v>
      </c>
      <c r="O1545" s="187"/>
      <c r="P1545" s="183"/>
      <c r="Q1545" s="184" t="s">
        <v>1017</v>
      </c>
      <c r="R1545" s="184"/>
      <c r="S1545" s="184" t="s">
        <v>4180</v>
      </c>
      <c r="T1545" s="178" t="s">
        <v>4180</v>
      </c>
      <c r="U1545" s="185" t="s">
        <v>1017</v>
      </c>
      <c r="V1545" s="184"/>
      <c r="W1545" s="180"/>
      <c r="X1545" s="180"/>
      <c r="Z1545" s="180"/>
      <c r="AA1545" s="184"/>
      <c r="AB1545" s="184" t="s">
        <v>1017</v>
      </c>
      <c r="AC1545" s="180"/>
      <c r="AD1545" s="182"/>
      <c r="AE1545" s="181"/>
      <c r="AF1545" s="180"/>
      <c r="AG1545" s="201"/>
      <c r="AH1545" s="212" t="str">
        <f t="shared" si="701"/>
        <v/>
      </c>
      <c r="AI1545" s="214" t="str">
        <f t="shared" si="687"/>
        <v/>
      </c>
      <c r="AJ1545" s="214" t="str">
        <f t="shared" si="688"/>
        <v/>
      </c>
      <c r="AK1545" s="214" t="str">
        <f t="shared" si="689"/>
        <v/>
      </c>
      <c r="AL1545" s="214" t="str">
        <f t="shared" si="690"/>
        <v/>
      </c>
      <c r="AM1545" s="214" t="str">
        <f t="shared" si="691"/>
        <v/>
      </c>
      <c r="AN1545" s="213" t="str">
        <f t="shared" si="674"/>
        <v/>
      </c>
      <c r="AO1545" s="213" t="str">
        <f t="shared" si="675"/>
        <v/>
      </c>
      <c r="AP1545" s="213" t="str">
        <f t="shared" si="676"/>
        <v/>
      </c>
      <c r="AQ1545" s="215" t="str">
        <f t="shared" si="677"/>
        <v/>
      </c>
      <c r="AR1545" s="216" t="str">
        <f t="shared" si="678"/>
        <v>BiK82LK09y--06</v>
      </c>
      <c r="AS1545" s="215" t="str">
        <f t="shared" si="679"/>
        <v/>
      </c>
      <c r="AT1545">
        <f t="shared" si="680"/>
        <v>14</v>
      </c>
      <c r="AU1545" s="216" t="str">
        <f t="shared" si="681"/>
        <v>0,15-0,5 MW, Bonusregeln L, y und K erstmals 2009</v>
      </c>
      <c r="AV1545" s="215" t="str">
        <f t="shared" si="682"/>
        <v/>
      </c>
      <c r="AW1545" s="216" t="str">
        <f t="shared" si="683"/>
        <v>Anteil KWK, erstmals 2009</v>
      </c>
      <c r="AX1545" s="215" t="str">
        <f t="shared" si="684"/>
        <v/>
      </c>
      <c r="AY1545" t="str">
        <f t="shared" si="685"/>
        <v/>
      </c>
      <c r="AZ1545" t="str">
        <f t="shared" si="686"/>
        <v/>
      </c>
    </row>
    <row r="1546" spans="1:52" s="178" customFormat="1" x14ac:dyDescent="0.25">
      <c r="A1546" s="610" t="s">
        <v>4918</v>
      </c>
      <c r="B1546" s="30" t="s">
        <v>5548</v>
      </c>
      <c r="C1546" s="30" t="s">
        <v>1296</v>
      </c>
      <c r="D1546" s="30" t="s">
        <v>7067</v>
      </c>
      <c r="E1546" s="30" t="s">
        <v>3567</v>
      </c>
      <c r="F1546" s="454">
        <f t="shared" si="693"/>
        <v>22.57</v>
      </c>
      <c r="G1546" s="529">
        <v>22.57</v>
      </c>
      <c r="H1546" s="487">
        <f t="shared" si="694"/>
        <v>18.059999999999999</v>
      </c>
      <c r="I1546" s="706"/>
      <c r="J1546" s="669" t="s">
        <v>5805</v>
      </c>
      <c r="K1546" s="15"/>
      <c r="L1546"/>
      <c r="M1546" s="49">
        <f t="shared" si="695"/>
        <v>22.57</v>
      </c>
      <c r="N1546" s="41">
        <v>9.6</v>
      </c>
      <c r="O1546" s="187"/>
      <c r="P1546" s="183"/>
      <c r="Q1546" s="184"/>
      <c r="R1546" s="184" t="s">
        <v>1017</v>
      </c>
      <c r="S1546" s="184" t="s">
        <v>4180</v>
      </c>
      <c r="T1546" s="178" t="s">
        <v>4180</v>
      </c>
      <c r="U1546" s="185" t="s">
        <v>1017</v>
      </c>
      <c r="V1546" s="184"/>
      <c r="W1546" s="180"/>
      <c r="X1546" s="180"/>
      <c r="Z1546" s="180"/>
      <c r="AA1546" s="184"/>
      <c r="AB1546" s="184" t="s">
        <v>1017</v>
      </c>
      <c r="AC1546" s="180"/>
      <c r="AD1546" s="182"/>
      <c r="AE1546" s="181"/>
      <c r="AF1546" s="180"/>
      <c r="AG1546" s="201"/>
      <c r="AH1546" s="212" t="str">
        <f t="shared" si="701"/>
        <v>2010</v>
      </c>
      <c r="AI1546" s="214" t="str">
        <f t="shared" si="687"/>
        <v/>
      </c>
      <c r="AJ1546" s="214" t="str">
        <f t="shared" si="688"/>
        <v/>
      </c>
      <c r="AK1546" s="214" t="str">
        <f t="shared" si="689"/>
        <v/>
      </c>
      <c r="AL1546" s="214" t="str">
        <f t="shared" si="690"/>
        <v/>
      </c>
      <c r="AM1546" s="214" t="str">
        <f t="shared" si="691"/>
        <v/>
      </c>
      <c r="AN1546" s="213" t="str">
        <f t="shared" si="674"/>
        <v>2010</v>
      </c>
      <c r="AO1546" s="213" t="str">
        <f t="shared" si="675"/>
        <v>2010</v>
      </c>
      <c r="AP1546" s="213" t="str">
        <f t="shared" si="676"/>
        <v>2010</v>
      </c>
      <c r="AQ1546" s="215" t="str">
        <f t="shared" si="677"/>
        <v/>
      </c>
      <c r="AR1546" s="216" t="str">
        <f t="shared" si="678"/>
        <v>BiK82LK10y--06</v>
      </c>
      <c r="AS1546" s="215" t="str">
        <f t="shared" si="679"/>
        <v/>
      </c>
      <c r="AT1546">
        <f t="shared" si="680"/>
        <v>14</v>
      </c>
      <c r="AU1546" s="216" t="str">
        <f t="shared" si="681"/>
        <v>0,15-0,5 MW, Bonusregeln L, y und K erstmals 2010</v>
      </c>
      <c r="AV1546" s="215" t="str">
        <f t="shared" si="682"/>
        <v/>
      </c>
      <c r="AW1546" s="216" t="str">
        <f t="shared" si="683"/>
        <v>Anteil KWK, erstmals 2010</v>
      </c>
      <c r="AX1546" s="215" t="str">
        <f t="shared" si="684"/>
        <v/>
      </c>
      <c r="AY1546" t="str">
        <f t="shared" si="685"/>
        <v/>
      </c>
      <c r="AZ1546" t="str">
        <f t="shared" si="686"/>
        <v/>
      </c>
    </row>
    <row r="1547" spans="1:52" s="178" customFormat="1" x14ac:dyDescent="0.25">
      <c r="A1547" s="610" t="s">
        <v>3965</v>
      </c>
      <c r="B1547" s="30" t="s">
        <v>5548</v>
      </c>
      <c r="C1547" s="30" t="s">
        <v>1296</v>
      </c>
      <c r="D1547" s="30" t="s">
        <v>7068</v>
      </c>
      <c r="E1547" s="30" t="s">
        <v>3055</v>
      </c>
      <c r="F1547" s="454">
        <f t="shared" si="693"/>
        <v>22.54</v>
      </c>
      <c r="G1547" s="529">
        <v>22.54</v>
      </c>
      <c r="H1547" s="487">
        <f t="shared" si="694"/>
        <v>18.03</v>
      </c>
      <c r="I1547" s="706"/>
      <c r="J1547" s="669" t="s">
        <v>5805</v>
      </c>
      <c r="K1547" s="15"/>
      <c r="L1547"/>
      <c r="M1547" s="49">
        <f t="shared" si="695"/>
        <v>22.54</v>
      </c>
      <c r="N1547" s="41">
        <v>9.6</v>
      </c>
      <c r="O1547" s="187"/>
      <c r="P1547" s="183"/>
      <c r="Q1547" s="184"/>
      <c r="S1547" s="184" t="s">
        <v>1017</v>
      </c>
      <c r="T1547" s="178" t="s">
        <v>4180</v>
      </c>
      <c r="U1547" s="185" t="s">
        <v>1017</v>
      </c>
      <c r="V1547" s="184"/>
      <c r="W1547" s="180"/>
      <c r="X1547" s="180"/>
      <c r="Z1547" s="180"/>
      <c r="AA1547" s="184"/>
      <c r="AB1547" s="184" t="s">
        <v>1017</v>
      </c>
      <c r="AC1547" s="180"/>
      <c r="AD1547" s="182"/>
      <c r="AE1547" s="181"/>
      <c r="AF1547" s="180"/>
      <c r="AG1547" s="201"/>
      <c r="AH1547" s="212" t="str">
        <f t="shared" si="701"/>
        <v>2011</v>
      </c>
      <c r="AI1547" s="214" t="str">
        <f t="shared" si="687"/>
        <v/>
      </c>
      <c r="AJ1547" s="214" t="str">
        <f t="shared" si="688"/>
        <v/>
      </c>
      <c r="AK1547" s="214" t="str">
        <f t="shared" si="689"/>
        <v/>
      </c>
      <c r="AL1547" s="214" t="str">
        <f t="shared" si="690"/>
        <v/>
      </c>
      <c r="AM1547" s="214" t="str">
        <f t="shared" si="691"/>
        <v/>
      </c>
      <c r="AN1547" s="213" t="str">
        <f t="shared" si="674"/>
        <v>2011</v>
      </c>
      <c r="AO1547" s="213" t="str">
        <f t="shared" si="675"/>
        <v>2011</v>
      </c>
      <c r="AP1547" s="213" t="str">
        <f t="shared" si="676"/>
        <v>2011</v>
      </c>
      <c r="AQ1547" s="215" t="str">
        <f t="shared" si="677"/>
        <v/>
      </c>
      <c r="AR1547" s="216" t="str">
        <f t="shared" si="678"/>
        <v>BiK82LK11y--06</v>
      </c>
      <c r="AS1547" s="215" t="str">
        <f t="shared" si="679"/>
        <v/>
      </c>
      <c r="AT1547">
        <f t="shared" si="680"/>
        <v>14</v>
      </c>
      <c r="AU1547" s="216" t="str">
        <f t="shared" si="681"/>
        <v>0,15-0,5 MW, Bonusregeln L, y und K erstmals 2011</v>
      </c>
      <c r="AV1547" s="215" t="str">
        <f t="shared" si="682"/>
        <v/>
      </c>
      <c r="AW1547" s="216" t="str">
        <f t="shared" si="683"/>
        <v>Anteil KWK, erstmals 2011</v>
      </c>
      <c r="AX1547" s="215" t="str">
        <f t="shared" si="684"/>
        <v/>
      </c>
      <c r="AY1547" t="str">
        <f t="shared" si="685"/>
        <v>x</v>
      </c>
      <c r="AZ1547" t="str">
        <f t="shared" si="686"/>
        <v/>
      </c>
    </row>
    <row r="1548" spans="1:52" s="178" customFormat="1" x14ac:dyDescent="0.25">
      <c r="A1548" s="625" t="s">
        <v>1787</v>
      </c>
      <c r="B1548" s="219" t="s">
        <v>5548</v>
      </c>
      <c r="C1548" s="219" t="s">
        <v>1296</v>
      </c>
      <c r="D1548" s="219" t="s">
        <v>7069</v>
      </c>
      <c r="E1548" s="219" t="s">
        <v>1980</v>
      </c>
      <c r="F1548" s="455">
        <f t="shared" si="693"/>
        <v>22.509999999999998</v>
      </c>
      <c r="G1548" s="530">
        <v>22.509999999999998</v>
      </c>
      <c r="H1548" s="488">
        <f t="shared" si="694"/>
        <v>18.010000000000002</v>
      </c>
      <c r="I1548" s="707"/>
      <c r="J1548" s="669" t="s">
        <v>5805</v>
      </c>
      <c r="K1548" s="15"/>
      <c r="L1548"/>
      <c r="M1548" s="49">
        <f t="shared" si="695"/>
        <v>22.509999999999998</v>
      </c>
      <c r="N1548" s="41">
        <v>9.6</v>
      </c>
      <c r="O1548" s="187"/>
      <c r="P1548" s="183"/>
      <c r="Q1548" s="184"/>
      <c r="S1548" s="184" t="s">
        <v>4180</v>
      </c>
      <c r="T1548" s="178" t="s">
        <v>1017</v>
      </c>
      <c r="U1548" s="185" t="s">
        <v>1017</v>
      </c>
      <c r="V1548" s="184"/>
      <c r="W1548" s="180"/>
      <c r="X1548" s="180"/>
      <c r="Z1548" s="180"/>
      <c r="AA1548" s="184"/>
      <c r="AB1548" s="184" t="s">
        <v>1017</v>
      </c>
      <c r="AC1548" s="180"/>
      <c r="AD1548" s="182"/>
      <c r="AE1548" s="181"/>
      <c r="AF1548" s="180"/>
      <c r="AG1548" s="201"/>
      <c r="AH1548" s="217" t="s">
        <v>4179</v>
      </c>
      <c r="AI1548" s="214" t="str">
        <f t="shared" si="687"/>
        <v/>
      </c>
      <c r="AJ1548" s="214" t="str">
        <f t="shared" si="688"/>
        <v/>
      </c>
      <c r="AK1548" s="214" t="str">
        <f t="shared" si="689"/>
        <v/>
      </c>
      <c r="AL1548" s="214" t="str">
        <f t="shared" si="690"/>
        <v/>
      </c>
      <c r="AM1548" s="214" t="str">
        <f t="shared" si="691"/>
        <v/>
      </c>
      <c r="AN1548" s="213" t="str">
        <f t="shared" si="674"/>
        <v>2012</v>
      </c>
      <c r="AO1548" s="213" t="str">
        <f t="shared" si="675"/>
        <v>2012</v>
      </c>
      <c r="AP1548" s="213" t="str">
        <f t="shared" si="676"/>
        <v>2012</v>
      </c>
      <c r="AQ1548" s="215" t="str">
        <f t="shared" si="677"/>
        <v/>
      </c>
      <c r="AR1548" s="216" t="str">
        <f t="shared" si="678"/>
        <v>BiK82LK12y--06</v>
      </c>
      <c r="AS1548" s="215" t="str">
        <f t="shared" si="679"/>
        <v/>
      </c>
      <c r="AT1548">
        <f t="shared" si="680"/>
        <v>14</v>
      </c>
      <c r="AU1548" s="216" t="str">
        <f t="shared" si="681"/>
        <v>0,15-0,5 MW, Bonusregeln L, y und K erstmals 2012</v>
      </c>
      <c r="AV1548" s="215" t="str">
        <f t="shared" si="682"/>
        <v/>
      </c>
      <c r="AW1548" s="216" t="str">
        <f t="shared" si="683"/>
        <v>Anteil KWK, erstmals 2012</v>
      </c>
      <c r="AX1548" s="215" t="str">
        <f t="shared" si="684"/>
        <v/>
      </c>
      <c r="AY1548" t="str">
        <f t="shared" si="685"/>
        <v/>
      </c>
      <c r="AZ1548" t="str">
        <f t="shared" si="686"/>
        <v>x</v>
      </c>
    </row>
    <row r="1549" spans="1:52" s="178" customFormat="1" x14ac:dyDescent="0.25">
      <c r="A1549" s="610" t="s">
        <v>2794</v>
      </c>
      <c r="B1549" s="30" t="s">
        <v>5548</v>
      </c>
      <c r="C1549" s="30" t="s">
        <v>1296</v>
      </c>
      <c r="D1549" s="30" t="s">
        <v>7070</v>
      </c>
      <c r="E1549" s="30" t="s">
        <v>4810</v>
      </c>
      <c r="F1549" s="454">
        <f t="shared" si="693"/>
        <v>19.600000000000001</v>
      </c>
      <c r="G1549" s="529">
        <v>19.600000000000001</v>
      </c>
      <c r="H1549" s="487">
        <f t="shared" si="694"/>
        <v>15.68</v>
      </c>
      <c r="I1549" s="706"/>
      <c r="J1549" s="669" t="s">
        <v>5805</v>
      </c>
      <c r="K1549" s="15"/>
      <c r="L1549"/>
      <c r="M1549" s="49">
        <f t="shared" si="695"/>
        <v>19.600000000000001</v>
      </c>
      <c r="N1549" s="41">
        <v>9.6</v>
      </c>
      <c r="O1549" s="186"/>
      <c r="P1549" s="177"/>
      <c r="S1549" s="178" t="s">
        <v>4180</v>
      </c>
      <c r="T1549" s="178" t="s">
        <v>4180</v>
      </c>
      <c r="U1549" s="179"/>
      <c r="W1549" s="180"/>
      <c r="X1549" s="180"/>
      <c r="Z1549" s="180"/>
      <c r="AA1549" s="184"/>
      <c r="AC1549" s="180"/>
      <c r="AD1549" s="199" t="s">
        <v>1017</v>
      </c>
      <c r="AE1549" s="200"/>
      <c r="AF1549" s="180"/>
      <c r="AG1549" s="201"/>
      <c r="AH1549" s="212" t="str">
        <f t="shared" ref="AH1549:AH1554" si="702">IF(ISERROR(SEARCH("K erstmals 201",D1549)),"",RIGHT(D1549,4))</f>
        <v/>
      </c>
      <c r="AI1549" s="214" t="str">
        <f t="shared" si="687"/>
        <v/>
      </c>
      <c r="AJ1549" s="214" t="str">
        <f t="shared" si="688"/>
        <v/>
      </c>
      <c r="AK1549" s="214" t="str">
        <f t="shared" si="689"/>
        <v/>
      </c>
      <c r="AL1549" s="214" t="str">
        <f t="shared" si="690"/>
        <v/>
      </c>
      <c r="AM1549" s="214" t="str">
        <f t="shared" si="691"/>
        <v/>
      </c>
      <c r="AN1549" s="213" t="str">
        <f t="shared" si="674"/>
        <v/>
      </c>
      <c r="AO1549" s="213" t="str">
        <f t="shared" si="675"/>
        <v/>
      </c>
      <c r="AP1549" s="213" t="str">
        <f t="shared" si="676"/>
        <v/>
      </c>
      <c r="AQ1549" s="215" t="str">
        <f t="shared" si="677"/>
        <v/>
      </c>
      <c r="AR1549" s="216" t="str">
        <f t="shared" si="678"/>
        <v>BiK82X2-----06</v>
      </c>
      <c r="AS1549" s="215" t="str">
        <f t="shared" si="679"/>
        <v/>
      </c>
      <c r="AT1549">
        <f t="shared" si="680"/>
        <v>14</v>
      </c>
      <c r="AU1549" s="216" t="str">
        <f t="shared" si="681"/>
        <v>0,15-0,5 MW, Bonusregel X2</v>
      </c>
      <c r="AV1549" s="215" t="str">
        <f t="shared" si="682"/>
        <v/>
      </c>
      <c r="AW1549" s="216" t="str">
        <f t="shared" si="683"/>
        <v>Anteil Nicht-KWK</v>
      </c>
      <c r="AX1549" s="215" t="str">
        <f t="shared" si="684"/>
        <v/>
      </c>
      <c r="AY1549" t="str">
        <f t="shared" si="685"/>
        <v/>
      </c>
      <c r="AZ1549" t="str">
        <f t="shared" si="686"/>
        <v/>
      </c>
    </row>
    <row r="1550" spans="1:52" s="178" customFormat="1" x14ac:dyDescent="0.25">
      <c r="A1550" s="610" t="s">
        <v>2795</v>
      </c>
      <c r="B1550" s="30" t="s">
        <v>5548</v>
      </c>
      <c r="C1550" s="30" t="s">
        <v>1296</v>
      </c>
      <c r="D1550" s="30" t="s">
        <v>7128</v>
      </c>
      <c r="E1550" s="30" t="s">
        <v>4812</v>
      </c>
      <c r="F1550" s="454">
        <f t="shared" si="693"/>
        <v>21.6</v>
      </c>
      <c r="G1550" s="529">
        <v>21.6</v>
      </c>
      <c r="H1550" s="487">
        <f t="shared" si="694"/>
        <v>17.28</v>
      </c>
      <c r="I1550" s="706"/>
      <c r="J1550" s="669" t="s">
        <v>5805</v>
      </c>
      <c r="K1550" s="15"/>
      <c r="L1550"/>
      <c r="M1550" s="49">
        <f t="shared" si="695"/>
        <v>21.6</v>
      </c>
      <c r="N1550" s="41">
        <v>9.6</v>
      </c>
      <c r="O1550" s="186" t="s">
        <v>1017</v>
      </c>
      <c r="P1550" s="177"/>
      <c r="S1550" s="178" t="s">
        <v>4180</v>
      </c>
      <c r="T1550" s="178" t="s">
        <v>4180</v>
      </c>
      <c r="U1550" s="179"/>
      <c r="W1550" s="180"/>
      <c r="X1550" s="180"/>
      <c r="Z1550" s="180"/>
      <c r="AA1550" s="184"/>
      <c r="AC1550" s="180"/>
      <c r="AD1550" s="199" t="s">
        <v>1017</v>
      </c>
      <c r="AE1550" s="200"/>
      <c r="AF1550" s="180"/>
      <c r="AG1550" s="201"/>
      <c r="AH1550" s="212" t="str">
        <f t="shared" si="702"/>
        <v/>
      </c>
      <c r="AI1550" s="214" t="str">
        <f t="shared" si="687"/>
        <v/>
      </c>
      <c r="AJ1550" s="214" t="str">
        <f t="shared" si="688"/>
        <v/>
      </c>
      <c r="AK1550" s="214" t="str">
        <f t="shared" si="689"/>
        <v/>
      </c>
      <c r="AL1550" s="214" t="str">
        <f t="shared" si="690"/>
        <v/>
      </c>
      <c r="AM1550" s="214" t="str">
        <f t="shared" si="691"/>
        <v/>
      </c>
      <c r="AN1550" s="213" t="str">
        <f t="shared" si="674"/>
        <v/>
      </c>
      <c r="AO1550" s="213" t="str">
        <f t="shared" si="675"/>
        <v/>
      </c>
      <c r="AP1550" s="213" t="str">
        <f t="shared" si="676"/>
        <v/>
      </c>
      <c r="AQ1550" s="215" t="str">
        <f t="shared" si="677"/>
        <v/>
      </c>
      <c r="AR1550" s="216" t="str">
        <f t="shared" si="678"/>
        <v>BiK82X2KWK--06</v>
      </c>
      <c r="AS1550" s="215" t="str">
        <f t="shared" si="679"/>
        <v/>
      </c>
      <c r="AT1550">
        <f t="shared" si="680"/>
        <v>14</v>
      </c>
      <c r="AU1550" s="216" t="str">
        <f t="shared" si="681"/>
        <v>0,15-0,5 MW, Bonusregeln X2 und KWK</v>
      </c>
      <c r="AV1550" s="215" t="str">
        <f t="shared" si="682"/>
        <v/>
      </c>
      <c r="AW1550" s="216" t="str">
        <f t="shared" si="683"/>
        <v>Anteil KWK</v>
      </c>
      <c r="AX1550" s="215" t="str">
        <f t="shared" si="684"/>
        <v/>
      </c>
      <c r="AY1550" t="str">
        <f t="shared" si="685"/>
        <v/>
      </c>
      <c r="AZ1550" t="str">
        <f t="shared" si="686"/>
        <v/>
      </c>
    </row>
    <row r="1551" spans="1:52" x14ac:dyDescent="0.25">
      <c r="A1551" s="610" t="s">
        <v>2796</v>
      </c>
      <c r="B1551" s="30" t="s">
        <v>5548</v>
      </c>
      <c r="C1551" s="30" t="s">
        <v>1296</v>
      </c>
      <c r="D1551" s="30" t="s">
        <v>7071</v>
      </c>
      <c r="E1551" s="30" t="s">
        <v>4331</v>
      </c>
      <c r="F1551" s="454">
        <f t="shared" si="693"/>
        <v>22.6</v>
      </c>
      <c r="G1551" s="529">
        <v>22.6</v>
      </c>
      <c r="H1551" s="487">
        <f t="shared" si="694"/>
        <v>18.079999999999998</v>
      </c>
      <c r="I1551" s="706"/>
      <c r="J1551" s="669" t="s">
        <v>5805</v>
      </c>
      <c r="K1551" s="15"/>
      <c r="M1551" s="49">
        <f t="shared" si="695"/>
        <v>22.6</v>
      </c>
      <c r="N1551" s="41">
        <v>9.6</v>
      </c>
      <c r="O1551" s="186"/>
      <c r="P1551" s="178" t="s">
        <v>1017</v>
      </c>
      <c r="Q1551" s="178"/>
      <c r="R1551" s="178"/>
      <c r="S1551" s="178" t="s">
        <v>4180</v>
      </c>
      <c r="T1551" t="s">
        <v>4180</v>
      </c>
      <c r="U1551" s="179"/>
      <c r="V1551" s="178"/>
      <c r="W1551" s="180"/>
      <c r="X1551" s="180"/>
      <c r="Y1551" s="178"/>
      <c r="Z1551" s="180"/>
      <c r="AA1551" s="184"/>
      <c r="AB1551" s="178"/>
      <c r="AC1551" s="180"/>
      <c r="AD1551" s="199" t="s">
        <v>1017</v>
      </c>
      <c r="AE1551" s="200"/>
      <c r="AF1551" s="180"/>
      <c r="AG1551" s="201"/>
      <c r="AH1551" s="212" t="str">
        <f t="shared" si="702"/>
        <v/>
      </c>
      <c r="AI1551" s="214" t="str">
        <f t="shared" si="687"/>
        <v/>
      </c>
      <c r="AJ1551" s="214" t="str">
        <f t="shared" si="688"/>
        <v/>
      </c>
      <c r="AK1551" s="214" t="str">
        <f t="shared" si="689"/>
        <v/>
      </c>
      <c r="AL1551" s="214" t="str">
        <f t="shared" si="690"/>
        <v/>
      </c>
      <c r="AM1551" s="214" t="str">
        <f t="shared" si="691"/>
        <v/>
      </c>
      <c r="AN1551" s="213" t="str">
        <f t="shared" si="674"/>
        <v/>
      </c>
      <c r="AO1551" s="213" t="str">
        <f t="shared" si="675"/>
        <v/>
      </c>
      <c r="AP1551" s="213" t="str">
        <f t="shared" si="676"/>
        <v/>
      </c>
      <c r="AQ1551" s="215" t="str">
        <f t="shared" si="677"/>
        <v/>
      </c>
      <c r="AR1551" s="216" t="str">
        <f t="shared" si="678"/>
        <v>BiK82X2KA3--06</v>
      </c>
      <c r="AS1551" s="215" t="str">
        <f t="shared" si="679"/>
        <v/>
      </c>
      <c r="AT1551">
        <f t="shared" si="680"/>
        <v>14</v>
      </c>
      <c r="AU1551" s="216" t="str">
        <f t="shared" si="681"/>
        <v>0,15-0,5 MW, Bonusregeln X2 und K wenn Anlage 3 erfüllt</v>
      </c>
      <c r="AV1551" s="215" t="str">
        <f t="shared" si="682"/>
        <v/>
      </c>
      <c r="AW1551" s="216" t="str">
        <f t="shared" si="683"/>
        <v>Anteil KWK gemäß Anlage 3</v>
      </c>
      <c r="AX1551" s="215" t="str">
        <f t="shared" si="684"/>
        <v/>
      </c>
      <c r="AY1551" t="str">
        <f t="shared" si="685"/>
        <v/>
      </c>
      <c r="AZ1551" t="str">
        <f t="shared" si="686"/>
        <v/>
      </c>
    </row>
    <row r="1552" spans="1:52" x14ac:dyDescent="0.25">
      <c r="A1552" s="610" t="s">
        <v>2797</v>
      </c>
      <c r="B1552" s="30" t="s">
        <v>5548</v>
      </c>
      <c r="C1552" s="30" t="s">
        <v>1296</v>
      </c>
      <c r="D1552" s="30" t="s">
        <v>7072</v>
      </c>
      <c r="E1552" s="30" t="s">
        <v>674</v>
      </c>
      <c r="F1552" s="454">
        <f t="shared" si="693"/>
        <v>22.6</v>
      </c>
      <c r="G1552" s="529">
        <v>22.6</v>
      </c>
      <c r="H1552" s="487">
        <f t="shared" si="694"/>
        <v>18.079999999999998</v>
      </c>
      <c r="I1552" s="706"/>
      <c r="J1552" s="669" t="s">
        <v>5805</v>
      </c>
      <c r="K1552" s="15"/>
      <c r="M1552" s="49">
        <f t="shared" si="695"/>
        <v>22.6</v>
      </c>
      <c r="N1552" s="41">
        <v>9.6</v>
      </c>
      <c r="O1552" s="186"/>
      <c r="P1552" s="177"/>
      <c r="Q1552" s="178" t="s">
        <v>1017</v>
      </c>
      <c r="R1552" s="178"/>
      <c r="S1552" s="178" t="s">
        <v>4180</v>
      </c>
      <c r="T1552" t="s">
        <v>4180</v>
      </c>
      <c r="U1552" s="179"/>
      <c r="V1552" s="178"/>
      <c r="W1552" s="180"/>
      <c r="X1552" s="180"/>
      <c r="Y1552" s="178"/>
      <c r="Z1552" s="180"/>
      <c r="AA1552" s="184"/>
      <c r="AB1552" s="178"/>
      <c r="AC1552" s="180"/>
      <c r="AD1552" s="199" t="s">
        <v>1017</v>
      </c>
      <c r="AE1552" s="200"/>
      <c r="AF1552" s="180"/>
      <c r="AG1552" s="201"/>
      <c r="AH1552" s="212" t="str">
        <f t="shared" si="702"/>
        <v/>
      </c>
      <c r="AI1552" s="214" t="str">
        <f t="shared" si="687"/>
        <v/>
      </c>
      <c r="AJ1552" s="214" t="str">
        <f t="shared" si="688"/>
        <v/>
      </c>
      <c r="AK1552" s="214" t="str">
        <f t="shared" si="689"/>
        <v/>
      </c>
      <c r="AL1552" s="214" t="str">
        <f t="shared" si="690"/>
        <v/>
      </c>
      <c r="AM1552" s="214" t="str">
        <f t="shared" si="691"/>
        <v/>
      </c>
      <c r="AN1552" s="213" t="str">
        <f t="shared" si="674"/>
        <v/>
      </c>
      <c r="AO1552" s="213" t="str">
        <f t="shared" si="675"/>
        <v/>
      </c>
      <c r="AP1552" s="213" t="str">
        <f t="shared" si="676"/>
        <v/>
      </c>
      <c r="AQ1552" s="215" t="str">
        <f t="shared" si="677"/>
        <v/>
      </c>
      <c r="AR1552" s="216" t="str">
        <f t="shared" si="678"/>
        <v>BiK82X2K09--06</v>
      </c>
      <c r="AS1552" s="215" t="str">
        <f t="shared" si="679"/>
        <v/>
      </c>
      <c r="AT1552">
        <f t="shared" si="680"/>
        <v>14</v>
      </c>
      <c r="AU1552" s="216" t="str">
        <f t="shared" si="681"/>
        <v>0,15-0,5 MW, Bonusregeln X2 und K erstmals 2009</v>
      </c>
      <c r="AV1552" s="215" t="str">
        <f t="shared" si="682"/>
        <v/>
      </c>
      <c r="AW1552" s="216" t="str">
        <f t="shared" si="683"/>
        <v>Anteil KWK, erstmals 2009</v>
      </c>
      <c r="AX1552" s="215" t="str">
        <f t="shared" si="684"/>
        <v/>
      </c>
      <c r="AY1552" t="str">
        <f t="shared" si="685"/>
        <v/>
      </c>
      <c r="AZ1552" t="str">
        <f t="shared" si="686"/>
        <v/>
      </c>
    </row>
    <row r="1553" spans="1:52" x14ac:dyDescent="0.25">
      <c r="A1553" s="610" t="s">
        <v>4919</v>
      </c>
      <c r="B1553" s="30" t="s">
        <v>5548</v>
      </c>
      <c r="C1553" s="30" t="s">
        <v>1296</v>
      </c>
      <c r="D1553" s="30" t="s">
        <v>7073</v>
      </c>
      <c r="E1553" s="30" t="s">
        <v>3567</v>
      </c>
      <c r="F1553" s="454">
        <f t="shared" si="693"/>
        <v>22.57</v>
      </c>
      <c r="G1553" s="529">
        <v>22.57</v>
      </c>
      <c r="H1553" s="487">
        <f t="shared" si="694"/>
        <v>18.059999999999999</v>
      </c>
      <c r="I1553" s="706"/>
      <c r="J1553" s="669" t="s">
        <v>5805</v>
      </c>
      <c r="K1553" s="15"/>
      <c r="M1553" s="49">
        <f t="shared" si="695"/>
        <v>22.57</v>
      </c>
      <c r="N1553" s="41">
        <v>9.6</v>
      </c>
      <c r="O1553" s="186"/>
      <c r="P1553" s="177"/>
      <c r="Q1553" s="178"/>
      <c r="R1553" s="178" t="s">
        <v>1017</v>
      </c>
      <c r="S1553" s="178" t="s">
        <v>4180</v>
      </c>
      <c r="T1553" t="s">
        <v>4180</v>
      </c>
      <c r="U1553" s="179"/>
      <c r="V1553" s="178"/>
      <c r="W1553" s="180"/>
      <c r="X1553" s="180"/>
      <c r="Y1553" s="178"/>
      <c r="Z1553" s="180"/>
      <c r="AA1553" s="184"/>
      <c r="AB1553" s="178"/>
      <c r="AC1553" s="180"/>
      <c r="AD1553" s="199" t="s">
        <v>1017</v>
      </c>
      <c r="AE1553" s="200"/>
      <c r="AF1553" s="180"/>
      <c r="AG1553" s="201"/>
      <c r="AH1553" s="212" t="str">
        <f t="shared" si="702"/>
        <v>2010</v>
      </c>
      <c r="AI1553" s="214" t="str">
        <f t="shared" si="687"/>
        <v/>
      </c>
      <c r="AJ1553" s="214" t="str">
        <f t="shared" si="688"/>
        <v/>
      </c>
      <c r="AK1553" s="214" t="str">
        <f t="shared" si="689"/>
        <v/>
      </c>
      <c r="AL1553" s="214" t="str">
        <f t="shared" si="690"/>
        <v/>
      </c>
      <c r="AM1553" s="214" t="str">
        <f t="shared" si="691"/>
        <v/>
      </c>
      <c r="AN1553" s="213" t="str">
        <f t="shared" si="674"/>
        <v>2010</v>
      </c>
      <c r="AO1553" s="213" t="str">
        <f t="shared" si="675"/>
        <v>2010</v>
      </c>
      <c r="AP1553" s="213" t="str">
        <f t="shared" si="676"/>
        <v>2010</v>
      </c>
      <c r="AQ1553" s="215" t="str">
        <f t="shared" si="677"/>
        <v/>
      </c>
      <c r="AR1553" s="216" t="str">
        <f t="shared" si="678"/>
        <v>BiK82X2K10--06</v>
      </c>
      <c r="AS1553" s="215" t="str">
        <f t="shared" si="679"/>
        <v/>
      </c>
      <c r="AT1553">
        <f t="shared" si="680"/>
        <v>14</v>
      </c>
      <c r="AU1553" s="216" t="str">
        <f t="shared" si="681"/>
        <v>0,15-0,5 MW, Bonusregeln X2 und K erstmals 2010</v>
      </c>
      <c r="AV1553" s="215" t="str">
        <f t="shared" si="682"/>
        <v/>
      </c>
      <c r="AW1553" s="216" t="str">
        <f t="shared" si="683"/>
        <v>Anteil KWK, erstmals 2010</v>
      </c>
      <c r="AX1553" s="215" t="str">
        <f t="shared" si="684"/>
        <v/>
      </c>
      <c r="AY1553" t="str">
        <f t="shared" si="685"/>
        <v/>
      </c>
      <c r="AZ1553" t="str">
        <f t="shared" si="686"/>
        <v/>
      </c>
    </row>
    <row r="1554" spans="1:52" x14ac:dyDescent="0.25">
      <c r="A1554" s="610" t="s">
        <v>3966</v>
      </c>
      <c r="B1554" s="30" t="s">
        <v>5548</v>
      </c>
      <c r="C1554" s="30" t="s">
        <v>1296</v>
      </c>
      <c r="D1554" s="30" t="s">
        <v>7074</v>
      </c>
      <c r="E1554" s="30" t="s">
        <v>3055</v>
      </c>
      <c r="F1554" s="454">
        <f t="shared" si="693"/>
        <v>22.54</v>
      </c>
      <c r="G1554" s="529">
        <v>22.54</v>
      </c>
      <c r="H1554" s="487">
        <f t="shared" si="694"/>
        <v>18.03</v>
      </c>
      <c r="I1554" s="706"/>
      <c r="J1554" s="669" t="s">
        <v>5805</v>
      </c>
      <c r="K1554" s="15"/>
      <c r="M1554" s="49">
        <f t="shared" si="695"/>
        <v>22.54</v>
      </c>
      <c r="N1554" s="41">
        <v>9.6</v>
      </c>
      <c r="O1554" s="186"/>
      <c r="P1554" s="177"/>
      <c r="Q1554" s="178"/>
      <c r="R1554" s="178"/>
      <c r="S1554" s="178" t="s">
        <v>1017</v>
      </c>
      <c r="T1554" t="s">
        <v>4180</v>
      </c>
      <c r="U1554" s="179"/>
      <c r="V1554" s="178"/>
      <c r="W1554" s="180"/>
      <c r="X1554" s="180"/>
      <c r="Y1554" s="178"/>
      <c r="Z1554" s="180"/>
      <c r="AA1554" s="184"/>
      <c r="AB1554" s="178"/>
      <c r="AC1554" s="180"/>
      <c r="AD1554" s="199" t="s">
        <v>1017</v>
      </c>
      <c r="AE1554" s="200"/>
      <c r="AF1554" s="180"/>
      <c r="AG1554" s="201"/>
      <c r="AH1554" s="212" t="str">
        <f t="shared" si="702"/>
        <v>2011</v>
      </c>
      <c r="AI1554" s="214" t="str">
        <f t="shared" si="687"/>
        <v/>
      </c>
      <c r="AJ1554" s="214" t="str">
        <f t="shared" si="688"/>
        <v/>
      </c>
      <c r="AK1554" s="214" t="str">
        <f t="shared" si="689"/>
        <v/>
      </c>
      <c r="AL1554" s="214" t="str">
        <f t="shared" si="690"/>
        <v/>
      </c>
      <c r="AM1554" s="214" t="str">
        <f t="shared" si="691"/>
        <v/>
      </c>
      <c r="AN1554" s="213" t="str">
        <f t="shared" si="674"/>
        <v>2011</v>
      </c>
      <c r="AO1554" s="213" t="str">
        <f t="shared" si="675"/>
        <v>2011</v>
      </c>
      <c r="AP1554" s="213" t="str">
        <f t="shared" si="676"/>
        <v>2011</v>
      </c>
      <c r="AQ1554" s="215" t="str">
        <f t="shared" si="677"/>
        <v/>
      </c>
      <c r="AR1554" s="216" t="str">
        <f t="shared" si="678"/>
        <v>BiK82X2K11--06</v>
      </c>
      <c r="AS1554" s="215" t="str">
        <f t="shared" si="679"/>
        <v/>
      </c>
      <c r="AT1554">
        <f t="shared" si="680"/>
        <v>14</v>
      </c>
      <c r="AU1554" s="216" t="str">
        <f t="shared" si="681"/>
        <v>0,15-0,5 MW, Bonusregeln X2 und K erstmals 2011</v>
      </c>
      <c r="AV1554" s="215" t="str">
        <f t="shared" si="682"/>
        <v/>
      </c>
      <c r="AW1554" s="216" t="str">
        <f t="shared" si="683"/>
        <v>Anteil KWK, erstmals 2011</v>
      </c>
      <c r="AX1554" s="215" t="str">
        <f t="shared" si="684"/>
        <v/>
      </c>
      <c r="AY1554" t="str">
        <f t="shared" si="685"/>
        <v>x</v>
      </c>
      <c r="AZ1554" t="str">
        <f t="shared" si="686"/>
        <v/>
      </c>
    </row>
    <row r="1555" spans="1:52" x14ac:dyDescent="0.25">
      <c r="A1555" s="625" t="s">
        <v>1788</v>
      </c>
      <c r="B1555" s="219" t="s">
        <v>5548</v>
      </c>
      <c r="C1555" s="219" t="s">
        <v>1296</v>
      </c>
      <c r="D1555" s="219" t="s">
        <v>7075</v>
      </c>
      <c r="E1555" s="219" t="s">
        <v>1980</v>
      </c>
      <c r="F1555" s="455">
        <f t="shared" si="693"/>
        <v>22.509999999999998</v>
      </c>
      <c r="G1555" s="530">
        <v>22.509999999999998</v>
      </c>
      <c r="H1555" s="488">
        <f t="shared" si="694"/>
        <v>18.010000000000002</v>
      </c>
      <c r="I1555" s="707"/>
      <c r="J1555" s="669" t="s">
        <v>5805</v>
      </c>
      <c r="K1555" s="15"/>
      <c r="M1555" s="49">
        <f t="shared" si="695"/>
        <v>22.509999999999998</v>
      </c>
      <c r="N1555" s="41">
        <v>9.6</v>
      </c>
      <c r="O1555" s="186"/>
      <c r="P1555" s="177"/>
      <c r="Q1555" s="178"/>
      <c r="R1555" s="178"/>
      <c r="S1555" s="178" t="s">
        <v>4180</v>
      </c>
      <c r="T1555" t="s">
        <v>1017</v>
      </c>
      <c r="U1555" s="179"/>
      <c r="V1555" s="178"/>
      <c r="W1555" s="180"/>
      <c r="X1555" s="180"/>
      <c r="Y1555" s="178"/>
      <c r="Z1555" s="180"/>
      <c r="AA1555" s="184"/>
      <c r="AB1555" s="178"/>
      <c r="AC1555" s="180"/>
      <c r="AD1555" s="199" t="s">
        <v>1017</v>
      </c>
      <c r="AE1555" s="200"/>
      <c r="AF1555" s="180"/>
      <c r="AG1555" s="201"/>
      <c r="AH1555" s="217" t="s">
        <v>4179</v>
      </c>
      <c r="AI1555" s="214" t="str">
        <f t="shared" si="687"/>
        <v/>
      </c>
      <c r="AJ1555" s="214" t="str">
        <f t="shared" si="688"/>
        <v/>
      </c>
      <c r="AK1555" s="214" t="str">
        <f t="shared" si="689"/>
        <v/>
      </c>
      <c r="AL1555" s="214" t="str">
        <f t="shared" si="690"/>
        <v/>
      </c>
      <c r="AM1555" s="214" t="str">
        <f t="shared" si="691"/>
        <v/>
      </c>
      <c r="AN1555" s="213" t="str">
        <f t="shared" si="674"/>
        <v>2012</v>
      </c>
      <c r="AO1555" s="213" t="str">
        <f t="shared" si="675"/>
        <v>2012</v>
      </c>
      <c r="AP1555" s="213" t="str">
        <f t="shared" si="676"/>
        <v>2012</v>
      </c>
      <c r="AQ1555" s="215" t="str">
        <f t="shared" si="677"/>
        <v/>
      </c>
      <c r="AR1555" s="216" t="str">
        <f t="shared" si="678"/>
        <v>BiK82X2K12--06</v>
      </c>
      <c r="AS1555" s="215" t="str">
        <f t="shared" si="679"/>
        <v/>
      </c>
      <c r="AT1555">
        <f t="shared" si="680"/>
        <v>14</v>
      </c>
      <c r="AU1555" s="216" t="str">
        <f t="shared" si="681"/>
        <v>0,15-0,5 MW, Bonusregeln X2 und K erstmals 2012</v>
      </c>
      <c r="AV1555" s="215" t="str">
        <f t="shared" si="682"/>
        <v/>
      </c>
      <c r="AW1555" s="216" t="str">
        <f t="shared" si="683"/>
        <v>Anteil KWK, erstmals 2012</v>
      </c>
      <c r="AX1555" s="215" t="str">
        <f t="shared" si="684"/>
        <v/>
      </c>
      <c r="AY1555" t="str">
        <f t="shared" si="685"/>
        <v/>
      </c>
      <c r="AZ1555" t="str">
        <f t="shared" si="686"/>
        <v>x</v>
      </c>
    </row>
    <row r="1556" spans="1:52" x14ac:dyDescent="0.25">
      <c r="A1556" s="610" t="s">
        <v>2798</v>
      </c>
      <c r="B1556" s="30" t="s">
        <v>5548</v>
      </c>
      <c r="C1556" s="30" t="s">
        <v>1296</v>
      </c>
      <c r="D1556" s="30" t="s">
        <v>7076</v>
      </c>
      <c r="E1556" s="30" t="s">
        <v>4810</v>
      </c>
      <c r="F1556" s="454">
        <f t="shared" si="693"/>
        <v>20.6</v>
      </c>
      <c r="G1556" s="529">
        <v>20.6</v>
      </c>
      <c r="H1556" s="487">
        <f t="shared" si="694"/>
        <v>16.48</v>
      </c>
      <c r="I1556" s="706"/>
      <c r="J1556" s="669" t="s">
        <v>5805</v>
      </c>
      <c r="K1556" s="15"/>
      <c r="M1556" s="49">
        <f t="shared" si="695"/>
        <v>20.6</v>
      </c>
      <c r="N1556" s="41">
        <v>9.6</v>
      </c>
      <c r="O1556" s="187"/>
      <c r="P1556" s="183"/>
      <c r="Q1556" s="184"/>
      <c r="R1556" s="184"/>
      <c r="S1556" s="184" t="s">
        <v>4180</v>
      </c>
      <c r="T1556" t="s">
        <v>4180</v>
      </c>
      <c r="U1556" s="185" t="s">
        <v>1017</v>
      </c>
      <c r="V1556" s="184"/>
      <c r="W1556" s="180"/>
      <c r="X1556" s="180"/>
      <c r="Y1556" s="178"/>
      <c r="Z1556" s="180"/>
      <c r="AA1556" s="184"/>
      <c r="AB1556" s="178"/>
      <c r="AC1556" s="180"/>
      <c r="AD1556" s="182" t="s">
        <v>1017</v>
      </c>
      <c r="AE1556" s="181"/>
      <c r="AF1556" s="180"/>
      <c r="AG1556" s="201"/>
      <c r="AH1556" s="212" t="str">
        <f t="shared" ref="AH1556:AH1561" si="703">IF(ISERROR(SEARCH("K erstmals 201",D1556)),"",RIGHT(D1556,4))</f>
        <v/>
      </c>
      <c r="AI1556" s="214" t="str">
        <f t="shared" si="687"/>
        <v/>
      </c>
      <c r="AJ1556" s="214" t="str">
        <f t="shared" si="688"/>
        <v/>
      </c>
      <c r="AK1556" s="214" t="str">
        <f t="shared" si="689"/>
        <v/>
      </c>
      <c r="AL1556" s="214" t="str">
        <f t="shared" si="690"/>
        <v/>
      </c>
      <c r="AM1556" s="214" t="str">
        <f t="shared" si="691"/>
        <v/>
      </c>
      <c r="AN1556" s="213" t="str">
        <f t="shared" si="674"/>
        <v/>
      </c>
      <c r="AO1556" s="213" t="str">
        <f t="shared" si="675"/>
        <v/>
      </c>
      <c r="AP1556" s="213" t="str">
        <f t="shared" si="676"/>
        <v/>
      </c>
      <c r="AQ1556" s="215" t="str">
        <f t="shared" si="677"/>
        <v/>
      </c>
      <c r="AR1556" s="216" t="str">
        <f t="shared" si="678"/>
        <v>BiK82X2y----06</v>
      </c>
      <c r="AS1556" s="215" t="str">
        <f t="shared" si="679"/>
        <v/>
      </c>
      <c r="AT1556">
        <f t="shared" si="680"/>
        <v>14</v>
      </c>
      <c r="AU1556" s="216" t="str">
        <f t="shared" si="681"/>
        <v>0,15-0,5 MW, Bonusregeln X2, y</v>
      </c>
      <c r="AV1556" s="215" t="str">
        <f t="shared" si="682"/>
        <v/>
      </c>
      <c r="AW1556" s="216" t="str">
        <f t="shared" si="683"/>
        <v>Anteil Nicht-KWK</v>
      </c>
      <c r="AX1556" s="215" t="str">
        <f t="shared" si="684"/>
        <v/>
      </c>
      <c r="AY1556" t="str">
        <f t="shared" si="685"/>
        <v/>
      </c>
      <c r="AZ1556" t="str">
        <f t="shared" si="686"/>
        <v/>
      </c>
    </row>
    <row r="1557" spans="1:52" x14ac:dyDescent="0.25">
      <c r="A1557" s="610" t="s">
        <v>2799</v>
      </c>
      <c r="B1557" s="30" t="s">
        <v>5548</v>
      </c>
      <c r="C1557" s="30" t="s">
        <v>1296</v>
      </c>
      <c r="D1557" s="30" t="s">
        <v>7129</v>
      </c>
      <c r="E1557" s="30" t="s">
        <v>4812</v>
      </c>
      <c r="F1557" s="454">
        <f t="shared" si="693"/>
        <v>22.6</v>
      </c>
      <c r="G1557" s="529">
        <v>22.6</v>
      </c>
      <c r="H1557" s="487">
        <f t="shared" si="694"/>
        <v>18.079999999999998</v>
      </c>
      <c r="I1557" s="706"/>
      <c r="J1557" s="669" t="s">
        <v>5805</v>
      </c>
      <c r="K1557" s="15"/>
      <c r="M1557" s="49">
        <f t="shared" si="695"/>
        <v>22.6</v>
      </c>
      <c r="N1557" s="41">
        <v>9.6</v>
      </c>
      <c r="O1557" s="187" t="s">
        <v>1017</v>
      </c>
      <c r="P1557" s="183"/>
      <c r="Q1557" s="184"/>
      <c r="R1557" s="184"/>
      <c r="S1557" s="184" t="s">
        <v>4180</v>
      </c>
      <c r="T1557" t="s">
        <v>4180</v>
      </c>
      <c r="U1557" s="185" t="s">
        <v>1017</v>
      </c>
      <c r="V1557" s="184"/>
      <c r="W1557" s="180"/>
      <c r="X1557" s="180"/>
      <c r="Y1557" s="178"/>
      <c r="Z1557" s="180"/>
      <c r="AA1557" s="184"/>
      <c r="AB1557" s="178"/>
      <c r="AC1557" s="180"/>
      <c r="AD1557" s="182" t="s">
        <v>1017</v>
      </c>
      <c r="AE1557" s="181"/>
      <c r="AF1557" s="180"/>
      <c r="AG1557" s="201"/>
      <c r="AH1557" s="212" t="str">
        <f t="shared" si="703"/>
        <v/>
      </c>
      <c r="AI1557" s="214" t="str">
        <f t="shared" si="687"/>
        <v/>
      </c>
      <c r="AJ1557" s="214" t="str">
        <f t="shared" si="688"/>
        <v/>
      </c>
      <c r="AK1557" s="214" t="str">
        <f t="shared" si="689"/>
        <v/>
      </c>
      <c r="AL1557" s="214" t="str">
        <f t="shared" si="690"/>
        <v/>
      </c>
      <c r="AM1557" s="214" t="str">
        <f t="shared" si="691"/>
        <v/>
      </c>
      <c r="AN1557" s="213" t="str">
        <f t="shared" si="674"/>
        <v/>
      </c>
      <c r="AO1557" s="213" t="str">
        <f t="shared" si="675"/>
        <v/>
      </c>
      <c r="AP1557" s="213" t="str">
        <f t="shared" si="676"/>
        <v/>
      </c>
      <c r="AQ1557" s="215" t="str">
        <f t="shared" si="677"/>
        <v/>
      </c>
      <c r="AR1557" s="216" t="str">
        <f t="shared" si="678"/>
        <v>BiK82X2KWKy-06</v>
      </c>
      <c r="AS1557" s="215" t="str">
        <f t="shared" si="679"/>
        <v/>
      </c>
      <c r="AT1557">
        <f t="shared" si="680"/>
        <v>14</v>
      </c>
      <c r="AU1557" s="216" t="str">
        <f t="shared" si="681"/>
        <v>0,15-0,5 MW, Bonusregeln X2, y und KWK</v>
      </c>
      <c r="AV1557" s="215" t="str">
        <f t="shared" si="682"/>
        <v/>
      </c>
      <c r="AW1557" s="216" t="str">
        <f t="shared" si="683"/>
        <v>Anteil KWK</v>
      </c>
      <c r="AX1557" s="215" t="str">
        <f t="shared" si="684"/>
        <v/>
      </c>
      <c r="AY1557" t="str">
        <f t="shared" si="685"/>
        <v/>
      </c>
      <c r="AZ1557" t="str">
        <f t="shared" si="686"/>
        <v/>
      </c>
    </row>
    <row r="1558" spans="1:52" x14ac:dyDescent="0.25">
      <c r="A1558" s="610" t="s">
        <v>3204</v>
      </c>
      <c r="B1558" s="30" t="s">
        <v>5548</v>
      </c>
      <c r="C1558" s="30" t="s">
        <v>1296</v>
      </c>
      <c r="D1558" s="109" t="s">
        <v>7077</v>
      </c>
      <c r="E1558" s="30" t="s">
        <v>4331</v>
      </c>
      <c r="F1558" s="454">
        <f t="shared" si="693"/>
        <v>23.6</v>
      </c>
      <c r="G1558" s="529">
        <v>23.6</v>
      </c>
      <c r="H1558" s="487">
        <f t="shared" si="694"/>
        <v>18.88</v>
      </c>
      <c r="I1558" s="706"/>
      <c r="J1558" s="669" t="s">
        <v>5805</v>
      </c>
      <c r="K1558" s="15"/>
      <c r="M1558" s="49">
        <f t="shared" si="695"/>
        <v>23.6</v>
      </c>
      <c r="N1558" s="41">
        <v>9.6</v>
      </c>
      <c r="O1558" s="187"/>
      <c r="P1558" s="184" t="s">
        <v>1017</v>
      </c>
      <c r="Q1558" s="184"/>
      <c r="R1558" s="184"/>
      <c r="S1558" s="184" t="s">
        <v>4180</v>
      </c>
      <c r="T1558" t="s">
        <v>4180</v>
      </c>
      <c r="U1558" s="185" t="s">
        <v>1017</v>
      </c>
      <c r="V1558" s="184"/>
      <c r="W1558" s="180"/>
      <c r="X1558" s="180"/>
      <c r="Y1558" s="178"/>
      <c r="Z1558" s="180"/>
      <c r="AA1558" s="184"/>
      <c r="AB1558" s="178"/>
      <c r="AC1558" s="180"/>
      <c r="AD1558" s="182" t="s">
        <v>1017</v>
      </c>
      <c r="AE1558" s="181"/>
      <c r="AF1558" s="180"/>
      <c r="AG1558" s="201"/>
      <c r="AH1558" s="212" t="str">
        <f t="shared" si="703"/>
        <v/>
      </c>
      <c r="AI1558" s="214" t="str">
        <f t="shared" si="687"/>
        <v/>
      </c>
      <c r="AJ1558" s="214" t="str">
        <f t="shared" si="688"/>
        <v/>
      </c>
      <c r="AK1558" s="214" t="str">
        <f t="shared" si="689"/>
        <v/>
      </c>
      <c r="AL1558" s="214" t="str">
        <f t="shared" si="690"/>
        <v/>
      </c>
      <c r="AM1558" s="214" t="str">
        <f t="shared" si="691"/>
        <v/>
      </c>
      <c r="AN1558" s="213" t="str">
        <f t="shared" si="674"/>
        <v/>
      </c>
      <c r="AO1558" s="213" t="str">
        <f t="shared" si="675"/>
        <v/>
      </c>
      <c r="AP1558" s="213" t="str">
        <f t="shared" si="676"/>
        <v/>
      </c>
      <c r="AQ1558" s="215" t="str">
        <f t="shared" si="677"/>
        <v/>
      </c>
      <c r="AR1558" s="216" t="str">
        <f t="shared" si="678"/>
        <v>BiK82X2KA3y-06</v>
      </c>
      <c r="AS1558" s="215" t="str">
        <f t="shared" si="679"/>
        <v/>
      </c>
      <c r="AT1558">
        <f t="shared" si="680"/>
        <v>14</v>
      </c>
      <c r="AU1558" s="216" t="str">
        <f t="shared" si="681"/>
        <v>0,15-0,5 MW, Bonusregeln X2, y und K wenn Anlage 3 erfüllt</v>
      </c>
      <c r="AV1558" s="215" t="str">
        <f t="shared" si="682"/>
        <v/>
      </c>
      <c r="AW1558" s="216" t="str">
        <f t="shared" si="683"/>
        <v>Anteil KWK gemäß Anlage 3</v>
      </c>
      <c r="AX1558" s="215" t="str">
        <f t="shared" si="684"/>
        <v/>
      </c>
      <c r="AY1558" t="str">
        <f t="shared" si="685"/>
        <v/>
      </c>
      <c r="AZ1558" t="str">
        <f t="shared" si="686"/>
        <v/>
      </c>
    </row>
    <row r="1559" spans="1:52" x14ac:dyDescent="0.25">
      <c r="A1559" s="610" t="s">
        <v>3205</v>
      </c>
      <c r="B1559" s="30" t="s">
        <v>5548</v>
      </c>
      <c r="C1559" s="30" t="s">
        <v>1296</v>
      </c>
      <c r="D1559" s="30" t="s">
        <v>7078</v>
      </c>
      <c r="E1559" s="30" t="s">
        <v>674</v>
      </c>
      <c r="F1559" s="454">
        <f t="shared" si="693"/>
        <v>23.6</v>
      </c>
      <c r="G1559" s="529">
        <v>23.6</v>
      </c>
      <c r="H1559" s="487">
        <f t="shared" si="694"/>
        <v>18.88</v>
      </c>
      <c r="I1559" s="706"/>
      <c r="J1559" s="669" t="s">
        <v>5805</v>
      </c>
      <c r="K1559" s="15"/>
      <c r="M1559" s="49">
        <f t="shared" si="695"/>
        <v>23.6</v>
      </c>
      <c r="N1559" s="41">
        <v>9.6</v>
      </c>
      <c r="O1559" s="187"/>
      <c r="P1559" s="183"/>
      <c r="Q1559" s="184" t="s">
        <v>1017</v>
      </c>
      <c r="R1559" s="184"/>
      <c r="S1559" s="184" t="s">
        <v>4180</v>
      </c>
      <c r="T1559" t="s">
        <v>4180</v>
      </c>
      <c r="U1559" s="185" t="s">
        <v>1017</v>
      </c>
      <c r="V1559" s="184"/>
      <c r="W1559" s="180"/>
      <c r="X1559" s="180"/>
      <c r="Y1559" s="178"/>
      <c r="Z1559" s="180"/>
      <c r="AA1559" s="184"/>
      <c r="AB1559" s="178"/>
      <c r="AC1559" s="180"/>
      <c r="AD1559" s="182" t="s">
        <v>1017</v>
      </c>
      <c r="AE1559" s="181"/>
      <c r="AF1559" s="180"/>
      <c r="AG1559" s="201"/>
      <c r="AH1559" s="212" t="str">
        <f t="shared" si="703"/>
        <v/>
      </c>
      <c r="AI1559" s="214" t="str">
        <f t="shared" si="687"/>
        <v/>
      </c>
      <c r="AJ1559" s="214" t="str">
        <f t="shared" si="688"/>
        <v/>
      </c>
      <c r="AK1559" s="214" t="str">
        <f t="shared" si="689"/>
        <v/>
      </c>
      <c r="AL1559" s="214" t="str">
        <f t="shared" si="690"/>
        <v/>
      </c>
      <c r="AM1559" s="214" t="str">
        <f t="shared" si="691"/>
        <v/>
      </c>
      <c r="AN1559" s="213" t="str">
        <f t="shared" si="674"/>
        <v/>
      </c>
      <c r="AO1559" s="213" t="str">
        <f t="shared" si="675"/>
        <v/>
      </c>
      <c r="AP1559" s="213" t="str">
        <f t="shared" si="676"/>
        <v/>
      </c>
      <c r="AQ1559" s="215" t="str">
        <f t="shared" si="677"/>
        <v/>
      </c>
      <c r="AR1559" s="216" t="str">
        <f t="shared" si="678"/>
        <v>BiK82X2K09y-06</v>
      </c>
      <c r="AS1559" s="215" t="str">
        <f t="shared" si="679"/>
        <v/>
      </c>
      <c r="AT1559">
        <f t="shared" si="680"/>
        <v>14</v>
      </c>
      <c r="AU1559" s="216" t="str">
        <f t="shared" si="681"/>
        <v>0,15-0,5 MW, Bonusregeln X2, y und K erstmals 2009</v>
      </c>
      <c r="AV1559" s="215" t="str">
        <f t="shared" si="682"/>
        <v/>
      </c>
      <c r="AW1559" s="216" t="str">
        <f t="shared" si="683"/>
        <v>Anteil KWK, erstmals 2009</v>
      </c>
      <c r="AX1559" s="215" t="str">
        <f t="shared" si="684"/>
        <v/>
      </c>
      <c r="AY1559" t="str">
        <f t="shared" si="685"/>
        <v/>
      </c>
      <c r="AZ1559" t="str">
        <f t="shared" si="686"/>
        <v/>
      </c>
    </row>
    <row r="1560" spans="1:52" x14ac:dyDescent="0.25">
      <c r="A1560" s="610" t="s">
        <v>4920</v>
      </c>
      <c r="B1560" s="30" t="s">
        <v>5548</v>
      </c>
      <c r="C1560" s="30" t="s">
        <v>1296</v>
      </c>
      <c r="D1560" s="30" t="s">
        <v>7079</v>
      </c>
      <c r="E1560" s="30" t="s">
        <v>3567</v>
      </c>
      <c r="F1560" s="454">
        <f t="shared" si="693"/>
        <v>23.57</v>
      </c>
      <c r="G1560" s="529">
        <v>23.57</v>
      </c>
      <c r="H1560" s="487">
        <f t="shared" si="694"/>
        <v>18.86</v>
      </c>
      <c r="I1560" s="706"/>
      <c r="J1560" s="669" t="s">
        <v>5805</v>
      </c>
      <c r="K1560" s="15"/>
      <c r="M1560" s="49">
        <f t="shared" si="695"/>
        <v>23.57</v>
      </c>
      <c r="N1560" s="41">
        <v>9.6</v>
      </c>
      <c r="O1560" s="187"/>
      <c r="P1560" s="183"/>
      <c r="Q1560" s="184"/>
      <c r="R1560" s="184" t="s">
        <v>1017</v>
      </c>
      <c r="S1560" s="184" t="s">
        <v>4180</v>
      </c>
      <c r="T1560" t="s">
        <v>4180</v>
      </c>
      <c r="U1560" s="185" t="s">
        <v>1017</v>
      </c>
      <c r="V1560" s="184"/>
      <c r="W1560" s="180"/>
      <c r="X1560" s="180"/>
      <c r="Y1560" s="178"/>
      <c r="Z1560" s="180"/>
      <c r="AA1560" s="184"/>
      <c r="AB1560" s="178"/>
      <c r="AC1560" s="180"/>
      <c r="AD1560" s="182" t="s">
        <v>1017</v>
      </c>
      <c r="AE1560" s="181"/>
      <c r="AF1560" s="180"/>
      <c r="AG1560" s="201"/>
      <c r="AH1560" s="212" t="str">
        <f t="shared" si="703"/>
        <v>2010</v>
      </c>
      <c r="AI1560" s="214" t="str">
        <f t="shared" si="687"/>
        <v/>
      </c>
      <c r="AJ1560" s="214" t="str">
        <f t="shared" si="688"/>
        <v/>
      </c>
      <c r="AK1560" s="214" t="str">
        <f t="shared" si="689"/>
        <v/>
      </c>
      <c r="AL1560" s="214" t="str">
        <f t="shared" si="690"/>
        <v/>
      </c>
      <c r="AM1560" s="214" t="str">
        <f t="shared" si="691"/>
        <v/>
      </c>
      <c r="AN1560" s="213" t="str">
        <f t="shared" si="674"/>
        <v>2010</v>
      </c>
      <c r="AO1560" s="213" t="str">
        <f t="shared" si="675"/>
        <v>2010</v>
      </c>
      <c r="AP1560" s="213" t="str">
        <f t="shared" si="676"/>
        <v>2010</v>
      </c>
      <c r="AQ1560" s="215" t="str">
        <f t="shared" si="677"/>
        <v/>
      </c>
      <c r="AR1560" s="216" t="str">
        <f t="shared" si="678"/>
        <v>BiK82X2K10y-06</v>
      </c>
      <c r="AS1560" s="215" t="str">
        <f t="shared" si="679"/>
        <v/>
      </c>
      <c r="AT1560">
        <f t="shared" si="680"/>
        <v>14</v>
      </c>
      <c r="AU1560" s="216" t="str">
        <f t="shared" si="681"/>
        <v>0,15-0,5 MW, Bonusregeln X2, y und K erstmals 2010</v>
      </c>
      <c r="AV1560" s="215" t="str">
        <f t="shared" si="682"/>
        <v/>
      </c>
      <c r="AW1560" s="216" t="str">
        <f t="shared" si="683"/>
        <v>Anteil KWK, erstmals 2010</v>
      </c>
      <c r="AX1560" s="215" t="str">
        <f t="shared" si="684"/>
        <v/>
      </c>
      <c r="AY1560" t="str">
        <f t="shared" si="685"/>
        <v/>
      </c>
      <c r="AZ1560" t="str">
        <f t="shared" si="686"/>
        <v/>
      </c>
    </row>
    <row r="1561" spans="1:52" x14ac:dyDescent="0.25">
      <c r="A1561" s="610" t="s">
        <v>3967</v>
      </c>
      <c r="B1561" s="30" t="s">
        <v>5548</v>
      </c>
      <c r="C1561" s="30" t="s">
        <v>1296</v>
      </c>
      <c r="D1561" s="30" t="s">
        <v>7080</v>
      </c>
      <c r="E1561" s="30" t="s">
        <v>3055</v>
      </c>
      <c r="F1561" s="454">
        <f t="shared" si="693"/>
        <v>23.54</v>
      </c>
      <c r="G1561" s="529">
        <v>23.54</v>
      </c>
      <c r="H1561" s="487">
        <f t="shared" si="694"/>
        <v>18.829999999999998</v>
      </c>
      <c r="I1561" s="706"/>
      <c r="J1561" s="669" t="s">
        <v>5805</v>
      </c>
      <c r="K1561" s="15"/>
      <c r="M1561" s="49">
        <f t="shared" si="695"/>
        <v>23.54</v>
      </c>
      <c r="N1561" s="41">
        <v>9.6</v>
      </c>
      <c r="O1561" s="187"/>
      <c r="P1561" s="183"/>
      <c r="Q1561" s="184"/>
      <c r="R1561" s="178"/>
      <c r="S1561" s="184" t="s">
        <v>1017</v>
      </c>
      <c r="T1561" t="s">
        <v>4180</v>
      </c>
      <c r="U1561" s="185" t="s">
        <v>1017</v>
      </c>
      <c r="V1561" s="184"/>
      <c r="W1561" s="180"/>
      <c r="X1561" s="180"/>
      <c r="Y1561" s="178"/>
      <c r="Z1561" s="180"/>
      <c r="AA1561" s="184"/>
      <c r="AB1561" s="178"/>
      <c r="AC1561" s="180"/>
      <c r="AD1561" s="182" t="s">
        <v>1017</v>
      </c>
      <c r="AE1561" s="181"/>
      <c r="AF1561" s="180"/>
      <c r="AG1561" s="201"/>
      <c r="AH1561" s="212" t="str">
        <f t="shared" si="703"/>
        <v>2011</v>
      </c>
      <c r="AI1561" s="214" t="str">
        <f t="shared" si="687"/>
        <v/>
      </c>
      <c r="AJ1561" s="214" t="str">
        <f t="shared" si="688"/>
        <v/>
      </c>
      <c r="AK1561" s="214" t="str">
        <f t="shared" si="689"/>
        <v/>
      </c>
      <c r="AL1561" s="214" t="str">
        <f t="shared" si="690"/>
        <v/>
      </c>
      <c r="AM1561" s="214" t="str">
        <f t="shared" si="691"/>
        <v/>
      </c>
      <c r="AN1561" s="213" t="str">
        <f t="shared" ref="AN1561:AN1624" si="704">IF(ISERROR(SEARCH("K1",A1561)),"","20"&amp;MID(A1561,SEARCH("K1",A1561)+1,2))</f>
        <v>2011</v>
      </c>
      <c r="AO1561" s="213" t="str">
        <f t="shared" ref="AO1561:AO1624" si="705">IF(ISERROR(SEARCH("erstmals 201",E1561)),"",MID(E1561,SEARCH("erstmals ",E1561)+9,4))</f>
        <v>2011</v>
      </c>
      <c r="AP1561" s="213" t="str">
        <f t="shared" ref="AP1561:AP1624" si="706">IF(R1561="x","2010",IF(S1561="x","2011",IF(T1561="x","2012","")))</f>
        <v>2011</v>
      </c>
      <c r="AQ1561" s="215" t="str">
        <f t="shared" ref="AQ1561:AQ1624" si="707">IF(OR(AH1561&lt;&gt;AN1561,AH1561&lt;&gt;AO1561,AH1561&lt;&gt;AP1561),"DIFF","")</f>
        <v/>
      </c>
      <c r="AR1561" s="216" t="str">
        <f t="shared" ref="AR1561:AR1624" si="708">IF(A1561="","",IF(ISERROR(SEARCH("K1",A1561)),A1561,LEFT(A1561,SEARCH("K1",A1561)+1)&amp;RIGHT(AH1561,1)&amp;MID(A1561,SEARCH("K1",A1561)+3,14)))</f>
        <v>BiK82X2K11y-06</v>
      </c>
      <c r="AS1561" s="215" t="str">
        <f t="shared" ref="AS1561:AS1624" si="709">IF(OR(A1561&lt;&gt;AR1561),"DIFF","")</f>
        <v/>
      </c>
      <c r="AT1561">
        <f t="shared" ref="AT1561:AT1624" si="710">LEN(AR1561)</f>
        <v>14</v>
      </c>
      <c r="AU1561" s="216" t="str">
        <f t="shared" ref="AU1561:AU1624" si="711">IF(D1561="","",IF(OR(A1561="",ISERROR(SEARCH("erstmals 201",D1561))),D1561,LEFT(D1561,SEARCH("erstmals 201",D1561)+8) &amp; AH1561 &amp; MID(D1561,SEARCH("erstmals 201",D1561)+13,255)))</f>
        <v>0,15-0,5 MW, Bonusregeln X2, y und K erstmals 2011</v>
      </c>
      <c r="AV1561" s="215" t="str">
        <f t="shared" ref="AV1561:AV1624" si="712">IF(OR(D1561&lt;&gt;AU1561),"DIFF","")</f>
        <v/>
      </c>
      <c r="AW1561" s="216" t="str">
        <f t="shared" ref="AW1561:AW1624" si="713">IF(E1561="","",IF(OR(E1561="",ISERROR(SEARCH("erstmals 201",E1561))),E1561,LEFT(E1561,SEARCH("erstmals 201",E1561)+8) &amp; AH1561 &amp; MID(E1561,SEARCH("erstmals 201",E1561)+13,255)))</f>
        <v>Anteil KWK, erstmals 2011</v>
      </c>
      <c r="AX1561" s="215" t="str">
        <f t="shared" ref="AX1561:AX1624" si="714">IF(OR(E1561&lt;&gt;AW1561),"DIFF","")</f>
        <v/>
      </c>
      <c r="AY1561" t="str">
        <f t="shared" ref="AY1561:AY1624" si="715">IF(AH1561="2011","x",IF(AH1561="2012","","" &amp; S1561))</f>
        <v>x</v>
      </c>
      <c r="AZ1561" t="str">
        <f t="shared" ref="AZ1561:AZ1624" si="716">IF(AH1561="2012","x",IF(AH1561="2011","","" &amp; T1561))</f>
        <v/>
      </c>
    </row>
    <row r="1562" spans="1:52" x14ac:dyDescent="0.25">
      <c r="A1562" s="625" t="s">
        <v>1789</v>
      </c>
      <c r="B1562" s="219" t="s">
        <v>5548</v>
      </c>
      <c r="C1562" s="219" t="s">
        <v>1296</v>
      </c>
      <c r="D1562" s="219" t="s">
        <v>7081</v>
      </c>
      <c r="E1562" s="219" t="s">
        <v>1980</v>
      </c>
      <c r="F1562" s="455">
        <f t="shared" si="693"/>
        <v>23.509999999999998</v>
      </c>
      <c r="G1562" s="530">
        <v>23.509999999999998</v>
      </c>
      <c r="H1562" s="488">
        <f t="shared" si="694"/>
        <v>18.809999999999999</v>
      </c>
      <c r="I1562" s="707"/>
      <c r="J1562" s="669" t="s">
        <v>5805</v>
      </c>
      <c r="K1562" s="15"/>
      <c r="M1562" s="49">
        <f t="shared" si="695"/>
        <v>23.509999999999998</v>
      </c>
      <c r="N1562" s="41">
        <v>9.6</v>
      </c>
      <c r="O1562" s="187"/>
      <c r="P1562" s="183"/>
      <c r="Q1562" s="184"/>
      <c r="R1562" s="178"/>
      <c r="S1562" s="184" t="s">
        <v>4180</v>
      </c>
      <c r="T1562" t="s">
        <v>1017</v>
      </c>
      <c r="U1562" s="185" t="s">
        <v>1017</v>
      </c>
      <c r="V1562" s="184"/>
      <c r="W1562" s="180"/>
      <c r="X1562" s="180"/>
      <c r="Y1562" s="178"/>
      <c r="Z1562" s="180"/>
      <c r="AA1562" s="184"/>
      <c r="AB1562" s="178"/>
      <c r="AC1562" s="180"/>
      <c r="AD1562" s="182" t="s">
        <v>1017</v>
      </c>
      <c r="AE1562" s="181"/>
      <c r="AF1562" s="180"/>
      <c r="AG1562" s="201"/>
      <c r="AH1562" s="217" t="s">
        <v>4179</v>
      </c>
      <c r="AI1562" s="214" t="str">
        <f t="shared" si="687"/>
        <v/>
      </c>
      <c r="AJ1562" s="214" t="str">
        <f t="shared" si="688"/>
        <v/>
      </c>
      <c r="AK1562" s="214" t="str">
        <f t="shared" si="689"/>
        <v/>
      </c>
      <c r="AL1562" s="214" t="str">
        <f t="shared" si="690"/>
        <v/>
      </c>
      <c r="AM1562" s="214" t="str">
        <f t="shared" si="691"/>
        <v/>
      </c>
      <c r="AN1562" s="213" t="str">
        <f t="shared" si="704"/>
        <v>2012</v>
      </c>
      <c r="AO1562" s="213" t="str">
        <f t="shared" si="705"/>
        <v>2012</v>
      </c>
      <c r="AP1562" s="213" t="str">
        <f t="shared" si="706"/>
        <v>2012</v>
      </c>
      <c r="AQ1562" s="215" t="str">
        <f t="shared" si="707"/>
        <v/>
      </c>
      <c r="AR1562" s="216" t="str">
        <f t="shared" si="708"/>
        <v>BiK82X2K12y-06</v>
      </c>
      <c r="AS1562" s="215" t="str">
        <f t="shared" si="709"/>
        <v/>
      </c>
      <c r="AT1562">
        <f t="shared" si="710"/>
        <v>14</v>
      </c>
      <c r="AU1562" s="216" t="str">
        <f t="shared" si="711"/>
        <v>0,15-0,5 MW, Bonusregeln X2, y und K erstmals 2012</v>
      </c>
      <c r="AV1562" s="215" t="str">
        <f t="shared" si="712"/>
        <v/>
      </c>
      <c r="AW1562" s="216" t="str">
        <f t="shared" si="713"/>
        <v>Anteil KWK, erstmals 2012</v>
      </c>
      <c r="AX1562" s="215" t="str">
        <f t="shared" si="714"/>
        <v/>
      </c>
      <c r="AY1562" t="str">
        <f t="shared" si="715"/>
        <v/>
      </c>
      <c r="AZ1562" t="str">
        <f t="shared" si="716"/>
        <v>x</v>
      </c>
    </row>
    <row r="1563" spans="1:52" x14ac:dyDescent="0.25">
      <c r="A1563" s="609" t="s">
        <v>886</v>
      </c>
      <c r="B1563" s="1" t="s">
        <v>5548</v>
      </c>
      <c r="C1563" s="2" t="s">
        <v>1296</v>
      </c>
      <c r="D1563" s="1" t="s">
        <v>7130</v>
      </c>
      <c r="E1563" s="1" t="s">
        <v>4810</v>
      </c>
      <c r="F1563" s="456">
        <f t="shared" si="693"/>
        <v>11.6</v>
      </c>
      <c r="G1563" s="531">
        <v>11.6</v>
      </c>
      <c r="H1563" s="489">
        <f t="shared" si="694"/>
        <v>9.2799999999999994</v>
      </c>
      <c r="I1563" s="708"/>
      <c r="J1563" s="669" t="s">
        <v>5805</v>
      </c>
      <c r="K1563" s="15"/>
      <c r="M1563" s="49">
        <f t="shared" si="695"/>
        <v>11.6</v>
      </c>
      <c r="N1563" s="41">
        <v>9.6</v>
      </c>
      <c r="O1563" s="54"/>
      <c r="P1563" s="15"/>
      <c r="S1563" t="s">
        <v>4180</v>
      </c>
      <c r="T1563" t="s">
        <v>4180</v>
      </c>
      <c r="U1563" s="55"/>
      <c r="W1563" s="65"/>
      <c r="X1563" s="65"/>
      <c r="Z1563" s="65"/>
      <c r="AC1563" s="65"/>
      <c r="AD1563" s="92"/>
      <c r="AE1563" s="124" t="s">
        <v>1017</v>
      </c>
      <c r="AF1563" s="65"/>
      <c r="AG1563" s="91"/>
      <c r="AH1563" s="212" t="str">
        <f t="shared" ref="AH1563:AH1568" si="717">IF(ISERROR(SEARCH("K erstmals 201",D1563)),"",RIGHT(D1563,4))</f>
        <v/>
      </c>
      <c r="AI1563" s="214" t="str">
        <f t="shared" ref="AI1563:AI1626" si="718">IF(AND($AH1563&lt;&gt;"",AH1563 =AH1562),"Gleich","")</f>
        <v/>
      </c>
      <c r="AJ1563" s="214" t="str">
        <f t="shared" ref="AJ1563:AJ1626" si="719">IF(AND($AH1563&lt;&gt;"",A1563 =A1562),"Gleich","")</f>
        <v/>
      </c>
      <c r="AK1563" s="214" t="str">
        <f t="shared" ref="AK1563:AK1626" si="720">IF(AND($AH1563&lt;&gt;"",D1563 =D1562),"Gleich","")</f>
        <v/>
      </c>
      <c r="AL1563" s="214" t="str">
        <f t="shared" ref="AL1563:AL1626" si="721">IF(AND($AH1563&lt;&gt;"",E1563 =E1562),"Gleich","")</f>
        <v/>
      </c>
      <c r="AM1563" s="214" t="str">
        <f t="shared" ref="AM1563:AM1626" si="722">IF(AND($AH1563&lt;&gt;"",F1563 =F1562),"Gleich","")</f>
        <v/>
      </c>
      <c r="AN1563" s="213" t="str">
        <f t="shared" si="704"/>
        <v/>
      </c>
      <c r="AO1563" s="213" t="str">
        <f t="shared" si="705"/>
        <v/>
      </c>
      <c r="AP1563" s="213" t="str">
        <f t="shared" si="706"/>
        <v/>
      </c>
      <c r="AQ1563" s="215" t="str">
        <f t="shared" si="707"/>
        <v/>
      </c>
      <c r="AR1563" s="216" t="str">
        <f t="shared" si="708"/>
        <v>BiK82b------06</v>
      </c>
      <c r="AS1563" s="215" t="str">
        <f t="shared" si="709"/>
        <v/>
      </c>
      <c r="AT1563">
        <f t="shared" si="710"/>
        <v>14</v>
      </c>
      <c r="AU1563" s="216" t="str">
        <f t="shared" si="711"/>
        <v>0,15-0,5 MW, Bonusregel b</v>
      </c>
      <c r="AV1563" s="215" t="str">
        <f t="shared" si="712"/>
        <v/>
      </c>
      <c r="AW1563" s="216" t="str">
        <f t="shared" si="713"/>
        <v>Anteil Nicht-KWK</v>
      </c>
      <c r="AX1563" s="215" t="str">
        <f t="shared" si="714"/>
        <v/>
      </c>
      <c r="AY1563" t="str">
        <f t="shared" si="715"/>
        <v/>
      </c>
      <c r="AZ1563" t="str">
        <f t="shared" si="716"/>
        <v/>
      </c>
    </row>
    <row r="1564" spans="1:52" x14ac:dyDescent="0.25">
      <c r="A1564" s="609" t="s">
        <v>887</v>
      </c>
      <c r="B1564" s="1" t="s">
        <v>5548</v>
      </c>
      <c r="C1564" s="2" t="s">
        <v>1296</v>
      </c>
      <c r="D1564" s="36" t="s">
        <v>7131</v>
      </c>
      <c r="E1564" s="1" t="s">
        <v>4812</v>
      </c>
      <c r="F1564" s="456">
        <f t="shared" si="693"/>
        <v>13.6</v>
      </c>
      <c r="G1564" s="531">
        <v>13.6</v>
      </c>
      <c r="H1564" s="489">
        <f t="shared" si="694"/>
        <v>10.88</v>
      </c>
      <c r="I1564" s="708"/>
      <c r="J1564" s="669" t="s">
        <v>5805</v>
      </c>
      <c r="K1564" s="15"/>
      <c r="M1564" s="49">
        <f t="shared" si="695"/>
        <v>13.6</v>
      </c>
      <c r="N1564" s="41">
        <v>9.6</v>
      </c>
      <c r="O1564" s="54" t="s">
        <v>1017</v>
      </c>
      <c r="P1564" s="15"/>
      <c r="S1564" t="s">
        <v>4180</v>
      </c>
      <c r="T1564" t="s">
        <v>4180</v>
      </c>
      <c r="U1564" s="55"/>
      <c r="W1564" s="65"/>
      <c r="X1564" s="65"/>
      <c r="Z1564" s="65"/>
      <c r="AC1564" s="65"/>
      <c r="AD1564" s="92"/>
      <c r="AE1564" s="124" t="s">
        <v>1017</v>
      </c>
      <c r="AF1564" s="65"/>
      <c r="AG1564" s="91"/>
      <c r="AH1564" s="212" t="str">
        <f t="shared" si="717"/>
        <v/>
      </c>
      <c r="AI1564" s="214" t="str">
        <f t="shared" si="718"/>
        <v/>
      </c>
      <c r="AJ1564" s="214" t="str">
        <f t="shared" si="719"/>
        <v/>
      </c>
      <c r="AK1564" s="214" t="str">
        <f t="shared" si="720"/>
        <v/>
      </c>
      <c r="AL1564" s="214" t="str">
        <f t="shared" si="721"/>
        <v/>
      </c>
      <c r="AM1564" s="214" t="str">
        <f t="shared" si="722"/>
        <v/>
      </c>
      <c r="AN1564" s="213" t="str">
        <f t="shared" si="704"/>
        <v/>
      </c>
      <c r="AO1564" s="213" t="str">
        <f t="shared" si="705"/>
        <v/>
      </c>
      <c r="AP1564" s="213" t="str">
        <f t="shared" si="706"/>
        <v/>
      </c>
      <c r="AQ1564" s="215" t="str">
        <f t="shared" si="707"/>
        <v/>
      </c>
      <c r="AR1564" s="216" t="str">
        <f t="shared" si="708"/>
        <v>BiK82bKWK---06</v>
      </c>
      <c r="AS1564" s="215" t="str">
        <f t="shared" si="709"/>
        <v/>
      </c>
      <c r="AT1564">
        <f t="shared" si="710"/>
        <v>14</v>
      </c>
      <c r="AU1564" s="216" t="str">
        <f t="shared" si="711"/>
        <v>0,15-0,5 MW, Bonusregeln b und KWK</v>
      </c>
      <c r="AV1564" s="215" t="str">
        <f t="shared" si="712"/>
        <v/>
      </c>
      <c r="AW1564" s="216" t="str">
        <f t="shared" si="713"/>
        <v>Anteil KWK</v>
      </c>
      <c r="AX1564" s="215" t="str">
        <f t="shared" si="714"/>
        <v/>
      </c>
      <c r="AY1564" t="str">
        <f t="shared" si="715"/>
        <v/>
      </c>
      <c r="AZ1564" t="str">
        <f t="shared" si="716"/>
        <v/>
      </c>
    </row>
    <row r="1565" spans="1:52" x14ac:dyDescent="0.25">
      <c r="A1565" s="610" t="s">
        <v>4356</v>
      </c>
      <c r="B1565" s="17" t="s">
        <v>5548</v>
      </c>
      <c r="C1565" s="30" t="s">
        <v>1296</v>
      </c>
      <c r="D1565" s="30" t="s">
        <v>7132</v>
      </c>
      <c r="E1565" s="30" t="s">
        <v>4331</v>
      </c>
      <c r="F1565" s="454">
        <f t="shared" si="693"/>
        <v>14.6</v>
      </c>
      <c r="G1565" s="529">
        <v>14.6</v>
      </c>
      <c r="H1565" s="487">
        <f t="shared" si="694"/>
        <v>11.68</v>
      </c>
      <c r="I1565" s="706"/>
      <c r="J1565" s="669" t="s">
        <v>5805</v>
      </c>
      <c r="K1565" s="15"/>
      <c r="M1565" s="49">
        <f t="shared" si="695"/>
        <v>14.6</v>
      </c>
      <c r="N1565" s="41">
        <v>9.6</v>
      </c>
      <c r="O1565" s="54"/>
      <c r="P1565" t="s">
        <v>1017</v>
      </c>
      <c r="S1565" t="s">
        <v>4180</v>
      </c>
      <c r="T1565" t="s">
        <v>4180</v>
      </c>
      <c r="U1565" s="55"/>
      <c r="W1565" s="65"/>
      <c r="X1565" s="65"/>
      <c r="Z1565" s="65"/>
      <c r="AC1565" s="65"/>
      <c r="AD1565" s="92"/>
      <c r="AE1565" s="124" t="s">
        <v>1017</v>
      </c>
      <c r="AF1565" s="65"/>
      <c r="AG1565" s="91"/>
      <c r="AH1565" s="212" t="str">
        <f t="shared" si="717"/>
        <v/>
      </c>
      <c r="AI1565" s="214" t="str">
        <f t="shared" si="718"/>
        <v/>
      </c>
      <c r="AJ1565" s="214" t="str">
        <f t="shared" si="719"/>
        <v/>
      </c>
      <c r="AK1565" s="214" t="str">
        <f t="shared" si="720"/>
        <v/>
      </c>
      <c r="AL1565" s="214" t="str">
        <f t="shared" si="721"/>
        <v/>
      </c>
      <c r="AM1565" s="214" t="str">
        <f t="shared" si="722"/>
        <v/>
      </c>
      <c r="AN1565" s="213" t="str">
        <f t="shared" si="704"/>
        <v/>
      </c>
      <c r="AO1565" s="213" t="str">
        <f t="shared" si="705"/>
        <v/>
      </c>
      <c r="AP1565" s="213" t="str">
        <f t="shared" si="706"/>
        <v/>
      </c>
      <c r="AQ1565" s="215" t="str">
        <f t="shared" si="707"/>
        <v/>
      </c>
      <c r="AR1565" s="216" t="str">
        <f t="shared" si="708"/>
        <v>BiK82bKA3---06</v>
      </c>
      <c r="AS1565" s="215" t="str">
        <f t="shared" si="709"/>
        <v/>
      </c>
      <c r="AT1565">
        <f t="shared" si="710"/>
        <v>14</v>
      </c>
      <c r="AU1565" s="216" t="str">
        <f t="shared" si="711"/>
        <v>0,15-0,5 MW, Bonusregeln b und K wenn Anlage 3 erfüllt</v>
      </c>
      <c r="AV1565" s="215" t="str">
        <f t="shared" si="712"/>
        <v/>
      </c>
      <c r="AW1565" s="216" t="str">
        <f t="shared" si="713"/>
        <v>Anteil KWK gemäß Anlage 3</v>
      </c>
      <c r="AX1565" s="215" t="str">
        <f t="shared" si="714"/>
        <v/>
      </c>
      <c r="AY1565" t="str">
        <f t="shared" si="715"/>
        <v/>
      </c>
      <c r="AZ1565" t="str">
        <f t="shared" si="716"/>
        <v/>
      </c>
    </row>
    <row r="1566" spans="1:52" x14ac:dyDescent="0.25">
      <c r="A1566" s="610" t="s">
        <v>4592</v>
      </c>
      <c r="B1566" s="17" t="s">
        <v>5548</v>
      </c>
      <c r="C1566" s="17" t="s">
        <v>1296</v>
      </c>
      <c r="D1566" s="30" t="s">
        <v>7133</v>
      </c>
      <c r="E1566" s="17" t="s">
        <v>674</v>
      </c>
      <c r="F1566" s="454">
        <f t="shared" si="693"/>
        <v>14.6</v>
      </c>
      <c r="G1566" s="529">
        <v>14.6</v>
      </c>
      <c r="H1566" s="487">
        <f t="shared" si="694"/>
        <v>11.68</v>
      </c>
      <c r="I1566" s="706"/>
      <c r="J1566" s="669" t="s">
        <v>5805</v>
      </c>
      <c r="K1566" s="15"/>
      <c r="M1566" s="49">
        <f t="shared" si="695"/>
        <v>14.6</v>
      </c>
      <c r="N1566" s="41">
        <v>9.6</v>
      </c>
      <c r="O1566" s="54"/>
      <c r="P1566" s="15"/>
      <c r="Q1566" t="s">
        <v>1017</v>
      </c>
      <c r="S1566" t="s">
        <v>4180</v>
      </c>
      <c r="T1566" t="s">
        <v>4180</v>
      </c>
      <c r="U1566" s="55"/>
      <c r="W1566" s="65"/>
      <c r="X1566" s="65"/>
      <c r="Z1566" s="65"/>
      <c r="AC1566" s="65"/>
      <c r="AD1566" s="92"/>
      <c r="AE1566" s="124" t="s">
        <v>1017</v>
      </c>
      <c r="AF1566" s="65"/>
      <c r="AG1566" s="91"/>
      <c r="AH1566" s="212" t="str">
        <f t="shared" si="717"/>
        <v/>
      </c>
      <c r="AI1566" s="214" t="str">
        <f t="shared" si="718"/>
        <v/>
      </c>
      <c r="AJ1566" s="214" t="str">
        <f t="shared" si="719"/>
        <v/>
      </c>
      <c r="AK1566" s="214" t="str">
        <f t="shared" si="720"/>
        <v/>
      </c>
      <c r="AL1566" s="214" t="str">
        <f t="shared" si="721"/>
        <v/>
      </c>
      <c r="AM1566" s="214" t="str">
        <f t="shared" si="722"/>
        <v/>
      </c>
      <c r="AN1566" s="213" t="str">
        <f t="shared" si="704"/>
        <v/>
      </c>
      <c r="AO1566" s="213" t="str">
        <f t="shared" si="705"/>
        <v/>
      </c>
      <c r="AP1566" s="213" t="str">
        <f t="shared" si="706"/>
        <v/>
      </c>
      <c r="AQ1566" s="215" t="str">
        <f t="shared" si="707"/>
        <v/>
      </c>
      <c r="AR1566" s="216" t="str">
        <f t="shared" si="708"/>
        <v>BiK82bK09---06</v>
      </c>
      <c r="AS1566" s="215" t="str">
        <f t="shared" si="709"/>
        <v/>
      </c>
      <c r="AT1566">
        <f t="shared" si="710"/>
        <v>14</v>
      </c>
      <c r="AU1566" s="216" t="str">
        <f t="shared" si="711"/>
        <v>0,15-0,5 MW, Bonusregeln b und K erstmals 2009</v>
      </c>
      <c r="AV1566" s="215" t="str">
        <f t="shared" si="712"/>
        <v/>
      </c>
      <c r="AW1566" s="216" t="str">
        <f t="shared" si="713"/>
        <v>Anteil KWK, erstmals 2009</v>
      </c>
      <c r="AX1566" s="215" t="str">
        <f t="shared" si="714"/>
        <v/>
      </c>
      <c r="AY1566" t="str">
        <f t="shared" si="715"/>
        <v/>
      </c>
      <c r="AZ1566" t="str">
        <f t="shared" si="716"/>
        <v/>
      </c>
    </row>
    <row r="1567" spans="1:52" x14ac:dyDescent="0.25">
      <c r="A1567" s="610" t="s">
        <v>4921</v>
      </c>
      <c r="B1567" s="17" t="s">
        <v>5548</v>
      </c>
      <c r="C1567" s="17" t="s">
        <v>1296</v>
      </c>
      <c r="D1567" s="30" t="s">
        <v>7134</v>
      </c>
      <c r="E1567" s="30" t="s">
        <v>3567</v>
      </c>
      <c r="F1567" s="454">
        <f t="shared" ref="F1567:F1630" si="723">M1567</f>
        <v>14.57</v>
      </c>
      <c r="G1567" s="529">
        <v>14.57</v>
      </c>
      <c r="H1567" s="487">
        <f t="shared" ref="H1567:H1630" si="724">IF(ISNUMBER(G1567),ROUND(0.8*G1567,2),"")</f>
        <v>11.66</v>
      </c>
      <c r="I1567" s="706"/>
      <c r="J1567" s="669" t="s">
        <v>5805</v>
      </c>
      <c r="K1567" s="15"/>
      <c r="M1567" s="49">
        <f t="shared" ref="M1567:M1630" si="725">N1567+SUMIF(O1567:AG1567,"x",O$1310:AG$1310)</f>
        <v>14.57</v>
      </c>
      <c r="N1567" s="41">
        <v>9.6</v>
      </c>
      <c r="O1567" s="54"/>
      <c r="P1567" s="15"/>
      <c r="R1567" t="s">
        <v>1017</v>
      </c>
      <c r="S1567" t="s">
        <v>4180</v>
      </c>
      <c r="T1567" t="s">
        <v>4180</v>
      </c>
      <c r="U1567" s="55"/>
      <c r="W1567" s="65"/>
      <c r="X1567" s="65"/>
      <c r="Z1567" s="65"/>
      <c r="AC1567" s="65"/>
      <c r="AD1567" s="92"/>
      <c r="AE1567" s="124" t="s">
        <v>1017</v>
      </c>
      <c r="AF1567" s="65"/>
      <c r="AG1567" s="91"/>
      <c r="AH1567" s="212" t="str">
        <f t="shared" si="717"/>
        <v>2010</v>
      </c>
      <c r="AI1567" s="214" t="str">
        <f t="shared" si="718"/>
        <v/>
      </c>
      <c r="AJ1567" s="214" t="str">
        <f t="shared" si="719"/>
        <v/>
      </c>
      <c r="AK1567" s="214" t="str">
        <f t="shared" si="720"/>
        <v/>
      </c>
      <c r="AL1567" s="214" t="str">
        <f t="shared" si="721"/>
        <v/>
      </c>
      <c r="AM1567" s="214" t="str">
        <f t="shared" si="722"/>
        <v/>
      </c>
      <c r="AN1567" s="213" t="str">
        <f t="shared" si="704"/>
        <v>2010</v>
      </c>
      <c r="AO1567" s="213" t="str">
        <f t="shared" si="705"/>
        <v>2010</v>
      </c>
      <c r="AP1567" s="213" t="str">
        <f t="shared" si="706"/>
        <v>2010</v>
      </c>
      <c r="AQ1567" s="215" t="str">
        <f t="shared" si="707"/>
        <v/>
      </c>
      <c r="AR1567" s="216" t="str">
        <f t="shared" si="708"/>
        <v>BiK82bK10---06</v>
      </c>
      <c r="AS1567" s="215" t="str">
        <f t="shared" si="709"/>
        <v/>
      </c>
      <c r="AT1567">
        <f t="shared" si="710"/>
        <v>14</v>
      </c>
      <c r="AU1567" s="216" t="str">
        <f t="shared" si="711"/>
        <v>0,15-0,5 MW, Bonusregeln b und K erstmals 2010</v>
      </c>
      <c r="AV1567" s="215" t="str">
        <f t="shared" si="712"/>
        <v/>
      </c>
      <c r="AW1567" s="216" t="str">
        <f t="shared" si="713"/>
        <v>Anteil KWK, erstmals 2010</v>
      </c>
      <c r="AX1567" s="215" t="str">
        <f t="shared" si="714"/>
        <v/>
      </c>
      <c r="AY1567" t="str">
        <f t="shared" si="715"/>
        <v/>
      </c>
      <c r="AZ1567" t="str">
        <f t="shared" si="716"/>
        <v/>
      </c>
    </row>
    <row r="1568" spans="1:52" x14ac:dyDescent="0.25">
      <c r="A1568" s="610" t="s">
        <v>3968</v>
      </c>
      <c r="B1568" s="17" t="s">
        <v>5548</v>
      </c>
      <c r="C1568" s="17" t="s">
        <v>1296</v>
      </c>
      <c r="D1568" s="30" t="s">
        <v>7135</v>
      </c>
      <c r="E1568" s="30" t="s">
        <v>3055</v>
      </c>
      <c r="F1568" s="454">
        <f t="shared" si="723"/>
        <v>14.54</v>
      </c>
      <c r="G1568" s="529">
        <v>14.54</v>
      </c>
      <c r="H1568" s="487">
        <f t="shared" si="724"/>
        <v>11.63</v>
      </c>
      <c r="I1568" s="706"/>
      <c r="J1568" s="669" t="s">
        <v>5805</v>
      </c>
      <c r="K1568" s="15"/>
      <c r="M1568" s="49">
        <f t="shared" si="725"/>
        <v>14.54</v>
      </c>
      <c r="N1568" s="41">
        <v>9.6</v>
      </c>
      <c r="O1568" s="54"/>
      <c r="P1568" s="15"/>
      <c r="S1568" t="s">
        <v>1017</v>
      </c>
      <c r="T1568" t="s">
        <v>4180</v>
      </c>
      <c r="U1568" s="55"/>
      <c r="W1568" s="65"/>
      <c r="X1568" s="65"/>
      <c r="Z1568" s="65"/>
      <c r="AC1568" s="65"/>
      <c r="AD1568" s="92"/>
      <c r="AE1568" s="124" t="s">
        <v>1017</v>
      </c>
      <c r="AF1568" s="65"/>
      <c r="AG1568" s="91"/>
      <c r="AH1568" s="212" t="str">
        <f t="shared" si="717"/>
        <v>2011</v>
      </c>
      <c r="AI1568" s="214" t="str">
        <f t="shared" si="718"/>
        <v/>
      </c>
      <c r="AJ1568" s="214" t="str">
        <f t="shared" si="719"/>
        <v/>
      </c>
      <c r="AK1568" s="214" t="str">
        <f t="shared" si="720"/>
        <v/>
      </c>
      <c r="AL1568" s="214" t="str">
        <f t="shared" si="721"/>
        <v/>
      </c>
      <c r="AM1568" s="214" t="str">
        <f t="shared" si="722"/>
        <v/>
      </c>
      <c r="AN1568" s="213" t="str">
        <f t="shared" si="704"/>
        <v>2011</v>
      </c>
      <c r="AO1568" s="213" t="str">
        <f t="shared" si="705"/>
        <v>2011</v>
      </c>
      <c r="AP1568" s="213" t="str">
        <f t="shared" si="706"/>
        <v>2011</v>
      </c>
      <c r="AQ1568" s="215" t="str">
        <f t="shared" si="707"/>
        <v/>
      </c>
      <c r="AR1568" s="216" t="str">
        <f t="shared" si="708"/>
        <v>BiK82bK11---06</v>
      </c>
      <c r="AS1568" s="215" t="str">
        <f t="shared" si="709"/>
        <v/>
      </c>
      <c r="AT1568">
        <f t="shared" si="710"/>
        <v>14</v>
      </c>
      <c r="AU1568" s="216" t="str">
        <f t="shared" si="711"/>
        <v>0,15-0,5 MW, Bonusregeln b und K erstmals 2011</v>
      </c>
      <c r="AV1568" s="215" t="str">
        <f t="shared" si="712"/>
        <v/>
      </c>
      <c r="AW1568" s="216" t="str">
        <f t="shared" si="713"/>
        <v>Anteil KWK, erstmals 2011</v>
      </c>
      <c r="AX1568" s="215" t="str">
        <f t="shared" si="714"/>
        <v/>
      </c>
      <c r="AY1568" t="str">
        <f t="shared" si="715"/>
        <v>x</v>
      </c>
      <c r="AZ1568" t="str">
        <f t="shared" si="716"/>
        <v/>
      </c>
    </row>
    <row r="1569" spans="1:52" x14ac:dyDescent="0.25">
      <c r="A1569" s="625" t="s">
        <v>1790</v>
      </c>
      <c r="B1569" s="221" t="s">
        <v>5548</v>
      </c>
      <c r="C1569" s="221" t="s">
        <v>1296</v>
      </c>
      <c r="D1569" s="219" t="s">
        <v>7136</v>
      </c>
      <c r="E1569" s="219" t="s">
        <v>1980</v>
      </c>
      <c r="F1569" s="455">
        <f t="shared" si="723"/>
        <v>14.51</v>
      </c>
      <c r="G1569" s="530">
        <v>14.51</v>
      </c>
      <c r="H1569" s="488">
        <f t="shared" si="724"/>
        <v>11.61</v>
      </c>
      <c r="I1569" s="707"/>
      <c r="J1569" s="669" t="s">
        <v>5805</v>
      </c>
      <c r="K1569" s="15"/>
      <c r="M1569" s="49">
        <f t="shared" si="725"/>
        <v>14.51</v>
      </c>
      <c r="N1569" s="41">
        <v>9.6</v>
      </c>
      <c r="O1569" s="54"/>
      <c r="P1569" s="15"/>
      <c r="S1569" t="s">
        <v>4180</v>
      </c>
      <c r="T1569" t="s">
        <v>1017</v>
      </c>
      <c r="U1569" s="55"/>
      <c r="W1569" s="65"/>
      <c r="X1569" s="65"/>
      <c r="Z1569" s="65"/>
      <c r="AC1569" s="65"/>
      <c r="AD1569" s="92"/>
      <c r="AE1569" s="124" t="s">
        <v>1017</v>
      </c>
      <c r="AF1569" s="65"/>
      <c r="AG1569" s="91"/>
      <c r="AH1569" s="217" t="s">
        <v>4179</v>
      </c>
      <c r="AI1569" s="214" t="str">
        <f t="shared" si="718"/>
        <v/>
      </c>
      <c r="AJ1569" s="214" t="str">
        <f t="shared" si="719"/>
        <v/>
      </c>
      <c r="AK1569" s="214" t="str">
        <f t="shared" si="720"/>
        <v/>
      </c>
      <c r="AL1569" s="214" t="str">
        <f t="shared" si="721"/>
        <v/>
      </c>
      <c r="AM1569" s="214" t="str">
        <f t="shared" si="722"/>
        <v/>
      </c>
      <c r="AN1569" s="213" t="str">
        <f t="shared" si="704"/>
        <v>2012</v>
      </c>
      <c r="AO1569" s="213" t="str">
        <f t="shared" si="705"/>
        <v>2012</v>
      </c>
      <c r="AP1569" s="213" t="str">
        <f t="shared" si="706"/>
        <v>2012</v>
      </c>
      <c r="AQ1569" s="215" t="str">
        <f t="shared" si="707"/>
        <v/>
      </c>
      <c r="AR1569" s="216" t="str">
        <f t="shared" si="708"/>
        <v>BiK82bK12---06</v>
      </c>
      <c r="AS1569" s="215" t="str">
        <f t="shared" si="709"/>
        <v/>
      </c>
      <c r="AT1569">
        <f t="shared" si="710"/>
        <v>14</v>
      </c>
      <c r="AU1569" s="216" t="str">
        <f t="shared" si="711"/>
        <v>0,15-0,5 MW, Bonusregeln b und K erstmals 2012</v>
      </c>
      <c r="AV1569" s="215" t="str">
        <f t="shared" si="712"/>
        <v/>
      </c>
      <c r="AW1569" s="216" t="str">
        <f t="shared" si="713"/>
        <v>Anteil KWK, erstmals 2012</v>
      </c>
      <c r="AX1569" s="215" t="str">
        <f t="shared" si="714"/>
        <v/>
      </c>
      <c r="AY1569" t="str">
        <f t="shared" si="715"/>
        <v/>
      </c>
      <c r="AZ1569" t="str">
        <f t="shared" si="716"/>
        <v>x</v>
      </c>
    </row>
    <row r="1570" spans="1:52" x14ac:dyDescent="0.25">
      <c r="A1570" s="610" t="s">
        <v>988</v>
      </c>
      <c r="B1570" s="17" t="s">
        <v>5548</v>
      </c>
      <c r="C1570" s="17" t="s">
        <v>1296</v>
      </c>
      <c r="D1570" s="30" t="s">
        <v>7137</v>
      </c>
      <c r="E1570" s="17" t="s">
        <v>4810</v>
      </c>
      <c r="F1570" s="454">
        <f t="shared" si="723"/>
        <v>12.6</v>
      </c>
      <c r="G1570" s="529">
        <v>12.6</v>
      </c>
      <c r="H1570" s="487">
        <f t="shared" si="724"/>
        <v>10.08</v>
      </c>
      <c r="I1570" s="706"/>
      <c r="J1570" s="669" t="s">
        <v>5805</v>
      </c>
      <c r="K1570" s="15"/>
      <c r="M1570" s="49">
        <f t="shared" si="725"/>
        <v>12.6</v>
      </c>
      <c r="N1570" s="41">
        <v>9.6</v>
      </c>
      <c r="O1570" s="54"/>
      <c r="P1570" s="15"/>
      <c r="S1570" t="s">
        <v>4180</v>
      </c>
      <c r="T1570" t="s">
        <v>4180</v>
      </c>
      <c r="U1570" s="55" t="s">
        <v>1017</v>
      </c>
      <c r="W1570" s="65"/>
      <c r="X1570" s="65"/>
      <c r="Z1570" s="65"/>
      <c r="AC1570" s="65"/>
      <c r="AD1570" s="92"/>
      <c r="AE1570" s="124" t="s">
        <v>1017</v>
      </c>
      <c r="AF1570" s="65"/>
      <c r="AG1570" s="91"/>
      <c r="AH1570" s="212" t="str">
        <f t="shared" ref="AH1570:AH1575" si="726">IF(ISERROR(SEARCH("K erstmals 201",D1570)),"",RIGHT(D1570,4))</f>
        <v/>
      </c>
      <c r="AI1570" s="214" t="str">
        <f t="shared" si="718"/>
        <v/>
      </c>
      <c r="AJ1570" s="214" t="str">
        <f t="shared" si="719"/>
        <v/>
      </c>
      <c r="AK1570" s="214" t="str">
        <f t="shared" si="720"/>
        <v/>
      </c>
      <c r="AL1570" s="214" t="str">
        <f t="shared" si="721"/>
        <v/>
      </c>
      <c r="AM1570" s="214" t="str">
        <f t="shared" si="722"/>
        <v/>
      </c>
      <c r="AN1570" s="213" t="str">
        <f t="shared" si="704"/>
        <v/>
      </c>
      <c r="AO1570" s="213" t="str">
        <f t="shared" si="705"/>
        <v/>
      </c>
      <c r="AP1570" s="213" t="str">
        <f t="shared" si="706"/>
        <v/>
      </c>
      <c r="AQ1570" s="215" t="str">
        <f t="shared" si="707"/>
        <v/>
      </c>
      <c r="AR1570" s="216" t="str">
        <f t="shared" si="708"/>
        <v>BiK82by-----06</v>
      </c>
      <c r="AS1570" s="215" t="str">
        <f t="shared" si="709"/>
        <v/>
      </c>
      <c r="AT1570">
        <f t="shared" si="710"/>
        <v>14</v>
      </c>
      <c r="AU1570" s="216" t="str">
        <f t="shared" si="711"/>
        <v>0,15-0,5 MW, Bonusregeln b, y</v>
      </c>
      <c r="AV1570" s="215" t="str">
        <f t="shared" si="712"/>
        <v/>
      </c>
      <c r="AW1570" s="216" t="str">
        <f t="shared" si="713"/>
        <v>Anteil Nicht-KWK</v>
      </c>
      <c r="AX1570" s="215" t="str">
        <f t="shared" si="714"/>
        <v/>
      </c>
      <c r="AY1570" t="str">
        <f t="shared" si="715"/>
        <v/>
      </c>
      <c r="AZ1570" t="str">
        <f t="shared" si="716"/>
        <v/>
      </c>
    </row>
    <row r="1571" spans="1:52" x14ac:dyDescent="0.25">
      <c r="A1571" s="610" t="s">
        <v>989</v>
      </c>
      <c r="B1571" s="17" t="s">
        <v>5548</v>
      </c>
      <c r="C1571" s="17" t="s">
        <v>1296</v>
      </c>
      <c r="D1571" s="30" t="s">
        <v>7138</v>
      </c>
      <c r="E1571" s="17" t="s">
        <v>4812</v>
      </c>
      <c r="F1571" s="454">
        <f t="shared" si="723"/>
        <v>14.6</v>
      </c>
      <c r="G1571" s="529">
        <v>14.6</v>
      </c>
      <c r="H1571" s="487">
        <f t="shared" si="724"/>
        <v>11.68</v>
      </c>
      <c r="I1571" s="706"/>
      <c r="J1571" s="669" t="s">
        <v>5805</v>
      </c>
      <c r="K1571" s="15"/>
      <c r="M1571" s="49">
        <f t="shared" si="725"/>
        <v>14.6</v>
      </c>
      <c r="N1571" s="41">
        <v>9.6</v>
      </c>
      <c r="O1571" s="54" t="s">
        <v>1017</v>
      </c>
      <c r="P1571" s="15"/>
      <c r="S1571" t="s">
        <v>4180</v>
      </c>
      <c r="T1571" t="s">
        <v>4180</v>
      </c>
      <c r="U1571" s="55" t="s">
        <v>1017</v>
      </c>
      <c r="W1571" s="65"/>
      <c r="X1571" s="65"/>
      <c r="Z1571" s="65"/>
      <c r="AC1571" s="65"/>
      <c r="AD1571" s="92"/>
      <c r="AE1571" s="124" t="s">
        <v>1017</v>
      </c>
      <c r="AF1571" s="65"/>
      <c r="AG1571" s="91"/>
      <c r="AH1571" s="212" t="str">
        <f t="shared" si="726"/>
        <v/>
      </c>
      <c r="AI1571" s="214" t="str">
        <f t="shared" si="718"/>
        <v/>
      </c>
      <c r="AJ1571" s="214" t="str">
        <f t="shared" si="719"/>
        <v/>
      </c>
      <c r="AK1571" s="214" t="str">
        <f t="shared" si="720"/>
        <v/>
      </c>
      <c r="AL1571" s="214" t="str">
        <f t="shared" si="721"/>
        <v/>
      </c>
      <c r="AM1571" s="214" t="str">
        <f t="shared" si="722"/>
        <v/>
      </c>
      <c r="AN1571" s="213" t="str">
        <f t="shared" si="704"/>
        <v/>
      </c>
      <c r="AO1571" s="213" t="str">
        <f t="shared" si="705"/>
        <v/>
      </c>
      <c r="AP1571" s="213" t="str">
        <f t="shared" si="706"/>
        <v/>
      </c>
      <c r="AQ1571" s="215" t="str">
        <f t="shared" si="707"/>
        <v/>
      </c>
      <c r="AR1571" s="216" t="str">
        <f t="shared" si="708"/>
        <v>BiK82bKWKy--06</v>
      </c>
      <c r="AS1571" s="215" t="str">
        <f t="shared" si="709"/>
        <v/>
      </c>
      <c r="AT1571">
        <f t="shared" si="710"/>
        <v>14</v>
      </c>
      <c r="AU1571" s="216" t="str">
        <f t="shared" si="711"/>
        <v>0,15-0,5 MW, Bonusregeln b, y und KWK</v>
      </c>
      <c r="AV1571" s="215" t="str">
        <f t="shared" si="712"/>
        <v/>
      </c>
      <c r="AW1571" s="216" t="str">
        <f t="shared" si="713"/>
        <v>Anteil KWK</v>
      </c>
      <c r="AX1571" s="215" t="str">
        <f t="shared" si="714"/>
        <v/>
      </c>
      <c r="AY1571" t="str">
        <f t="shared" si="715"/>
        <v/>
      </c>
      <c r="AZ1571" t="str">
        <f t="shared" si="716"/>
        <v/>
      </c>
    </row>
    <row r="1572" spans="1:52" x14ac:dyDescent="0.25">
      <c r="A1572" s="610" t="s">
        <v>990</v>
      </c>
      <c r="B1572" s="17" t="s">
        <v>5548</v>
      </c>
      <c r="C1572" s="30" t="s">
        <v>1296</v>
      </c>
      <c r="D1572" s="30" t="s">
        <v>7139</v>
      </c>
      <c r="E1572" s="30" t="s">
        <v>4331</v>
      </c>
      <c r="F1572" s="454">
        <f t="shared" si="723"/>
        <v>15.6</v>
      </c>
      <c r="G1572" s="529">
        <v>15.6</v>
      </c>
      <c r="H1572" s="487">
        <f t="shared" si="724"/>
        <v>12.48</v>
      </c>
      <c r="I1572" s="706"/>
      <c r="J1572" s="669" t="s">
        <v>5805</v>
      </c>
      <c r="K1572" s="15"/>
      <c r="M1572" s="49">
        <f t="shared" si="725"/>
        <v>15.6</v>
      </c>
      <c r="N1572" s="41">
        <v>9.6</v>
      </c>
      <c r="O1572" s="54"/>
      <c r="P1572" t="s">
        <v>1017</v>
      </c>
      <c r="S1572" t="s">
        <v>4180</v>
      </c>
      <c r="T1572" t="s">
        <v>4180</v>
      </c>
      <c r="U1572" s="55" t="s">
        <v>1017</v>
      </c>
      <c r="W1572" s="65"/>
      <c r="X1572" s="65"/>
      <c r="Z1572" s="65"/>
      <c r="AC1572" s="65"/>
      <c r="AD1572" s="92"/>
      <c r="AE1572" s="124" t="s">
        <v>1017</v>
      </c>
      <c r="AF1572" s="65"/>
      <c r="AG1572" s="91"/>
      <c r="AH1572" s="212" t="str">
        <f t="shared" si="726"/>
        <v/>
      </c>
      <c r="AI1572" s="214" t="str">
        <f t="shared" si="718"/>
        <v/>
      </c>
      <c r="AJ1572" s="214" t="str">
        <f t="shared" si="719"/>
        <v/>
      </c>
      <c r="AK1572" s="214" t="str">
        <f t="shared" si="720"/>
        <v/>
      </c>
      <c r="AL1572" s="214" t="str">
        <f t="shared" si="721"/>
        <v/>
      </c>
      <c r="AM1572" s="214" t="str">
        <f t="shared" si="722"/>
        <v/>
      </c>
      <c r="AN1572" s="213" t="str">
        <f t="shared" si="704"/>
        <v/>
      </c>
      <c r="AO1572" s="213" t="str">
        <f t="shared" si="705"/>
        <v/>
      </c>
      <c r="AP1572" s="213" t="str">
        <f t="shared" si="706"/>
        <v/>
      </c>
      <c r="AQ1572" s="215" t="str">
        <f t="shared" si="707"/>
        <v/>
      </c>
      <c r="AR1572" s="216" t="str">
        <f t="shared" si="708"/>
        <v>BiK82bKA3y--06</v>
      </c>
      <c r="AS1572" s="215" t="str">
        <f t="shared" si="709"/>
        <v/>
      </c>
      <c r="AT1572">
        <f t="shared" si="710"/>
        <v>14</v>
      </c>
      <c r="AU1572" s="216" t="str">
        <f t="shared" si="711"/>
        <v>0,15-0,5 MW, Bonusregeln b, y und K wenn Anlage 3 erfüllt</v>
      </c>
      <c r="AV1572" s="215" t="str">
        <f t="shared" si="712"/>
        <v/>
      </c>
      <c r="AW1572" s="216" t="str">
        <f t="shared" si="713"/>
        <v>Anteil KWK gemäß Anlage 3</v>
      </c>
      <c r="AX1572" s="215" t="str">
        <f t="shared" si="714"/>
        <v/>
      </c>
      <c r="AY1572" t="str">
        <f t="shared" si="715"/>
        <v/>
      </c>
      <c r="AZ1572" t="str">
        <f t="shared" si="716"/>
        <v/>
      </c>
    </row>
    <row r="1573" spans="1:52" x14ac:dyDescent="0.25">
      <c r="A1573" s="610" t="s">
        <v>991</v>
      </c>
      <c r="B1573" s="17" t="s">
        <v>5548</v>
      </c>
      <c r="C1573" s="17" t="s">
        <v>1296</v>
      </c>
      <c r="D1573" s="30" t="s">
        <v>7140</v>
      </c>
      <c r="E1573" s="17" t="s">
        <v>674</v>
      </c>
      <c r="F1573" s="454">
        <f t="shared" si="723"/>
        <v>15.6</v>
      </c>
      <c r="G1573" s="529">
        <v>15.6</v>
      </c>
      <c r="H1573" s="487">
        <f t="shared" si="724"/>
        <v>12.48</v>
      </c>
      <c r="I1573" s="706"/>
      <c r="J1573" s="669" t="s">
        <v>5805</v>
      </c>
      <c r="K1573" s="15"/>
      <c r="M1573" s="49">
        <f t="shared" si="725"/>
        <v>15.6</v>
      </c>
      <c r="N1573" s="41">
        <v>9.6</v>
      </c>
      <c r="O1573" s="54"/>
      <c r="P1573" s="15"/>
      <c r="Q1573" t="s">
        <v>1017</v>
      </c>
      <c r="S1573" t="s">
        <v>4180</v>
      </c>
      <c r="T1573" t="s">
        <v>4180</v>
      </c>
      <c r="U1573" s="55" t="s">
        <v>1017</v>
      </c>
      <c r="W1573" s="65"/>
      <c r="X1573" s="65"/>
      <c r="Z1573" s="65"/>
      <c r="AC1573" s="65"/>
      <c r="AD1573" s="92"/>
      <c r="AE1573" s="124" t="s">
        <v>1017</v>
      </c>
      <c r="AF1573" s="65"/>
      <c r="AG1573" s="91"/>
      <c r="AH1573" s="212" t="str">
        <f t="shared" si="726"/>
        <v/>
      </c>
      <c r="AI1573" s="214" t="str">
        <f t="shared" si="718"/>
        <v/>
      </c>
      <c r="AJ1573" s="214" t="str">
        <f t="shared" si="719"/>
        <v/>
      </c>
      <c r="AK1573" s="214" t="str">
        <f t="shared" si="720"/>
        <v/>
      </c>
      <c r="AL1573" s="214" t="str">
        <f t="shared" si="721"/>
        <v/>
      </c>
      <c r="AM1573" s="214" t="str">
        <f t="shared" si="722"/>
        <v/>
      </c>
      <c r="AN1573" s="213" t="str">
        <f t="shared" si="704"/>
        <v/>
      </c>
      <c r="AO1573" s="213" t="str">
        <f t="shared" si="705"/>
        <v/>
      </c>
      <c r="AP1573" s="213" t="str">
        <f t="shared" si="706"/>
        <v/>
      </c>
      <c r="AQ1573" s="215" t="str">
        <f t="shared" si="707"/>
        <v/>
      </c>
      <c r="AR1573" s="216" t="str">
        <f t="shared" si="708"/>
        <v>BiK82bK09y--06</v>
      </c>
      <c r="AS1573" s="215" t="str">
        <f t="shared" si="709"/>
        <v/>
      </c>
      <c r="AT1573">
        <f t="shared" si="710"/>
        <v>14</v>
      </c>
      <c r="AU1573" s="216" t="str">
        <f t="shared" si="711"/>
        <v>0,15-0,5 MW, Bonusregeln b, y und K erstmals 2009</v>
      </c>
      <c r="AV1573" s="215" t="str">
        <f t="shared" si="712"/>
        <v/>
      </c>
      <c r="AW1573" s="216" t="str">
        <f t="shared" si="713"/>
        <v>Anteil KWK, erstmals 2009</v>
      </c>
      <c r="AX1573" s="215" t="str">
        <f t="shared" si="714"/>
        <v/>
      </c>
      <c r="AY1573" t="str">
        <f t="shared" si="715"/>
        <v/>
      </c>
      <c r="AZ1573" t="str">
        <f t="shared" si="716"/>
        <v/>
      </c>
    </row>
    <row r="1574" spans="1:52" s="178" customFormat="1" x14ac:dyDescent="0.25">
      <c r="A1574" s="610" t="s">
        <v>4922</v>
      </c>
      <c r="B1574" s="17" t="s">
        <v>5548</v>
      </c>
      <c r="C1574" s="17" t="s">
        <v>1296</v>
      </c>
      <c r="D1574" s="30" t="s">
        <v>7141</v>
      </c>
      <c r="E1574" s="30" t="s">
        <v>3567</v>
      </c>
      <c r="F1574" s="454">
        <f t="shared" si="723"/>
        <v>15.57</v>
      </c>
      <c r="G1574" s="529">
        <v>15.57</v>
      </c>
      <c r="H1574" s="487">
        <f t="shared" si="724"/>
        <v>12.46</v>
      </c>
      <c r="I1574" s="706"/>
      <c r="J1574" s="669" t="s">
        <v>5805</v>
      </c>
      <c r="K1574" s="15"/>
      <c r="L1574"/>
      <c r="M1574" s="49">
        <f t="shared" si="725"/>
        <v>15.57</v>
      </c>
      <c r="N1574" s="41">
        <v>9.6</v>
      </c>
      <c r="O1574" s="54"/>
      <c r="P1574" s="15"/>
      <c r="Q1574"/>
      <c r="R1574" t="s">
        <v>1017</v>
      </c>
      <c r="S1574" t="s">
        <v>4180</v>
      </c>
      <c r="T1574" s="178" t="s">
        <v>4180</v>
      </c>
      <c r="U1574" s="55" t="s">
        <v>1017</v>
      </c>
      <c r="V1574"/>
      <c r="W1574" s="65"/>
      <c r="X1574" s="65"/>
      <c r="Y1574"/>
      <c r="Z1574" s="65"/>
      <c r="AA1574"/>
      <c r="AB1574"/>
      <c r="AC1574" s="65"/>
      <c r="AD1574" s="92"/>
      <c r="AE1574" s="124" t="s">
        <v>1017</v>
      </c>
      <c r="AF1574" s="65"/>
      <c r="AG1574" s="91"/>
      <c r="AH1574" s="212" t="str">
        <f t="shared" si="726"/>
        <v>2010</v>
      </c>
      <c r="AI1574" s="214" t="str">
        <f t="shared" si="718"/>
        <v/>
      </c>
      <c r="AJ1574" s="214" t="str">
        <f t="shared" si="719"/>
        <v/>
      </c>
      <c r="AK1574" s="214" t="str">
        <f t="shared" si="720"/>
        <v/>
      </c>
      <c r="AL1574" s="214" t="str">
        <f t="shared" si="721"/>
        <v/>
      </c>
      <c r="AM1574" s="214" t="str">
        <f t="shared" si="722"/>
        <v/>
      </c>
      <c r="AN1574" s="213" t="str">
        <f t="shared" si="704"/>
        <v>2010</v>
      </c>
      <c r="AO1574" s="213" t="str">
        <f t="shared" si="705"/>
        <v>2010</v>
      </c>
      <c r="AP1574" s="213" t="str">
        <f t="shared" si="706"/>
        <v>2010</v>
      </c>
      <c r="AQ1574" s="215" t="str">
        <f t="shared" si="707"/>
        <v/>
      </c>
      <c r="AR1574" s="216" t="str">
        <f t="shared" si="708"/>
        <v>BiK82bK10y--06</v>
      </c>
      <c r="AS1574" s="215" t="str">
        <f t="shared" si="709"/>
        <v/>
      </c>
      <c r="AT1574">
        <f t="shared" si="710"/>
        <v>14</v>
      </c>
      <c r="AU1574" s="216" t="str">
        <f t="shared" si="711"/>
        <v>0,15-0,5 MW, Bonusregeln b, y und K erstmals 2010</v>
      </c>
      <c r="AV1574" s="215" t="str">
        <f t="shared" si="712"/>
        <v/>
      </c>
      <c r="AW1574" s="216" t="str">
        <f t="shared" si="713"/>
        <v>Anteil KWK, erstmals 2010</v>
      </c>
      <c r="AX1574" s="215" t="str">
        <f t="shared" si="714"/>
        <v/>
      </c>
      <c r="AY1574" t="str">
        <f t="shared" si="715"/>
        <v/>
      </c>
      <c r="AZ1574" t="str">
        <f t="shared" si="716"/>
        <v/>
      </c>
    </row>
    <row r="1575" spans="1:52" s="178" customFormat="1" x14ac:dyDescent="0.25">
      <c r="A1575" s="610" t="s">
        <v>3969</v>
      </c>
      <c r="B1575" s="17" t="s">
        <v>5548</v>
      </c>
      <c r="C1575" s="17" t="s">
        <v>1296</v>
      </c>
      <c r="D1575" s="30" t="s">
        <v>7142</v>
      </c>
      <c r="E1575" s="30" t="s">
        <v>3055</v>
      </c>
      <c r="F1575" s="454">
        <f t="shared" si="723"/>
        <v>15.54</v>
      </c>
      <c r="G1575" s="529">
        <v>15.54</v>
      </c>
      <c r="H1575" s="487">
        <f t="shared" si="724"/>
        <v>12.43</v>
      </c>
      <c r="I1575" s="706"/>
      <c r="J1575" s="669" t="s">
        <v>5805</v>
      </c>
      <c r="K1575" s="15"/>
      <c r="L1575"/>
      <c r="M1575" s="49">
        <f t="shared" si="725"/>
        <v>15.54</v>
      </c>
      <c r="N1575" s="41">
        <v>9.6</v>
      </c>
      <c r="O1575" s="54"/>
      <c r="P1575" s="15"/>
      <c r="Q1575"/>
      <c r="R1575"/>
      <c r="S1575" t="s">
        <v>1017</v>
      </c>
      <c r="T1575" s="178" t="s">
        <v>4180</v>
      </c>
      <c r="U1575" s="55" t="s">
        <v>1017</v>
      </c>
      <c r="V1575"/>
      <c r="W1575" s="65"/>
      <c r="X1575" s="65"/>
      <c r="Y1575"/>
      <c r="Z1575" s="65"/>
      <c r="AA1575"/>
      <c r="AB1575"/>
      <c r="AC1575" s="65"/>
      <c r="AD1575" s="92"/>
      <c r="AE1575" s="124" t="s">
        <v>1017</v>
      </c>
      <c r="AF1575" s="65"/>
      <c r="AG1575" s="91"/>
      <c r="AH1575" s="212" t="str">
        <f t="shared" si="726"/>
        <v>2011</v>
      </c>
      <c r="AI1575" s="214" t="str">
        <f t="shared" si="718"/>
        <v/>
      </c>
      <c r="AJ1575" s="214" t="str">
        <f t="shared" si="719"/>
        <v/>
      </c>
      <c r="AK1575" s="214" t="str">
        <f t="shared" si="720"/>
        <v/>
      </c>
      <c r="AL1575" s="214" t="str">
        <f t="shared" si="721"/>
        <v/>
      </c>
      <c r="AM1575" s="214" t="str">
        <f t="shared" si="722"/>
        <v/>
      </c>
      <c r="AN1575" s="213" t="str">
        <f t="shared" si="704"/>
        <v>2011</v>
      </c>
      <c r="AO1575" s="213" t="str">
        <f t="shared" si="705"/>
        <v>2011</v>
      </c>
      <c r="AP1575" s="213" t="str">
        <f t="shared" si="706"/>
        <v>2011</v>
      </c>
      <c r="AQ1575" s="215" t="str">
        <f t="shared" si="707"/>
        <v/>
      </c>
      <c r="AR1575" s="216" t="str">
        <f t="shared" si="708"/>
        <v>BiK82bK11y--06</v>
      </c>
      <c r="AS1575" s="215" t="str">
        <f t="shared" si="709"/>
        <v/>
      </c>
      <c r="AT1575">
        <f t="shared" si="710"/>
        <v>14</v>
      </c>
      <c r="AU1575" s="216" t="str">
        <f t="shared" si="711"/>
        <v>0,15-0,5 MW, Bonusregeln b, y und K erstmals 2011</v>
      </c>
      <c r="AV1575" s="215" t="str">
        <f t="shared" si="712"/>
        <v/>
      </c>
      <c r="AW1575" s="216" t="str">
        <f t="shared" si="713"/>
        <v>Anteil KWK, erstmals 2011</v>
      </c>
      <c r="AX1575" s="215" t="str">
        <f t="shared" si="714"/>
        <v/>
      </c>
      <c r="AY1575" t="str">
        <f t="shared" si="715"/>
        <v>x</v>
      </c>
      <c r="AZ1575" t="str">
        <f t="shared" si="716"/>
        <v/>
      </c>
    </row>
    <row r="1576" spans="1:52" s="178" customFormat="1" x14ac:dyDescent="0.25">
      <c r="A1576" s="625" t="s">
        <v>1791</v>
      </c>
      <c r="B1576" s="221" t="s">
        <v>5548</v>
      </c>
      <c r="C1576" s="221" t="s">
        <v>1296</v>
      </c>
      <c r="D1576" s="219" t="s">
        <v>7143</v>
      </c>
      <c r="E1576" s="219" t="s">
        <v>1980</v>
      </c>
      <c r="F1576" s="455">
        <f t="shared" si="723"/>
        <v>15.51</v>
      </c>
      <c r="G1576" s="530">
        <v>15.51</v>
      </c>
      <c r="H1576" s="488">
        <f t="shared" si="724"/>
        <v>12.41</v>
      </c>
      <c r="I1576" s="707"/>
      <c r="J1576" s="669" t="s">
        <v>5805</v>
      </c>
      <c r="K1576" s="15"/>
      <c r="L1576"/>
      <c r="M1576" s="49">
        <f t="shared" si="725"/>
        <v>15.51</v>
      </c>
      <c r="N1576" s="41">
        <v>9.6</v>
      </c>
      <c r="O1576" s="54"/>
      <c r="P1576" s="15"/>
      <c r="Q1576"/>
      <c r="R1576"/>
      <c r="S1576" t="s">
        <v>4180</v>
      </c>
      <c r="T1576" s="178" t="s">
        <v>1017</v>
      </c>
      <c r="U1576" s="55" t="s">
        <v>1017</v>
      </c>
      <c r="V1576"/>
      <c r="W1576" s="65"/>
      <c r="X1576" s="65"/>
      <c r="Y1576"/>
      <c r="Z1576" s="65"/>
      <c r="AA1576"/>
      <c r="AB1576"/>
      <c r="AC1576" s="65"/>
      <c r="AD1576" s="92"/>
      <c r="AE1576" s="124" t="s">
        <v>1017</v>
      </c>
      <c r="AF1576" s="65"/>
      <c r="AG1576" s="91"/>
      <c r="AH1576" s="217" t="s">
        <v>4179</v>
      </c>
      <c r="AI1576" s="214" t="str">
        <f t="shared" si="718"/>
        <v/>
      </c>
      <c r="AJ1576" s="214" t="str">
        <f t="shared" si="719"/>
        <v/>
      </c>
      <c r="AK1576" s="214" t="str">
        <f t="shared" si="720"/>
        <v/>
      </c>
      <c r="AL1576" s="214" t="str">
        <f t="shared" si="721"/>
        <v/>
      </c>
      <c r="AM1576" s="214" t="str">
        <f t="shared" si="722"/>
        <v/>
      </c>
      <c r="AN1576" s="213" t="str">
        <f t="shared" si="704"/>
        <v>2012</v>
      </c>
      <c r="AO1576" s="213" t="str">
        <f t="shared" si="705"/>
        <v>2012</v>
      </c>
      <c r="AP1576" s="213" t="str">
        <f t="shared" si="706"/>
        <v>2012</v>
      </c>
      <c r="AQ1576" s="215" t="str">
        <f t="shared" si="707"/>
        <v/>
      </c>
      <c r="AR1576" s="216" t="str">
        <f t="shared" si="708"/>
        <v>BiK82bK12y--06</v>
      </c>
      <c r="AS1576" s="215" t="str">
        <f t="shared" si="709"/>
        <v/>
      </c>
      <c r="AT1576">
        <f t="shared" si="710"/>
        <v>14</v>
      </c>
      <c r="AU1576" s="216" t="str">
        <f t="shared" si="711"/>
        <v>0,15-0,5 MW, Bonusregeln b, y und K erstmals 2012</v>
      </c>
      <c r="AV1576" s="215" t="str">
        <f t="shared" si="712"/>
        <v/>
      </c>
      <c r="AW1576" s="216" t="str">
        <f t="shared" si="713"/>
        <v>Anteil KWK, erstmals 2012</v>
      </c>
      <c r="AX1576" s="215" t="str">
        <f t="shared" si="714"/>
        <v/>
      </c>
      <c r="AY1576" t="str">
        <f t="shared" si="715"/>
        <v/>
      </c>
      <c r="AZ1576" t="str">
        <f t="shared" si="716"/>
        <v>x</v>
      </c>
    </row>
    <row r="1577" spans="1:52" s="178" customFormat="1" x14ac:dyDescent="0.25">
      <c r="A1577" s="609" t="s">
        <v>516</v>
      </c>
      <c r="B1577" s="1" t="s">
        <v>5548</v>
      </c>
      <c r="C1577" s="2" t="s">
        <v>1296</v>
      </c>
      <c r="D1577" s="1" t="s">
        <v>7144</v>
      </c>
      <c r="E1577" s="1" t="s">
        <v>4810</v>
      </c>
      <c r="F1577" s="456">
        <f t="shared" si="723"/>
        <v>17.600000000000001</v>
      </c>
      <c r="G1577" s="531">
        <v>17.600000000000001</v>
      </c>
      <c r="H1577" s="489">
        <f t="shared" si="724"/>
        <v>14.08</v>
      </c>
      <c r="I1577" s="708"/>
      <c r="J1577" s="669" t="s">
        <v>5805</v>
      </c>
      <c r="K1577" s="15"/>
      <c r="L1577"/>
      <c r="M1577" s="49">
        <f t="shared" si="725"/>
        <v>17.600000000000001</v>
      </c>
      <c r="N1577" s="41">
        <v>9.6</v>
      </c>
      <c r="O1577" s="54"/>
      <c r="P1577" s="15"/>
      <c r="Q1577"/>
      <c r="R1577"/>
      <c r="S1577" t="s">
        <v>4180</v>
      </c>
      <c r="T1577" s="178" t="s">
        <v>4180</v>
      </c>
      <c r="U1577" s="55"/>
      <c r="V1577" t="s">
        <v>1017</v>
      </c>
      <c r="W1577" s="65"/>
      <c r="X1577" s="65"/>
      <c r="Y1577"/>
      <c r="Z1577" s="65"/>
      <c r="AA1577" s="12"/>
      <c r="AB1577"/>
      <c r="AC1577" s="65"/>
      <c r="AD1577" s="27"/>
      <c r="AE1577" s="124" t="s">
        <v>1017</v>
      </c>
      <c r="AF1577" s="65"/>
      <c r="AG1577" s="91"/>
      <c r="AH1577" s="212" t="str">
        <f t="shared" ref="AH1577:AH1582" si="727">IF(ISERROR(SEARCH("K erstmals 201",D1577)),"",RIGHT(D1577,4))</f>
        <v/>
      </c>
      <c r="AI1577" s="214" t="str">
        <f t="shared" si="718"/>
        <v/>
      </c>
      <c r="AJ1577" s="214" t="str">
        <f t="shared" si="719"/>
        <v/>
      </c>
      <c r="AK1577" s="214" t="str">
        <f t="shared" si="720"/>
        <v/>
      </c>
      <c r="AL1577" s="214" t="str">
        <f t="shared" si="721"/>
        <v/>
      </c>
      <c r="AM1577" s="214" t="str">
        <f t="shared" si="722"/>
        <v/>
      </c>
      <c r="AN1577" s="213" t="str">
        <f t="shared" si="704"/>
        <v/>
      </c>
      <c r="AO1577" s="213" t="str">
        <f t="shared" si="705"/>
        <v/>
      </c>
      <c r="AP1577" s="213" t="str">
        <f t="shared" si="706"/>
        <v/>
      </c>
      <c r="AQ1577" s="215" t="str">
        <f t="shared" si="707"/>
        <v/>
      </c>
      <c r="AR1577" s="216" t="str">
        <f t="shared" si="708"/>
        <v>BiK82a1b----06</v>
      </c>
      <c r="AS1577" s="215" t="str">
        <f t="shared" si="709"/>
        <v/>
      </c>
      <c r="AT1577">
        <f t="shared" si="710"/>
        <v>14</v>
      </c>
      <c r="AU1577" s="216" t="str">
        <f t="shared" si="711"/>
        <v>0,15-0,5 MW, Bonusregeln a1 und b</v>
      </c>
      <c r="AV1577" s="215" t="str">
        <f t="shared" si="712"/>
        <v/>
      </c>
      <c r="AW1577" s="216" t="str">
        <f t="shared" si="713"/>
        <v>Anteil Nicht-KWK</v>
      </c>
      <c r="AX1577" s="215" t="str">
        <f t="shared" si="714"/>
        <v/>
      </c>
      <c r="AY1577" t="str">
        <f t="shared" si="715"/>
        <v/>
      </c>
      <c r="AZ1577" t="str">
        <f t="shared" si="716"/>
        <v/>
      </c>
    </row>
    <row r="1578" spans="1:52" s="178" customFormat="1" x14ac:dyDescent="0.25">
      <c r="A1578" s="609" t="s">
        <v>517</v>
      </c>
      <c r="B1578" s="1" t="s">
        <v>5548</v>
      </c>
      <c r="C1578" s="2" t="s">
        <v>1296</v>
      </c>
      <c r="D1578" s="1" t="s">
        <v>7145</v>
      </c>
      <c r="E1578" s="1" t="s">
        <v>4812</v>
      </c>
      <c r="F1578" s="456">
        <f t="shared" si="723"/>
        <v>19.600000000000001</v>
      </c>
      <c r="G1578" s="531">
        <v>19.600000000000001</v>
      </c>
      <c r="H1578" s="489">
        <f t="shared" si="724"/>
        <v>15.68</v>
      </c>
      <c r="I1578" s="708"/>
      <c r="J1578" s="669" t="s">
        <v>5805</v>
      </c>
      <c r="K1578" s="15"/>
      <c r="L1578"/>
      <c r="M1578" s="49">
        <f t="shared" si="725"/>
        <v>19.600000000000001</v>
      </c>
      <c r="N1578" s="41">
        <v>9.6</v>
      </c>
      <c r="O1578" s="54" t="s">
        <v>1017</v>
      </c>
      <c r="P1578" s="15"/>
      <c r="Q1578"/>
      <c r="R1578"/>
      <c r="S1578" t="s">
        <v>4180</v>
      </c>
      <c r="T1578" s="178" t="s">
        <v>4180</v>
      </c>
      <c r="U1578" s="55"/>
      <c r="V1578" t="s">
        <v>1017</v>
      </c>
      <c r="W1578" s="65"/>
      <c r="X1578" s="65"/>
      <c r="Y1578"/>
      <c r="Z1578" s="65"/>
      <c r="AA1578" s="12"/>
      <c r="AB1578"/>
      <c r="AC1578" s="65"/>
      <c r="AD1578" s="27"/>
      <c r="AE1578" s="124" t="s">
        <v>1017</v>
      </c>
      <c r="AF1578" s="65"/>
      <c r="AG1578" s="91"/>
      <c r="AH1578" s="212" t="str">
        <f t="shared" si="727"/>
        <v/>
      </c>
      <c r="AI1578" s="214" t="str">
        <f t="shared" si="718"/>
        <v/>
      </c>
      <c r="AJ1578" s="214" t="str">
        <f t="shared" si="719"/>
        <v/>
      </c>
      <c r="AK1578" s="214" t="str">
        <f t="shared" si="720"/>
        <v/>
      </c>
      <c r="AL1578" s="214" t="str">
        <f t="shared" si="721"/>
        <v/>
      </c>
      <c r="AM1578" s="214" t="str">
        <f t="shared" si="722"/>
        <v/>
      </c>
      <c r="AN1578" s="213" t="str">
        <f t="shared" si="704"/>
        <v/>
      </c>
      <c r="AO1578" s="213" t="str">
        <f t="shared" si="705"/>
        <v/>
      </c>
      <c r="AP1578" s="213" t="str">
        <f t="shared" si="706"/>
        <v/>
      </c>
      <c r="AQ1578" s="215" t="str">
        <f t="shared" si="707"/>
        <v/>
      </c>
      <c r="AR1578" s="216" t="str">
        <f t="shared" si="708"/>
        <v>BiK82a1bKWK-06</v>
      </c>
      <c r="AS1578" s="215" t="str">
        <f t="shared" si="709"/>
        <v/>
      </c>
      <c r="AT1578">
        <f t="shared" si="710"/>
        <v>14</v>
      </c>
      <c r="AU1578" s="216" t="str">
        <f t="shared" si="711"/>
        <v>0,15-0,5 MW, Bonusregeln a1, b und KWK</v>
      </c>
      <c r="AV1578" s="215" t="str">
        <f t="shared" si="712"/>
        <v/>
      </c>
      <c r="AW1578" s="216" t="str">
        <f t="shared" si="713"/>
        <v>Anteil KWK</v>
      </c>
      <c r="AX1578" s="215" t="str">
        <f t="shared" si="714"/>
        <v/>
      </c>
      <c r="AY1578" t="str">
        <f t="shared" si="715"/>
        <v/>
      </c>
      <c r="AZ1578" t="str">
        <f t="shared" si="716"/>
        <v/>
      </c>
    </row>
    <row r="1579" spans="1:52" s="178" customFormat="1" x14ac:dyDescent="0.25">
      <c r="A1579" s="610" t="s">
        <v>4357</v>
      </c>
      <c r="B1579" s="17" t="s">
        <v>5548</v>
      </c>
      <c r="C1579" s="30" t="s">
        <v>1296</v>
      </c>
      <c r="D1579" s="30" t="s">
        <v>7146</v>
      </c>
      <c r="E1579" s="30" t="s">
        <v>4331</v>
      </c>
      <c r="F1579" s="454">
        <f t="shared" si="723"/>
        <v>20.6</v>
      </c>
      <c r="G1579" s="529">
        <v>20.6</v>
      </c>
      <c r="H1579" s="487">
        <f t="shared" si="724"/>
        <v>16.48</v>
      </c>
      <c r="I1579" s="706"/>
      <c r="J1579" s="669" t="s">
        <v>5805</v>
      </c>
      <c r="K1579" s="15"/>
      <c r="L1579"/>
      <c r="M1579" s="49">
        <f t="shared" si="725"/>
        <v>20.6</v>
      </c>
      <c r="N1579" s="41">
        <v>9.6</v>
      </c>
      <c r="O1579" s="54"/>
      <c r="P1579" t="s">
        <v>1017</v>
      </c>
      <c r="Q1579"/>
      <c r="R1579"/>
      <c r="S1579" t="s">
        <v>4180</v>
      </c>
      <c r="T1579" s="178" t="s">
        <v>4180</v>
      </c>
      <c r="U1579" s="55"/>
      <c r="V1579" t="s">
        <v>1017</v>
      </c>
      <c r="W1579" s="65"/>
      <c r="X1579" s="65"/>
      <c r="Y1579"/>
      <c r="Z1579" s="65"/>
      <c r="AA1579" s="12"/>
      <c r="AB1579"/>
      <c r="AC1579" s="65"/>
      <c r="AD1579" s="27"/>
      <c r="AE1579" s="124" t="s">
        <v>1017</v>
      </c>
      <c r="AF1579" s="65"/>
      <c r="AG1579" s="91"/>
      <c r="AH1579" s="212" t="str">
        <f t="shared" si="727"/>
        <v/>
      </c>
      <c r="AI1579" s="214" t="str">
        <f t="shared" si="718"/>
        <v/>
      </c>
      <c r="AJ1579" s="214" t="str">
        <f t="shared" si="719"/>
        <v/>
      </c>
      <c r="AK1579" s="214" t="str">
        <f t="shared" si="720"/>
        <v/>
      </c>
      <c r="AL1579" s="214" t="str">
        <f t="shared" si="721"/>
        <v/>
      </c>
      <c r="AM1579" s="214" t="str">
        <f t="shared" si="722"/>
        <v/>
      </c>
      <c r="AN1579" s="213" t="str">
        <f t="shared" si="704"/>
        <v/>
      </c>
      <c r="AO1579" s="213" t="str">
        <f t="shared" si="705"/>
        <v/>
      </c>
      <c r="AP1579" s="213" t="str">
        <f t="shared" si="706"/>
        <v/>
      </c>
      <c r="AQ1579" s="215" t="str">
        <f t="shared" si="707"/>
        <v/>
      </c>
      <c r="AR1579" s="216" t="str">
        <f t="shared" si="708"/>
        <v>BiK82a1bKA3-06</v>
      </c>
      <c r="AS1579" s="215" t="str">
        <f t="shared" si="709"/>
        <v/>
      </c>
      <c r="AT1579">
        <f t="shared" si="710"/>
        <v>14</v>
      </c>
      <c r="AU1579" s="216" t="str">
        <f t="shared" si="711"/>
        <v>0,15-0,5 MW, Bonusregeln a1, b und K wenn Anlage 3 erfüllt</v>
      </c>
      <c r="AV1579" s="215" t="str">
        <f t="shared" si="712"/>
        <v/>
      </c>
      <c r="AW1579" s="216" t="str">
        <f t="shared" si="713"/>
        <v>Anteil KWK gemäß Anlage 3</v>
      </c>
      <c r="AX1579" s="215" t="str">
        <f t="shared" si="714"/>
        <v/>
      </c>
      <c r="AY1579" t="str">
        <f t="shared" si="715"/>
        <v/>
      </c>
      <c r="AZ1579" t="str">
        <f t="shared" si="716"/>
        <v/>
      </c>
    </row>
    <row r="1580" spans="1:52" s="178" customFormat="1" x14ac:dyDescent="0.25">
      <c r="A1580" s="610" t="s">
        <v>4593</v>
      </c>
      <c r="B1580" s="17" t="s">
        <v>5548</v>
      </c>
      <c r="C1580" s="17" t="s">
        <v>1296</v>
      </c>
      <c r="D1580" s="30" t="s">
        <v>7147</v>
      </c>
      <c r="E1580" s="17" t="s">
        <v>674</v>
      </c>
      <c r="F1580" s="454">
        <f t="shared" si="723"/>
        <v>20.6</v>
      </c>
      <c r="G1580" s="529">
        <v>20.6</v>
      </c>
      <c r="H1580" s="487">
        <f t="shared" si="724"/>
        <v>16.48</v>
      </c>
      <c r="I1580" s="706"/>
      <c r="J1580" s="669" t="s">
        <v>5805</v>
      </c>
      <c r="K1580" s="15"/>
      <c r="L1580"/>
      <c r="M1580" s="49">
        <f t="shared" si="725"/>
        <v>20.6</v>
      </c>
      <c r="N1580" s="41">
        <v>9.6</v>
      </c>
      <c r="O1580" s="54"/>
      <c r="P1580" s="15"/>
      <c r="Q1580" t="s">
        <v>1017</v>
      </c>
      <c r="R1580"/>
      <c r="S1580" t="s">
        <v>4180</v>
      </c>
      <c r="T1580" s="178" t="s">
        <v>4180</v>
      </c>
      <c r="U1580" s="55"/>
      <c r="V1580" t="s">
        <v>1017</v>
      </c>
      <c r="W1580" s="65"/>
      <c r="X1580" s="65"/>
      <c r="Y1580"/>
      <c r="Z1580" s="65"/>
      <c r="AA1580" s="12"/>
      <c r="AB1580"/>
      <c r="AC1580" s="65"/>
      <c r="AD1580" s="27"/>
      <c r="AE1580" s="124" t="s">
        <v>1017</v>
      </c>
      <c r="AF1580" s="65"/>
      <c r="AG1580" s="91"/>
      <c r="AH1580" s="212" t="str">
        <f t="shared" si="727"/>
        <v/>
      </c>
      <c r="AI1580" s="214" t="str">
        <f t="shared" si="718"/>
        <v/>
      </c>
      <c r="AJ1580" s="214" t="str">
        <f t="shared" si="719"/>
        <v/>
      </c>
      <c r="AK1580" s="214" t="str">
        <f t="shared" si="720"/>
        <v/>
      </c>
      <c r="AL1580" s="214" t="str">
        <f t="shared" si="721"/>
        <v/>
      </c>
      <c r="AM1580" s="214" t="str">
        <f t="shared" si="722"/>
        <v/>
      </c>
      <c r="AN1580" s="213" t="str">
        <f t="shared" si="704"/>
        <v/>
      </c>
      <c r="AO1580" s="213" t="str">
        <f t="shared" si="705"/>
        <v/>
      </c>
      <c r="AP1580" s="213" t="str">
        <f t="shared" si="706"/>
        <v/>
      </c>
      <c r="AQ1580" s="215" t="str">
        <f t="shared" si="707"/>
        <v/>
      </c>
      <c r="AR1580" s="216" t="str">
        <f t="shared" si="708"/>
        <v>BiK82a1bK09-06</v>
      </c>
      <c r="AS1580" s="215" t="str">
        <f t="shared" si="709"/>
        <v/>
      </c>
      <c r="AT1580">
        <f t="shared" si="710"/>
        <v>14</v>
      </c>
      <c r="AU1580" s="216" t="str">
        <f t="shared" si="711"/>
        <v>0,15-0,5 MW, Bonusregeln a1, b und K erstmals 2009</v>
      </c>
      <c r="AV1580" s="215" t="str">
        <f t="shared" si="712"/>
        <v/>
      </c>
      <c r="AW1580" s="216" t="str">
        <f t="shared" si="713"/>
        <v>Anteil KWK, erstmals 2009</v>
      </c>
      <c r="AX1580" s="215" t="str">
        <f t="shared" si="714"/>
        <v/>
      </c>
      <c r="AY1580" t="str">
        <f t="shared" si="715"/>
        <v/>
      </c>
      <c r="AZ1580" t="str">
        <f t="shared" si="716"/>
        <v/>
      </c>
    </row>
    <row r="1581" spans="1:52" s="178" customFormat="1" x14ac:dyDescent="0.25">
      <c r="A1581" s="610" t="s">
        <v>4923</v>
      </c>
      <c r="B1581" s="17" t="s">
        <v>5548</v>
      </c>
      <c r="C1581" s="17" t="s">
        <v>1296</v>
      </c>
      <c r="D1581" s="30" t="s">
        <v>7148</v>
      </c>
      <c r="E1581" s="30" t="s">
        <v>3567</v>
      </c>
      <c r="F1581" s="454">
        <f t="shared" si="723"/>
        <v>20.57</v>
      </c>
      <c r="G1581" s="529">
        <v>20.57</v>
      </c>
      <c r="H1581" s="487">
        <f t="shared" si="724"/>
        <v>16.46</v>
      </c>
      <c r="I1581" s="706"/>
      <c r="J1581" s="669" t="s">
        <v>5805</v>
      </c>
      <c r="K1581" s="15"/>
      <c r="L1581"/>
      <c r="M1581" s="49">
        <f t="shared" si="725"/>
        <v>20.57</v>
      </c>
      <c r="N1581" s="41">
        <v>9.6</v>
      </c>
      <c r="O1581" s="54"/>
      <c r="P1581" s="15"/>
      <c r="Q1581"/>
      <c r="R1581" t="s">
        <v>1017</v>
      </c>
      <c r="S1581" t="s">
        <v>4180</v>
      </c>
      <c r="T1581" s="178" t="s">
        <v>4180</v>
      </c>
      <c r="U1581" s="55"/>
      <c r="V1581" t="s">
        <v>1017</v>
      </c>
      <c r="W1581" s="65"/>
      <c r="X1581" s="65"/>
      <c r="Y1581"/>
      <c r="Z1581" s="65"/>
      <c r="AA1581" s="12"/>
      <c r="AB1581"/>
      <c r="AC1581" s="65"/>
      <c r="AD1581" s="27"/>
      <c r="AE1581" s="124" t="s">
        <v>1017</v>
      </c>
      <c r="AF1581" s="65"/>
      <c r="AG1581" s="91"/>
      <c r="AH1581" s="212" t="str">
        <f t="shared" si="727"/>
        <v>2010</v>
      </c>
      <c r="AI1581" s="214" t="str">
        <f t="shared" si="718"/>
        <v/>
      </c>
      <c r="AJ1581" s="214" t="str">
        <f t="shared" si="719"/>
        <v/>
      </c>
      <c r="AK1581" s="214" t="str">
        <f t="shared" si="720"/>
        <v/>
      </c>
      <c r="AL1581" s="214" t="str">
        <f t="shared" si="721"/>
        <v/>
      </c>
      <c r="AM1581" s="214" t="str">
        <f t="shared" si="722"/>
        <v/>
      </c>
      <c r="AN1581" s="213" t="str">
        <f t="shared" si="704"/>
        <v>2010</v>
      </c>
      <c r="AO1581" s="213" t="str">
        <f t="shared" si="705"/>
        <v>2010</v>
      </c>
      <c r="AP1581" s="213" t="str">
        <f t="shared" si="706"/>
        <v>2010</v>
      </c>
      <c r="AQ1581" s="215" t="str">
        <f t="shared" si="707"/>
        <v/>
      </c>
      <c r="AR1581" s="216" t="str">
        <f t="shared" si="708"/>
        <v>BiK82a1bK10-06</v>
      </c>
      <c r="AS1581" s="215" t="str">
        <f t="shared" si="709"/>
        <v/>
      </c>
      <c r="AT1581">
        <f t="shared" si="710"/>
        <v>14</v>
      </c>
      <c r="AU1581" s="216" t="str">
        <f t="shared" si="711"/>
        <v>0,15-0,5 MW, Bonusregeln a1, b und K erstmals 2010</v>
      </c>
      <c r="AV1581" s="215" t="str">
        <f t="shared" si="712"/>
        <v/>
      </c>
      <c r="AW1581" s="216" t="str">
        <f t="shared" si="713"/>
        <v>Anteil KWK, erstmals 2010</v>
      </c>
      <c r="AX1581" s="215" t="str">
        <f t="shared" si="714"/>
        <v/>
      </c>
      <c r="AY1581" t="str">
        <f t="shared" si="715"/>
        <v/>
      </c>
      <c r="AZ1581" t="str">
        <f t="shared" si="716"/>
        <v/>
      </c>
    </row>
    <row r="1582" spans="1:52" s="178" customFormat="1" x14ac:dyDescent="0.25">
      <c r="A1582" s="610" t="s">
        <v>3970</v>
      </c>
      <c r="B1582" s="17" t="s">
        <v>5548</v>
      </c>
      <c r="C1582" s="17" t="s">
        <v>1296</v>
      </c>
      <c r="D1582" s="30" t="s">
        <v>7149</v>
      </c>
      <c r="E1582" s="30" t="s">
        <v>3055</v>
      </c>
      <c r="F1582" s="454">
        <f t="shared" si="723"/>
        <v>20.54</v>
      </c>
      <c r="G1582" s="529">
        <v>20.54</v>
      </c>
      <c r="H1582" s="487">
        <f t="shared" si="724"/>
        <v>16.43</v>
      </c>
      <c r="I1582" s="706"/>
      <c r="J1582" s="669" t="s">
        <v>5805</v>
      </c>
      <c r="K1582" s="15"/>
      <c r="L1582"/>
      <c r="M1582" s="49">
        <f t="shared" si="725"/>
        <v>20.54</v>
      </c>
      <c r="N1582" s="41">
        <v>9.6</v>
      </c>
      <c r="O1582" s="54"/>
      <c r="P1582" s="15"/>
      <c r="Q1582"/>
      <c r="R1582"/>
      <c r="S1582" t="s">
        <v>1017</v>
      </c>
      <c r="T1582" s="178" t="s">
        <v>4180</v>
      </c>
      <c r="U1582" s="55"/>
      <c r="V1582" t="s">
        <v>1017</v>
      </c>
      <c r="W1582" s="65"/>
      <c r="X1582" s="65"/>
      <c r="Y1582"/>
      <c r="Z1582" s="65"/>
      <c r="AA1582" s="12"/>
      <c r="AB1582"/>
      <c r="AC1582" s="65"/>
      <c r="AD1582" s="27"/>
      <c r="AE1582" s="124" t="s">
        <v>1017</v>
      </c>
      <c r="AF1582" s="65"/>
      <c r="AG1582" s="91"/>
      <c r="AH1582" s="212" t="str">
        <f t="shared" si="727"/>
        <v>2011</v>
      </c>
      <c r="AI1582" s="214" t="str">
        <f t="shared" si="718"/>
        <v/>
      </c>
      <c r="AJ1582" s="214" t="str">
        <f t="shared" si="719"/>
        <v/>
      </c>
      <c r="AK1582" s="214" t="str">
        <f t="shared" si="720"/>
        <v/>
      </c>
      <c r="AL1582" s="214" t="str">
        <f t="shared" si="721"/>
        <v/>
      </c>
      <c r="AM1582" s="214" t="str">
        <f t="shared" si="722"/>
        <v/>
      </c>
      <c r="AN1582" s="213" t="str">
        <f t="shared" si="704"/>
        <v>2011</v>
      </c>
      <c r="AO1582" s="213" t="str">
        <f t="shared" si="705"/>
        <v>2011</v>
      </c>
      <c r="AP1582" s="213" t="str">
        <f t="shared" si="706"/>
        <v>2011</v>
      </c>
      <c r="AQ1582" s="215" t="str">
        <f t="shared" si="707"/>
        <v/>
      </c>
      <c r="AR1582" s="216" t="str">
        <f t="shared" si="708"/>
        <v>BiK82a1bK11-06</v>
      </c>
      <c r="AS1582" s="215" t="str">
        <f t="shared" si="709"/>
        <v/>
      </c>
      <c r="AT1582">
        <f t="shared" si="710"/>
        <v>14</v>
      </c>
      <c r="AU1582" s="216" t="str">
        <f t="shared" si="711"/>
        <v>0,15-0,5 MW, Bonusregeln a1, b und K erstmals 2011</v>
      </c>
      <c r="AV1582" s="215" t="str">
        <f t="shared" si="712"/>
        <v/>
      </c>
      <c r="AW1582" s="216" t="str">
        <f t="shared" si="713"/>
        <v>Anteil KWK, erstmals 2011</v>
      </c>
      <c r="AX1582" s="215" t="str">
        <f t="shared" si="714"/>
        <v/>
      </c>
      <c r="AY1582" t="str">
        <f t="shared" si="715"/>
        <v>x</v>
      </c>
      <c r="AZ1582" t="str">
        <f t="shared" si="716"/>
        <v/>
      </c>
    </row>
    <row r="1583" spans="1:52" s="178" customFormat="1" x14ac:dyDescent="0.25">
      <c r="A1583" s="625" t="s">
        <v>1792</v>
      </c>
      <c r="B1583" s="221" t="s">
        <v>5548</v>
      </c>
      <c r="C1583" s="221" t="s">
        <v>1296</v>
      </c>
      <c r="D1583" s="219" t="s">
        <v>7150</v>
      </c>
      <c r="E1583" s="219" t="s">
        <v>1980</v>
      </c>
      <c r="F1583" s="455">
        <f t="shared" si="723"/>
        <v>20.509999999999998</v>
      </c>
      <c r="G1583" s="530">
        <v>20.509999999999998</v>
      </c>
      <c r="H1583" s="488">
        <f t="shared" si="724"/>
        <v>16.41</v>
      </c>
      <c r="I1583" s="707"/>
      <c r="J1583" s="669" t="s">
        <v>5805</v>
      </c>
      <c r="K1583" s="15"/>
      <c r="L1583"/>
      <c r="M1583" s="49">
        <f t="shared" si="725"/>
        <v>20.509999999999998</v>
      </c>
      <c r="N1583" s="41">
        <v>9.6</v>
      </c>
      <c r="O1583" s="54"/>
      <c r="P1583" s="15"/>
      <c r="Q1583"/>
      <c r="R1583"/>
      <c r="S1583" t="s">
        <v>4180</v>
      </c>
      <c r="T1583" s="178" t="s">
        <v>1017</v>
      </c>
      <c r="U1583" s="55"/>
      <c r="V1583" t="s">
        <v>1017</v>
      </c>
      <c r="W1583" s="65"/>
      <c r="X1583" s="65"/>
      <c r="Y1583"/>
      <c r="Z1583" s="65"/>
      <c r="AA1583" s="12"/>
      <c r="AB1583"/>
      <c r="AC1583" s="65"/>
      <c r="AD1583" s="27"/>
      <c r="AE1583" s="124" t="s">
        <v>1017</v>
      </c>
      <c r="AF1583" s="65"/>
      <c r="AG1583" s="91"/>
      <c r="AH1583" s="217" t="s">
        <v>4179</v>
      </c>
      <c r="AI1583" s="214" t="str">
        <f t="shared" si="718"/>
        <v/>
      </c>
      <c r="AJ1583" s="214" t="str">
        <f t="shared" si="719"/>
        <v/>
      </c>
      <c r="AK1583" s="214" t="str">
        <f t="shared" si="720"/>
        <v/>
      </c>
      <c r="AL1583" s="214" t="str">
        <f t="shared" si="721"/>
        <v/>
      </c>
      <c r="AM1583" s="214" t="str">
        <f t="shared" si="722"/>
        <v/>
      </c>
      <c r="AN1583" s="213" t="str">
        <f t="shared" si="704"/>
        <v>2012</v>
      </c>
      <c r="AO1583" s="213" t="str">
        <f t="shared" si="705"/>
        <v>2012</v>
      </c>
      <c r="AP1583" s="213" t="str">
        <f t="shared" si="706"/>
        <v>2012</v>
      </c>
      <c r="AQ1583" s="215" t="str">
        <f t="shared" si="707"/>
        <v/>
      </c>
      <c r="AR1583" s="216" t="str">
        <f t="shared" si="708"/>
        <v>BiK82a1bK12-06</v>
      </c>
      <c r="AS1583" s="215" t="str">
        <f t="shared" si="709"/>
        <v/>
      </c>
      <c r="AT1583">
        <f t="shared" si="710"/>
        <v>14</v>
      </c>
      <c r="AU1583" s="216" t="str">
        <f t="shared" si="711"/>
        <v>0,15-0,5 MW, Bonusregeln a1, b und K erstmals 2012</v>
      </c>
      <c r="AV1583" s="215" t="str">
        <f t="shared" si="712"/>
        <v/>
      </c>
      <c r="AW1583" s="216" t="str">
        <f t="shared" si="713"/>
        <v>Anteil KWK, erstmals 2012</v>
      </c>
      <c r="AX1583" s="215" t="str">
        <f t="shared" si="714"/>
        <v/>
      </c>
      <c r="AY1583" t="str">
        <f t="shared" si="715"/>
        <v/>
      </c>
      <c r="AZ1583" t="str">
        <f t="shared" si="716"/>
        <v>x</v>
      </c>
    </row>
    <row r="1584" spans="1:52" s="178" customFormat="1" x14ac:dyDescent="0.25">
      <c r="A1584" s="610" t="s">
        <v>992</v>
      </c>
      <c r="B1584" s="17" t="s">
        <v>5548</v>
      </c>
      <c r="C1584" s="17" t="s">
        <v>1296</v>
      </c>
      <c r="D1584" s="30" t="s">
        <v>7151</v>
      </c>
      <c r="E1584" s="17" t="s">
        <v>4810</v>
      </c>
      <c r="F1584" s="454">
        <f t="shared" si="723"/>
        <v>18.600000000000001</v>
      </c>
      <c r="G1584" s="529">
        <v>18.600000000000001</v>
      </c>
      <c r="H1584" s="487">
        <f t="shared" si="724"/>
        <v>14.88</v>
      </c>
      <c r="I1584" s="706"/>
      <c r="J1584" s="669" t="s">
        <v>5805</v>
      </c>
      <c r="K1584" s="15"/>
      <c r="L1584"/>
      <c r="M1584" s="49">
        <f t="shared" si="725"/>
        <v>18.600000000000001</v>
      </c>
      <c r="N1584" s="41">
        <v>9.6</v>
      </c>
      <c r="O1584" s="54"/>
      <c r="P1584" s="15"/>
      <c r="Q1584"/>
      <c r="R1584"/>
      <c r="S1584" t="s">
        <v>4180</v>
      </c>
      <c r="T1584" s="178" t="s">
        <v>4180</v>
      </c>
      <c r="U1584" s="55" t="s">
        <v>1017</v>
      </c>
      <c r="V1584" t="s">
        <v>1017</v>
      </c>
      <c r="W1584" s="65"/>
      <c r="X1584" s="65"/>
      <c r="Y1584"/>
      <c r="Z1584" s="65"/>
      <c r="AA1584" s="12"/>
      <c r="AB1584"/>
      <c r="AC1584" s="65"/>
      <c r="AD1584" s="27"/>
      <c r="AE1584" s="124" t="s">
        <v>1017</v>
      </c>
      <c r="AF1584" s="65"/>
      <c r="AG1584" s="91"/>
      <c r="AH1584" s="212" t="str">
        <f t="shared" ref="AH1584:AH1589" si="728">IF(ISERROR(SEARCH("K erstmals 201",D1584)),"",RIGHT(D1584,4))</f>
        <v/>
      </c>
      <c r="AI1584" s="214" t="str">
        <f t="shared" si="718"/>
        <v/>
      </c>
      <c r="AJ1584" s="214" t="str">
        <f t="shared" si="719"/>
        <v/>
      </c>
      <c r="AK1584" s="214" t="str">
        <f t="shared" si="720"/>
        <v/>
      </c>
      <c r="AL1584" s="214" t="str">
        <f t="shared" si="721"/>
        <v/>
      </c>
      <c r="AM1584" s="214" t="str">
        <f t="shared" si="722"/>
        <v/>
      </c>
      <c r="AN1584" s="213" t="str">
        <f t="shared" si="704"/>
        <v/>
      </c>
      <c r="AO1584" s="213" t="str">
        <f t="shared" si="705"/>
        <v/>
      </c>
      <c r="AP1584" s="213" t="str">
        <f t="shared" si="706"/>
        <v/>
      </c>
      <c r="AQ1584" s="215" t="str">
        <f t="shared" si="707"/>
        <v/>
      </c>
      <c r="AR1584" s="216" t="str">
        <f t="shared" si="708"/>
        <v>BiK82a1by---06</v>
      </c>
      <c r="AS1584" s="215" t="str">
        <f t="shared" si="709"/>
        <v/>
      </c>
      <c r="AT1584">
        <f t="shared" si="710"/>
        <v>14</v>
      </c>
      <c r="AU1584" s="216" t="str">
        <f t="shared" si="711"/>
        <v>0,15-0,5 MW, Bonusregeln a1, b, y</v>
      </c>
      <c r="AV1584" s="215" t="str">
        <f t="shared" si="712"/>
        <v/>
      </c>
      <c r="AW1584" s="216" t="str">
        <f t="shared" si="713"/>
        <v>Anteil Nicht-KWK</v>
      </c>
      <c r="AX1584" s="215" t="str">
        <f t="shared" si="714"/>
        <v/>
      </c>
      <c r="AY1584" t="str">
        <f t="shared" si="715"/>
        <v/>
      </c>
      <c r="AZ1584" t="str">
        <f t="shared" si="716"/>
        <v/>
      </c>
    </row>
    <row r="1585" spans="1:52" s="178" customFormat="1" x14ac:dyDescent="0.25">
      <c r="A1585" s="610" t="s">
        <v>993</v>
      </c>
      <c r="B1585" s="17" t="s">
        <v>5548</v>
      </c>
      <c r="C1585" s="17" t="s">
        <v>1296</v>
      </c>
      <c r="D1585" s="17" t="s">
        <v>7152</v>
      </c>
      <c r="E1585" s="17" t="s">
        <v>4812</v>
      </c>
      <c r="F1585" s="454">
        <f t="shared" si="723"/>
        <v>20.6</v>
      </c>
      <c r="G1585" s="529">
        <v>20.6</v>
      </c>
      <c r="H1585" s="487">
        <f t="shared" si="724"/>
        <v>16.48</v>
      </c>
      <c r="I1585" s="706"/>
      <c r="J1585" s="669" t="s">
        <v>5805</v>
      </c>
      <c r="K1585" s="15"/>
      <c r="L1585"/>
      <c r="M1585" s="49">
        <f t="shared" si="725"/>
        <v>20.6</v>
      </c>
      <c r="N1585" s="41">
        <v>9.6</v>
      </c>
      <c r="O1585" s="54" t="s">
        <v>1017</v>
      </c>
      <c r="P1585" s="15"/>
      <c r="Q1585"/>
      <c r="R1585"/>
      <c r="S1585" t="s">
        <v>4180</v>
      </c>
      <c r="T1585" s="178" t="s">
        <v>4180</v>
      </c>
      <c r="U1585" s="55" t="s">
        <v>1017</v>
      </c>
      <c r="V1585" t="s">
        <v>1017</v>
      </c>
      <c r="W1585" s="65"/>
      <c r="X1585" s="65"/>
      <c r="Y1585"/>
      <c r="Z1585" s="65"/>
      <c r="AA1585" s="12"/>
      <c r="AB1585"/>
      <c r="AC1585" s="65"/>
      <c r="AD1585" s="27"/>
      <c r="AE1585" s="124" t="s">
        <v>1017</v>
      </c>
      <c r="AF1585" s="65"/>
      <c r="AG1585" s="91"/>
      <c r="AH1585" s="212" t="str">
        <f t="shared" si="728"/>
        <v/>
      </c>
      <c r="AI1585" s="214" t="str">
        <f t="shared" si="718"/>
        <v/>
      </c>
      <c r="AJ1585" s="214" t="str">
        <f t="shared" si="719"/>
        <v/>
      </c>
      <c r="AK1585" s="214" t="str">
        <f t="shared" si="720"/>
        <v/>
      </c>
      <c r="AL1585" s="214" t="str">
        <f t="shared" si="721"/>
        <v/>
      </c>
      <c r="AM1585" s="214" t="str">
        <f t="shared" si="722"/>
        <v/>
      </c>
      <c r="AN1585" s="213" t="str">
        <f t="shared" si="704"/>
        <v/>
      </c>
      <c r="AO1585" s="213" t="str">
        <f t="shared" si="705"/>
        <v/>
      </c>
      <c r="AP1585" s="213" t="str">
        <f t="shared" si="706"/>
        <v/>
      </c>
      <c r="AQ1585" s="215" t="str">
        <f t="shared" si="707"/>
        <v/>
      </c>
      <c r="AR1585" s="216" t="str">
        <f t="shared" si="708"/>
        <v>BiK82a1bKWKy06</v>
      </c>
      <c r="AS1585" s="215" t="str">
        <f t="shared" si="709"/>
        <v/>
      </c>
      <c r="AT1585">
        <f t="shared" si="710"/>
        <v>14</v>
      </c>
      <c r="AU1585" s="216" t="str">
        <f t="shared" si="711"/>
        <v>0,15-0,5 MW, Bonusregeln a1, b, y und KWK</v>
      </c>
      <c r="AV1585" s="215" t="str">
        <f t="shared" si="712"/>
        <v/>
      </c>
      <c r="AW1585" s="216" t="str">
        <f t="shared" si="713"/>
        <v>Anteil KWK</v>
      </c>
      <c r="AX1585" s="215" t="str">
        <f t="shared" si="714"/>
        <v/>
      </c>
      <c r="AY1585" t="str">
        <f t="shared" si="715"/>
        <v/>
      </c>
      <c r="AZ1585" t="str">
        <f t="shared" si="716"/>
        <v/>
      </c>
    </row>
    <row r="1586" spans="1:52" s="178" customFormat="1" x14ac:dyDescent="0.25">
      <c r="A1586" s="610" t="s">
        <v>2898</v>
      </c>
      <c r="B1586" s="17" t="s">
        <v>5548</v>
      </c>
      <c r="C1586" s="30" t="s">
        <v>1296</v>
      </c>
      <c r="D1586" s="30" t="s">
        <v>7153</v>
      </c>
      <c r="E1586" s="30" t="s">
        <v>4331</v>
      </c>
      <c r="F1586" s="454">
        <f t="shared" si="723"/>
        <v>21.6</v>
      </c>
      <c r="G1586" s="529">
        <v>21.6</v>
      </c>
      <c r="H1586" s="487">
        <f t="shared" si="724"/>
        <v>17.28</v>
      </c>
      <c r="I1586" s="706"/>
      <c r="J1586" s="669" t="s">
        <v>5805</v>
      </c>
      <c r="K1586" s="15"/>
      <c r="L1586"/>
      <c r="M1586" s="49">
        <f t="shared" si="725"/>
        <v>21.6</v>
      </c>
      <c r="N1586" s="41">
        <v>9.6</v>
      </c>
      <c r="O1586" s="54"/>
      <c r="P1586" t="s">
        <v>1017</v>
      </c>
      <c r="Q1586"/>
      <c r="R1586"/>
      <c r="S1586" t="s">
        <v>4180</v>
      </c>
      <c r="T1586" s="178" t="s">
        <v>4180</v>
      </c>
      <c r="U1586" s="55" t="s">
        <v>1017</v>
      </c>
      <c r="V1586" t="s">
        <v>1017</v>
      </c>
      <c r="W1586" s="65"/>
      <c r="X1586" s="65"/>
      <c r="Y1586"/>
      <c r="Z1586" s="65"/>
      <c r="AA1586" s="12"/>
      <c r="AB1586"/>
      <c r="AC1586" s="65"/>
      <c r="AD1586" s="27"/>
      <c r="AE1586" s="124" t="s">
        <v>1017</v>
      </c>
      <c r="AF1586" s="65"/>
      <c r="AG1586" s="91"/>
      <c r="AH1586" s="212" t="str">
        <f t="shared" si="728"/>
        <v/>
      </c>
      <c r="AI1586" s="214" t="str">
        <f t="shared" si="718"/>
        <v/>
      </c>
      <c r="AJ1586" s="214" t="str">
        <f t="shared" si="719"/>
        <v/>
      </c>
      <c r="AK1586" s="214" t="str">
        <f t="shared" si="720"/>
        <v/>
      </c>
      <c r="AL1586" s="214" t="str">
        <f t="shared" si="721"/>
        <v/>
      </c>
      <c r="AM1586" s="214" t="str">
        <f t="shared" si="722"/>
        <v/>
      </c>
      <c r="AN1586" s="213" t="str">
        <f t="shared" si="704"/>
        <v/>
      </c>
      <c r="AO1586" s="213" t="str">
        <f t="shared" si="705"/>
        <v/>
      </c>
      <c r="AP1586" s="213" t="str">
        <f t="shared" si="706"/>
        <v/>
      </c>
      <c r="AQ1586" s="215" t="str">
        <f t="shared" si="707"/>
        <v/>
      </c>
      <c r="AR1586" s="216" t="str">
        <f t="shared" si="708"/>
        <v>BiK82a1bKA3y06</v>
      </c>
      <c r="AS1586" s="215" t="str">
        <f t="shared" si="709"/>
        <v/>
      </c>
      <c r="AT1586">
        <f t="shared" si="710"/>
        <v>14</v>
      </c>
      <c r="AU1586" s="216" t="str">
        <f t="shared" si="711"/>
        <v>0,15-0,5 MW, Bonusregeln a1, b, y und K wenn Anlage 3 erfüllt</v>
      </c>
      <c r="AV1586" s="215" t="str">
        <f t="shared" si="712"/>
        <v/>
      </c>
      <c r="AW1586" s="216" t="str">
        <f t="shared" si="713"/>
        <v>Anteil KWK gemäß Anlage 3</v>
      </c>
      <c r="AX1586" s="215" t="str">
        <f t="shared" si="714"/>
        <v/>
      </c>
      <c r="AY1586" t="str">
        <f t="shared" si="715"/>
        <v/>
      </c>
      <c r="AZ1586" t="str">
        <f t="shared" si="716"/>
        <v/>
      </c>
    </row>
    <row r="1587" spans="1:52" s="178" customFormat="1" x14ac:dyDescent="0.25">
      <c r="A1587" s="610" t="s">
        <v>2899</v>
      </c>
      <c r="B1587" s="17" t="s">
        <v>5548</v>
      </c>
      <c r="C1587" s="17" t="s">
        <v>1296</v>
      </c>
      <c r="D1587" s="30" t="s">
        <v>7154</v>
      </c>
      <c r="E1587" s="17" t="s">
        <v>674</v>
      </c>
      <c r="F1587" s="454">
        <f t="shared" si="723"/>
        <v>21.6</v>
      </c>
      <c r="G1587" s="529">
        <v>21.6</v>
      </c>
      <c r="H1587" s="487">
        <f t="shared" si="724"/>
        <v>17.28</v>
      </c>
      <c r="I1587" s="706"/>
      <c r="J1587" s="669" t="s">
        <v>5805</v>
      </c>
      <c r="K1587" s="15"/>
      <c r="L1587"/>
      <c r="M1587" s="49">
        <f t="shared" si="725"/>
        <v>21.6</v>
      </c>
      <c r="N1587" s="41">
        <v>9.6</v>
      </c>
      <c r="O1587" s="54"/>
      <c r="P1587" s="15"/>
      <c r="Q1587" t="s">
        <v>1017</v>
      </c>
      <c r="R1587"/>
      <c r="S1587" t="s">
        <v>4180</v>
      </c>
      <c r="T1587" s="178" t="s">
        <v>4180</v>
      </c>
      <c r="U1587" s="55" t="s">
        <v>1017</v>
      </c>
      <c r="V1587" t="s">
        <v>1017</v>
      </c>
      <c r="W1587" s="65"/>
      <c r="X1587" s="65"/>
      <c r="Y1587"/>
      <c r="Z1587" s="65"/>
      <c r="AA1587" s="12"/>
      <c r="AB1587"/>
      <c r="AC1587" s="65"/>
      <c r="AD1587" s="27"/>
      <c r="AE1587" s="124" t="s">
        <v>1017</v>
      </c>
      <c r="AF1587" s="65"/>
      <c r="AG1587" s="91"/>
      <c r="AH1587" s="212" t="str">
        <f t="shared" si="728"/>
        <v/>
      </c>
      <c r="AI1587" s="214" t="str">
        <f t="shared" si="718"/>
        <v/>
      </c>
      <c r="AJ1587" s="214" t="str">
        <f t="shared" si="719"/>
        <v/>
      </c>
      <c r="AK1587" s="214" t="str">
        <f t="shared" si="720"/>
        <v/>
      </c>
      <c r="AL1587" s="214" t="str">
        <f t="shared" si="721"/>
        <v/>
      </c>
      <c r="AM1587" s="214" t="str">
        <f t="shared" si="722"/>
        <v/>
      </c>
      <c r="AN1587" s="213" t="str">
        <f t="shared" si="704"/>
        <v/>
      </c>
      <c r="AO1587" s="213" t="str">
        <f t="shared" si="705"/>
        <v/>
      </c>
      <c r="AP1587" s="213" t="str">
        <f t="shared" si="706"/>
        <v/>
      </c>
      <c r="AQ1587" s="215" t="str">
        <f t="shared" si="707"/>
        <v/>
      </c>
      <c r="AR1587" s="216" t="str">
        <f t="shared" si="708"/>
        <v>BiK82a1bK09y06</v>
      </c>
      <c r="AS1587" s="215" t="str">
        <f t="shared" si="709"/>
        <v/>
      </c>
      <c r="AT1587">
        <f t="shared" si="710"/>
        <v>14</v>
      </c>
      <c r="AU1587" s="216" t="str">
        <f t="shared" si="711"/>
        <v>0,15-0,5 MW, Bonusregeln a1, b, y und K erstmals 2009</v>
      </c>
      <c r="AV1587" s="215" t="str">
        <f t="shared" si="712"/>
        <v/>
      </c>
      <c r="AW1587" s="216" t="str">
        <f t="shared" si="713"/>
        <v>Anteil KWK, erstmals 2009</v>
      </c>
      <c r="AX1587" s="215" t="str">
        <f t="shared" si="714"/>
        <v/>
      </c>
      <c r="AY1587" t="str">
        <f t="shared" si="715"/>
        <v/>
      </c>
      <c r="AZ1587" t="str">
        <f t="shared" si="716"/>
        <v/>
      </c>
    </row>
    <row r="1588" spans="1:52" s="178" customFormat="1" x14ac:dyDescent="0.25">
      <c r="A1588" s="610" t="s">
        <v>4924</v>
      </c>
      <c r="B1588" s="17" t="s">
        <v>5548</v>
      </c>
      <c r="C1588" s="17" t="s">
        <v>1296</v>
      </c>
      <c r="D1588" s="30" t="s">
        <v>7155</v>
      </c>
      <c r="E1588" s="30" t="s">
        <v>3567</v>
      </c>
      <c r="F1588" s="454">
        <f t="shared" si="723"/>
        <v>21.57</v>
      </c>
      <c r="G1588" s="529">
        <v>21.57</v>
      </c>
      <c r="H1588" s="487">
        <f t="shared" si="724"/>
        <v>17.260000000000002</v>
      </c>
      <c r="I1588" s="706"/>
      <c r="J1588" s="669" t="s">
        <v>5805</v>
      </c>
      <c r="K1588" s="15"/>
      <c r="L1588"/>
      <c r="M1588" s="49">
        <f t="shared" si="725"/>
        <v>21.57</v>
      </c>
      <c r="N1588" s="41">
        <v>9.6</v>
      </c>
      <c r="O1588" s="54"/>
      <c r="P1588" s="15"/>
      <c r="Q1588"/>
      <c r="R1588" t="s">
        <v>1017</v>
      </c>
      <c r="S1588" t="s">
        <v>4180</v>
      </c>
      <c r="T1588" s="178" t="s">
        <v>4180</v>
      </c>
      <c r="U1588" s="55" t="s">
        <v>1017</v>
      </c>
      <c r="V1588" t="s">
        <v>1017</v>
      </c>
      <c r="W1588" s="65"/>
      <c r="X1588" s="65"/>
      <c r="Y1588"/>
      <c r="Z1588" s="65"/>
      <c r="AA1588" s="12"/>
      <c r="AB1588"/>
      <c r="AC1588" s="65"/>
      <c r="AD1588" s="27"/>
      <c r="AE1588" s="124" t="s">
        <v>1017</v>
      </c>
      <c r="AF1588" s="65"/>
      <c r="AG1588" s="91"/>
      <c r="AH1588" s="212" t="str">
        <f t="shared" si="728"/>
        <v>2010</v>
      </c>
      <c r="AI1588" s="214" t="str">
        <f t="shared" si="718"/>
        <v/>
      </c>
      <c r="AJ1588" s="214" t="str">
        <f t="shared" si="719"/>
        <v/>
      </c>
      <c r="AK1588" s="214" t="str">
        <f t="shared" si="720"/>
        <v/>
      </c>
      <c r="AL1588" s="214" t="str">
        <f t="shared" si="721"/>
        <v/>
      </c>
      <c r="AM1588" s="214" t="str">
        <f t="shared" si="722"/>
        <v/>
      </c>
      <c r="AN1588" s="213" t="str">
        <f t="shared" si="704"/>
        <v>2010</v>
      </c>
      <c r="AO1588" s="213" t="str">
        <f t="shared" si="705"/>
        <v>2010</v>
      </c>
      <c r="AP1588" s="213" t="str">
        <f t="shared" si="706"/>
        <v>2010</v>
      </c>
      <c r="AQ1588" s="215" t="str">
        <f t="shared" si="707"/>
        <v/>
      </c>
      <c r="AR1588" s="216" t="str">
        <f t="shared" si="708"/>
        <v>BiK82a1bK10y06</v>
      </c>
      <c r="AS1588" s="215" t="str">
        <f t="shared" si="709"/>
        <v/>
      </c>
      <c r="AT1588">
        <f t="shared" si="710"/>
        <v>14</v>
      </c>
      <c r="AU1588" s="216" t="str">
        <f t="shared" si="711"/>
        <v>0,15-0,5 MW, Bonusregeln a1, b, y und K erstmals 2010</v>
      </c>
      <c r="AV1588" s="215" t="str">
        <f t="shared" si="712"/>
        <v/>
      </c>
      <c r="AW1588" s="216" t="str">
        <f t="shared" si="713"/>
        <v>Anteil KWK, erstmals 2010</v>
      </c>
      <c r="AX1588" s="215" t="str">
        <f t="shared" si="714"/>
        <v/>
      </c>
      <c r="AY1588" t="str">
        <f t="shared" si="715"/>
        <v/>
      </c>
      <c r="AZ1588" t="str">
        <f t="shared" si="716"/>
        <v/>
      </c>
    </row>
    <row r="1589" spans="1:52" s="178" customFormat="1" x14ac:dyDescent="0.25">
      <c r="A1589" s="610" t="s">
        <v>3971</v>
      </c>
      <c r="B1589" s="17" t="s">
        <v>5548</v>
      </c>
      <c r="C1589" s="17" t="s">
        <v>1296</v>
      </c>
      <c r="D1589" s="30" t="s">
        <v>7156</v>
      </c>
      <c r="E1589" s="30" t="s">
        <v>3055</v>
      </c>
      <c r="F1589" s="454">
        <f t="shared" si="723"/>
        <v>21.54</v>
      </c>
      <c r="G1589" s="529">
        <v>21.54</v>
      </c>
      <c r="H1589" s="487">
        <f t="shared" si="724"/>
        <v>17.23</v>
      </c>
      <c r="I1589" s="706"/>
      <c r="J1589" s="669" t="s">
        <v>5805</v>
      </c>
      <c r="K1589" s="15"/>
      <c r="L1589"/>
      <c r="M1589" s="49">
        <f t="shared" si="725"/>
        <v>21.54</v>
      </c>
      <c r="N1589" s="41">
        <v>9.6</v>
      </c>
      <c r="O1589" s="54"/>
      <c r="P1589" s="15"/>
      <c r="Q1589"/>
      <c r="R1589"/>
      <c r="S1589" t="s">
        <v>1017</v>
      </c>
      <c r="T1589" s="178" t="s">
        <v>4180</v>
      </c>
      <c r="U1589" s="55" t="s">
        <v>1017</v>
      </c>
      <c r="V1589" t="s">
        <v>1017</v>
      </c>
      <c r="W1589" s="65"/>
      <c r="X1589" s="65"/>
      <c r="Y1589"/>
      <c r="Z1589" s="65"/>
      <c r="AA1589" s="12"/>
      <c r="AB1589"/>
      <c r="AC1589" s="65"/>
      <c r="AD1589" s="27"/>
      <c r="AE1589" s="124" t="s">
        <v>1017</v>
      </c>
      <c r="AF1589" s="65"/>
      <c r="AG1589" s="91"/>
      <c r="AH1589" s="212" t="str">
        <f t="shared" si="728"/>
        <v>2011</v>
      </c>
      <c r="AI1589" s="214" t="str">
        <f t="shared" si="718"/>
        <v/>
      </c>
      <c r="AJ1589" s="214" t="str">
        <f t="shared" si="719"/>
        <v/>
      </c>
      <c r="AK1589" s="214" t="str">
        <f t="shared" si="720"/>
        <v/>
      </c>
      <c r="AL1589" s="214" t="str">
        <f t="shared" si="721"/>
        <v/>
      </c>
      <c r="AM1589" s="214" t="str">
        <f t="shared" si="722"/>
        <v/>
      </c>
      <c r="AN1589" s="213" t="str">
        <f t="shared" si="704"/>
        <v>2011</v>
      </c>
      <c r="AO1589" s="213" t="str">
        <f t="shared" si="705"/>
        <v>2011</v>
      </c>
      <c r="AP1589" s="213" t="str">
        <f t="shared" si="706"/>
        <v>2011</v>
      </c>
      <c r="AQ1589" s="215" t="str">
        <f t="shared" si="707"/>
        <v/>
      </c>
      <c r="AR1589" s="216" t="str">
        <f t="shared" si="708"/>
        <v>BiK82a1bK11y06</v>
      </c>
      <c r="AS1589" s="215" t="str">
        <f t="shared" si="709"/>
        <v/>
      </c>
      <c r="AT1589">
        <f t="shared" si="710"/>
        <v>14</v>
      </c>
      <c r="AU1589" s="216" t="str">
        <f t="shared" si="711"/>
        <v>0,15-0,5 MW, Bonusregeln a1, b, y und K erstmals 2011</v>
      </c>
      <c r="AV1589" s="215" t="str">
        <f t="shared" si="712"/>
        <v/>
      </c>
      <c r="AW1589" s="216" t="str">
        <f t="shared" si="713"/>
        <v>Anteil KWK, erstmals 2011</v>
      </c>
      <c r="AX1589" s="215" t="str">
        <f t="shared" si="714"/>
        <v/>
      </c>
      <c r="AY1589" t="str">
        <f t="shared" si="715"/>
        <v>x</v>
      </c>
      <c r="AZ1589" t="str">
        <f t="shared" si="716"/>
        <v/>
      </c>
    </row>
    <row r="1590" spans="1:52" s="178" customFormat="1" x14ac:dyDescent="0.25">
      <c r="A1590" s="625" t="s">
        <v>1793</v>
      </c>
      <c r="B1590" s="221" t="s">
        <v>5548</v>
      </c>
      <c r="C1590" s="221" t="s">
        <v>1296</v>
      </c>
      <c r="D1590" s="219" t="s">
        <v>7157</v>
      </c>
      <c r="E1590" s="219" t="s">
        <v>1980</v>
      </c>
      <c r="F1590" s="455">
        <f t="shared" si="723"/>
        <v>21.509999999999998</v>
      </c>
      <c r="G1590" s="530">
        <v>21.509999999999998</v>
      </c>
      <c r="H1590" s="488">
        <f t="shared" si="724"/>
        <v>17.21</v>
      </c>
      <c r="I1590" s="707"/>
      <c r="J1590" s="669" t="s">
        <v>5805</v>
      </c>
      <c r="K1590" s="15"/>
      <c r="L1590"/>
      <c r="M1590" s="49">
        <f t="shared" si="725"/>
        <v>21.509999999999998</v>
      </c>
      <c r="N1590" s="41">
        <v>9.6</v>
      </c>
      <c r="O1590" s="54"/>
      <c r="P1590" s="15"/>
      <c r="Q1590"/>
      <c r="R1590"/>
      <c r="S1590" t="s">
        <v>4180</v>
      </c>
      <c r="T1590" s="178" t="s">
        <v>1017</v>
      </c>
      <c r="U1590" s="55" t="s">
        <v>1017</v>
      </c>
      <c r="V1590" t="s">
        <v>1017</v>
      </c>
      <c r="W1590" s="65"/>
      <c r="X1590" s="65"/>
      <c r="Y1590"/>
      <c r="Z1590" s="65"/>
      <c r="AA1590" s="12"/>
      <c r="AB1590"/>
      <c r="AC1590" s="65"/>
      <c r="AD1590" s="27"/>
      <c r="AE1590" s="124" t="s">
        <v>1017</v>
      </c>
      <c r="AF1590" s="65"/>
      <c r="AG1590" s="91"/>
      <c r="AH1590" s="217" t="s">
        <v>4179</v>
      </c>
      <c r="AI1590" s="214" t="str">
        <f t="shared" si="718"/>
        <v/>
      </c>
      <c r="AJ1590" s="214" t="str">
        <f t="shared" si="719"/>
        <v/>
      </c>
      <c r="AK1590" s="214" t="str">
        <f t="shared" si="720"/>
        <v/>
      </c>
      <c r="AL1590" s="214" t="str">
        <f t="shared" si="721"/>
        <v/>
      </c>
      <c r="AM1590" s="214" t="str">
        <f t="shared" si="722"/>
        <v/>
      </c>
      <c r="AN1590" s="213" t="str">
        <f t="shared" si="704"/>
        <v>2012</v>
      </c>
      <c r="AO1590" s="213" t="str">
        <f t="shared" si="705"/>
        <v>2012</v>
      </c>
      <c r="AP1590" s="213" t="str">
        <f t="shared" si="706"/>
        <v>2012</v>
      </c>
      <c r="AQ1590" s="215" t="str">
        <f t="shared" si="707"/>
        <v/>
      </c>
      <c r="AR1590" s="216" t="str">
        <f t="shared" si="708"/>
        <v>BiK82a1bK12y06</v>
      </c>
      <c r="AS1590" s="215" t="str">
        <f t="shared" si="709"/>
        <v/>
      </c>
      <c r="AT1590">
        <f t="shared" si="710"/>
        <v>14</v>
      </c>
      <c r="AU1590" s="216" t="str">
        <f t="shared" si="711"/>
        <v>0,15-0,5 MW, Bonusregeln a1, b, y und K erstmals 2012</v>
      </c>
      <c r="AV1590" s="215" t="str">
        <f t="shared" si="712"/>
        <v/>
      </c>
      <c r="AW1590" s="216" t="str">
        <f t="shared" si="713"/>
        <v>Anteil KWK, erstmals 2012</v>
      </c>
      <c r="AX1590" s="215" t="str">
        <f t="shared" si="714"/>
        <v/>
      </c>
      <c r="AY1590" t="str">
        <f t="shared" si="715"/>
        <v/>
      </c>
      <c r="AZ1590" t="str">
        <f t="shared" si="716"/>
        <v>x</v>
      </c>
    </row>
    <row r="1591" spans="1:52" s="178" customFormat="1" x14ac:dyDescent="0.25">
      <c r="A1591" s="610" t="s">
        <v>3206</v>
      </c>
      <c r="B1591" s="30" t="s">
        <v>5548</v>
      </c>
      <c r="C1591" s="30" t="s">
        <v>1296</v>
      </c>
      <c r="D1591" s="30" t="s">
        <v>7158</v>
      </c>
      <c r="E1591" s="30" t="s">
        <v>4810</v>
      </c>
      <c r="F1591" s="454">
        <f t="shared" si="723"/>
        <v>18.600000000000001</v>
      </c>
      <c r="G1591" s="529">
        <v>18.600000000000001</v>
      </c>
      <c r="H1591" s="487">
        <f t="shared" si="724"/>
        <v>14.88</v>
      </c>
      <c r="I1591" s="706"/>
      <c r="J1591" s="669" t="s">
        <v>5805</v>
      </c>
      <c r="K1591" s="15"/>
      <c r="L1591"/>
      <c r="M1591" s="49">
        <f t="shared" si="725"/>
        <v>18.600000000000001</v>
      </c>
      <c r="N1591" s="41">
        <v>9.6</v>
      </c>
      <c r="O1591" s="186"/>
      <c r="P1591" s="177"/>
      <c r="S1591" s="178" t="s">
        <v>4180</v>
      </c>
      <c r="T1591" s="178" t="s">
        <v>4180</v>
      </c>
      <c r="U1591" s="179"/>
      <c r="W1591" s="180"/>
      <c r="X1591" s="180"/>
      <c r="Y1591" s="178" t="s">
        <v>1017</v>
      </c>
      <c r="Z1591" s="180"/>
      <c r="AA1591" s="184"/>
      <c r="AC1591" s="180"/>
      <c r="AD1591" s="182"/>
      <c r="AE1591" s="200" t="s">
        <v>1017</v>
      </c>
      <c r="AF1591" s="180"/>
      <c r="AG1591" s="201"/>
      <c r="AH1591" s="212" t="str">
        <f t="shared" ref="AH1591:AH1596" si="729">IF(ISERROR(SEARCH("K erstmals 201",D1591)),"",RIGHT(D1591,4))</f>
        <v/>
      </c>
      <c r="AI1591" s="214" t="str">
        <f t="shared" si="718"/>
        <v/>
      </c>
      <c r="AJ1591" s="214" t="str">
        <f t="shared" si="719"/>
        <v/>
      </c>
      <c r="AK1591" s="214" t="str">
        <f t="shared" si="720"/>
        <v/>
      </c>
      <c r="AL1591" s="214" t="str">
        <f t="shared" si="721"/>
        <v/>
      </c>
      <c r="AM1591" s="214" t="str">
        <f t="shared" si="722"/>
        <v/>
      </c>
      <c r="AN1591" s="213" t="str">
        <f t="shared" si="704"/>
        <v/>
      </c>
      <c r="AO1591" s="213" t="str">
        <f t="shared" si="705"/>
        <v/>
      </c>
      <c r="AP1591" s="213" t="str">
        <f t="shared" si="706"/>
        <v/>
      </c>
      <c r="AQ1591" s="215" t="str">
        <f t="shared" si="707"/>
        <v/>
      </c>
      <c r="AR1591" s="216" t="str">
        <f t="shared" si="708"/>
        <v>BiK82Gb-----06</v>
      </c>
      <c r="AS1591" s="215" t="str">
        <f t="shared" si="709"/>
        <v/>
      </c>
      <c r="AT1591">
        <f t="shared" si="710"/>
        <v>14</v>
      </c>
      <c r="AU1591" s="216" t="str">
        <f t="shared" si="711"/>
        <v>0,15-0,5 MW, Bonusregeln G, b</v>
      </c>
      <c r="AV1591" s="215" t="str">
        <f t="shared" si="712"/>
        <v/>
      </c>
      <c r="AW1591" s="216" t="str">
        <f t="shared" si="713"/>
        <v>Anteil Nicht-KWK</v>
      </c>
      <c r="AX1591" s="215" t="str">
        <f t="shared" si="714"/>
        <v/>
      </c>
      <c r="AY1591" t="str">
        <f t="shared" si="715"/>
        <v/>
      </c>
      <c r="AZ1591" t="str">
        <f t="shared" si="716"/>
        <v/>
      </c>
    </row>
    <row r="1592" spans="1:52" s="178" customFormat="1" x14ac:dyDescent="0.25">
      <c r="A1592" s="610" t="s">
        <v>3207</v>
      </c>
      <c r="B1592" s="30" t="s">
        <v>5548</v>
      </c>
      <c r="C1592" s="30" t="s">
        <v>1296</v>
      </c>
      <c r="D1592" s="30" t="s">
        <v>7159</v>
      </c>
      <c r="E1592" s="30" t="s">
        <v>4812</v>
      </c>
      <c r="F1592" s="454">
        <f t="shared" si="723"/>
        <v>20.6</v>
      </c>
      <c r="G1592" s="529">
        <v>20.6</v>
      </c>
      <c r="H1592" s="487">
        <f t="shared" si="724"/>
        <v>16.48</v>
      </c>
      <c r="I1592" s="706"/>
      <c r="J1592" s="669" t="s">
        <v>5805</v>
      </c>
      <c r="K1592" s="15"/>
      <c r="L1592"/>
      <c r="M1592" s="49">
        <f t="shared" si="725"/>
        <v>20.6</v>
      </c>
      <c r="N1592" s="41">
        <v>9.6</v>
      </c>
      <c r="O1592" s="186" t="s">
        <v>1017</v>
      </c>
      <c r="P1592" s="177"/>
      <c r="S1592" s="178" t="s">
        <v>4180</v>
      </c>
      <c r="T1592" s="178" t="s">
        <v>4180</v>
      </c>
      <c r="U1592" s="179"/>
      <c r="W1592" s="180"/>
      <c r="X1592" s="180"/>
      <c r="Y1592" s="178" t="s">
        <v>1017</v>
      </c>
      <c r="Z1592" s="180"/>
      <c r="AA1592" s="184"/>
      <c r="AC1592" s="180"/>
      <c r="AD1592" s="182"/>
      <c r="AE1592" s="200" t="s">
        <v>1017</v>
      </c>
      <c r="AF1592" s="180"/>
      <c r="AG1592" s="201"/>
      <c r="AH1592" s="212" t="str">
        <f t="shared" si="729"/>
        <v/>
      </c>
      <c r="AI1592" s="214" t="str">
        <f t="shared" si="718"/>
        <v/>
      </c>
      <c r="AJ1592" s="214" t="str">
        <f t="shared" si="719"/>
        <v/>
      </c>
      <c r="AK1592" s="214" t="str">
        <f t="shared" si="720"/>
        <v/>
      </c>
      <c r="AL1592" s="214" t="str">
        <f t="shared" si="721"/>
        <v/>
      </c>
      <c r="AM1592" s="214" t="str">
        <f t="shared" si="722"/>
        <v/>
      </c>
      <c r="AN1592" s="213" t="str">
        <f t="shared" si="704"/>
        <v/>
      </c>
      <c r="AO1592" s="213" t="str">
        <f t="shared" si="705"/>
        <v/>
      </c>
      <c r="AP1592" s="213" t="str">
        <f t="shared" si="706"/>
        <v/>
      </c>
      <c r="AQ1592" s="215" t="str">
        <f t="shared" si="707"/>
        <v/>
      </c>
      <c r="AR1592" s="216" t="str">
        <f t="shared" si="708"/>
        <v>BiK82GbKWK--06</v>
      </c>
      <c r="AS1592" s="215" t="str">
        <f t="shared" si="709"/>
        <v/>
      </c>
      <c r="AT1592">
        <f t="shared" si="710"/>
        <v>14</v>
      </c>
      <c r="AU1592" s="216" t="str">
        <f t="shared" si="711"/>
        <v>0,15-0,5 MW, Bonusregeln G, b und KWK</v>
      </c>
      <c r="AV1592" s="215" t="str">
        <f t="shared" si="712"/>
        <v/>
      </c>
      <c r="AW1592" s="216" t="str">
        <f t="shared" si="713"/>
        <v>Anteil KWK</v>
      </c>
      <c r="AX1592" s="215" t="str">
        <f t="shared" si="714"/>
        <v/>
      </c>
      <c r="AY1592" t="str">
        <f t="shared" si="715"/>
        <v/>
      </c>
      <c r="AZ1592" t="str">
        <f t="shared" si="716"/>
        <v/>
      </c>
    </row>
    <row r="1593" spans="1:52" s="178" customFormat="1" x14ac:dyDescent="0.25">
      <c r="A1593" s="610" t="s">
        <v>3208</v>
      </c>
      <c r="B1593" s="30" t="s">
        <v>5548</v>
      </c>
      <c r="C1593" s="30" t="s">
        <v>1296</v>
      </c>
      <c r="D1593" s="30" t="s">
        <v>7160</v>
      </c>
      <c r="E1593" s="30" t="s">
        <v>4331</v>
      </c>
      <c r="F1593" s="454">
        <f t="shared" si="723"/>
        <v>21.6</v>
      </c>
      <c r="G1593" s="529">
        <v>21.6</v>
      </c>
      <c r="H1593" s="487">
        <f t="shared" si="724"/>
        <v>17.28</v>
      </c>
      <c r="I1593" s="706"/>
      <c r="J1593" s="669" t="s">
        <v>5805</v>
      </c>
      <c r="K1593" s="15"/>
      <c r="L1593"/>
      <c r="M1593" s="49">
        <f t="shared" si="725"/>
        <v>21.6</v>
      </c>
      <c r="N1593" s="41">
        <v>9.6</v>
      </c>
      <c r="O1593" s="186"/>
      <c r="P1593" s="178" t="s">
        <v>1017</v>
      </c>
      <c r="S1593" s="178" t="s">
        <v>4180</v>
      </c>
      <c r="T1593" s="178" t="s">
        <v>4180</v>
      </c>
      <c r="U1593" s="179"/>
      <c r="W1593" s="180"/>
      <c r="X1593" s="180"/>
      <c r="Y1593" s="178" t="s">
        <v>1017</v>
      </c>
      <c r="Z1593" s="180"/>
      <c r="AA1593" s="184"/>
      <c r="AC1593" s="180"/>
      <c r="AD1593" s="182"/>
      <c r="AE1593" s="200" t="s">
        <v>1017</v>
      </c>
      <c r="AF1593" s="180"/>
      <c r="AG1593" s="201"/>
      <c r="AH1593" s="212" t="str">
        <f t="shared" si="729"/>
        <v/>
      </c>
      <c r="AI1593" s="214" t="str">
        <f t="shared" si="718"/>
        <v/>
      </c>
      <c r="AJ1593" s="214" t="str">
        <f t="shared" si="719"/>
        <v/>
      </c>
      <c r="AK1593" s="214" t="str">
        <f t="shared" si="720"/>
        <v/>
      </c>
      <c r="AL1593" s="214" t="str">
        <f t="shared" si="721"/>
        <v/>
      </c>
      <c r="AM1593" s="214" t="str">
        <f t="shared" si="722"/>
        <v/>
      </c>
      <c r="AN1593" s="213" t="str">
        <f t="shared" si="704"/>
        <v/>
      </c>
      <c r="AO1593" s="213" t="str">
        <f t="shared" si="705"/>
        <v/>
      </c>
      <c r="AP1593" s="213" t="str">
        <f t="shared" si="706"/>
        <v/>
      </c>
      <c r="AQ1593" s="215" t="str">
        <f t="shared" si="707"/>
        <v/>
      </c>
      <c r="AR1593" s="216" t="str">
        <f t="shared" si="708"/>
        <v>BiK82GbKA3--06</v>
      </c>
      <c r="AS1593" s="215" t="str">
        <f t="shared" si="709"/>
        <v/>
      </c>
      <c r="AT1593">
        <f t="shared" si="710"/>
        <v>14</v>
      </c>
      <c r="AU1593" s="216" t="str">
        <f t="shared" si="711"/>
        <v>0,15-0,5 MW, Bonusregeln G, b und K wenn Anlage 3 erfüllt</v>
      </c>
      <c r="AV1593" s="215" t="str">
        <f t="shared" si="712"/>
        <v/>
      </c>
      <c r="AW1593" s="216" t="str">
        <f t="shared" si="713"/>
        <v>Anteil KWK gemäß Anlage 3</v>
      </c>
      <c r="AX1593" s="215" t="str">
        <f t="shared" si="714"/>
        <v/>
      </c>
      <c r="AY1593" t="str">
        <f t="shared" si="715"/>
        <v/>
      </c>
      <c r="AZ1593" t="str">
        <f t="shared" si="716"/>
        <v/>
      </c>
    </row>
    <row r="1594" spans="1:52" s="178" customFormat="1" x14ac:dyDescent="0.25">
      <c r="A1594" s="610" t="s">
        <v>3209</v>
      </c>
      <c r="B1594" s="30" t="s">
        <v>5548</v>
      </c>
      <c r="C1594" s="30" t="s">
        <v>1296</v>
      </c>
      <c r="D1594" s="30" t="s">
        <v>7161</v>
      </c>
      <c r="E1594" s="30" t="s">
        <v>674</v>
      </c>
      <c r="F1594" s="454">
        <f t="shared" si="723"/>
        <v>21.6</v>
      </c>
      <c r="G1594" s="529">
        <v>21.6</v>
      </c>
      <c r="H1594" s="487">
        <f t="shared" si="724"/>
        <v>17.28</v>
      </c>
      <c r="I1594" s="706"/>
      <c r="J1594" s="669" t="s">
        <v>5805</v>
      </c>
      <c r="K1594" s="15"/>
      <c r="L1594"/>
      <c r="M1594" s="49">
        <f t="shared" si="725"/>
        <v>21.6</v>
      </c>
      <c r="N1594" s="41">
        <v>9.6</v>
      </c>
      <c r="O1594" s="186"/>
      <c r="P1594" s="177"/>
      <c r="Q1594" s="178" t="s">
        <v>1017</v>
      </c>
      <c r="S1594" s="178" t="s">
        <v>4180</v>
      </c>
      <c r="T1594" s="178" t="s">
        <v>4180</v>
      </c>
      <c r="U1594" s="179"/>
      <c r="W1594" s="180"/>
      <c r="X1594" s="180"/>
      <c r="Y1594" s="178" t="s">
        <v>1017</v>
      </c>
      <c r="Z1594" s="180"/>
      <c r="AA1594" s="184"/>
      <c r="AC1594" s="180"/>
      <c r="AD1594" s="182"/>
      <c r="AE1594" s="200" t="s">
        <v>1017</v>
      </c>
      <c r="AF1594" s="180"/>
      <c r="AG1594" s="201"/>
      <c r="AH1594" s="212" t="str">
        <f t="shared" si="729"/>
        <v/>
      </c>
      <c r="AI1594" s="214" t="str">
        <f t="shared" si="718"/>
        <v/>
      </c>
      <c r="AJ1594" s="214" t="str">
        <f t="shared" si="719"/>
        <v/>
      </c>
      <c r="AK1594" s="214" t="str">
        <f t="shared" si="720"/>
        <v/>
      </c>
      <c r="AL1594" s="214" t="str">
        <f t="shared" si="721"/>
        <v/>
      </c>
      <c r="AM1594" s="214" t="str">
        <f t="shared" si="722"/>
        <v/>
      </c>
      <c r="AN1594" s="213" t="str">
        <f t="shared" si="704"/>
        <v/>
      </c>
      <c r="AO1594" s="213" t="str">
        <f t="shared" si="705"/>
        <v/>
      </c>
      <c r="AP1594" s="213" t="str">
        <f t="shared" si="706"/>
        <v/>
      </c>
      <c r="AQ1594" s="215" t="str">
        <f t="shared" si="707"/>
        <v/>
      </c>
      <c r="AR1594" s="216" t="str">
        <f t="shared" si="708"/>
        <v>BiK82GbK09--06</v>
      </c>
      <c r="AS1594" s="215" t="str">
        <f t="shared" si="709"/>
        <v/>
      </c>
      <c r="AT1594">
        <f t="shared" si="710"/>
        <v>14</v>
      </c>
      <c r="AU1594" s="216" t="str">
        <f t="shared" si="711"/>
        <v>0,15-0,5 MW, Bonusregeln G, b und K erstmals 2009</v>
      </c>
      <c r="AV1594" s="215" t="str">
        <f t="shared" si="712"/>
        <v/>
      </c>
      <c r="AW1594" s="216" t="str">
        <f t="shared" si="713"/>
        <v>Anteil KWK, erstmals 2009</v>
      </c>
      <c r="AX1594" s="215" t="str">
        <f t="shared" si="714"/>
        <v/>
      </c>
      <c r="AY1594" t="str">
        <f t="shared" si="715"/>
        <v/>
      </c>
      <c r="AZ1594" t="str">
        <f t="shared" si="716"/>
        <v/>
      </c>
    </row>
    <row r="1595" spans="1:52" s="178" customFormat="1" x14ac:dyDescent="0.25">
      <c r="A1595" s="610" t="s">
        <v>4925</v>
      </c>
      <c r="B1595" s="30" t="s">
        <v>5548</v>
      </c>
      <c r="C1595" s="30" t="s">
        <v>1296</v>
      </c>
      <c r="D1595" s="30" t="s">
        <v>7162</v>
      </c>
      <c r="E1595" s="30" t="s">
        <v>3567</v>
      </c>
      <c r="F1595" s="454">
        <f t="shared" si="723"/>
        <v>21.57</v>
      </c>
      <c r="G1595" s="529">
        <v>21.57</v>
      </c>
      <c r="H1595" s="487">
        <f t="shared" si="724"/>
        <v>17.260000000000002</v>
      </c>
      <c r="I1595" s="706"/>
      <c r="J1595" s="669" t="s">
        <v>5805</v>
      </c>
      <c r="K1595" s="15"/>
      <c r="L1595"/>
      <c r="M1595" s="49">
        <f t="shared" si="725"/>
        <v>21.57</v>
      </c>
      <c r="N1595" s="41">
        <v>9.6</v>
      </c>
      <c r="O1595" s="186"/>
      <c r="P1595" s="177"/>
      <c r="R1595" s="178" t="s">
        <v>1017</v>
      </c>
      <c r="S1595" s="178" t="s">
        <v>4180</v>
      </c>
      <c r="T1595" s="178" t="s">
        <v>4180</v>
      </c>
      <c r="U1595" s="179"/>
      <c r="W1595" s="180"/>
      <c r="X1595" s="180"/>
      <c r="Y1595" s="178" t="s">
        <v>1017</v>
      </c>
      <c r="Z1595" s="180"/>
      <c r="AA1595" s="184"/>
      <c r="AC1595" s="180"/>
      <c r="AD1595" s="182"/>
      <c r="AE1595" s="200" t="s">
        <v>1017</v>
      </c>
      <c r="AF1595" s="180"/>
      <c r="AG1595" s="201"/>
      <c r="AH1595" s="212" t="str">
        <f t="shared" si="729"/>
        <v>2010</v>
      </c>
      <c r="AI1595" s="214" t="str">
        <f t="shared" si="718"/>
        <v/>
      </c>
      <c r="AJ1595" s="214" t="str">
        <f t="shared" si="719"/>
        <v/>
      </c>
      <c r="AK1595" s="214" t="str">
        <f t="shared" si="720"/>
        <v/>
      </c>
      <c r="AL1595" s="214" t="str">
        <f t="shared" si="721"/>
        <v/>
      </c>
      <c r="AM1595" s="214" t="str">
        <f t="shared" si="722"/>
        <v/>
      </c>
      <c r="AN1595" s="213" t="str">
        <f t="shared" si="704"/>
        <v>2010</v>
      </c>
      <c r="AO1595" s="213" t="str">
        <f t="shared" si="705"/>
        <v>2010</v>
      </c>
      <c r="AP1595" s="213" t="str">
        <f t="shared" si="706"/>
        <v>2010</v>
      </c>
      <c r="AQ1595" s="215" t="str">
        <f t="shared" si="707"/>
        <v/>
      </c>
      <c r="AR1595" s="216" t="str">
        <f t="shared" si="708"/>
        <v>BiK82GbK10--06</v>
      </c>
      <c r="AS1595" s="215" t="str">
        <f t="shared" si="709"/>
        <v/>
      </c>
      <c r="AT1595">
        <f t="shared" si="710"/>
        <v>14</v>
      </c>
      <c r="AU1595" s="216" t="str">
        <f t="shared" si="711"/>
        <v>0,15-0,5 MW, Bonusregeln G, b und K erstmals 2010</v>
      </c>
      <c r="AV1595" s="215" t="str">
        <f t="shared" si="712"/>
        <v/>
      </c>
      <c r="AW1595" s="216" t="str">
        <f t="shared" si="713"/>
        <v>Anteil KWK, erstmals 2010</v>
      </c>
      <c r="AX1595" s="215" t="str">
        <f t="shared" si="714"/>
        <v/>
      </c>
      <c r="AY1595" t="str">
        <f t="shared" si="715"/>
        <v/>
      </c>
      <c r="AZ1595" t="str">
        <f t="shared" si="716"/>
        <v/>
      </c>
    </row>
    <row r="1596" spans="1:52" s="178" customFormat="1" x14ac:dyDescent="0.25">
      <c r="A1596" s="610" t="s">
        <v>3972</v>
      </c>
      <c r="B1596" s="30" t="s">
        <v>5548</v>
      </c>
      <c r="C1596" s="30" t="s">
        <v>1296</v>
      </c>
      <c r="D1596" s="30" t="s">
        <v>7163</v>
      </c>
      <c r="E1596" s="30" t="s">
        <v>3055</v>
      </c>
      <c r="F1596" s="454">
        <f t="shared" si="723"/>
        <v>21.54</v>
      </c>
      <c r="G1596" s="529">
        <v>21.54</v>
      </c>
      <c r="H1596" s="487">
        <f t="shared" si="724"/>
        <v>17.23</v>
      </c>
      <c r="I1596" s="706"/>
      <c r="J1596" s="669" t="s">
        <v>5805</v>
      </c>
      <c r="K1596" s="15"/>
      <c r="L1596"/>
      <c r="M1596" s="49">
        <f t="shared" si="725"/>
        <v>21.54</v>
      </c>
      <c r="N1596" s="41">
        <v>9.6</v>
      </c>
      <c r="O1596" s="186"/>
      <c r="P1596" s="177"/>
      <c r="S1596" s="178" t="s">
        <v>1017</v>
      </c>
      <c r="T1596" s="178" t="s">
        <v>4180</v>
      </c>
      <c r="U1596" s="179"/>
      <c r="W1596" s="180"/>
      <c r="X1596" s="180"/>
      <c r="Y1596" s="178" t="s">
        <v>1017</v>
      </c>
      <c r="Z1596" s="180"/>
      <c r="AA1596" s="184"/>
      <c r="AC1596" s="180"/>
      <c r="AD1596" s="182"/>
      <c r="AE1596" s="200" t="s">
        <v>1017</v>
      </c>
      <c r="AF1596" s="180"/>
      <c r="AG1596" s="201"/>
      <c r="AH1596" s="212" t="str">
        <f t="shared" si="729"/>
        <v>2011</v>
      </c>
      <c r="AI1596" s="214" t="str">
        <f t="shared" si="718"/>
        <v/>
      </c>
      <c r="AJ1596" s="214" t="str">
        <f t="shared" si="719"/>
        <v/>
      </c>
      <c r="AK1596" s="214" t="str">
        <f t="shared" si="720"/>
        <v/>
      </c>
      <c r="AL1596" s="214" t="str">
        <f t="shared" si="721"/>
        <v/>
      </c>
      <c r="AM1596" s="214" t="str">
        <f t="shared" si="722"/>
        <v/>
      </c>
      <c r="AN1596" s="213" t="str">
        <f t="shared" si="704"/>
        <v>2011</v>
      </c>
      <c r="AO1596" s="213" t="str">
        <f t="shared" si="705"/>
        <v>2011</v>
      </c>
      <c r="AP1596" s="213" t="str">
        <f t="shared" si="706"/>
        <v>2011</v>
      </c>
      <c r="AQ1596" s="215" t="str">
        <f t="shared" si="707"/>
        <v/>
      </c>
      <c r="AR1596" s="216" t="str">
        <f t="shared" si="708"/>
        <v>BiK82GbK11--06</v>
      </c>
      <c r="AS1596" s="215" t="str">
        <f t="shared" si="709"/>
        <v/>
      </c>
      <c r="AT1596">
        <f t="shared" si="710"/>
        <v>14</v>
      </c>
      <c r="AU1596" s="216" t="str">
        <f t="shared" si="711"/>
        <v>0,15-0,5 MW, Bonusregeln G, b und K erstmals 2011</v>
      </c>
      <c r="AV1596" s="215" t="str">
        <f t="shared" si="712"/>
        <v/>
      </c>
      <c r="AW1596" s="216" t="str">
        <f t="shared" si="713"/>
        <v>Anteil KWK, erstmals 2011</v>
      </c>
      <c r="AX1596" s="215" t="str">
        <f t="shared" si="714"/>
        <v/>
      </c>
      <c r="AY1596" t="str">
        <f t="shared" si="715"/>
        <v>x</v>
      </c>
      <c r="AZ1596" t="str">
        <f t="shared" si="716"/>
        <v/>
      </c>
    </row>
    <row r="1597" spans="1:52" s="178" customFormat="1" x14ac:dyDescent="0.25">
      <c r="A1597" s="625" t="s">
        <v>1794</v>
      </c>
      <c r="B1597" s="219" t="s">
        <v>5548</v>
      </c>
      <c r="C1597" s="219" t="s">
        <v>1296</v>
      </c>
      <c r="D1597" s="219" t="s">
        <v>7164</v>
      </c>
      <c r="E1597" s="219" t="s">
        <v>1980</v>
      </c>
      <c r="F1597" s="455">
        <f t="shared" si="723"/>
        <v>21.509999999999998</v>
      </c>
      <c r="G1597" s="530">
        <v>21.509999999999998</v>
      </c>
      <c r="H1597" s="488">
        <f t="shared" si="724"/>
        <v>17.21</v>
      </c>
      <c r="I1597" s="707"/>
      <c r="J1597" s="669" t="s">
        <v>5805</v>
      </c>
      <c r="K1597" s="15"/>
      <c r="L1597"/>
      <c r="M1597" s="49">
        <f t="shared" si="725"/>
        <v>21.509999999999998</v>
      </c>
      <c r="N1597" s="41">
        <v>9.6</v>
      </c>
      <c r="O1597" s="186"/>
      <c r="P1597" s="177"/>
      <c r="S1597" s="178" t="s">
        <v>4180</v>
      </c>
      <c r="T1597" s="178" t="s">
        <v>1017</v>
      </c>
      <c r="U1597" s="179"/>
      <c r="W1597" s="180"/>
      <c r="X1597" s="180"/>
      <c r="Y1597" s="178" t="s">
        <v>1017</v>
      </c>
      <c r="Z1597" s="180"/>
      <c r="AA1597" s="184"/>
      <c r="AC1597" s="180"/>
      <c r="AD1597" s="182"/>
      <c r="AE1597" s="200" t="s">
        <v>1017</v>
      </c>
      <c r="AF1597" s="180"/>
      <c r="AG1597" s="201"/>
      <c r="AH1597" s="217" t="s">
        <v>4179</v>
      </c>
      <c r="AI1597" s="214" t="str">
        <f t="shared" si="718"/>
        <v/>
      </c>
      <c r="AJ1597" s="214" t="str">
        <f t="shared" si="719"/>
        <v/>
      </c>
      <c r="AK1597" s="214" t="str">
        <f t="shared" si="720"/>
        <v/>
      </c>
      <c r="AL1597" s="214" t="str">
        <f t="shared" si="721"/>
        <v/>
      </c>
      <c r="AM1597" s="214" t="str">
        <f t="shared" si="722"/>
        <v/>
      </c>
      <c r="AN1597" s="213" t="str">
        <f t="shared" si="704"/>
        <v>2012</v>
      </c>
      <c r="AO1597" s="213" t="str">
        <f t="shared" si="705"/>
        <v>2012</v>
      </c>
      <c r="AP1597" s="213" t="str">
        <f t="shared" si="706"/>
        <v>2012</v>
      </c>
      <c r="AQ1597" s="215" t="str">
        <f t="shared" si="707"/>
        <v/>
      </c>
      <c r="AR1597" s="216" t="str">
        <f t="shared" si="708"/>
        <v>BiK82GbK12--06</v>
      </c>
      <c r="AS1597" s="215" t="str">
        <f t="shared" si="709"/>
        <v/>
      </c>
      <c r="AT1597">
        <f t="shared" si="710"/>
        <v>14</v>
      </c>
      <c r="AU1597" s="216" t="str">
        <f t="shared" si="711"/>
        <v>0,15-0,5 MW, Bonusregeln G, b und K erstmals 2012</v>
      </c>
      <c r="AV1597" s="215" t="str">
        <f t="shared" si="712"/>
        <v/>
      </c>
      <c r="AW1597" s="216" t="str">
        <f t="shared" si="713"/>
        <v>Anteil KWK, erstmals 2012</v>
      </c>
      <c r="AX1597" s="215" t="str">
        <f t="shared" si="714"/>
        <v/>
      </c>
      <c r="AY1597" t="str">
        <f t="shared" si="715"/>
        <v/>
      </c>
      <c r="AZ1597" t="str">
        <f t="shared" si="716"/>
        <v>x</v>
      </c>
    </row>
    <row r="1598" spans="1:52" s="178" customFormat="1" x14ac:dyDescent="0.25">
      <c r="A1598" s="610" t="s">
        <v>3210</v>
      </c>
      <c r="B1598" s="30" t="s">
        <v>5548</v>
      </c>
      <c r="C1598" s="30" t="s">
        <v>1296</v>
      </c>
      <c r="D1598" s="30" t="s">
        <v>7165</v>
      </c>
      <c r="E1598" s="30" t="s">
        <v>4810</v>
      </c>
      <c r="F1598" s="454">
        <f t="shared" si="723"/>
        <v>19.600000000000001</v>
      </c>
      <c r="G1598" s="529">
        <v>19.600000000000001</v>
      </c>
      <c r="H1598" s="487">
        <f t="shared" si="724"/>
        <v>15.68</v>
      </c>
      <c r="I1598" s="706"/>
      <c r="J1598" s="669" t="s">
        <v>5805</v>
      </c>
      <c r="K1598" s="15"/>
      <c r="L1598"/>
      <c r="M1598" s="49">
        <f t="shared" si="725"/>
        <v>19.600000000000001</v>
      </c>
      <c r="N1598" s="41">
        <v>9.6</v>
      </c>
      <c r="O1598" s="187"/>
      <c r="P1598" s="183"/>
      <c r="Q1598" s="184"/>
      <c r="R1598" s="184"/>
      <c r="S1598" s="184" t="s">
        <v>4180</v>
      </c>
      <c r="T1598" s="178" t="s">
        <v>4180</v>
      </c>
      <c r="U1598" s="185" t="s">
        <v>1017</v>
      </c>
      <c r="V1598" s="184"/>
      <c r="W1598" s="180"/>
      <c r="X1598" s="180"/>
      <c r="Y1598" s="184" t="s">
        <v>1017</v>
      </c>
      <c r="Z1598" s="180"/>
      <c r="AA1598" s="184"/>
      <c r="AB1598" s="184"/>
      <c r="AC1598" s="180"/>
      <c r="AD1598" s="182"/>
      <c r="AE1598" s="181" t="s">
        <v>1017</v>
      </c>
      <c r="AF1598" s="180"/>
      <c r="AG1598" s="201"/>
      <c r="AH1598" s="212" t="str">
        <f t="shared" ref="AH1598:AH1603" si="730">IF(ISERROR(SEARCH("K erstmals 201",D1598)),"",RIGHT(D1598,4))</f>
        <v/>
      </c>
      <c r="AI1598" s="214" t="str">
        <f t="shared" si="718"/>
        <v/>
      </c>
      <c r="AJ1598" s="214" t="str">
        <f t="shared" si="719"/>
        <v/>
      </c>
      <c r="AK1598" s="214" t="str">
        <f t="shared" si="720"/>
        <v/>
      </c>
      <c r="AL1598" s="214" t="str">
        <f t="shared" si="721"/>
        <v/>
      </c>
      <c r="AM1598" s="214" t="str">
        <f t="shared" si="722"/>
        <v/>
      </c>
      <c r="AN1598" s="213" t="str">
        <f t="shared" si="704"/>
        <v/>
      </c>
      <c r="AO1598" s="213" t="str">
        <f t="shared" si="705"/>
        <v/>
      </c>
      <c r="AP1598" s="213" t="str">
        <f t="shared" si="706"/>
        <v/>
      </c>
      <c r="AQ1598" s="215" t="str">
        <f t="shared" si="707"/>
        <v/>
      </c>
      <c r="AR1598" s="216" t="str">
        <f t="shared" si="708"/>
        <v>BiK82Gby----06</v>
      </c>
      <c r="AS1598" s="215" t="str">
        <f t="shared" si="709"/>
        <v/>
      </c>
      <c r="AT1598">
        <f t="shared" si="710"/>
        <v>14</v>
      </c>
      <c r="AU1598" s="216" t="str">
        <f t="shared" si="711"/>
        <v>0,15-0,5 MW, Bonusregeln G, y, b</v>
      </c>
      <c r="AV1598" s="215" t="str">
        <f t="shared" si="712"/>
        <v/>
      </c>
      <c r="AW1598" s="216" t="str">
        <f t="shared" si="713"/>
        <v>Anteil Nicht-KWK</v>
      </c>
      <c r="AX1598" s="215" t="str">
        <f t="shared" si="714"/>
        <v/>
      </c>
      <c r="AY1598" t="str">
        <f t="shared" si="715"/>
        <v/>
      </c>
      <c r="AZ1598" t="str">
        <f t="shared" si="716"/>
        <v/>
      </c>
    </row>
    <row r="1599" spans="1:52" s="178" customFormat="1" x14ac:dyDescent="0.25">
      <c r="A1599" s="610" t="s">
        <v>3211</v>
      </c>
      <c r="B1599" s="30" t="s">
        <v>5548</v>
      </c>
      <c r="C1599" s="30" t="s">
        <v>1296</v>
      </c>
      <c r="D1599" s="30" t="s">
        <v>7166</v>
      </c>
      <c r="E1599" s="30" t="s">
        <v>4812</v>
      </c>
      <c r="F1599" s="454">
        <f t="shared" si="723"/>
        <v>21.6</v>
      </c>
      <c r="G1599" s="529">
        <v>21.6</v>
      </c>
      <c r="H1599" s="487">
        <f t="shared" si="724"/>
        <v>17.28</v>
      </c>
      <c r="I1599" s="706"/>
      <c r="J1599" s="669" t="s">
        <v>5805</v>
      </c>
      <c r="K1599" s="15"/>
      <c r="L1599"/>
      <c r="M1599" s="49">
        <f t="shared" si="725"/>
        <v>21.6</v>
      </c>
      <c r="N1599" s="41">
        <v>9.6</v>
      </c>
      <c r="O1599" s="187" t="s">
        <v>1017</v>
      </c>
      <c r="P1599" s="183"/>
      <c r="Q1599" s="184"/>
      <c r="R1599" s="184"/>
      <c r="S1599" s="184" t="s">
        <v>4180</v>
      </c>
      <c r="T1599" s="178" t="s">
        <v>4180</v>
      </c>
      <c r="U1599" s="185" t="s">
        <v>1017</v>
      </c>
      <c r="V1599" s="184"/>
      <c r="W1599" s="180"/>
      <c r="X1599" s="180"/>
      <c r="Y1599" s="184" t="s">
        <v>1017</v>
      </c>
      <c r="Z1599" s="180"/>
      <c r="AA1599" s="184"/>
      <c r="AB1599" s="184"/>
      <c r="AC1599" s="180"/>
      <c r="AD1599" s="182"/>
      <c r="AE1599" s="181" t="s">
        <v>1017</v>
      </c>
      <c r="AF1599" s="180"/>
      <c r="AG1599" s="201"/>
      <c r="AH1599" s="212" t="str">
        <f t="shared" si="730"/>
        <v/>
      </c>
      <c r="AI1599" s="214" t="str">
        <f t="shared" si="718"/>
        <v/>
      </c>
      <c r="AJ1599" s="214" t="str">
        <f t="shared" si="719"/>
        <v/>
      </c>
      <c r="AK1599" s="214" t="str">
        <f t="shared" si="720"/>
        <v/>
      </c>
      <c r="AL1599" s="214" t="str">
        <f t="shared" si="721"/>
        <v/>
      </c>
      <c r="AM1599" s="214" t="str">
        <f t="shared" si="722"/>
        <v/>
      </c>
      <c r="AN1599" s="213" t="str">
        <f t="shared" si="704"/>
        <v/>
      </c>
      <c r="AO1599" s="213" t="str">
        <f t="shared" si="705"/>
        <v/>
      </c>
      <c r="AP1599" s="213" t="str">
        <f t="shared" si="706"/>
        <v/>
      </c>
      <c r="AQ1599" s="215" t="str">
        <f t="shared" si="707"/>
        <v/>
      </c>
      <c r="AR1599" s="216" t="str">
        <f t="shared" si="708"/>
        <v>BiK82GbKWKy-06</v>
      </c>
      <c r="AS1599" s="215" t="str">
        <f t="shared" si="709"/>
        <v/>
      </c>
      <c r="AT1599">
        <f t="shared" si="710"/>
        <v>14</v>
      </c>
      <c r="AU1599" s="216" t="str">
        <f t="shared" si="711"/>
        <v>0,15-0,5 MW, Bonusregeln G, y, b und KWK</v>
      </c>
      <c r="AV1599" s="215" t="str">
        <f t="shared" si="712"/>
        <v/>
      </c>
      <c r="AW1599" s="216" t="str">
        <f t="shared" si="713"/>
        <v>Anteil KWK</v>
      </c>
      <c r="AX1599" s="215" t="str">
        <f t="shared" si="714"/>
        <v/>
      </c>
      <c r="AY1599" t="str">
        <f t="shared" si="715"/>
        <v/>
      </c>
      <c r="AZ1599" t="str">
        <f t="shared" si="716"/>
        <v/>
      </c>
    </row>
    <row r="1600" spans="1:52" s="178" customFormat="1" x14ac:dyDescent="0.25">
      <c r="A1600" s="610" t="s">
        <v>3212</v>
      </c>
      <c r="B1600" s="30" t="s">
        <v>5548</v>
      </c>
      <c r="C1600" s="30" t="s">
        <v>1296</v>
      </c>
      <c r="D1600" s="109" t="s">
        <v>7167</v>
      </c>
      <c r="E1600" s="30" t="s">
        <v>4331</v>
      </c>
      <c r="F1600" s="454">
        <f t="shared" si="723"/>
        <v>22.6</v>
      </c>
      <c r="G1600" s="529">
        <v>22.6</v>
      </c>
      <c r="H1600" s="487">
        <f t="shared" si="724"/>
        <v>18.079999999999998</v>
      </c>
      <c r="I1600" s="706"/>
      <c r="J1600" s="669" t="s">
        <v>5805</v>
      </c>
      <c r="K1600" s="15"/>
      <c r="L1600"/>
      <c r="M1600" s="49">
        <f t="shared" si="725"/>
        <v>22.6</v>
      </c>
      <c r="N1600" s="41">
        <v>9.6</v>
      </c>
      <c r="O1600" s="187"/>
      <c r="P1600" s="184" t="s">
        <v>1017</v>
      </c>
      <c r="Q1600" s="184"/>
      <c r="R1600" s="184"/>
      <c r="S1600" s="184" t="s">
        <v>4180</v>
      </c>
      <c r="T1600" s="178" t="s">
        <v>4180</v>
      </c>
      <c r="U1600" s="185" t="s">
        <v>1017</v>
      </c>
      <c r="V1600" s="184"/>
      <c r="W1600" s="180"/>
      <c r="X1600" s="180"/>
      <c r="Y1600" s="184" t="s">
        <v>1017</v>
      </c>
      <c r="Z1600" s="180"/>
      <c r="AA1600" s="184"/>
      <c r="AB1600" s="184"/>
      <c r="AC1600" s="180"/>
      <c r="AD1600" s="182"/>
      <c r="AE1600" s="181" t="s">
        <v>1017</v>
      </c>
      <c r="AF1600" s="180"/>
      <c r="AG1600" s="201"/>
      <c r="AH1600" s="212" t="str">
        <f t="shared" si="730"/>
        <v/>
      </c>
      <c r="AI1600" s="214" t="str">
        <f t="shared" si="718"/>
        <v/>
      </c>
      <c r="AJ1600" s="214" t="str">
        <f t="shared" si="719"/>
        <v/>
      </c>
      <c r="AK1600" s="214" t="str">
        <f t="shared" si="720"/>
        <v/>
      </c>
      <c r="AL1600" s="214" t="str">
        <f t="shared" si="721"/>
        <v/>
      </c>
      <c r="AM1600" s="214" t="str">
        <f t="shared" si="722"/>
        <v/>
      </c>
      <c r="AN1600" s="213" t="str">
        <f t="shared" si="704"/>
        <v/>
      </c>
      <c r="AO1600" s="213" t="str">
        <f t="shared" si="705"/>
        <v/>
      </c>
      <c r="AP1600" s="213" t="str">
        <f t="shared" si="706"/>
        <v/>
      </c>
      <c r="AQ1600" s="215" t="str">
        <f t="shared" si="707"/>
        <v/>
      </c>
      <c r="AR1600" s="216" t="str">
        <f t="shared" si="708"/>
        <v>BiK82GbKA3y-06</v>
      </c>
      <c r="AS1600" s="215" t="str">
        <f t="shared" si="709"/>
        <v/>
      </c>
      <c r="AT1600">
        <f t="shared" si="710"/>
        <v>14</v>
      </c>
      <c r="AU1600" s="216" t="str">
        <f t="shared" si="711"/>
        <v>0,15-0,5 MW, Bonusregeln G, y, b und K wenn Anlage 3 erfüllt</v>
      </c>
      <c r="AV1600" s="215" t="str">
        <f t="shared" si="712"/>
        <v/>
      </c>
      <c r="AW1600" s="216" t="str">
        <f t="shared" si="713"/>
        <v>Anteil KWK gemäß Anlage 3</v>
      </c>
      <c r="AX1600" s="215" t="str">
        <f t="shared" si="714"/>
        <v/>
      </c>
      <c r="AY1600" t="str">
        <f t="shared" si="715"/>
        <v/>
      </c>
      <c r="AZ1600" t="str">
        <f t="shared" si="716"/>
        <v/>
      </c>
    </row>
    <row r="1601" spans="1:52" s="178" customFormat="1" x14ac:dyDescent="0.25">
      <c r="A1601" s="610" t="s">
        <v>3213</v>
      </c>
      <c r="B1601" s="30" t="s">
        <v>5548</v>
      </c>
      <c r="C1601" s="30" t="s">
        <v>1296</v>
      </c>
      <c r="D1601" s="30" t="s">
        <v>7168</v>
      </c>
      <c r="E1601" s="30" t="s">
        <v>674</v>
      </c>
      <c r="F1601" s="454">
        <f t="shared" si="723"/>
        <v>22.6</v>
      </c>
      <c r="G1601" s="529">
        <v>22.6</v>
      </c>
      <c r="H1601" s="487">
        <f t="shared" si="724"/>
        <v>18.079999999999998</v>
      </c>
      <c r="I1601" s="706"/>
      <c r="J1601" s="669" t="s">
        <v>5805</v>
      </c>
      <c r="K1601" s="15"/>
      <c r="L1601"/>
      <c r="M1601" s="49">
        <f t="shared" si="725"/>
        <v>22.6</v>
      </c>
      <c r="N1601" s="41">
        <v>9.6</v>
      </c>
      <c r="O1601" s="187"/>
      <c r="P1601" s="183"/>
      <c r="Q1601" s="184" t="s">
        <v>1017</v>
      </c>
      <c r="R1601" s="184"/>
      <c r="S1601" s="184" t="s">
        <v>4180</v>
      </c>
      <c r="T1601" s="178" t="s">
        <v>4180</v>
      </c>
      <c r="U1601" s="185" t="s">
        <v>1017</v>
      </c>
      <c r="V1601" s="184"/>
      <c r="W1601" s="180"/>
      <c r="X1601" s="180"/>
      <c r="Y1601" s="184" t="s">
        <v>1017</v>
      </c>
      <c r="Z1601" s="180"/>
      <c r="AA1601" s="184"/>
      <c r="AB1601" s="184"/>
      <c r="AC1601" s="180"/>
      <c r="AD1601" s="182"/>
      <c r="AE1601" s="181" t="s">
        <v>1017</v>
      </c>
      <c r="AF1601" s="180"/>
      <c r="AG1601" s="201"/>
      <c r="AH1601" s="212" t="str">
        <f t="shared" si="730"/>
        <v/>
      </c>
      <c r="AI1601" s="214" t="str">
        <f t="shared" si="718"/>
        <v/>
      </c>
      <c r="AJ1601" s="214" t="str">
        <f t="shared" si="719"/>
        <v/>
      </c>
      <c r="AK1601" s="214" t="str">
        <f t="shared" si="720"/>
        <v/>
      </c>
      <c r="AL1601" s="214" t="str">
        <f t="shared" si="721"/>
        <v/>
      </c>
      <c r="AM1601" s="214" t="str">
        <f t="shared" si="722"/>
        <v/>
      </c>
      <c r="AN1601" s="213" t="str">
        <f t="shared" si="704"/>
        <v/>
      </c>
      <c r="AO1601" s="213" t="str">
        <f t="shared" si="705"/>
        <v/>
      </c>
      <c r="AP1601" s="213" t="str">
        <f t="shared" si="706"/>
        <v/>
      </c>
      <c r="AQ1601" s="215" t="str">
        <f t="shared" si="707"/>
        <v/>
      </c>
      <c r="AR1601" s="216" t="str">
        <f t="shared" si="708"/>
        <v>BiK82GbK09y-06</v>
      </c>
      <c r="AS1601" s="215" t="str">
        <f t="shared" si="709"/>
        <v/>
      </c>
      <c r="AT1601">
        <f t="shared" si="710"/>
        <v>14</v>
      </c>
      <c r="AU1601" s="216" t="str">
        <f t="shared" si="711"/>
        <v>0,15-0,5 MW, Bonusregeln G, y, b und K erstmals 2009</v>
      </c>
      <c r="AV1601" s="215" t="str">
        <f t="shared" si="712"/>
        <v/>
      </c>
      <c r="AW1601" s="216" t="str">
        <f t="shared" si="713"/>
        <v>Anteil KWK, erstmals 2009</v>
      </c>
      <c r="AX1601" s="215" t="str">
        <f t="shared" si="714"/>
        <v/>
      </c>
      <c r="AY1601" t="str">
        <f t="shared" si="715"/>
        <v/>
      </c>
      <c r="AZ1601" t="str">
        <f t="shared" si="716"/>
        <v/>
      </c>
    </row>
    <row r="1602" spans="1:52" s="178" customFormat="1" x14ac:dyDescent="0.25">
      <c r="A1602" s="610" t="s">
        <v>4926</v>
      </c>
      <c r="B1602" s="30" t="s">
        <v>5548</v>
      </c>
      <c r="C1602" s="30" t="s">
        <v>1296</v>
      </c>
      <c r="D1602" s="30" t="s">
        <v>7169</v>
      </c>
      <c r="E1602" s="30" t="s">
        <v>3567</v>
      </c>
      <c r="F1602" s="454">
        <f t="shared" si="723"/>
        <v>22.57</v>
      </c>
      <c r="G1602" s="529">
        <v>22.57</v>
      </c>
      <c r="H1602" s="487">
        <f t="shared" si="724"/>
        <v>18.059999999999999</v>
      </c>
      <c r="I1602" s="706"/>
      <c r="J1602" s="669" t="s">
        <v>5805</v>
      </c>
      <c r="K1602" s="15"/>
      <c r="L1602"/>
      <c r="M1602" s="49">
        <f t="shared" si="725"/>
        <v>22.57</v>
      </c>
      <c r="N1602" s="41">
        <v>9.6</v>
      </c>
      <c r="O1602" s="187"/>
      <c r="P1602" s="183"/>
      <c r="Q1602" s="184"/>
      <c r="R1602" s="184" t="s">
        <v>1017</v>
      </c>
      <c r="S1602" s="184" t="s">
        <v>4180</v>
      </c>
      <c r="T1602" s="178" t="s">
        <v>4180</v>
      </c>
      <c r="U1602" s="185" t="s">
        <v>1017</v>
      </c>
      <c r="V1602" s="184"/>
      <c r="W1602" s="180"/>
      <c r="X1602" s="180"/>
      <c r="Y1602" s="184" t="s">
        <v>1017</v>
      </c>
      <c r="Z1602" s="180"/>
      <c r="AA1602" s="184"/>
      <c r="AB1602" s="184"/>
      <c r="AC1602" s="180"/>
      <c r="AD1602" s="182"/>
      <c r="AE1602" s="181" t="s">
        <v>1017</v>
      </c>
      <c r="AF1602" s="180"/>
      <c r="AG1602" s="201"/>
      <c r="AH1602" s="212" t="str">
        <f t="shared" si="730"/>
        <v>2010</v>
      </c>
      <c r="AI1602" s="214" t="str">
        <f t="shared" si="718"/>
        <v/>
      </c>
      <c r="AJ1602" s="214" t="str">
        <f t="shared" si="719"/>
        <v/>
      </c>
      <c r="AK1602" s="214" t="str">
        <f t="shared" si="720"/>
        <v/>
      </c>
      <c r="AL1602" s="214" t="str">
        <f t="shared" si="721"/>
        <v/>
      </c>
      <c r="AM1602" s="214" t="str">
        <f t="shared" si="722"/>
        <v/>
      </c>
      <c r="AN1602" s="213" t="str">
        <f t="shared" si="704"/>
        <v>2010</v>
      </c>
      <c r="AO1602" s="213" t="str">
        <f t="shared" si="705"/>
        <v>2010</v>
      </c>
      <c r="AP1602" s="213" t="str">
        <f t="shared" si="706"/>
        <v>2010</v>
      </c>
      <c r="AQ1602" s="215" t="str">
        <f t="shared" si="707"/>
        <v/>
      </c>
      <c r="AR1602" s="216" t="str">
        <f t="shared" si="708"/>
        <v>BiK82GbK10y-06</v>
      </c>
      <c r="AS1602" s="215" t="str">
        <f t="shared" si="709"/>
        <v/>
      </c>
      <c r="AT1602">
        <f t="shared" si="710"/>
        <v>14</v>
      </c>
      <c r="AU1602" s="216" t="str">
        <f t="shared" si="711"/>
        <v>0,15-0,5 MW, Bonusregeln G, y, b und K erstmals 2010</v>
      </c>
      <c r="AV1602" s="215" t="str">
        <f t="shared" si="712"/>
        <v/>
      </c>
      <c r="AW1602" s="216" t="str">
        <f t="shared" si="713"/>
        <v>Anteil KWK, erstmals 2010</v>
      </c>
      <c r="AX1602" s="215" t="str">
        <f t="shared" si="714"/>
        <v/>
      </c>
      <c r="AY1602" t="str">
        <f t="shared" si="715"/>
        <v/>
      </c>
      <c r="AZ1602" t="str">
        <f t="shared" si="716"/>
        <v/>
      </c>
    </row>
    <row r="1603" spans="1:52" s="178" customFormat="1" x14ac:dyDescent="0.25">
      <c r="A1603" s="610" t="s">
        <v>3973</v>
      </c>
      <c r="B1603" s="30" t="s">
        <v>5548</v>
      </c>
      <c r="C1603" s="30" t="s">
        <v>1296</v>
      </c>
      <c r="D1603" s="30" t="s">
        <v>7170</v>
      </c>
      <c r="E1603" s="30" t="s">
        <v>3055</v>
      </c>
      <c r="F1603" s="454">
        <f t="shared" si="723"/>
        <v>22.54</v>
      </c>
      <c r="G1603" s="529">
        <v>22.54</v>
      </c>
      <c r="H1603" s="487">
        <f t="shared" si="724"/>
        <v>18.03</v>
      </c>
      <c r="I1603" s="706"/>
      <c r="J1603" s="669" t="s">
        <v>5805</v>
      </c>
      <c r="K1603" s="15"/>
      <c r="L1603"/>
      <c r="M1603" s="49">
        <f t="shared" si="725"/>
        <v>22.54</v>
      </c>
      <c r="N1603" s="41">
        <v>9.6</v>
      </c>
      <c r="O1603" s="187"/>
      <c r="P1603" s="183"/>
      <c r="Q1603" s="184"/>
      <c r="S1603" s="184" t="s">
        <v>1017</v>
      </c>
      <c r="T1603" s="178" t="s">
        <v>4180</v>
      </c>
      <c r="U1603" s="185" t="s">
        <v>1017</v>
      </c>
      <c r="V1603" s="184"/>
      <c r="W1603" s="180"/>
      <c r="X1603" s="180"/>
      <c r="Y1603" s="184" t="s">
        <v>1017</v>
      </c>
      <c r="Z1603" s="180"/>
      <c r="AA1603" s="184"/>
      <c r="AB1603" s="184"/>
      <c r="AC1603" s="180"/>
      <c r="AD1603" s="182"/>
      <c r="AE1603" s="181" t="s">
        <v>1017</v>
      </c>
      <c r="AF1603" s="180"/>
      <c r="AG1603" s="201"/>
      <c r="AH1603" s="212" t="str">
        <f t="shared" si="730"/>
        <v>2011</v>
      </c>
      <c r="AI1603" s="214" t="str">
        <f t="shared" si="718"/>
        <v/>
      </c>
      <c r="AJ1603" s="214" t="str">
        <f t="shared" si="719"/>
        <v/>
      </c>
      <c r="AK1603" s="214" t="str">
        <f t="shared" si="720"/>
        <v/>
      </c>
      <c r="AL1603" s="214" t="str">
        <f t="shared" si="721"/>
        <v/>
      </c>
      <c r="AM1603" s="214" t="str">
        <f t="shared" si="722"/>
        <v/>
      </c>
      <c r="AN1603" s="213" t="str">
        <f t="shared" si="704"/>
        <v>2011</v>
      </c>
      <c r="AO1603" s="213" t="str">
        <f t="shared" si="705"/>
        <v>2011</v>
      </c>
      <c r="AP1603" s="213" t="str">
        <f t="shared" si="706"/>
        <v>2011</v>
      </c>
      <c r="AQ1603" s="215" t="str">
        <f t="shared" si="707"/>
        <v/>
      </c>
      <c r="AR1603" s="216" t="str">
        <f t="shared" si="708"/>
        <v>BiK82GbK11y-06</v>
      </c>
      <c r="AS1603" s="215" t="str">
        <f t="shared" si="709"/>
        <v/>
      </c>
      <c r="AT1603">
        <f t="shared" si="710"/>
        <v>14</v>
      </c>
      <c r="AU1603" s="216" t="str">
        <f t="shared" si="711"/>
        <v>0,15-0,5 MW, Bonusregeln G, y, b und K erstmals 2011</v>
      </c>
      <c r="AV1603" s="215" t="str">
        <f t="shared" si="712"/>
        <v/>
      </c>
      <c r="AW1603" s="216" t="str">
        <f t="shared" si="713"/>
        <v>Anteil KWK, erstmals 2011</v>
      </c>
      <c r="AX1603" s="215" t="str">
        <f t="shared" si="714"/>
        <v/>
      </c>
      <c r="AY1603" t="str">
        <f t="shared" si="715"/>
        <v>x</v>
      </c>
      <c r="AZ1603" t="str">
        <f t="shared" si="716"/>
        <v/>
      </c>
    </row>
    <row r="1604" spans="1:52" s="178" customFormat="1" x14ac:dyDescent="0.25">
      <c r="A1604" s="625" t="s">
        <v>1795</v>
      </c>
      <c r="B1604" s="219" t="s">
        <v>5548</v>
      </c>
      <c r="C1604" s="219" t="s">
        <v>1296</v>
      </c>
      <c r="D1604" s="219" t="s">
        <v>7171</v>
      </c>
      <c r="E1604" s="219" t="s">
        <v>1980</v>
      </c>
      <c r="F1604" s="455">
        <f t="shared" si="723"/>
        <v>22.509999999999998</v>
      </c>
      <c r="G1604" s="530">
        <v>22.509999999999998</v>
      </c>
      <c r="H1604" s="488">
        <f t="shared" si="724"/>
        <v>18.010000000000002</v>
      </c>
      <c r="I1604" s="707"/>
      <c r="J1604" s="669" t="s">
        <v>5805</v>
      </c>
      <c r="K1604" s="15"/>
      <c r="L1604"/>
      <c r="M1604" s="49">
        <f t="shared" si="725"/>
        <v>22.509999999999998</v>
      </c>
      <c r="N1604" s="41">
        <v>9.6</v>
      </c>
      <c r="O1604" s="187"/>
      <c r="P1604" s="183"/>
      <c r="Q1604" s="184"/>
      <c r="S1604" s="184" t="s">
        <v>4180</v>
      </c>
      <c r="T1604" s="178" t="s">
        <v>1017</v>
      </c>
      <c r="U1604" s="185" t="s">
        <v>1017</v>
      </c>
      <c r="V1604" s="184"/>
      <c r="W1604" s="180"/>
      <c r="X1604" s="180"/>
      <c r="Y1604" s="184" t="s">
        <v>1017</v>
      </c>
      <c r="Z1604" s="180"/>
      <c r="AA1604" s="184"/>
      <c r="AB1604" s="184"/>
      <c r="AC1604" s="180"/>
      <c r="AD1604" s="182"/>
      <c r="AE1604" s="181" t="s">
        <v>1017</v>
      </c>
      <c r="AF1604" s="180"/>
      <c r="AG1604" s="201"/>
      <c r="AH1604" s="217" t="s">
        <v>4179</v>
      </c>
      <c r="AI1604" s="214" t="str">
        <f t="shared" si="718"/>
        <v/>
      </c>
      <c r="AJ1604" s="214" t="str">
        <f t="shared" si="719"/>
        <v/>
      </c>
      <c r="AK1604" s="214" t="str">
        <f t="shared" si="720"/>
        <v/>
      </c>
      <c r="AL1604" s="214" t="str">
        <f t="shared" si="721"/>
        <v/>
      </c>
      <c r="AM1604" s="214" t="str">
        <f t="shared" si="722"/>
        <v/>
      </c>
      <c r="AN1604" s="213" t="str">
        <f t="shared" si="704"/>
        <v>2012</v>
      </c>
      <c r="AO1604" s="213" t="str">
        <f t="shared" si="705"/>
        <v>2012</v>
      </c>
      <c r="AP1604" s="213" t="str">
        <f t="shared" si="706"/>
        <v>2012</v>
      </c>
      <c r="AQ1604" s="215" t="str">
        <f t="shared" si="707"/>
        <v/>
      </c>
      <c r="AR1604" s="216" t="str">
        <f t="shared" si="708"/>
        <v>BiK82GbK12y-06</v>
      </c>
      <c r="AS1604" s="215" t="str">
        <f t="shared" si="709"/>
        <v/>
      </c>
      <c r="AT1604">
        <f t="shared" si="710"/>
        <v>14</v>
      </c>
      <c r="AU1604" s="216" t="str">
        <f t="shared" si="711"/>
        <v>0,15-0,5 MW, Bonusregeln G, y, b und K erstmals 2012</v>
      </c>
      <c r="AV1604" s="215" t="str">
        <f t="shared" si="712"/>
        <v/>
      </c>
      <c r="AW1604" s="216" t="str">
        <f t="shared" si="713"/>
        <v>Anteil KWK, erstmals 2012</v>
      </c>
      <c r="AX1604" s="215" t="str">
        <f t="shared" si="714"/>
        <v/>
      </c>
      <c r="AY1604" t="str">
        <f t="shared" si="715"/>
        <v/>
      </c>
      <c r="AZ1604" t="str">
        <f t="shared" si="716"/>
        <v>x</v>
      </c>
    </row>
    <row r="1605" spans="1:52" s="178" customFormat="1" x14ac:dyDescent="0.25">
      <c r="A1605" s="610" t="s">
        <v>4713</v>
      </c>
      <c r="B1605" s="30" t="s">
        <v>5548</v>
      </c>
      <c r="C1605" s="30" t="s">
        <v>1296</v>
      </c>
      <c r="D1605" s="30" t="s">
        <v>7172</v>
      </c>
      <c r="E1605" s="30" t="s">
        <v>4810</v>
      </c>
      <c r="F1605" s="454">
        <f t="shared" si="723"/>
        <v>19.600000000000001</v>
      </c>
      <c r="G1605" s="529">
        <v>19.600000000000001</v>
      </c>
      <c r="H1605" s="487">
        <f t="shared" si="724"/>
        <v>15.68</v>
      </c>
      <c r="I1605" s="706"/>
      <c r="J1605" s="669" t="s">
        <v>5805</v>
      </c>
      <c r="K1605" s="15"/>
      <c r="L1605"/>
      <c r="M1605" s="49">
        <f t="shared" si="725"/>
        <v>19.600000000000001</v>
      </c>
      <c r="N1605" s="41">
        <v>9.6</v>
      </c>
      <c r="O1605" s="186"/>
      <c r="P1605" s="177"/>
      <c r="S1605" s="178" t="s">
        <v>4180</v>
      </c>
      <c r="T1605" s="178" t="s">
        <v>4180</v>
      </c>
      <c r="U1605" s="179"/>
      <c r="W1605" s="180"/>
      <c r="X1605" s="180"/>
      <c r="Z1605" s="180"/>
      <c r="AA1605" s="184" t="s">
        <v>1017</v>
      </c>
      <c r="AC1605" s="180"/>
      <c r="AD1605" s="182"/>
      <c r="AE1605" s="181" t="s">
        <v>1017</v>
      </c>
      <c r="AF1605" s="180"/>
      <c r="AG1605" s="201"/>
      <c r="AH1605" s="212" t="str">
        <f t="shared" ref="AH1605:AH1610" si="731">IF(ISERROR(SEARCH("K erstmals 201",D1605)),"",RIGHT(D1605,4))</f>
        <v/>
      </c>
      <c r="AI1605" s="214" t="str">
        <f t="shared" si="718"/>
        <v/>
      </c>
      <c r="AJ1605" s="214" t="str">
        <f t="shared" si="719"/>
        <v/>
      </c>
      <c r="AK1605" s="214" t="str">
        <f t="shared" si="720"/>
        <v/>
      </c>
      <c r="AL1605" s="214" t="str">
        <f t="shared" si="721"/>
        <v/>
      </c>
      <c r="AM1605" s="214" t="str">
        <f t="shared" si="722"/>
        <v/>
      </c>
      <c r="AN1605" s="213" t="str">
        <f t="shared" si="704"/>
        <v/>
      </c>
      <c r="AO1605" s="213" t="str">
        <f t="shared" si="705"/>
        <v/>
      </c>
      <c r="AP1605" s="213" t="str">
        <f t="shared" si="706"/>
        <v/>
      </c>
      <c r="AQ1605" s="215" t="str">
        <f t="shared" si="707"/>
        <v/>
      </c>
      <c r="AR1605" s="216" t="str">
        <f t="shared" si="708"/>
        <v>BiK82M2b----06</v>
      </c>
      <c r="AS1605" s="215" t="str">
        <f t="shared" si="709"/>
        <v/>
      </c>
      <c r="AT1605">
        <f t="shared" si="710"/>
        <v>14</v>
      </c>
      <c r="AU1605" s="216" t="str">
        <f t="shared" si="711"/>
        <v>0,15-0,5 MW, Bonusregeln M2, b</v>
      </c>
      <c r="AV1605" s="215" t="str">
        <f t="shared" si="712"/>
        <v/>
      </c>
      <c r="AW1605" s="216" t="str">
        <f t="shared" si="713"/>
        <v>Anteil Nicht-KWK</v>
      </c>
      <c r="AX1605" s="215" t="str">
        <f t="shared" si="714"/>
        <v/>
      </c>
      <c r="AY1605" t="str">
        <f t="shared" si="715"/>
        <v/>
      </c>
      <c r="AZ1605" t="str">
        <f t="shared" si="716"/>
        <v/>
      </c>
    </row>
    <row r="1606" spans="1:52" s="178" customFormat="1" x14ac:dyDescent="0.25">
      <c r="A1606" s="610" t="s">
        <v>4714</v>
      </c>
      <c r="B1606" s="30" t="s">
        <v>5548</v>
      </c>
      <c r="C1606" s="30" t="s">
        <v>1296</v>
      </c>
      <c r="D1606" s="30" t="s">
        <v>7173</v>
      </c>
      <c r="E1606" s="30" t="s">
        <v>4812</v>
      </c>
      <c r="F1606" s="454">
        <f t="shared" si="723"/>
        <v>21.6</v>
      </c>
      <c r="G1606" s="529">
        <v>21.6</v>
      </c>
      <c r="H1606" s="487">
        <f t="shared" si="724"/>
        <v>17.28</v>
      </c>
      <c r="I1606" s="706"/>
      <c r="J1606" s="669" t="s">
        <v>5805</v>
      </c>
      <c r="K1606" s="15"/>
      <c r="L1606"/>
      <c r="M1606" s="49">
        <f t="shared" si="725"/>
        <v>21.6</v>
      </c>
      <c r="N1606" s="41">
        <v>9.6</v>
      </c>
      <c r="O1606" s="186" t="s">
        <v>1017</v>
      </c>
      <c r="P1606" s="177"/>
      <c r="S1606" s="178" t="s">
        <v>4180</v>
      </c>
      <c r="T1606" s="178" t="s">
        <v>4180</v>
      </c>
      <c r="U1606" s="179"/>
      <c r="W1606" s="180"/>
      <c r="X1606" s="180"/>
      <c r="Z1606" s="180"/>
      <c r="AA1606" s="184" t="s">
        <v>1017</v>
      </c>
      <c r="AC1606" s="180"/>
      <c r="AD1606" s="182"/>
      <c r="AE1606" s="181" t="s">
        <v>1017</v>
      </c>
      <c r="AF1606" s="180"/>
      <c r="AG1606" s="201"/>
      <c r="AH1606" s="212" t="str">
        <f t="shared" si="731"/>
        <v/>
      </c>
      <c r="AI1606" s="214" t="str">
        <f t="shared" si="718"/>
        <v/>
      </c>
      <c r="AJ1606" s="214" t="str">
        <f t="shared" si="719"/>
        <v/>
      </c>
      <c r="AK1606" s="214" t="str">
        <f t="shared" si="720"/>
        <v/>
      </c>
      <c r="AL1606" s="214" t="str">
        <f t="shared" si="721"/>
        <v/>
      </c>
      <c r="AM1606" s="214" t="str">
        <f t="shared" si="722"/>
        <v/>
      </c>
      <c r="AN1606" s="213" t="str">
        <f t="shared" si="704"/>
        <v/>
      </c>
      <c r="AO1606" s="213" t="str">
        <f t="shared" si="705"/>
        <v/>
      </c>
      <c r="AP1606" s="213" t="str">
        <f t="shared" si="706"/>
        <v/>
      </c>
      <c r="AQ1606" s="215" t="str">
        <f t="shared" si="707"/>
        <v/>
      </c>
      <c r="AR1606" s="216" t="str">
        <f t="shared" si="708"/>
        <v>BiK82M2bKWK-06</v>
      </c>
      <c r="AS1606" s="215" t="str">
        <f t="shared" si="709"/>
        <v/>
      </c>
      <c r="AT1606">
        <f t="shared" si="710"/>
        <v>14</v>
      </c>
      <c r="AU1606" s="216" t="str">
        <f t="shared" si="711"/>
        <v>0,15-0,5 MW, Bonusregeln M2, b und KWK</v>
      </c>
      <c r="AV1606" s="215" t="str">
        <f t="shared" si="712"/>
        <v/>
      </c>
      <c r="AW1606" s="216" t="str">
        <f t="shared" si="713"/>
        <v>Anteil KWK</v>
      </c>
      <c r="AX1606" s="215" t="str">
        <f t="shared" si="714"/>
        <v/>
      </c>
      <c r="AY1606" t="str">
        <f t="shared" si="715"/>
        <v/>
      </c>
      <c r="AZ1606" t="str">
        <f t="shared" si="716"/>
        <v/>
      </c>
    </row>
    <row r="1607" spans="1:52" s="178" customFormat="1" x14ac:dyDescent="0.25">
      <c r="A1607" s="610" t="s">
        <v>4715</v>
      </c>
      <c r="B1607" s="30" t="s">
        <v>5548</v>
      </c>
      <c r="C1607" s="30" t="s">
        <v>1296</v>
      </c>
      <c r="D1607" s="30" t="s">
        <v>7174</v>
      </c>
      <c r="E1607" s="30" t="s">
        <v>4331</v>
      </c>
      <c r="F1607" s="454">
        <f t="shared" si="723"/>
        <v>22.6</v>
      </c>
      <c r="G1607" s="529">
        <v>22.6</v>
      </c>
      <c r="H1607" s="487">
        <f t="shared" si="724"/>
        <v>18.079999999999998</v>
      </c>
      <c r="I1607" s="706"/>
      <c r="J1607" s="669" t="s">
        <v>5805</v>
      </c>
      <c r="K1607" s="15"/>
      <c r="L1607"/>
      <c r="M1607" s="49">
        <f t="shared" si="725"/>
        <v>22.6</v>
      </c>
      <c r="N1607" s="41">
        <v>9.6</v>
      </c>
      <c r="O1607" s="186"/>
      <c r="P1607" s="178" t="s">
        <v>1017</v>
      </c>
      <c r="S1607" s="178" t="s">
        <v>4180</v>
      </c>
      <c r="T1607" s="178" t="s">
        <v>4180</v>
      </c>
      <c r="U1607" s="179"/>
      <c r="W1607" s="180"/>
      <c r="X1607" s="180"/>
      <c r="Z1607" s="180"/>
      <c r="AA1607" s="184" t="s">
        <v>1017</v>
      </c>
      <c r="AC1607" s="180"/>
      <c r="AD1607" s="182"/>
      <c r="AE1607" s="181" t="s">
        <v>1017</v>
      </c>
      <c r="AF1607" s="180"/>
      <c r="AG1607" s="201"/>
      <c r="AH1607" s="212" t="str">
        <f t="shared" si="731"/>
        <v/>
      </c>
      <c r="AI1607" s="214" t="str">
        <f t="shared" si="718"/>
        <v/>
      </c>
      <c r="AJ1607" s="214" t="str">
        <f t="shared" si="719"/>
        <v/>
      </c>
      <c r="AK1607" s="214" t="str">
        <f t="shared" si="720"/>
        <v/>
      </c>
      <c r="AL1607" s="214" t="str">
        <f t="shared" si="721"/>
        <v/>
      </c>
      <c r="AM1607" s="214" t="str">
        <f t="shared" si="722"/>
        <v/>
      </c>
      <c r="AN1607" s="213" t="str">
        <f t="shared" si="704"/>
        <v/>
      </c>
      <c r="AO1607" s="213" t="str">
        <f t="shared" si="705"/>
        <v/>
      </c>
      <c r="AP1607" s="213" t="str">
        <f t="shared" si="706"/>
        <v/>
      </c>
      <c r="AQ1607" s="215" t="str">
        <f t="shared" si="707"/>
        <v/>
      </c>
      <c r="AR1607" s="216" t="str">
        <f t="shared" si="708"/>
        <v>BiK82M2bKA3-06</v>
      </c>
      <c r="AS1607" s="215" t="str">
        <f t="shared" si="709"/>
        <v/>
      </c>
      <c r="AT1607">
        <f t="shared" si="710"/>
        <v>14</v>
      </c>
      <c r="AU1607" s="216" t="str">
        <f t="shared" si="711"/>
        <v>0,15-0,5 MW, Bonusregeln M2, b und K wenn Anlage 3 erfüllt</v>
      </c>
      <c r="AV1607" s="215" t="str">
        <f t="shared" si="712"/>
        <v/>
      </c>
      <c r="AW1607" s="216" t="str">
        <f t="shared" si="713"/>
        <v>Anteil KWK gemäß Anlage 3</v>
      </c>
      <c r="AX1607" s="215" t="str">
        <f t="shared" si="714"/>
        <v/>
      </c>
      <c r="AY1607" t="str">
        <f t="shared" si="715"/>
        <v/>
      </c>
      <c r="AZ1607" t="str">
        <f t="shared" si="716"/>
        <v/>
      </c>
    </row>
    <row r="1608" spans="1:52" s="178" customFormat="1" x14ac:dyDescent="0.25">
      <c r="A1608" s="610" t="s">
        <v>4716</v>
      </c>
      <c r="B1608" s="30" t="s">
        <v>5548</v>
      </c>
      <c r="C1608" s="30" t="s">
        <v>1296</v>
      </c>
      <c r="D1608" s="30" t="s">
        <v>7175</v>
      </c>
      <c r="E1608" s="30" t="s">
        <v>674</v>
      </c>
      <c r="F1608" s="454">
        <f t="shared" si="723"/>
        <v>22.6</v>
      </c>
      <c r="G1608" s="529">
        <v>22.6</v>
      </c>
      <c r="H1608" s="487">
        <f t="shared" si="724"/>
        <v>18.079999999999998</v>
      </c>
      <c r="I1608" s="706"/>
      <c r="J1608" s="669" t="s">
        <v>5805</v>
      </c>
      <c r="K1608" s="15"/>
      <c r="L1608"/>
      <c r="M1608" s="49">
        <f t="shared" si="725"/>
        <v>22.6</v>
      </c>
      <c r="N1608" s="41">
        <v>9.6</v>
      </c>
      <c r="O1608" s="186"/>
      <c r="P1608" s="177"/>
      <c r="Q1608" s="178" t="s">
        <v>1017</v>
      </c>
      <c r="S1608" s="178" t="s">
        <v>4180</v>
      </c>
      <c r="T1608" s="178" t="s">
        <v>4180</v>
      </c>
      <c r="U1608" s="179"/>
      <c r="W1608" s="180"/>
      <c r="X1608" s="180"/>
      <c r="Z1608" s="180"/>
      <c r="AA1608" s="184" t="s">
        <v>1017</v>
      </c>
      <c r="AC1608" s="180"/>
      <c r="AD1608" s="182"/>
      <c r="AE1608" s="181" t="s">
        <v>1017</v>
      </c>
      <c r="AF1608" s="180"/>
      <c r="AG1608" s="201"/>
      <c r="AH1608" s="212" t="str">
        <f t="shared" si="731"/>
        <v/>
      </c>
      <c r="AI1608" s="214" t="str">
        <f t="shared" si="718"/>
        <v/>
      </c>
      <c r="AJ1608" s="214" t="str">
        <f t="shared" si="719"/>
        <v/>
      </c>
      <c r="AK1608" s="214" t="str">
        <f t="shared" si="720"/>
        <v/>
      </c>
      <c r="AL1608" s="214" t="str">
        <f t="shared" si="721"/>
        <v/>
      </c>
      <c r="AM1608" s="214" t="str">
        <f t="shared" si="722"/>
        <v/>
      </c>
      <c r="AN1608" s="213" t="str">
        <f t="shared" si="704"/>
        <v/>
      </c>
      <c r="AO1608" s="213" t="str">
        <f t="shared" si="705"/>
        <v/>
      </c>
      <c r="AP1608" s="213" t="str">
        <f t="shared" si="706"/>
        <v/>
      </c>
      <c r="AQ1608" s="215" t="str">
        <f t="shared" si="707"/>
        <v/>
      </c>
      <c r="AR1608" s="216" t="str">
        <f t="shared" si="708"/>
        <v>BiK82M2bK09-06</v>
      </c>
      <c r="AS1608" s="215" t="str">
        <f t="shared" si="709"/>
        <v/>
      </c>
      <c r="AT1608">
        <f t="shared" si="710"/>
        <v>14</v>
      </c>
      <c r="AU1608" s="216" t="str">
        <f t="shared" si="711"/>
        <v>0,15-0,5 MW, Bonusregeln M2, b und K erstmals 2009</v>
      </c>
      <c r="AV1608" s="215" t="str">
        <f t="shared" si="712"/>
        <v/>
      </c>
      <c r="AW1608" s="216" t="str">
        <f t="shared" si="713"/>
        <v>Anteil KWK, erstmals 2009</v>
      </c>
      <c r="AX1608" s="215" t="str">
        <f t="shared" si="714"/>
        <v/>
      </c>
      <c r="AY1608" t="str">
        <f t="shared" si="715"/>
        <v/>
      </c>
      <c r="AZ1608" t="str">
        <f t="shared" si="716"/>
        <v/>
      </c>
    </row>
    <row r="1609" spans="1:52" s="178" customFormat="1" x14ac:dyDescent="0.25">
      <c r="A1609" s="610" t="s">
        <v>4927</v>
      </c>
      <c r="B1609" s="30" t="s">
        <v>5548</v>
      </c>
      <c r="C1609" s="30" t="s">
        <v>1296</v>
      </c>
      <c r="D1609" s="30" t="s">
        <v>7176</v>
      </c>
      <c r="E1609" s="30" t="s">
        <v>3567</v>
      </c>
      <c r="F1609" s="454">
        <f t="shared" si="723"/>
        <v>22.57</v>
      </c>
      <c r="G1609" s="529">
        <v>22.57</v>
      </c>
      <c r="H1609" s="487">
        <f t="shared" si="724"/>
        <v>18.059999999999999</v>
      </c>
      <c r="I1609" s="706"/>
      <c r="J1609" s="669" t="s">
        <v>5805</v>
      </c>
      <c r="K1609" s="15"/>
      <c r="L1609"/>
      <c r="M1609" s="49">
        <f t="shared" si="725"/>
        <v>22.57</v>
      </c>
      <c r="N1609" s="41">
        <v>9.6</v>
      </c>
      <c r="O1609" s="186"/>
      <c r="P1609" s="177"/>
      <c r="R1609" s="178" t="s">
        <v>1017</v>
      </c>
      <c r="S1609" s="178" t="s">
        <v>4180</v>
      </c>
      <c r="T1609" s="178" t="s">
        <v>4180</v>
      </c>
      <c r="U1609" s="179"/>
      <c r="W1609" s="180"/>
      <c r="X1609" s="180"/>
      <c r="Z1609" s="180"/>
      <c r="AA1609" s="184" t="s">
        <v>1017</v>
      </c>
      <c r="AC1609" s="180"/>
      <c r="AD1609" s="182"/>
      <c r="AE1609" s="181" t="s">
        <v>1017</v>
      </c>
      <c r="AF1609" s="180"/>
      <c r="AG1609" s="201"/>
      <c r="AH1609" s="212" t="str">
        <f t="shared" si="731"/>
        <v>2010</v>
      </c>
      <c r="AI1609" s="214" t="str">
        <f t="shared" si="718"/>
        <v/>
      </c>
      <c r="AJ1609" s="214" t="str">
        <f t="shared" si="719"/>
        <v/>
      </c>
      <c r="AK1609" s="214" t="str">
        <f t="shared" si="720"/>
        <v/>
      </c>
      <c r="AL1609" s="214" t="str">
        <f t="shared" si="721"/>
        <v/>
      </c>
      <c r="AM1609" s="214" t="str">
        <f t="shared" si="722"/>
        <v/>
      </c>
      <c r="AN1609" s="213" t="str">
        <f t="shared" si="704"/>
        <v>2010</v>
      </c>
      <c r="AO1609" s="213" t="str">
        <f t="shared" si="705"/>
        <v>2010</v>
      </c>
      <c r="AP1609" s="213" t="str">
        <f t="shared" si="706"/>
        <v>2010</v>
      </c>
      <c r="AQ1609" s="215" t="str">
        <f t="shared" si="707"/>
        <v/>
      </c>
      <c r="AR1609" s="216" t="str">
        <f t="shared" si="708"/>
        <v>BiK82M2bK10-06</v>
      </c>
      <c r="AS1609" s="215" t="str">
        <f t="shared" si="709"/>
        <v/>
      </c>
      <c r="AT1609">
        <f t="shared" si="710"/>
        <v>14</v>
      </c>
      <c r="AU1609" s="216" t="str">
        <f t="shared" si="711"/>
        <v>0,15-0,5 MW, Bonusregeln M2, b und K erstmals 2010</v>
      </c>
      <c r="AV1609" s="215" t="str">
        <f t="shared" si="712"/>
        <v/>
      </c>
      <c r="AW1609" s="216" t="str">
        <f t="shared" si="713"/>
        <v>Anteil KWK, erstmals 2010</v>
      </c>
      <c r="AX1609" s="215" t="str">
        <f t="shared" si="714"/>
        <v/>
      </c>
      <c r="AY1609" t="str">
        <f t="shared" si="715"/>
        <v/>
      </c>
      <c r="AZ1609" t="str">
        <f t="shared" si="716"/>
        <v/>
      </c>
    </row>
    <row r="1610" spans="1:52" s="178" customFormat="1" x14ac:dyDescent="0.25">
      <c r="A1610" s="610" t="s">
        <v>3974</v>
      </c>
      <c r="B1610" s="30" t="s">
        <v>5548</v>
      </c>
      <c r="C1610" s="30" t="s">
        <v>1296</v>
      </c>
      <c r="D1610" s="30" t="s">
        <v>7177</v>
      </c>
      <c r="E1610" s="30" t="s">
        <v>3055</v>
      </c>
      <c r="F1610" s="454">
        <f t="shared" si="723"/>
        <v>22.54</v>
      </c>
      <c r="G1610" s="529">
        <v>22.54</v>
      </c>
      <c r="H1610" s="487">
        <f t="shared" si="724"/>
        <v>18.03</v>
      </c>
      <c r="I1610" s="706"/>
      <c r="J1610" s="669" t="s">
        <v>5805</v>
      </c>
      <c r="K1610" s="15"/>
      <c r="L1610"/>
      <c r="M1610" s="49">
        <f t="shared" si="725"/>
        <v>22.54</v>
      </c>
      <c r="N1610" s="41">
        <v>9.6</v>
      </c>
      <c r="O1610" s="186"/>
      <c r="P1610" s="177"/>
      <c r="S1610" s="178" t="s">
        <v>1017</v>
      </c>
      <c r="T1610" s="178" t="s">
        <v>4180</v>
      </c>
      <c r="U1610" s="179"/>
      <c r="W1610" s="180"/>
      <c r="X1610" s="180"/>
      <c r="Z1610" s="180"/>
      <c r="AA1610" s="184" t="s">
        <v>1017</v>
      </c>
      <c r="AC1610" s="180"/>
      <c r="AD1610" s="182"/>
      <c r="AE1610" s="181" t="s">
        <v>1017</v>
      </c>
      <c r="AF1610" s="180"/>
      <c r="AG1610" s="201"/>
      <c r="AH1610" s="212" t="str">
        <f t="shared" si="731"/>
        <v>2011</v>
      </c>
      <c r="AI1610" s="214" t="str">
        <f t="shared" si="718"/>
        <v/>
      </c>
      <c r="AJ1610" s="214" t="str">
        <f t="shared" si="719"/>
        <v/>
      </c>
      <c r="AK1610" s="214" t="str">
        <f t="shared" si="720"/>
        <v/>
      </c>
      <c r="AL1610" s="214" t="str">
        <f t="shared" si="721"/>
        <v/>
      </c>
      <c r="AM1610" s="214" t="str">
        <f t="shared" si="722"/>
        <v/>
      </c>
      <c r="AN1610" s="213" t="str">
        <f t="shared" si="704"/>
        <v>2011</v>
      </c>
      <c r="AO1610" s="213" t="str">
        <f t="shared" si="705"/>
        <v>2011</v>
      </c>
      <c r="AP1610" s="213" t="str">
        <f t="shared" si="706"/>
        <v>2011</v>
      </c>
      <c r="AQ1610" s="215" t="str">
        <f t="shared" si="707"/>
        <v/>
      </c>
      <c r="AR1610" s="216" t="str">
        <f t="shared" si="708"/>
        <v>BiK82M2bK11-06</v>
      </c>
      <c r="AS1610" s="215" t="str">
        <f t="shared" si="709"/>
        <v/>
      </c>
      <c r="AT1610">
        <f t="shared" si="710"/>
        <v>14</v>
      </c>
      <c r="AU1610" s="216" t="str">
        <f t="shared" si="711"/>
        <v>0,15-0,5 MW, Bonusregeln M2, b und K erstmals 2011</v>
      </c>
      <c r="AV1610" s="215" t="str">
        <f t="shared" si="712"/>
        <v/>
      </c>
      <c r="AW1610" s="216" t="str">
        <f t="shared" si="713"/>
        <v>Anteil KWK, erstmals 2011</v>
      </c>
      <c r="AX1610" s="215" t="str">
        <f t="shared" si="714"/>
        <v/>
      </c>
      <c r="AY1610" t="str">
        <f t="shared" si="715"/>
        <v>x</v>
      </c>
      <c r="AZ1610" t="str">
        <f t="shared" si="716"/>
        <v/>
      </c>
    </row>
    <row r="1611" spans="1:52" s="178" customFormat="1" x14ac:dyDescent="0.25">
      <c r="A1611" s="625" t="s">
        <v>1796</v>
      </c>
      <c r="B1611" s="219" t="s">
        <v>5548</v>
      </c>
      <c r="C1611" s="219" t="s">
        <v>1296</v>
      </c>
      <c r="D1611" s="219" t="s">
        <v>7178</v>
      </c>
      <c r="E1611" s="219" t="s">
        <v>1980</v>
      </c>
      <c r="F1611" s="455">
        <f t="shared" si="723"/>
        <v>22.509999999999998</v>
      </c>
      <c r="G1611" s="530">
        <v>22.509999999999998</v>
      </c>
      <c r="H1611" s="488">
        <f t="shared" si="724"/>
        <v>18.010000000000002</v>
      </c>
      <c r="I1611" s="707"/>
      <c r="J1611" s="669" t="s">
        <v>5805</v>
      </c>
      <c r="K1611" s="15"/>
      <c r="L1611"/>
      <c r="M1611" s="49">
        <f t="shared" si="725"/>
        <v>22.509999999999998</v>
      </c>
      <c r="N1611" s="41">
        <v>9.6</v>
      </c>
      <c r="O1611" s="186"/>
      <c r="P1611" s="177"/>
      <c r="S1611" s="178" t="s">
        <v>4180</v>
      </c>
      <c r="T1611" s="178" t="s">
        <v>1017</v>
      </c>
      <c r="U1611" s="179"/>
      <c r="W1611" s="180"/>
      <c r="X1611" s="180"/>
      <c r="Z1611" s="180"/>
      <c r="AA1611" s="184" t="s">
        <v>1017</v>
      </c>
      <c r="AC1611" s="180"/>
      <c r="AD1611" s="182"/>
      <c r="AE1611" s="181" t="s">
        <v>1017</v>
      </c>
      <c r="AF1611" s="180"/>
      <c r="AG1611" s="201"/>
      <c r="AH1611" s="217" t="s">
        <v>4179</v>
      </c>
      <c r="AI1611" s="214" t="str">
        <f t="shared" si="718"/>
        <v/>
      </c>
      <c r="AJ1611" s="214" t="str">
        <f t="shared" si="719"/>
        <v/>
      </c>
      <c r="AK1611" s="214" t="str">
        <f t="shared" si="720"/>
        <v/>
      </c>
      <c r="AL1611" s="214" t="str">
        <f t="shared" si="721"/>
        <v/>
      </c>
      <c r="AM1611" s="214" t="str">
        <f t="shared" si="722"/>
        <v/>
      </c>
      <c r="AN1611" s="213" t="str">
        <f t="shared" si="704"/>
        <v>2012</v>
      </c>
      <c r="AO1611" s="213" t="str">
        <f t="shared" si="705"/>
        <v>2012</v>
      </c>
      <c r="AP1611" s="213" t="str">
        <f t="shared" si="706"/>
        <v>2012</v>
      </c>
      <c r="AQ1611" s="215" t="str">
        <f t="shared" si="707"/>
        <v/>
      </c>
      <c r="AR1611" s="216" t="str">
        <f t="shared" si="708"/>
        <v>BiK82M2bK12-06</v>
      </c>
      <c r="AS1611" s="215" t="str">
        <f t="shared" si="709"/>
        <v/>
      </c>
      <c r="AT1611">
        <f t="shared" si="710"/>
        <v>14</v>
      </c>
      <c r="AU1611" s="216" t="str">
        <f t="shared" si="711"/>
        <v>0,15-0,5 MW, Bonusregeln M2, b und K erstmals 2012</v>
      </c>
      <c r="AV1611" s="215" t="str">
        <f t="shared" si="712"/>
        <v/>
      </c>
      <c r="AW1611" s="216" t="str">
        <f t="shared" si="713"/>
        <v>Anteil KWK, erstmals 2012</v>
      </c>
      <c r="AX1611" s="215" t="str">
        <f t="shared" si="714"/>
        <v/>
      </c>
      <c r="AY1611" t="str">
        <f t="shared" si="715"/>
        <v/>
      </c>
      <c r="AZ1611" t="str">
        <f t="shared" si="716"/>
        <v>x</v>
      </c>
    </row>
    <row r="1612" spans="1:52" s="178" customFormat="1" x14ac:dyDescent="0.25">
      <c r="A1612" s="610" t="s">
        <v>4717</v>
      </c>
      <c r="B1612" s="30" t="s">
        <v>5548</v>
      </c>
      <c r="C1612" s="30" t="s">
        <v>1296</v>
      </c>
      <c r="D1612" s="30" t="s">
        <v>7179</v>
      </c>
      <c r="E1612" s="30" t="s">
        <v>4810</v>
      </c>
      <c r="F1612" s="454">
        <f t="shared" si="723"/>
        <v>20.6</v>
      </c>
      <c r="G1612" s="529">
        <v>20.6</v>
      </c>
      <c r="H1612" s="487">
        <f t="shared" si="724"/>
        <v>16.48</v>
      </c>
      <c r="I1612" s="706"/>
      <c r="J1612" s="669" t="s">
        <v>5805</v>
      </c>
      <c r="K1612" s="15"/>
      <c r="L1612"/>
      <c r="M1612" s="49">
        <f t="shared" si="725"/>
        <v>20.6</v>
      </c>
      <c r="N1612" s="41">
        <v>9.6</v>
      </c>
      <c r="O1612" s="187"/>
      <c r="P1612" s="183"/>
      <c r="Q1612" s="184"/>
      <c r="R1612" s="184"/>
      <c r="S1612" s="184" t="s">
        <v>4180</v>
      </c>
      <c r="T1612" s="178" t="s">
        <v>4180</v>
      </c>
      <c r="U1612" s="185" t="s">
        <v>1017</v>
      </c>
      <c r="V1612" s="184"/>
      <c r="W1612" s="180"/>
      <c r="X1612" s="180"/>
      <c r="Z1612" s="180"/>
      <c r="AA1612" s="184" t="s">
        <v>1017</v>
      </c>
      <c r="AB1612" s="184"/>
      <c r="AC1612" s="180"/>
      <c r="AD1612" s="182"/>
      <c r="AE1612" s="181" t="s">
        <v>1017</v>
      </c>
      <c r="AF1612" s="180"/>
      <c r="AG1612" s="201"/>
      <c r="AH1612" s="212" t="str">
        <f t="shared" ref="AH1612:AH1617" si="732">IF(ISERROR(SEARCH("K erstmals 201",D1612)),"",RIGHT(D1612,4))</f>
        <v/>
      </c>
      <c r="AI1612" s="214" t="str">
        <f t="shared" si="718"/>
        <v/>
      </c>
      <c r="AJ1612" s="214" t="str">
        <f t="shared" si="719"/>
        <v/>
      </c>
      <c r="AK1612" s="214" t="str">
        <f t="shared" si="720"/>
        <v/>
      </c>
      <c r="AL1612" s="214" t="str">
        <f t="shared" si="721"/>
        <v/>
      </c>
      <c r="AM1612" s="214" t="str">
        <f t="shared" si="722"/>
        <v/>
      </c>
      <c r="AN1612" s="213" t="str">
        <f t="shared" si="704"/>
        <v/>
      </c>
      <c r="AO1612" s="213" t="str">
        <f t="shared" si="705"/>
        <v/>
      </c>
      <c r="AP1612" s="213" t="str">
        <f t="shared" si="706"/>
        <v/>
      </c>
      <c r="AQ1612" s="215" t="str">
        <f t="shared" si="707"/>
        <v/>
      </c>
      <c r="AR1612" s="216" t="str">
        <f t="shared" si="708"/>
        <v>BiK82M2by---06</v>
      </c>
      <c r="AS1612" s="215" t="str">
        <f t="shared" si="709"/>
        <v/>
      </c>
      <c r="AT1612">
        <f t="shared" si="710"/>
        <v>14</v>
      </c>
      <c r="AU1612" s="216" t="str">
        <f t="shared" si="711"/>
        <v>0,15-0,5 MW, Bonusregeln M2, y, b</v>
      </c>
      <c r="AV1612" s="215" t="str">
        <f t="shared" si="712"/>
        <v/>
      </c>
      <c r="AW1612" s="216" t="str">
        <f t="shared" si="713"/>
        <v>Anteil Nicht-KWK</v>
      </c>
      <c r="AX1612" s="215" t="str">
        <f t="shared" si="714"/>
        <v/>
      </c>
      <c r="AY1612" t="str">
        <f t="shared" si="715"/>
        <v/>
      </c>
      <c r="AZ1612" t="str">
        <f t="shared" si="716"/>
        <v/>
      </c>
    </row>
    <row r="1613" spans="1:52" s="178" customFormat="1" x14ac:dyDescent="0.25">
      <c r="A1613" s="610" t="s">
        <v>4718</v>
      </c>
      <c r="B1613" s="30" t="s">
        <v>5548</v>
      </c>
      <c r="C1613" s="30" t="s">
        <v>1296</v>
      </c>
      <c r="D1613" s="30" t="s">
        <v>7180</v>
      </c>
      <c r="E1613" s="30" t="s">
        <v>4812</v>
      </c>
      <c r="F1613" s="454">
        <f t="shared" si="723"/>
        <v>22.6</v>
      </c>
      <c r="G1613" s="529">
        <v>22.6</v>
      </c>
      <c r="H1613" s="487">
        <f t="shared" si="724"/>
        <v>18.079999999999998</v>
      </c>
      <c r="I1613" s="706"/>
      <c r="J1613" s="669" t="s">
        <v>5805</v>
      </c>
      <c r="K1613" s="15"/>
      <c r="L1613"/>
      <c r="M1613" s="49">
        <f t="shared" si="725"/>
        <v>22.6</v>
      </c>
      <c r="N1613" s="41">
        <v>9.6</v>
      </c>
      <c r="O1613" s="187" t="s">
        <v>1017</v>
      </c>
      <c r="P1613" s="183"/>
      <c r="Q1613" s="184"/>
      <c r="R1613" s="184"/>
      <c r="S1613" s="184" t="s">
        <v>4180</v>
      </c>
      <c r="T1613" s="178" t="s">
        <v>4180</v>
      </c>
      <c r="U1613" s="185" t="s">
        <v>1017</v>
      </c>
      <c r="V1613" s="184"/>
      <c r="W1613" s="180"/>
      <c r="X1613" s="180"/>
      <c r="Z1613" s="180"/>
      <c r="AA1613" s="184" t="s">
        <v>1017</v>
      </c>
      <c r="AB1613" s="184"/>
      <c r="AC1613" s="180"/>
      <c r="AD1613" s="182"/>
      <c r="AE1613" s="181" t="s">
        <v>1017</v>
      </c>
      <c r="AF1613" s="180"/>
      <c r="AG1613" s="201"/>
      <c r="AH1613" s="212" t="str">
        <f t="shared" si="732"/>
        <v/>
      </c>
      <c r="AI1613" s="214" t="str">
        <f t="shared" si="718"/>
        <v/>
      </c>
      <c r="AJ1613" s="214" t="str">
        <f t="shared" si="719"/>
        <v/>
      </c>
      <c r="AK1613" s="214" t="str">
        <f t="shared" si="720"/>
        <v/>
      </c>
      <c r="AL1613" s="214" t="str">
        <f t="shared" si="721"/>
        <v/>
      </c>
      <c r="AM1613" s="214" t="str">
        <f t="shared" si="722"/>
        <v/>
      </c>
      <c r="AN1613" s="213" t="str">
        <f t="shared" si="704"/>
        <v/>
      </c>
      <c r="AO1613" s="213" t="str">
        <f t="shared" si="705"/>
        <v/>
      </c>
      <c r="AP1613" s="213" t="str">
        <f t="shared" si="706"/>
        <v/>
      </c>
      <c r="AQ1613" s="215" t="str">
        <f t="shared" si="707"/>
        <v/>
      </c>
      <c r="AR1613" s="216" t="str">
        <f t="shared" si="708"/>
        <v>BiK82M2bKWKy06</v>
      </c>
      <c r="AS1613" s="215" t="str">
        <f t="shared" si="709"/>
        <v/>
      </c>
      <c r="AT1613">
        <f t="shared" si="710"/>
        <v>14</v>
      </c>
      <c r="AU1613" s="216" t="str">
        <f t="shared" si="711"/>
        <v>0,15-0,5 MW, Bonusregeln M2, y, b und KWK</v>
      </c>
      <c r="AV1613" s="215" t="str">
        <f t="shared" si="712"/>
        <v/>
      </c>
      <c r="AW1613" s="216" t="str">
        <f t="shared" si="713"/>
        <v>Anteil KWK</v>
      </c>
      <c r="AX1613" s="215" t="str">
        <f t="shared" si="714"/>
        <v/>
      </c>
      <c r="AY1613" t="str">
        <f t="shared" si="715"/>
        <v/>
      </c>
      <c r="AZ1613" t="str">
        <f t="shared" si="716"/>
        <v/>
      </c>
    </row>
    <row r="1614" spans="1:52" s="178" customFormat="1" x14ac:dyDescent="0.25">
      <c r="A1614" s="610" t="s">
        <v>4719</v>
      </c>
      <c r="B1614" s="30" t="s">
        <v>5548</v>
      </c>
      <c r="C1614" s="30" t="s">
        <v>1296</v>
      </c>
      <c r="D1614" s="109" t="s">
        <v>7181</v>
      </c>
      <c r="E1614" s="30" t="s">
        <v>4331</v>
      </c>
      <c r="F1614" s="454">
        <f t="shared" si="723"/>
        <v>23.6</v>
      </c>
      <c r="G1614" s="529">
        <v>23.6</v>
      </c>
      <c r="H1614" s="487">
        <f t="shared" si="724"/>
        <v>18.88</v>
      </c>
      <c r="I1614" s="706"/>
      <c r="J1614" s="669" t="s">
        <v>5805</v>
      </c>
      <c r="K1614" s="15"/>
      <c r="L1614"/>
      <c r="M1614" s="49">
        <f t="shared" si="725"/>
        <v>23.6</v>
      </c>
      <c r="N1614" s="41">
        <v>9.6</v>
      </c>
      <c r="O1614" s="187"/>
      <c r="P1614" s="184" t="s">
        <v>1017</v>
      </c>
      <c r="Q1614" s="184"/>
      <c r="R1614" s="184"/>
      <c r="S1614" s="184" t="s">
        <v>4180</v>
      </c>
      <c r="T1614" s="178" t="s">
        <v>4180</v>
      </c>
      <c r="U1614" s="185" t="s">
        <v>1017</v>
      </c>
      <c r="V1614" s="184"/>
      <c r="W1614" s="180"/>
      <c r="X1614" s="180"/>
      <c r="Z1614" s="180"/>
      <c r="AA1614" s="184" t="s">
        <v>1017</v>
      </c>
      <c r="AB1614" s="184"/>
      <c r="AC1614" s="180"/>
      <c r="AD1614" s="182"/>
      <c r="AE1614" s="181" t="s">
        <v>1017</v>
      </c>
      <c r="AF1614" s="180"/>
      <c r="AG1614" s="201"/>
      <c r="AH1614" s="212" t="str">
        <f t="shared" si="732"/>
        <v/>
      </c>
      <c r="AI1614" s="214" t="str">
        <f t="shared" si="718"/>
        <v/>
      </c>
      <c r="AJ1614" s="214" t="str">
        <f t="shared" si="719"/>
        <v/>
      </c>
      <c r="AK1614" s="214" t="str">
        <f t="shared" si="720"/>
        <v/>
      </c>
      <c r="AL1614" s="214" t="str">
        <f t="shared" si="721"/>
        <v/>
      </c>
      <c r="AM1614" s="214" t="str">
        <f t="shared" si="722"/>
        <v/>
      </c>
      <c r="AN1614" s="213" t="str">
        <f t="shared" si="704"/>
        <v/>
      </c>
      <c r="AO1614" s="213" t="str">
        <f t="shared" si="705"/>
        <v/>
      </c>
      <c r="AP1614" s="213" t="str">
        <f t="shared" si="706"/>
        <v/>
      </c>
      <c r="AQ1614" s="215" t="str">
        <f t="shared" si="707"/>
        <v/>
      </c>
      <c r="AR1614" s="216" t="str">
        <f t="shared" si="708"/>
        <v>BiK82M2bKA3y06</v>
      </c>
      <c r="AS1614" s="215" t="str">
        <f t="shared" si="709"/>
        <v/>
      </c>
      <c r="AT1614">
        <f t="shared" si="710"/>
        <v>14</v>
      </c>
      <c r="AU1614" s="216" t="str">
        <f t="shared" si="711"/>
        <v>0,15-0,5 MW, Bonusregeln M2, y, b und K wenn Anlage 3 erfüllt</v>
      </c>
      <c r="AV1614" s="215" t="str">
        <f t="shared" si="712"/>
        <v/>
      </c>
      <c r="AW1614" s="216" t="str">
        <f t="shared" si="713"/>
        <v>Anteil KWK gemäß Anlage 3</v>
      </c>
      <c r="AX1614" s="215" t="str">
        <f t="shared" si="714"/>
        <v/>
      </c>
      <c r="AY1614" t="str">
        <f t="shared" si="715"/>
        <v/>
      </c>
      <c r="AZ1614" t="str">
        <f t="shared" si="716"/>
        <v/>
      </c>
    </row>
    <row r="1615" spans="1:52" s="178" customFormat="1" x14ac:dyDescent="0.25">
      <c r="A1615" s="610" t="s">
        <v>4720</v>
      </c>
      <c r="B1615" s="30" t="s">
        <v>5548</v>
      </c>
      <c r="C1615" s="30" t="s">
        <v>1296</v>
      </c>
      <c r="D1615" s="30" t="s">
        <v>7182</v>
      </c>
      <c r="E1615" s="30" t="s">
        <v>674</v>
      </c>
      <c r="F1615" s="454">
        <f t="shared" si="723"/>
        <v>23.6</v>
      </c>
      <c r="G1615" s="529">
        <v>23.6</v>
      </c>
      <c r="H1615" s="487">
        <f t="shared" si="724"/>
        <v>18.88</v>
      </c>
      <c r="I1615" s="706"/>
      <c r="J1615" s="669" t="s">
        <v>5805</v>
      </c>
      <c r="K1615" s="15"/>
      <c r="L1615"/>
      <c r="M1615" s="49">
        <f t="shared" si="725"/>
        <v>23.6</v>
      </c>
      <c r="N1615" s="41">
        <v>9.6</v>
      </c>
      <c r="O1615" s="187"/>
      <c r="P1615" s="183"/>
      <c r="Q1615" s="184" t="s">
        <v>1017</v>
      </c>
      <c r="R1615" s="184"/>
      <c r="S1615" s="184" t="s">
        <v>4180</v>
      </c>
      <c r="T1615" s="178" t="s">
        <v>4180</v>
      </c>
      <c r="U1615" s="185" t="s">
        <v>1017</v>
      </c>
      <c r="V1615" s="184"/>
      <c r="W1615" s="180"/>
      <c r="X1615" s="180"/>
      <c r="Z1615" s="180"/>
      <c r="AA1615" s="184" t="s">
        <v>1017</v>
      </c>
      <c r="AB1615" s="184"/>
      <c r="AC1615" s="180"/>
      <c r="AD1615" s="182"/>
      <c r="AE1615" s="181" t="s">
        <v>1017</v>
      </c>
      <c r="AF1615" s="180"/>
      <c r="AG1615" s="201"/>
      <c r="AH1615" s="212" t="str">
        <f t="shared" si="732"/>
        <v/>
      </c>
      <c r="AI1615" s="214" t="str">
        <f t="shared" si="718"/>
        <v/>
      </c>
      <c r="AJ1615" s="214" t="str">
        <f t="shared" si="719"/>
        <v/>
      </c>
      <c r="AK1615" s="214" t="str">
        <f t="shared" si="720"/>
        <v/>
      </c>
      <c r="AL1615" s="214" t="str">
        <f t="shared" si="721"/>
        <v/>
      </c>
      <c r="AM1615" s="214" t="str">
        <f t="shared" si="722"/>
        <v/>
      </c>
      <c r="AN1615" s="213" t="str">
        <f t="shared" si="704"/>
        <v/>
      </c>
      <c r="AO1615" s="213" t="str">
        <f t="shared" si="705"/>
        <v/>
      </c>
      <c r="AP1615" s="213" t="str">
        <f t="shared" si="706"/>
        <v/>
      </c>
      <c r="AQ1615" s="215" t="str">
        <f t="shared" si="707"/>
        <v/>
      </c>
      <c r="AR1615" s="216" t="str">
        <f t="shared" si="708"/>
        <v>BiK82M2bK09y06</v>
      </c>
      <c r="AS1615" s="215" t="str">
        <f t="shared" si="709"/>
        <v/>
      </c>
      <c r="AT1615">
        <f t="shared" si="710"/>
        <v>14</v>
      </c>
      <c r="AU1615" s="216" t="str">
        <f t="shared" si="711"/>
        <v>0,15-0,5 MW, Bonusregeln M2, y, b und K erstmals 2009</v>
      </c>
      <c r="AV1615" s="215" t="str">
        <f t="shared" si="712"/>
        <v/>
      </c>
      <c r="AW1615" s="216" t="str">
        <f t="shared" si="713"/>
        <v>Anteil KWK, erstmals 2009</v>
      </c>
      <c r="AX1615" s="215" t="str">
        <f t="shared" si="714"/>
        <v/>
      </c>
      <c r="AY1615" t="str">
        <f t="shared" si="715"/>
        <v/>
      </c>
      <c r="AZ1615" t="str">
        <f t="shared" si="716"/>
        <v/>
      </c>
    </row>
    <row r="1616" spans="1:52" s="178" customFormat="1" x14ac:dyDescent="0.25">
      <c r="A1616" s="610" t="s">
        <v>4928</v>
      </c>
      <c r="B1616" s="30" t="s">
        <v>5548</v>
      </c>
      <c r="C1616" s="30" t="s">
        <v>1296</v>
      </c>
      <c r="D1616" s="30" t="s">
        <v>7183</v>
      </c>
      <c r="E1616" s="30" t="s">
        <v>3567</v>
      </c>
      <c r="F1616" s="454">
        <f t="shared" si="723"/>
        <v>23.57</v>
      </c>
      <c r="G1616" s="529">
        <v>23.57</v>
      </c>
      <c r="H1616" s="487">
        <f t="shared" si="724"/>
        <v>18.86</v>
      </c>
      <c r="I1616" s="706"/>
      <c r="J1616" s="669" t="s">
        <v>5805</v>
      </c>
      <c r="K1616" s="15"/>
      <c r="L1616"/>
      <c r="M1616" s="49">
        <f t="shared" si="725"/>
        <v>23.57</v>
      </c>
      <c r="N1616" s="41">
        <v>9.6</v>
      </c>
      <c r="O1616" s="187"/>
      <c r="P1616" s="183"/>
      <c r="Q1616" s="184"/>
      <c r="R1616" s="184" t="s">
        <v>1017</v>
      </c>
      <c r="S1616" s="184" t="s">
        <v>4180</v>
      </c>
      <c r="T1616" s="178" t="s">
        <v>4180</v>
      </c>
      <c r="U1616" s="185" t="s">
        <v>1017</v>
      </c>
      <c r="V1616" s="184"/>
      <c r="W1616" s="180"/>
      <c r="X1616" s="180"/>
      <c r="Z1616" s="180"/>
      <c r="AA1616" s="184" t="s">
        <v>1017</v>
      </c>
      <c r="AB1616" s="184"/>
      <c r="AC1616" s="180"/>
      <c r="AD1616" s="182"/>
      <c r="AE1616" s="181" t="s">
        <v>1017</v>
      </c>
      <c r="AF1616" s="180"/>
      <c r="AG1616" s="201"/>
      <c r="AH1616" s="212" t="str">
        <f t="shared" si="732"/>
        <v>2010</v>
      </c>
      <c r="AI1616" s="214" t="str">
        <f t="shared" si="718"/>
        <v/>
      </c>
      <c r="AJ1616" s="214" t="str">
        <f t="shared" si="719"/>
        <v/>
      </c>
      <c r="AK1616" s="214" t="str">
        <f t="shared" si="720"/>
        <v/>
      </c>
      <c r="AL1616" s="214" t="str">
        <f t="shared" si="721"/>
        <v/>
      </c>
      <c r="AM1616" s="214" t="str">
        <f t="shared" si="722"/>
        <v/>
      </c>
      <c r="AN1616" s="213" t="str">
        <f t="shared" si="704"/>
        <v>2010</v>
      </c>
      <c r="AO1616" s="213" t="str">
        <f t="shared" si="705"/>
        <v>2010</v>
      </c>
      <c r="AP1616" s="213" t="str">
        <f t="shared" si="706"/>
        <v>2010</v>
      </c>
      <c r="AQ1616" s="215" t="str">
        <f t="shared" si="707"/>
        <v/>
      </c>
      <c r="AR1616" s="216" t="str">
        <f t="shared" si="708"/>
        <v>BiK82M2bK10y06</v>
      </c>
      <c r="AS1616" s="215" t="str">
        <f t="shared" si="709"/>
        <v/>
      </c>
      <c r="AT1616">
        <f t="shared" si="710"/>
        <v>14</v>
      </c>
      <c r="AU1616" s="216" t="str">
        <f t="shared" si="711"/>
        <v>0,15-0,5 MW, Bonusregeln M2, y, b und K erstmals 2010</v>
      </c>
      <c r="AV1616" s="215" t="str">
        <f t="shared" si="712"/>
        <v/>
      </c>
      <c r="AW1616" s="216" t="str">
        <f t="shared" si="713"/>
        <v>Anteil KWK, erstmals 2010</v>
      </c>
      <c r="AX1616" s="215" t="str">
        <f t="shared" si="714"/>
        <v/>
      </c>
      <c r="AY1616" t="str">
        <f t="shared" si="715"/>
        <v/>
      </c>
      <c r="AZ1616" t="str">
        <f t="shared" si="716"/>
        <v/>
      </c>
    </row>
    <row r="1617" spans="1:52" s="178" customFormat="1" x14ac:dyDescent="0.25">
      <c r="A1617" s="610" t="s">
        <v>3975</v>
      </c>
      <c r="B1617" s="30" t="s">
        <v>5548</v>
      </c>
      <c r="C1617" s="30" t="s">
        <v>1296</v>
      </c>
      <c r="D1617" s="30" t="s">
        <v>7184</v>
      </c>
      <c r="E1617" s="30" t="s">
        <v>3055</v>
      </c>
      <c r="F1617" s="454">
        <f t="shared" si="723"/>
        <v>23.54</v>
      </c>
      <c r="G1617" s="529">
        <v>23.54</v>
      </c>
      <c r="H1617" s="487">
        <f t="shared" si="724"/>
        <v>18.829999999999998</v>
      </c>
      <c r="I1617" s="706"/>
      <c r="J1617" s="669" t="s">
        <v>5805</v>
      </c>
      <c r="K1617" s="15"/>
      <c r="L1617"/>
      <c r="M1617" s="49">
        <f t="shared" si="725"/>
        <v>23.54</v>
      </c>
      <c r="N1617" s="41">
        <v>9.6</v>
      </c>
      <c r="O1617" s="187"/>
      <c r="P1617" s="183"/>
      <c r="Q1617" s="184"/>
      <c r="S1617" s="184" t="s">
        <v>1017</v>
      </c>
      <c r="T1617" s="178" t="s">
        <v>4180</v>
      </c>
      <c r="U1617" s="185" t="s">
        <v>1017</v>
      </c>
      <c r="V1617" s="184"/>
      <c r="W1617" s="180"/>
      <c r="X1617" s="180"/>
      <c r="Z1617" s="180"/>
      <c r="AA1617" s="184" t="s">
        <v>1017</v>
      </c>
      <c r="AB1617" s="184"/>
      <c r="AC1617" s="180"/>
      <c r="AD1617" s="182"/>
      <c r="AE1617" s="181" t="s">
        <v>1017</v>
      </c>
      <c r="AF1617" s="180"/>
      <c r="AG1617" s="201"/>
      <c r="AH1617" s="212" t="str">
        <f t="shared" si="732"/>
        <v>2011</v>
      </c>
      <c r="AI1617" s="214" t="str">
        <f t="shared" si="718"/>
        <v/>
      </c>
      <c r="AJ1617" s="214" t="str">
        <f t="shared" si="719"/>
        <v/>
      </c>
      <c r="AK1617" s="214" t="str">
        <f t="shared" si="720"/>
        <v/>
      </c>
      <c r="AL1617" s="214" t="str">
        <f t="shared" si="721"/>
        <v/>
      </c>
      <c r="AM1617" s="214" t="str">
        <f t="shared" si="722"/>
        <v/>
      </c>
      <c r="AN1617" s="213" t="str">
        <f t="shared" si="704"/>
        <v>2011</v>
      </c>
      <c r="AO1617" s="213" t="str">
        <f t="shared" si="705"/>
        <v>2011</v>
      </c>
      <c r="AP1617" s="213" t="str">
        <f t="shared" si="706"/>
        <v>2011</v>
      </c>
      <c r="AQ1617" s="215" t="str">
        <f t="shared" si="707"/>
        <v/>
      </c>
      <c r="AR1617" s="216" t="str">
        <f t="shared" si="708"/>
        <v>BiK82M2bK11y06</v>
      </c>
      <c r="AS1617" s="215" t="str">
        <f t="shared" si="709"/>
        <v/>
      </c>
      <c r="AT1617">
        <f t="shared" si="710"/>
        <v>14</v>
      </c>
      <c r="AU1617" s="216" t="str">
        <f t="shared" si="711"/>
        <v>0,15-0,5 MW, Bonusregeln M2, y, b und K erstmals 2011</v>
      </c>
      <c r="AV1617" s="215" t="str">
        <f t="shared" si="712"/>
        <v/>
      </c>
      <c r="AW1617" s="216" t="str">
        <f t="shared" si="713"/>
        <v>Anteil KWK, erstmals 2011</v>
      </c>
      <c r="AX1617" s="215" t="str">
        <f t="shared" si="714"/>
        <v/>
      </c>
      <c r="AY1617" t="str">
        <f t="shared" si="715"/>
        <v>x</v>
      </c>
      <c r="AZ1617" t="str">
        <f t="shared" si="716"/>
        <v/>
      </c>
    </row>
    <row r="1618" spans="1:52" s="178" customFormat="1" x14ac:dyDescent="0.25">
      <c r="A1618" s="625" t="s">
        <v>1797</v>
      </c>
      <c r="B1618" s="219" t="s">
        <v>5548</v>
      </c>
      <c r="C1618" s="219" t="s">
        <v>1296</v>
      </c>
      <c r="D1618" s="219" t="s">
        <v>7185</v>
      </c>
      <c r="E1618" s="219" t="s">
        <v>1980</v>
      </c>
      <c r="F1618" s="455">
        <f t="shared" si="723"/>
        <v>23.509999999999998</v>
      </c>
      <c r="G1618" s="530">
        <v>23.509999999999998</v>
      </c>
      <c r="H1618" s="488">
        <f t="shared" si="724"/>
        <v>18.809999999999999</v>
      </c>
      <c r="I1618" s="707"/>
      <c r="J1618" s="669" t="s">
        <v>5805</v>
      </c>
      <c r="K1618" s="15"/>
      <c r="L1618"/>
      <c r="M1618" s="49">
        <f t="shared" si="725"/>
        <v>23.509999999999998</v>
      </c>
      <c r="N1618" s="41">
        <v>9.6</v>
      </c>
      <c r="O1618" s="187"/>
      <c r="P1618" s="183"/>
      <c r="Q1618" s="184"/>
      <c r="S1618" s="184" t="s">
        <v>4180</v>
      </c>
      <c r="T1618" s="178" t="s">
        <v>1017</v>
      </c>
      <c r="U1618" s="185" t="s">
        <v>1017</v>
      </c>
      <c r="V1618" s="184"/>
      <c r="W1618" s="180"/>
      <c r="X1618" s="180"/>
      <c r="Z1618" s="180"/>
      <c r="AA1618" s="184" t="s">
        <v>1017</v>
      </c>
      <c r="AB1618" s="184"/>
      <c r="AC1618" s="180"/>
      <c r="AD1618" s="182"/>
      <c r="AE1618" s="181" t="s">
        <v>1017</v>
      </c>
      <c r="AF1618" s="180"/>
      <c r="AG1618" s="201"/>
      <c r="AH1618" s="217" t="s">
        <v>4179</v>
      </c>
      <c r="AI1618" s="214" t="str">
        <f t="shared" si="718"/>
        <v/>
      </c>
      <c r="AJ1618" s="214" t="str">
        <f t="shared" si="719"/>
        <v/>
      </c>
      <c r="AK1618" s="214" t="str">
        <f t="shared" si="720"/>
        <v/>
      </c>
      <c r="AL1618" s="214" t="str">
        <f t="shared" si="721"/>
        <v/>
      </c>
      <c r="AM1618" s="214" t="str">
        <f t="shared" si="722"/>
        <v/>
      </c>
      <c r="AN1618" s="213" t="str">
        <f t="shared" si="704"/>
        <v>2012</v>
      </c>
      <c r="AO1618" s="213" t="str">
        <f t="shared" si="705"/>
        <v>2012</v>
      </c>
      <c r="AP1618" s="213" t="str">
        <f t="shared" si="706"/>
        <v>2012</v>
      </c>
      <c r="AQ1618" s="215" t="str">
        <f t="shared" si="707"/>
        <v/>
      </c>
      <c r="AR1618" s="216" t="str">
        <f t="shared" si="708"/>
        <v>BiK82M2bK12y06</v>
      </c>
      <c r="AS1618" s="215" t="str">
        <f t="shared" si="709"/>
        <v/>
      </c>
      <c r="AT1618">
        <f t="shared" si="710"/>
        <v>14</v>
      </c>
      <c r="AU1618" s="216" t="str">
        <f t="shared" si="711"/>
        <v>0,15-0,5 MW, Bonusregeln M2, y, b und K erstmals 2012</v>
      </c>
      <c r="AV1618" s="215" t="str">
        <f t="shared" si="712"/>
        <v/>
      </c>
      <c r="AW1618" s="216" t="str">
        <f t="shared" si="713"/>
        <v>Anteil KWK, erstmals 2012</v>
      </c>
      <c r="AX1618" s="215" t="str">
        <f t="shared" si="714"/>
        <v/>
      </c>
      <c r="AY1618" t="str">
        <f t="shared" si="715"/>
        <v/>
      </c>
      <c r="AZ1618" t="str">
        <f t="shared" si="716"/>
        <v>x</v>
      </c>
    </row>
    <row r="1619" spans="1:52" s="178" customFormat="1" x14ac:dyDescent="0.25">
      <c r="A1619" s="610" t="s">
        <v>1218</v>
      </c>
      <c r="B1619" s="30" t="s">
        <v>5548</v>
      </c>
      <c r="C1619" s="30" t="s">
        <v>1296</v>
      </c>
      <c r="D1619" s="30" t="s">
        <v>7186</v>
      </c>
      <c r="E1619" s="30" t="s">
        <v>4810</v>
      </c>
      <c r="F1619" s="454">
        <f t="shared" si="723"/>
        <v>20.6</v>
      </c>
      <c r="G1619" s="529">
        <v>20.6</v>
      </c>
      <c r="H1619" s="487">
        <f t="shared" si="724"/>
        <v>16.48</v>
      </c>
      <c r="I1619" s="706"/>
      <c r="J1619" s="669" t="s">
        <v>5805</v>
      </c>
      <c r="K1619" s="15"/>
      <c r="L1619"/>
      <c r="M1619" s="49">
        <f t="shared" si="725"/>
        <v>20.6</v>
      </c>
      <c r="N1619" s="41">
        <v>9.6</v>
      </c>
      <c r="O1619" s="186"/>
      <c r="P1619" s="177"/>
      <c r="S1619" s="178" t="s">
        <v>4180</v>
      </c>
      <c r="T1619" s="178" t="s">
        <v>4180</v>
      </c>
      <c r="U1619" s="179"/>
      <c r="W1619" s="180"/>
      <c r="X1619" s="180"/>
      <c r="Z1619" s="180"/>
      <c r="AA1619" s="184"/>
      <c r="AB1619" s="178" t="s">
        <v>1017</v>
      </c>
      <c r="AC1619" s="180"/>
      <c r="AD1619" s="182"/>
      <c r="AE1619" s="181" t="s">
        <v>1017</v>
      </c>
      <c r="AF1619" s="180"/>
      <c r="AG1619" s="201"/>
      <c r="AH1619" s="212" t="str">
        <f t="shared" ref="AH1619:AH1624" si="733">IF(ISERROR(SEARCH("K erstmals 201",D1619)),"",RIGHT(D1619,4))</f>
        <v/>
      </c>
      <c r="AI1619" s="214" t="str">
        <f t="shared" si="718"/>
        <v/>
      </c>
      <c r="AJ1619" s="214" t="str">
        <f t="shared" si="719"/>
        <v/>
      </c>
      <c r="AK1619" s="214" t="str">
        <f t="shared" si="720"/>
        <v/>
      </c>
      <c r="AL1619" s="214" t="str">
        <f t="shared" si="721"/>
        <v/>
      </c>
      <c r="AM1619" s="214" t="str">
        <f t="shared" si="722"/>
        <v/>
      </c>
      <c r="AN1619" s="213" t="str">
        <f t="shared" si="704"/>
        <v/>
      </c>
      <c r="AO1619" s="213" t="str">
        <f t="shared" si="705"/>
        <v/>
      </c>
      <c r="AP1619" s="213" t="str">
        <f t="shared" si="706"/>
        <v/>
      </c>
      <c r="AQ1619" s="215" t="str">
        <f t="shared" si="707"/>
        <v/>
      </c>
      <c r="AR1619" s="216" t="str">
        <f t="shared" si="708"/>
        <v>BiK82Lb-----06</v>
      </c>
      <c r="AS1619" s="215" t="str">
        <f t="shared" si="709"/>
        <v/>
      </c>
      <c r="AT1619">
        <f t="shared" si="710"/>
        <v>14</v>
      </c>
      <c r="AU1619" s="216" t="str">
        <f t="shared" si="711"/>
        <v>0,15-0,5 MW, Bonusregeln L, b</v>
      </c>
      <c r="AV1619" s="215" t="str">
        <f t="shared" si="712"/>
        <v/>
      </c>
      <c r="AW1619" s="216" t="str">
        <f t="shared" si="713"/>
        <v>Anteil Nicht-KWK</v>
      </c>
      <c r="AX1619" s="215" t="str">
        <f t="shared" si="714"/>
        <v/>
      </c>
      <c r="AY1619" t="str">
        <f t="shared" si="715"/>
        <v/>
      </c>
      <c r="AZ1619" t="str">
        <f t="shared" si="716"/>
        <v/>
      </c>
    </row>
    <row r="1620" spans="1:52" s="178" customFormat="1" x14ac:dyDescent="0.25">
      <c r="A1620" s="610" t="s">
        <v>1219</v>
      </c>
      <c r="B1620" s="30" t="s">
        <v>5548</v>
      </c>
      <c r="C1620" s="30" t="s">
        <v>1296</v>
      </c>
      <c r="D1620" s="30" t="s">
        <v>7187</v>
      </c>
      <c r="E1620" s="30" t="s">
        <v>4812</v>
      </c>
      <c r="F1620" s="454">
        <f t="shared" si="723"/>
        <v>22.6</v>
      </c>
      <c r="G1620" s="529">
        <v>22.6</v>
      </c>
      <c r="H1620" s="487">
        <f t="shared" si="724"/>
        <v>18.079999999999998</v>
      </c>
      <c r="I1620" s="706"/>
      <c r="J1620" s="669" t="s">
        <v>5805</v>
      </c>
      <c r="K1620" s="15"/>
      <c r="L1620"/>
      <c r="M1620" s="49">
        <f t="shared" si="725"/>
        <v>22.6</v>
      </c>
      <c r="N1620" s="41">
        <v>9.6</v>
      </c>
      <c r="O1620" s="186" t="s">
        <v>1017</v>
      </c>
      <c r="P1620" s="177"/>
      <c r="S1620" s="178" t="s">
        <v>4180</v>
      </c>
      <c r="T1620" s="178" t="s">
        <v>4180</v>
      </c>
      <c r="U1620" s="179"/>
      <c r="W1620" s="180"/>
      <c r="X1620" s="180"/>
      <c r="Z1620" s="180"/>
      <c r="AA1620" s="184"/>
      <c r="AB1620" s="178" t="s">
        <v>1017</v>
      </c>
      <c r="AC1620" s="180"/>
      <c r="AD1620" s="182"/>
      <c r="AE1620" s="181" t="s">
        <v>1017</v>
      </c>
      <c r="AF1620" s="180"/>
      <c r="AG1620" s="201"/>
      <c r="AH1620" s="212" t="str">
        <f t="shared" si="733"/>
        <v/>
      </c>
      <c r="AI1620" s="214" t="str">
        <f t="shared" si="718"/>
        <v/>
      </c>
      <c r="AJ1620" s="214" t="str">
        <f t="shared" si="719"/>
        <v/>
      </c>
      <c r="AK1620" s="214" t="str">
        <f t="shared" si="720"/>
        <v/>
      </c>
      <c r="AL1620" s="214" t="str">
        <f t="shared" si="721"/>
        <v/>
      </c>
      <c r="AM1620" s="214" t="str">
        <f t="shared" si="722"/>
        <v/>
      </c>
      <c r="AN1620" s="213" t="str">
        <f t="shared" si="704"/>
        <v/>
      </c>
      <c r="AO1620" s="213" t="str">
        <f t="shared" si="705"/>
        <v/>
      </c>
      <c r="AP1620" s="213" t="str">
        <f t="shared" si="706"/>
        <v/>
      </c>
      <c r="AQ1620" s="215" t="str">
        <f t="shared" si="707"/>
        <v/>
      </c>
      <c r="AR1620" s="216" t="str">
        <f t="shared" si="708"/>
        <v>BiK82LbKWK--06</v>
      </c>
      <c r="AS1620" s="215" t="str">
        <f t="shared" si="709"/>
        <v/>
      </c>
      <c r="AT1620">
        <f t="shared" si="710"/>
        <v>14</v>
      </c>
      <c r="AU1620" s="216" t="str">
        <f t="shared" si="711"/>
        <v>0,15-0,5 MW, Bonusregeln L, b und KWK</v>
      </c>
      <c r="AV1620" s="215" t="str">
        <f t="shared" si="712"/>
        <v/>
      </c>
      <c r="AW1620" s="216" t="str">
        <f t="shared" si="713"/>
        <v>Anteil KWK</v>
      </c>
      <c r="AX1620" s="215" t="str">
        <f t="shared" si="714"/>
        <v/>
      </c>
      <c r="AY1620" t="str">
        <f t="shared" si="715"/>
        <v/>
      </c>
      <c r="AZ1620" t="str">
        <f t="shared" si="716"/>
        <v/>
      </c>
    </row>
    <row r="1621" spans="1:52" x14ac:dyDescent="0.25">
      <c r="A1621" s="610" t="s">
        <v>1220</v>
      </c>
      <c r="B1621" s="30" t="s">
        <v>5548</v>
      </c>
      <c r="C1621" s="30" t="s">
        <v>1296</v>
      </c>
      <c r="D1621" s="30" t="s">
        <v>7188</v>
      </c>
      <c r="E1621" s="30" t="s">
        <v>4331</v>
      </c>
      <c r="F1621" s="454">
        <f t="shared" si="723"/>
        <v>23.6</v>
      </c>
      <c r="G1621" s="529">
        <v>23.6</v>
      </c>
      <c r="H1621" s="487">
        <f t="shared" si="724"/>
        <v>18.88</v>
      </c>
      <c r="I1621" s="706"/>
      <c r="J1621" s="669" t="s">
        <v>5805</v>
      </c>
      <c r="K1621" s="15"/>
      <c r="M1621" s="49">
        <f t="shared" si="725"/>
        <v>23.6</v>
      </c>
      <c r="N1621" s="41">
        <v>9.6</v>
      </c>
      <c r="O1621" s="186"/>
      <c r="P1621" s="178" t="s">
        <v>1017</v>
      </c>
      <c r="Q1621" s="178"/>
      <c r="R1621" s="178"/>
      <c r="S1621" s="178" t="s">
        <v>4180</v>
      </c>
      <c r="T1621" t="s">
        <v>4180</v>
      </c>
      <c r="U1621" s="179"/>
      <c r="V1621" s="178"/>
      <c r="W1621" s="180"/>
      <c r="X1621" s="180"/>
      <c r="Y1621" s="178"/>
      <c r="Z1621" s="180"/>
      <c r="AA1621" s="184"/>
      <c r="AB1621" s="178" t="s">
        <v>1017</v>
      </c>
      <c r="AC1621" s="180"/>
      <c r="AD1621" s="182"/>
      <c r="AE1621" s="181" t="s">
        <v>1017</v>
      </c>
      <c r="AF1621" s="180"/>
      <c r="AG1621" s="201"/>
      <c r="AH1621" s="212" t="str">
        <f t="shared" si="733"/>
        <v/>
      </c>
      <c r="AI1621" s="214" t="str">
        <f t="shared" si="718"/>
        <v/>
      </c>
      <c r="AJ1621" s="214" t="str">
        <f t="shared" si="719"/>
        <v/>
      </c>
      <c r="AK1621" s="214" t="str">
        <f t="shared" si="720"/>
        <v/>
      </c>
      <c r="AL1621" s="214" t="str">
        <f t="shared" si="721"/>
        <v/>
      </c>
      <c r="AM1621" s="214" t="str">
        <f t="shared" si="722"/>
        <v/>
      </c>
      <c r="AN1621" s="213" t="str">
        <f t="shared" si="704"/>
        <v/>
      </c>
      <c r="AO1621" s="213" t="str">
        <f t="shared" si="705"/>
        <v/>
      </c>
      <c r="AP1621" s="213" t="str">
        <f t="shared" si="706"/>
        <v/>
      </c>
      <c r="AQ1621" s="215" t="str">
        <f t="shared" si="707"/>
        <v/>
      </c>
      <c r="AR1621" s="216" t="str">
        <f t="shared" si="708"/>
        <v>BiK82LbKA3--06</v>
      </c>
      <c r="AS1621" s="215" t="str">
        <f t="shared" si="709"/>
        <v/>
      </c>
      <c r="AT1621">
        <f t="shared" si="710"/>
        <v>14</v>
      </c>
      <c r="AU1621" s="216" t="str">
        <f t="shared" si="711"/>
        <v>0,15-0,5 MW, Bonusregeln L, b und K wenn Anlage 3 erfüllt</v>
      </c>
      <c r="AV1621" s="215" t="str">
        <f t="shared" si="712"/>
        <v/>
      </c>
      <c r="AW1621" s="216" t="str">
        <f t="shared" si="713"/>
        <v>Anteil KWK gemäß Anlage 3</v>
      </c>
      <c r="AX1621" s="215" t="str">
        <f t="shared" si="714"/>
        <v/>
      </c>
      <c r="AY1621" t="str">
        <f t="shared" si="715"/>
        <v/>
      </c>
      <c r="AZ1621" t="str">
        <f t="shared" si="716"/>
        <v/>
      </c>
    </row>
    <row r="1622" spans="1:52" x14ac:dyDescent="0.25">
      <c r="A1622" s="610" t="s">
        <v>1221</v>
      </c>
      <c r="B1622" s="30" t="s">
        <v>5548</v>
      </c>
      <c r="C1622" s="30" t="s">
        <v>1296</v>
      </c>
      <c r="D1622" s="30" t="s">
        <v>7189</v>
      </c>
      <c r="E1622" s="30" t="s">
        <v>674</v>
      </c>
      <c r="F1622" s="454">
        <f t="shared" si="723"/>
        <v>23.6</v>
      </c>
      <c r="G1622" s="529">
        <v>23.6</v>
      </c>
      <c r="H1622" s="487">
        <f t="shared" si="724"/>
        <v>18.88</v>
      </c>
      <c r="I1622" s="706"/>
      <c r="J1622" s="669" t="s">
        <v>5805</v>
      </c>
      <c r="K1622" s="15"/>
      <c r="M1622" s="49">
        <f t="shared" si="725"/>
        <v>23.6</v>
      </c>
      <c r="N1622" s="41">
        <v>9.6</v>
      </c>
      <c r="O1622" s="186"/>
      <c r="P1622" s="177"/>
      <c r="Q1622" s="178" t="s">
        <v>1017</v>
      </c>
      <c r="R1622" s="178"/>
      <c r="S1622" s="178" t="s">
        <v>4180</v>
      </c>
      <c r="T1622" t="s">
        <v>4180</v>
      </c>
      <c r="U1622" s="179"/>
      <c r="V1622" s="178"/>
      <c r="W1622" s="180"/>
      <c r="X1622" s="180"/>
      <c r="Y1622" s="178"/>
      <c r="Z1622" s="180"/>
      <c r="AA1622" s="184"/>
      <c r="AB1622" s="178" t="s">
        <v>1017</v>
      </c>
      <c r="AC1622" s="180"/>
      <c r="AD1622" s="182"/>
      <c r="AE1622" s="181" t="s">
        <v>1017</v>
      </c>
      <c r="AF1622" s="180"/>
      <c r="AG1622" s="201"/>
      <c r="AH1622" s="212" t="str">
        <f t="shared" si="733"/>
        <v/>
      </c>
      <c r="AI1622" s="214" t="str">
        <f t="shared" si="718"/>
        <v/>
      </c>
      <c r="AJ1622" s="214" t="str">
        <f t="shared" si="719"/>
        <v/>
      </c>
      <c r="AK1622" s="214" t="str">
        <f t="shared" si="720"/>
        <v/>
      </c>
      <c r="AL1622" s="214" t="str">
        <f t="shared" si="721"/>
        <v/>
      </c>
      <c r="AM1622" s="214" t="str">
        <f t="shared" si="722"/>
        <v/>
      </c>
      <c r="AN1622" s="213" t="str">
        <f t="shared" si="704"/>
        <v/>
      </c>
      <c r="AO1622" s="213" t="str">
        <f t="shared" si="705"/>
        <v/>
      </c>
      <c r="AP1622" s="213" t="str">
        <f t="shared" si="706"/>
        <v/>
      </c>
      <c r="AQ1622" s="215" t="str">
        <f t="shared" si="707"/>
        <v/>
      </c>
      <c r="AR1622" s="216" t="str">
        <f t="shared" si="708"/>
        <v>BiK82LbK09--06</v>
      </c>
      <c r="AS1622" s="215" t="str">
        <f t="shared" si="709"/>
        <v/>
      </c>
      <c r="AT1622">
        <f t="shared" si="710"/>
        <v>14</v>
      </c>
      <c r="AU1622" s="216" t="str">
        <f t="shared" si="711"/>
        <v>0,15-0,5 MW, Bonusregeln L, b und K erstmals 2009</v>
      </c>
      <c r="AV1622" s="215" t="str">
        <f t="shared" si="712"/>
        <v/>
      </c>
      <c r="AW1622" s="216" t="str">
        <f t="shared" si="713"/>
        <v>Anteil KWK, erstmals 2009</v>
      </c>
      <c r="AX1622" s="215" t="str">
        <f t="shared" si="714"/>
        <v/>
      </c>
      <c r="AY1622" t="str">
        <f t="shared" si="715"/>
        <v/>
      </c>
      <c r="AZ1622" t="str">
        <f t="shared" si="716"/>
        <v/>
      </c>
    </row>
    <row r="1623" spans="1:52" x14ac:dyDescent="0.25">
      <c r="A1623" s="610" t="s">
        <v>4929</v>
      </c>
      <c r="B1623" s="30" t="s">
        <v>5548</v>
      </c>
      <c r="C1623" s="30" t="s">
        <v>1296</v>
      </c>
      <c r="D1623" s="30" t="s">
        <v>7190</v>
      </c>
      <c r="E1623" s="30" t="s">
        <v>3567</v>
      </c>
      <c r="F1623" s="454">
        <f t="shared" si="723"/>
        <v>23.57</v>
      </c>
      <c r="G1623" s="529">
        <v>23.57</v>
      </c>
      <c r="H1623" s="487">
        <f t="shared" si="724"/>
        <v>18.86</v>
      </c>
      <c r="I1623" s="706"/>
      <c r="J1623" s="669" t="s">
        <v>5805</v>
      </c>
      <c r="K1623" s="15"/>
      <c r="M1623" s="49">
        <f t="shared" si="725"/>
        <v>23.57</v>
      </c>
      <c r="N1623" s="41">
        <v>9.6</v>
      </c>
      <c r="O1623" s="186"/>
      <c r="P1623" s="177"/>
      <c r="Q1623" s="178"/>
      <c r="R1623" s="178" t="s">
        <v>1017</v>
      </c>
      <c r="S1623" s="178" t="s">
        <v>4180</v>
      </c>
      <c r="T1623" t="s">
        <v>4180</v>
      </c>
      <c r="U1623" s="179"/>
      <c r="V1623" s="178"/>
      <c r="W1623" s="180"/>
      <c r="X1623" s="180"/>
      <c r="Y1623" s="178"/>
      <c r="Z1623" s="180"/>
      <c r="AA1623" s="184"/>
      <c r="AB1623" s="178" t="s">
        <v>1017</v>
      </c>
      <c r="AC1623" s="180"/>
      <c r="AD1623" s="182"/>
      <c r="AE1623" s="181" t="s">
        <v>1017</v>
      </c>
      <c r="AF1623" s="180"/>
      <c r="AG1623" s="201"/>
      <c r="AH1623" s="212" t="str">
        <f t="shared" si="733"/>
        <v>2010</v>
      </c>
      <c r="AI1623" s="214" t="str">
        <f t="shared" si="718"/>
        <v/>
      </c>
      <c r="AJ1623" s="214" t="str">
        <f t="shared" si="719"/>
        <v/>
      </c>
      <c r="AK1623" s="214" t="str">
        <f t="shared" si="720"/>
        <v/>
      </c>
      <c r="AL1623" s="214" t="str">
        <f t="shared" si="721"/>
        <v/>
      </c>
      <c r="AM1623" s="214" t="str">
        <f t="shared" si="722"/>
        <v/>
      </c>
      <c r="AN1623" s="213" t="str">
        <f t="shared" si="704"/>
        <v>2010</v>
      </c>
      <c r="AO1623" s="213" t="str">
        <f t="shared" si="705"/>
        <v>2010</v>
      </c>
      <c r="AP1623" s="213" t="str">
        <f t="shared" si="706"/>
        <v>2010</v>
      </c>
      <c r="AQ1623" s="215" t="str">
        <f t="shared" si="707"/>
        <v/>
      </c>
      <c r="AR1623" s="216" t="str">
        <f t="shared" si="708"/>
        <v>BiK82LbK10--06</v>
      </c>
      <c r="AS1623" s="215" t="str">
        <f t="shared" si="709"/>
        <v/>
      </c>
      <c r="AT1623">
        <f t="shared" si="710"/>
        <v>14</v>
      </c>
      <c r="AU1623" s="216" t="str">
        <f t="shared" si="711"/>
        <v>0,15-0,5 MW, Bonusregeln L, b und K erstmals 2010</v>
      </c>
      <c r="AV1623" s="215" t="str">
        <f t="shared" si="712"/>
        <v/>
      </c>
      <c r="AW1623" s="216" t="str">
        <f t="shared" si="713"/>
        <v>Anteil KWK, erstmals 2010</v>
      </c>
      <c r="AX1623" s="215" t="str">
        <f t="shared" si="714"/>
        <v/>
      </c>
      <c r="AY1623" t="str">
        <f t="shared" si="715"/>
        <v/>
      </c>
      <c r="AZ1623" t="str">
        <f t="shared" si="716"/>
        <v/>
      </c>
    </row>
    <row r="1624" spans="1:52" x14ac:dyDescent="0.25">
      <c r="A1624" s="610" t="s">
        <v>3976</v>
      </c>
      <c r="B1624" s="30" t="s">
        <v>5548</v>
      </c>
      <c r="C1624" s="30" t="s">
        <v>1296</v>
      </c>
      <c r="D1624" s="30" t="s">
        <v>7191</v>
      </c>
      <c r="E1624" s="30" t="s">
        <v>3055</v>
      </c>
      <c r="F1624" s="454">
        <f t="shared" si="723"/>
        <v>23.54</v>
      </c>
      <c r="G1624" s="529">
        <v>23.54</v>
      </c>
      <c r="H1624" s="487">
        <f t="shared" si="724"/>
        <v>18.829999999999998</v>
      </c>
      <c r="I1624" s="706"/>
      <c r="J1624" s="669" t="s">
        <v>5805</v>
      </c>
      <c r="K1624" s="15"/>
      <c r="M1624" s="49">
        <f t="shared" si="725"/>
        <v>23.54</v>
      </c>
      <c r="N1624" s="41">
        <v>9.6</v>
      </c>
      <c r="O1624" s="186"/>
      <c r="P1624" s="177"/>
      <c r="Q1624" s="178"/>
      <c r="R1624" s="178"/>
      <c r="S1624" s="178" t="s">
        <v>1017</v>
      </c>
      <c r="T1624" t="s">
        <v>4180</v>
      </c>
      <c r="U1624" s="179"/>
      <c r="V1624" s="178"/>
      <c r="W1624" s="180"/>
      <c r="X1624" s="180"/>
      <c r="Y1624" s="178"/>
      <c r="Z1624" s="180"/>
      <c r="AA1624" s="184"/>
      <c r="AB1624" s="178" t="s">
        <v>1017</v>
      </c>
      <c r="AC1624" s="180"/>
      <c r="AD1624" s="182"/>
      <c r="AE1624" s="181" t="s">
        <v>1017</v>
      </c>
      <c r="AF1624" s="180"/>
      <c r="AG1624" s="201"/>
      <c r="AH1624" s="212" t="str">
        <f t="shared" si="733"/>
        <v>2011</v>
      </c>
      <c r="AI1624" s="214" t="str">
        <f t="shared" si="718"/>
        <v/>
      </c>
      <c r="AJ1624" s="214" t="str">
        <f t="shared" si="719"/>
        <v/>
      </c>
      <c r="AK1624" s="214" t="str">
        <f t="shared" si="720"/>
        <v/>
      </c>
      <c r="AL1624" s="214" t="str">
        <f t="shared" si="721"/>
        <v/>
      </c>
      <c r="AM1624" s="214" t="str">
        <f t="shared" si="722"/>
        <v/>
      </c>
      <c r="AN1624" s="213" t="str">
        <f t="shared" si="704"/>
        <v>2011</v>
      </c>
      <c r="AO1624" s="213" t="str">
        <f t="shared" si="705"/>
        <v>2011</v>
      </c>
      <c r="AP1624" s="213" t="str">
        <f t="shared" si="706"/>
        <v>2011</v>
      </c>
      <c r="AQ1624" s="215" t="str">
        <f t="shared" si="707"/>
        <v/>
      </c>
      <c r="AR1624" s="216" t="str">
        <f t="shared" si="708"/>
        <v>BiK82LbK11--06</v>
      </c>
      <c r="AS1624" s="215" t="str">
        <f t="shared" si="709"/>
        <v/>
      </c>
      <c r="AT1624">
        <f t="shared" si="710"/>
        <v>14</v>
      </c>
      <c r="AU1624" s="216" t="str">
        <f t="shared" si="711"/>
        <v>0,15-0,5 MW, Bonusregeln L, b und K erstmals 2011</v>
      </c>
      <c r="AV1624" s="215" t="str">
        <f t="shared" si="712"/>
        <v/>
      </c>
      <c r="AW1624" s="216" t="str">
        <f t="shared" si="713"/>
        <v>Anteil KWK, erstmals 2011</v>
      </c>
      <c r="AX1624" s="215" t="str">
        <f t="shared" si="714"/>
        <v/>
      </c>
      <c r="AY1624" t="str">
        <f t="shared" si="715"/>
        <v>x</v>
      </c>
      <c r="AZ1624" t="str">
        <f t="shared" si="716"/>
        <v/>
      </c>
    </row>
    <row r="1625" spans="1:52" x14ac:dyDescent="0.25">
      <c r="A1625" s="625" t="s">
        <v>1798</v>
      </c>
      <c r="B1625" s="219" t="s">
        <v>5548</v>
      </c>
      <c r="C1625" s="219" t="s">
        <v>1296</v>
      </c>
      <c r="D1625" s="219" t="s">
        <v>7192</v>
      </c>
      <c r="E1625" s="219" t="s">
        <v>1980</v>
      </c>
      <c r="F1625" s="455">
        <f t="shared" si="723"/>
        <v>23.509999999999998</v>
      </c>
      <c r="G1625" s="530">
        <v>23.509999999999998</v>
      </c>
      <c r="H1625" s="488">
        <f t="shared" si="724"/>
        <v>18.809999999999999</v>
      </c>
      <c r="I1625" s="707"/>
      <c r="J1625" s="669" t="s">
        <v>5805</v>
      </c>
      <c r="K1625" s="15"/>
      <c r="M1625" s="49">
        <f t="shared" si="725"/>
        <v>23.509999999999998</v>
      </c>
      <c r="N1625" s="41">
        <v>9.6</v>
      </c>
      <c r="O1625" s="186"/>
      <c r="P1625" s="177"/>
      <c r="Q1625" s="178"/>
      <c r="R1625" s="178"/>
      <c r="S1625" s="178" t="s">
        <v>4180</v>
      </c>
      <c r="T1625" t="s">
        <v>1017</v>
      </c>
      <c r="U1625" s="179"/>
      <c r="V1625" s="178"/>
      <c r="W1625" s="180"/>
      <c r="X1625" s="180"/>
      <c r="Y1625" s="178"/>
      <c r="Z1625" s="180"/>
      <c r="AA1625" s="184"/>
      <c r="AB1625" s="178" t="s">
        <v>1017</v>
      </c>
      <c r="AC1625" s="180"/>
      <c r="AD1625" s="182"/>
      <c r="AE1625" s="181" t="s">
        <v>1017</v>
      </c>
      <c r="AF1625" s="180"/>
      <c r="AG1625" s="201"/>
      <c r="AH1625" s="217" t="s">
        <v>4179</v>
      </c>
      <c r="AI1625" s="214" t="str">
        <f t="shared" si="718"/>
        <v/>
      </c>
      <c r="AJ1625" s="214" t="str">
        <f t="shared" si="719"/>
        <v/>
      </c>
      <c r="AK1625" s="214" t="str">
        <f t="shared" si="720"/>
        <v/>
      </c>
      <c r="AL1625" s="214" t="str">
        <f t="shared" si="721"/>
        <v/>
      </c>
      <c r="AM1625" s="214" t="str">
        <f t="shared" si="722"/>
        <v/>
      </c>
      <c r="AN1625" s="213" t="str">
        <f t="shared" ref="AN1625:AN1688" si="734">IF(ISERROR(SEARCH("K1",A1625)),"","20"&amp;MID(A1625,SEARCH("K1",A1625)+1,2))</f>
        <v>2012</v>
      </c>
      <c r="AO1625" s="213" t="str">
        <f t="shared" ref="AO1625:AO1688" si="735">IF(ISERROR(SEARCH("erstmals 201",E1625)),"",MID(E1625,SEARCH("erstmals ",E1625)+9,4))</f>
        <v>2012</v>
      </c>
      <c r="AP1625" s="213" t="str">
        <f t="shared" ref="AP1625:AP1688" si="736">IF(R1625="x","2010",IF(S1625="x","2011",IF(T1625="x","2012","")))</f>
        <v>2012</v>
      </c>
      <c r="AQ1625" s="215" t="str">
        <f t="shared" ref="AQ1625:AQ1688" si="737">IF(OR(AH1625&lt;&gt;AN1625,AH1625&lt;&gt;AO1625,AH1625&lt;&gt;AP1625),"DIFF","")</f>
        <v/>
      </c>
      <c r="AR1625" s="216" t="str">
        <f t="shared" ref="AR1625:AR1688" si="738">IF(A1625="","",IF(ISERROR(SEARCH("K1",A1625)),A1625,LEFT(A1625,SEARCH("K1",A1625)+1)&amp;RIGHT(AH1625,1)&amp;MID(A1625,SEARCH("K1",A1625)+3,14)))</f>
        <v>BiK82LbK12--06</v>
      </c>
      <c r="AS1625" s="215" t="str">
        <f t="shared" ref="AS1625:AS1688" si="739">IF(OR(A1625&lt;&gt;AR1625),"DIFF","")</f>
        <v/>
      </c>
      <c r="AT1625">
        <f t="shared" ref="AT1625:AT1688" si="740">LEN(AR1625)</f>
        <v>14</v>
      </c>
      <c r="AU1625" s="216" t="str">
        <f t="shared" ref="AU1625:AU1688" si="741">IF(D1625="","",IF(OR(A1625="",ISERROR(SEARCH("erstmals 201",D1625))),D1625,LEFT(D1625,SEARCH("erstmals 201",D1625)+8) &amp; AH1625 &amp; MID(D1625,SEARCH("erstmals 201",D1625)+13,255)))</f>
        <v>0,15-0,5 MW, Bonusregeln L, b und K erstmals 2012</v>
      </c>
      <c r="AV1625" s="215" t="str">
        <f t="shared" ref="AV1625:AV1688" si="742">IF(OR(D1625&lt;&gt;AU1625),"DIFF","")</f>
        <v/>
      </c>
      <c r="AW1625" s="216" t="str">
        <f t="shared" ref="AW1625:AW1688" si="743">IF(E1625="","",IF(OR(E1625="",ISERROR(SEARCH("erstmals 201",E1625))),E1625,LEFT(E1625,SEARCH("erstmals 201",E1625)+8) &amp; AH1625 &amp; MID(E1625,SEARCH("erstmals 201",E1625)+13,255)))</f>
        <v>Anteil KWK, erstmals 2012</v>
      </c>
      <c r="AX1625" s="215" t="str">
        <f t="shared" ref="AX1625:AX1688" si="744">IF(OR(E1625&lt;&gt;AW1625),"DIFF","")</f>
        <v/>
      </c>
      <c r="AY1625" t="str">
        <f t="shared" ref="AY1625:AY1688" si="745">IF(AH1625="2011","x",IF(AH1625="2012","","" &amp; S1625))</f>
        <v/>
      </c>
      <c r="AZ1625" t="str">
        <f t="shared" ref="AZ1625:AZ1688" si="746">IF(AH1625="2012","x",IF(AH1625="2011","","" &amp; T1625))</f>
        <v>x</v>
      </c>
    </row>
    <row r="1626" spans="1:52" x14ac:dyDescent="0.25">
      <c r="A1626" s="610" t="s">
        <v>1222</v>
      </c>
      <c r="B1626" s="30" t="s">
        <v>5548</v>
      </c>
      <c r="C1626" s="30" t="s">
        <v>1296</v>
      </c>
      <c r="D1626" s="30" t="s">
        <v>7193</v>
      </c>
      <c r="E1626" s="30" t="s">
        <v>4810</v>
      </c>
      <c r="F1626" s="454">
        <f t="shared" si="723"/>
        <v>21.6</v>
      </c>
      <c r="G1626" s="529">
        <v>21.6</v>
      </c>
      <c r="H1626" s="487">
        <f t="shared" si="724"/>
        <v>17.28</v>
      </c>
      <c r="I1626" s="706"/>
      <c r="J1626" s="669" t="s">
        <v>5805</v>
      </c>
      <c r="K1626" s="15"/>
      <c r="M1626" s="49">
        <f t="shared" si="725"/>
        <v>21.6</v>
      </c>
      <c r="N1626" s="41">
        <v>9.6</v>
      </c>
      <c r="O1626" s="187"/>
      <c r="P1626" s="183"/>
      <c r="Q1626" s="184"/>
      <c r="R1626" s="184"/>
      <c r="S1626" s="184" t="s">
        <v>4180</v>
      </c>
      <c r="T1626" t="s">
        <v>4180</v>
      </c>
      <c r="U1626" s="185" t="s">
        <v>1017</v>
      </c>
      <c r="V1626" s="184"/>
      <c r="W1626" s="180"/>
      <c r="X1626" s="180"/>
      <c r="Y1626" s="178"/>
      <c r="Z1626" s="180"/>
      <c r="AA1626" s="184"/>
      <c r="AB1626" s="184" t="s">
        <v>1017</v>
      </c>
      <c r="AC1626" s="180"/>
      <c r="AD1626" s="182"/>
      <c r="AE1626" s="181" t="s">
        <v>1017</v>
      </c>
      <c r="AF1626" s="180"/>
      <c r="AG1626" s="201"/>
      <c r="AH1626" s="212" t="str">
        <f t="shared" ref="AH1626:AH1631" si="747">IF(ISERROR(SEARCH("K erstmals 201",D1626)),"",RIGHT(D1626,4))</f>
        <v/>
      </c>
      <c r="AI1626" s="214" t="str">
        <f t="shared" si="718"/>
        <v/>
      </c>
      <c r="AJ1626" s="214" t="str">
        <f t="shared" si="719"/>
        <v/>
      </c>
      <c r="AK1626" s="214" t="str">
        <f t="shared" si="720"/>
        <v/>
      </c>
      <c r="AL1626" s="214" t="str">
        <f t="shared" si="721"/>
        <v/>
      </c>
      <c r="AM1626" s="214" t="str">
        <f t="shared" si="722"/>
        <v/>
      </c>
      <c r="AN1626" s="213" t="str">
        <f t="shared" si="734"/>
        <v/>
      </c>
      <c r="AO1626" s="213" t="str">
        <f t="shared" si="735"/>
        <v/>
      </c>
      <c r="AP1626" s="213" t="str">
        <f t="shared" si="736"/>
        <v/>
      </c>
      <c r="AQ1626" s="215" t="str">
        <f t="shared" si="737"/>
        <v/>
      </c>
      <c r="AR1626" s="216" t="str">
        <f t="shared" si="738"/>
        <v>BiK82Lby----06</v>
      </c>
      <c r="AS1626" s="215" t="str">
        <f t="shared" si="739"/>
        <v/>
      </c>
      <c r="AT1626">
        <f t="shared" si="740"/>
        <v>14</v>
      </c>
      <c r="AU1626" s="216" t="str">
        <f t="shared" si="741"/>
        <v>0,15-0,5 MW, Bonusregeln L, y, b</v>
      </c>
      <c r="AV1626" s="215" t="str">
        <f t="shared" si="742"/>
        <v/>
      </c>
      <c r="AW1626" s="216" t="str">
        <f t="shared" si="743"/>
        <v>Anteil Nicht-KWK</v>
      </c>
      <c r="AX1626" s="215" t="str">
        <f t="shared" si="744"/>
        <v/>
      </c>
      <c r="AY1626" t="str">
        <f t="shared" si="745"/>
        <v/>
      </c>
      <c r="AZ1626" t="str">
        <f t="shared" si="746"/>
        <v/>
      </c>
    </row>
    <row r="1627" spans="1:52" x14ac:dyDescent="0.25">
      <c r="A1627" s="610" t="s">
        <v>1223</v>
      </c>
      <c r="B1627" s="30" t="s">
        <v>5548</v>
      </c>
      <c r="C1627" s="30" t="s">
        <v>1296</v>
      </c>
      <c r="D1627" s="30" t="s">
        <v>7194</v>
      </c>
      <c r="E1627" s="30" t="s">
        <v>4812</v>
      </c>
      <c r="F1627" s="454">
        <f t="shared" si="723"/>
        <v>23.6</v>
      </c>
      <c r="G1627" s="529">
        <v>23.6</v>
      </c>
      <c r="H1627" s="487">
        <f t="shared" si="724"/>
        <v>18.88</v>
      </c>
      <c r="I1627" s="706"/>
      <c r="J1627" s="669" t="s">
        <v>5805</v>
      </c>
      <c r="K1627" s="15"/>
      <c r="M1627" s="49">
        <f t="shared" si="725"/>
        <v>23.6</v>
      </c>
      <c r="N1627" s="41">
        <v>9.6</v>
      </c>
      <c r="O1627" s="187" t="s">
        <v>1017</v>
      </c>
      <c r="P1627" s="183"/>
      <c r="Q1627" s="184"/>
      <c r="R1627" s="184"/>
      <c r="S1627" s="184" t="s">
        <v>4180</v>
      </c>
      <c r="T1627" t="s">
        <v>4180</v>
      </c>
      <c r="U1627" s="185" t="s">
        <v>1017</v>
      </c>
      <c r="V1627" s="184"/>
      <c r="W1627" s="180"/>
      <c r="X1627" s="180"/>
      <c r="Y1627" s="178"/>
      <c r="Z1627" s="180"/>
      <c r="AA1627" s="184"/>
      <c r="AB1627" s="184" t="s">
        <v>1017</v>
      </c>
      <c r="AC1627" s="180"/>
      <c r="AD1627" s="182"/>
      <c r="AE1627" s="181" t="s">
        <v>1017</v>
      </c>
      <c r="AF1627" s="180"/>
      <c r="AG1627" s="201"/>
      <c r="AH1627" s="212" t="str">
        <f t="shared" si="747"/>
        <v/>
      </c>
      <c r="AI1627" s="214" t="str">
        <f t="shared" ref="AI1627:AI1690" si="748">IF(AND($AH1627&lt;&gt;"",AH1627 =AH1626),"Gleich","")</f>
        <v/>
      </c>
      <c r="AJ1627" s="214" t="str">
        <f t="shared" ref="AJ1627:AJ1693" si="749">IF(AND($AH1627&lt;&gt;"",A1627 =A1626),"Gleich","")</f>
        <v/>
      </c>
      <c r="AK1627" s="214" t="str">
        <f t="shared" ref="AK1627:AK1693" si="750">IF(AND($AH1627&lt;&gt;"",D1627 =D1626),"Gleich","")</f>
        <v/>
      </c>
      <c r="AL1627" s="214" t="str">
        <f t="shared" ref="AL1627:AL1693" si="751">IF(AND($AH1627&lt;&gt;"",E1627 =E1626),"Gleich","")</f>
        <v/>
      </c>
      <c r="AM1627" s="214" t="str">
        <f t="shared" ref="AM1627:AM1693" si="752">IF(AND($AH1627&lt;&gt;"",F1627 =F1626),"Gleich","")</f>
        <v/>
      </c>
      <c r="AN1627" s="213" t="str">
        <f t="shared" si="734"/>
        <v/>
      </c>
      <c r="AO1627" s="213" t="str">
        <f t="shared" si="735"/>
        <v/>
      </c>
      <c r="AP1627" s="213" t="str">
        <f t="shared" si="736"/>
        <v/>
      </c>
      <c r="AQ1627" s="215" t="str">
        <f t="shared" si="737"/>
        <v/>
      </c>
      <c r="AR1627" s="216" t="str">
        <f t="shared" si="738"/>
        <v>BiK82LbKWKy-06</v>
      </c>
      <c r="AS1627" s="215" t="str">
        <f t="shared" si="739"/>
        <v/>
      </c>
      <c r="AT1627">
        <f t="shared" si="740"/>
        <v>14</v>
      </c>
      <c r="AU1627" s="216" t="str">
        <f t="shared" si="741"/>
        <v>0,15-0,5 MW, Bonusregeln L, y, b und KWK</v>
      </c>
      <c r="AV1627" s="215" t="str">
        <f t="shared" si="742"/>
        <v/>
      </c>
      <c r="AW1627" s="216" t="str">
        <f t="shared" si="743"/>
        <v>Anteil KWK</v>
      </c>
      <c r="AX1627" s="215" t="str">
        <f t="shared" si="744"/>
        <v/>
      </c>
      <c r="AY1627" t="str">
        <f t="shared" si="745"/>
        <v/>
      </c>
      <c r="AZ1627" t="str">
        <f t="shared" si="746"/>
        <v/>
      </c>
    </row>
    <row r="1628" spans="1:52" x14ac:dyDescent="0.25">
      <c r="A1628" s="610" t="s">
        <v>1224</v>
      </c>
      <c r="B1628" s="30" t="s">
        <v>5548</v>
      </c>
      <c r="C1628" s="30" t="s">
        <v>1296</v>
      </c>
      <c r="D1628" s="109" t="s">
        <v>7195</v>
      </c>
      <c r="E1628" s="30" t="s">
        <v>4331</v>
      </c>
      <c r="F1628" s="454">
        <f t="shared" si="723"/>
        <v>24.6</v>
      </c>
      <c r="G1628" s="529">
        <v>24.6</v>
      </c>
      <c r="H1628" s="487">
        <f t="shared" si="724"/>
        <v>19.68</v>
      </c>
      <c r="I1628" s="706"/>
      <c r="J1628" s="669" t="s">
        <v>5805</v>
      </c>
      <c r="K1628" s="15"/>
      <c r="M1628" s="49">
        <f t="shared" si="725"/>
        <v>24.6</v>
      </c>
      <c r="N1628" s="41">
        <v>9.6</v>
      </c>
      <c r="O1628" s="187"/>
      <c r="P1628" s="184" t="s">
        <v>1017</v>
      </c>
      <c r="Q1628" s="184"/>
      <c r="R1628" s="184"/>
      <c r="S1628" s="184" t="s">
        <v>4180</v>
      </c>
      <c r="T1628" t="s">
        <v>4180</v>
      </c>
      <c r="U1628" s="185" t="s">
        <v>1017</v>
      </c>
      <c r="V1628" s="184"/>
      <c r="W1628" s="180"/>
      <c r="X1628" s="180"/>
      <c r="Y1628" s="178"/>
      <c r="Z1628" s="180"/>
      <c r="AA1628" s="184"/>
      <c r="AB1628" s="184" t="s">
        <v>1017</v>
      </c>
      <c r="AC1628" s="180"/>
      <c r="AD1628" s="182"/>
      <c r="AE1628" s="181" t="s">
        <v>1017</v>
      </c>
      <c r="AF1628" s="180"/>
      <c r="AG1628" s="201"/>
      <c r="AH1628" s="212" t="str">
        <f t="shared" si="747"/>
        <v/>
      </c>
      <c r="AI1628" s="214" t="str">
        <f t="shared" si="748"/>
        <v/>
      </c>
      <c r="AJ1628" s="214" t="str">
        <f t="shared" si="749"/>
        <v/>
      </c>
      <c r="AK1628" s="214" t="str">
        <f t="shared" si="750"/>
        <v/>
      </c>
      <c r="AL1628" s="214" t="str">
        <f t="shared" si="751"/>
        <v/>
      </c>
      <c r="AM1628" s="214" t="str">
        <f t="shared" si="752"/>
        <v/>
      </c>
      <c r="AN1628" s="213" t="str">
        <f t="shared" si="734"/>
        <v/>
      </c>
      <c r="AO1628" s="213" t="str">
        <f t="shared" si="735"/>
        <v/>
      </c>
      <c r="AP1628" s="213" t="str">
        <f t="shared" si="736"/>
        <v/>
      </c>
      <c r="AQ1628" s="215" t="str">
        <f t="shared" si="737"/>
        <v/>
      </c>
      <c r="AR1628" s="216" t="str">
        <f t="shared" si="738"/>
        <v>BiK82LbKA3y-06</v>
      </c>
      <c r="AS1628" s="215" t="str">
        <f t="shared" si="739"/>
        <v/>
      </c>
      <c r="AT1628">
        <f t="shared" si="740"/>
        <v>14</v>
      </c>
      <c r="AU1628" s="216" t="str">
        <f t="shared" si="741"/>
        <v>0,15-0,5 MW, Bonusregeln L, y, b und K wenn Anlage 3 erfüllt</v>
      </c>
      <c r="AV1628" s="215" t="str">
        <f t="shared" si="742"/>
        <v/>
      </c>
      <c r="AW1628" s="216" t="str">
        <f t="shared" si="743"/>
        <v>Anteil KWK gemäß Anlage 3</v>
      </c>
      <c r="AX1628" s="215" t="str">
        <f t="shared" si="744"/>
        <v/>
      </c>
      <c r="AY1628" t="str">
        <f t="shared" si="745"/>
        <v/>
      </c>
      <c r="AZ1628" t="str">
        <f t="shared" si="746"/>
        <v/>
      </c>
    </row>
    <row r="1629" spans="1:52" x14ac:dyDescent="0.25">
      <c r="A1629" s="610" t="s">
        <v>1225</v>
      </c>
      <c r="B1629" s="30" t="s">
        <v>5548</v>
      </c>
      <c r="C1629" s="30" t="s">
        <v>1296</v>
      </c>
      <c r="D1629" s="30" t="s">
        <v>7196</v>
      </c>
      <c r="E1629" s="30" t="s">
        <v>674</v>
      </c>
      <c r="F1629" s="454">
        <f t="shared" si="723"/>
        <v>24.6</v>
      </c>
      <c r="G1629" s="529">
        <v>24.6</v>
      </c>
      <c r="H1629" s="487">
        <f t="shared" si="724"/>
        <v>19.68</v>
      </c>
      <c r="I1629" s="706"/>
      <c r="J1629" s="669" t="s">
        <v>5805</v>
      </c>
      <c r="K1629" s="15"/>
      <c r="M1629" s="49">
        <f t="shared" si="725"/>
        <v>24.6</v>
      </c>
      <c r="N1629" s="41">
        <v>9.6</v>
      </c>
      <c r="O1629" s="187"/>
      <c r="P1629" s="183"/>
      <c r="Q1629" s="184" t="s">
        <v>1017</v>
      </c>
      <c r="R1629" s="184"/>
      <c r="S1629" s="184" t="s">
        <v>4180</v>
      </c>
      <c r="T1629" t="s">
        <v>4180</v>
      </c>
      <c r="U1629" s="185" t="s">
        <v>1017</v>
      </c>
      <c r="V1629" s="184"/>
      <c r="W1629" s="180"/>
      <c r="X1629" s="180"/>
      <c r="Y1629" s="178"/>
      <c r="Z1629" s="180"/>
      <c r="AA1629" s="184"/>
      <c r="AB1629" s="184" t="s">
        <v>1017</v>
      </c>
      <c r="AC1629" s="180"/>
      <c r="AD1629" s="182"/>
      <c r="AE1629" s="181" t="s">
        <v>1017</v>
      </c>
      <c r="AF1629" s="180"/>
      <c r="AG1629" s="201"/>
      <c r="AH1629" s="212" t="str">
        <f t="shared" si="747"/>
        <v/>
      </c>
      <c r="AI1629" s="214" t="str">
        <f t="shared" si="748"/>
        <v/>
      </c>
      <c r="AJ1629" s="214" t="str">
        <f t="shared" si="749"/>
        <v/>
      </c>
      <c r="AK1629" s="214" t="str">
        <f t="shared" si="750"/>
        <v/>
      </c>
      <c r="AL1629" s="214" t="str">
        <f t="shared" si="751"/>
        <v/>
      </c>
      <c r="AM1629" s="214" t="str">
        <f t="shared" si="752"/>
        <v/>
      </c>
      <c r="AN1629" s="213" t="str">
        <f t="shared" si="734"/>
        <v/>
      </c>
      <c r="AO1629" s="213" t="str">
        <f t="shared" si="735"/>
        <v/>
      </c>
      <c r="AP1629" s="213" t="str">
        <f t="shared" si="736"/>
        <v/>
      </c>
      <c r="AQ1629" s="215" t="str">
        <f t="shared" si="737"/>
        <v/>
      </c>
      <c r="AR1629" s="216" t="str">
        <f t="shared" si="738"/>
        <v>BiK82LbK09y-06</v>
      </c>
      <c r="AS1629" s="215" t="str">
        <f t="shared" si="739"/>
        <v/>
      </c>
      <c r="AT1629">
        <f t="shared" si="740"/>
        <v>14</v>
      </c>
      <c r="AU1629" s="216" t="str">
        <f t="shared" si="741"/>
        <v>0,15-0,5 MW, Bonusregeln L, y, b und K erstmals 2009</v>
      </c>
      <c r="AV1629" s="215" t="str">
        <f t="shared" si="742"/>
        <v/>
      </c>
      <c r="AW1629" s="216" t="str">
        <f t="shared" si="743"/>
        <v>Anteil KWK, erstmals 2009</v>
      </c>
      <c r="AX1629" s="215" t="str">
        <f t="shared" si="744"/>
        <v/>
      </c>
      <c r="AY1629" t="str">
        <f t="shared" si="745"/>
        <v/>
      </c>
      <c r="AZ1629" t="str">
        <f t="shared" si="746"/>
        <v/>
      </c>
    </row>
    <row r="1630" spans="1:52" x14ac:dyDescent="0.25">
      <c r="A1630" s="610" t="s">
        <v>4930</v>
      </c>
      <c r="B1630" s="30" t="s">
        <v>5548</v>
      </c>
      <c r="C1630" s="30" t="s">
        <v>1296</v>
      </c>
      <c r="D1630" s="30" t="s">
        <v>7197</v>
      </c>
      <c r="E1630" s="30" t="s">
        <v>3567</v>
      </c>
      <c r="F1630" s="454">
        <f t="shared" si="723"/>
        <v>24.57</v>
      </c>
      <c r="G1630" s="529">
        <v>24.57</v>
      </c>
      <c r="H1630" s="487">
        <f t="shared" si="724"/>
        <v>19.66</v>
      </c>
      <c r="I1630" s="706"/>
      <c r="J1630" s="669" t="s">
        <v>5805</v>
      </c>
      <c r="K1630" s="15"/>
      <c r="M1630" s="49">
        <f t="shared" si="725"/>
        <v>24.57</v>
      </c>
      <c r="N1630" s="41">
        <v>9.6</v>
      </c>
      <c r="O1630" s="187"/>
      <c r="P1630" s="183"/>
      <c r="Q1630" s="184"/>
      <c r="R1630" s="184" t="s">
        <v>1017</v>
      </c>
      <c r="S1630" s="184" t="s">
        <v>4180</v>
      </c>
      <c r="T1630" t="s">
        <v>4180</v>
      </c>
      <c r="U1630" s="185" t="s">
        <v>1017</v>
      </c>
      <c r="V1630" s="184"/>
      <c r="W1630" s="180"/>
      <c r="X1630" s="180"/>
      <c r="Y1630" s="178"/>
      <c r="Z1630" s="180"/>
      <c r="AA1630" s="184"/>
      <c r="AB1630" s="184" t="s">
        <v>1017</v>
      </c>
      <c r="AC1630" s="180"/>
      <c r="AD1630" s="182"/>
      <c r="AE1630" s="181" t="s">
        <v>1017</v>
      </c>
      <c r="AF1630" s="180"/>
      <c r="AG1630" s="201"/>
      <c r="AH1630" s="212" t="str">
        <f t="shared" si="747"/>
        <v>2010</v>
      </c>
      <c r="AI1630" s="214" t="str">
        <f t="shared" si="748"/>
        <v/>
      </c>
      <c r="AJ1630" s="214" t="str">
        <f t="shared" si="749"/>
        <v/>
      </c>
      <c r="AK1630" s="214" t="str">
        <f t="shared" si="750"/>
        <v/>
      </c>
      <c r="AL1630" s="214" t="str">
        <f t="shared" si="751"/>
        <v/>
      </c>
      <c r="AM1630" s="214" t="str">
        <f t="shared" si="752"/>
        <v/>
      </c>
      <c r="AN1630" s="213" t="str">
        <f t="shared" si="734"/>
        <v>2010</v>
      </c>
      <c r="AO1630" s="213" t="str">
        <f t="shared" si="735"/>
        <v>2010</v>
      </c>
      <c r="AP1630" s="213" t="str">
        <f t="shared" si="736"/>
        <v>2010</v>
      </c>
      <c r="AQ1630" s="215" t="str">
        <f t="shared" si="737"/>
        <v/>
      </c>
      <c r="AR1630" s="216" t="str">
        <f t="shared" si="738"/>
        <v>BiK82LbK10y-06</v>
      </c>
      <c r="AS1630" s="215" t="str">
        <f t="shared" si="739"/>
        <v/>
      </c>
      <c r="AT1630">
        <f t="shared" si="740"/>
        <v>14</v>
      </c>
      <c r="AU1630" s="216" t="str">
        <f t="shared" si="741"/>
        <v>0,15-0,5 MW, Bonusregeln L, y, b und K erstmals 2010</v>
      </c>
      <c r="AV1630" s="215" t="str">
        <f t="shared" si="742"/>
        <v/>
      </c>
      <c r="AW1630" s="216" t="str">
        <f t="shared" si="743"/>
        <v>Anteil KWK, erstmals 2010</v>
      </c>
      <c r="AX1630" s="215" t="str">
        <f t="shared" si="744"/>
        <v/>
      </c>
      <c r="AY1630" t="str">
        <f t="shared" si="745"/>
        <v/>
      </c>
      <c r="AZ1630" t="str">
        <f t="shared" si="746"/>
        <v/>
      </c>
    </row>
    <row r="1631" spans="1:52" x14ac:dyDescent="0.25">
      <c r="A1631" s="610" t="s">
        <v>3977</v>
      </c>
      <c r="B1631" s="30" t="s">
        <v>5548</v>
      </c>
      <c r="C1631" s="30" t="s">
        <v>1296</v>
      </c>
      <c r="D1631" s="30" t="s">
        <v>7198</v>
      </c>
      <c r="E1631" s="30" t="s">
        <v>3055</v>
      </c>
      <c r="F1631" s="454">
        <f t="shared" ref="F1631:F1693" si="753">M1631</f>
        <v>24.54</v>
      </c>
      <c r="G1631" s="529">
        <v>24.54</v>
      </c>
      <c r="H1631" s="487">
        <f t="shared" ref="H1631:H1694" si="754">IF(ISNUMBER(G1631),ROUND(0.8*G1631,2),"")</f>
        <v>19.63</v>
      </c>
      <c r="I1631" s="706"/>
      <c r="J1631" s="669" t="s">
        <v>5805</v>
      </c>
      <c r="K1631" s="15"/>
      <c r="M1631" s="49">
        <f t="shared" ref="M1631:M1693" si="755">N1631+SUMIF(O1631:AG1631,"x",O$1310:AG$1310)</f>
        <v>24.54</v>
      </c>
      <c r="N1631" s="41">
        <v>9.6</v>
      </c>
      <c r="O1631" s="187"/>
      <c r="P1631" s="183"/>
      <c r="Q1631" s="184"/>
      <c r="R1631" s="178"/>
      <c r="S1631" s="184" t="s">
        <v>1017</v>
      </c>
      <c r="T1631" t="s">
        <v>4180</v>
      </c>
      <c r="U1631" s="185" t="s">
        <v>1017</v>
      </c>
      <c r="V1631" s="184"/>
      <c r="W1631" s="180"/>
      <c r="X1631" s="180"/>
      <c r="Y1631" s="178"/>
      <c r="Z1631" s="180"/>
      <c r="AA1631" s="184"/>
      <c r="AB1631" s="184" t="s">
        <v>1017</v>
      </c>
      <c r="AC1631" s="180"/>
      <c r="AD1631" s="182"/>
      <c r="AE1631" s="181" t="s">
        <v>1017</v>
      </c>
      <c r="AF1631" s="180"/>
      <c r="AG1631" s="201"/>
      <c r="AH1631" s="212" t="str">
        <f t="shared" si="747"/>
        <v>2011</v>
      </c>
      <c r="AI1631" s="214" t="str">
        <f t="shared" si="748"/>
        <v/>
      </c>
      <c r="AJ1631" s="214" t="str">
        <f t="shared" si="749"/>
        <v/>
      </c>
      <c r="AK1631" s="214" t="str">
        <f t="shared" si="750"/>
        <v/>
      </c>
      <c r="AL1631" s="214" t="str">
        <f t="shared" si="751"/>
        <v/>
      </c>
      <c r="AM1631" s="214" t="str">
        <f t="shared" si="752"/>
        <v/>
      </c>
      <c r="AN1631" s="213" t="str">
        <f t="shared" si="734"/>
        <v>2011</v>
      </c>
      <c r="AO1631" s="213" t="str">
        <f t="shared" si="735"/>
        <v>2011</v>
      </c>
      <c r="AP1631" s="213" t="str">
        <f t="shared" si="736"/>
        <v>2011</v>
      </c>
      <c r="AQ1631" s="215" t="str">
        <f t="shared" si="737"/>
        <v/>
      </c>
      <c r="AR1631" s="216" t="str">
        <f t="shared" si="738"/>
        <v>BiK82LbK11y-06</v>
      </c>
      <c r="AS1631" s="215" t="str">
        <f t="shared" si="739"/>
        <v/>
      </c>
      <c r="AT1631">
        <f t="shared" si="740"/>
        <v>14</v>
      </c>
      <c r="AU1631" s="216" t="str">
        <f t="shared" si="741"/>
        <v>0,15-0,5 MW, Bonusregeln L, y, b und K erstmals 2011</v>
      </c>
      <c r="AV1631" s="215" t="str">
        <f t="shared" si="742"/>
        <v/>
      </c>
      <c r="AW1631" s="216" t="str">
        <f t="shared" si="743"/>
        <v>Anteil KWK, erstmals 2011</v>
      </c>
      <c r="AX1631" s="215" t="str">
        <f t="shared" si="744"/>
        <v/>
      </c>
      <c r="AY1631" t="str">
        <f t="shared" si="745"/>
        <v>x</v>
      </c>
      <c r="AZ1631" t="str">
        <f t="shared" si="746"/>
        <v/>
      </c>
    </row>
    <row r="1632" spans="1:52" x14ac:dyDescent="0.25">
      <c r="A1632" s="625" t="s">
        <v>1799</v>
      </c>
      <c r="B1632" s="219" t="s">
        <v>5548</v>
      </c>
      <c r="C1632" s="219" t="s">
        <v>1296</v>
      </c>
      <c r="D1632" s="219" t="s">
        <v>7199</v>
      </c>
      <c r="E1632" s="219" t="s">
        <v>1980</v>
      </c>
      <c r="F1632" s="455">
        <f t="shared" si="753"/>
        <v>24.509999999999998</v>
      </c>
      <c r="G1632" s="530">
        <v>24.509999999999998</v>
      </c>
      <c r="H1632" s="488">
        <f t="shared" si="754"/>
        <v>19.61</v>
      </c>
      <c r="I1632" s="707"/>
      <c r="J1632" s="669" t="s">
        <v>5805</v>
      </c>
      <c r="K1632" s="15"/>
      <c r="M1632" s="49">
        <f t="shared" si="755"/>
        <v>24.509999999999998</v>
      </c>
      <c r="N1632" s="41">
        <v>9.6</v>
      </c>
      <c r="O1632" s="187"/>
      <c r="P1632" s="183"/>
      <c r="Q1632" s="184"/>
      <c r="R1632" s="178"/>
      <c r="S1632" s="184" t="s">
        <v>4180</v>
      </c>
      <c r="T1632" t="s">
        <v>1017</v>
      </c>
      <c r="U1632" s="185" t="s">
        <v>1017</v>
      </c>
      <c r="V1632" s="184"/>
      <c r="W1632" s="180"/>
      <c r="X1632" s="180"/>
      <c r="Y1632" s="178"/>
      <c r="Z1632" s="180"/>
      <c r="AA1632" s="184"/>
      <c r="AB1632" s="184" t="s">
        <v>1017</v>
      </c>
      <c r="AC1632" s="180"/>
      <c r="AD1632" s="182"/>
      <c r="AE1632" s="181" t="s">
        <v>1017</v>
      </c>
      <c r="AF1632" s="180"/>
      <c r="AG1632" s="201"/>
      <c r="AH1632" s="217" t="s">
        <v>4179</v>
      </c>
      <c r="AI1632" s="214" t="str">
        <f t="shared" si="748"/>
        <v/>
      </c>
      <c r="AJ1632" s="214" t="str">
        <f t="shared" si="749"/>
        <v/>
      </c>
      <c r="AK1632" s="214" t="str">
        <f t="shared" si="750"/>
        <v/>
      </c>
      <c r="AL1632" s="214" t="str">
        <f t="shared" si="751"/>
        <v/>
      </c>
      <c r="AM1632" s="214" t="str">
        <f t="shared" si="752"/>
        <v/>
      </c>
      <c r="AN1632" s="213" t="str">
        <f t="shared" si="734"/>
        <v>2012</v>
      </c>
      <c r="AO1632" s="213" t="str">
        <f t="shared" si="735"/>
        <v>2012</v>
      </c>
      <c r="AP1632" s="213" t="str">
        <f t="shared" si="736"/>
        <v>2012</v>
      </c>
      <c r="AQ1632" s="215" t="str">
        <f t="shared" si="737"/>
        <v/>
      </c>
      <c r="AR1632" s="216" t="str">
        <f t="shared" si="738"/>
        <v>BiK82LbK12y-06</v>
      </c>
      <c r="AS1632" s="215" t="str">
        <f t="shared" si="739"/>
        <v/>
      </c>
      <c r="AT1632">
        <f t="shared" si="740"/>
        <v>14</v>
      </c>
      <c r="AU1632" s="216" t="str">
        <f t="shared" si="741"/>
        <v>0,15-0,5 MW, Bonusregeln L, y, b und K erstmals 2012</v>
      </c>
      <c r="AV1632" s="215" t="str">
        <f t="shared" si="742"/>
        <v/>
      </c>
      <c r="AW1632" s="216" t="str">
        <f t="shared" si="743"/>
        <v>Anteil KWK, erstmals 2012</v>
      </c>
      <c r="AX1632" s="215" t="str">
        <f t="shared" si="744"/>
        <v/>
      </c>
      <c r="AY1632" t="str">
        <f t="shared" si="745"/>
        <v/>
      </c>
      <c r="AZ1632" t="str">
        <f t="shared" si="746"/>
        <v>x</v>
      </c>
    </row>
    <row r="1633" spans="1:52" x14ac:dyDescent="0.25">
      <c r="A1633" s="610" t="s">
        <v>4420</v>
      </c>
      <c r="B1633" s="30" t="s">
        <v>5548</v>
      </c>
      <c r="C1633" s="30" t="s">
        <v>1296</v>
      </c>
      <c r="D1633" s="30" t="s">
        <v>7200</v>
      </c>
      <c r="E1633" s="30" t="s">
        <v>4810</v>
      </c>
      <c r="F1633" s="454">
        <f t="shared" si="753"/>
        <v>21.6</v>
      </c>
      <c r="G1633" s="529">
        <v>21.6</v>
      </c>
      <c r="H1633" s="487">
        <f t="shared" si="754"/>
        <v>17.28</v>
      </c>
      <c r="I1633" s="706"/>
      <c r="J1633" s="669" t="s">
        <v>5805</v>
      </c>
      <c r="K1633" s="15"/>
      <c r="M1633" s="49">
        <f t="shared" si="755"/>
        <v>21.6</v>
      </c>
      <c r="N1633" s="41">
        <v>9.6</v>
      </c>
      <c r="O1633" s="186"/>
      <c r="P1633" s="177"/>
      <c r="Q1633" s="178"/>
      <c r="R1633" s="178"/>
      <c r="S1633" s="178" t="s">
        <v>4180</v>
      </c>
      <c r="T1633" t="s">
        <v>4180</v>
      </c>
      <c r="U1633" s="179"/>
      <c r="V1633" s="178"/>
      <c r="W1633" s="180"/>
      <c r="X1633" s="180"/>
      <c r="Y1633" s="178"/>
      <c r="Z1633" s="180"/>
      <c r="AA1633" s="184"/>
      <c r="AB1633" s="178"/>
      <c r="AC1633" s="180"/>
      <c r="AD1633" s="182" t="s">
        <v>1017</v>
      </c>
      <c r="AE1633" s="181" t="s">
        <v>1017</v>
      </c>
      <c r="AF1633" s="180"/>
      <c r="AG1633" s="201"/>
      <c r="AH1633" s="212" t="str">
        <f t="shared" ref="AH1633:AH1638" si="756">IF(ISERROR(SEARCH("K erstmals 201",D1633)),"",RIGHT(D1633,4))</f>
        <v/>
      </c>
      <c r="AI1633" s="214" t="str">
        <f t="shared" si="748"/>
        <v/>
      </c>
      <c r="AJ1633" s="214" t="str">
        <f t="shared" si="749"/>
        <v/>
      </c>
      <c r="AK1633" s="214" t="str">
        <f t="shared" si="750"/>
        <v/>
      </c>
      <c r="AL1633" s="214" t="str">
        <f t="shared" si="751"/>
        <v/>
      </c>
      <c r="AM1633" s="214" t="str">
        <f t="shared" si="752"/>
        <v/>
      </c>
      <c r="AN1633" s="213" t="str">
        <f t="shared" si="734"/>
        <v/>
      </c>
      <c r="AO1633" s="213" t="str">
        <f t="shared" si="735"/>
        <v/>
      </c>
      <c r="AP1633" s="213" t="str">
        <f t="shared" si="736"/>
        <v/>
      </c>
      <c r="AQ1633" s="215" t="str">
        <f t="shared" si="737"/>
        <v/>
      </c>
      <c r="AR1633" s="216" t="str">
        <f t="shared" si="738"/>
        <v>BiK82X2b----06</v>
      </c>
      <c r="AS1633" s="215" t="str">
        <f t="shared" si="739"/>
        <v/>
      </c>
      <c r="AT1633">
        <f t="shared" si="740"/>
        <v>14</v>
      </c>
      <c r="AU1633" s="216" t="str">
        <f t="shared" si="741"/>
        <v>0,15-0,5 MW, Bonusregeln X2, b</v>
      </c>
      <c r="AV1633" s="215" t="str">
        <f t="shared" si="742"/>
        <v/>
      </c>
      <c r="AW1633" s="216" t="str">
        <f t="shared" si="743"/>
        <v>Anteil Nicht-KWK</v>
      </c>
      <c r="AX1633" s="215" t="str">
        <f t="shared" si="744"/>
        <v/>
      </c>
      <c r="AY1633" t="str">
        <f t="shared" si="745"/>
        <v/>
      </c>
      <c r="AZ1633" t="str">
        <f t="shared" si="746"/>
        <v/>
      </c>
    </row>
    <row r="1634" spans="1:52" x14ac:dyDescent="0.25">
      <c r="A1634" s="610" t="s">
        <v>4421</v>
      </c>
      <c r="B1634" s="30" t="s">
        <v>5548</v>
      </c>
      <c r="C1634" s="30" t="s">
        <v>1296</v>
      </c>
      <c r="D1634" s="30" t="s">
        <v>7201</v>
      </c>
      <c r="E1634" s="30" t="s">
        <v>4812</v>
      </c>
      <c r="F1634" s="454">
        <f t="shared" si="753"/>
        <v>23.6</v>
      </c>
      <c r="G1634" s="529">
        <v>23.6</v>
      </c>
      <c r="H1634" s="487">
        <f t="shared" si="754"/>
        <v>18.88</v>
      </c>
      <c r="I1634" s="706"/>
      <c r="J1634" s="669" t="s">
        <v>5805</v>
      </c>
      <c r="K1634" s="15"/>
      <c r="M1634" s="49">
        <f t="shared" si="755"/>
        <v>23.6</v>
      </c>
      <c r="N1634" s="41">
        <v>9.6</v>
      </c>
      <c r="O1634" s="186" t="s">
        <v>1017</v>
      </c>
      <c r="P1634" s="177"/>
      <c r="Q1634" s="178"/>
      <c r="R1634" s="178"/>
      <c r="S1634" s="178" t="s">
        <v>4180</v>
      </c>
      <c r="T1634" t="s">
        <v>4180</v>
      </c>
      <c r="U1634" s="179"/>
      <c r="V1634" s="178"/>
      <c r="W1634" s="180"/>
      <c r="X1634" s="180"/>
      <c r="Y1634" s="178"/>
      <c r="Z1634" s="180"/>
      <c r="AA1634" s="184"/>
      <c r="AB1634" s="178"/>
      <c r="AC1634" s="180"/>
      <c r="AD1634" s="182" t="s">
        <v>1017</v>
      </c>
      <c r="AE1634" s="181" t="s">
        <v>1017</v>
      </c>
      <c r="AF1634" s="180"/>
      <c r="AG1634" s="201"/>
      <c r="AH1634" s="212" t="str">
        <f t="shared" si="756"/>
        <v/>
      </c>
      <c r="AI1634" s="214" t="str">
        <f t="shared" si="748"/>
        <v/>
      </c>
      <c r="AJ1634" s="214" t="str">
        <f t="shared" si="749"/>
        <v/>
      </c>
      <c r="AK1634" s="214" t="str">
        <f t="shared" si="750"/>
        <v/>
      </c>
      <c r="AL1634" s="214" t="str">
        <f t="shared" si="751"/>
        <v/>
      </c>
      <c r="AM1634" s="214" t="str">
        <f t="shared" si="752"/>
        <v/>
      </c>
      <c r="AN1634" s="213" t="str">
        <f t="shared" si="734"/>
        <v/>
      </c>
      <c r="AO1634" s="213" t="str">
        <f t="shared" si="735"/>
        <v/>
      </c>
      <c r="AP1634" s="213" t="str">
        <f t="shared" si="736"/>
        <v/>
      </c>
      <c r="AQ1634" s="215" t="str">
        <f t="shared" si="737"/>
        <v/>
      </c>
      <c r="AR1634" s="216" t="str">
        <f t="shared" si="738"/>
        <v>BiK82X2bKWK-06</v>
      </c>
      <c r="AS1634" s="215" t="str">
        <f t="shared" si="739"/>
        <v/>
      </c>
      <c r="AT1634">
        <f t="shared" si="740"/>
        <v>14</v>
      </c>
      <c r="AU1634" s="216" t="str">
        <f t="shared" si="741"/>
        <v>0,15-0,5 MW, Bonusregeln X2, b und KWK</v>
      </c>
      <c r="AV1634" s="215" t="str">
        <f t="shared" si="742"/>
        <v/>
      </c>
      <c r="AW1634" s="216" t="str">
        <f t="shared" si="743"/>
        <v>Anteil KWK</v>
      </c>
      <c r="AX1634" s="215" t="str">
        <f t="shared" si="744"/>
        <v/>
      </c>
      <c r="AY1634" t="str">
        <f t="shared" si="745"/>
        <v/>
      </c>
      <c r="AZ1634" t="str">
        <f t="shared" si="746"/>
        <v/>
      </c>
    </row>
    <row r="1635" spans="1:52" x14ac:dyDescent="0.25">
      <c r="A1635" s="610" t="s">
        <v>4422</v>
      </c>
      <c r="B1635" s="30" t="s">
        <v>5548</v>
      </c>
      <c r="C1635" s="30" t="s">
        <v>1296</v>
      </c>
      <c r="D1635" s="30" t="s">
        <v>7202</v>
      </c>
      <c r="E1635" s="30" t="s">
        <v>4331</v>
      </c>
      <c r="F1635" s="454">
        <f t="shared" si="753"/>
        <v>24.6</v>
      </c>
      <c r="G1635" s="529">
        <v>24.6</v>
      </c>
      <c r="H1635" s="487">
        <f t="shared" si="754"/>
        <v>19.68</v>
      </c>
      <c r="I1635" s="706"/>
      <c r="J1635" s="669" t="s">
        <v>5805</v>
      </c>
      <c r="K1635" s="15"/>
      <c r="M1635" s="49">
        <f t="shared" si="755"/>
        <v>24.6</v>
      </c>
      <c r="N1635" s="41">
        <v>9.6</v>
      </c>
      <c r="O1635" s="186"/>
      <c r="P1635" s="178" t="s">
        <v>1017</v>
      </c>
      <c r="Q1635" s="178"/>
      <c r="R1635" s="178"/>
      <c r="S1635" s="178" t="s">
        <v>4180</v>
      </c>
      <c r="T1635" t="s">
        <v>4180</v>
      </c>
      <c r="U1635" s="179"/>
      <c r="V1635" s="178"/>
      <c r="W1635" s="180"/>
      <c r="X1635" s="180"/>
      <c r="Y1635" s="178"/>
      <c r="Z1635" s="180"/>
      <c r="AA1635" s="184"/>
      <c r="AB1635" s="178"/>
      <c r="AC1635" s="180"/>
      <c r="AD1635" s="199" t="s">
        <v>1017</v>
      </c>
      <c r="AE1635" s="181" t="s">
        <v>1017</v>
      </c>
      <c r="AF1635" s="180"/>
      <c r="AG1635" s="201"/>
      <c r="AH1635" s="212" t="str">
        <f t="shared" si="756"/>
        <v/>
      </c>
      <c r="AI1635" s="214" t="str">
        <f t="shared" si="748"/>
        <v/>
      </c>
      <c r="AJ1635" s="214" t="str">
        <f t="shared" si="749"/>
        <v/>
      </c>
      <c r="AK1635" s="214" t="str">
        <f t="shared" si="750"/>
        <v/>
      </c>
      <c r="AL1635" s="214" t="str">
        <f t="shared" si="751"/>
        <v/>
      </c>
      <c r="AM1635" s="214" t="str">
        <f t="shared" si="752"/>
        <v/>
      </c>
      <c r="AN1635" s="213" t="str">
        <f t="shared" si="734"/>
        <v/>
      </c>
      <c r="AO1635" s="213" t="str">
        <f t="shared" si="735"/>
        <v/>
      </c>
      <c r="AP1635" s="213" t="str">
        <f t="shared" si="736"/>
        <v/>
      </c>
      <c r="AQ1635" s="215" t="str">
        <f t="shared" si="737"/>
        <v/>
      </c>
      <c r="AR1635" s="216" t="str">
        <f t="shared" si="738"/>
        <v>BiK82X2bKA3-06</v>
      </c>
      <c r="AS1635" s="215" t="str">
        <f t="shared" si="739"/>
        <v/>
      </c>
      <c r="AT1635">
        <f t="shared" si="740"/>
        <v>14</v>
      </c>
      <c r="AU1635" s="216" t="str">
        <f t="shared" si="741"/>
        <v>0,15-0,5 MW, Bonusregeln X2, b und K wenn Anlage 3 erfüllt</v>
      </c>
      <c r="AV1635" s="215" t="str">
        <f t="shared" si="742"/>
        <v/>
      </c>
      <c r="AW1635" s="216" t="str">
        <f t="shared" si="743"/>
        <v>Anteil KWK gemäß Anlage 3</v>
      </c>
      <c r="AX1635" s="215" t="str">
        <f t="shared" si="744"/>
        <v/>
      </c>
      <c r="AY1635" t="str">
        <f t="shared" si="745"/>
        <v/>
      </c>
      <c r="AZ1635" t="str">
        <f t="shared" si="746"/>
        <v/>
      </c>
    </row>
    <row r="1636" spans="1:52" x14ac:dyDescent="0.25">
      <c r="A1636" s="610" t="s">
        <v>4423</v>
      </c>
      <c r="B1636" s="30" t="s">
        <v>5548</v>
      </c>
      <c r="C1636" s="30" t="s">
        <v>1296</v>
      </c>
      <c r="D1636" s="30" t="s">
        <v>7203</v>
      </c>
      <c r="E1636" s="30" t="s">
        <v>674</v>
      </c>
      <c r="F1636" s="454">
        <f t="shared" si="753"/>
        <v>24.6</v>
      </c>
      <c r="G1636" s="529">
        <v>24.6</v>
      </c>
      <c r="H1636" s="487">
        <f t="shared" si="754"/>
        <v>19.68</v>
      </c>
      <c r="I1636" s="706"/>
      <c r="J1636" s="669" t="s">
        <v>5805</v>
      </c>
      <c r="K1636" s="15"/>
      <c r="M1636" s="49">
        <f t="shared" si="755"/>
        <v>24.6</v>
      </c>
      <c r="N1636" s="41">
        <v>9.6</v>
      </c>
      <c r="O1636" s="186"/>
      <c r="P1636" s="177"/>
      <c r="Q1636" s="178" t="s">
        <v>1017</v>
      </c>
      <c r="R1636" s="178"/>
      <c r="S1636" s="178" t="s">
        <v>4180</v>
      </c>
      <c r="T1636" t="s">
        <v>4180</v>
      </c>
      <c r="U1636" s="179"/>
      <c r="V1636" s="178"/>
      <c r="W1636" s="180"/>
      <c r="X1636" s="180"/>
      <c r="Y1636" s="178"/>
      <c r="Z1636" s="180"/>
      <c r="AA1636" s="184"/>
      <c r="AB1636" s="178"/>
      <c r="AC1636" s="180"/>
      <c r="AD1636" s="199" t="s">
        <v>1017</v>
      </c>
      <c r="AE1636" s="181" t="s">
        <v>1017</v>
      </c>
      <c r="AF1636" s="180"/>
      <c r="AG1636" s="201"/>
      <c r="AH1636" s="212" t="str">
        <f t="shared" si="756"/>
        <v/>
      </c>
      <c r="AI1636" s="214" t="str">
        <f t="shared" si="748"/>
        <v/>
      </c>
      <c r="AJ1636" s="214" t="str">
        <f t="shared" si="749"/>
        <v/>
      </c>
      <c r="AK1636" s="214" t="str">
        <f t="shared" si="750"/>
        <v/>
      </c>
      <c r="AL1636" s="214" t="str">
        <f t="shared" si="751"/>
        <v/>
      </c>
      <c r="AM1636" s="214" t="str">
        <f t="shared" si="752"/>
        <v/>
      </c>
      <c r="AN1636" s="213" t="str">
        <f t="shared" si="734"/>
        <v/>
      </c>
      <c r="AO1636" s="213" t="str">
        <f t="shared" si="735"/>
        <v/>
      </c>
      <c r="AP1636" s="213" t="str">
        <f t="shared" si="736"/>
        <v/>
      </c>
      <c r="AQ1636" s="215" t="str">
        <f t="shared" si="737"/>
        <v/>
      </c>
      <c r="AR1636" s="216" t="str">
        <f t="shared" si="738"/>
        <v>BiK82X2bK09-06</v>
      </c>
      <c r="AS1636" s="215" t="str">
        <f t="shared" si="739"/>
        <v/>
      </c>
      <c r="AT1636">
        <f t="shared" si="740"/>
        <v>14</v>
      </c>
      <c r="AU1636" s="216" t="str">
        <f t="shared" si="741"/>
        <v>0,15-0,5 MW, Bonusregeln X2, b und K erstmals 2009</v>
      </c>
      <c r="AV1636" s="215" t="str">
        <f t="shared" si="742"/>
        <v/>
      </c>
      <c r="AW1636" s="216" t="str">
        <f t="shared" si="743"/>
        <v>Anteil KWK, erstmals 2009</v>
      </c>
      <c r="AX1636" s="215" t="str">
        <f t="shared" si="744"/>
        <v/>
      </c>
      <c r="AY1636" t="str">
        <f t="shared" si="745"/>
        <v/>
      </c>
      <c r="AZ1636" t="str">
        <f t="shared" si="746"/>
        <v/>
      </c>
    </row>
    <row r="1637" spans="1:52" x14ac:dyDescent="0.25">
      <c r="A1637" s="610" t="s">
        <v>4931</v>
      </c>
      <c r="B1637" s="30" t="s">
        <v>5548</v>
      </c>
      <c r="C1637" s="30" t="s">
        <v>1296</v>
      </c>
      <c r="D1637" s="30" t="s">
        <v>7204</v>
      </c>
      <c r="E1637" s="30" t="s">
        <v>3567</v>
      </c>
      <c r="F1637" s="454">
        <f t="shared" si="753"/>
        <v>24.57</v>
      </c>
      <c r="G1637" s="529">
        <v>24.57</v>
      </c>
      <c r="H1637" s="487">
        <f t="shared" si="754"/>
        <v>19.66</v>
      </c>
      <c r="I1637" s="706"/>
      <c r="J1637" s="669" t="s">
        <v>5805</v>
      </c>
      <c r="K1637" s="15"/>
      <c r="M1637" s="49">
        <f t="shared" si="755"/>
        <v>24.57</v>
      </c>
      <c r="N1637" s="41">
        <v>9.6</v>
      </c>
      <c r="O1637" s="186"/>
      <c r="P1637" s="177"/>
      <c r="Q1637" s="178"/>
      <c r="R1637" s="178" t="s">
        <v>1017</v>
      </c>
      <c r="S1637" s="178" t="s">
        <v>4180</v>
      </c>
      <c r="T1637" t="s">
        <v>4180</v>
      </c>
      <c r="U1637" s="179"/>
      <c r="V1637" s="178"/>
      <c r="W1637" s="180"/>
      <c r="X1637" s="180"/>
      <c r="Y1637" s="178"/>
      <c r="Z1637" s="180"/>
      <c r="AA1637" s="184"/>
      <c r="AB1637" s="178"/>
      <c r="AC1637" s="180"/>
      <c r="AD1637" s="199" t="s">
        <v>1017</v>
      </c>
      <c r="AE1637" s="181" t="s">
        <v>1017</v>
      </c>
      <c r="AF1637" s="180"/>
      <c r="AG1637" s="201"/>
      <c r="AH1637" s="212" t="str">
        <f t="shared" si="756"/>
        <v>2010</v>
      </c>
      <c r="AI1637" s="214" t="str">
        <f t="shared" si="748"/>
        <v/>
      </c>
      <c r="AJ1637" s="214" t="str">
        <f t="shared" si="749"/>
        <v/>
      </c>
      <c r="AK1637" s="214" t="str">
        <f t="shared" si="750"/>
        <v/>
      </c>
      <c r="AL1637" s="214" t="str">
        <f t="shared" si="751"/>
        <v/>
      </c>
      <c r="AM1637" s="214" t="str">
        <f t="shared" si="752"/>
        <v/>
      </c>
      <c r="AN1637" s="213" t="str">
        <f t="shared" si="734"/>
        <v>2010</v>
      </c>
      <c r="AO1637" s="213" t="str">
        <f t="shared" si="735"/>
        <v>2010</v>
      </c>
      <c r="AP1637" s="213" t="str">
        <f t="shared" si="736"/>
        <v>2010</v>
      </c>
      <c r="AQ1637" s="215" t="str">
        <f t="shared" si="737"/>
        <v/>
      </c>
      <c r="AR1637" s="216" t="str">
        <f t="shared" si="738"/>
        <v>BiK82X2bK10-06</v>
      </c>
      <c r="AS1637" s="215" t="str">
        <f t="shared" si="739"/>
        <v/>
      </c>
      <c r="AT1637">
        <f t="shared" si="740"/>
        <v>14</v>
      </c>
      <c r="AU1637" s="216" t="str">
        <f t="shared" si="741"/>
        <v>0,15-0,5 MW, Bonusregeln X2, b und K erstmals 2010</v>
      </c>
      <c r="AV1637" s="215" t="str">
        <f t="shared" si="742"/>
        <v/>
      </c>
      <c r="AW1637" s="216" t="str">
        <f t="shared" si="743"/>
        <v>Anteil KWK, erstmals 2010</v>
      </c>
      <c r="AX1637" s="215" t="str">
        <f t="shared" si="744"/>
        <v/>
      </c>
      <c r="AY1637" t="str">
        <f t="shared" si="745"/>
        <v/>
      </c>
      <c r="AZ1637" t="str">
        <f t="shared" si="746"/>
        <v/>
      </c>
    </row>
    <row r="1638" spans="1:52" x14ac:dyDescent="0.25">
      <c r="A1638" s="610" t="s">
        <v>3978</v>
      </c>
      <c r="B1638" s="30" t="s">
        <v>5548</v>
      </c>
      <c r="C1638" s="30" t="s">
        <v>1296</v>
      </c>
      <c r="D1638" s="30" t="s">
        <v>7205</v>
      </c>
      <c r="E1638" s="30" t="s">
        <v>3055</v>
      </c>
      <c r="F1638" s="454">
        <f t="shared" si="753"/>
        <v>24.54</v>
      </c>
      <c r="G1638" s="529">
        <v>24.54</v>
      </c>
      <c r="H1638" s="487">
        <f t="shared" si="754"/>
        <v>19.63</v>
      </c>
      <c r="I1638" s="706"/>
      <c r="J1638" s="669" t="s">
        <v>5805</v>
      </c>
      <c r="K1638" s="15"/>
      <c r="M1638" s="49">
        <f t="shared" si="755"/>
        <v>24.54</v>
      </c>
      <c r="N1638" s="41">
        <v>9.6</v>
      </c>
      <c r="O1638" s="186"/>
      <c r="P1638" s="177"/>
      <c r="Q1638" s="178"/>
      <c r="R1638" s="178"/>
      <c r="S1638" s="178" t="s">
        <v>1017</v>
      </c>
      <c r="T1638" t="s">
        <v>4180</v>
      </c>
      <c r="U1638" s="179"/>
      <c r="V1638" s="178"/>
      <c r="W1638" s="180"/>
      <c r="X1638" s="180"/>
      <c r="Y1638" s="178"/>
      <c r="Z1638" s="180"/>
      <c r="AA1638" s="184"/>
      <c r="AB1638" s="178"/>
      <c r="AC1638" s="180"/>
      <c r="AD1638" s="199" t="s">
        <v>1017</v>
      </c>
      <c r="AE1638" s="181" t="s">
        <v>1017</v>
      </c>
      <c r="AF1638" s="180"/>
      <c r="AG1638" s="201"/>
      <c r="AH1638" s="212" t="str">
        <f t="shared" si="756"/>
        <v>2011</v>
      </c>
      <c r="AI1638" s="214" t="str">
        <f t="shared" si="748"/>
        <v/>
      </c>
      <c r="AJ1638" s="214" t="str">
        <f t="shared" si="749"/>
        <v/>
      </c>
      <c r="AK1638" s="214" t="str">
        <f t="shared" si="750"/>
        <v/>
      </c>
      <c r="AL1638" s="214" t="str">
        <f t="shared" si="751"/>
        <v/>
      </c>
      <c r="AM1638" s="214" t="str">
        <f t="shared" si="752"/>
        <v/>
      </c>
      <c r="AN1638" s="213" t="str">
        <f t="shared" si="734"/>
        <v>2011</v>
      </c>
      <c r="AO1638" s="213" t="str">
        <f t="shared" si="735"/>
        <v>2011</v>
      </c>
      <c r="AP1638" s="213" t="str">
        <f t="shared" si="736"/>
        <v>2011</v>
      </c>
      <c r="AQ1638" s="215" t="str">
        <f t="shared" si="737"/>
        <v/>
      </c>
      <c r="AR1638" s="216" t="str">
        <f t="shared" si="738"/>
        <v>BiK82X2bK11-06</v>
      </c>
      <c r="AS1638" s="215" t="str">
        <f t="shared" si="739"/>
        <v/>
      </c>
      <c r="AT1638">
        <f t="shared" si="740"/>
        <v>14</v>
      </c>
      <c r="AU1638" s="216" t="str">
        <f t="shared" si="741"/>
        <v>0,15-0,5 MW, Bonusregeln X2, b und K erstmals 2011</v>
      </c>
      <c r="AV1638" s="215" t="str">
        <f t="shared" si="742"/>
        <v/>
      </c>
      <c r="AW1638" s="216" t="str">
        <f t="shared" si="743"/>
        <v>Anteil KWK, erstmals 2011</v>
      </c>
      <c r="AX1638" s="215" t="str">
        <f t="shared" si="744"/>
        <v/>
      </c>
      <c r="AY1638" t="str">
        <f t="shared" si="745"/>
        <v>x</v>
      </c>
      <c r="AZ1638" t="str">
        <f t="shared" si="746"/>
        <v/>
      </c>
    </row>
    <row r="1639" spans="1:52" x14ac:dyDescent="0.25">
      <c r="A1639" s="625" t="s">
        <v>1800</v>
      </c>
      <c r="B1639" s="219" t="s">
        <v>5548</v>
      </c>
      <c r="C1639" s="219" t="s">
        <v>1296</v>
      </c>
      <c r="D1639" s="219" t="s">
        <v>7206</v>
      </c>
      <c r="E1639" s="219" t="s">
        <v>1980</v>
      </c>
      <c r="F1639" s="455">
        <f t="shared" si="753"/>
        <v>24.509999999999998</v>
      </c>
      <c r="G1639" s="530">
        <v>24.509999999999998</v>
      </c>
      <c r="H1639" s="488">
        <f t="shared" si="754"/>
        <v>19.61</v>
      </c>
      <c r="I1639" s="707"/>
      <c r="J1639" s="669" t="s">
        <v>5805</v>
      </c>
      <c r="K1639" s="15"/>
      <c r="M1639" s="49">
        <f t="shared" si="755"/>
        <v>24.509999999999998</v>
      </c>
      <c r="N1639" s="41">
        <v>9.6</v>
      </c>
      <c r="O1639" s="186"/>
      <c r="P1639" s="177"/>
      <c r="Q1639" s="178"/>
      <c r="R1639" s="178"/>
      <c r="S1639" s="178" t="s">
        <v>4180</v>
      </c>
      <c r="T1639" t="s">
        <v>1017</v>
      </c>
      <c r="U1639" s="179"/>
      <c r="V1639" s="178"/>
      <c r="W1639" s="180"/>
      <c r="X1639" s="180"/>
      <c r="Y1639" s="178"/>
      <c r="Z1639" s="180"/>
      <c r="AA1639" s="184"/>
      <c r="AB1639" s="178"/>
      <c r="AC1639" s="180"/>
      <c r="AD1639" s="199" t="s">
        <v>1017</v>
      </c>
      <c r="AE1639" s="181" t="s">
        <v>1017</v>
      </c>
      <c r="AF1639" s="180"/>
      <c r="AG1639" s="201"/>
      <c r="AH1639" s="217" t="s">
        <v>4179</v>
      </c>
      <c r="AI1639" s="214" t="str">
        <f t="shared" si="748"/>
        <v/>
      </c>
      <c r="AJ1639" s="214" t="str">
        <f t="shared" si="749"/>
        <v/>
      </c>
      <c r="AK1639" s="214" t="str">
        <f t="shared" si="750"/>
        <v/>
      </c>
      <c r="AL1639" s="214" t="str">
        <f t="shared" si="751"/>
        <v/>
      </c>
      <c r="AM1639" s="214" t="str">
        <f t="shared" si="752"/>
        <v/>
      </c>
      <c r="AN1639" s="213" t="str">
        <f t="shared" si="734"/>
        <v>2012</v>
      </c>
      <c r="AO1639" s="213" t="str">
        <f t="shared" si="735"/>
        <v>2012</v>
      </c>
      <c r="AP1639" s="213" t="str">
        <f t="shared" si="736"/>
        <v>2012</v>
      </c>
      <c r="AQ1639" s="215" t="str">
        <f t="shared" si="737"/>
        <v/>
      </c>
      <c r="AR1639" s="216" t="str">
        <f t="shared" si="738"/>
        <v>BiK82X2bK12-06</v>
      </c>
      <c r="AS1639" s="215" t="str">
        <f t="shared" si="739"/>
        <v/>
      </c>
      <c r="AT1639">
        <f t="shared" si="740"/>
        <v>14</v>
      </c>
      <c r="AU1639" s="216" t="str">
        <f t="shared" si="741"/>
        <v>0,15-0,5 MW, Bonusregeln X2, b und K erstmals 2012</v>
      </c>
      <c r="AV1639" s="215" t="str">
        <f t="shared" si="742"/>
        <v/>
      </c>
      <c r="AW1639" s="216" t="str">
        <f t="shared" si="743"/>
        <v>Anteil KWK, erstmals 2012</v>
      </c>
      <c r="AX1639" s="215" t="str">
        <f t="shared" si="744"/>
        <v/>
      </c>
      <c r="AY1639" t="str">
        <f t="shared" si="745"/>
        <v/>
      </c>
      <c r="AZ1639" t="str">
        <f t="shared" si="746"/>
        <v>x</v>
      </c>
    </row>
    <row r="1640" spans="1:52" x14ac:dyDescent="0.25">
      <c r="A1640" s="610" t="s">
        <v>4424</v>
      </c>
      <c r="B1640" s="30" t="s">
        <v>5548</v>
      </c>
      <c r="C1640" s="30" t="s">
        <v>1296</v>
      </c>
      <c r="D1640" s="30" t="s">
        <v>7207</v>
      </c>
      <c r="E1640" s="30" t="s">
        <v>4810</v>
      </c>
      <c r="F1640" s="454">
        <f t="shared" si="753"/>
        <v>22.6</v>
      </c>
      <c r="G1640" s="529">
        <v>22.6</v>
      </c>
      <c r="H1640" s="487">
        <f t="shared" si="754"/>
        <v>18.079999999999998</v>
      </c>
      <c r="I1640" s="706"/>
      <c r="J1640" s="669" t="s">
        <v>5805</v>
      </c>
      <c r="K1640" s="15"/>
      <c r="M1640" s="49">
        <f t="shared" si="755"/>
        <v>22.6</v>
      </c>
      <c r="N1640" s="41">
        <v>9.6</v>
      </c>
      <c r="O1640" s="187"/>
      <c r="P1640" s="183"/>
      <c r="Q1640" s="184"/>
      <c r="R1640" s="184"/>
      <c r="S1640" s="184" t="s">
        <v>4180</v>
      </c>
      <c r="T1640" t="s">
        <v>4180</v>
      </c>
      <c r="U1640" s="185" t="s">
        <v>1017</v>
      </c>
      <c r="V1640" s="184"/>
      <c r="W1640" s="180"/>
      <c r="X1640" s="180"/>
      <c r="Y1640" s="178"/>
      <c r="Z1640" s="180"/>
      <c r="AA1640" s="184"/>
      <c r="AB1640" s="178"/>
      <c r="AC1640" s="180"/>
      <c r="AD1640" s="182" t="s">
        <v>1017</v>
      </c>
      <c r="AE1640" s="181" t="s">
        <v>1017</v>
      </c>
      <c r="AF1640" s="180"/>
      <c r="AG1640" s="201"/>
      <c r="AH1640" s="212" t="str">
        <f t="shared" ref="AH1640:AH1645" si="757">IF(ISERROR(SEARCH("K erstmals 201",D1640)),"",RIGHT(D1640,4))</f>
        <v/>
      </c>
      <c r="AI1640" s="214" t="str">
        <f t="shared" si="748"/>
        <v/>
      </c>
      <c r="AJ1640" s="214" t="str">
        <f t="shared" si="749"/>
        <v/>
      </c>
      <c r="AK1640" s="214" t="str">
        <f t="shared" si="750"/>
        <v/>
      </c>
      <c r="AL1640" s="214" t="str">
        <f t="shared" si="751"/>
        <v/>
      </c>
      <c r="AM1640" s="214" t="str">
        <f t="shared" si="752"/>
        <v/>
      </c>
      <c r="AN1640" s="213" t="str">
        <f t="shared" si="734"/>
        <v/>
      </c>
      <c r="AO1640" s="213" t="str">
        <f t="shared" si="735"/>
        <v/>
      </c>
      <c r="AP1640" s="213" t="str">
        <f t="shared" si="736"/>
        <v/>
      </c>
      <c r="AQ1640" s="215" t="str">
        <f t="shared" si="737"/>
        <v/>
      </c>
      <c r="AR1640" s="216" t="str">
        <f t="shared" si="738"/>
        <v>BiK82X2by---06</v>
      </c>
      <c r="AS1640" s="215" t="str">
        <f t="shared" si="739"/>
        <v/>
      </c>
      <c r="AT1640">
        <f t="shared" si="740"/>
        <v>14</v>
      </c>
      <c r="AU1640" s="216" t="str">
        <f t="shared" si="741"/>
        <v>0,15-0,5 MW, Bonusregeln X2, y, b</v>
      </c>
      <c r="AV1640" s="215" t="str">
        <f t="shared" si="742"/>
        <v/>
      </c>
      <c r="AW1640" s="216" t="str">
        <f t="shared" si="743"/>
        <v>Anteil Nicht-KWK</v>
      </c>
      <c r="AX1640" s="215" t="str">
        <f t="shared" si="744"/>
        <v/>
      </c>
      <c r="AY1640" t="str">
        <f t="shared" si="745"/>
        <v/>
      </c>
      <c r="AZ1640" t="str">
        <f t="shared" si="746"/>
        <v/>
      </c>
    </row>
    <row r="1641" spans="1:52" x14ac:dyDescent="0.25">
      <c r="A1641" s="610" t="s">
        <v>4425</v>
      </c>
      <c r="B1641" s="30" t="s">
        <v>5548</v>
      </c>
      <c r="C1641" s="30" t="s">
        <v>1296</v>
      </c>
      <c r="D1641" s="30" t="s">
        <v>7208</v>
      </c>
      <c r="E1641" s="30" t="s">
        <v>4812</v>
      </c>
      <c r="F1641" s="454">
        <f t="shared" si="753"/>
        <v>24.6</v>
      </c>
      <c r="G1641" s="529">
        <v>24.6</v>
      </c>
      <c r="H1641" s="487">
        <f t="shared" si="754"/>
        <v>19.68</v>
      </c>
      <c r="I1641" s="706"/>
      <c r="J1641" s="669" t="s">
        <v>5805</v>
      </c>
      <c r="K1641" s="15"/>
      <c r="M1641" s="49">
        <f t="shared" si="755"/>
        <v>24.6</v>
      </c>
      <c r="N1641" s="41">
        <v>9.6</v>
      </c>
      <c r="O1641" s="187" t="s">
        <v>1017</v>
      </c>
      <c r="P1641" s="183"/>
      <c r="Q1641" s="184"/>
      <c r="R1641" s="184"/>
      <c r="S1641" s="184" t="s">
        <v>4180</v>
      </c>
      <c r="T1641" t="s">
        <v>4180</v>
      </c>
      <c r="U1641" s="185" t="s">
        <v>1017</v>
      </c>
      <c r="V1641" s="184"/>
      <c r="W1641" s="180"/>
      <c r="X1641" s="180"/>
      <c r="Y1641" s="178"/>
      <c r="Z1641" s="180"/>
      <c r="AA1641" s="184"/>
      <c r="AB1641" s="178"/>
      <c r="AC1641" s="180"/>
      <c r="AD1641" s="182" t="s">
        <v>1017</v>
      </c>
      <c r="AE1641" s="181" t="s">
        <v>1017</v>
      </c>
      <c r="AF1641" s="180"/>
      <c r="AG1641" s="201"/>
      <c r="AH1641" s="212" t="str">
        <f t="shared" si="757"/>
        <v/>
      </c>
      <c r="AI1641" s="214" t="str">
        <f t="shared" si="748"/>
        <v/>
      </c>
      <c r="AJ1641" s="214" t="str">
        <f t="shared" si="749"/>
        <v/>
      </c>
      <c r="AK1641" s="214" t="str">
        <f t="shared" si="750"/>
        <v/>
      </c>
      <c r="AL1641" s="214" t="str">
        <f t="shared" si="751"/>
        <v/>
      </c>
      <c r="AM1641" s="214" t="str">
        <f t="shared" si="752"/>
        <v/>
      </c>
      <c r="AN1641" s="213" t="str">
        <f t="shared" si="734"/>
        <v/>
      </c>
      <c r="AO1641" s="213" t="str">
        <f t="shared" si="735"/>
        <v/>
      </c>
      <c r="AP1641" s="213" t="str">
        <f t="shared" si="736"/>
        <v/>
      </c>
      <c r="AQ1641" s="215" t="str">
        <f t="shared" si="737"/>
        <v/>
      </c>
      <c r="AR1641" s="216" t="str">
        <f t="shared" si="738"/>
        <v>BiK82X2bKWKy06</v>
      </c>
      <c r="AS1641" s="215" t="str">
        <f t="shared" si="739"/>
        <v/>
      </c>
      <c r="AT1641">
        <f t="shared" si="740"/>
        <v>14</v>
      </c>
      <c r="AU1641" s="216" t="str">
        <f t="shared" si="741"/>
        <v>0,15-0,5 MW, Bonusregeln X2, y, b und KWK</v>
      </c>
      <c r="AV1641" s="215" t="str">
        <f t="shared" si="742"/>
        <v/>
      </c>
      <c r="AW1641" s="216" t="str">
        <f t="shared" si="743"/>
        <v>Anteil KWK</v>
      </c>
      <c r="AX1641" s="215" t="str">
        <f t="shared" si="744"/>
        <v/>
      </c>
      <c r="AY1641" t="str">
        <f t="shared" si="745"/>
        <v/>
      </c>
      <c r="AZ1641" t="str">
        <f t="shared" si="746"/>
        <v/>
      </c>
    </row>
    <row r="1642" spans="1:52" x14ac:dyDescent="0.25">
      <c r="A1642" s="610" t="s">
        <v>4426</v>
      </c>
      <c r="B1642" s="30" t="s">
        <v>5548</v>
      </c>
      <c r="C1642" s="30" t="s">
        <v>1296</v>
      </c>
      <c r="D1642" s="109" t="s">
        <v>7209</v>
      </c>
      <c r="E1642" s="30" t="s">
        <v>4331</v>
      </c>
      <c r="F1642" s="454">
        <f t="shared" si="753"/>
        <v>25.6</v>
      </c>
      <c r="G1642" s="529">
        <v>25.6</v>
      </c>
      <c r="H1642" s="487">
        <f t="shared" si="754"/>
        <v>20.48</v>
      </c>
      <c r="I1642" s="706"/>
      <c r="J1642" s="669" t="s">
        <v>5805</v>
      </c>
      <c r="K1642" s="15"/>
      <c r="M1642" s="49">
        <f t="shared" si="755"/>
        <v>25.6</v>
      </c>
      <c r="N1642" s="41">
        <v>9.6</v>
      </c>
      <c r="O1642" s="187"/>
      <c r="P1642" s="184" t="s">
        <v>1017</v>
      </c>
      <c r="Q1642" s="184"/>
      <c r="R1642" s="184"/>
      <c r="S1642" s="184" t="s">
        <v>4180</v>
      </c>
      <c r="T1642" t="s">
        <v>4180</v>
      </c>
      <c r="U1642" s="185" t="s">
        <v>1017</v>
      </c>
      <c r="V1642" s="184"/>
      <c r="W1642" s="180"/>
      <c r="X1642" s="180"/>
      <c r="Y1642" s="178"/>
      <c r="Z1642" s="180"/>
      <c r="AA1642" s="184"/>
      <c r="AB1642" s="178"/>
      <c r="AC1642" s="180"/>
      <c r="AD1642" s="182" t="s">
        <v>1017</v>
      </c>
      <c r="AE1642" s="181" t="s">
        <v>1017</v>
      </c>
      <c r="AF1642" s="180"/>
      <c r="AG1642" s="201"/>
      <c r="AH1642" s="212" t="str">
        <f t="shared" si="757"/>
        <v/>
      </c>
      <c r="AI1642" s="214" t="str">
        <f t="shared" si="748"/>
        <v/>
      </c>
      <c r="AJ1642" s="214" t="str">
        <f t="shared" si="749"/>
        <v/>
      </c>
      <c r="AK1642" s="214" t="str">
        <f t="shared" si="750"/>
        <v/>
      </c>
      <c r="AL1642" s="214" t="str">
        <f t="shared" si="751"/>
        <v/>
      </c>
      <c r="AM1642" s="214" t="str">
        <f t="shared" si="752"/>
        <v/>
      </c>
      <c r="AN1642" s="213" t="str">
        <f t="shared" si="734"/>
        <v/>
      </c>
      <c r="AO1642" s="213" t="str">
        <f t="shared" si="735"/>
        <v/>
      </c>
      <c r="AP1642" s="213" t="str">
        <f t="shared" si="736"/>
        <v/>
      </c>
      <c r="AQ1642" s="215" t="str">
        <f t="shared" si="737"/>
        <v/>
      </c>
      <c r="AR1642" s="216" t="str">
        <f t="shared" si="738"/>
        <v>BiK82X2bKA3y06</v>
      </c>
      <c r="AS1642" s="215" t="str">
        <f t="shared" si="739"/>
        <v/>
      </c>
      <c r="AT1642">
        <f t="shared" si="740"/>
        <v>14</v>
      </c>
      <c r="AU1642" s="216" t="str">
        <f t="shared" si="741"/>
        <v>0,15-0,5 MW, Bonusregeln X2, y, b und K wenn Anlage 3 erfüllt</v>
      </c>
      <c r="AV1642" s="215" t="str">
        <f t="shared" si="742"/>
        <v/>
      </c>
      <c r="AW1642" s="216" t="str">
        <f t="shared" si="743"/>
        <v>Anteil KWK gemäß Anlage 3</v>
      </c>
      <c r="AX1642" s="215" t="str">
        <f t="shared" si="744"/>
        <v/>
      </c>
      <c r="AY1642" t="str">
        <f t="shared" si="745"/>
        <v/>
      </c>
      <c r="AZ1642" t="str">
        <f t="shared" si="746"/>
        <v/>
      </c>
    </row>
    <row r="1643" spans="1:52" x14ac:dyDescent="0.25">
      <c r="A1643" s="610" t="s">
        <v>4427</v>
      </c>
      <c r="B1643" s="30" t="s">
        <v>5548</v>
      </c>
      <c r="C1643" s="30" t="s">
        <v>1296</v>
      </c>
      <c r="D1643" s="30" t="s">
        <v>7210</v>
      </c>
      <c r="E1643" s="30" t="s">
        <v>674</v>
      </c>
      <c r="F1643" s="454">
        <f t="shared" si="753"/>
        <v>25.6</v>
      </c>
      <c r="G1643" s="529">
        <v>25.6</v>
      </c>
      <c r="H1643" s="487">
        <f t="shared" si="754"/>
        <v>20.48</v>
      </c>
      <c r="I1643" s="706"/>
      <c r="J1643" s="669" t="s">
        <v>5805</v>
      </c>
      <c r="K1643" s="15"/>
      <c r="M1643" s="49">
        <f t="shared" si="755"/>
        <v>25.6</v>
      </c>
      <c r="N1643" s="41">
        <v>9.6</v>
      </c>
      <c r="O1643" s="187"/>
      <c r="P1643" s="183"/>
      <c r="Q1643" s="184" t="s">
        <v>1017</v>
      </c>
      <c r="R1643" s="184"/>
      <c r="S1643" s="184" t="s">
        <v>4180</v>
      </c>
      <c r="T1643" t="s">
        <v>4180</v>
      </c>
      <c r="U1643" s="185" t="s">
        <v>1017</v>
      </c>
      <c r="V1643" s="184"/>
      <c r="W1643" s="180"/>
      <c r="X1643" s="180"/>
      <c r="Y1643" s="178"/>
      <c r="Z1643" s="180"/>
      <c r="AA1643" s="184"/>
      <c r="AB1643" s="178"/>
      <c r="AC1643" s="180"/>
      <c r="AD1643" s="182" t="s">
        <v>1017</v>
      </c>
      <c r="AE1643" s="181" t="s">
        <v>1017</v>
      </c>
      <c r="AF1643" s="180"/>
      <c r="AG1643" s="201"/>
      <c r="AH1643" s="212" t="str">
        <f t="shared" si="757"/>
        <v/>
      </c>
      <c r="AI1643" s="214" t="str">
        <f t="shared" si="748"/>
        <v/>
      </c>
      <c r="AJ1643" s="214" t="str">
        <f t="shared" si="749"/>
        <v/>
      </c>
      <c r="AK1643" s="214" t="str">
        <f t="shared" si="750"/>
        <v/>
      </c>
      <c r="AL1643" s="214" t="str">
        <f t="shared" si="751"/>
        <v/>
      </c>
      <c r="AM1643" s="214" t="str">
        <f t="shared" si="752"/>
        <v/>
      </c>
      <c r="AN1643" s="213" t="str">
        <f t="shared" si="734"/>
        <v/>
      </c>
      <c r="AO1643" s="213" t="str">
        <f t="shared" si="735"/>
        <v/>
      </c>
      <c r="AP1643" s="213" t="str">
        <f t="shared" si="736"/>
        <v/>
      </c>
      <c r="AQ1643" s="215" t="str">
        <f t="shared" si="737"/>
        <v/>
      </c>
      <c r="AR1643" s="216" t="str">
        <f t="shared" si="738"/>
        <v>BiK82X2bK09y06</v>
      </c>
      <c r="AS1643" s="215" t="str">
        <f t="shared" si="739"/>
        <v/>
      </c>
      <c r="AT1643">
        <f t="shared" si="740"/>
        <v>14</v>
      </c>
      <c r="AU1643" s="216" t="str">
        <f t="shared" si="741"/>
        <v>0,15-0,5 MW, Bonusregeln X2, y, b und K erstmals 2009</v>
      </c>
      <c r="AV1643" s="215" t="str">
        <f t="shared" si="742"/>
        <v/>
      </c>
      <c r="AW1643" s="216" t="str">
        <f t="shared" si="743"/>
        <v>Anteil KWK, erstmals 2009</v>
      </c>
      <c r="AX1643" s="215" t="str">
        <f t="shared" si="744"/>
        <v/>
      </c>
      <c r="AY1643" t="str">
        <f t="shared" si="745"/>
        <v/>
      </c>
      <c r="AZ1643" t="str">
        <f t="shared" si="746"/>
        <v/>
      </c>
    </row>
    <row r="1644" spans="1:52" s="178" customFormat="1" x14ac:dyDescent="0.25">
      <c r="A1644" s="610" t="s">
        <v>4932</v>
      </c>
      <c r="B1644" s="30" t="s">
        <v>5548</v>
      </c>
      <c r="C1644" s="30" t="s">
        <v>1296</v>
      </c>
      <c r="D1644" s="30" t="s">
        <v>7211</v>
      </c>
      <c r="E1644" s="30" t="s">
        <v>3567</v>
      </c>
      <c r="F1644" s="454">
        <f t="shared" si="753"/>
        <v>25.57</v>
      </c>
      <c r="G1644" s="529">
        <v>25.57</v>
      </c>
      <c r="H1644" s="487">
        <f t="shared" si="754"/>
        <v>20.46</v>
      </c>
      <c r="I1644" s="706"/>
      <c r="J1644" s="669" t="s">
        <v>5805</v>
      </c>
      <c r="K1644" s="15"/>
      <c r="L1644"/>
      <c r="M1644" s="49">
        <f t="shared" si="755"/>
        <v>25.57</v>
      </c>
      <c r="N1644" s="41">
        <v>9.6</v>
      </c>
      <c r="O1644" s="187"/>
      <c r="P1644" s="183"/>
      <c r="Q1644" s="184"/>
      <c r="R1644" s="184" t="s">
        <v>1017</v>
      </c>
      <c r="S1644" s="184" t="s">
        <v>4180</v>
      </c>
      <c r="T1644" s="178" t="s">
        <v>4180</v>
      </c>
      <c r="U1644" s="185" t="s">
        <v>1017</v>
      </c>
      <c r="V1644" s="184"/>
      <c r="W1644" s="180"/>
      <c r="X1644" s="180"/>
      <c r="Z1644" s="180"/>
      <c r="AA1644" s="184"/>
      <c r="AC1644" s="180"/>
      <c r="AD1644" s="182" t="s">
        <v>1017</v>
      </c>
      <c r="AE1644" s="181" t="s">
        <v>1017</v>
      </c>
      <c r="AF1644" s="180"/>
      <c r="AG1644" s="201"/>
      <c r="AH1644" s="212" t="str">
        <f t="shared" si="757"/>
        <v>2010</v>
      </c>
      <c r="AI1644" s="214" t="str">
        <f t="shared" si="748"/>
        <v/>
      </c>
      <c r="AJ1644" s="214" t="str">
        <f t="shared" si="749"/>
        <v/>
      </c>
      <c r="AK1644" s="214" t="str">
        <f t="shared" si="750"/>
        <v/>
      </c>
      <c r="AL1644" s="214" t="str">
        <f t="shared" si="751"/>
        <v/>
      </c>
      <c r="AM1644" s="214" t="str">
        <f t="shared" si="752"/>
        <v/>
      </c>
      <c r="AN1644" s="213" t="str">
        <f t="shared" si="734"/>
        <v>2010</v>
      </c>
      <c r="AO1644" s="213" t="str">
        <f t="shared" si="735"/>
        <v>2010</v>
      </c>
      <c r="AP1644" s="213" t="str">
        <f t="shared" si="736"/>
        <v>2010</v>
      </c>
      <c r="AQ1644" s="215" t="str">
        <f t="shared" si="737"/>
        <v/>
      </c>
      <c r="AR1644" s="216" t="str">
        <f t="shared" si="738"/>
        <v>BiK82X2bK10y06</v>
      </c>
      <c r="AS1644" s="215" t="str">
        <f t="shared" si="739"/>
        <v/>
      </c>
      <c r="AT1644">
        <f t="shared" si="740"/>
        <v>14</v>
      </c>
      <c r="AU1644" s="216" t="str">
        <f t="shared" si="741"/>
        <v>0,15-0,5 MW, Bonusregeln X2, y, b und K erstmals 2010</v>
      </c>
      <c r="AV1644" s="215" t="str">
        <f t="shared" si="742"/>
        <v/>
      </c>
      <c r="AW1644" s="216" t="str">
        <f t="shared" si="743"/>
        <v>Anteil KWK, erstmals 2010</v>
      </c>
      <c r="AX1644" s="215" t="str">
        <f t="shared" si="744"/>
        <v/>
      </c>
      <c r="AY1644" t="str">
        <f t="shared" si="745"/>
        <v/>
      </c>
      <c r="AZ1644" t="str">
        <f t="shared" si="746"/>
        <v/>
      </c>
    </row>
    <row r="1645" spans="1:52" s="178" customFormat="1" x14ac:dyDescent="0.25">
      <c r="A1645" s="610" t="s">
        <v>3979</v>
      </c>
      <c r="B1645" s="30" t="s">
        <v>5548</v>
      </c>
      <c r="C1645" s="30" t="s">
        <v>1296</v>
      </c>
      <c r="D1645" s="30" t="s">
        <v>7212</v>
      </c>
      <c r="E1645" s="30" t="s">
        <v>3055</v>
      </c>
      <c r="F1645" s="454">
        <f t="shared" si="753"/>
        <v>25.54</v>
      </c>
      <c r="G1645" s="529">
        <v>25.54</v>
      </c>
      <c r="H1645" s="487">
        <f t="shared" si="754"/>
        <v>20.43</v>
      </c>
      <c r="I1645" s="706"/>
      <c r="J1645" s="669" t="s">
        <v>5805</v>
      </c>
      <c r="K1645" s="15"/>
      <c r="L1645"/>
      <c r="M1645" s="49">
        <f t="shared" si="755"/>
        <v>25.54</v>
      </c>
      <c r="N1645" s="41">
        <v>9.6</v>
      </c>
      <c r="O1645" s="187"/>
      <c r="P1645" s="183"/>
      <c r="Q1645" s="184"/>
      <c r="S1645" s="184" t="s">
        <v>1017</v>
      </c>
      <c r="T1645" s="178" t="s">
        <v>4180</v>
      </c>
      <c r="U1645" s="185" t="s">
        <v>1017</v>
      </c>
      <c r="V1645" s="184"/>
      <c r="W1645" s="180"/>
      <c r="X1645" s="180"/>
      <c r="Z1645" s="180"/>
      <c r="AA1645" s="184"/>
      <c r="AC1645" s="180"/>
      <c r="AD1645" s="182" t="s">
        <v>1017</v>
      </c>
      <c r="AE1645" s="181" t="s">
        <v>1017</v>
      </c>
      <c r="AF1645" s="180"/>
      <c r="AG1645" s="201"/>
      <c r="AH1645" s="212" t="str">
        <f t="shared" si="757"/>
        <v>2011</v>
      </c>
      <c r="AI1645" s="214" t="str">
        <f t="shared" si="748"/>
        <v/>
      </c>
      <c r="AJ1645" s="214" t="str">
        <f t="shared" si="749"/>
        <v/>
      </c>
      <c r="AK1645" s="214" t="str">
        <f t="shared" si="750"/>
        <v/>
      </c>
      <c r="AL1645" s="214" t="str">
        <f t="shared" si="751"/>
        <v/>
      </c>
      <c r="AM1645" s="214" t="str">
        <f t="shared" si="752"/>
        <v/>
      </c>
      <c r="AN1645" s="213" t="str">
        <f t="shared" si="734"/>
        <v>2011</v>
      </c>
      <c r="AO1645" s="213" t="str">
        <f t="shared" si="735"/>
        <v>2011</v>
      </c>
      <c r="AP1645" s="213" t="str">
        <f t="shared" si="736"/>
        <v>2011</v>
      </c>
      <c r="AQ1645" s="215" t="str">
        <f t="shared" si="737"/>
        <v/>
      </c>
      <c r="AR1645" s="216" t="str">
        <f t="shared" si="738"/>
        <v>BiK82X2bK11y06</v>
      </c>
      <c r="AS1645" s="215" t="str">
        <f t="shared" si="739"/>
        <v/>
      </c>
      <c r="AT1645">
        <f t="shared" si="740"/>
        <v>14</v>
      </c>
      <c r="AU1645" s="216" t="str">
        <f t="shared" si="741"/>
        <v>0,15-0,5 MW, Bonusregeln X2, y, b und K erstmals 2011</v>
      </c>
      <c r="AV1645" s="215" t="str">
        <f t="shared" si="742"/>
        <v/>
      </c>
      <c r="AW1645" s="216" t="str">
        <f t="shared" si="743"/>
        <v>Anteil KWK, erstmals 2011</v>
      </c>
      <c r="AX1645" s="215" t="str">
        <f t="shared" si="744"/>
        <v/>
      </c>
      <c r="AY1645" t="str">
        <f t="shared" si="745"/>
        <v>x</v>
      </c>
      <c r="AZ1645" t="str">
        <f t="shared" si="746"/>
        <v/>
      </c>
    </row>
    <row r="1646" spans="1:52" s="178" customFormat="1" x14ac:dyDescent="0.25">
      <c r="A1646" s="625" t="s">
        <v>1801</v>
      </c>
      <c r="B1646" s="219" t="s">
        <v>5548</v>
      </c>
      <c r="C1646" s="219" t="s">
        <v>1296</v>
      </c>
      <c r="D1646" s="219" t="s">
        <v>7213</v>
      </c>
      <c r="E1646" s="219" t="s">
        <v>1980</v>
      </c>
      <c r="F1646" s="455">
        <f t="shared" si="753"/>
        <v>25.509999999999998</v>
      </c>
      <c r="G1646" s="530">
        <v>25.509999999999998</v>
      </c>
      <c r="H1646" s="488">
        <f t="shared" si="754"/>
        <v>20.41</v>
      </c>
      <c r="I1646" s="707"/>
      <c r="J1646" s="669" t="s">
        <v>5805</v>
      </c>
      <c r="K1646" s="15"/>
      <c r="L1646"/>
      <c r="M1646" s="49">
        <f t="shared" si="755"/>
        <v>25.509999999999998</v>
      </c>
      <c r="N1646" s="41">
        <v>9.6</v>
      </c>
      <c r="O1646" s="187"/>
      <c r="P1646" s="183"/>
      <c r="Q1646" s="184"/>
      <c r="S1646" s="184" t="s">
        <v>4180</v>
      </c>
      <c r="T1646" s="178" t="s">
        <v>1017</v>
      </c>
      <c r="U1646" s="185" t="s">
        <v>1017</v>
      </c>
      <c r="V1646" s="184"/>
      <c r="W1646" s="180"/>
      <c r="X1646" s="180"/>
      <c r="Z1646" s="180"/>
      <c r="AA1646" s="184"/>
      <c r="AC1646" s="180"/>
      <c r="AD1646" s="182" t="s">
        <v>1017</v>
      </c>
      <c r="AE1646" s="181" t="s">
        <v>1017</v>
      </c>
      <c r="AF1646" s="180"/>
      <c r="AG1646" s="201"/>
      <c r="AH1646" s="217" t="s">
        <v>4179</v>
      </c>
      <c r="AI1646" s="214" t="str">
        <f t="shared" si="748"/>
        <v/>
      </c>
      <c r="AJ1646" s="214" t="str">
        <f t="shared" si="749"/>
        <v/>
      </c>
      <c r="AK1646" s="214" t="str">
        <f t="shared" si="750"/>
        <v/>
      </c>
      <c r="AL1646" s="214" t="str">
        <f t="shared" si="751"/>
        <v/>
      </c>
      <c r="AM1646" s="214" t="str">
        <f t="shared" si="752"/>
        <v/>
      </c>
      <c r="AN1646" s="213" t="str">
        <f t="shared" si="734"/>
        <v>2012</v>
      </c>
      <c r="AO1646" s="213" t="str">
        <f t="shared" si="735"/>
        <v>2012</v>
      </c>
      <c r="AP1646" s="213" t="str">
        <f t="shared" si="736"/>
        <v>2012</v>
      </c>
      <c r="AQ1646" s="215" t="str">
        <f t="shared" si="737"/>
        <v/>
      </c>
      <c r="AR1646" s="216" t="str">
        <f t="shared" si="738"/>
        <v>BiK82X2bK12y06</v>
      </c>
      <c r="AS1646" s="215" t="str">
        <f t="shared" si="739"/>
        <v/>
      </c>
      <c r="AT1646">
        <f t="shared" si="740"/>
        <v>14</v>
      </c>
      <c r="AU1646" s="216" t="str">
        <f t="shared" si="741"/>
        <v>0,15-0,5 MW, Bonusregeln X2, y, b und K erstmals 2012</v>
      </c>
      <c r="AV1646" s="215" t="str">
        <f t="shared" si="742"/>
        <v/>
      </c>
      <c r="AW1646" s="216" t="str">
        <f t="shared" si="743"/>
        <v>Anteil KWK, erstmals 2012</v>
      </c>
      <c r="AX1646" s="215" t="str">
        <f t="shared" si="744"/>
        <v/>
      </c>
      <c r="AY1646" t="str">
        <f t="shared" si="745"/>
        <v/>
      </c>
      <c r="AZ1646" t="str">
        <f t="shared" si="746"/>
        <v>x</v>
      </c>
    </row>
    <row r="1647" spans="1:52" s="178" customFormat="1" x14ac:dyDescent="0.25">
      <c r="A1647" s="609" t="s">
        <v>518</v>
      </c>
      <c r="B1647" s="1" t="s">
        <v>5548</v>
      </c>
      <c r="C1647" s="2" t="s">
        <v>1296</v>
      </c>
      <c r="D1647" s="1" t="s">
        <v>5408</v>
      </c>
      <c r="E1647" s="1" t="s">
        <v>4810</v>
      </c>
      <c r="F1647" s="456">
        <f t="shared" si="753"/>
        <v>8.64</v>
      </c>
      <c r="G1647" s="531">
        <v>8.64</v>
      </c>
      <c r="H1647" s="489">
        <f t="shared" si="754"/>
        <v>6.91</v>
      </c>
      <c r="I1647" s="708"/>
      <c r="J1647" s="669" t="s">
        <v>5805</v>
      </c>
      <c r="K1647" s="15"/>
      <c r="L1647"/>
      <c r="M1647" s="49">
        <f t="shared" si="755"/>
        <v>8.64</v>
      </c>
      <c r="N1647" s="41">
        <v>8.64</v>
      </c>
      <c r="O1647" s="54"/>
      <c r="P1647" s="74"/>
      <c r="Q1647"/>
      <c r="R1647"/>
      <c r="S1647" t="s">
        <v>4180</v>
      </c>
      <c r="T1647" s="178" t="s">
        <v>4180</v>
      </c>
      <c r="U1647" s="75"/>
      <c r="V1647" s="65"/>
      <c r="W1647"/>
      <c r="X1647"/>
      <c r="Y1647" s="65"/>
      <c r="Z1647" s="65"/>
      <c r="AA1647" s="65"/>
      <c r="AB1647" s="65"/>
      <c r="AC1647" s="65"/>
      <c r="AD1647" s="91"/>
      <c r="AE1647" s="124"/>
      <c r="AF1647" s="65"/>
      <c r="AG1647" s="91"/>
      <c r="AH1647" s="212" t="str">
        <f>IF(ISERROR(SEARCH("K erstmals 201",D1647)),"",RIGHT(D1647,4))</f>
        <v/>
      </c>
      <c r="AI1647" s="214" t="str">
        <f t="shared" si="748"/>
        <v/>
      </c>
      <c r="AJ1647" s="214" t="str">
        <f t="shared" si="749"/>
        <v/>
      </c>
      <c r="AK1647" s="214" t="str">
        <f t="shared" si="750"/>
        <v/>
      </c>
      <c r="AL1647" s="214" t="str">
        <f t="shared" si="751"/>
        <v/>
      </c>
      <c r="AM1647" s="214" t="str">
        <f t="shared" si="752"/>
        <v/>
      </c>
      <c r="AN1647" s="213" t="str">
        <f t="shared" si="734"/>
        <v/>
      </c>
      <c r="AO1647" s="213" t="str">
        <f t="shared" si="735"/>
        <v/>
      </c>
      <c r="AP1647" s="213" t="str">
        <f t="shared" si="736"/>
        <v/>
      </c>
      <c r="AQ1647" s="215" t="str">
        <f t="shared" si="737"/>
        <v/>
      </c>
      <c r="AR1647" s="216" t="str">
        <f t="shared" si="738"/>
        <v>BiK83-------06</v>
      </c>
      <c r="AS1647" s="215" t="str">
        <f t="shared" si="739"/>
        <v/>
      </c>
      <c r="AT1647">
        <f t="shared" si="740"/>
        <v>14</v>
      </c>
      <c r="AU1647" s="216" t="str">
        <f t="shared" si="741"/>
        <v>0,5-5 MW</v>
      </c>
      <c r="AV1647" s="215" t="str">
        <f t="shared" si="742"/>
        <v/>
      </c>
      <c r="AW1647" s="216" t="str">
        <f t="shared" si="743"/>
        <v>Anteil Nicht-KWK</v>
      </c>
      <c r="AX1647" s="215" t="str">
        <f t="shared" si="744"/>
        <v/>
      </c>
      <c r="AY1647" t="str">
        <f t="shared" si="745"/>
        <v/>
      </c>
      <c r="AZ1647" t="str">
        <f t="shared" si="746"/>
        <v/>
      </c>
    </row>
    <row r="1648" spans="1:52" s="178" customFormat="1" x14ac:dyDescent="0.25">
      <c r="A1648" s="609" t="s">
        <v>519</v>
      </c>
      <c r="B1648" s="1" t="s">
        <v>5548</v>
      </c>
      <c r="C1648" s="2" t="s">
        <v>1296</v>
      </c>
      <c r="D1648" s="1" t="s">
        <v>6774</v>
      </c>
      <c r="E1648" s="1" t="s">
        <v>4812</v>
      </c>
      <c r="F1648" s="456">
        <f t="shared" si="753"/>
        <v>10.64</v>
      </c>
      <c r="G1648" s="531">
        <v>10.64</v>
      </c>
      <c r="H1648" s="489">
        <f t="shared" si="754"/>
        <v>8.51</v>
      </c>
      <c r="I1648" s="708"/>
      <c r="J1648" s="669" t="s">
        <v>5805</v>
      </c>
      <c r="K1648" s="15"/>
      <c r="L1648"/>
      <c r="M1648" s="49">
        <f t="shared" si="755"/>
        <v>10.64</v>
      </c>
      <c r="N1648" s="41">
        <v>8.64</v>
      </c>
      <c r="O1648" s="54" t="s">
        <v>1017</v>
      </c>
      <c r="P1648" s="74"/>
      <c r="Q1648"/>
      <c r="R1648"/>
      <c r="S1648" t="s">
        <v>4180</v>
      </c>
      <c r="T1648" s="178" t="s">
        <v>4180</v>
      </c>
      <c r="U1648" s="75"/>
      <c r="V1648" s="65"/>
      <c r="W1648"/>
      <c r="X1648"/>
      <c r="Y1648" s="65"/>
      <c r="Z1648" s="65"/>
      <c r="AA1648" s="65"/>
      <c r="AB1648" s="65"/>
      <c r="AC1648" s="65"/>
      <c r="AD1648" s="91"/>
      <c r="AE1648" s="124"/>
      <c r="AF1648" s="65"/>
      <c r="AG1648" s="91"/>
      <c r="AH1648" s="212" t="str">
        <f>IF(ISERROR(SEARCH("K erstmals 201",D1648)),"",RIGHT(D1648,4))</f>
        <v/>
      </c>
      <c r="AI1648" s="214" t="str">
        <f t="shared" si="748"/>
        <v/>
      </c>
      <c r="AJ1648" s="214" t="str">
        <f t="shared" si="749"/>
        <v/>
      </c>
      <c r="AK1648" s="214" t="str">
        <f t="shared" si="750"/>
        <v/>
      </c>
      <c r="AL1648" s="214" t="str">
        <f t="shared" si="751"/>
        <v/>
      </c>
      <c r="AM1648" s="214" t="str">
        <f t="shared" si="752"/>
        <v/>
      </c>
      <c r="AN1648" s="213" t="str">
        <f t="shared" si="734"/>
        <v/>
      </c>
      <c r="AO1648" s="213" t="str">
        <f t="shared" si="735"/>
        <v/>
      </c>
      <c r="AP1648" s="213" t="str">
        <f t="shared" si="736"/>
        <v/>
      </c>
      <c r="AQ1648" s="215" t="str">
        <f t="shared" si="737"/>
        <v/>
      </c>
      <c r="AR1648" s="216" t="str">
        <f t="shared" si="738"/>
        <v>BiK83KWK----06</v>
      </c>
      <c r="AS1648" s="215" t="str">
        <f t="shared" si="739"/>
        <v/>
      </c>
      <c r="AT1648">
        <f t="shared" si="740"/>
        <v>14</v>
      </c>
      <c r="AU1648" s="216" t="str">
        <f t="shared" si="741"/>
        <v>0,5-5 MW, Bonusregel KWK</v>
      </c>
      <c r="AV1648" s="215" t="str">
        <f t="shared" si="742"/>
        <v/>
      </c>
      <c r="AW1648" s="216" t="str">
        <f t="shared" si="743"/>
        <v>Anteil KWK</v>
      </c>
      <c r="AX1648" s="215" t="str">
        <f t="shared" si="744"/>
        <v/>
      </c>
      <c r="AY1648" t="str">
        <f t="shared" si="745"/>
        <v/>
      </c>
      <c r="AZ1648" t="str">
        <f t="shared" si="746"/>
        <v/>
      </c>
    </row>
    <row r="1649" spans="1:52" s="178" customFormat="1" x14ac:dyDescent="0.25">
      <c r="A1649" s="610" t="s">
        <v>4594</v>
      </c>
      <c r="B1649" s="17" t="s">
        <v>5548</v>
      </c>
      <c r="C1649" s="17" t="s">
        <v>1296</v>
      </c>
      <c r="D1649" s="30" t="s">
        <v>6754</v>
      </c>
      <c r="E1649" s="17" t="s">
        <v>674</v>
      </c>
      <c r="F1649" s="454">
        <f t="shared" si="753"/>
        <v>11.64</v>
      </c>
      <c r="G1649" s="529">
        <v>11.64</v>
      </c>
      <c r="H1649" s="487">
        <f t="shared" si="754"/>
        <v>9.31</v>
      </c>
      <c r="I1649" s="706"/>
      <c r="J1649" s="669" t="s">
        <v>5805</v>
      </c>
      <c r="K1649" s="15"/>
      <c r="L1649"/>
      <c r="M1649" s="49">
        <f t="shared" si="755"/>
        <v>11.64</v>
      </c>
      <c r="N1649" s="41">
        <v>8.64</v>
      </c>
      <c r="O1649" s="54"/>
      <c r="P1649" s="74"/>
      <c r="Q1649" t="s">
        <v>1017</v>
      </c>
      <c r="R1649"/>
      <c r="S1649" t="s">
        <v>4180</v>
      </c>
      <c r="T1649" s="178" t="s">
        <v>4180</v>
      </c>
      <c r="U1649" s="75"/>
      <c r="V1649" s="65"/>
      <c r="W1649"/>
      <c r="X1649"/>
      <c r="Y1649" s="65"/>
      <c r="Z1649" s="65"/>
      <c r="AA1649" s="65"/>
      <c r="AB1649" s="65"/>
      <c r="AC1649" s="65"/>
      <c r="AD1649" s="91"/>
      <c r="AE1649" s="124"/>
      <c r="AF1649" s="65"/>
      <c r="AG1649" s="91"/>
      <c r="AH1649" s="212" t="str">
        <f>IF(ISERROR(SEARCH("K erstmals 201",D1649)),"",RIGHT(D1649,4))</f>
        <v/>
      </c>
      <c r="AI1649" s="214" t="str">
        <f t="shared" si="748"/>
        <v/>
      </c>
      <c r="AJ1649" s="214" t="str">
        <f t="shared" si="749"/>
        <v/>
      </c>
      <c r="AK1649" s="214" t="str">
        <f t="shared" si="750"/>
        <v/>
      </c>
      <c r="AL1649" s="214" t="str">
        <f t="shared" si="751"/>
        <v/>
      </c>
      <c r="AM1649" s="214" t="str">
        <f t="shared" si="752"/>
        <v/>
      </c>
      <c r="AN1649" s="213" t="str">
        <f t="shared" si="734"/>
        <v/>
      </c>
      <c r="AO1649" s="213" t="str">
        <f t="shared" si="735"/>
        <v/>
      </c>
      <c r="AP1649" s="213" t="str">
        <f t="shared" si="736"/>
        <v/>
      </c>
      <c r="AQ1649" s="215" t="str">
        <f t="shared" si="737"/>
        <v/>
      </c>
      <c r="AR1649" s="216" t="str">
        <f t="shared" si="738"/>
        <v>BiK83K09----06</v>
      </c>
      <c r="AS1649" s="215" t="str">
        <f t="shared" si="739"/>
        <v/>
      </c>
      <c r="AT1649">
        <f t="shared" si="740"/>
        <v>14</v>
      </c>
      <c r="AU1649" s="216" t="str">
        <f t="shared" si="741"/>
        <v>0,5-5 MW, Bonusregel K erstmals 2009</v>
      </c>
      <c r="AV1649" s="215" t="str">
        <f t="shared" si="742"/>
        <v/>
      </c>
      <c r="AW1649" s="216" t="str">
        <f t="shared" si="743"/>
        <v>Anteil KWK, erstmals 2009</v>
      </c>
      <c r="AX1649" s="215" t="str">
        <f t="shared" si="744"/>
        <v/>
      </c>
      <c r="AY1649" t="str">
        <f t="shared" si="745"/>
        <v/>
      </c>
      <c r="AZ1649" t="str">
        <f t="shared" si="746"/>
        <v/>
      </c>
    </row>
    <row r="1650" spans="1:52" s="178" customFormat="1" x14ac:dyDescent="0.25">
      <c r="A1650" s="610" t="s">
        <v>4933</v>
      </c>
      <c r="B1650" s="17" t="s">
        <v>5548</v>
      </c>
      <c r="C1650" s="17" t="s">
        <v>1296</v>
      </c>
      <c r="D1650" s="30" t="s">
        <v>6755</v>
      </c>
      <c r="E1650" s="30" t="s">
        <v>3567</v>
      </c>
      <c r="F1650" s="454">
        <f t="shared" si="753"/>
        <v>11.610000000000001</v>
      </c>
      <c r="G1650" s="529">
        <v>11.610000000000001</v>
      </c>
      <c r="H1650" s="487">
        <f t="shared" si="754"/>
        <v>9.2899999999999991</v>
      </c>
      <c r="I1650" s="706"/>
      <c r="J1650" s="669" t="s">
        <v>5805</v>
      </c>
      <c r="K1650" s="15"/>
      <c r="L1650"/>
      <c r="M1650" s="49">
        <f t="shared" si="755"/>
        <v>11.610000000000001</v>
      </c>
      <c r="N1650" s="41">
        <v>8.64</v>
      </c>
      <c r="O1650" s="54"/>
      <c r="P1650" s="74"/>
      <c r="Q1650"/>
      <c r="R1650" t="s">
        <v>1017</v>
      </c>
      <c r="S1650" t="s">
        <v>4180</v>
      </c>
      <c r="T1650" s="178" t="s">
        <v>4180</v>
      </c>
      <c r="U1650" s="75"/>
      <c r="V1650" s="65"/>
      <c r="W1650"/>
      <c r="X1650"/>
      <c r="Y1650" s="65"/>
      <c r="Z1650" s="65"/>
      <c r="AA1650" s="65"/>
      <c r="AB1650" s="65"/>
      <c r="AC1650" s="65"/>
      <c r="AD1650" s="91"/>
      <c r="AE1650" s="124"/>
      <c r="AF1650" s="65"/>
      <c r="AG1650" s="91"/>
      <c r="AH1650" s="212" t="str">
        <f>IF(ISERROR(SEARCH("K erstmals 201",D1650)),"",RIGHT(D1650,4))</f>
        <v>2010</v>
      </c>
      <c r="AI1650" s="214" t="str">
        <f t="shared" si="748"/>
        <v/>
      </c>
      <c r="AJ1650" s="214" t="str">
        <f t="shared" si="749"/>
        <v/>
      </c>
      <c r="AK1650" s="214" t="str">
        <f t="shared" si="750"/>
        <v/>
      </c>
      <c r="AL1650" s="214" t="str">
        <f t="shared" si="751"/>
        <v/>
      </c>
      <c r="AM1650" s="214" t="str">
        <f t="shared" si="752"/>
        <v/>
      </c>
      <c r="AN1650" s="213" t="str">
        <f t="shared" si="734"/>
        <v>2010</v>
      </c>
      <c r="AO1650" s="213" t="str">
        <f t="shared" si="735"/>
        <v>2010</v>
      </c>
      <c r="AP1650" s="213" t="str">
        <f t="shared" si="736"/>
        <v>2010</v>
      </c>
      <c r="AQ1650" s="215" t="str">
        <f t="shared" si="737"/>
        <v/>
      </c>
      <c r="AR1650" s="216" t="str">
        <f t="shared" si="738"/>
        <v>BiK83K10----06</v>
      </c>
      <c r="AS1650" s="215" t="str">
        <f t="shared" si="739"/>
        <v/>
      </c>
      <c r="AT1650">
        <f t="shared" si="740"/>
        <v>14</v>
      </c>
      <c r="AU1650" s="216" t="str">
        <f t="shared" si="741"/>
        <v>0,5-5 MW, Bonusregel K erstmals 2010</v>
      </c>
      <c r="AV1650" s="215" t="str">
        <f t="shared" si="742"/>
        <v/>
      </c>
      <c r="AW1650" s="216" t="str">
        <f t="shared" si="743"/>
        <v>Anteil KWK, erstmals 2010</v>
      </c>
      <c r="AX1650" s="215" t="str">
        <f t="shared" si="744"/>
        <v/>
      </c>
      <c r="AY1650" t="str">
        <f t="shared" si="745"/>
        <v/>
      </c>
      <c r="AZ1650" t="str">
        <f t="shared" si="746"/>
        <v/>
      </c>
    </row>
    <row r="1651" spans="1:52" s="178" customFormat="1" x14ac:dyDescent="0.25">
      <c r="A1651" s="610" t="s">
        <v>3980</v>
      </c>
      <c r="B1651" s="17" t="s">
        <v>5548</v>
      </c>
      <c r="C1651" s="17" t="s">
        <v>1296</v>
      </c>
      <c r="D1651" s="30" t="s">
        <v>6756</v>
      </c>
      <c r="E1651" s="30" t="s">
        <v>3055</v>
      </c>
      <c r="F1651" s="454">
        <f t="shared" si="753"/>
        <v>11.58</v>
      </c>
      <c r="G1651" s="529">
        <v>11.58</v>
      </c>
      <c r="H1651" s="487">
        <f t="shared" si="754"/>
        <v>9.26</v>
      </c>
      <c r="I1651" s="706"/>
      <c r="J1651" s="669" t="s">
        <v>5805</v>
      </c>
      <c r="K1651" s="15"/>
      <c r="L1651"/>
      <c r="M1651" s="49">
        <f t="shared" si="755"/>
        <v>11.58</v>
      </c>
      <c r="N1651" s="41">
        <v>8.64</v>
      </c>
      <c r="O1651" s="54"/>
      <c r="P1651" s="74"/>
      <c r="Q1651"/>
      <c r="R1651"/>
      <c r="S1651" t="s">
        <v>1017</v>
      </c>
      <c r="T1651" s="178" t="s">
        <v>4180</v>
      </c>
      <c r="U1651" s="75"/>
      <c r="V1651" s="65"/>
      <c r="W1651"/>
      <c r="X1651"/>
      <c r="Y1651" s="65"/>
      <c r="Z1651" s="65"/>
      <c r="AA1651" s="65"/>
      <c r="AB1651" s="65"/>
      <c r="AC1651" s="65"/>
      <c r="AD1651" s="91"/>
      <c r="AE1651" s="124"/>
      <c r="AF1651" s="65"/>
      <c r="AG1651" s="91"/>
      <c r="AH1651" s="212" t="str">
        <f>IF(ISERROR(SEARCH("K erstmals 201",D1651)),"",RIGHT(D1651,4))</f>
        <v>2011</v>
      </c>
      <c r="AI1651" s="214" t="str">
        <f t="shared" si="748"/>
        <v/>
      </c>
      <c r="AJ1651" s="214" t="str">
        <f t="shared" si="749"/>
        <v/>
      </c>
      <c r="AK1651" s="214" t="str">
        <f t="shared" si="750"/>
        <v/>
      </c>
      <c r="AL1651" s="214" t="str">
        <f t="shared" si="751"/>
        <v/>
      </c>
      <c r="AM1651" s="214" t="str">
        <f t="shared" si="752"/>
        <v/>
      </c>
      <c r="AN1651" s="213" t="str">
        <f t="shared" si="734"/>
        <v>2011</v>
      </c>
      <c r="AO1651" s="213" t="str">
        <f t="shared" si="735"/>
        <v>2011</v>
      </c>
      <c r="AP1651" s="213" t="str">
        <f t="shared" si="736"/>
        <v>2011</v>
      </c>
      <c r="AQ1651" s="215" t="str">
        <f t="shared" si="737"/>
        <v/>
      </c>
      <c r="AR1651" s="216" t="str">
        <f t="shared" si="738"/>
        <v>BiK83K11----06</v>
      </c>
      <c r="AS1651" s="215" t="str">
        <f t="shared" si="739"/>
        <v/>
      </c>
      <c r="AT1651">
        <f t="shared" si="740"/>
        <v>14</v>
      </c>
      <c r="AU1651" s="216" t="str">
        <f t="shared" si="741"/>
        <v>0,5-5 MW, Bonusregel K erstmals 2011</v>
      </c>
      <c r="AV1651" s="215" t="str">
        <f t="shared" si="742"/>
        <v/>
      </c>
      <c r="AW1651" s="216" t="str">
        <f t="shared" si="743"/>
        <v>Anteil KWK, erstmals 2011</v>
      </c>
      <c r="AX1651" s="215" t="str">
        <f t="shared" si="744"/>
        <v/>
      </c>
      <c r="AY1651" t="str">
        <f t="shared" si="745"/>
        <v>x</v>
      </c>
      <c r="AZ1651" t="str">
        <f t="shared" si="746"/>
        <v/>
      </c>
    </row>
    <row r="1652" spans="1:52" s="178" customFormat="1" x14ac:dyDescent="0.25">
      <c r="A1652" s="625" t="s">
        <v>1802</v>
      </c>
      <c r="B1652" s="221" t="s">
        <v>5548</v>
      </c>
      <c r="C1652" s="221" t="s">
        <v>1296</v>
      </c>
      <c r="D1652" s="219" t="s">
        <v>6757</v>
      </c>
      <c r="E1652" s="219" t="s">
        <v>1980</v>
      </c>
      <c r="F1652" s="455">
        <f t="shared" si="753"/>
        <v>11.55</v>
      </c>
      <c r="G1652" s="530">
        <v>11.55</v>
      </c>
      <c r="H1652" s="488">
        <f t="shared" si="754"/>
        <v>9.24</v>
      </c>
      <c r="I1652" s="707"/>
      <c r="J1652" s="669" t="s">
        <v>5805</v>
      </c>
      <c r="K1652" s="15"/>
      <c r="L1652"/>
      <c r="M1652" s="49">
        <f t="shared" si="755"/>
        <v>11.55</v>
      </c>
      <c r="N1652" s="41">
        <v>8.64</v>
      </c>
      <c r="O1652" s="54"/>
      <c r="P1652" s="74"/>
      <c r="Q1652"/>
      <c r="R1652"/>
      <c r="S1652" t="s">
        <v>4180</v>
      </c>
      <c r="T1652" s="178" t="s">
        <v>1017</v>
      </c>
      <c r="U1652" s="75"/>
      <c r="V1652" s="65"/>
      <c r="W1652"/>
      <c r="X1652"/>
      <c r="Y1652" s="65"/>
      <c r="Z1652" s="65"/>
      <c r="AA1652" s="65"/>
      <c r="AB1652" s="65"/>
      <c r="AC1652" s="65"/>
      <c r="AD1652" s="91"/>
      <c r="AE1652" s="124"/>
      <c r="AF1652" s="65"/>
      <c r="AG1652" s="91"/>
      <c r="AH1652" s="217" t="s">
        <v>4179</v>
      </c>
      <c r="AI1652" s="214" t="str">
        <f t="shared" si="748"/>
        <v/>
      </c>
      <c r="AJ1652" s="214" t="str">
        <f t="shared" si="749"/>
        <v/>
      </c>
      <c r="AK1652" s="214" t="str">
        <f t="shared" si="750"/>
        <v/>
      </c>
      <c r="AL1652" s="214" t="str">
        <f t="shared" si="751"/>
        <v/>
      </c>
      <c r="AM1652" s="214" t="str">
        <f t="shared" si="752"/>
        <v/>
      </c>
      <c r="AN1652" s="213" t="str">
        <f t="shared" si="734"/>
        <v>2012</v>
      </c>
      <c r="AO1652" s="213" t="str">
        <f t="shared" si="735"/>
        <v>2012</v>
      </c>
      <c r="AP1652" s="213" t="str">
        <f t="shared" si="736"/>
        <v>2012</v>
      </c>
      <c r="AQ1652" s="215" t="str">
        <f t="shared" si="737"/>
        <v/>
      </c>
      <c r="AR1652" s="216" t="str">
        <f t="shared" si="738"/>
        <v>BiK83K12----06</v>
      </c>
      <c r="AS1652" s="215" t="str">
        <f t="shared" si="739"/>
        <v/>
      </c>
      <c r="AT1652">
        <f t="shared" si="740"/>
        <v>14</v>
      </c>
      <c r="AU1652" s="216" t="str">
        <f t="shared" si="741"/>
        <v>0,5-5 MW, Bonusregel K erstmals 2012</v>
      </c>
      <c r="AV1652" s="215" t="str">
        <f t="shared" si="742"/>
        <v/>
      </c>
      <c r="AW1652" s="216" t="str">
        <f t="shared" si="743"/>
        <v>Anteil KWK, erstmals 2012</v>
      </c>
      <c r="AX1652" s="215" t="str">
        <f t="shared" si="744"/>
        <v/>
      </c>
      <c r="AY1652" t="str">
        <f t="shared" si="745"/>
        <v/>
      </c>
      <c r="AZ1652" t="str">
        <f t="shared" si="746"/>
        <v>x</v>
      </c>
    </row>
    <row r="1653" spans="1:52" s="178" customFormat="1" x14ac:dyDescent="0.25">
      <c r="A1653" s="609" t="s">
        <v>520</v>
      </c>
      <c r="B1653" s="1" t="s">
        <v>5548</v>
      </c>
      <c r="C1653" s="2" t="s">
        <v>1296</v>
      </c>
      <c r="D1653" s="1" t="s">
        <v>598</v>
      </c>
      <c r="E1653" s="1" t="s">
        <v>4810</v>
      </c>
      <c r="F1653" s="456">
        <f t="shared" si="753"/>
        <v>12.64</v>
      </c>
      <c r="G1653" s="531">
        <v>12.64</v>
      </c>
      <c r="H1653" s="489">
        <f t="shared" si="754"/>
        <v>10.11</v>
      </c>
      <c r="I1653" s="708"/>
      <c r="J1653" s="669" t="s">
        <v>5805</v>
      </c>
      <c r="K1653" s="15"/>
      <c r="L1653"/>
      <c r="M1653" s="49">
        <f t="shared" si="755"/>
        <v>12.64</v>
      </c>
      <c r="N1653" s="41">
        <v>8.64</v>
      </c>
      <c r="O1653" s="54"/>
      <c r="P1653" s="74"/>
      <c r="Q1653"/>
      <c r="R1653"/>
      <c r="S1653" t="s">
        <v>4180</v>
      </c>
      <c r="T1653" s="178" t="s">
        <v>4180</v>
      </c>
      <c r="U1653" s="75"/>
      <c r="V1653" s="65"/>
      <c r="W1653" t="s">
        <v>1017</v>
      </c>
      <c r="X1653"/>
      <c r="Y1653" s="65"/>
      <c r="Z1653" s="65"/>
      <c r="AA1653" s="65"/>
      <c r="AB1653" s="65"/>
      <c r="AC1653" s="65"/>
      <c r="AD1653" s="91"/>
      <c r="AE1653" s="124"/>
      <c r="AF1653" s="65"/>
      <c r="AG1653" s="91"/>
      <c r="AH1653" s="212" t="str">
        <f>IF(ISERROR(SEARCH("K erstmals 201",D1653)),"",RIGHT(D1653,4))</f>
        <v/>
      </c>
      <c r="AI1653" s="214" t="str">
        <f t="shared" si="748"/>
        <v/>
      </c>
      <c r="AJ1653" s="214" t="str">
        <f t="shared" si="749"/>
        <v/>
      </c>
      <c r="AK1653" s="214" t="str">
        <f t="shared" si="750"/>
        <v/>
      </c>
      <c r="AL1653" s="214" t="str">
        <f t="shared" si="751"/>
        <v/>
      </c>
      <c r="AM1653" s="214" t="str">
        <f t="shared" si="752"/>
        <v/>
      </c>
      <c r="AN1653" s="213" t="str">
        <f t="shared" si="734"/>
        <v/>
      </c>
      <c r="AO1653" s="213" t="str">
        <f t="shared" si="735"/>
        <v/>
      </c>
      <c r="AP1653" s="213" t="str">
        <f t="shared" si="736"/>
        <v/>
      </c>
      <c r="AQ1653" s="215" t="str">
        <f t="shared" si="737"/>
        <v/>
      </c>
      <c r="AR1653" s="216" t="str">
        <f t="shared" si="738"/>
        <v>BiK83a2-----06</v>
      </c>
      <c r="AS1653" s="215" t="str">
        <f t="shared" si="739"/>
        <v/>
      </c>
      <c r="AT1653">
        <f t="shared" si="740"/>
        <v>14</v>
      </c>
      <c r="AU1653" s="216" t="str">
        <f t="shared" si="741"/>
        <v>0,5-5 MW, Bonusregel a2</v>
      </c>
      <c r="AV1653" s="215" t="str">
        <f t="shared" si="742"/>
        <v/>
      </c>
      <c r="AW1653" s="216" t="str">
        <f t="shared" si="743"/>
        <v>Anteil Nicht-KWK</v>
      </c>
      <c r="AX1653" s="215" t="str">
        <f t="shared" si="744"/>
        <v/>
      </c>
      <c r="AY1653" t="str">
        <f t="shared" si="745"/>
        <v/>
      </c>
      <c r="AZ1653" t="str">
        <f t="shared" si="746"/>
        <v/>
      </c>
    </row>
    <row r="1654" spans="1:52" s="178" customFormat="1" x14ac:dyDescent="0.25">
      <c r="A1654" s="609" t="s">
        <v>521</v>
      </c>
      <c r="B1654" s="1" t="s">
        <v>5548</v>
      </c>
      <c r="C1654" s="2" t="s">
        <v>1296</v>
      </c>
      <c r="D1654" s="1" t="s">
        <v>6775</v>
      </c>
      <c r="E1654" s="1" t="s">
        <v>4812</v>
      </c>
      <c r="F1654" s="456">
        <f t="shared" si="753"/>
        <v>14.64</v>
      </c>
      <c r="G1654" s="531">
        <v>14.64</v>
      </c>
      <c r="H1654" s="489">
        <f t="shared" si="754"/>
        <v>11.71</v>
      </c>
      <c r="I1654" s="708"/>
      <c r="J1654" s="669" t="s">
        <v>5805</v>
      </c>
      <c r="K1654" s="15"/>
      <c r="L1654"/>
      <c r="M1654" s="49">
        <f t="shared" si="755"/>
        <v>14.64</v>
      </c>
      <c r="N1654" s="41">
        <v>8.64</v>
      </c>
      <c r="O1654" s="54" t="s">
        <v>1017</v>
      </c>
      <c r="P1654" s="74"/>
      <c r="Q1654"/>
      <c r="R1654"/>
      <c r="S1654" t="s">
        <v>4180</v>
      </c>
      <c r="T1654" s="178" t="s">
        <v>4180</v>
      </c>
      <c r="U1654" s="75"/>
      <c r="V1654" s="65"/>
      <c r="W1654" t="s">
        <v>1017</v>
      </c>
      <c r="X1654"/>
      <c r="Y1654" s="65"/>
      <c r="Z1654" s="65"/>
      <c r="AA1654" s="65"/>
      <c r="AB1654" s="65"/>
      <c r="AC1654" s="65"/>
      <c r="AD1654" s="91"/>
      <c r="AE1654" s="124"/>
      <c r="AF1654" s="65"/>
      <c r="AG1654" s="91"/>
      <c r="AH1654" s="212" t="str">
        <f>IF(ISERROR(SEARCH("K erstmals 201",D1654)),"",RIGHT(D1654,4))</f>
        <v/>
      </c>
      <c r="AI1654" s="214" t="str">
        <f t="shared" si="748"/>
        <v/>
      </c>
      <c r="AJ1654" s="214" t="str">
        <f t="shared" si="749"/>
        <v/>
      </c>
      <c r="AK1654" s="214" t="str">
        <f t="shared" si="750"/>
        <v/>
      </c>
      <c r="AL1654" s="214" t="str">
        <f t="shared" si="751"/>
        <v/>
      </c>
      <c r="AM1654" s="214" t="str">
        <f t="shared" si="752"/>
        <v/>
      </c>
      <c r="AN1654" s="213" t="str">
        <f t="shared" si="734"/>
        <v/>
      </c>
      <c r="AO1654" s="213" t="str">
        <f t="shared" si="735"/>
        <v/>
      </c>
      <c r="AP1654" s="213" t="str">
        <f t="shared" si="736"/>
        <v/>
      </c>
      <c r="AQ1654" s="215" t="str">
        <f t="shared" si="737"/>
        <v/>
      </c>
      <c r="AR1654" s="216" t="str">
        <f t="shared" si="738"/>
        <v>BiK83a2KWK--06</v>
      </c>
      <c r="AS1654" s="215" t="str">
        <f t="shared" si="739"/>
        <v/>
      </c>
      <c r="AT1654">
        <f t="shared" si="740"/>
        <v>14</v>
      </c>
      <c r="AU1654" s="216" t="str">
        <f t="shared" si="741"/>
        <v>0,5-5 MW, Bonusregel a2 und KWK</v>
      </c>
      <c r="AV1654" s="215" t="str">
        <f t="shared" si="742"/>
        <v/>
      </c>
      <c r="AW1654" s="216" t="str">
        <f t="shared" si="743"/>
        <v>Anteil KWK</v>
      </c>
      <c r="AX1654" s="215" t="str">
        <f t="shared" si="744"/>
        <v/>
      </c>
      <c r="AY1654" t="str">
        <f t="shared" si="745"/>
        <v/>
      </c>
      <c r="AZ1654" t="str">
        <f t="shared" si="746"/>
        <v/>
      </c>
    </row>
    <row r="1655" spans="1:52" s="178" customFormat="1" x14ac:dyDescent="0.25">
      <c r="A1655" s="610" t="s">
        <v>4595</v>
      </c>
      <c r="B1655" s="17" t="s">
        <v>5548</v>
      </c>
      <c r="C1655" s="17" t="s">
        <v>1296</v>
      </c>
      <c r="D1655" s="30" t="s">
        <v>6776</v>
      </c>
      <c r="E1655" s="17" t="s">
        <v>674</v>
      </c>
      <c r="F1655" s="454">
        <f t="shared" si="753"/>
        <v>15.64</v>
      </c>
      <c r="G1655" s="529">
        <v>15.64</v>
      </c>
      <c r="H1655" s="487">
        <f t="shared" si="754"/>
        <v>12.51</v>
      </c>
      <c r="I1655" s="706"/>
      <c r="J1655" s="669" t="s">
        <v>5805</v>
      </c>
      <c r="K1655" s="15"/>
      <c r="L1655"/>
      <c r="M1655" s="49">
        <f t="shared" si="755"/>
        <v>15.64</v>
      </c>
      <c r="N1655" s="41">
        <v>8.64</v>
      </c>
      <c r="O1655" s="54"/>
      <c r="P1655" s="74"/>
      <c r="Q1655" t="s">
        <v>1017</v>
      </c>
      <c r="R1655"/>
      <c r="S1655" t="s">
        <v>4180</v>
      </c>
      <c r="T1655" s="178" t="s">
        <v>4180</v>
      </c>
      <c r="U1655" s="75"/>
      <c r="V1655" s="65"/>
      <c r="W1655" t="s">
        <v>1017</v>
      </c>
      <c r="X1655"/>
      <c r="Y1655" s="65"/>
      <c r="Z1655" s="65"/>
      <c r="AA1655" s="65"/>
      <c r="AB1655" s="65"/>
      <c r="AC1655" s="65"/>
      <c r="AD1655" s="91"/>
      <c r="AE1655" s="124"/>
      <c r="AF1655" s="65"/>
      <c r="AG1655" s="91"/>
      <c r="AH1655" s="212" t="str">
        <f>IF(ISERROR(SEARCH("K erstmals 201",D1655)),"",RIGHT(D1655,4))</f>
        <v/>
      </c>
      <c r="AI1655" s="214" t="str">
        <f t="shared" si="748"/>
        <v/>
      </c>
      <c r="AJ1655" s="214" t="str">
        <f t="shared" si="749"/>
        <v/>
      </c>
      <c r="AK1655" s="214" t="str">
        <f t="shared" si="750"/>
        <v/>
      </c>
      <c r="AL1655" s="214" t="str">
        <f t="shared" si="751"/>
        <v/>
      </c>
      <c r="AM1655" s="214" t="str">
        <f t="shared" si="752"/>
        <v/>
      </c>
      <c r="AN1655" s="213" t="str">
        <f t="shared" si="734"/>
        <v/>
      </c>
      <c r="AO1655" s="213" t="str">
        <f t="shared" si="735"/>
        <v/>
      </c>
      <c r="AP1655" s="213" t="str">
        <f t="shared" si="736"/>
        <v/>
      </c>
      <c r="AQ1655" s="215" t="str">
        <f t="shared" si="737"/>
        <v/>
      </c>
      <c r="AR1655" s="216" t="str">
        <f t="shared" si="738"/>
        <v>BiK83a2K09--06</v>
      </c>
      <c r="AS1655" s="215" t="str">
        <f t="shared" si="739"/>
        <v/>
      </c>
      <c r="AT1655">
        <f t="shared" si="740"/>
        <v>14</v>
      </c>
      <c r="AU1655" s="216" t="str">
        <f t="shared" si="741"/>
        <v>0,5-5 MW, Bonusregeln a2 und K erstmals 2009</v>
      </c>
      <c r="AV1655" s="215" t="str">
        <f t="shared" si="742"/>
        <v/>
      </c>
      <c r="AW1655" s="216" t="str">
        <f t="shared" si="743"/>
        <v>Anteil KWK, erstmals 2009</v>
      </c>
      <c r="AX1655" s="215" t="str">
        <f t="shared" si="744"/>
        <v/>
      </c>
      <c r="AY1655" t="str">
        <f t="shared" si="745"/>
        <v/>
      </c>
      <c r="AZ1655" t="str">
        <f t="shared" si="746"/>
        <v/>
      </c>
    </row>
    <row r="1656" spans="1:52" s="178" customFormat="1" x14ac:dyDescent="0.25">
      <c r="A1656" s="610" t="s">
        <v>4934</v>
      </c>
      <c r="B1656" s="17" t="s">
        <v>5548</v>
      </c>
      <c r="C1656" s="17" t="s">
        <v>1296</v>
      </c>
      <c r="D1656" s="30" t="s">
        <v>6777</v>
      </c>
      <c r="E1656" s="30" t="s">
        <v>3567</v>
      </c>
      <c r="F1656" s="454">
        <f t="shared" si="753"/>
        <v>15.610000000000001</v>
      </c>
      <c r="G1656" s="529">
        <v>15.610000000000001</v>
      </c>
      <c r="H1656" s="487">
        <f t="shared" si="754"/>
        <v>12.49</v>
      </c>
      <c r="I1656" s="706"/>
      <c r="J1656" s="669" t="s">
        <v>5805</v>
      </c>
      <c r="K1656" s="15"/>
      <c r="L1656"/>
      <c r="M1656" s="49">
        <f t="shared" si="755"/>
        <v>15.610000000000001</v>
      </c>
      <c r="N1656" s="41">
        <v>8.64</v>
      </c>
      <c r="O1656" s="54"/>
      <c r="P1656" s="74"/>
      <c r="Q1656"/>
      <c r="R1656" t="s">
        <v>1017</v>
      </c>
      <c r="S1656" t="s">
        <v>4180</v>
      </c>
      <c r="T1656" s="178" t="s">
        <v>4180</v>
      </c>
      <c r="U1656" s="75"/>
      <c r="V1656" s="65"/>
      <c r="W1656" t="s">
        <v>1017</v>
      </c>
      <c r="X1656"/>
      <c r="Y1656" s="65"/>
      <c r="Z1656" s="65"/>
      <c r="AA1656" s="65"/>
      <c r="AB1656" s="65"/>
      <c r="AC1656" s="65"/>
      <c r="AD1656" s="91"/>
      <c r="AE1656" s="124"/>
      <c r="AF1656" s="65"/>
      <c r="AG1656" s="91"/>
      <c r="AH1656" s="212" t="str">
        <f>IF(ISERROR(SEARCH("K erstmals 201",D1656)),"",RIGHT(D1656,4))</f>
        <v>2010</v>
      </c>
      <c r="AI1656" s="214" t="str">
        <f t="shared" si="748"/>
        <v/>
      </c>
      <c r="AJ1656" s="214" t="str">
        <f t="shared" si="749"/>
        <v/>
      </c>
      <c r="AK1656" s="214" t="str">
        <f t="shared" si="750"/>
        <v/>
      </c>
      <c r="AL1656" s="214" t="str">
        <f t="shared" si="751"/>
        <v/>
      </c>
      <c r="AM1656" s="214" t="str">
        <f t="shared" si="752"/>
        <v/>
      </c>
      <c r="AN1656" s="213" t="str">
        <f t="shared" si="734"/>
        <v>2010</v>
      </c>
      <c r="AO1656" s="213" t="str">
        <f t="shared" si="735"/>
        <v>2010</v>
      </c>
      <c r="AP1656" s="213" t="str">
        <f t="shared" si="736"/>
        <v>2010</v>
      </c>
      <c r="AQ1656" s="215" t="str">
        <f t="shared" si="737"/>
        <v/>
      </c>
      <c r="AR1656" s="216" t="str">
        <f t="shared" si="738"/>
        <v>BiK83a2K10--06</v>
      </c>
      <c r="AS1656" s="215" t="str">
        <f t="shared" si="739"/>
        <v/>
      </c>
      <c r="AT1656">
        <f t="shared" si="740"/>
        <v>14</v>
      </c>
      <c r="AU1656" s="216" t="str">
        <f t="shared" si="741"/>
        <v>0,5-5 MW, Bonusregeln a2 und K erstmals 2010</v>
      </c>
      <c r="AV1656" s="215" t="str">
        <f t="shared" si="742"/>
        <v/>
      </c>
      <c r="AW1656" s="216" t="str">
        <f t="shared" si="743"/>
        <v>Anteil KWK, erstmals 2010</v>
      </c>
      <c r="AX1656" s="215" t="str">
        <f t="shared" si="744"/>
        <v/>
      </c>
      <c r="AY1656" t="str">
        <f t="shared" si="745"/>
        <v/>
      </c>
      <c r="AZ1656" t="str">
        <f t="shared" si="746"/>
        <v/>
      </c>
    </row>
    <row r="1657" spans="1:52" s="178" customFormat="1" x14ac:dyDescent="0.25">
      <c r="A1657" s="610" t="s">
        <v>3981</v>
      </c>
      <c r="B1657" s="17" t="s">
        <v>5548</v>
      </c>
      <c r="C1657" s="17" t="s">
        <v>1296</v>
      </c>
      <c r="D1657" s="30" t="s">
        <v>6778</v>
      </c>
      <c r="E1657" s="30" t="s">
        <v>3055</v>
      </c>
      <c r="F1657" s="454">
        <f t="shared" si="753"/>
        <v>15.58</v>
      </c>
      <c r="G1657" s="529">
        <v>15.58</v>
      </c>
      <c r="H1657" s="487">
        <f t="shared" si="754"/>
        <v>12.46</v>
      </c>
      <c r="I1657" s="706"/>
      <c r="J1657" s="669" t="s">
        <v>5805</v>
      </c>
      <c r="K1657" s="15"/>
      <c r="L1657"/>
      <c r="M1657" s="49">
        <f t="shared" si="755"/>
        <v>15.58</v>
      </c>
      <c r="N1657" s="41">
        <v>8.64</v>
      </c>
      <c r="O1657" s="54"/>
      <c r="P1657" s="74"/>
      <c r="Q1657"/>
      <c r="R1657"/>
      <c r="S1657" t="s">
        <v>1017</v>
      </c>
      <c r="T1657" s="178" t="s">
        <v>4180</v>
      </c>
      <c r="U1657" s="75"/>
      <c r="V1657" s="65"/>
      <c r="W1657" t="s">
        <v>1017</v>
      </c>
      <c r="X1657"/>
      <c r="Y1657" s="65"/>
      <c r="Z1657" s="65"/>
      <c r="AA1657" s="65"/>
      <c r="AB1657" s="65"/>
      <c r="AC1657" s="65"/>
      <c r="AD1657" s="91"/>
      <c r="AE1657" s="124"/>
      <c r="AF1657" s="65"/>
      <c r="AG1657" s="91"/>
      <c r="AH1657" s="212" t="str">
        <f>IF(ISERROR(SEARCH("K erstmals 201",D1657)),"",RIGHT(D1657,4))</f>
        <v>2011</v>
      </c>
      <c r="AI1657" s="214" t="str">
        <f t="shared" si="748"/>
        <v/>
      </c>
      <c r="AJ1657" s="214" t="str">
        <f t="shared" si="749"/>
        <v/>
      </c>
      <c r="AK1657" s="214" t="str">
        <f t="shared" si="750"/>
        <v/>
      </c>
      <c r="AL1657" s="214" t="str">
        <f t="shared" si="751"/>
        <v/>
      </c>
      <c r="AM1657" s="214" t="str">
        <f t="shared" si="752"/>
        <v/>
      </c>
      <c r="AN1657" s="213" t="str">
        <f t="shared" si="734"/>
        <v>2011</v>
      </c>
      <c r="AO1657" s="213" t="str">
        <f t="shared" si="735"/>
        <v>2011</v>
      </c>
      <c r="AP1657" s="213" t="str">
        <f t="shared" si="736"/>
        <v>2011</v>
      </c>
      <c r="AQ1657" s="215" t="str">
        <f t="shared" si="737"/>
        <v/>
      </c>
      <c r="AR1657" s="216" t="str">
        <f t="shared" si="738"/>
        <v>BiK83a2K11--06</v>
      </c>
      <c r="AS1657" s="215" t="str">
        <f t="shared" si="739"/>
        <v/>
      </c>
      <c r="AT1657">
        <f t="shared" si="740"/>
        <v>14</v>
      </c>
      <c r="AU1657" s="216" t="str">
        <f t="shared" si="741"/>
        <v>0,5-5 MW, Bonusregeln a2 und K erstmals 2011</v>
      </c>
      <c r="AV1657" s="215" t="str">
        <f t="shared" si="742"/>
        <v/>
      </c>
      <c r="AW1657" s="216" t="str">
        <f t="shared" si="743"/>
        <v>Anteil KWK, erstmals 2011</v>
      </c>
      <c r="AX1657" s="215" t="str">
        <f t="shared" si="744"/>
        <v/>
      </c>
      <c r="AY1657" t="str">
        <f t="shared" si="745"/>
        <v>x</v>
      </c>
      <c r="AZ1657" t="str">
        <f t="shared" si="746"/>
        <v/>
      </c>
    </row>
    <row r="1658" spans="1:52" s="178" customFormat="1" x14ac:dyDescent="0.25">
      <c r="A1658" s="625" t="s">
        <v>1803</v>
      </c>
      <c r="B1658" s="221" t="s">
        <v>5548</v>
      </c>
      <c r="C1658" s="221" t="s">
        <v>1296</v>
      </c>
      <c r="D1658" s="219" t="s">
        <v>6779</v>
      </c>
      <c r="E1658" s="219" t="s">
        <v>1980</v>
      </c>
      <c r="F1658" s="455">
        <f t="shared" si="753"/>
        <v>15.55</v>
      </c>
      <c r="G1658" s="530">
        <v>15.55</v>
      </c>
      <c r="H1658" s="488">
        <f t="shared" si="754"/>
        <v>12.44</v>
      </c>
      <c r="I1658" s="707"/>
      <c r="J1658" s="669" t="s">
        <v>5805</v>
      </c>
      <c r="K1658" s="15"/>
      <c r="L1658"/>
      <c r="M1658" s="49">
        <f t="shared" si="755"/>
        <v>15.55</v>
      </c>
      <c r="N1658" s="41">
        <v>8.64</v>
      </c>
      <c r="O1658" s="54"/>
      <c r="P1658" s="74"/>
      <c r="Q1658"/>
      <c r="R1658"/>
      <c r="S1658" t="s">
        <v>4180</v>
      </c>
      <c r="T1658" s="178" t="s">
        <v>1017</v>
      </c>
      <c r="U1658" s="75"/>
      <c r="V1658" s="65"/>
      <c r="W1658" t="s">
        <v>1017</v>
      </c>
      <c r="X1658"/>
      <c r="Y1658" s="65"/>
      <c r="Z1658" s="65"/>
      <c r="AA1658" s="65"/>
      <c r="AB1658" s="65"/>
      <c r="AC1658" s="65"/>
      <c r="AD1658" s="91"/>
      <c r="AE1658" s="124"/>
      <c r="AF1658" s="65"/>
      <c r="AG1658" s="91"/>
      <c r="AH1658" s="217" t="s">
        <v>4179</v>
      </c>
      <c r="AI1658" s="214" t="str">
        <f t="shared" si="748"/>
        <v/>
      </c>
      <c r="AJ1658" s="214" t="str">
        <f t="shared" si="749"/>
        <v/>
      </c>
      <c r="AK1658" s="214" t="str">
        <f t="shared" si="750"/>
        <v/>
      </c>
      <c r="AL1658" s="214" t="str">
        <f t="shared" si="751"/>
        <v/>
      </c>
      <c r="AM1658" s="214" t="str">
        <f t="shared" si="752"/>
        <v/>
      </c>
      <c r="AN1658" s="213" t="str">
        <f t="shared" si="734"/>
        <v>2012</v>
      </c>
      <c r="AO1658" s="213" t="str">
        <f t="shared" si="735"/>
        <v>2012</v>
      </c>
      <c r="AP1658" s="213" t="str">
        <f t="shared" si="736"/>
        <v>2012</v>
      </c>
      <c r="AQ1658" s="215" t="str">
        <f t="shared" si="737"/>
        <v/>
      </c>
      <c r="AR1658" s="216" t="str">
        <f t="shared" si="738"/>
        <v>BiK83a2K12--06</v>
      </c>
      <c r="AS1658" s="215" t="str">
        <f t="shared" si="739"/>
        <v/>
      </c>
      <c r="AT1658">
        <f t="shared" si="740"/>
        <v>14</v>
      </c>
      <c r="AU1658" s="216" t="str">
        <f t="shared" si="741"/>
        <v>0,5-5 MW, Bonusregeln a2 und K erstmals 2012</v>
      </c>
      <c r="AV1658" s="215" t="str">
        <f t="shared" si="742"/>
        <v/>
      </c>
      <c r="AW1658" s="216" t="str">
        <f t="shared" si="743"/>
        <v>Anteil KWK, erstmals 2012</v>
      </c>
      <c r="AX1658" s="215" t="str">
        <f t="shared" si="744"/>
        <v/>
      </c>
      <c r="AY1658" t="str">
        <f t="shared" si="745"/>
        <v/>
      </c>
      <c r="AZ1658" t="str">
        <f t="shared" si="746"/>
        <v>x</v>
      </c>
    </row>
    <row r="1659" spans="1:52" s="178" customFormat="1" x14ac:dyDescent="0.25">
      <c r="A1659" s="609" t="s">
        <v>522</v>
      </c>
      <c r="B1659" s="1" t="s">
        <v>5548</v>
      </c>
      <c r="C1659" s="2" t="s">
        <v>1296</v>
      </c>
      <c r="D1659" s="1" t="s">
        <v>6762</v>
      </c>
      <c r="E1659" s="1" t="s">
        <v>4810</v>
      </c>
      <c r="F1659" s="456">
        <f t="shared" si="753"/>
        <v>11.14</v>
      </c>
      <c r="G1659" s="531">
        <v>11.14</v>
      </c>
      <c r="H1659" s="489">
        <f t="shared" si="754"/>
        <v>8.91</v>
      </c>
      <c r="I1659" s="708"/>
      <c r="J1659" s="669" t="s">
        <v>5805</v>
      </c>
      <c r="K1659" s="15"/>
      <c r="L1659"/>
      <c r="M1659" s="49">
        <f t="shared" si="755"/>
        <v>11.14</v>
      </c>
      <c r="N1659" s="41">
        <v>8.64</v>
      </c>
      <c r="O1659" s="54"/>
      <c r="P1659" s="74"/>
      <c r="Q1659"/>
      <c r="R1659"/>
      <c r="S1659" t="s">
        <v>4180</v>
      </c>
      <c r="T1659" s="178" t="s">
        <v>4180</v>
      </c>
      <c r="U1659" s="75"/>
      <c r="V1659" s="65"/>
      <c r="W1659"/>
      <c r="X1659" t="s">
        <v>1017</v>
      </c>
      <c r="Y1659" s="65"/>
      <c r="Z1659" s="65"/>
      <c r="AA1659" s="65"/>
      <c r="AB1659" s="65"/>
      <c r="AC1659" s="65"/>
      <c r="AD1659" s="91"/>
      <c r="AE1659" s="124"/>
      <c r="AF1659" s="65"/>
      <c r="AG1659" s="91"/>
      <c r="AH1659" s="212" t="str">
        <f>IF(ISERROR(SEARCH("K erstmals 201",D1659)),"",RIGHT(D1659,4))</f>
        <v/>
      </c>
      <c r="AI1659" s="214" t="str">
        <f t="shared" si="748"/>
        <v/>
      </c>
      <c r="AJ1659" s="214" t="str">
        <f t="shared" si="749"/>
        <v/>
      </c>
      <c r="AK1659" s="214" t="str">
        <f t="shared" si="750"/>
        <v/>
      </c>
      <c r="AL1659" s="214" t="str">
        <f t="shared" si="751"/>
        <v/>
      </c>
      <c r="AM1659" s="214" t="str">
        <f t="shared" si="752"/>
        <v/>
      </c>
      <c r="AN1659" s="213" t="str">
        <f t="shared" si="734"/>
        <v/>
      </c>
      <c r="AO1659" s="213" t="str">
        <f t="shared" si="735"/>
        <v/>
      </c>
      <c r="AP1659" s="213" t="str">
        <f t="shared" si="736"/>
        <v/>
      </c>
      <c r="AQ1659" s="215" t="str">
        <f t="shared" si="737"/>
        <v/>
      </c>
      <c r="AR1659" s="216" t="str">
        <f t="shared" si="738"/>
        <v>BiK83a3-----06</v>
      </c>
      <c r="AS1659" s="215" t="str">
        <f t="shared" si="739"/>
        <v/>
      </c>
      <c r="AT1659">
        <f t="shared" si="740"/>
        <v>14</v>
      </c>
      <c r="AU1659" s="216" t="str">
        <f t="shared" si="741"/>
        <v>0,5-5 MW, Bonusregel a3</v>
      </c>
      <c r="AV1659" s="215" t="str">
        <f t="shared" si="742"/>
        <v/>
      </c>
      <c r="AW1659" s="216" t="str">
        <f t="shared" si="743"/>
        <v>Anteil Nicht-KWK</v>
      </c>
      <c r="AX1659" s="215" t="str">
        <f t="shared" si="744"/>
        <v/>
      </c>
      <c r="AY1659" t="str">
        <f t="shared" si="745"/>
        <v/>
      </c>
      <c r="AZ1659" t="str">
        <f t="shared" si="746"/>
        <v/>
      </c>
    </row>
    <row r="1660" spans="1:52" s="178" customFormat="1" x14ac:dyDescent="0.25">
      <c r="A1660" s="609" t="s">
        <v>523</v>
      </c>
      <c r="B1660" s="1" t="s">
        <v>5548</v>
      </c>
      <c r="C1660" s="2" t="s">
        <v>1296</v>
      </c>
      <c r="D1660" s="1" t="s">
        <v>6780</v>
      </c>
      <c r="E1660" s="1" t="s">
        <v>4812</v>
      </c>
      <c r="F1660" s="456">
        <f t="shared" si="753"/>
        <v>13.14</v>
      </c>
      <c r="G1660" s="531">
        <v>13.14</v>
      </c>
      <c r="H1660" s="489">
        <f t="shared" si="754"/>
        <v>10.51</v>
      </c>
      <c r="I1660" s="708"/>
      <c r="J1660" s="669" t="s">
        <v>5805</v>
      </c>
      <c r="K1660" s="15"/>
      <c r="L1660"/>
      <c r="M1660" s="49">
        <f t="shared" si="755"/>
        <v>13.14</v>
      </c>
      <c r="N1660" s="41">
        <v>8.64</v>
      </c>
      <c r="O1660" s="54" t="s">
        <v>1017</v>
      </c>
      <c r="P1660" s="74"/>
      <c r="Q1660"/>
      <c r="R1660"/>
      <c r="S1660" t="s">
        <v>4180</v>
      </c>
      <c r="T1660" s="178" t="s">
        <v>4180</v>
      </c>
      <c r="U1660" s="75"/>
      <c r="V1660" s="65"/>
      <c r="W1660"/>
      <c r="X1660" t="s">
        <v>1017</v>
      </c>
      <c r="Y1660" s="65"/>
      <c r="Z1660" s="65"/>
      <c r="AA1660" s="65"/>
      <c r="AB1660" s="65"/>
      <c r="AC1660" s="65"/>
      <c r="AD1660" s="91"/>
      <c r="AE1660" s="124"/>
      <c r="AF1660" s="65"/>
      <c r="AG1660" s="91"/>
      <c r="AH1660" s="212" t="str">
        <f>IF(ISERROR(SEARCH("K erstmals 201",D1660)),"",RIGHT(D1660,4))</f>
        <v/>
      </c>
      <c r="AI1660" s="214" t="str">
        <f t="shared" si="748"/>
        <v/>
      </c>
      <c r="AJ1660" s="214" t="str">
        <f t="shared" si="749"/>
        <v/>
      </c>
      <c r="AK1660" s="214" t="str">
        <f t="shared" si="750"/>
        <v/>
      </c>
      <c r="AL1660" s="214" t="str">
        <f t="shared" si="751"/>
        <v/>
      </c>
      <c r="AM1660" s="214" t="str">
        <f t="shared" si="752"/>
        <v/>
      </c>
      <c r="AN1660" s="213" t="str">
        <f t="shared" si="734"/>
        <v/>
      </c>
      <c r="AO1660" s="213" t="str">
        <f t="shared" si="735"/>
        <v/>
      </c>
      <c r="AP1660" s="213" t="str">
        <f t="shared" si="736"/>
        <v/>
      </c>
      <c r="AQ1660" s="215" t="str">
        <f t="shared" si="737"/>
        <v/>
      </c>
      <c r="AR1660" s="216" t="str">
        <f t="shared" si="738"/>
        <v>BiK83a3KWK--06</v>
      </c>
      <c r="AS1660" s="215" t="str">
        <f t="shared" si="739"/>
        <v/>
      </c>
      <c r="AT1660">
        <f t="shared" si="740"/>
        <v>14</v>
      </c>
      <c r="AU1660" s="216" t="str">
        <f t="shared" si="741"/>
        <v>0,5-5 MW, Bonusregel a3 und KWK</v>
      </c>
      <c r="AV1660" s="215" t="str">
        <f t="shared" si="742"/>
        <v/>
      </c>
      <c r="AW1660" s="216" t="str">
        <f t="shared" si="743"/>
        <v>Anteil KWK</v>
      </c>
      <c r="AX1660" s="215" t="str">
        <f t="shared" si="744"/>
        <v/>
      </c>
      <c r="AY1660" t="str">
        <f t="shared" si="745"/>
        <v/>
      </c>
      <c r="AZ1660" t="str">
        <f t="shared" si="746"/>
        <v/>
      </c>
    </row>
    <row r="1661" spans="1:52" s="178" customFormat="1" x14ac:dyDescent="0.25">
      <c r="A1661" s="610" t="s">
        <v>4070</v>
      </c>
      <c r="B1661" s="17" t="s">
        <v>5548</v>
      </c>
      <c r="C1661" s="17" t="s">
        <v>1296</v>
      </c>
      <c r="D1661" s="30" t="s">
        <v>6781</v>
      </c>
      <c r="E1661" s="17" t="s">
        <v>674</v>
      </c>
      <c r="F1661" s="454">
        <f t="shared" si="753"/>
        <v>14.14</v>
      </c>
      <c r="G1661" s="529">
        <v>14.14</v>
      </c>
      <c r="H1661" s="487">
        <f t="shared" si="754"/>
        <v>11.31</v>
      </c>
      <c r="I1661" s="706"/>
      <c r="J1661" s="669" t="s">
        <v>5805</v>
      </c>
      <c r="K1661" s="15"/>
      <c r="L1661"/>
      <c r="M1661" s="49">
        <f t="shared" si="755"/>
        <v>14.14</v>
      </c>
      <c r="N1661" s="41">
        <v>8.64</v>
      </c>
      <c r="O1661" s="54"/>
      <c r="P1661" s="74"/>
      <c r="Q1661" t="s">
        <v>1017</v>
      </c>
      <c r="R1661"/>
      <c r="S1661" t="s">
        <v>4180</v>
      </c>
      <c r="T1661" s="178" t="s">
        <v>4180</v>
      </c>
      <c r="U1661" s="75"/>
      <c r="V1661" s="65"/>
      <c r="W1661"/>
      <c r="X1661" t="s">
        <v>1017</v>
      </c>
      <c r="Y1661" s="65"/>
      <c r="Z1661" s="65"/>
      <c r="AA1661" s="65"/>
      <c r="AB1661" s="65"/>
      <c r="AC1661" s="65"/>
      <c r="AD1661" s="91"/>
      <c r="AE1661" s="124"/>
      <c r="AF1661" s="65"/>
      <c r="AG1661" s="91"/>
      <c r="AH1661" s="212" t="str">
        <f>IF(ISERROR(SEARCH("K erstmals 201",D1661)),"",RIGHT(D1661,4))</f>
        <v/>
      </c>
      <c r="AI1661" s="214" t="str">
        <f t="shared" si="748"/>
        <v/>
      </c>
      <c r="AJ1661" s="214" t="str">
        <f t="shared" si="749"/>
        <v/>
      </c>
      <c r="AK1661" s="214" t="str">
        <f t="shared" si="750"/>
        <v/>
      </c>
      <c r="AL1661" s="214" t="str">
        <f t="shared" si="751"/>
        <v/>
      </c>
      <c r="AM1661" s="214" t="str">
        <f t="shared" si="752"/>
        <v/>
      </c>
      <c r="AN1661" s="213" t="str">
        <f t="shared" si="734"/>
        <v/>
      </c>
      <c r="AO1661" s="213" t="str">
        <f t="shared" si="735"/>
        <v/>
      </c>
      <c r="AP1661" s="213" t="str">
        <f t="shared" si="736"/>
        <v/>
      </c>
      <c r="AQ1661" s="215" t="str">
        <f t="shared" si="737"/>
        <v/>
      </c>
      <c r="AR1661" s="216" t="str">
        <f t="shared" si="738"/>
        <v>BiK83a3K09--06</v>
      </c>
      <c r="AS1661" s="215" t="str">
        <f t="shared" si="739"/>
        <v/>
      </c>
      <c r="AT1661">
        <f t="shared" si="740"/>
        <v>14</v>
      </c>
      <c r="AU1661" s="216" t="str">
        <f t="shared" si="741"/>
        <v>0,5-5 MW, Bonusregeln a3 und K erstmals 2009</v>
      </c>
      <c r="AV1661" s="215" t="str">
        <f t="shared" si="742"/>
        <v/>
      </c>
      <c r="AW1661" s="216" t="str">
        <f t="shared" si="743"/>
        <v>Anteil KWK, erstmals 2009</v>
      </c>
      <c r="AX1661" s="215" t="str">
        <f t="shared" si="744"/>
        <v/>
      </c>
      <c r="AY1661" t="str">
        <f t="shared" si="745"/>
        <v/>
      </c>
      <c r="AZ1661" t="str">
        <f t="shared" si="746"/>
        <v/>
      </c>
    </row>
    <row r="1662" spans="1:52" s="178" customFormat="1" x14ac:dyDescent="0.25">
      <c r="A1662" s="610" t="s">
        <v>4935</v>
      </c>
      <c r="B1662" s="17" t="s">
        <v>5548</v>
      </c>
      <c r="C1662" s="17" t="s">
        <v>1296</v>
      </c>
      <c r="D1662" s="30" t="s">
        <v>6782</v>
      </c>
      <c r="E1662" s="30" t="s">
        <v>3567</v>
      </c>
      <c r="F1662" s="454">
        <f t="shared" si="753"/>
        <v>14.110000000000001</v>
      </c>
      <c r="G1662" s="529">
        <v>14.110000000000001</v>
      </c>
      <c r="H1662" s="487">
        <f t="shared" si="754"/>
        <v>11.29</v>
      </c>
      <c r="I1662" s="706"/>
      <c r="J1662" s="669" t="s">
        <v>5805</v>
      </c>
      <c r="K1662" s="15"/>
      <c r="L1662"/>
      <c r="M1662" s="49">
        <f t="shared" si="755"/>
        <v>14.110000000000001</v>
      </c>
      <c r="N1662" s="41">
        <v>8.64</v>
      </c>
      <c r="O1662" s="54"/>
      <c r="P1662" s="74"/>
      <c r="Q1662"/>
      <c r="R1662" t="s">
        <v>1017</v>
      </c>
      <c r="S1662" t="s">
        <v>4180</v>
      </c>
      <c r="T1662" s="178" t="s">
        <v>4180</v>
      </c>
      <c r="U1662" s="75"/>
      <c r="V1662" s="65"/>
      <c r="W1662"/>
      <c r="X1662" t="s">
        <v>1017</v>
      </c>
      <c r="Y1662" s="65"/>
      <c r="Z1662" s="65"/>
      <c r="AA1662" s="65"/>
      <c r="AB1662" s="65"/>
      <c r="AC1662" s="65"/>
      <c r="AD1662" s="91"/>
      <c r="AE1662" s="124"/>
      <c r="AF1662" s="65"/>
      <c r="AG1662" s="91"/>
      <c r="AH1662" s="212" t="str">
        <f>IF(ISERROR(SEARCH("K erstmals 201",D1662)),"",RIGHT(D1662,4))</f>
        <v>2010</v>
      </c>
      <c r="AI1662" s="214" t="str">
        <f t="shared" si="748"/>
        <v/>
      </c>
      <c r="AJ1662" s="214" t="str">
        <f t="shared" si="749"/>
        <v/>
      </c>
      <c r="AK1662" s="214" t="str">
        <f t="shared" si="750"/>
        <v/>
      </c>
      <c r="AL1662" s="214" t="str">
        <f t="shared" si="751"/>
        <v/>
      </c>
      <c r="AM1662" s="214" t="str">
        <f t="shared" si="752"/>
        <v/>
      </c>
      <c r="AN1662" s="213" t="str">
        <f t="shared" si="734"/>
        <v>2010</v>
      </c>
      <c r="AO1662" s="213" t="str">
        <f t="shared" si="735"/>
        <v>2010</v>
      </c>
      <c r="AP1662" s="213" t="str">
        <f t="shared" si="736"/>
        <v>2010</v>
      </c>
      <c r="AQ1662" s="215" t="str">
        <f t="shared" si="737"/>
        <v/>
      </c>
      <c r="AR1662" s="216" t="str">
        <f t="shared" si="738"/>
        <v>BiK83a3K10--06</v>
      </c>
      <c r="AS1662" s="215" t="str">
        <f t="shared" si="739"/>
        <v/>
      </c>
      <c r="AT1662">
        <f t="shared" si="740"/>
        <v>14</v>
      </c>
      <c r="AU1662" s="216" t="str">
        <f t="shared" si="741"/>
        <v>0,5-5 MW, Bonusregeln a3 und K erstmals 2010</v>
      </c>
      <c r="AV1662" s="215" t="str">
        <f t="shared" si="742"/>
        <v/>
      </c>
      <c r="AW1662" s="216" t="str">
        <f t="shared" si="743"/>
        <v>Anteil KWK, erstmals 2010</v>
      </c>
      <c r="AX1662" s="215" t="str">
        <f t="shared" si="744"/>
        <v/>
      </c>
      <c r="AY1662" t="str">
        <f t="shared" si="745"/>
        <v/>
      </c>
      <c r="AZ1662" t="str">
        <f t="shared" si="746"/>
        <v/>
      </c>
    </row>
    <row r="1663" spans="1:52" s="178" customFormat="1" x14ac:dyDescent="0.25">
      <c r="A1663" s="610" t="s">
        <v>3982</v>
      </c>
      <c r="B1663" s="17" t="s">
        <v>5548</v>
      </c>
      <c r="C1663" s="17" t="s">
        <v>1296</v>
      </c>
      <c r="D1663" s="30" t="s">
        <v>6783</v>
      </c>
      <c r="E1663" s="30" t="s">
        <v>3055</v>
      </c>
      <c r="F1663" s="454">
        <f t="shared" si="753"/>
        <v>14.08</v>
      </c>
      <c r="G1663" s="529">
        <v>14.08</v>
      </c>
      <c r="H1663" s="487">
        <f t="shared" si="754"/>
        <v>11.26</v>
      </c>
      <c r="I1663" s="706"/>
      <c r="J1663" s="669" t="s">
        <v>5805</v>
      </c>
      <c r="K1663" s="15"/>
      <c r="L1663"/>
      <c r="M1663" s="49">
        <f t="shared" si="755"/>
        <v>14.08</v>
      </c>
      <c r="N1663" s="41">
        <v>8.64</v>
      </c>
      <c r="O1663" s="54"/>
      <c r="P1663" s="74"/>
      <c r="Q1663"/>
      <c r="R1663"/>
      <c r="S1663" t="s">
        <v>1017</v>
      </c>
      <c r="T1663" s="178" t="s">
        <v>4180</v>
      </c>
      <c r="U1663" s="75"/>
      <c r="V1663" s="65"/>
      <c r="W1663"/>
      <c r="X1663" t="s">
        <v>1017</v>
      </c>
      <c r="Y1663" s="65"/>
      <c r="Z1663" s="65"/>
      <c r="AA1663" s="65"/>
      <c r="AB1663" s="65"/>
      <c r="AC1663" s="65"/>
      <c r="AD1663" s="91"/>
      <c r="AE1663" s="124"/>
      <c r="AF1663" s="65"/>
      <c r="AG1663" s="91"/>
      <c r="AH1663" s="212" t="str">
        <f>IF(ISERROR(SEARCH("K erstmals 201",D1663)),"",RIGHT(D1663,4))</f>
        <v>2011</v>
      </c>
      <c r="AI1663" s="214" t="str">
        <f t="shared" si="748"/>
        <v/>
      </c>
      <c r="AJ1663" s="214" t="str">
        <f t="shared" si="749"/>
        <v/>
      </c>
      <c r="AK1663" s="214" t="str">
        <f t="shared" si="750"/>
        <v/>
      </c>
      <c r="AL1663" s="214" t="str">
        <f t="shared" si="751"/>
        <v/>
      </c>
      <c r="AM1663" s="214" t="str">
        <f t="shared" si="752"/>
        <v/>
      </c>
      <c r="AN1663" s="213" t="str">
        <f t="shared" si="734"/>
        <v>2011</v>
      </c>
      <c r="AO1663" s="213" t="str">
        <f t="shared" si="735"/>
        <v>2011</v>
      </c>
      <c r="AP1663" s="213" t="str">
        <f t="shared" si="736"/>
        <v>2011</v>
      </c>
      <c r="AQ1663" s="215" t="str">
        <f t="shared" si="737"/>
        <v/>
      </c>
      <c r="AR1663" s="216" t="str">
        <f t="shared" si="738"/>
        <v>BiK83a3K11--06</v>
      </c>
      <c r="AS1663" s="215" t="str">
        <f t="shared" si="739"/>
        <v/>
      </c>
      <c r="AT1663">
        <f t="shared" si="740"/>
        <v>14</v>
      </c>
      <c r="AU1663" s="216" t="str">
        <f t="shared" si="741"/>
        <v>0,5-5 MW, Bonusregeln a3 und K erstmals 2011</v>
      </c>
      <c r="AV1663" s="215" t="str">
        <f t="shared" si="742"/>
        <v/>
      </c>
      <c r="AW1663" s="216" t="str">
        <f t="shared" si="743"/>
        <v>Anteil KWK, erstmals 2011</v>
      </c>
      <c r="AX1663" s="215" t="str">
        <f t="shared" si="744"/>
        <v/>
      </c>
      <c r="AY1663" t="str">
        <f t="shared" si="745"/>
        <v>x</v>
      </c>
      <c r="AZ1663" t="str">
        <f t="shared" si="746"/>
        <v/>
      </c>
    </row>
    <row r="1664" spans="1:52" s="178" customFormat="1" x14ac:dyDescent="0.25">
      <c r="A1664" s="625" t="s">
        <v>1804</v>
      </c>
      <c r="B1664" s="221" t="s">
        <v>5548</v>
      </c>
      <c r="C1664" s="221" t="s">
        <v>1296</v>
      </c>
      <c r="D1664" s="219" t="s">
        <v>6784</v>
      </c>
      <c r="E1664" s="219" t="s">
        <v>1980</v>
      </c>
      <c r="F1664" s="455">
        <f t="shared" si="753"/>
        <v>14.05</v>
      </c>
      <c r="G1664" s="530">
        <v>14.05</v>
      </c>
      <c r="H1664" s="488">
        <f t="shared" si="754"/>
        <v>11.24</v>
      </c>
      <c r="I1664" s="707"/>
      <c r="J1664" s="669" t="s">
        <v>5805</v>
      </c>
      <c r="K1664" s="15"/>
      <c r="L1664"/>
      <c r="M1664" s="49">
        <f t="shared" si="755"/>
        <v>14.05</v>
      </c>
      <c r="N1664" s="41">
        <v>8.64</v>
      </c>
      <c r="O1664" s="54"/>
      <c r="P1664" s="74"/>
      <c r="Q1664"/>
      <c r="R1664"/>
      <c r="S1664" t="s">
        <v>4180</v>
      </c>
      <c r="T1664" s="178" t="s">
        <v>1017</v>
      </c>
      <c r="U1664" s="75"/>
      <c r="V1664" s="65"/>
      <c r="W1664"/>
      <c r="X1664" t="s">
        <v>1017</v>
      </c>
      <c r="Y1664" s="65"/>
      <c r="Z1664" s="65"/>
      <c r="AA1664" s="65"/>
      <c r="AB1664" s="65"/>
      <c r="AC1664" s="65"/>
      <c r="AD1664" s="91"/>
      <c r="AE1664" s="124"/>
      <c r="AF1664" s="65"/>
      <c r="AG1664" s="91"/>
      <c r="AH1664" s="217" t="s">
        <v>4179</v>
      </c>
      <c r="AI1664" s="214" t="str">
        <f t="shared" si="748"/>
        <v/>
      </c>
      <c r="AJ1664" s="214" t="str">
        <f t="shared" si="749"/>
        <v/>
      </c>
      <c r="AK1664" s="214" t="str">
        <f t="shared" si="750"/>
        <v/>
      </c>
      <c r="AL1664" s="214" t="str">
        <f t="shared" si="751"/>
        <v/>
      </c>
      <c r="AM1664" s="214" t="str">
        <f t="shared" si="752"/>
        <v/>
      </c>
      <c r="AN1664" s="213" t="str">
        <f t="shared" si="734"/>
        <v>2012</v>
      </c>
      <c r="AO1664" s="213" t="str">
        <f t="shared" si="735"/>
        <v>2012</v>
      </c>
      <c r="AP1664" s="213" t="str">
        <f t="shared" si="736"/>
        <v>2012</v>
      </c>
      <c r="AQ1664" s="215" t="str">
        <f t="shared" si="737"/>
        <v/>
      </c>
      <c r="AR1664" s="216" t="str">
        <f t="shared" si="738"/>
        <v>BiK83a3K12--06</v>
      </c>
      <c r="AS1664" s="215" t="str">
        <f t="shared" si="739"/>
        <v/>
      </c>
      <c r="AT1664">
        <f t="shared" si="740"/>
        <v>14</v>
      </c>
      <c r="AU1664" s="216" t="str">
        <f t="shared" si="741"/>
        <v>0,5-5 MW, Bonusregeln a3 und K erstmals 2012</v>
      </c>
      <c r="AV1664" s="215" t="str">
        <f t="shared" si="742"/>
        <v/>
      </c>
      <c r="AW1664" s="216" t="str">
        <f t="shared" si="743"/>
        <v>Anteil KWK, erstmals 2012</v>
      </c>
      <c r="AX1664" s="215" t="str">
        <f t="shared" si="744"/>
        <v/>
      </c>
      <c r="AY1664" t="str">
        <f t="shared" si="745"/>
        <v/>
      </c>
      <c r="AZ1664" t="str">
        <f t="shared" si="746"/>
        <v>x</v>
      </c>
    </row>
    <row r="1665" spans="1:52" s="178" customFormat="1" x14ac:dyDescent="0.25">
      <c r="A1665" s="609" t="s">
        <v>524</v>
      </c>
      <c r="B1665" s="1" t="s">
        <v>5548</v>
      </c>
      <c r="C1665" s="2" t="s">
        <v>1296</v>
      </c>
      <c r="D1665" s="1" t="s">
        <v>6785</v>
      </c>
      <c r="E1665" s="1" t="s">
        <v>4810</v>
      </c>
      <c r="F1665" s="456">
        <f t="shared" si="753"/>
        <v>10.64</v>
      </c>
      <c r="G1665" s="531">
        <v>10.64</v>
      </c>
      <c r="H1665" s="489">
        <f t="shared" si="754"/>
        <v>8.51</v>
      </c>
      <c r="I1665" s="708"/>
      <c r="J1665" s="669" t="s">
        <v>5805</v>
      </c>
      <c r="K1665" s="15"/>
      <c r="L1665"/>
      <c r="M1665" s="49">
        <f t="shared" si="755"/>
        <v>10.64</v>
      </c>
      <c r="N1665" s="41">
        <v>8.64</v>
      </c>
      <c r="O1665" s="54"/>
      <c r="P1665" s="74"/>
      <c r="Q1665"/>
      <c r="R1665"/>
      <c r="S1665" t="s">
        <v>4180</v>
      </c>
      <c r="T1665" s="178" t="s">
        <v>4180</v>
      </c>
      <c r="U1665" s="75"/>
      <c r="V1665" s="65"/>
      <c r="W1665"/>
      <c r="X1665"/>
      <c r="Y1665" s="65"/>
      <c r="Z1665" s="65"/>
      <c r="AA1665" s="65"/>
      <c r="AB1665" s="65"/>
      <c r="AC1665" s="65"/>
      <c r="AD1665" s="91"/>
      <c r="AE1665" s="124" t="s">
        <v>1017</v>
      </c>
      <c r="AF1665" s="65"/>
      <c r="AG1665" s="91"/>
      <c r="AH1665" s="212" t="str">
        <f>IF(ISERROR(SEARCH("K erstmals 201",D1665)),"",RIGHT(D1665,4))</f>
        <v/>
      </c>
      <c r="AI1665" s="214" t="str">
        <f t="shared" si="748"/>
        <v/>
      </c>
      <c r="AJ1665" s="214" t="str">
        <f t="shared" si="749"/>
        <v/>
      </c>
      <c r="AK1665" s="214" t="str">
        <f t="shared" si="750"/>
        <v/>
      </c>
      <c r="AL1665" s="214" t="str">
        <f t="shared" si="751"/>
        <v/>
      </c>
      <c r="AM1665" s="214" t="str">
        <f t="shared" si="752"/>
        <v/>
      </c>
      <c r="AN1665" s="213" t="str">
        <f t="shared" si="734"/>
        <v/>
      </c>
      <c r="AO1665" s="213" t="str">
        <f t="shared" si="735"/>
        <v/>
      </c>
      <c r="AP1665" s="213" t="str">
        <f t="shared" si="736"/>
        <v/>
      </c>
      <c r="AQ1665" s="215" t="str">
        <f t="shared" si="737"/>
        <v/>
      </c>
      <c r="AR1665" s="216" t="str">
        <f t="shared" si="738"/>
        <v>BiK83b------06</v>
      </c>
      <c r="AS1665" s="215" t="str">
        <f t="shared" si="739"/>
        <v/>
      </c>
      <c r="AT1665">
        <f t="shared" si="740"/>
        <v>14</v>
      </c>
      <c r="AU1665" s="216" t="str">
        <f t="shared" si="741"/>
        <v>0,5-5 MW, Bonusregel b</v>
      </c>
      <c r="AV1665" s="215" t="str">
        <f t="shared" si="742"/>
        <v/>
      </c>
      <c r="AW1665" s="216" t="str">
        <f t="shared" si="743"/>
        <v>Anteil Nicht-KWK</v>
      </c>
      <c r="AX1665" s="215" t="str">
        <f t="shared" si="744"/>
        <v/>
      </c>
      <c r="AY1665" t="str">
        <f t="shared" si="745"/>
        <v/>
      </c>
      <c r="AZ1665" t="str">
        <f t="shared" si="746"/>
        <v/>
      </c>
    </row>
    <row r="1666" spans="1:52" s="178" customFormat="1" x14ac:dyDescent="0.25">
      <c r="A1666" s="609" t="s">
        <v>525</v>
      </c>
      <c r="B1666" s="1" t="s">
        <v>5548</v>
      </c>
      <c r="C1666" s="2" t="s">
        <v>1296</v>
      </c>
      <c r="D1666" s="1" t="s">
        <v>6786</v>
      </c>
      <c r="E1666" s="1" t="s">
        <v>4812</v>
      </c>
      <c r="F1666" s="456">
        <f t="shared" si="753"/>
        <v>12.64</v>
      </c>
      <c r="G1666" s="531">
        <v>12.64</v>
      </c>
      <c r="H1666" s="489">
        <f t="shared" si="754"/>
        <v>10.11</v>
      </c>
      <c r="I1666" s="708"/>
      <c r="J1666" s="669" t="s">
        <v>5805</v>
      </c>
      <c r="K1666" s="15"/>
      <c r="L1666"/>
      <c r="M1666" s="49">
        <f t="shared" si="755"/>
        <v>12.64</v>
      </c>
      <c r="N1666" s="41">
        <v>8.64</v>
      </c>
      <c r="O1666" s="54" t="s">
        <v>1017</v>
      </c>
      <c r="P1666" s="74"/>
      <c r="Q1666"/>
      <c r="R1666"/>
      <c r="S1666" t="s">
        <v>4180</v>
      </c>
      <c r="T1666" s="178" t="s">
        <v>4180</v>
      </c>
      <c r="U1666" s="75"/>
      <c r="V1666" s="65"/>
      <c r="W1666"/>
      <c r="X1666"/>
      <c r="Y1666" s="65"/>
      <c r="Z1666" s="65"/>
      <c r="AA1666" s="65"/>
      <c r="AB1666" s="65"/>
      <c r="AC1666" s="65"/>
      <c r="AD1666" s="91"/>
      <c r="AE1666" s="124" t="s">
        <v>1017</v>
      </c>
      <c r="AF1666" s="65"/>
      <c r="AG1666" s="91"/>
      <c r="AH1666" s="212" t="str">
        <f>IF(ISERROR(SEARCH("K erstmals 201",D1666)),"",RIGHT(D1666,4))</f>
        <v/>
      </c>
      <c r="AI1666" s="214" t="str">
        <f t="shared" si="748"/>
        <v/>
      </c>
      <c r="AJ1666" s="214" t="str">
        <f t="shared" si="749"/>
        <v/>
      </c>
      <c r="AK1666" s="214" t="str">
        <f t="shared" si="750"/>
        <v/>
      </c>
      <c r="AL1666" s="214" t="str">
        <f t="shared" si="751"/>
        <v/>
      </c>
      <c r="AM1666" s="214" t="str">
        <f t="shared" si="752"/>
        <v/>
      </c>
      <c r="AN1666" s="213" t="str">
        <f t="shared" si="734"/>
        <v/>
      </c>
      <c r="AO1666" s="213" t="str">
        <f t="shared" si="735"/>
        <v/>
      </c>
      <c r="AP1666" s="213" t="str">
        <f t="shared" si="736"/>
        <v/>
      </c>
      <c r="AQ1666" s="215" t="str">
        <f t="shared" si="737"/>
        <v/>
      </c>
      <c r="AR1666" s="216" t="str">
        <f t="shared" si="738"/>
        <v>BiK83bKWK---06</v>
      </c>
      <c r="AS1666" s="215" t="str">
        <f t="shared" si="739"/>
        <v/>
      </c>
      <c r="AT1666">
        <f t="shared" si="740"/>
        <v>14</v>
      </c>
      <c r="AU1666" s="216" t="str">
        <f t="shared" si="741"/>
        <v>0,5-5 MW, Bonusregel b und KWK</v>
      </c>
      <c r="AV1666" s="215" t="str">
        <f t="shared" si="742"/>
        <v/>
      </c>
      <c r="AW1666" s="216" t="str">
        <f t="shared" si="743"/>
        <v>Anteil KWK</v>
      </c>
      <c r="AX1666" s="215" t="str">
        <f t="shared" si="744"/>
        <v/>
      </c>
      <c r="AY1666" t="str">
        <f t="shared" si="745"/>
        <v/>
      </c>
      <c r="AZ1666" t="str">
        <f t="shared" si="746"/>
        <v/>
      </c>
    </row>
    <row r="1667" spans="1:52" s="178" customFormat="1" x14ac:dyDescent="0.25">
      <c r="A1667" s="610" t="s">
        <v>4071</v>
      </c>
      <c r="B1667" s="17" t="s">
        <v>5548</v>
      </c>
      <c r="C1667" s="17" t="s">
        <v>1296</v>
      </c>
      <c r="D1667" s="30" t="s">
        <v>6787</v>
      </c>
      <c r="E1667" s="17" t="s">
        <v>674</v>
      </c>
      <c r="F1667" s="454">
        <f t="shared" si="753"/>
        <v>13.64</v>
      </c>
      <c r="G1667" s="529">
        <v>13.64</v>
      </c>
      <c r="H1667" s="487">
        <f t="shared" si="754"/>
        <v>10.91</v>
      </c>
      <c r="I1667" s="706"/>
      <c r="J1667" s="669" t="s">
        <v>5805</v>
      </c>
      <c r="K1667" s="15"/>
      <c r="L1667"/>
      <c r="M1667" s="49">
        <f t="shared" si="755"/>
        <v>13.64</v>
      </c>
      <c r="N1667" s="41">
        <v>8.64</v>
      </c>
      <c r="O1667" s="54"/>
      <c r="P1667" s="74"/>
      <c r="Q1667" t="s">
        <v>1017</v>
      </c>
      <c r="R1667"/>
      <c r="S1667" t="s">
        <v>4180</v>
      </c>
      <c r="T1667" s="178" t="s">
        <v>4180</v>
      </c>
      <c r="U1667" s="75"/>
      <c r="V1667" s="65"/>
      <c r="W1667"/>
      <c r="X1667"/>
      <c r="Y1667" s="65"/>
      <c r="Z1667" s="65"/>
      <c r="AA1667" s="65"/>
      <c r="AB1667" s="65"/>
      <c r="AC1667" s="65"/>
      <c r="AD1667" s="91"/>
      <c r="AE1667" s="124" t="s">
        <v>1017</v>
      </c>
      <c r="AF1667" s="65"/>
      <c r="AG1667" s="91"/>
      <c r="AH1667" s="212" t="str">
        <f>IF(ISERROR(SEARCH("K erstmals 201",D1667)),"",RIGHT(D1667,4))</f>
        <v/>
      </c>
      <c r="AI1667" s="214" t="str">
        <f t="shared" si="748"/>
        <v/>
      </c>
      <c r="AJ1667" s="214" t="str">
        <f t="shared" si="749"/>
        <v/>
      </c>
      <c r="AK1667" s="214" t="str">
        <f t="shared" si="750"/>
        <v/>
      </c>
      <c r="AL1667" s="214" t="str">
        <f t="shared" si="751"/>
        <v/>
      </c>
      <c r="AM1667" s="214" t="str">
        <f t="shared" si="752"/>
        <v/>
      </c>
      <c r="AN1667" s="213" t="str">
        <f t="shared" si="734"/>
        <v/>
      </c>
      <c r="AO1667" s="213" t="str">
        <f t="shared" si="735"/>
        <v/>
      </c>
      <c r="AP1667" s="213" t="str">
        <f t="shared" si="736"/>
        <v/>
      </c>
      <c r="AQ1667" s="215" t="str">
        <f t="shared" si="737"/>
        <v/>
      </c>
      <c r="AR1667" s="216" t="str">
        <f t="shared" si="738"/>
        <v>BiK83bK09---06</v>
      </c>
      <c r="AS1667" s="215" t="str">
        <f t="shared" si="739"/>
        <v/>
      </c>
      <c r="AT1667">
        <f t="shared" si="740"/>
        <v>14</v>
      </c>
      <c r="AU1667" s="216" t="str">
        <f t="shared" si="741"/>
        <v>0,5-5 MW, Bonusregel b und K erstmals 2009</v>
      </c>
      <c r="AV1667" s="215" t="str">
        <f t="shared" si="742"/>
        <v/>
      </c>
      <c r="AW1667" s="216" t="str">
        <f t="shared" si="743"/>
        <v>Anteil KWK, erstmals 2009</v>
      </c>
      <c r="AX1667" s="215" t="str">
        <f t="shared" si="744"/>
        <v/>
      </c>
      <c r="AY1667" t="str">
        <f t="shared" si="745"/>
        <v/>
      </c>
      <c r="AZ1667" t="str">
        <f t="shared" si="746"/>
        <v/>
      </c>
    </row>
    <row r="1668" spans="1:52" s="178" customFormat="1" x14ac:dyDescent="0.25">
      <c r="A1668" s="610" t="s">
        <v>4936</v>
      </c>
      <c r="B1668" s="17" t="s">
        <v>5548</v>
      </c>
      <c r="C1668" s="17" t="s">
        <v>1296</v>
      </c>
      <c r="D1668" s="30" t="s">
        <v>6788</v>
      </c>
      <c r="E1668" s="30" t="s">
        <v>3567</v>
      </c>
      <c r="F1668" s="454">
        <f t="shared" si="753"/>
        <v>13.610000000000001</v>
      </c>
      <c r="G1668" s="529">
        <v>13.610000000000001</v>
      </c>
      <c r="H1668" s="487">
        <f t="shared" si="754"/>
        <v>10.89</v>
      </c>
      <c r="I1668" s="706"/>
      <c r="J1668" s="669" t="s">
        <v>5805</v>
      </c>
      <c r="K1668" s="15"/>
      <c r="L1668"/>
      <c r="M1668" s="49">
        <f t="shared" si="755"/>
        <v>13.610000000000001</v>
      </c>
      <c r="N1668" s="41">
        <v>8.64</v>
      </c>
      <c r="O1668" s="54"/>
      <c r="P1668" s="74"/>
      <c r="Q1668"/>
      <c r="R1668" t="s">
        <v>1017</v>
      </c>
      <c r="S1668" t="s">
        <v>4180</v>
      </c>
      <c r="T1668" s="178" t="s">
        <v>4180</v>
      </c>
      <c r="U1668" s="75"/>
      <c r="V1668" s="65"/>
      <c r="W1668"/>
      <c r="X1668"/>
      <c r="Y1668" s="65"/>
      <c r="Z1668" s="65"/>
      <c r="AA1668" s="65"/>
      <c r="AB1668" s="65"/>
      <c r="AC1668" s="65"/>
      <c r="AD1668" s="91"/>
      <c r="AE1668" s="124" t="s">
        <v>1017</v>
      </c>
      <c r="AF1668" s="65"/>
      <c r="AG1668" s="91"/>
      <c r="AH1668" s="212" t="str">
        <f>IF(ISERROR(SEARCH("K erstmals 201",D1668)),"",RIGHT(D1668,4))</f>
        <v>2010</v>
      </c>
      <c r="AI1668" s="214" t="str">
        <f t="shared" si="748"/>
        <v/>
      </c>
      <c r="AJ1668" s="214" t="str">
        <f t="shared" si="749"/>
        <v/>
      </c>
      <c r="AK1668" s="214" t="str">
        <f t="shared" si="750"/>
        <v/>
      </c>
      <c r="AL1668" s="214" t="str">
        <f t="shared" si="751"/>
        <v/>
      </c>
      <c r="AM1668" s="214" t="str">
        <f t="shared" si="752"/>
        <v/>
      </c>
      <c r="AN1668" s="213" t="str">
        <f t="shared" si="734"/>
        <v>2010</v>
      </c>
      <c r="AO1668" s="213" t="str">
        <f t="shared" si="735"/>
        <v>2010</v>
      </c>
      <c r="AP1668" s="213" t="str">
        <f t="shared" si="736"/>
        <v>2010</v>
      </c>
      <c r="AQ1668" s="215" t="str">
        <f t="shared" si="737"/>
        <v/>
      </c>
      <c r="AR1668" s="216" t="str">
        <f t="shared" si="738"/>
        <v>BiK83bK10---06</v>
      </c>
      <c r="AS1668" s="215" t="str">
        <f t="shared" si="739"/>
        <v/>
      </c>
      <c r="AT1668">
        <f t="shared" si="740"/>
        <v>14</v>
      </c>
      <c r="AU1668" s="216" t="str">
        <f t="shared" si="741"/>
        <v>0,5-5 MW, Bonusregel b und K erstmals 2010</v>
      </c>
      <c r="AV1668" s="215" t="str">
        <f t="shared" si="742"/>
        <v/>
      </c>
      <c r="AW1668" s="216" t="str">
        <f t="shared" si="743"/>
        <v>Anteil KWK, erstmals 2010</v>
      </c>
      <c r="AX1668" s="215" t="str">
        <f t="shared" si="744"/>
        <v/>
      </c>
      <c r="AY1668" t="str">
        <f t="shared" si="745"/>
        <v/>
      </c>
      <c r="AZ1668" t="str">
        <f t="shared" si="746"/>
        <v/>
      </c>
    </row>
    <row r="1669" spans="1:52" s="178" customFormat="1" x14ac:dyDescent="0.25">
      <c r="A1669" s="610" t="s">
        <v>3983</v>
      </c>
      <c r="B1669" s="17" t="s">
        <v>5548</v>
      </c>
      <c r="C1669" s="17" t="s">
        <v>1296</v>
      </c>
      <c r="D1669" s="30" t="s">
        <v>6789</v>
      </c>
      <c r="E1669" s="30" t="s">
        <v>3055</v>
      </c>
      <c r="F1669" s="454">
        <f t="shared" si="753"/>
        <v>13.58</v>
      </c>
      <c r="G1669" s="529">
        <v>13.58</v>
      </c>
      <c r="H1669" s="487">
        <f t="shared" si="754"/>
        <v>10.86</v>
      </c>
      <c r="I1669" s="706"/>
      <c r="J1669" s="669" t="s">
        <v>5805</v>
      </c>
      <c r="K1669" s="15"/>
      <c r="L1669"/>
      <c r="M1669" s="49">
        <f t="shared" si="755"/>
        <v>13.58</v>
      </c>
      <c r="N1669" s="41">
        <v>8.64</v>
      </c>
      <c r="O1669" s="54"/>
      <c r="P1669" s="74"/>
      <c r="Q1669"/>
      <c r="R1669"/>
      <c r="S1669" t="s">
        <v>1017</v>
      </c>
      <c r="T1669" s="178" t="s">
        <v>4180</v>
      </c>
      <c r="U1669" s="75"/>
      <c r="V1669" s="65"/>
      <c r="W1669"/>
      <c r="X1669"/>
      <c r="Y1669" s="65"/>
      <c r="Z1669" s="65"/>
      <c r="AA1669" s="65"/>
      <c r="AB1669" s="65"/>
      <c r="AC1669" s="65"/>
      <c r="AD1669" s="91"/>
      <c r="AE1669" s="124" t="s">
        <v>1017</v>
      </c>
      <c r="AF1669" s="65"/>
      <c r="AG1669" s="91"/>
      <c r="AH1669" s="212" t="str">
        <f>IF(ISERROR(SEARCH("K erstmals 201",D1669)),"",RIGHT(D1669,4))</f>
        <v>2011</v>
      </c>
      <c r="AI1669" s="214" t="str">
        <f t="shared" si="748"/>
        <v/>
      </c>
      <c r="AJ1669" s="214" t="str">
        <f t="shared" si="749"/>
        <v/>
      </c>
      <c r="AK1669" s="214" t="str">
        <f t="shared" si="750"/>
        <v/>
      </c>
      <c r="AL1669" s="214" t="str">
        <f t="shared" si="751"/>
        <v/>
      </c>
      <c r="AM1669" s="214" t="str">
        <f t="shared" si="752"/>
        <v/>
      </c>
      <c r="AN1669" s="213" t="str">
        <f t="shared" si="734"/>
        <v>2011</v>
      </c>
      <c r="AO1669" s="213" t="str">
        <f t="shared" si="735"/>
        <v>2011</v>
      </c>
      <c r="AP1669" s="213" t="str">
        <f t="shared" si="736"/>
        <v>2011</v>
      </c>
      <c r="AQ1669" s="215" t="str">
        <f t="shared" si="737"/>
        <v/>
      </c>
      <c r="AR1669" s="216" t="str">
        <f t="shared" si="738"/>
        <v>BiK83bK11---06</v>
      </c>
      <c r="AS1669" s="215" t="str">
        <f t="shared" si="739"/>
        <v/>
      </c>
      <c r="AT1669">
        <f t="shared" si="740"/>
        <v>14</v>
      </c>
      <c r="AU1669" s="216" t="str">
        <f t="shared" si="741"/>
        <v>0,5-5 MW, Bonusregel b und K erstmals 2011</v>
      </c>
      <c r="AV1669" s="215" t="str">
        <f t="shared" si="742"/>
        <v/>
      </c>
      <c r="AW1669" s="216" t="str">
        <f t="shared" si="743"/>
        <v>Anteil KWK, erstmals 2011</v>
      </c>
      <c r="AX1669" s="215" t="str">
        <f t="shared" si="744"/>
        <v/>
      </c>
      <c r="AY1669" t="str">
        <f t="shared" si="745"/>
        <v>x</v>
      </c>
      <c r="AZ1669" t="str">
        <f t="shared" si="746"/>
        <v/>
      </c>
    </row>
    <row r="1670" spans="1:52" s="178" customFormat="1" x14ac:dyDescent="0.25">
      <c r="A1670" s="625" t="s">
        <v>1805</v>
      </c>
      <c r="B1670" s="221" t="s">
        <v>5548</v>
      </c>
      <c r="C1670" s="221" t="s">
        <v>1296</v>
      </c>
      <c r="D1670" s="219" t="s">
        <v>6790</v>
      </c>
      <c r="E1670" s="219" t="s">
        <v>1980</v>
      </c>
      <c r="F1670" s="455">
        <f t="shared" si="753"/>
        <v>13.55</v>
      </c>
      <c r="G1670" s="530">
        <v>13.55</v>
      </c>
      <c r="H1670" s="488">
        <f t="shared" si="754"/>
        <v>10.84</v>
      </c>
      <c r="I1670" s="707"/>
      <c r="J1670" s="669" t="s">
        <v>5805</v>
      </c>
      <c r="K1670" s="15"/>
      <c r="L1670"/>
      <c r="M1670" s="49">
        <f t="shared" si="755"/>
        <v>13.55</v>
      </c>
      <c r="N1670" s="41">
        <v>8.64</v>
      </c>
      <c r="O1670" s="54"/>
      <c r="P1670" s="74"/>
      <c r="Q1670"/>
      <c r="R1670"/>
      <c r="S1670" t="s">
        <v>4180</v>
      </c>
      <c r="T1670" s="178" t="s">
        <v>1017</v>
      </c>
      <c r="U1670" s="75"/>
      <c r="V1670" s="65"/>
      <c r="W1670"/>
      <c r="X1670"/>
      <c r="Y1670" s="65"/>
      <c r="Z1670" s="65"/>
      <c r="AA1670" s="65"/>
      <c r="AB1670" s="65"/>
      <c r="AC1670" s="65"/>
      <c r="AD1670" s="91"/>
      <c r="AE1670" s="124" t="s">
        <v>1017</v>
      </c>
      <c r="AF1670" s="65"/>
      <c r="AG1670" s="91"/>
      <c r="AH1670" s="217" t="s">
        <v>4179</v>
      </c>
      <c r="AI1670" s="214" t="str">
        <f t="shared" si="748"/>
        <v/>
      </c>
      <c r="AJ1670" s="214" t="str">
        <f t="shared" si="749"/>
        <v/>
      </c>
      <c r="AK1670" s="214" t="str">
        <f t="shared" si="750"/>
        <v/>
      </c>
      <c r="AL1670" s="214" t="str">
        <f t="shared" si="751"/>
        <v/>
      </c>
      <c r="AM1670" s="214" t="str">
        <f t="shared" si="752"/>
        <v/>
      </c>
      <c r="AN1670" s="213" t="str">
        <f t="shared" si="734"/>
        <v>2012</v>
      </c>
      <c r="AO1670" s="213" t="str">
        <f t="shared" si="735"/>
        <v>2012</v>
      </c>
      <c r="AP1670" s="213" t="str">
        <f t="shared" si="736"/>
        <v>2012</v>
      </c>
      <c r="AQ1670" s="215" t="str">
        <f t="shared" si="737"/>
        <v/>
      </c>
      <c r="AR1670" s="216" t="str">
        <f t="shared" si="738"/>
        <v>BiK83bK12---06</v>
      </c>
      <c r="AS1670" s="215" t="str">
        <f t="shared" si="739"/>
        <v/>
      </c>
      <c r="AT1670">
        <f t="shared" si="740"/>
        <v>14</v>
      </c>
      <c r="AU1670" s="216" t="str">
        <f t="shared" si="741"/>
        <v>0,5-5 MW, Bonusregel b und K erstmals 2012</v>
      </c>
      <c r="AV1670" s="215" t="str">
        <f t="shared" si="742"/>
        <v/>
      </c>
      <c r="AW1670" s="216" t="str">
        <f t="shared" si="743"/>
        <v>Anteil KWK, erstmals 2012</v>
      </c>
      <c r="AX1670" s="215" t="str">
        <f t="shared" si="744"/>
        <v/>
      </c>
      <c r="AY1670" t="str">
        <f t="shared" si="745"/>
        <v/>
      </c>
      <c r="AZ1670" t="str">
        <f t="shared" si="746"/>
        <v>x</v>
      </c>
    </row>
    <row r="1671" spans="1:52" s="178" customFormat="1" x14ac:dyDescent="0.25">
      <c r="A1671" s="609" t="s">
        <v>526</v>
      </c>
      <c r="B1671" s="1" t="s">
        <v>5548</v>
      </c>
      <c r="C1671" s="2" t="s">
        <v>1296</v>
      </c>
      <c r="D1671" s="1" t="s">
        <v>6791</v>
      </c>
      <c r="E1671" s="1" t="s">
        <v>4810</v>
      </c>
      <c r="F1671" s="456">
        <f t="shared" si="753"/>
        <v>14.64</v>
      </c>
      <c r="G1671" s="531">
        <v>14.64</v>
      </c>
      <c r="H1671" s="489">
        <f t="shared" si="754"/>
        <v>11.71</v>
      </c>
      <c r="I1671" s="708"/>
      <c r="J1671" s="669" t="s">
        <v>5805</v>
      </c>
      <c r="K1671" s="15"/>
      <c r="L1671"/>
      <c r="M1671" s="49">
        <f t="shared" si="755"/>
        <v>14.64</v>
      </c>
      <c r="N1671" s="41">
        <v>8.64</v>
      </c>
      <c r="O1671" s="54"/>
      <c r="P1671" s="74"/>
      <c r="Q1671"/>
      <c r="R1671"/>
      <c r="S1671" t="s">
        <v>4180</v>
      </c>
      <c r="T1671" s="178" t="s">
        <v>4180</v>
      </c>
      <c r="U1671" s="75"/>
      <c r="V1671" s="65"/>
      <c r="W1671" t="s">
        <v>1017</v>
      </c>
      <c r="X1671"/>
      <c r="Y1671" s="65"/>
      <c r="Z1671" s="65"/>
      <c r="AA1671" s="65"/>
      <c r="AB1671" s="65"/>
      <c r="AC1671" s="65"/>
      <c r="AD1671" s="91"/>
      <c r="AE1671" s="124" t="s">
        <v>1017</v>
      </c>
      <c r="AF1671" s="65"/>
      <c r="AG1671" s="91"/>
      <c r="AH1671" s="212" t="str">
        <f>IF(ISERROR(SEARCH("K erstmals 201",D1671)),"",RIGHT(D1671,4))</f>
        <v/>
      </c>
      <c r="AI1671" s="214" t="str">
        <f t="shared" si="748"/>
        <v/>
      </c>
      <c r="AJ1671" s="214" t="str">
        <f t="shared" si="749"/>
        <v/>
      </c>
      <c r="AK1671" s="214" t="str">
        <f t="shared" si="750"/>
        <v/>
      </c>
      <c r="AL1671" s="214" t="str">
        <f t="shared" si="751"/>
        <v/>
      </c>
      <c r="AM1671" s="214" t="str">
        <f t="shared" si="752"/>
        <v/>
      </c>
      <c r="AN1671" s="213" t="str">
        <f t="shared" si="734"/>
        <v/>
      </c>
      <c r="AO1671" s="213" t="str">
        <f t="shared" si="735"/>
        <v/>
      </c>
      <c r="AP1671" s="213" t="str">
        <f t="shared" si="736"/>
        <v/>
      </c>
      <c r="AQ1671" s="215" t="str">
        <f t="shared" si="737"/>
        <v/>
      </c>
      <c r="AR1671" s="216" t="str">
        <f t="shared" si="738"/>
        <v>BiK83a2b----06</v>
      </c>
      <c r="AS1671" s="215" t="str">
        <f t="shared" si="739"/>
        <v/>
      </c>
      <c r="AT1671">
        <f t="shared" si="740"/>
        <v>14</v>
      </c>
      <c r="AU1671" s="216" t="str">
        <f t="shared" si="741"/>
        <v>0,5-5 MW, Bonusregeln a2 und b</v>
      </c>
      <c r="AV1671" s="215" t="str">
        <f t="shared" si="742"/>
        <v/>
      </c>
      <c r="AW1671" s="216" t="str">
        <f t="shared" si="743"/>
        <v>Anteil Nicht-KWK</v>
      </c>
      <c r="AX1671" s="215" t="str">
        <f t="shared" si="744"/>
        <v/>
      </c>
      <c r="AY1671" t="str">
        <f t="shared" si="745"/>
        <v/>
      </c>
      <c r="AZ1671" t="str">
        <f t="shared" si="746"/>
        <v/>
      </c>
    </row>
    <row r="1672" spans="1:52" s="178" customFormat="1" x14ac:dyDescent="0.25">
      <c r="A1672" s="609" t="s">
        <v>527</v>
      </c>
      <c r="B1672" s="1" t="s">
        <v>5548</v>
      </c>
      <c r="C1672" s="2" t="s">
        <v>1296</v>
      </c>
      <c r="D1672" s="1" t="s">
        <v>6792</v>
      </c>
      <c r="E1672" s="1" t="s">
        <v>4812</v>
      </c>
      <c r="F1672" s="456">
        <f t="shared" si="753"/>
        <v>16.64</v>
      </c>
      <c r="G1672" s="531">
        <v>16.64</v>
      </c>
      <c r="H1672" s="489">
        <f t="shared" si="754"/>
        <v>13.31</v>
      </c>
      <c r="I1672" s="708"/>
      <c r="J1672" s="669" t="s">
        <v>5805</v>
      </c>
      <c r="K1672" s="15"/>
      <c r="L1672"/>
      <c r="M1672" s="49">
        <f t="shared" si="755"/>
        <v>16.64</v>
      </c>
      <c r="N1672" s="41">
        <v>8.64</v>
      </c>
      <c r="O1672" s="54" t="s">
        <v>1017</v>
      </c>
      <c r="P1672" s="74"/>
      <c r="Q1672"/>
      <c r="R1672"/>
      <c r="S1672" t="s">
        <v>4180</v>
      </c>
      <c r="T1672" s="178" t="s">
        <v>4180</v>
      </c>
      <c r="U1672" s="75"/>
      <c r="V1672" s="65"/>
      <c r="W1672" t="s">
        <v>1017</v>
      </c>
      <c r="X1672"/>
      <c r="Y1672" s="65"/>
      <c r="Z1672" s="65"/>
      <c r="AA1672" s="65"/>
      <c r="AB1672" s="65"/>
      <c r="AC1672" s="65"/>
      <c r="AD1672" s="91"/>
      <c r="AE1672" s="124" t="s">
        <v>1017</v>
      </c>
      <c r="AF1672" s="65"/>
      <c r="AG1672" s="91"/>
      <c r="AH1672" s="212" t="str">
        <f>IF(ISERROR(SEARCH("K erstmals 201",D1672)),"",RIGHT(D1672,4))</f>
        <v/>
      </c>
      <c r="AI1672" s="214" t="str">
        <f t="shared" si="748"/>
        <v/>
      </c>
      <c r="AJ1672" s="214" t="str">
        <f t="shared" si="749"/>
        <v/>
      </c>
      <c r="AK1672" s="214" t="str">
        <f t="shared" si="750"/>
        <v/>
      </c>
      <c r="AL1672" s="214" t="str">
        <f t="shared" si="751"/>
        <v/>
      </c>
      <c r="AM1672" s="214" t="str">
        <f t="shared" si="752"/>
        <v/>
      </c>
      <c r="AN1672" s="213" t="str">
        <f t="shared" si="734"/>
        <v/>
      </c>
      <c r="AO1672" s="213" t="str">
        <f t="shared" si="735"/>
        <v/>
      </c>
      <c r="AP1672" s="213" t="str">
        <f t="shared" si="736"/>
        <v/>
      </c>
      <c r="AQ1672" s="215" t="str">
        <f t="shared" si="737"/>
        <v/>
      </c>
      <c r="AR1672" s="216" t="str">
        <f t="shared" si="738"/>
        <v>BiK83a2bKWK-06</v>
      </c>
      <c r="AS1672" s="215" t="str">
        <f t="shared" si="739"/>
        <v/>
      </c>
      <c r="AT1672">
        <f t="shared" si="740"/>
        <v>14</v>
      </c>
      <c r="AU1672" s="216" t="str">
        <f t="shared" si="741"/>
        <v>0,5-5 MW, Bonusregeln a2, b und KWK</v>
      </c>
      <c r="AV1672" s="215" t="str">
        <f t="shared" si="742"/>
        <v/>
      </c>
      <c r="AW1672" s="216" t="str">
        <f t="shared" si="743"/>
        <v>Anteil KWK</v>
      </c>
      <c r="AX1672" s="215" t="str">
        <f t="shared" si="744"/>
        <v/>
      </c>
      <c r="AY1672" t="str">
        <f t="shared" si="745"/>
        <v/>
      </c>
      <c r="AZ1672" t="str">
        <f t="shared" si="746"/>
        <v/>
      </c>
    </row>
    <row r="1673" spans="1:52" s="178" customFormat="1" x14ac:dyDescent="0.25">
      <c r="A1673" s="610" t="s">
        <v>4072</v>
      </c>
      <c r="B1673" s="17" t="s">
        <v>5548</v>
      </c>
      <c r="C1673" s="17" t="s">
        <v>1296</v>
      </c>
      <c r="D1673" s="30" t="s">
        <v>6793</v>
      </c>
      <c r="E1673" s="17" t="s">
        <v>674</v>
      </c>
      <c r="F1673" s="454">
        <f t="shared" si="753"/>
        <v>17.64</v>
      </c>
      <c r="G1673" s="529">
        <v>17.64</v>
      </c>
      <c r="H1673" s="487">
        <f t="shared" si="754"/>
        <v>14.11</v>
      </c>
      <c r="I1673" s="706"/>
      <c r="J1673" s="669" t="s">
        <v>5805</v>
      </c>
      <c r="K1673" s="15"/>
      <c r="L1673"/>
      <c r="M1673" s="49">
        <f t="shared" si="755"/>
        <v>17.64</v>
      </c>
      <c r="N1673" s="41">
        <v>8.64</v>
      </c>
      <c r="O1673" s="54"/>
      <c r="P1673" s="74"/>
      <c r="Q1673" t="s">
        <v>1017</v>
      </c>
      <c r="R1673"/>
      <c r="S1673" t="s">
        <v>4180</v>
      </c>
      <c r="T1673" s="178" t="s">
        <v>4180</v>
      </c>
      <c r="U1673" s="75"/>
      <c r="V1673" s="65"/>
      <c r="W1673" t="s">
        <v>1017</v>
      </c>
      <c r="X1673"/>
      <c r="Y1673" s="65"/>
      <c r="Z1673" s="65"/>
      <c r="AA1673" s="65"/>
      <c r="AB1673" s="65"/>
      <c r="AC1673" s="65"/>
      <c r="AD1673" s="91"/>
      <c r="AE1673" s="124" t="s">
        <v>1017</v>
      </c>
      <c r="AF1673" s="65"/>
      <c r="AG1673" s="91"/>
      <c r="AH1673" s="212" t="str">
        <f>IF(ISERROR(SEARCH("K erstmals 201",D1673)),"",RIGHT(D1673,4))</f>
        <v/>
      </c>
      <c r="AI1673" s="214" t="str">
        <f t="shared" si="748"/>
        <v/>
      </c>
      <c r="AJ1673" s="214" t="str">
        <f t="shared" si="749"/>
        <v/>
      </c>
      <c r="AK1673" s="214" t="str">
        <f t="shared" si="750"/>
        <v/>
      </c>
      <c r="AL1673" s="214" t="str">
        <f t="shared" si="751"/>
        <v/>
      </c>
      <c r="AM1673" s="214" t="str">
        <f t="shared" si="752"/>
        <v/>
      </c>
      <c r="AN1673" s="213" t="str">
        <f t="shared" si="734"/>
        <v/>
      </c>
      <c r="AO1673" s="213" t="str">
        <f t="shared" si="735"/>
        <v/>
      </c>
      <c r="AP1673" s="213" t="str">
        <f t="shared" si="736"/>
        <v/>
      </c>
      <c r="AQ1673" s="215" t="str">
        <f t="shared" si="737"/>
        <v/>
      </c>
      <c r="AR1673" s="216" t="str">
        <f t="shared" si="738"/>
        <v>BiK83a2bK09-06</v>
      </c>
      <c r="AS1673" s="215" t="str">
        <f t="shared" si="739"/>
        <v/>
      </c>
      <c r="AT1673">
        <f t="shared" si="740"/>
        <v>14</v>
      </c>
      <c r="AU1673" s="216" t="str">
        <f t="shared" si="741"/>
        <v>0,5-5 MW, Bonusregeln a2, b und K erstmals 2009</v>
      </c>
      <c r="AV1673" s="215" t="str">
        <f t="shared" si="742"/>
        <v/>
      </c>
      <c r="AW1673" s="216" t="str">
        <f t="shared" si="743"/>
        <v>Anteil KWK, erstmals 2009</v>
      </c>
      <c r="AX1673" s="215" t="str">
        <f t="shared" si="744"/>
        <v/>
      </c>
      <c r="AY1673" t="str">
        <f t="shared" si="745"/>
        <v/>
      </c>
      <c r="AZ1673" t="str">
        <f t="shared" si="746"/>
        <v/>
      </c>
    </row>
    <row r="1674" spans="1:52" s="178" customFormat="1" x14ac:dyDescent="0.25">
      <c r="A1674" s="610" t="s">
        <v>4937</v>
      </c>
      <c r="B1674" s="17" t="s">
        <v>5548</v>
      </c>
      <c r="C1674" s="17" t="s">
        <v>1296</v>
      </c>
      <c r="D1674" s="30" t="s">
        <v>6794</v>
      </c>
      <c r="E1674" s="30" t="s">
        <v>3567</v>
      </c>
      <c r="F1674" s="454">
        <f t="shared" si="753"/>
        <v>17.61</v>
      </c>
      <c r="G1674" s="529">
        <v>17.61</v>
      </c>
      <c r="H1674" s="487">
        <f t="shared" si="754"/>
        <v>14.09</v>
      </c>
      <c r="I1674" s="706"/>
      <c r="J1674" s="669" t="s">
        <v>5805</v>
      </c>
      <c r="K1674" s="15"/>
      <c r="L1674"/>
      <c r="M1674" s="49">
        <f t="shared" si="755"/>
        <v>17.61</v>
      </c>
      <c r="N1674" s="41">
        <v>8.64</v>
      </c>
      <c r="O1674" s="54"/>
      <c r="P1674" s="74"/>
      <c r="Q1674"/>
      <c r="R1674" t="s">
        <v>1017</v>
      </c>
      <c r="S1674" t="s">
        <v>4180</v>
      </c>
      <c r="T1674" s="178" t="s">
        <v>4180</v>
      </c>
      <c r="U1674" s="75"/>
      <c r="V1674" s="65"/>
      <c r="W1674" t="s">
        <v>1017</v>
      </c>
      <c r="X1674"/>
      <c r="Y1674" s="65"/>
      <c r="Z1674" s="65"/>
      <c r="AA1674" s="65"/>
      <c r="AB1674" s="65"/>
      <c r="AC1674" s="65"/>
      <c r="AD1674" s="91"/>
      <c r="AE1674" s="124" t="s">
        <v>1017</v>
      </c>
      <c r="AF1674" s="65"/>
      <c r="AG1674" s="91"/>
      <c r="AH1674" s="212" t="str">
        <f>IF(ISERROR(SEARCH("K erstmals 201",D1674)),"",RIGHT(D1674,4))</f>
        <v>2010</v>
      </c>
      <c r="AI1674" s="214" t="str">
        <f t="shared" si="748"/>
        <v/>
      </c>
      <c r="AJ1674" s="214" t="str">
        <f t="shared" si="749"/>
        <v/>
      </c>
      <c r="AK1674" s="214" t="str">
        <f t="shared" si="750"/>
        <v/>
      </c>
      <c r="AL1674" s="214" t="str">
        <f t="shared" si="751"/>
        <v/>
      </c>
      <c r="AM1674" s="214" t="str">
        <f t="shared" si="752"/>
        <v/>
      </c>
      <c r="AN1674" s="213" t="str">
        <f t="shared" si="734"/>
        <v>2010</v>
      </c>
      <c r="AO1674" s="213" t="str">
        <f t="shared" si="735"/>
        <v>2010</v>
      </c>
      <c r="AP1674" s="213" t="str">
        <f t="shared" si="736"/>
        <v>2010</v>
      </c>
      <c r="AQ1674" s="215" t="str">
        <f t="shared" si="737"/>
        <v/>
      </c>
      <c r="AR1674" s="216" t="str">
        <f t="shared" si="738"/>
        <v>BiK83a2bK10-06</v>
      </c>
      <c r="AS1674" s="215" t="str">
        <f t="shared" si="739"/>
        <v/>
      </c>
      <c r="AT1674">
        <f t="shared" si="740"/>
        <v>14</v>
      </c>
      <c r="AU1674" s="216" t="str">
        <f t="shared" si="741"/>
        <v>0,5-5 MW, Bonusregeln a2, b und K erstmals 2010</v>
      </c>
      <c r="AV1674" s="215" t="str">
        <f t="shared" si="742"/>
        <v/>
      </c>
      <c r="AW1674" s="216" t="str">
        <f t="shared" si="743"/>
        <v>Anteil KWK, erstmals 2010</v>
      </c>
      <c r="AX1674" s="215" t="str">
        <f t="shared" si="744"/>
        <v/>
      </c>
      <c r="AY1674" t="str">
        <f t="shared" si="745"/>
        <v/>
      </c>
      <c r="AZ1674" t="str">
        <f t="shared" si="746"/>
        <v/>
      </c>
    </row>
    <row r="1675" spans="1:52" s="178" customFormat="1" x14ac:dyDescent="0.25">
      <c r="A1675" s="610" t="s">
        <v>3984</v>
      </c>
      <c r="B1675" s="17" t="s">
        <v>5548</v>
      </c>
      <c r="C1675" s="17" t="s">
        <v>1296</v>
      </c>
      <c r="D1675" s="30" t="s">
        <v>6795</v>
      </c>
      <c r="E1675" s="30" t="s">
        <v>3055</v>
      </c>
      <c r="F1675" s="454">
        <f t="shared" si="753"/>
        <v>17.579999999999998</v>
      </c>
      <c r="G1675" s="529">
        <v>17.579999999999998</v>
      </c>
      <c r="H1675" s="487">
        <f t="shared" si="754"/>
        <v>14.06</v>
      </c>
      <c r="I1675" s="706"/>
      <c r="J1675" s="669" t="s">
        <v>5805</v>
      </c>
      <c r="K1675" s="15"/>
      <c r="L1675"/>
      <c r="M1675" s="49">
        <f t="shared" si="755"/>
        <v>17.579999999999998</v>
      </c>
      <c r="N1675" s="41">
        <v>8.64</v>
      </c>
      <c r="O1675" s="54"/>
      <c r="P1675" s="74"/>
      <c r="Q1675"/>
      <c r="R1675"/>
      <c r="S1675" t="s">
        <v>1017</v>
      </c>
      <c r="T1675" s="178" t="s">
        <v>4180</v>
      </c>
      <c r="U1675" s="75"/>
      <c r="V1675" s="65"/>
      <c r="W1675" t="s">
        <v>1017</v>
      </c>
      <c r="X1675"/>
      <c r="Y1675" s="65"/>
      <c r="Z1675" s="65"/>
      <c r="AA1675" s="65"/>
      <c r="AB1675" s="65"/>
      <c r="AC1675" s="65"/>
      <c r="AD1675" s="91"/>
      <c r="AE1675" s="124" t="s">
        <v>1017</v>
      </c>
      <c r="AF1675" s="65"/>
      <c r="AG1675" s="91"/>
      <c r="AH1675" s="212" t="str">
        <f>IF(ISERROR(SEARCH("K erstmals 201",D1675)),"",RIGHT(D1675,4))</f>
        <v>2011</v>
      </c>
      <c r="AI1675" s="214" t="str">
        <f t="shared" si="748"/>
        <v/>
      </c>
      <c r="AJ1675" s="214" t="str">
        <f t="shared" si="749"/>
        <v/>
      </c>
      <c r="AK1675" s="214" t="str">
        <f t="shared" si="750"/>
        <v/>
      </c>
      <c r="AL1675" s="214" t="str">
        <f t="shared" si="751"/>
        <v/>
      </c>
      <c r="AM1675" s="214" t="str">
        <f t="shared" si="752"/>
        <v/>
      </c>
      <c r="AN1675" s="213" t="str">
        <f t="shared" si="734"/>
        <v>2011</v>
      </c>
      <c r="AO1675" s="213" t="str">
        <f t="shared" si="735"/>
        <v>2011</v>
      </c>
      <c r="AP1675" s="213" t="str">
        <f t="shared" si="736"/>
        <v>2011</v>
      </c>
      <c r="AQ1675" s="215" t="str">
        <f t="shared" si="737"/>
        <v/>
      </c>
      <c r="AR1675" s="216" t="str">
        <f t="shared" si="738"/>
        <v>BiK83a2bK11-06</v>
      </c>
      <c r="AS1675" s="215" t="str">
        <f t="shared" si="739"/>
        <v/>
      </c>
      <c r="AT1675">
        <f t="shared" si="740"/>
        <v>14</v>
      </c>
      <c r="AU1675" s="216" t="str">
        <f t="shared" si="741"/>
        <v>0,5-5 MW, Bonusregeln a2, b und K erstmals 2011</v>
      </c>
      <c r="AV1675" s="215" t="str">
        <f t="shared" si="742"/>
        <v/>
      </c>
      <c r="AW1675" s="216" t="str">
        <f t="shared" si="743"/>
        <v>Anteil KWK, erstmals 2011</v>
      </c>
      <c r="AX1675" s="215" t="str">
        <f t="shared" si="744"/>
        <v/>
      </c>
      <c r="AY1675" t="str">
        <f t="shared" si="745"/>
        <v>x</v>
      </c>
      <c r="AZ1675" t="str">
        <f t="shared" si="746"/>
        <v/>
      </c>
    </row>
    <row r="1676" spans="1:52" s="178" customFormat="1" x14ac:dyDescent="0.25">
      <c r="A1676" s="625" t="s">
        <v>1806</v>
      </c>
      <c r="B1676" s="221" t="s">
        <v>5548</v>
      </c>
      <c r="C1676" s="221" t="s">
        <v>1296</v>
      </c>
      <c r="D1676" s="219" t="s">
        <v>6796</v>
      </c>
      <c r="E1676" s="219" t="s">
        <v>1980</v>
      </c>
      <c r="F1676" s="455">
        <f t="shared" si="753"/>
        <v>17.55</v>
      </c>
      <c r="G1676" s="530">
        <v>17.55</v>
      </c>
      <c r="H1676" s="488">
        <f t="shared" si="754"/>
        <v>14.04</v>
      </c>
      <c r="I1676" s="707"/>
      <c r="J1676" s="669" t="s">
        <v>5805</v>
      </c>
      <c r="K1676" s="15"/>
      <c r="L1676"/>
      <c r="M1676" s="49">
        <f t="shared" si="755"/>
        <v>17.55</v>
      </c>
      <c r="N1676" s="41">
        <v>8.64</v>
      </c>
      <c r="O1676" s="54"/>
      <c r="P1676" s="74"/>
      <c r="Q1676"/>
      <c r="R1676"/>
      <c r="S1676" t="s">
        <v>4180</v>
      </c>
      <c r="T1676" s="178" t="s">
        <v>1017</v>
      </c>
      <c r="U1676" s="75"/>
      <c r="V1676" s="65"/>
      <c r="W1676" t="s">
        <v>1017</v>
      </c>
      <c r="X1676"/>
      <c r="Y1676" s="65"/>
      <c r="Z1676" s="65"/>
      <c r="AA1676" s="65"/>
      <c r="AB1676" s="65"/>
      <c r="AC1676" s="65"/>
      <c r="AD1676" s="91"/>
      <c r="AE1676" s="124" t="s">
        <v>1017</v>
      </c>
      <c r="AF1676" s="65"/>
      <c r="AG1676" s="91"/>
      <c r="AH1676" s="217" t="s">
        <v>4179</v>
      </c>
      <c r="AI1676" s="214" t="str">
        <f t="shared" si="748"/>
        <v/>
      </c>
      <c r="AJ1676" s="214" t="str">
        <f t="shared" si="749"/>
        <v/>
      </c>
      <c r="AK1676" s="214" t="str">
        <f t="shared" si="750"/>
        <v/>
      </c>
      <c r="AL1676" s="214" t="str">
        <f t="shared" si="751"/>
        <v/>
      </c>
      <c r="AM1676" s="214" t="str">
        <f t="shared" si="752"/>
        <v/>
      </c>
      <c r="AN1676" s="213" t="str">
        <f t="shared" si="734"/>
        <v>2012</v>
      </c>
      <c r="AO1676" s="213" t="str">
        <f t="shared" si="735"/>
        <v>2012</v>
      </c>
      <c r="AP1676" s="213" t="str">
        <f t="shared" si="736"/>
        <v>2012</v>
      </c>
      <c r="AQ1676" s="215" t="str">
        <f t="shared" si="737"/>
        <v/>
      </c>
      <c r="AR1676" s="216" t="str">
        <f t="shared" si="738"/>
        <v>BiK83a2bK12-06</v>
      </c>
      <c r="AS1676" s="215" t="str">
        <f t="shared" si="739"/>
        <v/>
      </c>
      <c r="AT1676">
        <f t="shared" si="740"/>
        <v>14</v>
      </c>
      <c r="AU1676" s="216" t="str">
        <f t="shared" si="741"/>
        <v>0,5-5 MW, Bonusregeln a2, b und K erstmals 2012</v>
      </c>
      <c r="AV1676" s="215" t="str">
        <f t="shared" si="742"/>
        <v/>
      </c>
      <c r="AW1676" s="216" t="str">
        <f t="shared" si="743"/>
        <v>Anteil KWK, erstmals 2012</v>
      </c>
      <c r="AX1676" s="215" t="str">
        <f t="shared" si="744"/>
        <v/>
      </c>
      <c r="AY1676" t="str">
        <f t="shared" si="745"/>
        <v/>
      </c>
      <c r="AZ1676" t="str">
        <f t="shared" si="746"/>
        <v>x</v>
      </c>
    </row>
    <row r="1677" spans="1:52" s="178" customFormat="1" x14ac:dyDescent="0.25">
      <c r="A1677" s="609" t="s">
        <v>528</v>
      </c>
      <c r="B1677" s="1" t="s">
        <v>5548</v>
      </c>
      <c r="C1677" s="2" t="s">
        <v>1296</v>
      </c>
      <c r="D1677" s="1" t="s">
        <v>6797</v>
      </c>
      <c r="E1677" s="1" t="s">
        <v>4810</v>
      </c>
      <c r="F1677" s="456">
        <f t="shared" si="753"/>
        <v>13.14</v>
      </c>
      <c r="G1677" s="531">
        <v>13.14</v>
      </c>
      <c r="H1677" s="489">
        <f t="shared" si="754"/>
        <v>10.51</v>
      </c>
      <c r="I1677" s="708"/>
      <c r="J1677" s="669" t="s">
        <v>5805</v>
      </c>
      <c r="K1677" s="15"/>
      <c r="L1677"/>
      <c r="M1677" s="49">
        <f t="shared" si="755"/>
        <v>13.14</v>
      </c>
      <c r="N1677" s="41">
        <v>8.64</v>
      </c>
      <c r="O1677" s="54"/>
      <c r="P1677" s="74"/>
      <c r="Q1677"/>
      <c r="R1677"/>
      <c r="S1677" t="s">
        <v>4180</v>
      </c>
      <c r="T1677" s="178" t="s">
        <v>4180</v>
      </c>
      <c r="U1677" s="75"/>
      <c r="V1677" s="65"/>
      <c r="W1677"/>
      <c r="X1677" t="s">
        <v>1017</v>
      </c>
      <c r="Y1677" s="65"/>
      <c r="Z1677" s="65"/>
      <c r="AA1677" s="65"/>
      <c r="AB1677" s="65"/>
      <c r="AC1677" s="65"/>
      <c r="AD1677" s="91"/>
      <c r="AE1677" s="124" t="s">
        <v>1017</v>
      </c>
      <c r="AF1677" s="65"/>
      <c r="AG1677" s="91"/>
      <c r="AH1677" s="212" t="str">
        <f>IF(ISERROR(SEARCH("K erstmals 201",D1677)),"",RIGHT(D1677,4))</f>
        <v/>
      </c>
      <c r="AI1677" s="214" t="str">
        <f t="shared" si="748"/>
        <v/>
      </c>
      <c r="AJ1677" s="214" t="str">
        <f t="shared" si="749"/>
        <v/>
      </c>
      <c r="AK1677" s="214" t="str">
        <f t="shared" si="750"/>
        <v/>
      </c>
      <c r="AL1677" s="214" t="str">
        <f t="shared" si="751"/>
        <v/>
      </c>
      <c r="AM1677" s="214" t="str">
        <f t="shared" si="752"/>
        <v/>
      </c>
      <c r="AN1677" s="213" t="str">
        <f t="shared" si="734"/>
        <v/>
      </c>
      <c r="AO1677" s="213" t="str">
        <f t="shared" si="735"/>
        <v/>
      </c>
      <c r="AP1677" s="213" t="str">
        <f t="shared" si="736"/>
        <v/>
      </c>
      <c r="AQ1677" s="215" t="str">
        <f t="shared" si="737"/>
        <v/>
      </c>
      <c r="AR1677" s="216" t="str">
        <f t="shared" si="738"/>
        <v>BiK83a3b----06</v>
      </c>
      <c r="AS1677" s="215" t="str">
        <f t="shared" si="739"/>
        <v/>
      </c>
      <c r="AT1677">
        <f t="shared" si="740"/>
        <v>14</v>
      </c>
      <c r="AU1677" s="216" t="str">
        <f t="shared" si="741"/>
        <v>0,5-5 MW, Bonusregeln a3 und b</v>
      </c>
      <c r="AV1677" s="215" t="str">
        <f t="shared" si="742"/>
        <v/>
      </c>
      <c r="AW1677" s="216" t="str">
        <f t="shared" si="743"/>
        <v>Anteil Nicht-KWK</v>
      </c>
      <c r="AX1677" s="215" t="str">
        <f t="shared" si="744"/>
        <v/>
      </c>
      <c r="AY1677" t="str">
        <f t="shared" si="745"/>
        <v/>
      </c>
      <c r="AZ1677" t="str">
        <f t="shared" si="746"/>
        <v/>
      </c>
    </row>
    <row r="1678" spans="1:52" s="178" customFormat="1" x14ac:dyDescent="0.25">
      <c r="A1678" s="609" t="s">
        <v>529</v>
      </c>
      <c r="B1678" s="1" t="s">
        <v>5548</v>
      </c>
      <c r="C1678" s="2" t="s">
        <v>1296</v>
      </c>
      <c r="D1678" s="1" t="s">
        <v>6798</v>
      </c>
      <c r="E1678" s="1" t="s">
        <v>4812</v>
      </c>
      <c r="F1678" s="456">
        <f t="shared" si="753"/>
        <v>15.14</v>
      </c>
      <c r="G1678" s="531">
        <v>15.14</v>
      </c>
      <c r="H1678" s="489">
        <f t="shared" si="754"/>
        <v>12.11</v>
      </c>
      <c r="I1678" s="708"/>
      <c r="J1678" s="669" t="s">
        <v>5805</v>
      </c>
      <c r="K1678" s="15"/>
      <c r="L1678"/>
      <c r="M1678" s="49">
        <f t="shared" si="755"/>
        <v>15.14</v>
      </c>
      <c r="N1678" s="41">
        <v>8.64</v>
      </c>
      <c r="O1678" s="54" t="s">
        <v>1017</v>
      </c>
      <c r="P1678" s="74"/>
      <c r="Q1678"/>
      <c r="R1678"/>
      <c r="S1678" t="s">
        <v>4180</v>
      </c>
      <c r="T1678" s="178" t="s">
        <v>4180</v>
      </c>
      <c r="U1678" s="75"/>
      <c r="V1678" s="65"/>
      <c r="W1678"/>
      <c r="X1678" t="s">
        <v>1017</v>
      </c>
      <c r="Y1678" s="65"/>
      <c r="Z1678" s="65"/>
      <c r="AA1678" s="65"/>
      <c r="AB1678" s="65"/>
      <c r="AC1678" s="65"/>
      <c r="AD1678" s="91"/>
      <c r="AE1678" s="124" t="s">
        <v>1017</v>
      </c>
      <c r="AF1678" s="65"/>
      <c r="AG1678" s="91"/>
      <c r="AH1678" s="212" t="str">
        <f>IF(ISERROR(SEARCH("K erstmals 201",D1678)),"",RIGHT(D1678,4))</f>
        <v/>
      </c>
      <c r="AI1678" s="214" t="str">
        <f t="shared" si="748"/>
        <v/>
      </c>
      <c r="AJ1678" s="214" t="str">
        <f t="shared" si="749"/>
        <v/>
      </c>
      <c r="AK1678" s="214" t="str">
        <f t="shared" si="750"/>
        <v/>
      </c>
      <c r="AL1678" s="214" t="str">
        <f t="shared" si="751"/>
        <v/>
      </c>
      <c r="AM1678" s="214" t="str">
        <f t="shared" si="752"/>
        <v/>
      </c>
      <c r="AN1678" s="213" t="str">
        <f t="shared" si="734"/>
        <v/>
      </c>
      <c r="AO1678" s="213" t="str">
        <f t="shared" si="735"/>
        <v/>
      </c>
      <c r="AP1678" s="213" t="str">
        <f t="shared" si="736"/>
        <v/>
      </c>
      <c r="AQ1678" s="215" t="str">
        <f t="shared" si="737"/>
        <v/>
      </c>
      <c r="AR1678" s="216" t="str">
        <f t="shared" si="738"/>
        <v>BiK83a3bKWK-06</v>
      </c>
      <c r="AS1678" s="215" t="str">
        <f t="shared" si="739"/>
        <v/>
      </c>
      <c r="AT1678">
        <f t="shared" si="740"/>
        <v>14</v>
      </c>
      <c r="AU1678" s="216" t="str">
        <f t="shared" si="741"/>
        <v>0,5-5 MW, Bonusregeln a3, b und KWK</v>
      </c>
      <c r="AV1678" s="215" t="str">
        <f t="shared" si="742"/>
        <v/>
      </c>
      <c r="AW1678" s="216" t="str">
        <f t="shared" si="743"/>
        <v>Anteil KWK</v>
      </c>
      <c r="AX1678" s="215" t="str">
        <f t="shared" si="744"/>
        <v/>
      </c>
      <c r="AY1678" t="str">
        <f t="shared" si="745"/>
        <v/>
      </c>
      <c r="AZ1678" t="str">
        <f t="shared" si="746"/>
        <v/>
      </c>
    </row>
    <row r="1679" spans="1:52" s="178" customFormat="1" x14ac:dyDescent="0.25">
      <c r="A1679" s="610" t="s">
        <v>4073</v>
      </c>
      <c r="B1679" s="17" t="s">
        <v>5548</v>
      </c>
      <c r="C1679" s="17" t="s">
        <v>1296</v>
      </c>
      <c r="D1679" s="30" t="s">
        <v>6799</v>
      </c>
      <c r="E1679" s="17" t="s">
        <v>674</v>
      </c>
      <c r="F1679" s="454">
        <f t="shared" si="753"/>
        <v>16.14</v>
      </c>
      <c r="G1679" s="529">
        <v>16.14</v>
      </c>
      <c r="H1679" s="487">
        <f t="shared" si="754"/>
        <v>12.91</v>
      </c>
      <c r="I1679" s="706"/>
      <c r="J1679" s="669" t="s">
        <v>5805</v>
      </c>
      <c r="K1679" s="15"/>
      <c r="L1679"/>
      <c r="M1679" s="49">
        <f t="shared" si="755"/>
        <v>16.14</v>
      </c>
      <c r="N1679" s="41">
        <v>8.64</v>
      </c>
      <c r="O1679" s="54"/>
      <c r="P1679" s="74"/>
      <c r="Q1679" t="s">
        <v>1017</v>
      </c>
      <c r="R1679"/>
      <c r="S1679" t="s">
        <v>4180</v>
      </c>
      <c r="T1679" s="178" t="s">
        <v>4180</v>
      </c>
      <c r="U1679" s="75"/>
      <c r="V1679" s="65"/>
      <c r="W1679"/>
      <c r="X1679" t="s">
        <v>1017</v>
      </c>
      <c r="Y1679" s="65"/>
      <c r="Z1679" s="65"/>
      <c r="AA1679" s="65"/>
      <c r="AB1679" s="65"/>
      <c r="AC1679" s="65"/>
      <c r="AD1679" s="91"/>
      <c r="AE1679" s="124" t="s">
        <v>1017</v>
      </c>
      <c r="AF1679" s="65"/>
      <c r="AG1679" s="91"/>
      <c r="AH1679" s="212" t="str">
        <f>IF(ISERROR(SEARCH("K erstmals 201",D1679)),"",RIGHT(D1679,4))</f>
        <v/>
      </c>
      <c r="AI1679" s="214" t="str">
        <f t="shared" si="748"/>
        <v/>
      </c>
      <c r="AJ1679" s="214" t="str">
        <f t="shared" si="749"/>
        <v/>
      </c>
      <c r="AK1679" s="214" t="str">
        <f t="shared" si="750"/>
        <v/>
      </c>
      <c r="AL1679" s="214" t="str">
        <f t="shared" si="751"/>
        <v/>
      </c>
      <c r="AM1679" s="214" t="str">
        <f t="shared" si="752"/>
        <v/>
      </c>
      <c r="AN1679" s="213" t="str">
        <f t="shared" si="734"/>
        <v/>
      </c>
      <c r="AO1679" s="213" t="str">
        <f t="shared" si="735"/>
        <v/>
      </c>
      <c r="AP1679" s="213" t="str">
        <f t="shared" si="736"/>
        <v/>
      </c>
      <c r="AQ1679" s="215" t="str">
        <f t="shared" si="737"/>
        <v/>
      </c>
      <c r="AR1679" s="216" t="str">
        <f t="shared" si="738"/>
        <v>BiK83a3bK09-06</v>
      </c>
      <c r="AS1679" s="215" t="str">
        <f t="shared" si="739"/>
        <v/>
      </c>
      <c r="AT1679">
        <f t="shared" si="740"/>
        <v>14</v>
      </c>
      <c r="AU1679" s="216" t="str">
        <f t="shared" si="741"/>
        <v>0,5-5 MW, Bonusregeln a3, b und K erstmals 2009</v>
      </c>
      <c r="AV1679" s="215" t="str">
        <f t="shared" si="742"/>
        <v/>
      </c>
      <c r="AW1679" s="216" t="str">
        <f t="shared" si="743"/>
        <v>Anteil KWK, erstmals 2009</v>
      </c>
      <c r="AX1679" s="215" t="str">
        <f t="shared" si="744"/>
        <v/>
      </c>
      <c r="AY1679" t="str">
        <f t="shared" si="745"/>
        <v/>
      </c>
      <c r="AZ1679" t="str">
        <f t="shared" si="746"/>
        <v/>
      </c>
    </row>
    <row r="1680" spans="1:52" s="178" customFormat="1" x14ac:dyDescent="0.25">
      <c r="A1680" s="610" t="s">
        <v>4938</v>
      </c>
      <c r="B1680" s="17" t="s">
        <v>5548</v>
      </c>
      <c r="C1680" s="17" t="s">
        <v>1296</v>
      </c>
      <c r="D1680" s="30" t="s">
        <v>6800</v>
      </c>
      <c r="E1680" s="30" t="s">
        <v>3567</v>
      </c>
      <c r="F1680" s="454">
        <f t="shared" si="753"/>
        <v>16.11</v>
      </c>
      <c r="G1680" s="529">
        <v>16.11</v>
      </c>
      <c r="H1680" s="487">
        <f t="shared" si="754"/>
        <v>12.89</v>
      </c>
      <c r="I1680" s="706"/>
      <c r="J1680" s="669" t="s">
        <v>5805</v>
      </c>
      <c r="K1680" s="15"/>
      <c r="L1680"/>
      <c r="M1680" s="49">
        <f t="shared" si="755"/>
        <v>16.11</v>
      </c>
      <c r="N1680" s="41">
        <v>8.64</v>
      </c>
      <c r="O1680" s="54"/>
      <c r="P1680" s="74"/>
      <c r="Q1680"/>
      <c r="R1680" t="s">
        <v>1017</v>
      </c>
      <c r="S1680" t="s">
        <v>4180</v>
      </c>
      <c r="T1680" s="178" t="s">
        <v>4180</v>
      </c>
      <c r="U1680" s="75"/>
      <c r="V1680" s="65"/>
      <c r="W1680"/>
      <c r="X1680" t="s">
        <v>1017</v>
      </c>
      <c r="Y1680" s="65"/>
      <c r="Z1680" s="65"/>
      <c r="AA1680" s="65"/>
      <c r="AB1680" s="65"/>
      <c r="AC1680" s="65"/>
      <c r="AD1680" s="91"/>
      <c r="AE1680" s="124" t="s">
        <v>1017</v>
      </c>
      <c r="AF1680" s="65"/>
      <c r="AG1680" s="91"/>
      <c r="AH1680" s="212" t="str">
        <f>IF(ISERROR(SEARCH("K erstmals 201",D1680)),"",RIGHT(D1680,4))</f>
        <v>2010</v>
      </c>
      <c r="AI1680" s="214" t="str">
        <f t="shared" si="748"/>
        <v/>
      </c>
      <c r="AJ1680" s="214" t="str">
        <f t="shared" si="749"/>
        <v/>
      </c>
      <c r="AK1680" s="214" t="str">
        <f t="shared" si="750"/>
        <v/>
      </c>
      <c r="AL1680" s="214" t="str">
        <f t="shared" si="751"/>
        <v/>
      </c>
      <c r="AM1680" s="214" t="str">
        <f t="shared" si="752"/>
        <v/>
      </c>
      <c r="AN1680" s="213" t="str">
        <f t="shared" si="734"/>
        <v>2010</v>
      </c>
      <c r="AO1680" s="213" t="str">
        <f t="shared" si="735"/>
        <v>2010</v>
      </c>
      <c r="AP1680" s="213" t="str">
        <f t="shared" si="736"/>
        <v>2010</v>
      </c>
      <c r="AQ1680" s="215" t="str">
        <f t="shared" si="737"/>
        <v/>
      </c>
      <c r="AR1680" s="216" t="str">
        <f t="shared" si="738"/>
        <v>BiK83a3bK10-06</v>
      </c>
      <c r="AS1680" s="215" t="str">
        <f t="shared" si="739"/>
        <v/>
      </c>
      <c r="AT1680">
        <f t="shared" si="740"/>
        <v>14</v>
      </c>
      <c r="AU1680" s="216" t="str">
        <f t="shared" si="741"/>
        <v>0,5-5 MW, Bonusregeln a3, b und K erstmals 2010</v>
      </c>
      <c r="AV1680" s="215" t="str">
        <f t="shared" si="742"/>
        <v/>
      </c>
      <c r="AW1680" s="216" t="str">
        <f t="shared" si="743"/>
        <v>Anteil KWK, erstmals 2010</v>
      </c>
      <c r="AX1680" s="215" t="str">
        <f t="shared" si="744"/>
        <v/>
      </c>
      <c r="AY1680" t="str">
        <f t="shared" si="745"/>
        <v/>
      </c>
      <c r="AZ1680" t="str">
        <f t="shared" si="746"/>
        <v/>
      </c>
    </row>
    <row r="1681" spans="1:52" s="178" customFormat="1" x14ac:dyDescent="0.25">
      <c r="A1681" s="610" t="s">
        <v>3985</v>
      </c>
      <c r="B1681" s="17" t="s">
        <v>5548</v>
      </c>
      <c r="C1681" s="17" t="s">
        <v>1296</v>
      </c>
      <c r="D1681" s="30" t="s">
        <v>6801</v>
      </c>
      <c r="E1681" s="30" t="s">
        <v>3055</v>
      </c>
      <c r="F1681" s="454">
        <f t="shared" si="753"/>
        <v>16.079999999999998</v>
      </c>
      <c r="G1681" s="529">
        <v>16.079999999999998</v>
      </c>
      <c r="H1681" s="487">
        <f t="shared" si="754"/>
        <v>12.86</v>
      </c>
      <c r="I1681" s="706"/>
      <c r="J1681" s="669" t="s">
        <v>5805</v>
      </c>
      <c r="K1681" s="15"/>
      <c r="L1681"/>
      <c r="M1681" s="49">
        <f t="shared" si="755"/>
        <v>16.079999999999998</v>
      </c>
      <c r="N1681" s="41">
        <v>8.64</v>
      </c>
      <c r="O1681" s="54"/>
      <c r="P1681" s="74"/>
      <c r="Q1681"/>
      <c r="R1681"/>
      <c r="S1681" t="s">
        <v>1017</v>
      </c>
      <c r="T1681" s="178" t="s">
        <v>4180</v>
      </c>
      <c r="U1681" s="75"/>
      <c r="V1681" s="65"/>
      <c r="W1681"/>
      <c r="X1681" t="s">
        <v>1017</v>
      </c>
      <c r="Y1681" s="65"/>
      <c r="Z1681" s="65"/>
      <c r="AA1681" s="65"/>
      <c r="AB1681" s="65"/>
      <c r="AC1681" s="65"/>
      <c r="AD1681" s="91"/>
      <c r="AE1681" s="124" t="s">
        <v>1017</v>
      </c>
      <c r="AF1681" s="65"/>
      <c r="AG1681" s="91"/>
      <c r="AH1681" s="212" t="str">
        <f>IF(ISERROR(SEARCH("K erstmals 201",D1681)),"",RIGHT(D1681,4))</f>
        <v>2011</v>
      </c>
      <c r="AI1681" s="214" t="str">
        <f t="shared" si="748"/>
        <v/>
      </c>
      <c r="AJ1681" s="214" t="str">
        <f t="shared" si="749"/>
        <v/>
      </c>
      <c r="AK1681" s="214" t="str">
        <f t="shared" si="750"/>
        <v/>
      </c>
      <c r="AL1681" s="214" t="str">
        <f t="shared" si="751"/>
        <v/>
      </c>
      <c r="AM1681" s="214" t="str">
        <f t="shared" si="752"/>
        <v/>
      </c>
      <c r="AN1681" s="213" t="str">
        <f t="shared" si="734"/>
        <v>2011</v>
      </c>
      <c r="AO1681" s="213" t="str">
        <f t="shared" si="735"/>
        <v>2011</v>
      </c>
      <c r="AP1681" s="213" t="str">
        <f t="shared" si="736"/>
        <v>2011</v>
      </c>
      <c r="AQ1681" s="215" t="str">
        <f t="shared" si="737"/>
        <v/>
      </c>
      <c r="AR1681" s="216" t="str">
        <f t="shared" si="738"/>
        <v>BiK83a3bK11-06</v>
      </c>
      <c r="AS1681" s="215" t="str">
        <f t="shared" si="739"/>
        <v/>
      </c>
      <c r="AT1681">
        <f t="shared" si="740"/>
        <v>14</v>
      </c>
      <c r="AU1681" s="216" t="str">
        <f t="shared" si="741"/>
        <v>0,5-5 MW, Bonusregeln a3, b und K erstmals 2011</v>
      </c>
      <c r="AV1681" s="215" t="str">
        <f t="shared" si="742"/>
        <v/>
      </c>
      <c r="AW1681" s="216" t="str">
        <f t="shared" si="743"/>
        <v>Anteil KWK, erstmals 2011</v>
      </c>
      <c r="AX1681" s="215" t="str">
        <f t="shared" si="744"/>
        <v/>
      </c>
      <c r="AY1681" t="str">
        <f t="shared" si="745"/>
        <v>x</v>
      </c>
      <c r="AZ1681" t="str">
        <f t="shared" si="746"/>
        <v/>
      </c>
    </row>
    <row r="1682" spans="1:52" s="178" customFormat="1" x14ac:dyDescent="0.25">
      <c r="A1682" s="625" t="s">
        <v>1807</v>
      </c>
      <c r="B1682" s="221" t="s">
        <v>5548</v>
      </c>
      <c r="C1682" s="221" t="s">
        <v>1296</v>
      </c>
      <c r="D1682" s="219" t="s">
        <v>6802</v>
      </c>
      <c r="E1682" s="219" t="s">
        <v>1980</v>
      </c>
      <c r="F1682" s="455">
        <f t="shared" si="753"/>
        <v>16.05</v>
      </c>
      <c r="G1682" s="530">
        <v>16.05</v>
      </c>
      <c r="H1682" s="488">
        <f t="shared" si="754"/>
        <v>12.84</v>
      </c>
      <c r="I1682" s="707"/>
      <c r="J1682" s="669" t="s">
        <v>5805</v>
      </c>
      <c r="K1682" s="15"/>
      <c r="L1682"/>
      <c r="M1682" s="49">
        <f t="shared" si="755"/>
        <v>16.05</v>
      </c>
      <c r="N1682" s="41">
        <v>8.64</v>
      </c>
      <c r="O1682" s="54"/>
      <c r="P1682" s="74"/>
      <c r="Q1682"/>
      <c r="R1682"/>
      <c r="S1682" t="s">
        <v>4180</v>
      </c>
      <c r="T1682" s="178" t="s">
        <v>1017</v>
      </c>
      <c r="U1682" s="75"/>
      <c r="V1682" s="65"/>
      <c r="W1682"/>
      <c r="X1682" t="s">
        <v>1017</v>
      </c>
      <c r="Y1682" s="65"/>
      <c r="Z1682" s="65"/>
      <c r="AA1682" s="65"/>
      <c r="AB1682" s="65"/>
      <c r="AC1682" s="65"/>
      <c r="AD1682" s="91"/>
      <c r="AE1682" s="124" t="s">
        <v>1017</v>
      </c>
      <c r="AF1682" s="65"/>
      <c r="AG1682" s="91"/>
      <c r="AH1682" s="217" t="s">
        <v>4179</v>
      </c>
      <c r="AI1682" s="214" t="str">
        <f t="shared" si="748"/>
        <v/>
      </c>
      <c r="AJ1682" s="214" t="str">
        <f t="shared" si="749"/>
        <v/>
      </c>
      <c r="AK1682" s="214" t="str">
        <f t="shared" si="750"/>
        <v/>
      </c>
      <c r="AL1682" s="214" t="str">
        <f t="shared" si="751"/>
        <v/>
      </c>
      <c r="AM1682" s="214" t="str">
        <f t="shared" si="752"/>
        <v/>
      </c>
      <c r="AN1682" s="213" t="str">
        <f t="shared" si="734"/>
        <v>2012</v>
      </c>
      <c r="AO1682" s="213" t="str">
        <f t="shared" si="735"/>
        <v>2012</v>
      </c>
      <c r="AP1682" s="213" t="str">
        <f t="shared" si="736"/>
        <v>2012</v>
      </c>
      <c r="AQ1682" s="215" t="str">
        <f t="shared" si="737"/>
        <v/>
      </c>
      <c r="AR1682" s="216" t="str">
        <f t="shared" si="738"/>
        <v>BiK83a3bK12-06</v>
      </c>
      <c r="AS1682" s="215" t="str">
        <f t="shared" si="739"/>
        <v/>
      </c>
      <c r="AT1682">
        <f t="shared" si="740"/>
        <v>14</v>
      </c>
      <c r="AU1682" s="216" t="str">
        <f t="shared" si="741"/>
        <v>0,5-5 MW, Bonusregeln a3, b und K erstmals 2012</v>
      </c>
      <c r="AV1682" s="215" t="str">
        <f t="shared" si="742"/>
        <v/>
      </c>
      <c r="AW1682" s="216" t="str">
        <f t="shared" si="743"/>
        <v>Anteil KWK, erstmals 2012</v>
      </c>
      <c r="AX1682" s="215" t="str">
        <f t="shared" si="744"/>
        <v/>
      </c>
      <c r="AY1682" t="str">
        <f t="shared" si="745"/>
        <v/>
      </c>
      <c r="AZ1682" t="str">
        <f t="shared" si="746"/>
        <v>x</v>
      </c>
    </row>
    <row r="1683" spans="1:52" s="178" customFormat="1" x14ac:dyDescent="0.25">
      <c r="A1683" s="609" t="s">
        <v>530</v>
      </c>
      <c r="B1683" s="1" t="s">
        <v>5548</v>
      </c>
      <c r="C1683" s="2" t="s">
        <v>1296</v>
      </c>
      <c r="D1683" s="1" t="s">
        <v>1776</v>
      </c>
      <c r="E1683" s="1" t="s">
        <v>4810</v>
      </c>
      <c r="F1683" s="456">
        <f t="shared" si="753"/>
        <v>8.15</v>
      </c>
      <c r="G1683" s="531">
        <v>8.15</v>
      </c>
      <c r="H1683" s="489">
        <f t="shared" si="754"/>
        <v>6.52</v>
      </c>
      <c r="I1683" s="708"/>
      <c r="J1683" s="669" t="s">
        <v>5805</v>
      </c>
      <c r="K1683" s="15"/>
      <c r="L1683"/>
      <c r="M1683" s="49">
        <f t="shared" si="755"/>
        <v>8.15</v>
      </c>
      <c r="N1683" s="41">
        <v>8.15</v>
      </c>
      <c r="O1683" s="54"/>
      <c r="P1683" s="74"/>
      <c r="Q1683"/>
      <c r="R1683"/>
      <c r="S1683" t="s">
        <v>4180</v>
      </c>
      <c r="T1683" s="178" t="s">
        <v>4180</v>
      </c>
      <c r="U1683" s="75"/>
      <c r="V1683" s="65"/>
      <c r="W1683" s="65"/>
      <c r="X1683" s="65"/>
      <c r="Y1683" s="65"/>
      <c r="Z1683" s="65"/>
      <c r="AA1683" s="65"/>
      <c r="AB1683" s="65"/>
      <c r="AC1683" s="65"/>
      <c r="AD1683" s="91"/>
      <c r="AE1683" s="196"/>
      <c r="AF1683" s="65"/>
      <c r="AG1683" s="91"/>
      <c r="AH1683" s="212" t="str">
        <f>IF(ISERROR(SEARCH("K erstmals 201",D1683)),"",RIGHT(D1683,4))</f>
        <v/>
      </c>
      <c r="AI1683" s="214" t="str">
        <f t="shared" si="748"/>
        <v/>
      </c>
      <c r="AJ1683" s="214" t="str">
        <f t="shared" si="749"/>
        <v/>
      </c>
      <c r="AK1683" s="214" t="str">
        <f t="shared" si="750"/>
        <v/>
      </c>
      <c r="AL1683" s="214" t="str">
        <f t="shared" si="751"/>
        <v/>
      </c>
      <c r="AM1683" s="214" t="str">
        <f t="shared" si="752"/>
        <v/>
      </c>
      <c r="AN1683" s="213" t="str">
        <f t="shared" si="734"/>
        <v/>
      </c>
      <c r="AO1683" s="213" t="str">
        <f t="shared" si="735"/>
        <v/>
      </c>
      <c r="AP1683" s="213" t="str">
        <f t="shared" si="736"/>
        <v/>
      </c>
      <c r="AQ1683" s="215" t="str">
        <f t="shared" si="737"/>
        <v/>
      </c>
      <c r="AR1683" s="216" t="str">
        <f t="shared" si="738"/>
        <v>BiK84-------06</v>
      </c>
      <c r="AS1683" s="215" t="str">
        <f t="shared" si="739"/>
        <v/>
      </c>
      <c r="AT1683">
        <f t="shared" si="740"/>
        <v>14</v>
      </c>
      <c r="AU1683" s="216" t="str">
        <f t="shared" si="741"/>
        <v>5-20 MW</v>
      </c>
      <c r="AV1683" s="215" t="str">
        <f t="shared" si="742"/>
        <v/>
      </c>
      <c r="AW1683" s="216" t="str">
        <f t="shared" si="743"/>
        <v>Anteil Nicht-KWK</v>
      </c>
      <c r="AX1683" s="215" t="str">
        <f t="shared" si="744"/>
        <v/>
      </c>
      <c r="AY1683" t="str">
        <f t="shared" si="745"/>
        <v/>
      </c>
      <c r="AZ1683" t="str">
        <f t="shared" si="746"/>
        <v/>
      </c>
    </row>
    <row r="1684" spans="1:52" s="178" customFormat="1" x14ac:dyDescent="0.25">
      <c r="A1684" s="609" t="s">
        <v>531</v>
      </c>
      <c r="B1684" s="1" t="s">
        <v>5548</v>
      </c>
      <c r="C1684" s="2" t="s">
        <v>1296</v>
      </c>
      <c r="D1684" s="1" t="s">
        <v>7367</v>
      </c>
      <c r="E1684" s="1" t="s">
        <v>4812</v>
      </c>
      <c r="F1684" s="456">
        <f t="shared" si="753"/>
        <v>10.15</v>
      </c>
      <c r="G1684" s="531">
        <v>10.15</v>
      </c>
      <c r="H1684" s="489">
        <f t="shared" si="754"/>
        <v>8.1199999999999992</v>
      </c>
      <c r="I1684" s="708"/>
      <c r="J1684" s="669" t="s">
        <v>5805</v>
      </c>
      <c r="K1684" s="15"/>
      <c r="L1684"/>
      <c r="M1684" s="49">
        <f t="shared" si="755"/>
        <v>10.15</v>
      </c>
      <c r="N1684" s="41">
        <v>8.15</v>
      </c>
      <c r="O1684" s="54" t="s">
        <v>1017</v>
      </c>
      <c r="P1684" s="74"/>
      <c r="Q1684"/>
      <c r="R1684"/>
      <c r="S1684" t="s">
        <v>4180</v>
      </c>
      <c r="T1684" s="178" t="s">
        <v>4180</v>
      </c>
      <c r="U1684" s="75"/>
      <c r="V1684" s="65"/>
      <c r="W1684" s="65"/>
      <c r="X1684" s="65"/>
      <c r="Y1684" s="65"/>
      <c r="Z1684" s="65"/>
      <c r="AA1684" s="65"/>
      <c r="AB1684" s="65"/>
      <c r="AC1684" s="65"/>
      <c r="AD1684" s="91"/>
      <c r="AE1684" s="196"/>
      <c r="AF1684" s="65"/>
      <c r="AG1684" s="91"/>
      <c r="AH1684" s="212" t="str">
        <f>IF(ISERROR(SEARCH("K erstmals 201",D1684)),"",RIGHT(D1684,4))</f>
        <v/>
      </c>
      <c r="AI1684" s="214" t="str">
        <f t="shared" si="748"/>
        <v/>
      </c>
      <c r="AJ1684" s="214" t="str">
        <f t="shared" si="749"/>
        <v/>
      </c>
      <c r="AK1684" s="214" t="str">
        <f t="shared" si="750"/>
        <v/>
      </c>
      <c r="AL1684" s="214" t="str">
        <f t="shared" si="751"/>
        <v/>
      </c>
      <c r="AM1684" s="214" t="str">
        <f t="shared" si="752"/>
        <v/>
      </c>
      <c r="AN1684" s="213" t="str">
        <f t="shared" si="734"/>
        <v/>
      </c>
      <c r="AO1684" s="213" t="str">
        <f t="shared" si="735"/>
        <v/>
      </c>
      <c r="AP1684" s="213" t="str">
        <f t="shared" si="736"/>
        <v/>
      </c>
      <c r="AQ1684" s="215" t="str">
        <f t="shared" si="737"/>
        <v/>
      </c>
      <c r="AR1684" s="216" t="str">
        <f t="shared" si="738"/>
        <v>BiK84KWK----06</v>
      </c>
      <c r="AS1684" s="215" t="str">
        <f t="shared" si="739"/>
        <v/>
      </c>
      <c r="AT1684">
        <f t="shared" si="740"/>
        <v>14</v>
      </c>
      <c r="AU1684" s="216" t="str">
        <f t="shared" si="741"/>
        <v>5-20 MW, Bonusregel KWK</v>
      </c>
      <c r="AV1684" s="215" t="str">
        <f t="shared" si="742"/>
        <v/>
      </c>
      <c r="AW1684" s="216" t="str">
        <f t="shared" si="743"/>
        <v>Anteil KWK</v>
      </c>
      <c r="AX1684" s="215" t="str">
        <f t="shared" si="744"/>
        <v/>
      </c>
      <c r="AY1684" t="str">
        <f t="shared" si="745"/>
        <v/>
      </c>
      <c r="AZ1684" t="str">
        <f t="shared" si="746"/>
        <v/>
      </c>
    </row>
    <row r="1685" spans="1:52" s="178" customFormat="1" x14ac:dyDescent="0.25">
      <c r="A1685" s="610" t="s">
        <v>4074</v>
      </c>
      <c r="B1685" s="17" t="s">
        <v>5548</v>
      </c>
      <c r="C1685" s="17" t="s">
        <v>1296</v>
      </c>
      <c r="D1685" s="30" t="s">
        <v>7363</v>
      </c>
      <c r="E1685" s="17" t="s">
        <v>674</v>
      </c>
      <c r="F1685" s="454">
        <f t="shared" si="753"/>
        <v>11.15</v>
      </c>
      <c r="G1685" s="529">
        <v>11.15</v>
      </c>
      <c r="H1685" s="487">
        <f t="shared" si="754"/>
        <v>8.92</v>
      </c>
      <c r="I1685" s="706"/>
      <c r="J1685" s="669" t="s">
        <v>5805</v>
      </c>
      <c r="K1685" s="15"/>
      <c r="L1685"/>
      <c r="M1685" s="49">
        <f t="shared" si="755"/>
        <v>11.15</v>
      </c>
      <c r="N1685" s="41">
        <v>8.15</v>
      </c>
      <c r="O1685" s="54"/>
      <c r="P1685" s="74"/>
      <c r="Q1685" t="s">
        <v>1017</v>
      </c>
      <c r="R1685"/>
      <c r="S1685" t="s">
        <v>4180</v>
      </c>
      <c r="T1685" s="178" t="s">
        <v>4180</v>
      </c>
      <c r="U1685" s="75"/>
      <c r="V1685" s="65"/>
      <c r="W1685" s="65"/>
      <c r="X1685" s="65"/>
      <c r="Y1685" s="65"/>
      <c r="Z1685" s="65"/>
      <c r="AA1685" s="65"/>
      <c r="AB1685" s="65"/>
      <c r="AC1685" s="65"/>
      <c r="AD1685" s="91"/>
      <c r="AE1685" s="196"/>
      <c r="AF1685" s="65"/>
      <c r="AG1685" s="91"/>
      <c r="AH1685" s="212" t="str">
        <f>IF(ISERROR(SEARCH("K erstmals 201",D1685)),"",RIGHT(D1685,4))</f>
        <v/>
      </c>
      <c r="AI1685" s="214" t="str">
        <f t="shared" si="748"/>
        <v/>
      </c>
      <c r="AJ1685" s="214" t="str">
        <f t="shared" si="749"/>
        <v/>
      </c>
      <c r="AK1685" s="214" t="str">
        <f t="shared" si="750"/>
        <v/>
      </c>
      <c r="AL1685" s="214" t="str">
        <f t="shared" si="751"/>
        <v/>
      </c>
      <c r="AM1685" s="214" t="str">
        <f t="shared" si="752"/>
        <v/>
      </c>
      <c r="AN1685" s="213" t="str">
        <f t="shared" si="734"/>
        <v/>
      </c>
      <c r="AO1685" s="213" t="str">
        <f t="shared" si="735"/>
        <v/>
      </c>
      <c r="AP1685" s="213" t="str">
        <f t="shared" si="736"/>
        <v/>
      </c>
      <c r="AQ1685" s="215" t="str">
        <f t="shared" si="737"/>
        <v/>
      </c>
      <c r="AR1685" s="216" t="str">
        <f t="shared" si="738"/>
        <v>BiK84K09----06</v>
      </c>
      <c r="AS1685" s="215" t="str">
        <f t="shared" si="739"/>
        <v/>
      </c>
      <c r="AT1685">
        <f t="shared" si="740"/>
        <v>14</v>
      </c>
      <c r="AU1685" s="216" t="str">
        <f t="shared" si="741"/>
        <v>5-20 MW, Bonusregel K erstmals 2009</v>
      </c>
      <c r="AV1685" s="215" t="str">
        <f t="shared" si="742"/>
        <v/>
      </c>
      <c r="AW1685" s="216" t="str">
        <f t="shared" si="743"/>
        <v>Anteil KWK, erstmals 2009</v>
      </c>
      <c r="AX1685" s="215" t="str">
        <f t="shared" si="744"/>
        <v/>
      </c>
      <c r="AY1685" t="str">
        <f t="shared" si="745"/>
        <v/>
      </c>
      <c r="AZ1685" t="str">
        <f t="shared" si="746"/>
        <v/>
      </c>
    </row>
    <row r="1686" spans="1:52" s="178" customFormat="1" x14ac:dyDescent="0.25">
      <c r="A1686" s="610" t="s">
        <v>4939</v>
      </c>
      <c r="B1686" s="17" t="s">
        <v>5548</v>
      </c>
      <c r="C1686" s="17" t="s">
        <v>1296</v>
      </c>
      <c r="D1686" s="30" t="s">
        <v>7364</v>
      </c>
      <c r="E1686" s="30" t="s">
        <v>3567</v>
      </c>
      <c r="F1686" s="454">
        <f t="shared" si="753"/>
        <v>11.120000000000001</v>
      </c>
      <c r="G1686" s="529">
        <v>11.120000000000001</v>
      </c>
      <c r="H1686" s="487">
        <f t="shared" si="754"/>
        <v>8.9</v>
      </c>
      <c r="I1686" s="706"/>
      <c r="J1686" s="669" t="s">
        <v>5805</v>
      </c>
      <c r="K1686" s="15"/>
      <c r="L1686"/>
      <c r="M1686" s="49">
        <f t="shared" si="755"/>
        <v>11.120000000000001</v>
      </c>
      <c r="N1686" s="41">
        <v>8.15</v>
      </c>
      <c r="O1686" s="54"/>
      <c r="P1686" s="74"/>
      <c r="Q1686"/>
      <c r="R1686" t="s">
        <v>1017</v>
      </c>
      <c r="S1686" t="s">
        <v>4180</v>
      </c>
      <c r="T1686" s="178" t="s">
        <v>4180</v>
      </c>
      <c r="U1686" s="75"/>
      <c r="V1686" s="65"/>
      <c r="W1686" s="65"/>
      <c r="X1686" s="65"/>
      <c r="Y1686" s="65"/>
      <c r="Z1686" s="65"/>
      <c r="AA1686" s="65"/>
      <c r="AB1686" s="65"/>
      <c r="AC1686" s="65"/>
      <c r="AD1686" s="91"/>
      <c r="AE1686" s="196"/>
      <c r="AF1686" s="65"/>
      <c r="AG1686" s="91"/>
      <c r="AH1686" s="212" t="str">
        <f>IF(ISERROR(SEARCH("K erstmals 201",D1686)),"",RIGHT(D1686,4))</f>
        <v>2010</v>
      </c>
      <c r="AI1686" s="214" t="str">
        <f t="shared" si="748"/>
        <v/>
      </c>
      <c r="AJ1686" s="214" t="str">
        <f t="shared" si="749"/>
        <v/>
      </c>
      <c r="AK1686" s="214" t="str">
        <f t="shared" si="750"/>
        <v/>
      </c>
      <c r="AL1686" s="214" t="str">
        <f t="shared" si="751"/>
        <v/>
      </c>
      <c r="AM1686" s="214" t="str">
        <f t="shared" si="752"/>
        <v/>
      </c>
      <c r="AN1686" s="213" t="str">
        <f t="shared" si="734"/>
        <v>2010</v>
      </c>
      <c r="AO1686" s="213" t="str">
        <f t="shared" si="735"/>
        <v>2010</v>
      </c>
      <c r="AP1686" s="213" t="str">
        <f t="shared" si="736"/>
        <v>2010</v>
      </c>
      <c r="AQ1686" s="215" t="str">
        <f t="shared" si="737"/>
        <v/>
      </c>
      <c r="AR1686" s="216" t="str">
        <f t="shared" si="738"/>
        <v>BiK84K10----06</v>
      </c>
      <c r="AS1686" s="215" t="str">
        <f t="shared" si="739"/>
        <v/>
      </c>
      <c r="AT1686">
        <f t="shared" si="740"/>
        <v>14</v>
      </c>
      <c r="AU1686" s="216" t="str">
        <f t="shared" si="741"/>
        <v>5-20 MW, Bonusregel K erstmals 2010</v>
      </c>
      <c r="AV1686" s="215" t="str">
        <f t="shared" si="742"/>
        <v/>
      </c>
      <c r="AW1686" s="216" t="str">
        <f t="shared" si="743"/>
        <v>Anteil KWK, erstmals 2010</v>
      </c>
      <c r="AX1686" s="215" t="str">
        <f t="shared" si="744"/>
        <v/>
      </c>
      <c r="AY1686" t="str">
        <f t="shared" si="745"/>
        <v/>
      </c>
      <c r="AZ1686" t="str">
        <f t="shared" si="746"/>
        <v/>
      </c>
    </row>
    <row r="1687" spans="1:52" s="178" customFormat="1" x14ac:dyDescent="0.25">
      <c r="A1687" s="610" t="s">
        <v>3986</v>
      </c>
      <c r="B1687" s="17" t="s">
        <v>5548</v>
      </c>
      <c r="C1687" s="17" t="s">
        <v>1296</v>
      </c>
      <c r="D1687" s="30" t="s">
        <v>7365</v>
      </c>
      <c r="E1687" s="30" t="s">
        <v>3055</v>
      </c>
      <c r="F1687" s="454">
        <f t="shared" si="753"/>
        <v>11.09</v>
      </c>
      <c r="G1687" s="529">
        <v>11.09</v>
      </c>
      <c r="H1687" s="487">
        <f t="shared" si="754"/>
        <v>8.8699999999999992</v>
      </c>
      <c r="I1687" s="706"/>
      <c r="J1687" s="669" t="s">
        <v>5805</v>
      </c>
      <c r="K1687" s="15"/>
      <c r="L1687"/>
      <c r="M1687" s="49">
        <f t="shared" si="755"/>
        <v>11.09</v>
      </c>
      <c r="N1687" s="41">
        <v>8.15</v>
      </c>
      <c r="O1687" s="54"/>
      <c r="P1687" s="74"/>
      <c r="Q1687"/>
      <c r="R1687"/>
      <c r="S1687" t="s">
        <v>1017</v>
      </c>
      <c r="T1687" s="178" t="s">
        <v>4180</v>
      </c>
      <c r="U1687" s="75"/>
      <c r="V1687" s="65"/>
      <c r="W1687" s="65"/>
      <c r="X1687" s="65"/>
      <c r="Y1687" s="65"/>
      <c r="Z1687" s="65"/>
      <c r="AA1687" s="65"/>
      <c r="AB1687" s="65"/>
      <c r="AC1687" s="65"/>
      <c r="AD1687" s="91"/>
      <c r="AE1687" s="196"/>
      <c r="AF1687" s="65"/>
      <c r="AG1687" s="91"/>
      <c r="AH1687" s="212" t="str">
        <f>IF(ISERROR(SEARCH("K erstmals 201",D1687)),"",RIGHT(D1687,4))</f>
        <v>2011</v>
      </c>
      <c r="AI1687" s="214" t="str">
        <f t="shared" si="748"/>
        <v/>
      </c>
      <c r="AJ1687" s="214" t="str">
        <f t="shared" si="749"/>
        <v/>
      </c>
      <c r="AK1687" s="214" t="str">
        <f t="shared" si="750"/>
        <v/>
      </c>
      <c r="AL1687" s="214" t="str">
        <f t="shared" si="751"/>
        <v/>
      </c>
      <c r="AM1687" s="214" t="str">
        <f t="shared" si="752"/>
        <v/>
      </c>
      <c r="AN1687" s="213" t="str">
        <f t="shared" si="734"/>
        <v>2011</v>
      </c>
      <c r="AO1687" s="213" t="str">
        <f t="shared" si="735"/>
        <v>2011</v>
      </c>
      <c r="AP1687" s="213" t="str">
        <f t="shared" si="736"/>
        <v>2011</v>
      </c>
      <c r="AQ1687" s="215" t="str">
        <f t="shared" si="737"/>
        <v/>
      </c>
      <c r="AR1687" s="216" t="str">
        <f t="shared" si="738"/>
        <v>BiK84K11----06</v>
      </c>
      <c r="AS1687" s="215" t="str">
        <f t="shared" si="739"/>
        <v/>
      </c>
      <c r="AT1687">
        <f t="shared" si="740"/>
        <v>14</v>
      </c>
      <c r="AU1687" s="216" t="str">
        <f t="shared" si="741"/>
        <v>5-20 MW, Bonusregel K erstmals 2011</v>
      </c>
      <c r="AV1687" s="215" t="str">
        <f t="shared" si="742"/>
        <v/>
      </c>
      <c r="AW1687" s="216" t="str">
        <f t="shared" si="743"/>
        <v>Anteil KWK, erstmals 2011</v>
      </c>
      <c r="AX1687" s="215" t="str">
        <f t="shared" si="744"/>
        <v/>
      </c>
      <c r="AY1687" t="str">
        <f t="shared" si="745"/>
        <v>x</v>
      </c>
      <c r="AZ1687" t="str">
        <f t="shared" si="746"/>
        <v/>
      </c>
    </row>
    <row r="1688" spans="1:52" s="178" customFormat="1" x14ac:dyDescent="0.25">
      <c r="A1688" s="625" t="s">
        <v>1808</v>
      </c>
      <c r="B1688" s="221" t="s">
        <v>5548</v>
      </c>
      <c r="C1688" s="221" t="s">
        <v>1296</v>
      </c>
      <c r="D1688" s="219" t="s">
        <v>7366</v>
      </c>
      <c r="E1688" s="219" t="s">
        <v>1980</v>
      </c>
      <c r="F1688" s="455">
        <f t="shared" si="753"/>
        <v>11.06</v>
      </c>
      <c r="G1688" s="530">
        <v>11.06</v>
      </c>
      <c r="H1688" s="488">
        <f t="shared" si="754"/>
        <v>8.85</v>
      </c>
      <c r="I1688" s="707"/>
      <c r="J1688" s="669" t="s">
        <v>5805</v>
      </c>
      <c r="K1688" s="15"/>
      <c r="L1688"/>
      <c r="M1688" s="49">
        <f t="shared" si="755"/>
        <v>11.06</v>
      </c>
      <c r="N1688" s="41">
        <v>8.15</v>
      </c>
      <c r="O1688" s="54"/>
      <c r="P1688" s="74"/>
      <c r="Q1688"/>
      <c r="R1688"/>
      <c r="S1688" t="s">
        <v>4180</v>
      </c>
      <c r="T1688" s="178" t="s">
        <v>1017</v>
      </c>
      <c r="U1688" s="75"/>
      <c r="V1688" s="65"/>
      <c r="W1688" s="65"/>
      <c r="X1688" s="65"/>
      <c r="Y1688" s="65"/>
      <c r="Z1688" s="65"/>
      <c r="AA1688" s="65"/>
      <c r="AB1688" s="65"/>
      <c r="AC1688" s="65"/>
      <c r="AD1688" s="91"/>
      <c r="AE1688" s="196"/>
      <c r="AF1688" s="65"/>
      <c r="AG1688" s="91"/>
      <c r="AH1688" s="217" t="s">
        <v>4179</v>
      </c>
      <c r="AI1688" s="214" t="str">
        <f t="shared" si="748"/>
        <v/>
      </c>
      <c r="AJ1688" s="214" t="str">
        <f t="shared" si="749"/>
        <v/>
      </c>
      <c r="AK1688" s="214" t="str">
        <f t="shared" si="750"/>
        <v/>
      </c>
      <c r="AL1688" s="214" t="str">
        <f t="shared" si="751"/>
        <v/>
      </c>
      <c r="AM1688" s="214" t="str">
        <f t="shared" si="752"/>
        <v/>
      </c>
      <c r="AN1688" s="213" t="str">
        <f t="shared" si="734"/>
        <v>2012</v>
      </c>
      <c r="AO1688" s="213" t="str">
        <f t="shared" si="735"/>
        <v>2012</v>
      </c>
      <c r="AP1688" s="213" t="str">
        <f t="shared" si="736"/>
        <v>2012</v>
      </c>
      <c r="AQ1688" s="215" t="str">
        <f t="shared" si="737"/>
        <v/>
      </c>
      <c r="AR1688" s="216" t="str">
        <f t="shared" si="738"/>
        <v>BiK84K12----06</v>
      </c>
      <c r="AS1688" s="215" t="str">
        <f t="shared" si="739"/>
        <v/>
      </c>
      <c r="AT1688">
        <f t="shared" si="740"/>
        <v>14</v>
      </c>
      <c r="AU1688" s="216" t="str">
        <f t="shared" si="741"/>
        <v>5-20 MW, Bonusregel K erstmals 2012</v>
      </c>
      <c r="AV1688" s="215" t="str">
        <f t="shared" si="742"/>
        <v/>
      </c>
      <c r="AW1688" s="216" t="str">
        <f t="shared" si="743"/>
        <v>Anteil KWK, erstmals 2012</v>
      </c>
      <c r="AX1688" s="215" t="str">
        <f t="shared" si="744"/>
        <v/>
      </c>
      <c r="AY1688" t="str">
        <f t="shared" si="745"/>
        <v/>
      </c>
      <c r="AZ1688" t="str">
        <f t="shared" si="746"/>
        <v>x</v>
      </c>
    </row>
    <row r="1689" spans="1:52" s="178" customFormat="1" x14ac:dyDescent="0.25">
      <c r="A1689" s="608" t="s">
        <v>532</v>
      </c>
      <c r="B1689" s="1" t="s">
        <v>5548</v>
      </c>
      <c r="C1689" s="22" t="s">
        <v>4792</v>
      </c>
      <c r="D1689" s="22" t="s">
        <v>7391</v>
      </c>
      <c r="E1689" s="2" t="s">
        <v>4180</v>
      </c>
      <c r="F1689" s="456">
        <f t="shared" si="753"/>
        <v>3.78</v>
      </c>
      <c r="G1689" s="531">
        <v>3.78</v>
      </c>
      <c r="H1689" s="489">
        <f t="shared" si="754"/>
        <v>3.02</v>
      </c>
      <c r="I1689" s="708"/>
      <c r="J1689" s="669" t="s">
        <v>5805</v>
      </c>
      <c r="K1689" s="15"/>
      <c r="L1689"/>
      <c r="M1689" s="49">
        <f t="shared" si="755"/>
        <v>3.78</v>
      </c>
      <c r="N1689" s="41">
        <v>3.78</v>
      </c>
      <c r="O1689" s="54"/>
      <c r="P1689" s="74"/>
      <c r="Q1689" s="12"/>
      <c r="R1689" s="12"/>
      <c r="S1689" s="12" t="s">
        <v>4180</v>
      </c>
      <c r="T1689" s="178" t="s">
        <v>4180</v>
      </c>
      <c r="U1689" s="75"/>
      <c r="V1689" s="65"/>
      <c r="W1689" s="65"/>
      <c r="X1689" s="65"/>
      <c r="Y1689" s="65"/>
      <c r="Z1689" s="65"/>
      <c r="AA1689" s="65"/>
      <c r="AB1689" s="65"/>
      <c r="AC1689" s="65"/>
      <c r="AD1689" s="91"/>
      <c r="AE1689" s="196"/>
      <c r="AF1689" s="65"/>
      <c r="AG1689" s="91"/>
      <c r="AH1689" s="212" t="str">
        <f>IF(ISERROR(SEARCH("K erstmals 201",D1689)),"",RIGHT(D1689,4))</f>
        <v/>
      </c>
      <c r="AI1689" s="214" t="str">
        <f t="shared" si="748"/>
        <v/>
      </c>
      <c r="AJ1689" s="214" t="str">
        <f t="shared" si="749"/>
        <v/>
      </c>
      <c r="AK1689" s="214" t="str">
        <f t="shared" si="750"/>
        <v/>
      </c>
      <c r="AL1689" s="214" t="str">
        <f t="shared" si="751"/>
        <v/>
      </c>
      <c r="AM1689" s="214" t="str">
        <f t="shared" si="752"/>
        <v/>
      </c>
      <c r="AN1689" s="213" t="str">
        <f t="shared" ref="AN1689:AN1695" si="758">IF(ISERROR(SEARCH("K1",A1689)),"","20"&amp;MID(A1689,SEARCH("K1",A1689)+1,2))</f>
        <v/>
      </c>
      <c r="AO1689" s="213" t="str">
        <f t="shared" ref="AO1689:AO1695" si="759">IF(ISERROR(SEARCH("erstmals 201",E1689)),"",MID(E1689,SEARCH("erstmals ",E1689)+9,4))</f>
        <v/>
      </c>
      <c r="AP1689" s="213" t="str">
        <f t="shared" ref="AP1689:AP1695" si="760">IF(R1689="x","2010",IF(S1689="x","2011",IF(T1689="x","2012","")))</f>
        <v/>
      </c>
      <c r="AQ1689" s="215" t="str">
        <f t="shared" ref="AQ1689:AQ1695" si="761">IF(OR(AH1689&lt;&gt;AN1689,AH1689&lt;&gt;AO1689,AH1689&lt;&gt;AP1689),"DIFF","")</f>
        <v/>
      </c>
      <c r="AR1689" s="216" t="str">
        <f t="shared" ref="AR1689:AR1695" si="762">IF(A1689="","",IF(ISERROR(SEARCH("K1",A1689)),A1689,LEFT(A1689,SEARCH("K1",A1689)+1)&amp;RIGHT(AH1689,1)&amp;MID(A1689,SEARCH("K1",A1689)+3,14)))</f>
        <v>BiK85-------06</v>
      </c>
      <c r="AS1689" s="215" t="str">
        <f t="shared" ref="AS1689:AS1695" si="763">IF(OR(A1689&lt;&gt;AR1689),"DIFF","")</f>
        <v/>
      </c>
      <c r="AT1689">
        <f t="shared" ref="AT1689:AT1695" si="764">LEN(AR1689)</f>
        <v>14</v>
      </c>
      <c r="AU1689" s="216" t="str">
        <f t="shared" ref="AU1689:AU1695" si="765">IF(D1689="","",IF(OR(A1689="",ISERROR(SEARCH("erstmals 201",D1689))),D1689,LEFT(D1689,SEARCH("erstmals 201",D1689)+8) &amp; AH1689 &amp; MID(D1689,SEARCH("erstmals 201",D1689)+13,255)))</f>
        <v>&lt; 20 MW, Altholz</v>
      </c>
      <c r="AV1689" s="215" t="str">
        <f t="shared" ref="AV1689:AV1695" si="766">IF(OR(D1689&lt;&gt;AU1689),"DIFF","")</f>
        <v/>
      </c>
      <c r="AW1689" s="216" t="str">
        <f t="shared" ref="AW1689:AW1695" si="767">IF(E1689="","",IF(OR(E1689="",ISERROR(SEARCH("erstmals 201",E1689))),E1689,LEFT(E1689,SEARCH("erstmals 201",E1689)+8) &amp; AH1689 &amp; MID(E1689,SEARCH("erstmals 201",E1689)+13,255)))</f>
        <v/>
      </c>
      <c r="AX1689" s="215" t="str">
        <f t="shared" ref="AX1689:AX1695" si="768">IF(OR(E1689&lt;&gt;AW1689),"DIFF","")</f>
        <v/>
      </c>
      <c r="AY1689" t="str">
        <f t="shared" ref="AY1689:AY1695" si="769">IF(AH1689="2011","x",IF(AH1689="2012","","" &amp; S1689))</f>
        <v/>
      </c>
      <c r="AZ1689" t="str">
        <f t="shared" ref="AZ1689:AZ1695" si="770">IF(AH1689="2012","x",IF(AH1689="2011","","" &amp; T1689))</f>
        <v/>
      </c>
    </row>
    <row r="1690" spans="1:52" s="178" customFormat="1" x14ac:dyDescent="0.25">
      <c r="A1690" s="610" t="s">
        <v>2908</v>
      </c>
      <c r="B1690" s="17" t="s">
        <v>5548</v>
      </c>
      <c r="C1690" s="21" t="s">
        <v>4792</v>
      </c>
      <c r="D1690" s="21" t="s">
        <v>7392</v>
      </c>
      <c r="E1690" s="17" t="s">
        <v>674</v>
      </c>
      <c r="F1690" s="454">
        <f t="shared" si="753"/>
        <v>6.7799999999999994</v>
      </c>
      <c r="G1690" s="529">
        <v>6.7799999999999994</v>
      </c>
      <c r="H1690" s="487">
        <f t="shared" si="754"/>
        <v>5.42</v>
      </c>
      <c r="I1690" s="706"/>
      <c r="J1690" s="669" t="s">
        <v>5805</v>
      </c>
      <c r="K1690" s="15"/>
      <c r="L1690"/>
      <c r="M1690" s="49">
        <f t="shared" si="755"/>
        <v>6.7799999999999994</v>
      </c>
      <c r="N1690" s="41">
        <v>3.78</v>
      </c>
      <c r="O1690" s="54"/>
      <c r="P1690" s="74"/>
      <c r="Q1690" s="12" t="s">
        <v>1017</v>
      </c>
      <c r="R1690" s="12"/>
      <c r="S1690" s="12" t="s">
        <v>4180</v>
      </c>
      <c r="T1690" s="178" t="s">
        <v>4180</v>
      </c>
      <c r="U1690" s="75"/>
      <c r="V1690" s="65"/>
      <c r="W1690" s="65"/>
      <c r="X1690" s="65"/>
      <c r="Y1690" s="65"/>
      <c r="Z1690" s="65"/>
      <c r="AA1690" s="65"/>
      <c r="AB1690" s="65"/>
      <c r="AC1690" s="65"/>
      <c r="AD1690" s="91"/>
      <c r="AE1690" s="196"/>
      <c r="AF1690" s="65"/>
      <c r="AG1690" s="91"/>
      <c r="AH1690" s="212" t="str">
        <f>IF(ISERROR(SEARCH("K erstmals 201",D1690)),"",RIGHT(D1690,4))</f>
        <v/>
      </c>
      <c r="AI1690" s="214" t="str">
        <f t="shared" si="748"/>
        <v/>
      </c>
      <c r="AJ1690" s="214" t="str">
        <f t="shared" si="749"/>
        <v/>
      </c>
      <c r="AK1690" s="214" t="str">
        <f t="shared" si="750"/>
        <v/>
      </c>
      <c r="AL1690" s="214" t="str">
        <f t="shared" si="751"/>
        <v/>
      </c>
      <c r="AM1690" s="214" t="str">
        <f t="shared" si="752"/>
        <v/>
      </c>
      <c r="AN1690" s="213" t="str">
        <f t="shared" si="758"/>
        <v/>
      </c>
      <c r="AO1690" s="213" t="str">
        <f t="shared" si="759"/>
        <v/>
      </c>
      <c r="AP1690" s="213" t="str">
        <f t="shared" si="760"/>
        <v/>
      </c>
      <c r="AQ1690" s="215" t="str">
        <f t="shared" si="761"/>
        <v/>
      </c>
      <c r="AR1690" s="216" t="str">
        <f t="shared" si="762"/>
        <v>BiK85K09----06</v>
      </c>
      <c r="AS1690" s="215" t="str">
        <f t="shared" si="763"/>
        <v/>
      </c>
      <c r="AT1690">
        <f t="shared" si="764"/>
        <v>14</v>
      </c>
      <c r="AU1690" s="216" t="str">
        <f t="shared" si="765"/>
        <v>&lt; 20 MW, Altholz, Bonusregel K erstmals 2009</v>
      </c>
      <c r="AV1690" s="215" t="str">
        <f t="shared" si="766"/>
        <v/>
      </c>
      <c r="AW1690" s="216" t="str">
        <f t="shared" si="767"/>
        <v>Anteil KWK, erstmals 2009</v>
      </c>
      <c r="AX1690" s="215" t="str">
        <f t="shared" si="768"/>
        <v/>
      </c>
      <c r="AY1690" t="str">
        <f t="shared" si="769"/>
        <v/>
      </c>
      <c r="AZ1690" t="str">
        <f t="shared" si="770"/>
        <v/>
      </c>
    </row>
    <row r="1691" spans="1:52" s="178" customFormat="1" x14ac:dyDescent="0.25">
      <c r="A1691" s="610" t="s">
        <v>4940</v>
      </c>
      <c r="B1691" s="17" t="s">
        <v>5548</v>
      </c>
      <c r="C1691" s="21" t="s">
        <v>4792</v>
      </c>
      <c r="D1691" s="21" t="s">
        <v>7388</v>
      </c>
      <c r="E1691" s="30" t="s">
        <v>3567</v>
      </c>
      <c r="F1691" s="454">
        <f t="shared" si="753"/>
        <v>6.75</v>
      </c>
      <c r="G1691" s="529">
        <v>6.75</v>
      </c>
      <c r="H1691" s="487">
        <f t="shared" si="754"/>
        <v>5.4</v>
      </c>
      <c r="I1691" s="706"/>
      <c r="J1691" s="669" t="s">
        <v>5805</v>
      </c>
      <c r="K1691" s="15"/>
      <c r="L1691"/>
      <c r="M1691" s="49">
        <f t="shared" si="755"/>
        <v>6.75</v>
      </c>
      <c r="N1691" s="41">
        <v>3.78</v>
      </c>
      <c r="O1691" s="54"/>
      <c r="P1691" s="74"/>
      <c r="Q1691" s="12"/>
      <c r="R1691" s="12" t="s">
        <v>1017</v>
      </c>
      <c r="S1691" s="12" t="s">
        <v>4180</v>
      </c>
      <c r="T1691" s="178" t="s">
        <v>4180</v>
      </c>
      <c r="U1691" s="75"/>
      <c r="V1691" s="65"/>
      <c r="W1691" s="65"/>
      <c r="X1691" s="65"/>
      <c r="Y1691" s="65"/>
      <c r="Z1691" s="65"/>
      <c r="AA1691" s="65"/>
      <c r="AB1691" s="65"/>
      <c r="AC1691" s="65"/>
      <c r="AD1691" s="91"/>
      <c r="AE1691" s="196"/>
      <c r="AF1691" s="65"/>
      <c r="AG1691" s="91"/>
      <c r="AH1691" s="212" t="str">
        <f>IF(ISERROR(SEARCH("K erstmals 201",D1691)),"",RIGHT(D1691,4))</f>
        <v>2010</v>
      </c>
      <c r="AI1691" s="214" t="str">
        <f t="shared" ref="AI1691:AI1693" si="771">IF(AND($AH1691&lt;&gt;"",AH1691 =AH1690),"Gleich","")</f>
        <v/>
      </c>
      <c r="AJ1691" s="214" t="str">
        <f t="shared" si="749"/>
        <v/>
      </c>
      <c r="AK1691" s="214" t="str">
        <f t="shared" si="750"/>
        <v/>
      </c>
      <c r="AL1691" s="214" t="str">
        <f t="shared" si="751"/>
        <v/>
      </c>
      <c r="AM1691" s="214" t="str">
        <f t="shared" si="752"/>
        <v/>
      </c>
      <c r="AN1691" s="213" t="str">
        <f t="shared" si="758"/>
        <v>2010</v>
      </c>
      <c r="AO1691" s="213" t="str">
        <f t="shared" si="759"/>
        <v>2010</v>
      </c>
      <c r="AP1691" s="213" t="str">
        <f t="shared" si="760"/>
        <v>2010</v>
      </c>
      <c r="AQ1691" s="215" t="str">
        <f t="shared" si="761"/>
        <v/>
      </c>
      <c r="AR1691" s="216" t="str">
        <f t="shared" si="762"/>
        <v>BiK85K10----06</v>
      </c>
      <c r="AS1691" s="215" t="str">
        <f t="shared" si="763"/>
        <v/>
      </c>
      <c r="AT1691">
        <f t="shared" si="764"/>
        <v>14</v>
      </c>
      <c r="AU1691" s="216" t="str">
        <f t="shared" si="765"/>
        <v>&lt; 20 MW, Altholz, Bonusregel K erstmals 2010</v>
      </c>
      <c r="AV1691" s="215" t="str">
        <f t="shared" si="766"/>
        <v/>
      </c>
      <c r="AW1691" s="216" t="str">
        <f t="shared" si="767"/>
        <v>Anteil KWK, erstmals 2010</v>
      </c>
      <c r="AX1691" s="215" t="str">
        <f t="shared" si="768"/>
        <v/>
      </c>
      <c r="AY1691" t="str">
        <f t="shared" si="769"/>
        <v/>
      </c>
      <c r="AZ1691" t="str">
        <f t="shared" si="770"/>
        <v/>
      </c>
    </row>
    <row r="1692" spans="1:52" x14ac:dyDescent="0.25">
      <c r="A1692" s="610" t="s">
        <v>3987</v>
      </c>
      <c r="B1692" s="17" t="s">
        <v>5548</v>
      </c>
      <c r="C1692" s="21" t="s">
        <v>4792</v>
      </c>
      <c r="D1692" s="21" t="s">
        <v>7389</v>
      </c>
      <c r="E1692" s="30" t="s">
        <v>3055</v>
      </c>
      <c r="F1692" s="454">
        <f t="shared" si="753"/>
        <v>6.72</v>
      </c>
      <c r="G1692" s="529">
        <v>6.72</v>
      </c>
      <c r="H1692" s="487">
        <f t="shared" si="754"/>
        <v>5.38</v>
      </c>
      <c r="I1692" s="706"/>
      <c r="J1692" s="669" t="s">
        <v>5805</v>
      </c>
      <c r="K1692" s="15"/>
      <c r="M1692" s="49">
        <f t="shared" si="755"/>
        <v>6.72</v>
      </c>
      <c r="N1692" s="41">
        <v>3.78</v>
      </c>
      <c r="O1692" s="54"/>
      <c r="P1692" s="74"/>
      <c r="Q1692" s="12"/>
      <c r="R1692" s="12"/>
      <c r="S1692" s="12" t="s">
        <v>1017</v>
      </c>
      <c r="T1692" t="s">
        <v>4180</v>
      </c>
      <c r="U1692" s="75"/>
      <c r="V1692" s="65"/>
      <c r="W1692" s="65"/>
      <c r="X1692" s="65"/>
      <c r="Y1692" s="65"/>
      <c r="Z1692" s="65"/>
      <c r="AA1692" s="65"/>
      <c r="AB1692" s="65"/>
      <c r="AC1692" s="65"/>
      <c r="AD1692" s="91"/>
      <c r="AE1692" s="196"/>
      <c r="AF1692" s="65"/>
      <c r="AG1692" s="91"/>
      <c r="AH1692" s="212" t="str">
        <f>IF(ISERROR(SEARCH("K erstmals 201",D1692)),"",RIGHT(D1692,4))</f>
        <v>2011</v>
      </c>
      <c r="AI1692" s="214" t="str">
        <f t="shared" si="771"/>
        <v/>
      </c>
      <c r="AJ1692" s="214" t="str">
        <f t="shared" si="749"/>
        <v/>
      </c>
      <c r="AK1692" s="214" t="str">
        <f t="shared" si="750"/>
        <v/>
      </c>
      <c r="AL1692" s="214" t="str">
        <f t="shared" si="751"/>
        <v/>
      </c>
      <c r="AM1692" s="214" t="str">
        <f t="shared" si="752"/>
        <v/>
      </c>
      <c r="AN1692" s="213" t="str">
        <f t="shared" si="758"/>
        <v>2011</v>
      </c>
      <c r="AO1692" s="213" t="str">
        <f t="shared" si="759"/>
        <v>2011</v>
      </c>
      <c r="AP1692" s="213" t="str">
        <f t="shared" si="760"/>
        <v>2011</v>
      </c>
      <c r="AQ1692" s="215" t="str">
        <f t="shared" si="761"/>
        <v/>
      </c>
      <c r="AR1692" s="216" t="str">
        <f t="shared" si="762"/>
        <v>BiK85K11----06</v>
      </c>
      <c r="AS1692" s="215" t="str">
        <f t="shared" si="763"/>
        <v/>
      </c>
      <c r="AT1692">
        <f t="shared" si="764"/>
        <v>14</v>
      </c>
      <c r="AU1692" s="216" t="str">
        <f t="shared" si="765"/>
        <v>&lt; 20 MW, Altholz, Bonusregel K erstmals 2011</v>
      </c>
      <c r="AV1692" s="215" t="str">
        <f t="shared" si="766"/>
        <v/>
      </c>
      <c r="AW1692" s="216" t="str">
        <f t="shared" si="767"/>
        <v>Anteil KWK, erstmals 2011</v>
      </c>
      <c r="AX1692" s="215" t="str">
        <f t="shared" si="768"/>
        <v/>
      </c>
      <c r="AY1692" t="str">
        <f t="shared" si="769"/>
        <v>x</v>
      </c>
      <c r="AZ1692" t="str">
        <f t="shared" si="770"/>
        <v/>
      </c>
    </row>
    <row r="1693" spans="1:52" x14ac:dyDescent="0.25">
      <c r="A1693" s="625" t="s">
        <v>1809</v>
      </c>
      <c r="B1693" s="221" t="s">
        <v>5548</v>
      </c>
      <c r="C1693" s="220" t="s">
        <v>4792</v>
      </c>
      <c r="D1693" s="220" t="s">
        <v>7390</v>
      </c>
      <c r="E1693" s="219" t="s">
        <v>1980</v>
      </c>
      <c r="F1693" s="455">
        <f t="shared" si="753"/>
        <v>6.6899999999999995</v>
      </c>
      <c r="G1693" s="530">
        <v>6.6899999999999995</v>
      </c>
      <c r="H1693" s="488">
        <f t="shared" si="754"/>
        <v>5.35</v>
      </c>
      <c r="I1693" s="707"/>
      <c r="J1693" s="669" t="s">
        <v>5805</v>
      </c>
      <c r="K1693" s="15"/>
      <c r="M1693" s="49">
        <f t="shared" si="755"/>
        <v>6.6899999999999995</v>
      </c>
      <c r="N1693" s="41">
        <v>3.78</v>
      </c>
      <c r="O1693" s="54"/>
      <c r="P1693" s="74"/>
      <c r="Q1693" s="12"/>
      <c r="R1693" s="12"/>
      <c r="S1693" s="12" t="s">
        <v>4180</v>
      </c>
      <c r="T1693" t="s">
        <v>1017</v>
      </c>
      <c r="U1693" s="75"/>
      <c r="V1693" s="65"/>
      <c r="W1693" s="65"/>
      <c r="X1693" s="65"/>
      <c r="Y1693" s="65"/>
      <c r="Z1693" s="65"/>
      <c r="AA1693" s="65"/>
      <c r="AB1693" s="65"/>
      <c r="AC1693" s="65"/>
      <c r="AD1693" s="91"/>
      <c r="AE1693" s="196"/>
      <c r="AF1693" s="65"/>
      <c r="AG1693" s="91"/>
      <c r="AH1693" s="217" t="s">
        <v>4179</v>
      </c>
      <c r="AI1693" s="214" t="str">
        <f t="shared" si="771"/>
        <v/>
      </c>
      <c r="AJ1693" s="214" t="str">
        <f t="shared" si="749"/>
        <v/>
      </c>
      <c r="AK1693" s="214" t="str">
        <f t="shared" si="750"/>
        <v/>
      </c>
      <c r="AL1693" s="214" t="str">
        <f t="shared" si="751"/>
        <v/>
      </c>
      <c r="AM1693" s="214" t="str">
        <f t="shared" si="752"/>
        <v/>
      </c>
      <c r="AN1693" s="213" t="str">
        <f t="shared" si="758"/>
        <v>2012</v>
      </c>
      <c r="AO1693" s="213" t="str">
        <f t="shared" si="759"/>
        <v>2012</v>
      </c>
      <c r="AP1693" s="213" t="str">
        <f t="shared" si="760"/>
        <v>2012</v>
      </c>
      <c r="AQ1693" s="215" t="str">
        <f t="shared" si="761"/>
        <v/>
      </c>
      <c r="AR1693" s="216" t="str">
        <f t="shared" si="762"/>
        <v>BiK85K12----06</v>
      </c>
      <c r="AS1693" s="215" t="str">
        <f t="shared" si="763"/>
        <v/>
      </c>
      <c r="AT1693">
        <f t="shared" si="764"/>
        <v>14</v>
      </c>
      <c r="AU1693" s="216" t="str">
        <f t="shared" si="765"/>
        <v>&lt; 20 MW, Altholz, Bonusregel K erstmals 2012</v>
      </c>
      <c r="AV1693" s="215" t="str">
        <f t="shared" si="766"/>
        <v/>
      </c>
      <c r="AW1693" s="216" t="str">
        <f t="shared" si="767"/>
        <v>Anteil KWK, erstmals 2012</v>
      </c>
      <c r="AX1693" s="215" t="str">
        <f t="shared" si="768"/>
        <v/>
      </c>
      <c r="AY1693" t="str">
        <f t="shared" si="769"/>
        <v/>
      </c>
      <c r="AZ1693" t="str">
        <f t="shared" si="770"/>
        <v>x</v>
      </c>
    </row>
    <row r="1694" spans="1:52" s="178" customFormat="1" x14ac:dyDescent="0.25">
      <c r="A1694" s="609" t="s">
        <v>4180</v>
      </c>
      <c r="B1694" s="1"/>
      <c r="C1694" s="1"/>
      <c r="D1694" s="1" t="s">
        <v>4180</v>
      </c>
      <c r="E1694" s="1" t="s">
        <v>4180</v>
      </c>
      <c r="F1694" s="457"/>
      <c r="G1694" s="533"/>
      <c r="H1694" s="491" t="str">
        <f t="shared" si="754"/>
        <v/>
      </c>
      <c r="I1694" s="710"/>
      <c r="J1694" s="669" t="s">
        <v>4180</v>
      </c>
      <c r="K1694" s="15"/>
      <c r="L1694"/>
      <c r="M1694"/>
      <c r="N1694"/>
      <c r="O1694" s="124"/>
      <c r="P1694"/>
      <c r="Q1694"/>
      <c r="R1694"/>
      <c r="S1694" t="s">
        <v>4180</v>
      </c>
      <c r="T1694" s="178" t="s">
        <v>4180</v>
      </c>
      <c r="U1694" s="55"/>
      <c r="V1694"/>
      <c r="W1694"/>
      <c r="X1694"/>
      <c r="Y1694"/>
      <c r="Z1694"/>
      <c r="AA1694"/>
      <c r="AB1694"/>
      <c r="AC1694"/>
      <c r="AD1694" s="92"/>
      <c r="AE1694" s="124"/>
      <c r="AF1694"/>
      <c r="AG1694"/>
      <c r="AH1694" s="212" t="str">
        <f>IF(ISERROR(SEARCH("K erstmals 201",D1694)),"",RIGHT(D1694,4))</f>
        <v/>
      </c>
      <c r="AI1694" s="214" t="str">
        <f>IF(AND($AH1694&lt;&gt;"",AH1694 =AH1689),"Gleich","")</f>
        <v/>
      </c>
      <c r="AJ1694" s="214" t="str">
        <f>IF(AND($AH1694&lt;&gt;"",A1694 =A1689),"Gleich","")</f>
        <v/>
      </c>
      <c r="AK1694" s="214" t="str">
        <f>IF(AND($AH1694&lt;&gt;"",D1694 =D1689),"Gleich","")</f>
        <v/>
      </c>
      <c r="AL1694" s="214" t="str">
        <f>IF(AND($AH1694&lt;&gt;"",E1694 =E1689),"Gleich","")</f>
        <v/>
      </c>
      <c r="AM1694" s="214" t="str">
        <f>IF(AND($AH1694&lt;&gt;"",F1694 =F1689),"Gleich","")</f>
        <v/>
      </c>
      <c r="AN1694" s="213" t="str">
        <f t="shared" si="758"/>
        <v/>
      </c>
      <c r="AO1694" s="213" t="str">
        <f t="shared" si="759"/>
        <v/>
      </c>
      <c r="AP1694" s="213" t="str">
        <f t="shared" si="760"/>
        <v/>
      </c>
      <c r="AQ1694" s="215" t="str">
        <f t="shared" si="761"/>
        <v/>
      </c>
      <c r="AR1694" s="216" t="str">
        <f t="shared" si="762"/>
        <v/>
      </c>
      <c r="AS1694" s="215" t="str">
        <f t="shared" si="763"/>
        <v/>
      </c>
      <c r="AT1694">
        <f t="shared" si="764"/>
        <v>0</v>
      </c>
      <c r="AU1694" s="216" t="str">
        <f t="shared" si="765"/>
        <v/>
      </c>
      <c r="AV1694" s="215" t="str">
        <f t="shared" si="766"/>
        <v/>
      </c>
      <c r="AW1694" s="216" t="str">
        <f t="shared" si="767"/>
        <v/>
      </c>
      <c r="AX1694" s="215" t="str">
        <f t="shared" si="768"/>
        <v/>
      </c>
      <c r="AY1694" t="str">
        <f t="shared" si="769"/>
        <v/>
      </c>
      <c r="AZ1694" t="str">
        <f t="shared" si="770"/>
        <v/>
      </c>
    </row>
    <row r="1695" spans="1:52" x14ac:dyDescent="0.25">
      <c r="A1695" s="615" t="s">
        <v>2331</v>
      </c>
      <c r="B1695" s="372" t="s">
        <v>5548</v>
      </c>
      <c r="C1695" s="372" t="s">
        <v>1296</v>
      </c>
      <c r="D1695" s="375" t="s">
        <v>7010</v>
      </c>
      <c r="E1695" s="373" t="s">
        <v>2827</v>
      </c>
      <c r="F1695" s="459">
        <f t="shared" ref="F1695:F1735" si="772">M1695</f>
        <v>14.55</v>
      </c>
      <c r="G1695" s="535">
        <f t="shared" ref="G1695:G1735" si="773">F1695</f>
        <v>14.55</v>
      </c>
      <c r="H1695" s="493">
        <f t="shared" ref="H1695:H1735" si="774">IF(ISNUMBER(G1695),ROUND(0.8*G1695,2),"")</f>
        <v>11.64</v>
      </c>
      <c r="I1695" s="711"/>
      <c r="J1695" s="669" t="s">
        <v>5805</v>
      </c>
      <c r="K1695" s="15"/>
      <c r="M1695" s="49">
        <f t="shared" ref="M1695:M1735" si="775">N1695+SUMIF(U1695:AG1695,"x",U$1310:AG$1310)+T1695</f>
        <v>14.55</v>
      </c>
      <c r="N1695" s="41">
        <v>11.67</v>
      </c>
      <c r="O1695" s="391"/>
      <c r="P1695" s="392" t="s">
        <v>2828</v>
      </c>
      <c r="Q1695" s="392"/>
      <c r="R1695" s="392">
        <v>2013</v>
      </c>
      <c r="S1695" s="392"/>
      <c r="T1695" s="674">
        <f t="shared" ref="T1695:T1715" si="776">ROUND($Q$1310*0.99^($R1695-$Q$1307),2)</f>
        <v>2.88</v>
      </c>
      <c r="U1695" s="55"/>
      <c r="W1695" s="65"/>
      <c r="X1695" s="65"/>
      <c r="AA1695" s="65"/>
      <c r="AD1695" s="91"/>
      <c r="AE1695" s="124"/>
      <c r="AF1695" s="65"/>
      <c r="AG1695" s="91"/>
      <c r="AH1695" s="217" t="s">
        <v>4179</v>
      </c>
      <c r="AI1695" s="214" t="str">
        <f>IF(AND($AH1695&lt;&gt;"",AH1695 =AH1694),"Gleich","")</f>
        <v/>
      </c>
      <c r="AJ1695" s="214" t="str">
        <f>IF(AND($AH1695&lt;&gt;"",A1695 =A1694),"Gleich","")</f>
        <v/>
      </c>
      <c r="AK1695" s="214" t="str">
        <f>IF(AND($AH1695&lt;&gt;"",D1695 =D1694),"Gleich","")</f>
        <v/>
      </c>
      <c r="AL1695" s="214" t="str">
        <f>IF(AND($AH1695&lt;&gt;"",E1695 =E1694),"Gleich","")</f>
        <v/>
      </c>
      <c r="AM1695" s="214" t="str">
        <f>IF(AND($AH1695&lt;&gt;"",F1695 =F1694),"Gleich","")</f>
        <v/>
      </c>
      <c r="AN1695" s="213" t="str">
        <f t="shared" si="758"/>
        <v>2013</v>
      </c>
      <c r="AO1695" s="213" t="str">
        <f t="shared" si="759"/>
        <v>2013</v>
      </c>
      <c r="AP1695" s="213" t="str">
        <f t="shared" si="760"/>
        <v/>
      </c>
      <c r="AQ1695" s="215" t="str">
        <f t="shared" si="761"/>
        <v>DIFF</v>
      </c>
      <c r="AR1695" s="216" t="str">
        <f t="shared" si="762"/>
        <v>BiK81K12----06</v>
      </c>
      <c r="AS1695" s="215" t="str">
        <f t="shared" si="763"/>
        <v>DIFF</v>
      </c>
      <c r="AT1695">
        <f t="shared" si="764"/>
        <v>14</v>
      </c>
      <c r="AU1695" s="216" t="str">
        <f t="shared" si="765"/>
        <v>0-0,15 MW, Bonusregel K erstmals 2012</v>
      </c>
      <c r="AV1695" s="215" t="str">
        <f t="shared" si="766"/>
        <v>DIFF</v>
      </c>
      <c r="AW1695" s="216" t="str">
        <f t="shared" si="767"/>
        <v>Anteil KWK, erstmals 2012</v>
      </c>
      <c r="AX1695" s="215" t="str">
        <f t="shared" si="768"/>
        <v>DIFF</v>
      </c>
      <c r="AY1695" t="str">
        <f t="shared" si="769"/>
        <v/>
      </c>
      <c r="AZ1695" t="str">
        <f t="shared" si="770"/>
        <v>x</v>
      </c>
    </row>
    <row r="1696" spans="1:52" x14ac:dyDescent="0.25">
      <c r="A1696" s="615" t="s">
        <v>6166</v>
      </c>
      <c r="B1696" s="372" t="s">
        <v>5548</v>
      </c>
      <c r="C1696" s="372" t="s">
        <v>1296</v>
      </c>
      <c r="D1696" s="375" t="s">
        <v>7011</v>
      </c>
      <c r="E1696" s="373" t="s">
        <v>2827</v>
      </c>
      <c r="F1696" s="459">
        <f t="shared" si="772"/>
        <v>23.55</v>
      </c>
      <c r="G1696" s="535">
        <f t="shared" si="773"/>
        <v>23.55</v>
      </c>
      <c r="H1696" s="493">
        <f t="shared" si="774"/>
        <v>18.84</v>
      </c>
      <c r="I1696" s="711"/>
      <c r="J1696" s="669">
        <v>42858</v>
      </c>
      <c r="K1696" s="15"/>
      <c r="M1696" s="49">
        <f t="shared" si="775"/>
        <v>23.55</v>
      </c>
      <c r="N1696" s="41">
        <v>11.67</v>
      </c>
      <c r="O1696" s="391"/>
      <c r="P1696" s="392" t="s">
        <v>2828</v>
      </c>
      <c r="Q1696" s="392"/>
      <c r="R1696" s="392">
        <v>2013</v>
      </c>
      <c r="S1696" s="392"/>
      <c r="T1696" s="674">
        <f t="shared" si="776"/>
        <v>2.88</v>
      </c>
      <c r="U1696" s="55"/>
      <c r="W1696" s="65"/>
      <c r="X1696" s="65"/>
      <c r="Y1696" t="s">
        <v>1017</v>
      </c>
      <c r="AA1696" s="65"/>
      <c r="AD1696" s="91"/>
      <c r="AE1696" s="124" t="s">
        <v>1017</v>
      </c>
      <c r="AF1696" s="65"/>
      <c r="AG1696" s="91"/>
      <c r="AH1696" s="217"/>
      <c r="AI1696" s="214"/>
      <c r="AJ1696" s="214"/>
      <c r="AK1696" s="214"/>
      <c r="AL1696" s="214"/>
      <c r="AM1696" s="214"/>
      <c r="AN1696" s="213"/>
      <c r="AO1696" s="213"/>
      <c r="AP1696" s="213"/>
      <c r="AQ1696" s="215"/>
      <c r="AR1696" s="216"/>
      <c r="AS1696" s="215"/>
      <c r="AU1696" s="216"/>
      <c r="AV1696" s="215"/>
      <c r="AW1696" s="216"/>
      <c r="AX1696" s="215"/>
    </row>
    <row r="1697" spans="1:52" s="178" customFormat="1" x14ac:dyDescent="0.25">
      <c r="A1697" s="615" t="s">
        <v>2586</v>
      </c>
      <c r="B1697" s="375" t="s">
        <v>5548</v>
      </c>
      <c r="C1697" s="375" t="s">
        <v>1296</v>
      </c>
      <c r="D1697" s="375" t="s">
        <v>6991</v>
      </c>
      <c r="E1697" s="373" t="s">
        <v>2827</v>
      </c>
      <c r="F1697" s="459">
        <f t="shared" si="772"/>
        <v>24.55</v>
      </c>
      <c r="G1697" s="535">
        <f t="shared" si="773"/>
        <v>24.55</v>
      </c>
      <c r="H1697" s="493">
        <f t="shared" si="774"/>
        <v>19.64</v>
      </c>
      <c r="I1697" s="711"/>
      <c r="J1697" s="669" t="s">
        <v>5805</v>
      </c>
      <c r="K1697" s="15"/>
      <c r="L1697"/>
      <c r="M1697" s="49">
        <f t="shared" si="775"/>
        <v>24.55</v>
      </c>
      <c r="N1697" s="41">
        <v>11.67</v>
      </c>
      <c r="O1697" s="391"/>
      <c r="P1697" s="392" t="s">
        <v>2828</v>
      </c>
      <c r="Q1697" s="392"/>
      <c r="R1697" s="392">
        <v>2013</v>
      </c>
      <c r="S1697" s="392"/>
      <c r="T1697" s="674">
        <f t="shared" si="776"/>
        <v>2.88</v>
      </c>
      <c r="U1697" s="185" t="s">
        <v>1017</v>
      </c>
      <c r="V1697" s="184"/>
      <c r="W1697" s="180"/>
      <c r="X1697" s="180"/>
      <c r="Y1697" s="184" t="s">
        <v>1017</v>
      </c>
      <c r="Z1697" s="184"/>
      <c r="AA1697" s="180"/>
      <c r="AB1697" s="184"/>
      <c r="AC1697" s="184"/>
      <c r="AD1697" s="201"/>
      <c r="AE1697" s="181" t="s">
        <v>1017</v>
      </c>
      <c r="AF1697" s="180"/>
      <c r="AG1697" s="201"/>
      <c r="AH1697" s="217" t="s">
        <v>4179</v>
      </c>
      <c r="AI1697" s="214" t="str">
        <f>IF(AND($AH1697&lt;&gt;"",AH1697 =AH1695),"Gleich","")</f>
        <v>Gleich</v>
      </c>
      <c r="AJ1697" s="214" t="str">
        <f>IF(AND($AH1697&lt;&gt;"",A1697 =A1695),"Gleich","")</f>
        <v/>
      </c>
      <c r="AK1697" s="214" t="str">
        <f>IF(AND($AH1697&lt;&gt;"",D1697 =D1695),"Gleich","")</f>
        <v/>
      </c>
      <c r="AL1697" s="214" t="str">
        <f>IF(AND($AH1697&lt;&gt;"",E1697 =E1695),"Gleich","")</f>
        <v>Gleich</v>
      </c>
      <c r="AM1697" s="214" t="str">
        <f>IF(AND($AH1697&lt;&gt;"",F1697 =F1695),"Gleich","")</f>
        <v/>
      </c>
      <c r="AN1697" s="213" t="str">
        <f>IF(ISERROR(SEARCH("K1",A1697)),"","20"&amp;MID(A1697,SEARCH("K1",A1697)+1,2))</f>
        <v>2013</v>
      </c>
      <c r="AO1697" s="213" t="str">
        <f>IF(ISERROR(SEARCH("erstmals 201",E1697)),"",MID(E1697,SEARCH("erstmals ",E1697)+9,4))</f>
        <v>2013</v>
      </c>
      <c r="AP1697" s="213" t="str">
        <f>IF(R1697="x","2010",IF(S1697="x","2011",IF(T1697="x","2012","")))</f>
        <v/>
      </c>
      <c r="AQ1697" s="215" t="str">
        <f>IF(OR(AH1697&lt;&gt;AN1697,AH1697&lt;&gt;AO1697,AH1697&lt;&gt;AP1697),"DIFF","")</f>
        <v>DIFF</v>
      </c>
      <c r="AR1697" s="216" t="str">
        <f>IF(A1697="","",IF(ISERROR(SEARCH("K1",A1697)),A1697,LEFT(A1697,SEARCH("K1",A1697)+1)&amp;RIGHT(AH1697,1)&amp;MID(A1697,SEARCH("K1",A1697)+3,14)))</f>
        <v>BiK81GbK12y-06</v>
      </c>
      <c r="AS1697" s="215" t="str">
        <f>IF(OR(A1697&lt;&gt;AR1697),"DIFF","")</f>
        <v>DIFF</v>
      </c>
      <c r="AT1697">
        <f>LEN(AR1697)</f>
        <v>14</v>
      </c>
      <c r="AU1697" s="216" t="str">
        <f>IF(D1697="","",IF(OR(A1697="",ISERROR(SEARCH("erstmals 201",D1697))),D1697,LEFT(D1697,SEARCH("erstmals 201",D1697)+8) &amp; AH1697 &amp; MID(D1697,SEARCH("erstmals 201",D1697)+13,255)))</f>
        <v>0-0,15 MW, Bonusregeln G, y, b und K erstmals 2012</v>
      </c>
      <c r="AV1697" s="215" t="str">
        <f>IF(OR(D1697&lt;&gt;AU1697),"DIFF","")</f>
        <v>DIFF</v>
      </c>
      <c r="AW1697" s="216" t="str">
        <f>IF(E1697="","",IF(OR(E1697="",ISERROR(SEARCH("erstmals 201",E1697))),E1697,LEFT(E1697,SEARCH("erstmals 201",E1697)+8) &amp; AH1697 &amp; MID(E1697,SEARCH("erstmals 201",E1697)+13,255)))</f>
        <v>Anteil KWK, erstmals 2012</v>
      </c>
      <c r="AX1697" s="215" t="str">
        <f>IF(OR(E1697&lt;&gt;AW1697),"DIFF","")</f>
        <v>DIFF</v>
      </c>
      <c r="AY1697" t="str">
        <f>IF(AH1697="2011","x",IF(AH1697="2012","","" &amp; S1697))</f>
        <v/>
      </c>
      <c r="AZ1697" t="str">
        <f>IF(AH1697="2012","x",IF(AH1697="2011","","" &amp; T1697))</f>
        <v>x</v>
      </c>
    </row>
    <row r="1698" spans="1:52" x14ac:dyDescent="0.25">
      <c r="A1698" s="615" t="s">
        <v>656</v>
      </c>
      <c r="B1698" s="372" t="s">
        <v>5548</v>
      </c>
      <c r="C1698" s="372" t="s">
        <v>1296</v>
      </c>
      <c r="D1698" s="375" t="s">
        <v>6992</v>
      </c>
      <c r="E1698" s="373" t="s">
        <v>2827</v>
      </c>
      <c r="F1698" s="459">
        <f t="shared" si="772"/>
        <v>25.55</v>
      </c>
      <c r="G1698" s="535">
        <f t="shared" si="773"/>
        <v>25.55</v>
      </c>
      <c r="H1698" s="493">
        <f t="shared" si="774"/>
        <v>20.440000000000001</v>
      </c>
      <c r="I1698" s="711"/>
      <c r="J1698" s="669" t="s">
        <v>5805</v>
      </c>
      <c r="M1698" s="49">
        <f t="shared" si="775"/>
        <v>25.55</v>
      </c>
      <c r="N1698" s="41">
        <v>11.67</v>
      </c>
      <c r="O1698" s="391"/>
      <c r="P1698" s="392" t="s">
        <v>2828</v>
      </c>
      <c r="Q1698" s="392"/>
      <c r="R1698" s="392">
        <v>2013</v>
      </c>
      <c r="S1698" s="392"/>
      <c r="T1698" s="674">
        <f t="shared" si="776"/>
        <v>2.88</v>
      </c>
      <c r="U1698" s="420"/>
      <c r="V1698" s="37"/>
      <c r="W1698" s="180"/>
      <c r="X1698" s="180"/>
      <c r="Y1698" s="37"/>
      <c r="Z1698" s="37" t="s">
        <v>1017</v>
      </c>
      <c r="AA1698" s="180"/>
      <c r="AB1698" s="184"/>
      <c r="AC1698" s="184"/>
      <c r="AD1698" s="201"/>
      <c r="AE1698" s="37"/>
      <c r="AF1698" s="180"/>
      <c r="AG1698" s="201"/>
    </row>
    <row r="1699" spans="1:52" s="178" customFormat="1" x14ac:dyDescent="0.25">
      <c r="A1699" s="615" t="s">
        <v>2832</v>
      </c>
      <c r="B1699" s="372" t="s">
        <v>5548</v>
      </c>
      <c r="C1699" s="372" t="s">
        <v>1296</v>
      </c>
      <c r="D1699" s="375" t="s">
        <v>6859</v>
      </c>
      <c r="E1699" s="373" t="s">
        <v>2827</v>
      </c>
      <c r="F1699" s="459">
        <f t="shared" si="772"/>
        <v>26.55</v>
      </c>
      <c r="G1699" s="535">
        <f t="shared" si="773"/>
        <v>26.55</v>
      </c>
      <c r="H1699" s="493">
        <f t="shared" si="774"/>
        <v>21.24</v>
      </c>
      <c r="I1699" s="711"/>
      <c r="J1699" s="669" t="s">
        <v>5805</v>
      </c>
      <c r="K1699" s="15"/>
      <c r="L1699"/>
      <c r="M1699" s="49">
        <f t="shared" si="775"/>
        <v>26.55</v>
      </c>
      <c r="N1699" s="41">
        <v>11.67</v>
      </c>
      <c r="O1699" s="391"/>
      <c r="P1699" s="392" t="s">
        <v>2828</v>
      </c>
      <c r="Q1699" s="392"/>
      <c r="R1699" s="392">
        <v>2013</v>
      </c>
      <c r="S1699" s="392"/>
      <c r="T1699" s="674">
        <f t="shared" si="776"/>
        <v>2.88</v>
      </c>
      <c r="U1699" s="419" t="s">
        <v>1017</v>
      </c>
      <c r="V1699" s="421"/>
      <c r="W1699" s="422"/>
      <c r="X1699" s="422"/>
      <c r="Y1699" s="37"/>
      <c r="Z1699" s="421" t="s">
        <v>1017</v>
      </c>
      <c r="AA1699" s="422"/>
      <c r="AB1699" s="421"/>
      <c r="AC1699" s="421"/>
      <c r="AD1699" s="423"/>
      <c r="AE1699" s="424"/>
      <c r="AF1699" s="422"/>
      <c r="AG1699" s="423"/>
      <c r="AH1699" s="217" t="s">
        <v>4179</v>
      </c>
      <c r="AI1699" s="214" t="e">
        <f>IF(AND($AH1699&lt;&gt;"",AH1699 =#REF!),"Gleich","")</f>
        <v>#REF!</v>
      </c>
      <c r="AJ1699" s="214" t="e">
        <f>IF(AND($AH1699&lt;&gt;"",A1699 =#REF!),"Gleich","")</f>
        <v>#REF!</v>
      </c>
      <c r="AK1699" s="214" t="e">
        <f>IF(AND($AH1699&lt;&gt;"",D1699 =#REF!),"Gleich","")</f>
        <v>#REF!</v>
      </c>
      <c r="AL1699" s="214" t="e">
        <f>IF(AND($AH1699&lt;&gt;"",E1699 =#REF!),"Gleich","")</f>
        <v>#REF!</v>
      </c>
      <c r="AM1699" s="214" t="e">
        <f>IF(AND($AH1699&lt;&gt;"",F1699 =#REF!),"Gleich","")</f>
        <v>#REF!</v>
      </c>
      <c r="AN1699" s="213" t="str">
        <f>IF(ISERROR(SEARCH("K1",A1699)),"","20"&amp;MID(A1699,SEARCH("K1",A1699)+1,2))</f>
        <v>2013</v>
      </c>
      <c r="AO1699" s="213" t="str">
        <f>IF(ISERROR(SEARCH("erstmals 201",E1699)),"",MID(E1699,SEARCH("erstmals ",E1699)+9,4))</f>
        <v>2013</v>
      </c>
      <c r="AP1699" s="213" t="str">
        <f t="shared" ref="AP1699:AP1704" si="777">IF(R1699="x","2010",IF(S1699="x","2011",IF(T1699="x","2012","")))</f>
        <v/>
      </c>
      <c r="AQ1699" s="215" t="str">
        <f>IF(OR(AH1699&lt;&gt;AN1699,AH1699&lt;&gt;AO1699,AH1699&lt;&gt;AP1699),"DIFF","")</f>
        <v>DIFF</v>
      </c>
      <c r="AR1699" s="216" t="str">
        <f>IF(A1699="","",IF(ISERROR(SEARCH("K1",A1699)),A1699,LEFT(A1699,SEARCH("K1",A1699)+1)&amp;RIGHT(AH1699,1)&amp;MID(A1699,SEARCH("K1",A1699)+3,14)))</f>
        <v>BiK81M1K12y-06</v>
      </c>
      <c r="AS1699" s="215" t="str">
        <f>IF(OR(A1699&lt;&gt;AR1699),"DIFF","")</f>
        <v>DIFF</v>
      </c>
      <c r="AT1699">
        <f>LEN(AR1699)</f>
        <v>14</v>
      </c>
      <c r="AU1699" s="216" t="str">
        <f>IF(D1699="","",IF(OR(A1699="",ISERROR(SEARCH("erstmals 201",D1699))),D1699,LEFT(D1699,SEARCH("erstmals 201",D1699)+8) &amp; AH1699 &amp; MID(D1699,SEARCH("erstmals 201",D1699)+13,255)))</f>
        <v>0-0,15 MW, Bonusregeln M1, y und K erstmals 2012</v>
      </c>
      <c r="AV1699" s="215" t="str">
        <f>IF(OR(D1699&lt;&gt;AU1699),"DIFF","")</f>
        <v>DIFF</v>
      </c>
      <c r="AW1699" s="216" t="str">
        <f>IF(E1699="","",IF(OR(E1699="",ISERROR(SEARCH("erstmals 201",E1699))),E1699,LEFT(E1699,SEARCH("erstmals 201",E1699)+8) &amp; AH1699 &amp; MID(E1699,SEARCH("erstmals 201",E1699)+13,255)))</f>
        <v>Anteil KWK, erstmals 2012</v>
      </c>
      <c r="AX1699" s="215" t="str">
        <f>IF(OR(E1699&lt;&gt;AW1699),"DIFF","")</f>
        <v>DIFF</v>
      </c>
      <c r="AY1699" t="str">
        <f>IF(AH1699="2011","x",IF(AH1699="2012","","" &amp; S1699))</f>
        <v/>
      </c>
      <c r="AZ1699" t="str">
        <f>IF(AH1699="2012","x",IF(AH1699="2011","","" &amp; T1699))</f>
        <v>x</v>
      </c>
    </row>
    <row r="1700" spans="1:52" x14ac:dyDescent="0.25">
      <c r="A1700" s="615" t="s">
        <v>2836</v>
      </c>
      <c r="B1700" s="372" t="s">
        <v>5548</v>
      </c>
      <c r="C1700" s="372" t="s">
        <v>1296</v>
      </c>
      <c r="D1700" s="375" t="s">
        <v>6860</v>
      </c>
      <c r="E1700" s="373" t="s">
        <v>2827</v>
      </c>
      <c r="F1700" s="459">
        <f t="shared" si="772"/>
        <v>28.55</v>
      </c>
      <c r="G1700" s="535">
        <f t="shared" si="773"/>
        <v>28.55</v>
      </c>
      <c r="H1700" s="493">
        <f t="shared" si="774"/>
        <v>22.84</v>
      </c>
      <c r="I1700" s="711"/>
      <c r="J1700" s="669" t="s">
        <v>5805</v>
      </c>
      <c r="K1700" s="15"/>
      <c r="M1700" s="49">
        <f t="shared" si="775"/>
        <v>28.55</v>
      </c>
      <c r="N1700" s="41">
        <v>11.67</v>
      </c>
      <c r="O1700" s="391"/>
      <c r="P1700" s="392" t="s">
        <v>2828</v>
      </c>
      <c r="Q1700" s="392"/>
      <c r="R1700" s="392">
        <v>2013</v>
      </c>
      <c r="S1700" s="392"/>
      <c r="T1700" s="674">
        <f t="shared" si="776"/>
        <v>2.88</v>
      </c>
      <c r="U1700" s="419" t="s">
        <v>1017</v>
      </c>
      <c r="V1700" s="421"/>
      <c r="W1700" s="422"/>
      <c r="X1700" s="422"/>
      <c r="Y1700" s="37"/>
      <c r="Z1700" s="37"/>
      <c r="AA1700" s="422"/>
      <c r="AB1700" s="37"/>
      <c r="AC1700" s="421" t="s">
        <v>1017</v>
      </c>
      <c r="AD1700" s="423"/>
      <c r="AE1700" s="424"/>
      <c r="AF1700" s="422"/>
      <c r="AG1700" s="423"/>
      <c r="AH1700" s="217" t="s">
        <v>4179</v>
      </c>
      <c r="AI1700" s="214" t="str">
        <f>IF(AND($AH1700&lt;&gt;"",AH1700 =AH1710),"Gleich","")</f>
        <v>Gleich</v>
      </c>
      <c r="AJ1700" s="214" t="str">
        <f>IF(AND($AH1700&lt;&gt;"",A1700 =A1710),"Gleich","")</f>
        <v/>
      </c>
      <c r="AK1700" s="214" t="str">
        <f>IF(AND($AH1700&lt;&gt;"",D1700 =D1710),"Gleich","")</f>
        <v/>
      </c>
      <c r="AL1700" s="214" t="str">
        <f>IF(AND($AH1700&lt;&gt;"",E1700 =E1710),"Gleich","")</f>
        <v>Gleich</v>
      </c>
      <c r="AM1700" s="214" t="str">
        <f>IF(AND($AH1700&lt;&gt;"",F1700 =F1710),"Gleich","")</f>
        <v/>
      </c>
      <c r="AN1700" s="213" t="str">
        <f>IF(ISERROR(SEARCH("K1",A1700)),"","20"&amp;MID(A1700,SEARCH("K1",A1700)+1,2))</f>
        <v>2013</v>
      </c>
      <c r="AO1700" s="213" t="str">
        <f>IF(ISERROR(SEARCH("erstmals 201",E1700)),"",MID(E1700,SEARCH("erstmals ",E1700)+9,4))</f>
        <v>2013</v>
      </c>
      <c r="AP1700" s="213" t="str">
        <f t="shared" si="777"/>
        <v/>
      </c>
      <c r="AQ1700" s="215" t="str">
        <f>IF(OR(AH1700&lt;&gt;AN1700,AH1700&lt;&gt;AO1700,AH1700&lt;&gt;AP1700),"DIFF","")</f>
        <v>DIFF</v>
      </c>
      <c r="AR1700" s="216" t="str">
        <f>IF(A1700="","",IF(ISERROR(SEARCH("K1",A1700)),A1700,LEFT(A1700,SEARCH("K1",A1700)+1)&amp;RIGHT(AH1700,1)&amp;MID(A1700,SEARCH("K1",A1700)+3,14)))</f>
        <v>BiK81X1K12y-06</v>
      </c>
      <c r="AS1700" s="215" t="str">
        <f>IF(OR(A1700&lt;&gt;AR1700),"DIFF","")</f>
        <v>DIFF</v>
      </c>
      <c r="AT1700">
        <f>LEN(AR1700)</f>
        <v>14</v>
      </c>
      <c r="AU1700" s="216" t="str">
        <f>IF(D1700="","",IF(OR(A1700="",ISERROR(SEARCH("erstmals 201",D1700))),D1700,LEFT(D1700,SEARCH("erstmals 201",D1700)+8) &amp; AH1700 &amp; MID(D1700,SEARCH("erstmals 201",D1700)+13,255)))</f>
        <v>0-0,15 MW, Bonusregeln X1, y und K erstmals 2012</v>
      </c>
      <c r="AV1700" s="215" t="str">
        <f>IF(OR(D1700&lt;&gt;AU1700),"DIFF","")</f>
        <v>DIFF</v>
      </c>
      <c r="AW1700" s="216" t="str">
        <f>IF(E1700="","",IF(OR(E1700="",ISERROR(SEARCH("erstmals 201",E1700))),E1700,LEFT(E1700,SEARCH("erstmals 201",E1700)+8) &amp; AH1700 &amp; MID(E1700,SEARCH("erstmals 201",E1700)+13,255)))</f>
        <v>Anteil KWK, erstmals 2012</v>
      </c>
      <c r="AX1700" s="215" t="str">
        <f>IF(OR(E1700&lt;&gt;AW1700),"DIFF","")</f>
        <v>DIFF</v>
      </c>
      <c r="AY1700" t="str">
        <f>IF(AH1700="2011","x",IF(AH1700="2012","","" &amp; S1700))</f>
        <v/>
      </c>
      <c r="AZ1700" t="str">
        <f>IF(AH1700="2012","x",IF(AH1700="2011","","" &amp; T1700))</f>
        <v>x</v>
      </c>
    </row>
    <row r="1701" spans="1:52" x14ac:dyDescent="0.25">
      <c r="A1701" s="615" t="s">
        <v>5617</v>
      </c>
      <c r="B1701" s="372" t="s">
        <v>5548</v>
      </c>
      <c r="C1701" s="372" t="s">
        <v>1296</v>
      </c>
      <c r="D1701" s="375" t="s">
        <v>6993</v>
      </c>
      <c r="E1701" s="375" t="s">
        <v>2827</v>
      </c>
      <c r="F1701" s="459">
        <f t="shared" si="772"/>
        <v>28.55</v>
      </c>
      <c r="G1701" s="535">
        <f t="shared" si="773"/>
        <v>28.55</v>
      </c>
      <c r="H1701" s="493">
        <f t="shared" si="774"/>
        <v>22.84</v>
      </c>
      <c r="I1701" s="711"/>
      <c r="J1701" s="669" t="s">
        <v>5805</v>
      </c>
      <c r="K1701" s="15"/>
      <c r="M1701" s="49">
        <f t="shared" si="775"/>
        <v>28.55</v>
      </c>
      <c r="N1701" s="41">
        <v>11.67</v>
      </c>
      <c r="O1701" s="391"/>
      <c r="P1701" s="392" t="s">
        <v>2828</v>
      </c>
      <c r="Q1701" s="392"/>
      <c r="R1701" s="392">
        <v>2013</v>
      </c>
      <c r="S1701" s="392"/>
      <c r="T1701" s="674">
        <f t="shared" si="776"/>
        <v>2.88</v>
      </c>
      <c r="U1701" s="185" t="s">
        <v>1017</v>
      </c>
      <c r="V1701" s="184"/>
      <c r="W1701" s="180"/>
      <c r="X1701" s="180"/>
      <c r="Y1701" s="178"/>
      <c r="Z1701" s="184" t="s">
        <v>1017</v>
      </c>
      <c r="AA1701" s="180"/>
      <c r="AB1701" s="184"/>
      <c r="AC1701" s="184"/>
      <c r="AD1701" s="201"/>
      <c r="AE1701" s="181" t="s">
        <v>1017</v>
      </c>
      <c r="AF1701" s="180"/>
      <c r="AG1701" s="201"/>
      <c r="AH1701" s="217"/>
      <c r="AI1701" s="214"/>
      <c r="AJ1701" s="214"/>
      <c r="AK1701" s="214"/>
      <c r="AL1701" s="214"/>
      <c r="AM1701" s="214"/>
      <c r="AN1701" s="213"/>
      <c r="AO1701" s="213"/>
      <c r="AP1701" s="213" t="str">
        <f t="shared" si="777"/>
        <v/>
      </c>
      <c r="AQ1701" s="215"/>
      <c r="AR1701" s="216"/>
      <c r="AS1701" s="215"/>
      <c r="AU1701" s="216"/>
      <c r="AV1701" s="215"/>
      <c r="AW1701" s="216"/>
      <c r="AX1701" s="215"/>
    </row>
    <row r="1702" spans="1:52" x14ac:dyDescent="0.25">
      <c r="A1702" s="615" t="s">
        <v>2332</v>
      </c>
      <c r="B1702" s="372" t="s">
        <v>5548</v>
      </c>
      <c r="C1702" s="372" t="s">
        <v>1296</v>
      </c>
      <c r="D1702" s="375" t="s">
        <v>7229</v>
      </c>
      <c r="E1702" s="373" t="s">
        <v>2827</v>
      </c>
      <c r="F1702" s="459">
        <f t="shared" si="772"/>
        <v>12.48</v>
      </c>
      <c r="G1702" s="535">
        <f t="shared" si="773"/>
        <v>12.48</v>
      </c>
      <c r="H1702" s="493">
        <f t="shared" si="774"/>
        <v>9.98</v>
      </c>
      <c r="I1702" s="711"/>
      <c r="J1702" s="669" t="s">
        <v>5805</v>
      </c>
      <c r="K1702" s="15"/>
      <c r="M1702" s="49">
        <f t="shared" si="775"/>
        <v>12.48</v>
      </c>
      <c r="N1702" s="41">
        <v>9.6</v>
      </c>
      <c r="O1702" s="391"/>
      <c r="P1702" s="392" t="s">
        <v>2828</v>
      </c>
      <c r="Q1702" s="392"/>
      <c r="R1702" s="392">
        <v>2013</v>
      </c>
      <c r="S1702" s="392"/>
      <c r="T1702" s="674">
        <f t="shared" si="776"/>
        <v>2.88</v>
      </c>
      <c r="U1702" s="55"/>
      <c r="W1702" s="65"/>
      <c r="X1702" s="65"/>
      <c r="Z1702" s="65"/>
      <c r="AC1702" s="65"/>
      <c r="AD1702" s="92"/>
      <c r="AE1702" s="124"/>
      <c r="AF1702" s="65"/>
      <c r="AG1702" s="91"/>
      <c r="AH1702" s="217" t="s">
        <v>4179</v>
      </c>
      <c r="AI1702" s="214" t="str">
        <f>IF(AND($AH1702&lt;&gt;"",AH1702 =AH1700),"Gleich","")</f>
        <v>Gleich</v>
      </c>
      <c r="AJ1702" s="214" t="str">
        <f>IF(AND($AH1702&lt;&gt;"",A1702 =A1700),"Gleich","")</f>
        <v/>
      </c>
      <c r="AK1702" s="214" t="str">
        <f>IF(AND($AH1702&lt;&gt;"",D1702 =D1700),"Gleich","")</f>
        <v/>
      </c>
      <c r="AL1702" s="214" t="str">
        <f>IF(AND($AH1702&lt;&gt;"",E1702 =E1700),"Gleich","")</f>
        <v>Gleich</v>
      </c>
      <c r="AM1702" s="214" t="str">
        <f>IF(AND($AH1702&lt;&gt;"",F1702 =F1700),"Gleich","")</f>
        <v/>
      </c>
      <c r="AN1702" s="213" t="str">
        <f>IF(ISERROR(SEARCH("K1",A1702)),"","20"&amp;MID(A1702,SEARCH("K1",A1702)+1,2))</f>
        <v>2013</v>
      </c>
      <c r="AO1702" s="213" t="str">
        <f>IF(ISERROR(SEARCH("erstmals 201",E1702)),"",MID(E1702,SEARCH("erstmals ",E1702)+9,4))</f>
        <v>2013</v>
      </c>
      <c r="AP1702" s="213" t="str">
        <f t="shared" si="777"/>
        <v/>
      </c>
      <c r="AQ1702" s="215" t="str">
        <f>IF(OR(AH1702&lt;&gt;AN1702,AH1702&lt;&gt;AO1702,AH1702&lt;&gt;AP1702),"DIFF","")</f>
        <v>DIFF</v>
      </c>
      <c r="AR1702" s="216" t="str">
        <f>IF(A1702="","",IF(ISERROR(SEARCH("K1",A1702)),A1702,LEFT(A1702,SEARCH("K1",A1702)+1)&amp;RIGHT(AH1702,1)&amp;MID(A1702,SEARCH("K1",A1702)+3,14)))</f>
        <v>BiK82K12----06</v>
      </c>
      <c r="AS1702" s="215" t="str">
        <f>IF(OR(A1702&lt;&gt;AR1702),"DIFF","")</f>
        <v>DIFF</v>
      </c>
      <c r="AT1702">
        <f>LEN(AR1702)</f>
        <v>14</v>
      </c>
      <c r="AU1702" s="216" t="str">
        <f>IF(D1702="","",IF(OR(A1702="",ISERROR(SEARCH("erstmals 201",D1702))),D1702,LEFT(D1702,SEARCH("erstmals 201",D1702)+8) &amp; AH1702 &amp; MID(D1702,SEARCH("erstmals 201",D1702)+13,255)))</f>
        <v>0,15-0,5 MW, Bonusregel K erstmals 2012</v>
      </c>
      <c r="AV1702" s="215" t="str">
        <f>IF(OR(D1702&lt;&gt;AU1702),"DIFF","")</f>
        <v>DIFF</v>
      </c>
      <c r="AW1702" s="216" t="str">
        <f>IF(E1702="","",IF(OR(E1702="",ISERROR(SEARCH("erstmals 201",E1702))),E1702,LEFT(E1702,SEARCH("erstmals 201",E1702)+8) &amp; AH1702 &amp; MID(E1702,SEARCH("erstmals 201",E1702)+13,255)))</f>
        <v>Anteil KWK, erstmals 2012</v>
      </c>
      <c r="AX1702" s="215" t="str">
        <f>IF(OR(E1702&lt;&gt;AW1702),"DIFF","")</f>
        <v>DIFF</v>
      </c>
      <c r="AY1702" t="str">
        <f>IF(AH1702="2011","x",IF(AH1702="2012","","" &amp; S1702))</f>
        <v/>
      </c>
      <c r="AZ1702" t="str">
        <f>IF(AH1702="2012","x",IF(AH1702="2011","","" &amp; T1702))</f>
        <v>x</v>
      </c>
    </row>
    <row r="1703" spans="1:52" x14ac:dyDescent="0.25">
      <c r="A1703" s="615" t="s">
        <v>6167</v>
      </c>
      <c r="B1703" s="372" t="s">
        <v>5548</v>
      </c>
      <c r="C1703" s="372" t="s">
        <v>1296</v>
      </c>
      <c r="D1703" s="375" t="s">
        <v>7230</v>
      </c>
      <c r="E1703" s="373" t="s">
        <v>2827</v>
      </c>
      <c r="F1703" s="459">
        <f t="shared" si="772"/>
        <v>21.48</v>
      </c>
      <c r="G1703" s="535">
        <f t="shared" si="773"/>
        <v>21.48</v>
      </c>
      <c r="H1703" s="493">
        <f t="shared" si="774"/>
        <v>17.18</v>
      </c>
      <c r="I1703" s="711"/>
      <c r="J1703" s="669">
        <v>42858</v>
      </c>
      <c r="K1703" s="15"/>
      <c r="M1703" s="49">
        <f t="shared" si="775"/>
        <v>21.48</v>
      </c>
      <c r="N1703" s="41">
        <v>9.6</v>
      </c>
      <c r="O1703" s="391"/>
      <c r="P1703" s="392" t="s">
        <v>2828</v>
      </c>
      <c r="Q1703" s="392"/>
      <c r="R1703" s="392">
        <v>2013</v>
      </c>
      <c r="S1703" s="392"/>
      <c r="T1703" s="674">
        <f t="shared" si="776"/>
        <v>2.88</v>
      </c>
      <c r="U1703" s="55"/>
      <c r="W1703" s="65"/>
      <c r="X1703" s="65"/>
      <c r="Y1703" t="s">
        <v>1017</v>
      </c>
      <c r="Z1703" s="65"/>
      <c r="AC1703" s="65"/>
      <c r="AD1703" s="92"/>
      <c r="AE1703" s="124" t="s">
        <v>1017</v>
      </c>
      <c r="AF1703" s="65"/>
      <c r="AG1703" s="91"/>
      <c r="AH1703" s="217"/>
      <c r="AI1703" s="214"/>
      <c r="AJ1703" s="214"/>
      <c r="AK1703" s="214"/>
      <c r="AL1703" s="214"/>
      <c r="AM1703" s="214"/>
      <c r="AN1703" s="213"/>
      <c r="AO1703" s="213"/>
      <c r="AP1703" s="213" t="str">
        <f t="shared" si="777"/>
        <v/>
      </c>
      <c r="AQ1703" s="215"/>
      <c r="AR1703" s="216"/>
      <c r="AS1703" s="215"/>
      <c r="AU1703" s="216"/>
      <c r="AV1703" s="215"/>
      <c r="AW1703" s="216"/>
      <c r="AX1703" s="215"/>
    </row>
    <row r="1704" spans="1:52" s="178" customFormat="1" x14ac:dyDescent="0.25">
      <c r="A1704" s="615" t="s">
        <v>2587</v>
      </c>
      <c r="B1704" s="372" t="s">
        <v>5548</v>
      </c>
      <c r="C1704" s="372" t="s">
        <v>1296</v>
      </c>
      <c r="D1704" s="375" t="s">
        <v>7214</v>
      </c>
      <c r="E1704" s="373" t="s">
        <v>2827</v>
      </c>
      <c r="F1704" s="459">
        <f t="shared" si="772"/>
        <v>22.48</v>
      </c>
      <c r="G1704" s="535">
        <f t="shared" si="773"/>
        <v>22.48</v>
      </c>
      <c r="H1704" s="493">
        <f t="shared" si="774"/>
        <v>17.98</v>
      </c>
      <c r="I1704" s="711"/>
      <c r="J1704" s="669" t="s">
        <v>5805</v>
      </c>
      <c r="K1704" s="15"/>
      <c r="L1704"/>
      <c r="M1704" s="49">
        <f t="shared" si="775"/>
        <v>22.48</v>
      </c>
      <c r="N1704" s="41">
        <v>9.6</v>
      </c>
      <c r="O1704" s="391"/>
      <c r="P1704" s="392" t="s">
        <v>2828</v>
      </c>
      <c r="Q1704" s="392"/>
      <c r="R1704" s="392">
        <v>2013</v>
      </c>
      <c r="S1704" s="392"/>
      <c r="T1704" s="674">
        <f t="shared" si="776"/>
        <v>2.88</v>
      </c>
      <c r="U1704" s="185" t="s">
        <v>1017</v>
      </c>
      <c r="V1704" s="184"/>
      <c r="W1704" s="180"/>
      <c r="X1704" s="180"/>
      <c r="Y1704" s="184" t="s">
        <v>1017</v>
      </c>
      <c r="Z1704" s="180"/>
      <c r="AA1704" s="184"/>
      <c r="AB1704" s="184"/>
      <c r="AC1704" s="180"/>
      <c r="AD1704" s="182"/>
      <c r="AE1704" s="181" t="s">
        <v>1017</v>
      </c>
      <c r="AF1704" s="180"/>
      <c r="AG1704" s="201"/>
      <c r="AH1704" s="217" t="s">
        <v>4179</v>
      </c>
      <c r="AI1704" s="214" t="str">
        <f>IF(AND($AH1704&lt;&gt;"",AH1704 =AH1702),"Gleich","")</f>
        <v>Gleich</v>
      </c>
      <c r="AJ1704" s="214" t="str">
        <f>IF(AND($AH1704&lt;&gt;"",A1704 =A1702),"Gleich","")</f>
        <v/>
      </c>
      <c r="AK1704" s="214" t="str">
        <f>IF(AND($AH1704&lt;&gt;"",D1704 =D1702),"Gleich","")</f>
        <v/>
      </c>
      <c r="AL1704" s="214" t="str">
        <f>IF(AND($AH1704&lt;&gt;"",E1704 =E1702),"Gleich","")</f>
        <v>Gleich</v>
      </c>
      <c r="AM1704" s="214" t="str">
        <f>IF(AND($AH1704&lt;&gt;"",F1704 =F1702),"Gleich","")</f>
        <v/>
      </c>
      <c r="AN1704" s="213" t="str">
        <f>IF(ISERROR(SEARCH("K1",A1704)),"","20"&amp;MID(A1704,SEARCH("K1",A1704)+1,2))</f>
        <v>2013</v>
      </c>
      <c r="AO1704" s="213" t="str">
        <f>IF(ISERROR(SEARCH("erstmals 201",E1704)),"",MID(E1704,SEARCH("erstmals ",E1704)+9,4))</f>
        <v>2013</v>
      </c>
      <c r="AP1704" s="213" t="str">
        <f t="shared" si="777"/>
        <v/>
      </c>
      <c r="AQ1704" s="215" t="str">
        <f>IF(OR(AH1704&lt;&gt;AN1704,AH1704&lt;&gt;AO1704,AH1704&lt;&gt;AP1704),"DIFF","")</f>
        <v>DIFF</v>
      </c>
      <c r="AR1704" s="216" t="str">
        <f>IF(A1704="","",IF(ISERROR(SEARCH("K1",A1704)),A1704,LEFT(A1704,SEARCH("K1",A1704)+1)&amp;RIGHT(AH1704,1)&amp;MID(A1704,SEARCH("K1",A1704)+3,14)))</f>
        <v>BiK82GbK12y-06</v>
      </c>
      <c r="AS1704" s="215" t="str">
        <f>IF(OR(A1704&lt;&gt;AR1704),"DIFF","")</f>
        <v>DIFF</v>
      </c>
      <c r="AT1704">
        <f>LEN(AR1704)</f>
        <v>14</v>
      </c>
      <c r="AU1704" s="216" t="str">
        <f>IF(D1704="","",IF(OR(A1704="",ISERROR(SEARCH("erstmals 201",D1704))),D1704,LEFT(D1704,SEARCH("erstmals 201",D1704)+8) &amp; AH1704 &amp; MID(D1704,SEARCH("erstmals 201",D1704)+13,255)))</f>
        <v>0,15-0,5 MW, Bonusregeln G, y, b und K erstmals 2012</v>
      </c>
      <c r="AV1704" s="215" t="str">
        <f>IF(OR(D1704&lt;&gt;AU1704),"DIFF","")</f>
        <v>DIFF</v>
      </c>
      <c r="AW1704" s="216" t="str">
        <f>IF(E1704="","",IF(OR(E1704="",ISERROR(SEARCH("erstmals 201",E1704))),E1704,LEFT(E1704,SEARCH("erstmals 201",E1704)+8) &amp; AH1704 &amp; MID(E1704,SEARCH("erstmals 201",E1704)+13,255)))</f>
        <v>Anteil KWK, erstmals 2012</v>
      </c>
      <c r="AX1704" s="215" t="str">
        <f>IF(OR(E1704&lt;&gt;AW1704),"DIFF","")</f>
        <v>DIFF</v>
      </c>
      <c r="AY1704" t="str">
        <f>IF(AH1704="2011","x",IF(AH1704="2012","","" &amp; S1704))</f>
        <v/>
      </c>
      <c r="AZ1704" t="str">
        <f>IF(AH1704="2012","x",IF(AH1704="2011","","" &amp; T1704))</f>
        <v>x</v>
      </c>
    </row>
    <row r="1705" spans="1:52" s="178" customFormat="1" x14ac:dyDescent="0.25">
      <c r="A1705" s="615" t="s">
        <v>657</v>
      </c>
      <c r="B1705" s="372" t="s">
        <v>5548</v>
      </c>
      <c r="C1705" s="372" t="s">
        <v>1296</v>
      </c>
      <c r="D1705" s="375" t="s">
        <v>7215</v>
      </c>
      <c r="E1705" s="373" t="s">
        <v>2827</v>
      </c>
      <c r="F1705" s="459">
        <f t="shared" si="772"/>
        <v>20.48</v>
      </c>
      <c r="G1705" s="535">
        <f t="shared" si="773"/>
        <v>20.48</v>
      </c>
      <c r="H1705" s="493">
        <f t="shared" si="774"/>
        <v>16.38</v>
      </c>
      <c r="I1705" s="711"/>
      <c r="J1705" s="669" t="s">
        <v>5805</v>
      </c>
      <c r="K1705" s="15"/>
      <c r="L1705"/>
      <c r="M1705" s="49">
        <f t="shared" si="775"/>
        <v>20.48</v>
      </c>
      <c r="N1705" s="41">
        <v>9.6</v>
      </c>
      <c r="O1705" s="391"/>
      <c r="P1705" s="392" t="s">
        <v>2828</v>
      </c>
      <c r="Q1705" s="392"/>
      <c r="R1705" s="392">
        <v>2013</v>
      </c>
      <c r="S1705" s="392"/>
      <c r="T1705" s="674">
        <f t="shared" si="776"/>
        <v>2.88</v>
      </c>
      <c r="U1705" s="420"/>
      <c r="V1705" s="37"/>
      <c r="W1705" s="422"/>
      <c r="X1705" s="422"/>
      <c r="Y1705" s="37"/>
      <c r="Z1705" s="422"/>
      <c r="AA1705" s="37" t="s">
        <v>1017</v>
      </c>
      <c r="AB1705" s="37"/>
      <c r="AC1705" s="422"/>
      <c r="AD1705" s="425"/>
      <c r="AE1705" s="426"/>
      <c r="AF1705" s="422"/>
      <c r="AG1705" s="423"/>
      <c r="AH1705" s="217"/>
      <c r="AI1705" s="214"/>
      <c r="AJ1705" s="214"/>
      <c r="AK1705" s="214"/>
      <c r="AL1705" s="214"/>
      <c r="AM1705" s="214"/>
      <c r="AN1705" s="213"/>
      <c r="AO1705" s="213"/>
      <c r="AP1705" s="213"/>
      <c r="AQ1705" s="215"/>
      <c r="AR1705" s="216"/>
      <c r="AS1705" s="215"/>
      <c r="AT1705"/>
      <c r="AU1705" s="216"/>
      <c r="AV1705" s="215"/>
      <c r="AW1705" s="216"/>
      <c r="AX1705" s="215"/>
      <c r="AY1705"/>
      <c r="AZ1705"/>
    </row>
    <row r="1706" spans="1:52" s="178" customFormat="1" x14ac:dyDescent="0.25">
      <c r="A1706" s="615" t="s">
        <v>2833</v>
      </c>
      <c r="B1706" s="372" t="s">
        <v>5548</v>
      </c>
      <c r="C1706" s="372" t="s">
        <v>1296</v>
      </c>
      <c r="D1706" s="375" t="s">
        <v>7083</v>
      </c>
      <c r="E1706" s="373" t="s">
        <v>2827</v>
      </c>
      <c r="F1706" s="459">
        <f t="shared" si="772"/>
        <v>21.48</v>
      </c>
      <c r="G1706" s="535">
        <f t="shared" si="773"/>
        <v>21.48</v>
      </c>
      <c r="H1706" s="493">
        <f t="shared" si="774"/>
        <v>17.18</v>
      </c>
      <c r="I1706" s="711"/>
      <c r="J1706" s="669" t="s">
        <v>5805</v>
      </c>
      <c r="K1706" s="15"/>
      <c r="L1706"/>
      <c r="M1706" s="49">
        <f t="shared" si="775"/>
        <v>21.48</v>
      </c>
      <c r="N1706" s="41">
        <v>9.6</v>
      </c>
      <c r="O1706" s="391"/>
      <c r="P1706" s="392" t="s">
        <v>2828</v>
      </c>
      <c r="Q1706" s="392"/>
      <c r="R1706" s="392">
        <v>2013</v>
      </c>
      <c r="S1706" s="392"/>
      <c r="T1706" s="674">
        <f t="shared" si="776"/>
        <v>2.88</v>
      </c>
      <c r="U1706" s="419" t="s">
        <v>1017</v>
      </c>
      <c r="V1706" s="421"/>
      <c r="W1706" s="422"/>
      <c r="X1706" s="422"/>
      <c r="Y1706" s="37"/>
      <c r="Z1706" s="422"/>
      <c r="AA1706" s="421" t="s">
        <v>1017</v>
      </c>
      <c r="AB1706" s="421"/>
      <c r="AC1706" s="422"/>
      <c r="AD1706" s="425"/>
      <c r="AE1706" s="424"/>
      <c r="AF1706" s="422"/>
      <c r="AG1706" s="423"/>
      <c r="AH1706" s="217" t="s">
        <v>4179</v>
      </c>
      <c r="AI1706" s="214" t="str">
        <f>IF(AND($AH1706&lt;&gt;"",AH1706 =AH1699),"Gleich","")</f>
        <v>Gleich</v>
      </c>
      <c r="AJ1706" s="214" t="str">
        <f>IF(AND($AH1706&lt;&gt;"",A1706 =A1699),"Gleich","")</f>
        <v/>
      </c>
      <c r="AK1706" s="214" t="str">
        <f>IF(AND($AH1706&lt;&gt;"",D1706 =D1699),"Gleich","")</f>
        <v/>
      </c>
      <c r="AL1706" s="214" t="str">
        <f>IF(AND($AH1706&lt;&gt;"",E1706 =E1699),"Gleich","")</f>
        <v>Gleich</v>
      </c>
      <c r="AM1706" s="214" t="str">
        <f>IF(AND($AH1706&lt;&gt;"",F1706 =F1699),"Gleich","")</f>
        <v/>
      </c>
      <c r="AN1706" s="213" t="str">
        <f>IF(ISERROR(SEARCH("K1",A1706)),"","20"&amp;MID(A1706,SEARCH("K1",A1706)+1,2))</f>
        <v>2013</v>
      </c>
      <c r="AO1706" s="213" t="str">
        <f>IF(ISERROR(SEARCH("erstmals 201",E1706)),"",MID(E1706,SEARCH("erstmals ",E1706)+9,4))</f>
        <v>2013</v>
      </c>
      <c r="AP1706" s="213" t="str">
        <f>IF(R1706="x","2010",IF(S1706="x","2011",IF(T1706="x","2012","")))</f>
        <v/>
      </c>
      <c r="AQ1706" s="215" t="str">
        <f>IF(OR(AH1706&lt;&gt;AN1706,AH1706&lt;&gt;AO1706,AH1706&lt;&gt;AP1706),"DIFF","")</f>
        <v>DIFF</v>
      </c>
      <c r="AR1706" s="216" t="str">
        <f>IF(A1706="","",IF(ISERROR(SEARCH("K1",A1706)),A1706,LEFT(A1706,SEARCH("K1",A1706)+1)&amp;RIGHT(AH1706,1)&amp;MID(A1706,SEARCH("K1",A1706)+3,14)))</f>
        <v>BiK82M2K12y-06</v>
      </c>
      <c r="AS1706" s="215" t="str">
        <f>IF(OR(A1706&lt;&gt;AR1706),"DIFF","")</f>
        <v>DIFF</v>
      </c>
      <c r="AT1706">
        <f>LEN(AR1706)</f>
        <v>14</v>
      </c>
      <c r="AU1706" s="216" t="str">
        <f>IF(D1706="","",IF(OR(A1706="",ISERROR(SEARCH("erstmals 201",D1706))),D1706,LEFT(D1706,SEARCH("erstmals 201",D1706)+8) &amp; AH1706 &amp; MID(D1706,SEARCH("erstmals 201",D1706)+13,255)))</f>
        <v>0,15-0,5 MW, Bonusregeln M2, y und K erstmals 2012</v>
      </c>
      <c r="AV1706" s="215" t="str">
        <f>IF(OR(D1706&lt;&gt;AU1706),"DIFF","")</f>
        <v>DIFF</v>
      </c>
      <c r="AW1706" s="216" t="str">
        <f>IF(E1706="","",IF(OR(E1706="",ISERROR(SEARCH("erstmals 201",E1706))),E1706,LEFT(E1706,SEARCH("erstmals 201",E1706)+8) &amp; AH1706 &amp; MID(E1706,SEARCH("erstmals 201",E1706)+13,255)))</f>
        <v>Anteil KWK, erstmals 2012</v>
      </c>
      <c r="AX1706" s="215" t="str">
        <f>IF(OR(E1706&lt;&gt;AW1706),"DIFF","")</f>
        <v>DIFF</v>
      </c>
      <c r="AY1706" t="str">
        <f>IF(AH1706="2011","x",IF(AH1706="2012","","" &amp; S1706))</f>
        <v/>
      </c>
      <c r="AZ1706" t="str">
        <f>IF(AH1706="2012","x",IF(AH1706="2011","","" &amp; T1706))</f>
        <v>x</v>
      </c>
    </row>
    <row r="1707" spans="1:52" x14ac:dyDescent="0.25">
      <c r="A1707" s="615" t="s">
        <v>2835</v>
      </c>
      <c r="B1707" s="372" t="s">
        <v>5548</v>
      </c>
      <c r="C1707" s="372" t="s">
        <v>1296</v>
      </c>
      <c r="D1707" s="375" t="s">
        <v>7084</v>
      </c>
      <c r="E1707" s="373" t="s">
        <v>2827</v>
      </c>
      <c r="F1707" s="459">
        <f t="shared" si="772"/>
        <v>23.48</v>
      </c>
      <c r="G1707" s="535">
        <f t="shared" si="773"/>
        <v>23.48</v>
      </c>
      <c r="H1707" s="493">
        <f t="shared" si="774"/>
        <v>18.78</v>
      </c>
      <c r="I1707" s="711"/>
      <c r="J1707" s="669" t="s">
        <v>5805</v>
      </c>
      <c r="K1707" s="15"/>
      <c r="M1707" s="49">
        <f t="shared" si="775"/>
        <v>23.48</v>
      </c>
      <c r="N1707" s="41">
        <v>9.6</v>
      </c>
      <c r="O1707" s="391"/>
      <c r="P1707" s="392" t="s">
        <v>2828</v>
      </c>
      <c r="Q1707" s="392"/>
      <c r="R1707" s="392">
        <v>2013</v>
      </c>
      <c r="S1707" s="392"/>
      <c r="T1707" s="674">
        <f t="shared" si="776"/>
        <v>2.88</v>
      </c>
      <c r="U1707" s="419" t="s">
        <v>1017</v>
      </c>
      <c r="V1707" s="421"/>
      <c r="W1707" s="422"/>
      <c r="X1707" s="422"/>
      <c r="Y1707" s="37"/>
      <c r="Z1707" s="422"/>
      <c r="AA1707" s="421"/>
      <c r="AB1707" s="37"/>
      <c r="AC1707" s="422"/>
      <c r="AD1707" s="425" t="s">
        <v>1017</v>
      </c>
      <c r="AE1707" s="424"/>
      <c r="AF1707" s="422"/>
      <c r="AG1707" s="423"/>
      <c r="AH1707" s="217" t="s">
        <v>4179</v>
      </c>
      <c r="AI1707" s="214" t="str">
        <f>IF(AND($AH1707&lt;&gt;"",AH1707 =AH1710),"Gleich","")</f>
        <v>Gleich</v>
      </c>
      <c r="AJ1707" s="214" t="str">
        <f>IF(AND($AH1707&lt;&gt;"",A1707 =A1710),"Gleich","")</f>
        <v/>
      </c>
      <c r="AK1707" s="214" t="str">
        <f>IF(AND($AH1707&lt;&gt;"",D1707 =D1710),"Gleich","")</f>
        <v/>
      </c>
      <c r="AL1707" s="214" t="str">
        <f>IF(AND($AH1707&lt;&gt;"",E1707 =E1710),"Gleich","")</f>
        <v>Gleich</v>
      </c>
      <c r="AM1707" s="214" t="str">
        <f>IF(AND($AH1707&lt;&gt;"",F1707 =F1710),"Gleich","")</f>
        <v/>
      </c>
      <c r="AN1707" s="213" t="str">
        <f>IF(ISERROR(SEARCH("K1",A1707)),"","20"&amp;MID(A1707,SEARCH("K1",A1707)+1,2))</f>
        <v>2013</v>
      </c>
      <c r="AO1707" s="213" t="str">
        <f>IF(ISERROR(SEARCH("erstmals 201",E1707)),"",MID(E1707,SEARCH("erstmals ",E1707)+9,4))</f>
        <v>2013</v>
      </c>
      <c r="AP1707" s="213" t="str">
        <f>IF(R1707="x","2010",IF(S1707="x","2011",IF(T1707="x","2012","")))</f>
        <v/>
      </c>
      <c r="AQ1707" s="215" t="str">
        <f>IF(OR(AH1707&lt;&gt;AN1707,AH1707&lt;&gt;AO1707,AH1707&lt;&gt;AP1707),"DIFF","")</f>
        <v>DIFF</v>
      </c>
      <c r="AR1707" s="216" t="str">
        <f>IF(A1707="","",IF(ISERROR(SEARCH("K1",A1707)),A1707,LEFT(A1707,SEARCH("K1",A1707)+1)&amp;RIGHT(AH1707,1)&amp;MID(A1707,SEARCH("K1",A1707)+3,14)))</f>
        <v>BiK82X2K12y-06</v>
      </c>
      <c r="AS1707" s="215" t="str">
        <f>IF(OR(A1707&lt;&gt;AR1707),"DIFF","")</f>
        <v>DIFF</v>
      </c>
      <c r="AT1707">
        <f>LEN(AR1707)</f>
        <v>14</v>
      </c>
      <c r="AU1707" s="216" t="str">
        <f>IF(D1707="","",IF(OR(A1707="",ISERROR(SEARCH("erstmals 201",D1707))),D1707,LEFT(D1707,SEARCH("erstmals 201",D1707)+8) &amp; AH1707 &amp; MID(D1707,SEARCH("erstmals 201",D1707)+13,255)))</f>
        <v>0,15-0,5 MW, Bonusregeln X2, y und K erstmals 2012</v>
      </c>
      <c r="AV1707" s="215" t="str">
        <f>IF(OR(D1707&lt;&gt;AU1707),"DIFF","")</f>
        <v>DIFF</v>
      </c>
      <c r="AW1707" s="216" t="str">
        <f>IF(E1707="","",IF(OR(E1707="",ISERROR(SEARCH("erstmals 201",E1707))),E1707,LEFT(E1707,SEARCH("erstmals 201",E1707)+8) &amp; AH1707 &amp; MID(E1707,SEARCH("erstmals 201",E1707)+13,255)))</f>
        <v>Anteil KWK, erstmals 2012</v>
      </c>
      <c r="AX1707" s="215" t="str">
        <f>IF(OR(E1707&lt;&gt;AW1707),"DIFF","")</f>
        <v>DIFF</v>
      </c>
      <c r="AY1707" t="str">
        <f>IF(AH1707="2011","x",IF(AH1707="2012","","" &amp; S1707))</f>
        <v/>
      </c>
      <c r="AZ1707" t="str">
        <f>IF(AH1707="2012","x",IF(AH1707="2011","","" &amp; T1707))</f>
        <v>x</v>
      </c>
    </row>
    <row r="1708" spans="1:52" x14ac:dyDescent="0.25">
      <c r="A1708" s="615" t="s">
        <v>5618</v>
      </c>
      <c r="B1708" s="372" t="s">
        <v>5548</v>
      </c>
      <c r="C1708" s="372" t="s">
        <v>1296</v>
      </c>
      <c r="D1708" s="375" t="s">
        <v>7216</v>
      </c>
      <c r="E1708" s="375" t="s">
        <v>2827</v>
      </c>
      <c r="F1708" s="459">
        <f t="shared" si="772"/>
        <v>23.48</v>
      </c>
      <c r="G1708" s="535">
        <f t="shared" si="773"/>
        <v>23.48</v>
      </c>
      <c r="H1708" s="493">
        <f t="shared" si="774"/>
        <v>18.78</v>
      </c>
      <c r="I1708" s="711"/>
      <c r="J1708" s="669" t="s">
        <v>5805</v>
      </c>
      <c r="K1708" s="15"/>
      <c r="M1708" s="49">
        <f t="shared" si="775"/>
        <v>23.48</v>
      </c>
      <c r="N1708" s="41">
        <v>9.6</v>
      </c>
      <c r="O1708" s="391"/>
      <c r="P1708" s="392" t="s">
        <v>2828</v>
      </c>
      <c r="Q1708" s="392"/>
      <c r="R1708" s="392">
        <v>2013</v>
      </c>
      <c r="S1708" s="392"/>
      <c r="T1708" s="674">
        <f t="shared" si="776"/>
        <v>2.88</v>
      </c>
      <c r="U1708" s="185" t="s">
        <v>1017</v>
      </c>
      <c r="V1708" s="184"/>
      <c r="W1708" s="180"/>
      <c r="X1708" s="180"/>
      <c r="Y1708" s="178"/>
      <c r="Z1708" s="180"/>
      <c r="AA1708" s="184" t="s">
        <v>1017</v>
      </c>
      <c r="AB1708" s="184"/>
      <c r="AC1708" s="180"/>
      <c r="AD1708" s="182"/>
      <c r="AE1708" s="181" t="s">
        <v>1017</v>
      </c>
      <c r="AF1708" s="180"/>
      <c r="AG1708" s="201"/>
      <c r="AH1708" s="217"/>
      <c r="AI1708" s="214"/>
      <c r="AJ1708" s="214"/>
      <c r="AK1708" s="214"/>
      <c r="AL1708" s="214"/>
      <c r="AM1708" s="214"/>
      <c r="AN1708" s="213"/>
      <c r="AO1708" s="213"/>
      <c r="AP1708" s="213"/>
      <c r="AQ1708" s="215"/>
      <c r="AR1708" s="216"/>
      <c r="AS1708" s="215"/>
      <c r="AU1708" s="216"/>
      <c r="AV1708" s="215"/>
      <c r="AW1708" s="216"/>
      <c r="AX1708" s="215"/>
    </row>
    <row r="1709" spans="1:52" s="178" customFormat="1" x14ac:dyDescent="0.25">
      <c r="A1709" s="615" t="s">
        <v>2333</v>
      </c>
      <c r="B1709" s="372" t="s">
        <v>5548</v>
      </c>
      <c r="C1709" s="372" t="s">
        <v>1296</v>
      </c>
      <c r="D1709" s="375" t="s">
        <v>6767</v>
      </c>
      <c r="E1709" s="373" t="s">
        <v>2827</v>
      </c>
      <c r="F1709" s="459">
        <f t="shared" si="772"/>
        <v>11.52</v>
      </c>
      <c r="G1709" s="535">
        <f t="shared" si="773"/>
        <v>11.52</v>
      </c>
      <c r="H1709" s="493">
        <f t="shared" si="774"/>
        <v>9.2200000000000006</v>
      </c>
      <c r="I1709" s="711"/>
      <c r="J1709" s="669" t="s">
        <v>5805</v>
      </c>
      <c r="K1709" s="15"/>
      <c r="L1709"/>
      <c r="M1709" s="49">
        <f t="shared" si="775"/>
        <v>11.52</v>
      </c>
      <c r="N1709" s="41">
        <v>8.64</v>
      </c>
      <c r="O1709" s="391"/>
      <c r="P1709" s="392" t="s">
        <v>2828</v>
      </c>
      <c r="Q1709" s="392"/>
      <c r="R1709" s="392">
        <v>2013</v>
      </c>
      <c r="S1709" s="392"/>
      <c r="T1709" s="674">
        <f t="shared" si="776"/>
        <v>2.88</v>
      </c>
      <c r="U1709" s="75"/>
      <c r="V1709" s="65"/>
      <c r="W1709"/>
      <c r="X1709"/>
      <c r="Y1709" s="65"/>
      <c r="Z1709" s="65"/>
      <c r="AA1709" s="65"/>
      <c r="AB1709" s="65"/>
      <c r="AC1709" s="65"/>
      <c r="AD1709" s="91"/>
      <c r="AE1709" s="124"/>
      <c r="AF1709" s="65"/>
      <c r="AG1709" s="91"/>
      <c r="AH1709" s="217" t="s">
        <v>4179</v>
      </c>
      <c r="AI1709" s="214" t="str">
        <f>IF(AND($AH1709&lt;&gt;"",AH1709 =AH1707),"Gleich","")</f>
        <v>Gleich</v>
      </c>
      <c r="AJ1709" s="214" t="str">
        <f>IF(AND($AH1709&lt;&gt;"",A1709 =A1707),"Gleich","")</f>
        <v/>
      </c>
      <c r="AK1709" s="214" t="str">
        <f>IF(AND($AH1709&lt;&gt;"",D1709 =D1707),"Gleich","")</f>
        <v/>
      </c>
      <c r="AL1709" s="214" t="str">
        <f>IF(AND($AH1709&lt;&gt;"",E1709 =E1707),"Gleich","")</f>
        <v>Gleich</v>
      </c>
      <c r="AM1709" s="214" t="str">
        <f>IF(AND($AH1709&lt;&gt;"",F1709 =F1707),"Gleich","")</f>
        <v/>
      </c>
      <c r="AN1709" s="213" t="str">
        <f>IF(ISERROR(SEARCH("K1",A1709)),"","20"&amp;MID(A1709,SEARCH("K1",A1709)+1,2))</f>
        <v>2013</v>
      </c>
      <c r="AO1709" s="213" t="str">
        <f>IF(ISERROR(SEARCH("erstmals 201",E1709)),"",MID(E1709,SEARCH("erstmals ",E1709)+9,4))</f>
        <v>2013</v>
      </c>
      <c r="AP1709" s="213" t="str">
        <f>IF(R1709="x","2010",IF(S1709="x","2011",IF(T1709="x","2012","")))</f>
        <v/>
      </c>
      <c r="AQ1709" s="215" t="str">
        <f>IF(OR(AH1709&lt;&gt;AN1709,AH1709&lt;&gt;AO1709,AH1709&lt;&gt;AP1709),"DIFF","")</f>
        <v>DIFF</v>
      </c>
      <c r="AR1709" s="216" t="str">
        <f>IF(A1709="","",IF(ISERROR(SEARCH("K1",A1709)),A1709,LEFT(A1709,SEARCH("K1",A1709)+1)&amp;RIGHT(AH1709,1)&amp;MID(A1709,SEARCH("K1",A1709)+3,14)))</f>
        <v>BiK83K12----06</v>
      </c>
      <c r="AS1709" s="215" t="str">
        <f>IF(OR(A1709&lt;&gt;AR1709),"DIFF","")</f>
        <v>DIFF</v>
      </c>
      <c r="AT1709">
        <f>LEN(AR1709)</f>
        <v>14</v>
      </c>
      <c r="AU1709" s="216" t="str">
        <f>IF(D1709="","",IF(OR(A1709="",ISERROR(SEARCH("erstmals 201",D1709))),D1709,LEFT(D1709,SEARCH("erstmals 201",D1709)+8) &amp; AH1709 &amp; MID(D1709,SEARCH("erstmals 201",D1709)+13,255)))</f>
        <v>0,5-5 MW, Bonusregel K erstmals 2012</v>
      </c>
      <c r="AV1709" s="215" t="str">
        <f>IF(OR(D1709&lt;&gt;AU1709),"DIFF","")</f>
        <v>DIFF</v>
      </c>
      <c r="AW1709" s="216" t="str">
        <f>IF(E1709="","",IF(OR(E1709="",ISERROR(SEARCH("erstmals 201",E1709))),E1709,LEFT(E1709,SEARCH("erstmals 201",E1709)+8) &amp; AH1709 &amp; MID(E1709,SEARCH("erstmals 201",E1709)+13,255)))</f>
        <v>Anteil KWK, erstmals 2012</v>
      </c>
      <c r="AX1709" s="215" t="str">
        <f>IF(OR(E1709&lt;&gt;AW1709),"DIFF","")</f>
        <v>DIFF</v>
      </c>
      <c r="AY1709" t="str">
        <f>IF(AH1709="2011","x",IF(AH1709="2012","","" &amp; S1709))</f>
        <v/>
      </c>
      <c r="AZ1709" t="str">
        <f>IF(AH1709="2012","x",IF(AH1709="2011","","" &amp; T1709))</f>
        <v>x</v>
      </c>
    </row>
    <row r="1710" spans="1:52" s="178" customFormat="1" x14ac:dyDescent="0.25">
      <c r="A1710" s="615" t="s">
        <v>2834</v>
      </c>
      <c r="B1710" s="372" t="s">
        <v>5548</v>
      </c>
      <c r="C1710" s="372" t="s">
        <v>1296</v>
      </c>
      <c r="D1710" s="375" t="s">
        <v>6805</v>
      </c>
      <c r="E1710" s="373" t="s">
        <v>2827</v>
      </c>
      <c r="F1710" s="459">
        <f t="shared" si="772"/>
        <v>15.52</v>
      </c>
      <c r="G1710" s="535">
        <f t="shared" si="773"/>
        <v>15.52</v>
      </c>
      <c r="H1710" s="493">
        <f t="shared" si="774"/>
        <v>12.42</v>
      </c>
      <c r="I1710" s="711"/>
      <c r="J1710" s="669" t="s">
        <v>5805</v>
      </c>
      <c r="K1710" s="15"/>
      <c r="L1710"/>
      <c r="M1710" s="49">
        <f t="shared" si="775"/>
        <v>15.52</v>
      </c>
      <c r="N1710" s="41">
        <v>8.64</v>
      </c>
      <c r="O1710" s="391"/>
      <c r="P1710" s="392" t="s">
        <v>2828</v>
      </c>
      <c r="Q1710" s="392"/>
      <c r="R1710" s="392">
        <v>2013</v>
      </c>
      <c r="S1710" s="392"/>
      <c r="T1710" s="674">
        <f t="shared" si="776"/>
        <v>2.88</v>
      </c>
      <c r="U1710" s="427"/>
      <c r="V1710" s="422"/>
      <c r="W1710" s="37" t="s">
        <v>1017</v>
      </c>
      <c r="X1710" s="37"/>
      <c r="Y1710" s="422"/>
      <c r="Z1710" s="422"/>
      <c r="AA1710" s="422"/>
      <c r="AB1710" s="422"/>
      <c r="AC1710" s="422"/>
      <c r="AD1710" s="423"/>
      <c r="AE1710" s="426"/>
      <c r="AF1710" s="422"/>
      <c r="AG1710" s="423"/>
      <c r="AH1710" s="217" t="s">
        <v>4179</v>
      </c>
      <c r="AI1710" s="214" t="str">
        <f>IF(AND($AH1710&lt;&gt;"",AH1710 =AH1706),"Gleich","")</f>
        <v>Gleich</v>
      </c>
      <c r="AJ1710" s="214" t="str">
        <f>IF(AND($AH1710&lt;&gt;"",A1710 =A1706),"Gleich","")</f>
        <v/>
      </c>
      <c r="AK1710" s="214" t="str">
        <f>IF(AND($AH1710&lt;&gt;"",D1710 =D1706),"Gleich","")</f>
        <v/>
      </c>
      <c r="AL1710" s="214" t="str">
        <f>IF(AND($AH1710&lt;&gt;"",E1710 =E1706),"Gleich","")</f>
        <v>Gleich</v>
      </c>
      <c r="AM1710" s="214" t="str">
        <f>IF(AND($AH1710&lt;&gt;"",F1710 =F1706),"Gleich","")</f>
        <v/>
      </c>
      <c r="AN1710" s="213" t="str">
        <f>IF(ISERROR(SEARCH("K1",A1710)),"","20"&amp;MID(A1710,SEARCH("K1",A1710)+1,2))</f>
        <v>2013</v>
      </c>
      <c r="AO1710" s="213" t="str">
        <f>IF(ISERROR(SEARCH("erstmals 201",E1710)),"",MID(E1710,SEARCH("erstmals ",E1710)+9,4))</f>
        <v>2013</v>
      </c>
      <c r="AP1710" s="213" t="str">
        <f>IF(R1710="x","2010",IF(S1710="x","2011",IF(T1710="x","2012","")))</f>
        <v/>
      </c>
      <c r="AQ1710" s="215" t="str">
        <f>IF(OR(AH1710&lt;&gt;AN1710,AH1710&lt;&gt;AO1710,AH1710&lt;&gt;AP1710),"DIFF","")</f>
        <v>DIFF</v>
      </c>
      <c r="AR1710" s="216" t="str">
        <f>IF(A1710="","",IF(ISERROR(SEARCH("K1",A1710)),A1710,LEFT(A1710,SEARCH("K1",A1710)+1)&amp;RIGHT(AH1710,1)&amp;MID(A1710,SEARCH("K1",A1710)+3,14)))</f>
        <v>BiK83a2K12--06</v>
      </c>
      <c r="AS1710" s="215" t="str">
        <f>IF(OR(A1710&lt;&gt;AR1710),"DIFF","")</f>
        <v>DIFF</v>
      </c>
      <c r="AT1710">
        <f>LEN(AR1710)</f>
        <v>14</v>
      </c>
      <c r="AU1710" s="216" t="str">
        <f>IF(D1710="","",IF(OR(A1710="",ISERROR(SEARCH("erstmals 201",D1710))),D1710,LEFT(D1710,SEARCH("erstmals 201",D1710)+8) &amp; AH1710 &amp; MID(D1710,SEARCH("erstmals 201",D1710)+13,255)))</f>
        <v>0,5-5 MW, Bonusregeln a2 und K erstmals 2012</v>
      </c>
      <c r="AV1710" s="215" t="str">
        <f>IF(OR(D1710&lt;&gt;AU1710),"DIFF","")</f>
        <v>DIFF</v>
      </c>
      <c r="AW1710" s="216" t="str">
        <f>IF(E1710="","",IF(OR(E1710="",ISERROR(SEARCH("erstmals 201",E1710))),E1710,LEFT(E1710,SEARCH("erstmals 201",E1710)+8) &amp; AH1710 &amp; MID(E1710,SEARCH("erstmals 201",E1710)+13,255)))</f>
        <v>Anteil KWK, erstmals 2012</v>
      </c>
      <c r="AX1710" s="215" t="str">
        <f>IF(OR(E1710&lt;&gt;AW1710),"DIFF","")</f>
        <v>DIFF</v>
      </c>
      <c r="AY1710" t="str">
        <f>IF(AH1710="2011","x",IF(AH1710="2012","","" &amp; S1710))</f>
        <v/>
      </c>
      <c r="AZ1710" t="str">
        <f>IF(AH1710="2012","x",IF(AH1710="2011","","" &amp; T1710))</f>
        <v>x</v>
      </c>
    </row>
    <row r="1711" spans="1:52" s="178" customFormat="1" x14ac:dyDescent="0.25">
      <c r="A1711" s="615" t="s">
        <v>2588</v>
      </c>
      <c r="B1711" s="372" t="s">
        <v>5548</v>
      </c>
      <c r="C1711" s="372" t="s">
        <v>1296</v>
      </c>
      <c r="D1711" s="375" t="s">
        <v>6803</v>
      </c>
      <c r="E1711" s="373" t="s">
        <v>2827</v>
      </c>
      <c r="F1711" s="459">
        <f t="shared" si="772"/>
        <v>17.52</v>
      </c>
      <c r="G1711" s="535">
        <f t="shared" si="773"/>
        <v>17.52</v>
      </c>
      <c r="H1711" s="493">
        <f t="shared" si="774"/>
        <v>14.02</v>
      </c>
      <c r="I1711" s="711"/>
      <c r="J1711" s="669" t="s">
        <v>5805</v>
      </c>
      <c r="K1711" s="15"/>
      <c r="L1711"/>
      <c r="M1711" s="49">
        <f t="shared" si="775"/>
        <v>17.52</v>
      </c>
      <c r="N1711" s="41">
        <v>8.64</v>
      </c>
      <c r="O1711" s="391"/>
      <c r="P1711" s="392" t="s">
        <v>2828</v>
      </c>
      <c r="Q1711" s="392"/>
      <c r="R1711" s="392">
        <v>2013</v>
      </c>
      <c r="S1711" s="392"/>
      <c r="T1711" s="674">
        <f t="shared" si="776"/>
        <v>2.88</v>
      </c>
      <c r="U1711" s="75"/>
      <c r="V1711" s="65"/>
      <c r="W1711" t="s">
        <v>1017</v>
      </c>
      <c r="X1711"/>
      <c r="Y1711" s="65"/>
      <c r="Z1711" s="65"/>
      <c r="AA1711" s="65"/>
      <c r="AB1711" s="65"/>
      <c r="AC1711" s="65"/>
      <c r="AD1711" s="91"/>
      <c r="AE1711" s="124" t="s">
        <v>1017</v>
      </c>
      <c r="AF1711" s="65"/>
      <c r="AG1711" s="91"/>
      <c r="AH1711" s="217" t="s">
        <v>4179</v>
      </c>
      <c r="AI1711" s="214" t="str">
        <f>IF(AND($AH1711&lt;&gt;"",AH1711 =AH1710),"Gleich","")</f>
        <v>Gleich</v>
      </c>
      <c r="AJ1711" s="214" t="str">
        <f>IF(AND($AH1711&lt;&gt;"",A1711 =A1710),"Gleich","")</f>
        <v/>
      </c>
      <c r="AK1711" s="214" t="str">
        <f t="shared" ref="AK1711:AM1712" si="778">IF(AND($AH1711&lt;&gt;"",D1711 =D1710),"Gleich","")</f>
        <v/>
      </c>
      <c r="AL1711" s="214" t="str">
        <f t="shared" si="778"/>
        <v>Gleich</v>
      </c>
      <c r="AM1711" s="214" t="str">
        <f t="shared" si="778"/>
        <v/>
      </c>
      <c r="AN1711" s="213" t="str">
        <f>IF(ISERROR(SEARCH("K1",A1711)),"","20"&amp;MID(A1711,SEARCH("K1",A1711)+1,2))</f>
        <v>2013</v>
      </c>
      <c r="AO1711" s="213" t="str">
        <f>IF(ISERROR(SEARCH("erstmals 201",E1711)),"",MID(E1711,SEARCH("erstmals ",E1711)+9,4))</f>
        <v>2013</v>
      </c>
      <c r="AP1711" s="213" t="str">
        <f>IF(R1711="x","2010",IF(S1711="x","2011",IF(T1711="x","2012","")))</f>
        <v/>
      </c>
      <c r="AQ1711" s="215" t="str">
        <f>IF(OR(AH1711&lt;&gt;AN1711,AH1711&lt;&gt;AO1711,AH1711&lt;&gt;AP1711),"DIFF","")</f>
        <v>DIFF</v>
      </c>
      <c r="AR1711" s="216" t="str">
        <f>IF(A1711="","",IF(ISERROR(SEARCH("K1",A1711)),A1711,LEFT(A1711,SEARCH("K1",A1711)+1)&amp;RIGHT(AH1711,1)&amp;MID(A1711,SEARCH("K1",A1711)+3,14)))</f>
        <v>BiK83a2bK12-06</v>
      </c>
      <c r="AS1711" s="215" t="str">
        <f>IF(OR(A1711&lt;&gt;AR1711),"DIFF","")</f>
        <v>DIFF</v>
      </c>
      <c r="AT1711">
        <f>LEN(AR1711)</f>
        <v>14</v>
      </c>
      <c r="AU1711" s="216" t="str">
        <f>IF(D1711="","",IF(OR(A1711="",ISERROR(SEARCH("erstmals 201",D1711))),D1711,LEFT(D1711,SEARCH("erstmals 201",D1711)+8) &amp; AH1711 &amp; MID(D1711,SEARCH("erstmals 201",D1711)+13,255)))</f>
        <v>0,5-5 MW, Bonusregeln a2, b und K erstmals 2012</v>
      </c>
      <c r="AV1711" s="215" t="str">
        <f>IF(OR(D1711&lt;&gt;AU1711),"DIFF","")</f>
        <v>DIFF</v>
      </c>
      <c r="AW1711" s="216" t="str">
        <f>IF(E1711="","",IF(OR(E1711="",ISERROR(SEARCH("erstmals 201",E1711))),E1711,LEFT(E1711,SEARCH("erstmals 201",E1711)+8) &amp; AH1711 &amp; MID(E1711,SEARCH("erstmals 201",E1711)+13,255)))</f>
        <v>Anteil KWK, erstmals 2012</v>
      </c>
      <c r="AX1711" s="215" t="str">
        <f>IF(OR(E1711&lt;&gt;AW1711),"DIFF","")</f>
        <v>DIFF</v>
      </c>
      <c r="AY1711" t="str">
        <f>IF(AH1711="2011","x",IF(AH1711="2012","","" &amp; S1711))</f>
        <v/>
      </c>
      <c r="AZ1711" t="str">
        <f>IF(AH1711="2012","x",IF(AH1711="2011","","" &amp; T1711))</f>
        <v>x</v>
      </c>
    </row>
    <row r="1712" spans="1:52" s="178" customFormat="1" x14ac:dyDescent="0.25">
      <c r="A1712" s="615" t="s">
        <v>5616</v>
      </c>
      <c r="B1712" s="372" t="s">
        <v>5548</v>
      </c>
      <c r="C1712" s="372" t="s">
        <v>1296</v>
      </c>
      <c r="D1712" s="375" t="s">
        <v>7012</v>
      </c>
      <c r="E1712" s="373" t="s">
        <v>314</v>
      </c>
      <c r="F1712" s="459">
        <f t="shared" si="772"/>
        <v>25.520000000000003</v>
      </c>
      <c r="G1712" s="535">
        <f t="shared" si="773"/>
        <v>25.520000000000003</v>
      </c>
      <c r="H1712" s="493">
        <f t="shared" si="774"/>
        <v>20.420000000000002</v>
      </c>
      <c r="I1712" s="711"/>
      <c r="J1712" s="669" t="s">
        <v>5805</v>
      </c>
      <c r="K1712" s="15"/>
      <c r="L1712"/>
      <c r="M1712" s="49">
        <f t="shared" si="775"/>
        <v>25.520000000000003</v>
      </c>
      <c r="N1712" s="41">
        <v>11.67</v>
      </c>
      <c r="O1712" s="391"/>
      <c r="P1712" s="392" t="s">
        <v>2828</v>
      </c>
      <c r="Q1712" s="392"/>
      <c r="R1712" s="392">
        <v>2014</v>
      </c>
      <c r="S1712" s="392"/>
      <c r="T1712" s="674">
        <f t="shared" si="776"/>
        <v>2.85</v>
      </c>
      <c r="U1712" s="179"/>
      <c r="W1712" s="180"/>
      <c r="X1712" s="180"/>
      <c r="Z1712" s="178" t="s">
        <v>1017</v>
      </c>
      <c r="AA1712" s="180"/>
      <c r="AD1712" s="201"/>
      <c r="AE1712" s="200"/>
      <c r="AF1712" s="180"/>
      <c r="AG1712" s="201"/>
      <c r="AH1712" s="217" t="s">
        <v>4179</v>
      </c>
      <c r="AI1712" s="214" t="str">
        <f>IF(AND($AH1712&lt;&gt;"",AH1712 =AH1711),"Gleich","")</f>
        <v>Gleich</v>
      </c>
      <c r="AJ1712" s="214" t="str">
        <f>IF(AND($AH1712&lt;&gt;"",A1712 =A1711),"Gleich","")</f>
        <v/>
      </c>
      <c r="AK1712" s="214" t="str">
        <f t="shared" si="778"/>
        <v/>
      </c>
      <c r="AL1712" s="214" t="str">
        <f t="shared" si="778"/>
        <v/>
      </c>
      <c r="AM1712" s="214" t="str">
        <f t="shared" si="778"/>
        <v/>
      </c>
      <c r="AN1712" s="213" t="str">
        <f>IF(ISERROR(SEARCH("K1",A1712)),"","20"&amp;MID(A1712,SEARCH("K1",A1712)+1,2))</f>
        <v>2014</v>
      </c>
      <c r="AO1712" s="213" t="str">
        <f>IF(ISERROR(SEARCH("erstmals 201",E1712)),"",MID(E1712,SEARCH("erstmals ",E1712)+9,4))</f>
        <v>2014</v>
      </c>
      <c r="AP1712" s="213" t="str">
        <f>IF(R1712="x","2010",IF(S1712="x","2011",IF(T1712="x","2012","")))</f>
        <v/>
      </c>
      <c r="AQ1712" s="215" t="str">
        <f>IF(OR(AH1712&lt;&gt;AN1712,AH1712&lt;&gt;AO1712,AH1712&lt;&gt;AP1712),"DIFF","")</f>
        <v>DIFF</v>
      </c>
      <c r="AR1712" s="216" t="str">
        <f>IF(A1712="","",IF(ISERROR(SEARCH("K1",A1712)),A1712,LEFT(A1712,SEARCH("K1",A1712)+1)&amp;RIGHT(AH1712,1)&amp;MID(A1712,SEARCH("K1",A1712)+3,14)))</f>
        <v>BiK81M1K12--06</v>
      </c>
      <c r="AS1712" s="215" t="str">
        <f>IF(OR(A1712&lt;&gt;AR1712),"DIFF","")</f>
        <v>DIFF</v>
      </c>
      <c r="AT1712">
        <f>LEN(AR1712)</f>
        <v>14</v>
      </c>
      <c r="AU1712" s="216" t="str">
        <f>IF(D1712="","",IF(OR(A1712="",ISERROR(SEARCH("erstmals 201",D1712))),D1712,LEFT(D1712,SEARCH("erstmals 201",D1712)+8) &amp; AH1712 &amp; MID(D1712,SEARCH("erstmals 201",D1712)+13,255)))</f>
        <v>0-0,15 MW, Bonusregeln M1, K erstmals 2012</v>
      </c>
      <c r="AV1712" s="215" t="str">
        <f>IF(OR(D1712&lt;&gt;AU1712),"DIFF","")</f>
        <v>DIFF</v>
      </c>
      <c r="AW1712" s="216" t="str">
        <f>IF(E1712="","",IF(OR(E1712="",ISERROR(SEARCH("erstmals 201",E1712))),E1712,LEFT(E1712,SEARCH("erstmals 201",E1712)+8) &amp; AH1712 &amp; MID(E1712,SEARCH("erstmals 201",E1712)+13,255)))</f>
        <v>Anteil KWK, erstmals 2012</v>
      </c>
      <c r="AX1712" s="215" t="str">
        <f>IF(OR(E1712&lt;&gt;AW1712),"DIFF","")</f>
        <v>DIFF</v>
      </c>
      <c r="AY1712" t="str">
        <f>IF(AH1712="2011","x",IF(AH1712="2012","","" &amp; S1712))</f>
        <v/>
      </c>
      <c r="AZ1712" t="str">
        <f>IF(AH1712="2012","x",IF(AH1712="2011","","" &amp; T1712))</f>
        <v>x</v>
      </c>
    </row>
    <row r="1713" spans="1:52" s="178" customFormat="1" x14ac:dyDescent="0.25">
      <c r="A1713" s="615" t="s">
        <v>5810</v>
      </c>
      <c r="B1713" s="372" t="s">
        <v>5548</v>
      </c>
      <c r="C1713" s="372" t="s">
        <v>1296</v>
      </c>
      <c r="D1713" s="375" t="s">
        <v>5812</v>
      </c>
      <c r="E1713" s="373" t="s">
        <v>314</v>
      </c>
      <c r="F1713" s="459">
        <f t="shared" si="772"/>
        <v>26.520000000000003</v>
      </c>
      <c r="G1713" s="535">
        <f t="shared" si="773"/>
        <v>26.520000000000003</v>
      </c>
      <c r="H1713" s="493">
        <f t="shared" si="774"/>
        <v>21.22</v>
      </c>
      <c r="I1713" s="711"/>
      <c r="J1713" s="669">
        <v>42644</v>
      </c>
      <c r="K1713" s="15"/>
      <c r="L1713"/>
      <c r="M1713" s="49">
        <f t="shared" si="775"/>
        <v>26.520000000000003</v>
      </c>
      <c r="N1713" s="41">
        <v>11.67</v>
      </c>
      <c r="O1713" s="391"/>
      <c r="P1713" s="392" t="s">
        <v>2828</v>
      </c>
      <c r="Q1713" s="392"/>
      <c r="R1713" s="392">
        <v>2014</v>
      </c>
      <c r="S1713" s="392"/>
      <c r="T1713" s="674">
        <f t="shared" si="776"/>
        <v>2.85</v>
      </c>
      <c r="U1713" s="179" t="s">
        <v>1017</v>
      </c>
      <c r="W1713" s="180"/>
      <c r="X1713" s="180"/>
      <c r="Z1713" s="178" t="s">
        <v>1017</v>
      </c>
      <c r="AA1713" s="180"/>
      <c r="AD1713" s="201"/>
      <c r="AE1713" s="200"/>
      <c r="AF1713" s="180"/>
      <c r="AG1713" s="201"/>
      <c r="AH1713" s="217"/>
      <c r="AI1713" s="214"/>
      <c r="AJ1713" s="214"/>
      <c r="AK1713" s="214"/>
      <c r="AL1713" s="214"/>
      <c r="AM1713" s="214"/>
      <c r="AN1713" s="213"/>
      <c r="AO1713" s="213"/>
      <c r="AP1713" s="213"/>
      <c r="AQ1713" s="215"/>
      <c r="AR1713" s="216"/>
      <c r="AS1713" s="215"/>
      <c r="AT1713"/>
      <c r="AU1713" s="216"/>
      <c r="AV1713" s="215"/>
      <c r="AW1713" s="216"/>
      <c r="AX1713" s="215"/>
      <c r="AY1713"/>
      <c r="AZ1713"/>
    </row>
    <row r="1714" spans="1:52" s="178" customFormat="1" x14ac:dyDescent="0.25">
      <c r="A1714" s="615" t="s">
        <v>5615</v>
      </c>
      <c r="B1714" s="372" t="s">
        <v>5548</v>
      </c>
      <c r="C1714" s="372" t="s">
        <v>1296</v>
      </c>
      <c r="D1714" s="375" t="s">
        <v>7231</v>
      </c>
      <c r="E1714" s="373" t="s">
        <v>314</v>
      </c>
      <c r="F1714" s="459">
        <f t="shared" si="772"/>
        <v>20.450000000000003</v>
      </c>
      <c r="G1714" s="535">
        <f t="shared" si="773"/>
        <v>20.450000000000003</v>
      </c>
      <c r="H1714" s="493">
        <f t="shared" si="774"/>
        <v>16.36</v>
      </c>
      <c r="I1714" s="711"/>
      <c r="J1714" s="669" t="s">
        <v>5805</v>
      </c>
      <c r="K1714" s="15"/>
      <c r="L1714"/>
      <c r="M1714" s="49">
        <f t="shared" si="775"/>
        <v>20.450000000000003</v>
      </c>
      <c r="N1714" s="41">
        <v>9.6</v>
      </c>
      <c r="O1714" s="391"/>
      <c r="P1714" s="392" t="s">
        <v>2828</v>
      </c>
      <c r="Q1714" s="392"/>
      <c r="R1714" s="392">
        <v>2014</v>
      </c>
      <c r="S1714" s="392"/>
      <c r="T1714" s="674">
        <f t="shared" si="776"/>
        <v>2.85</v>
      </c>
      <c r="U1714" s="179"/>
      <c r="W1714" s="180"/>
      <c r="X1714" s="180"/>
      <c r="Z1714" s="180"/>
      <c r="AA1714" s="178" t="s">
        <v>1017</v>
      </c>
      <c r="AC1714" s="180"/>
      <c r="AD1714" s="182"/>
      <c r="AE1714" s="200"/>
      <c r="AF1714" s="180"/>
      <c r="AG1714" s="201"/>
      <c r="AH1714" s="217" t="s">
        <v>4179</v>
      </c>
      <c r="AI1714" s="214" t="str">
        <f>IF(AND($AH1714&lt;&gt;"",AH1714 =AH1711),"Gleich","")</f>
        <v>Gleich</v>
      </c>
      <c r="AJ1714" s="214" t="str">
        <f>IF(AND($AH1714&lt;&gt;"",A1714 =A1711),"Gleich","")</f>
        <v/>
      </c>
      <c r="AK1714" s="214" t="str">
        <f>IF(AND($AH1714&lt;&gt;"",D1714 =D1711),"Gleich","")</f>
        <v/>
      </c>
      <c r="AL1714" s="214" t="str">
        <f>IF(AND($AH1714&lt;&gt;"",E1714 =E1711),"Gleich","")</f>
        <v/>
      </c>
      <c r="AM1714" s="214" t="str">
        <f>IF(AND($AH1714&lt;&gt;"",F1714 =F1711),"Gleich","")</f>
        <v/>
      </c>
      <c r="AN1714" s="213" t="str">
        <f>IF(ISERROR(SEARCH("K1",A1714)),"","20"&amp;MID(A1714,SEARCH("K1",A1714)+1,2))</f>
        <v>2014</v>
      </c>
      <c r="AO1714" s="213" t="str">
        <f>IF(ISERROR(SEARCH("erstmals 201",E1714)),"",MID(E1714,SEARCH("erstmals ",E1714)+9,4))</f>
        <v>2014</v>
      </c>
      <c r="AP1714" s="213" t="str">
        <f>IF(R1714="x","2010",IF(S1714="x","2011",IF(T1714="x","2012","")))</f>
        <v/>
      </c>
      <c r="AQ1714" s="215" t="str">
        <f>IF(OR(AH1714&lt;&gt;AN1714,AH1714&lt;&gt;AO1714,AH1714&lt;&gt;AP1714),"DIFF","")</f>
        <v>DIFF</v>
      </c>
      <c r="AR1714" s="216" t="str">
        <f>IF(A1714="","",IF(ISERROR(SEARCH("K1",A1714)),A1714,LEFT(A1714,SEARCH("K1",A1714)+1)&amp;RIGHT(AH1714,1)&amp;MID(A1714,SEARCH("K1",A1714)+3,14)))</f>
        <v>BiK82M2K12--06</v>
      </c>
      <c r="AS1714" s="215" t="str">
        <f>IF(OR(A1714&lt;&gt;AR1714),"DIFF","")</f>
        <v>DIFF</v>
      </c>
      <c r="AT1714">
        <f>LEN(AR1714)</f>
        <v>14</v>
      </c>
      <c r="AU1714" s="216" t="str">
        <f>IF(D1714="","",IF(OR(A1714="",ISERROR(SEARCH("erstmals 201",D1714))),D1714,LEFT(D1714,SEARCH("erstmals 201",D1714)+8) &amp; AH1714 &amp; MID(D1714,SEARCH("erstmals 201",D1714)+13,255)))</f>
        <v>0,15-0,5 MW, Bonusregeln M2, K erstmals 2012</v>
      </c>
      <c r="AV1714" s="215" t="str">
        <f>IF(OR(D1714&lt;&gt;AU1714),"DIFF","")</f>
        <v>DIFF</v>
      </c>
      <c r="AW1714" s="216" t="str">
        <f>IF(E1714="","",IF(OR(E1714="",ISERROR(SEARCH("erstmals 201",E1714))),E1714,LEFT(E1714,SEARCH("erstmals 201",E1714)+8) &amp; AH1714 &amp; MID(E1714,SEARCH("erstmals 201",E1714)+13,255)))</f>
        <v>Anteil KWK, erstmals 2012</v>
      </c>
      <c r="AX1714" s="215" t="str">
        <f>IF(OR(E1714&lt;&gt;AW1714),"DIFF","")</f>
        <v>DIFF</v>
      </c>
      <c r="AY1714" t="str">
        <f>IF(AH1714="2011","x",IF(AH1714="2012","","" &amp; S1714))</f>
        <v/>
      </c>
      <c r="AZ1714" t="str">
        <f>IF(AH1714="2012","x",IF(AH1714="2011","","" &amp; T1714))</f>
        <v>x</v>
      </c>
    </row>
    <row r="1715" spans="1:52" s="178" customFormat="1" x14ac:dyDescent="0.25">
      <c r="A1715" s="615" t="s">
        <v>5811</v>
      </c>
      <c r="B1715" s="372" t="s">
        <v>5548</v>
      </c>
      <c r="C1715" s="372" t="s">
        <v>1296</v>
      </c>
      <c r="D1715" s="375" t="s">
        <v>5813</v>
      </c>
      <c r="E1715" s="373" t="s">
        <v>314</v>
      </c>
      <c r="F1715" s="459">
        <f t="shared" si="772"/>
        <v>21.450000000000003</v>
      </c>
      <c r="G1715" s="535">
        <f t="shared" si="773"/>
        <v>21.450000000000003</v>
      </c>
      <c r="H1715" s="493">
        <f t="shared" si="774"/>
        <v>17.16</v>
      </c>
      <c r="I1715" s="711"/>
      <c r="J1715" s="669">
        <v>42644</v>
      </c>
      <c r="K1715" s="15"/>
      <c r="L1715"/>
      <c r="M1715" s="49">
        <f t="shared" si="775"/>
        <v>21.450000000000003</v>
      </c>
      <c r="N1715" s="41">
        <v>9.6</v>
      </c>
      <c r="O1715" s="391"/>
      <c r="P1715" s="392" t="s">
        <v>2828</v>
      </c>
      <c r="Q1715" s="392"/>
      <c r="R1715" s="392">
        <v>2014</v>
      </c>
      <c r="S1715" s="392"/>
      <c r="T1715" s="674">
        <f t="shared" si="776"/>
        <v>2.85</v>
      </c>
      <c r="U1715" s="179" t="s">
        <v>1017</v>
      </c>
      <c r="W1715" s="180"/>
      <c r="X1715" s="180"/>
      <c r="Z1715" s="180"/>
      <c r="AA1715" s="178" t="s">
        <v>1017</v>
      </c>
      <c r="AC1715" s="180"/>
      <c r="AD1715" s="182"/>
      <c r="AE1715" s="200"/>
      <c r="AF1715" s="180"/>
      <c r="AG1715" s="201"/>
      <c r="AH1715" s="217"/>
      <c r="AI1715" s="214"/>
      <c r="AJ1715" s="214"/>
      <c r="AK1715" s="214"/>
      <c r="AL1715" s="214"/>
      <c r="AM1715" s="214"/>
      <c r="AN1715" s="213"/>
      <c r="AO1715" s="213"/>
      <c r="AP1715" s="213"/>
      <c r="AQ1715" s="215"/>
      <c r="AR1715" s="216"/>
      <c r="AS1715" s="215"/>
      <c r="AT1715"/>
      <c r="AU1715" s="216"/>
      <c r="AV1715" s="215"/>
      <c r="AW1715" s="216"/>
      <c r="AX1715" s="215"/>
      <c r="AY1715"/>
      <c r="AZ1715"/>
    </row>
    <row r="1716" spans="1:52" s="178" customFormat="1" x14ac:dyDescent="0.25">
      <c r="A1716" s="615" t="s">
        <v>6616</v>
      </c>
      <c r="B1716" s="372" t="s">
        <v>5548</v>
      </c>
      <c r="C1716" s="372" t="s">
        <v>1296</v>
      </c>
      <c r="D1716" s="375" t="s">
        <v>7013</v>
      </c>
      <c r="E1716" s="375" t="s">
        <v>5625</v>
      </c>
      <c r="F1716" s="459">
        <f t="shared" si="772"/>
        <v>23.490000000000002</v>
      </c>
      <c r="G1716" s="544">
        <f t="shared" si="773"/>
        <v>23.490000000000002</v>
      </c>
      <c r="H1716" s="500">
        <f t="shared" si="774"/>
        <v>18.79</v>
      </c>
      <c r="I1716" s="711"/>
      <c r="J1716" s="669">
        <v>43951</v>
      </c>
      <c r="K1716" s="769"/>
      <c r="L1716" s="774"/>
      <c r="M1716" s="49">
        <f t="shared" si="775"/>
        <v>23.490000000000002</v>
      </c>
      <c r="N1716" s="41">
        <v>11.67</v>
      </c>
      <c r="O1716" s="391"/>
      <c r="P1716" s="392" t="s">
        <v>2828</v>
      </c>
      <c r="Q1716" s="392"/>
      <c r="R1716" s="392">
        <v>2015</v>
      </c>
      <c r="S1716" s="392"/>
      <c r="T1716" s="674">
        <v>2.82</v>
      </c>
      <c r="U1716" s="179"/>
      <c r="V1716" s="774"/>
      <c r="W1716" s="775"/>
      <c r="X1716" s="775"/>
      <c r="Y1716" s="774" t="s">
        <v>1017</v>
      </c>
      <c r="Z1716" s="774"/>
      <c r="AA1716" s="775"/>
      <c r="AB1716" s="774"/>
      <c r="AC1716" s="774"/>
      <c r="AD1716" s="777"/>
      <c r="AE1716" s="778" t="s">
        <v>1017</v>
      </c>
      <c r="AF1716" s="180"/>
      <c r="AG1716" s="201"/>
      <c r="AH1716" s="773"/>
      <c r="AI1716" s="771"/>
      <c r="AJ1716" s="771"/>
      <c r="AK1716" s="771"/>
      <c r="AL1716" s="771"/>
      <c r="AM1716" s="771"/>
      <c r="AN1716" s="770"/>
      <c r="AO1716" s="770"/>
      <c r="AP1716" s="770"/>
      <c r="AQ1716" s="772"/>
      <c r="AR1716" s="216"/>
      <c r="AS1716" s="772"/>
      <c r="AT1716" s="774"/>
      <c r="AU1716" s="216"/>
      <c r="AV1716" s="772"/>
      <c r="AW1716" s="216"/>
      <c r="AX1716" s="772"/>
      <c r="AY1716" s="774"/>
      <c r="AZ1716" s="774"/>
    </row>
    <row r="1717" spans="1:52" s="178" customFormat="1" x14ac:dyDescent="0.25">
      <c r="A1717" s="615" t="s">
        <v>5787</v>
      </c>
      <c r="B1717" s="372" t="s">
        <v>5548</v>
      </c>
      <c r="C1717" s="372" t="s">
        <v>1296</v>
      </c>
      <c r="D1717" s="375" t="s">
        <v>7014</v>
      </c>
      <c r="E1717" s="373" t="s">
        <v>5625</v>
      </c>
      <c r="F1717" s="459">
        <f t="shared" si="772"/>
        <v>24.490000000000002</v>
      </c>
      <c r="G1717" s="535">
        <f t="shared" si="773"/>
        <v>24.490000000000002</v>
      </c>
      <c r="H1717" s="493">
        <f t="shared" si="774"/>
        <v>19.59</v>
      </c>
      <c r="I1717" s="711"/>
      <c r="J1717" s="669" t="s">
        <v>5805</v>
      </c>
      <c r="K1717" s="15"/>
      <c r="L1717"/>
      <c r="M1717" s="49">
        <f t="shared" si="775"/>
        <v>24.490000000000002</v>
      </c>
      <c r="N1717" s="41">
        <v>11.67</v>
      </c>
      <c r="O1717" s="391"/>
      <c r="P1717" s="392" t="s">
        <v>2828</v>
      </c>
      <c r="Q1717" s="392"/>
      <c r="R1717" s="392">
        <v>2015</v>
      </c>
      <c r="S1717" s="392"/>
      <c r="T1717" s="674">
        <f>ROUND($Q$1310*0.99^($R1717-$Q$1307),2)</f>
        <v>2.82</v>
      </c>
      <c r="U1717" s="185" t="s">
        <v>1017</v>
      </c>
      <c r="V1717" s="184"/>
      <c r="W1717" s="180"/>
      <c r="X1717" s="180"/>
      <c r="Y1717" s="184" t="s">
        <v>1017</v>
      </c>
      <c r="Z1717" s="184"/>
      <c r="AA1717" s="180"/>
      <c r="AB1717" s="184"/>
      <c r="AC1717" s="184"/>
      <c r="AD1717" s="201"/>
      <c r="AE1717" s="181" t="s">
        <v>1017</v>
      </c>
      <c r="AF1717" s="180"/>
      <c r="AG1717" s="201"/>
      <c r="AH1717" s="217" t="s">
        <v>4179</v>
      </c>
      <c r="AI1717" s="214" t="str">
        <f>IF(AND($AH1717&lt;&gt;"",AH1717 =AH1712),"Gleich","")</f>
        <v>Gleich</v>
      </c>
      <c r="AJ1717" s="214" t="str">
        <f>IF(AND($AH1717&lt;&gt;"",A1717 =A1712),"Gleich","")</f>
        <v/>
      </c>
      <c r="AK1717" s="214" t="str">
        <f>IF(AND($AH1717&lt;&gt;"",D1717 =D1712),"Gleich","")</f>
        <v/>
      </c>
      <c r="AL1717" s="214" t="str">
        <f>IF(AND($AH1717&lt;&gt;"",E1717 =E1712),"Gleich","")</f>
        <v/>
      </c>
      <c r="AM1717" s="214" t="str">
        <f>IF(AND($AH1717&lt;&gt;"",F1717 =F1712),"Gleich","")</f>
        <v/>
      </c>
      <c r="AN1717" s="213" t="str">
        <f>IF(ISERROR(SEARCH("K1",A1717)),"","20"&amp;MID(A1717,SEARCH("K1",A1717)+1,2))</f>
        <v>2015</v>
      </c>
      <c r="AO1717" s="213" t="str">
        <f>IF(ISERROR(SEARCH("erstmals 201",E1717)),"",MID(E1717,SEARCH("erstmals ",E1717)+9,4))</f>
        <v>2015</v>
      </c>
      <c r="AP1717" s="213" t="str">
        <f>IF(R1717="x","2010",IF(S1717="x","2011",IF(T1717="x","2012","")))</f>
        <v/>
      </c>
      <c r="AQ1717" s="215" t="str">
        <f>IF(OR(AH1717&lt;&gt;AN1717,AH1717&lt;&gt;AO1717,AH1717&lt;&gt;AP1717),"DIFF","")</f>
        <v>DIFF</v>
      </c>
      <c r="AR1717" s="216" t="str">
        <f>IF(A1717="","",IF(ISERROR(SEARCH("K1",A1717)),A1717,LEFT(A1717,SEARCH("K1",A1717)+1)&amp;RIGHT(AH1717,1)&amp;MID(A1717,SEARCH("K1",A1717)+3,14)))</f>
        <v>BiK81GbK12y-06</v>
      </c>
      <c r="AS1717" s="215" t="str">
        <f>IF(OR(A1717&lt;&gt;AR1717),"DIFF","")</f>
        <v>DIFF</v>
      </c>
      <c r="AT1717">
        <f>LEN(AR1717)</f>
        <v>14</v>
      </c>
      <c r="AU1717" s="216" t="str">
        <f>IF(D1717="","",IF(OR(A1717="",ISERROR(SEARCH("erstmals 201",D1717))),D1717,LEFT(D1717,SEARCH("erstmals 201",D1717)+8) &amp; AH1717 &amp; MID(D1717,SEARCH("erstmals 201",D1717)+13,255)))</f>
        <v>0-0,15 MW, Bonusregeln G, y, b und K erstmals 2012</v>
      </c>
      <c r="AV1717" s="215" t="str">
        <f>IF(OR(D1717&lt;&gt;AU1717),"DIFF","")</f>
        <v>DIFF</v>
      </c>
      <c r="AW1717" s="216" t="str">
        <f>IF(E1717="","",IF(OR(E1717="",ISERROR(SEARCH("erstmals 201",E1717))),E1717,LEFT(E1717,SEARCH("erstmals 201",E1717)+8) &amp; AH1717 &amp; MID(E1717,SEARCH("erstmals 201",E1717)+13,255)))</f>
        <v>Anteil KWK, erstmals 2012</v>
      </c>
      <c r="AX1717" s="215" t="str">
        <f>IF(OR(E1717&lt;&gt;AW1717),"DIFF","")</f>
        <v>DIFF</v>
      </c>
      <c r="AY1717" t="str">
        <f>IF(AH1717="2011","x",IF(AH1717="2012","","" &amp; S1717))</f>
        <v/>
      </c>
      <c r="AZ1717" t="str">
        <f>IF(AH1717="2012","x",IF(AH1717="2011","","" &amp; T1717))</f>
        <v>x</v>
      </c>
    </row>
    <row r="1718" spans="1:52" s="178" customFormat="1" x14ac:dyDescent="0.25">
      <c r="A1718" s="615" t="s">
        <v>6617</v>
      </c>
      <c r="B1718" s="372" t="s">
        <v>5548</v>
      </c>
      <c r="C1718" s="372" t="s">
        <v>1296</v>
      </c>
      <c r="D1718" s="375" t="s">
        <v>7232</v>
      </c>
      <c r="E1718" s="375" t="s">
        <v>5625</v>
      </c>
      <c r="F1718" s="459">
        <f t="shared" si="772"/>
        <v>21.42</v>
      </c>
      <c r="G1718" s="544">
        <f t="shared" si="773"/>
        <v>21.42</v>
      </c>
      <c r="H1718" s="500">
        <f t="shared" si="774"/>
        <v>17.14</v>
      </c>
      <c r="I1718" s="711"/>
      <c r="J1718" s="669">
        <v>43951</v>
      </c>
      <c r="K1718" s="769"/>
      <c r="L1718" s="774"/>
      <c r="M1718" s="49">
        <f t="shared" si="775"/>
        <v>21.42</v>
      </c>
      <c r="N1718" s="41">
        <v>9.6</v>
      </c>
      <c r="O1718" s="391"/>
      <c r="P1718" s="392" t="s">
        <v>2828</v>
      </c>
      <c r="Q1718" s="392"/>
      <c r="R1718" s="392">
        <v>2015</v>
      </c>
      <c r="S1718" s="392"/>
      <c r="T1718" s="674">
        <v>2.82</v>
      </c>
      <c r="U1718" s="179"/>
      <c r="V1718" s="774"/>
      <c r="W1718" s="775"/>
      <c r="X1718" s="775"/>
      <c r="Y1718" s="774" t="s">
        <v>1017</v>
      </c>
      <c r="Z1718" s="775"/>
      <c r="AA1718" s="774"/>
      <c r="AB1718" s="774"/>
      <c r="AC1718" s="775"/>
      <c r="AD1718" s="766"/>
      <c r="AE1718" s="778" t="s">
        <v>1017</v>
      </c>
      <c r="AF1718" s="180"/>
      <c r="AG1718" s="201"/>
      <c r="AH1718" s="773"/>
      <c r="AI1718" s="771"/>
      <c r="AJ1718" s="771"/>
      <c r="AK1718" s="771"/>
      <c r="AL1718" s="771"/>
      <c r="AM1718" s="771"/>
      <c r="AN1718" s="770"/>
      <c r="AO1718" s="770"/>
      <c r="AP1718" s="770"/>
      <c r="AQ1718" s="772"/>
      <c r="AR1718" s="216"/>
      <c r="AS1718" s="772"/>
      <c r="AT1718" s="774"/>
      <c r="AU1718" s="216"/>
      <c r="AV1718" s="772"/>
      <c r="AW1718" s="216"/>
      <c r="AX1718" s="772"/>
      <c r="AY1718" s="774"/>
      <c r="AZ1718" s="774"/>
    </row>
    <row r="1719" spans="1:52" s="178" customFormat="1" x14ac:dyDescent="0.25">
      <c r="A1719" s="615" t="s">
        <v>5788</v>
      </c>
      <c r="B1719" s="372" t="s">
        <v>5548</v>
      </c>
      <c r="C1719" s="372" t="s">
        <v>1296</v>
      </c>
      <c r="D1719" s="375" t="s">
        <v>7233</v>
      </c>
      <c r="E1719" s="373" t="s">
        <v>5625</v>
      </c>
      <c r="F1719" s="459">
        <f t="shared" si="772"/>
        <v>22.42</v>
      </c>
      <c r="G1719" s="535">
        <f t="shared" si="773"/>
        <v>22.42</v>
      </c>
      <c r="H1719" s="493">
        <f t="shared" si="774"/>
        <v>17.940000000000001</v>
      </c>
      <c r="I1719" s="711"/>
      <c r="J1719" s="669" t="s">
        <v>5805</v>
      </c>
      <c r="K1719" s="15"/>
      <c r="L1719"/>
      <c r="M1719" s="49">
        <f t="shared" si="775"/>
        <v>22.42</v>
      </c>
      <c r="N1719" s="41">
        <v>9.6</v>
      </c>
      <c r="O1719" s="391"/>
      <c r="P1719" s="392" t="s">
        <v>2828</v>
      </c>
      <c r="Q1719" s="392"/>
      <c r="R1719" s="392">
        <v>2015</v>
      </c>
      <c r="S1719" s="392"/>
      <c r="T1719" s="674">
        <f t="shared" ref="T1719:T1724" si="779">ROUND($Q$1310*0.99^($R1719-$Q$1307),2)</f>
        <v>2.82</v>
      </c>
      <c r="U1719" s="185" t="s">
        <v>1017</v>
      </c>
      <c r="V1719" s="184"/>
      <c r="W1719" s="180"/>
      <c r="X1719" s="180"/>
      <c r="Y1719" s="184" t="s">
        <v>1017</v>
      </c>
      <c r="Z1719" s="180"/>
      <c r="AA1719" s="184"/>
      <c r="AB1719" s="184"/>
      <c r="AC1719" s="180"/>
      <c r="AD1719" s="182"/>
      <c r="AE1719" s="181" t="s">
        <v>1017</v>
      </c>
      <c r="AF1719" s="180"/>
      <c r="AG1719" s="201"/>
      <c r="AH1719" s="217" t="s">
        <v>4179</v>
      </c>
      <c r="AI1719" s="214" t="str">
        <f>IF(AND($AH1719&lt;&gt;"",AH1719 =AH1717),"Gleich","")</f>
        <v>Gleich</v>
      </c>
      <c r="AJ1719" s="214" t="str">
        <f>IF(AND($AH1719&lt;&gt;"",A1719 =A1717),"Gleich","")</f>
        <v/>
      </c>
      <c r="AK1719" s="214" t="str">
        <f>IF(AND($AH1719&lt;&gt;"",D1719 =D1717),"Gleich","")</f>
        <v/>
      </c>
      <c r="AL1719" s="214" t="str">
        <f>IF(AND($AH1719&lt;&gt;"",E1719 =E1717),"Gleich","")</f>
        <v>Gleich</v>
      </c>
      <c r="AM1719" s="214" t="str">
        <f>IF(AND($AH1719&lt;&gt;"",F1719 =F1717),"Gleich","")</f>
        <v/>
      </c>
      <c r="AN1719" s="213" t="str">
        <f>IF(ISERROR(SEARCH("K1",A1719)),"","20"&amp;MID(A1719,SEARCH("K1",A1719)+1,2))</f>
        <v>2015</v>
      </c>
      <c r="AO1719" s="213" t="str">
        <f>IF(ISERROR(SEARCH("erstmals 201",E1719)),"",MID(E1719,SEARCH("erstmals ",E1719)+9,4))</f>
        <v>2015</v>
      </c>
      <c r="AP1719" s="213" t="str">
        <f>IF(R1719="x","2010",IF(S1719="x","2011",IF(T1719="x","2012","")))</f>
        <v/>
      </c>
      <c r="AQ1719" s="215" t="str">
        <f>IF(OR(AH1719&lt;&gt;AN1719,AH1719&lt;&gt;AO1719,AH1719&lt;&gt;AP1719),"DIFF","")</f>
        <v>DIFF</v>
      </c>
      <c r="AR1719" s="216" t="str">
        <f>IF(A1719="","",IF(ISERROR(SEARCH("K1",A1719)),A1719,LEFT(A1719,SEARCH("K1",A1719)+1)&amp;RIGHT(AH1719,1)&amp;MID(A1719,SEARCH("K1",A1719)+3,14)))</f>
        <v>BiK82GbK12y-06</v>
      </c>
      <c r="AS1719" s="215" t="str">
        <f>IF(OR(A1719&lt;&gt;AR1719),"DIFF","")</f>
        <v>DIFF</v>
      </c>
      <c r="AT1719">
        <f>LEN(AR1719)</f>
        <v>14</v>
      </c>
      <c r="AU1719" s="216" t="str">
        <f>IF(D1719="","",IF(OR(A1719="",ISERROR(SEARCH("erstmals 201",D1719))),D1719,LEFT(D1719,SEARCH("erstmals 201",D1719)+8) &amp; AH1719 &amp; MID(D1719,SEARCH("erstmals 201",D1719)+13,255)))</f>
        <v>0,15-0,5 MW, Bonusregeln G, y, b und K erstmals 2012</v>
      </c>
      <c r="AV1719" s="215" t="str">
        <f>IF(OR(D1719&lt;&gt;AU1719),"DIFF","")</f>
        <v>DIFF</v>
      </c>
      <c r="AW1719" s="216" t="str">
        <f>IF(E1719="","",IF(OR(E1719="",ISERROR(SEARCH("erstmals 201",E1719))),E1719,LEFT(E1719,SEARCH("erstmals 201",E1719)+8) &amp; AH1719 &amp; MID(E1719,SEARCH("erstmals 201",E1719)+13,255)))</f>
        <v>Anteil KWK, erstmals 2012</v>
      </c>
      <c r="AX1719" s="215" t="str">
        <f>IF(OR(E1719&lt;&gt;AW1719),"DIFF","")</f>
        <v>DIFF</v>
      </c>
      <c r="AY1719" t="str">
        <f>IF(AH1719="2011","x",IF(AH1719="2012","","" &amp; S1719))</f>
        <v/>
      </c>
      <c r="AZ1719" t="str">
        <f>IF(AH1719="2012","x",IF(AH1719="2011","","" &amp; T1719))</f>
        <v>x</v>
      </c>
    </row>
    <row r="1720" spans="1:52" s="178" customFormat="1" x14ac:dyDescent="0.25">
      <c r="A1720" s="615" t="s">
        <v>5789</v>
      </c>
      <c r="B1720" s="372" t="s">
        <v>5548</v>
      </c>
      <c r="C1720" s="372" t="s">
        <v>1296</v>
      </c>
      <c r="D1720" s="375" t="s">
        <v>6807</v>
      </c>
      <c r="E1720" s="373" t="s">
        <v>5625</v>
      </c>
      <c r="F1720" s="459">
        <f t="shared" si="772"/>
        <v>17.46</v>
      </c>
      <c r="G1720" s="535">
        <f t="shared" si="773"/>
        <v>17.46</v>
      </c>
      <c r="H1720" s="493">
        <f t="shared" si="774"/>
        <v>13.97</v>
      </c>
      <c r="I1720" s="711"/>
      <c r="J1720" s="669" t="s">
        <v>5805</v>
      </c>
      <c r="K1720" s="15"/>
      <c r="L1720"/>
      <c r="M1720" s="49">
        <f t="shared" si="775"/>
        <v>17.46</v>
      </c>
      <c r="N1720" s="41">
        <v>8.64</v>
      </c>
      <c r="O1720" s="391"/>
      <c r="P1720" s="392" t="s">
        <v>2828</v>
      </c>
      <c r="Q1720" s="392"/>
      <c r="R1720" s="392">
        <v>2015</v>
      </c>
      <c r="S1720" s="392"/>
      <c r="T1720" s="674">
        <f t="shared" si="779"/>
        <v>2.82</v>
      </c>
      <c r="U1720" s="75"/>
      <c r="V1720" s="65"/>
      <c r="W1720" t="s">
        <v>1017</v>
      </c>
      <c r="X1720"/>
      <c r="Y1720" s="65"/>
      <c r="Z1720" s="65"/>
      <c r="AA1720" s="65"/>
      <c r="AB1720" s="65"/>
      <c r="AC1720" s="65"/>
      <c r="AD1720" s="91"/>
      <c r="AE1720" s="124" t="s">
        <v>1017</v>
      </c>
      <c r="AF1720" s="65"/>
      <c r="AG1720" s="91"/>
      <c r="AH1720" s="217" t="s">
        <v>4179</v>
      </c>
      <c r="AI1720" s="214" t="str">
        <f>IF(AND($AH1720&lt;&gt;"",AH1720 =AH1714),"Gleich","")</f>
        <v>Gleich</v>
      </c>
      <c r="AJ1720" s="214" t="str">
        <f>IF(AND($AH1720&lt;&gt;"",A1720 =A1714),"Gleich","")</f>
        <v/>
      </c>
      <c r="AK1720" s="214" t="str">
        <f>IF(AND($AH1720&lt;&gt;"",D1720 =D1714),"Gleich","")</f>
        <v/>
      </c>
      <c r="AL1720" s="214" t="str">
        <f>IF(AND($AH1720&lt;&gt;"",E1720 =E1714),"Gleich","")</f>
        <v/>
      </c>
      <c r="AM1720" s="214" t="str">
        <f>IF(AND($AH1720&lt;&gt;"",F1720 =F1714),"Gleich","")</f>
        <v/>
      </c>
      <c r="AN1720" s="213" t="str">
        <f>IF(ISERROR(SEARCH("K1",A1720)),"","20"&amp;MID(A1720,SEARCH("K1",A1720)+1,2))</f>
        <v>2015</v>
      </c>
      <c r="AO1720" s="213" t="str">
        <f>IF(ISERROR(SEARCH("erstmals 201",E1720)),"",MID(E1720,SEARCH("erstmals ",E1720)+9,4))</f>
        <v>2015</v>
      </c>
      <c r="AP1720" s="213" t="str">
        <f>IF(R1720="x","2010",IF(S1720="x","2011",IF(T1720="x","2012","")))</f>
        <v/>
      </c>
      <c r="AQ1720" s="215" t="str">
        <f>IF(OR(AH1720&lt;&gt;AN1720,AH1720&lt;&gt;AO1720,AH1720&lt;&gt;AP1720),"DIFF","")</f>
        <v>DIFF</v>
      </c>
      <c r="AR1720" s="216" t="str">
        <f>IF(A1720="","",IF(ISERROR(SEARCH("K1",A1720)),A1720,LEFT(A1720,SEARCH("K1",A1720)+1)&amp;RIGHT(AH1720,1)&amp;MID(A1720,SEARCH("K1",A1720)+3,14)))</f>
        <v>BiK83a2bK12-06</v>
      </c>
      <c r="AS1720" s="215" t="str">
        <f>IF(OR(A1720&lt;&gt;AR1720),"DIFF","")</f>
        <v>DIFF</v>
      </c>
      <c r="AT1720">
        <f>LEN(AR1720)</f>
        <v>14</v>
      </c>
      <c r="AU1720" s="216" t="str">
        <f>IF(D1720="","",IF(OR(A1720="",ISERROR(SEARCH("erstmals 201",D1720))),D1720,LEFT(D1720,SEARCH("erstmals 201",D1720)+8) &amp; AH1720 &amp; MID(D1720,SEARCH("erstmals 201",D1720)+13,255)))</f>
        <v>0,5-5 MW, Bonusregeln a2, b und K erstmals 2012</v>
      </c>
      <c r="AV1720" s="215" t="str">
        <f>IF(OR(D1720&lt;&gt;AU1720),"DIFF","")</f>
        <v>DIFF</v>
      </c>
      <c r="AW1720" s="216" t="str">
        <f>IF(E1720="","",IF(OR(E1720="",ISERROR(SEARCH("erstmals 201",E1720))),E1720,LEFT(E1720,SEARCH("erstmals 201",E1720)+8) &amp; AH1720 &amp; MID(E1720,SEARCH("erstmals 201",E1720)+13,255)))</f>
        <v>Anteil KWK, erstmals 2012</v>
      </c>
      <c r="AX1720" s="215" t="str">
        <f>IF(OR(E1720&lt;&gt;AW1720),"DIFF","")</f>
        <v>DIFF</v>
      </c>
      <c r="AY1720" t="str">
        <f>IF(AH1720="2011","x",IF(AH1720="2012","","" &amp; S1720))</f>
        <v/>
      </c>
      <c r="AZ1720" t="str">
        <f>IF(AH1720="2012","x",IF(AH1720="2011","","" &amp; T1720))</f>
        <v>x</v>
      </c>
    </row>
    <row r="1721" spans="1:52" s="178" customFormat="1" x14ac:dyDescent="0.25">
      <c r="A1721" s="615" t="s">
        <v>5808</v>
      </c>
      <c r="B1721" s="372" t="s">
        <v>5548</v>
      </c>
      <c r="C1721" s="372" t="s">
        <v>1296</v>
      </c>
      <c r="D1721" s="375" t="s">
        <v>7015</v>
      </c>
      <c r="E1721" s="373" t="s">
        <v>5807</v>
      </c>
      <c r="F1721" s="459">
        <f t="shared" si="772"/>
        <v>25.470000000000002</v>
      </c>
      <c r="G1721" s="535">
        <f t="shared" si="773"/>
        <v>25.470000000000002</v>
      </c>
      <c r="H1721" s="493">
        <f t="shared" si="774"/>
        <v>20.38</v>
      </c>
      <c r="I1721" s="711"/>
      <c r="J1721" s="669">
        <v>42644</v>
      </c>
      <c r="K1721" s="15"/>
      <c r="L1721"/>
      <c r="M1721" s="49">
        <f t="shared" si="775"/>
        <v>25.470000000000002</v>
      </c>
      <c r="N1721" s="41">
        <v>11.67</v>
      </c>
      <c r="O1721" s="391"/>
      <c r="P1721" s="392" t="s">
        <v>2828</v>
      </c>
      <c r="Q1721" s="392"/>
      <c r="R1721" s="392">
        <v>2016</v>
      </c>
      <c r="S1721" s="392"/>
      <c r="T1721" s="674">
        <f t="shared" si="779"/>
        <v>2.8</v>
      </c>
      <c r="U1721" s="179"/>
      <c r="W1721" s="180"/>
      <c r="X1721" s="180"/>
      <c r="Z1721" s="178" t="s">
        <v>1017</v>
      </c>
      <c r="AA1721" s="180"/>
      <c r="AD1721" s="201"/>
      <c r="AE1721" s="200"/>
      <c r="AF1721" s="180"/>
      <c r="AG1721" s="201"/>
      <c r="AH1721" s="217"/>
      <c r="AI1721" s="214"/>
      <c r="AJ1721" s="214"/>
      <c r="AK1721" s="214"/>
      <c r="AL1721" s="214"/>
      <c r="AM1721" s="214"/>
      <c r="AN1721" s="213"/>
      <c r="AO1721" s="213"/>
      <c r="AP1721" s="213"/>
      <c r="AQ1721" s="215"/>
      <c r="AR1721" s="216"/>
      <c r="AS1721" s="215"/>
      <c r="AT1721"/>
      <c r="AU1721" s="216"/>
      <c r="AV1721" s="215"/>
      <c r="AW1721" s="216"/>
      <c r="AX1721" s="215"/>
      <c r="AY1721"/>
      <c r="AZ1721"/>
    </row>
    <row r="1722" spans="1:52" s="178" customFormat="1" x14ac:dyDescent="0.25">
      <c r="A1722" s="615" t="s">
        <v>5809</v>
      </c>
      <c r="B1722" s="372" t="s">
        <v>5548</v>
      </c>
      <c r="C1722" s="372" t="s">
        <v>1296</v>
      </c>
      <c r="D1722" s="375" t="s">
        <v>7234</v>
      </c>
      <c r="E1722" s="373" t="s">
        <v>5807</v>
      </c>
      <c r="F1722" s="459">
        <f t="shared" si="772"/>
        <v>20.400000000000002</v>
      </c>
      <c r="G1722" s="535">
        <f t="shared" si="773"/>
        <v>20.400000000000002</v>
      </c>
      <c r="H1722" s="493">
        <f t="shared" si="774"/>
        <v>16.32</v>
      </c>
      <c r="I1722" s="711"/>
      <c r="J1722" s="669">
        <v>42644</v>
      </c>
      <c r="K1722" s="15"/>
      <c r="L1722"/>
      <c r="M1722" s="49">
        <f t="shared" si="775"/>
        <v>20.400000000000002</v>
      </c>
      <c r="N1722" s="41">
        <v>9.6</v>
      </c>
      <c r="O1722" s="391"/>
      <c r="P1722" s="392" t="s">
        <v>2828</v>
      </c>
      <c r="Q1722" s="392"/>
      <c r="R1722" s="392">
        <v>2016</v>
      </c>
      <c r="S1722" s="392"/>
      <c r="T1722" s="674">
        <f t="shared" si="779"/>
        <v>2.8</v>
      </c>
      <c r="U1722" s="179"/>
      <c r="W1722" s="180"/>
      <c r="X1722" s="180"/>
      <c r="Z1722" s="180"/>
      <c r="AA1722" s="178" t="s">
        <v>1017</v>
      </c>
      <c r="AC1722" s="180"/>
      <c r="AD1722" s="182"/>
      <c r="AE1722" s="200"/>
      <c r="AF1722" s="180"/>
      <c r="AG1722" s="201"/>
      <c r="AH1722" s="217"/>
      <c r="AI1722" s="214"/>
      <c r="AJ1722" s="214"/>
      <c r="AK1722" s="214"/>
      <c r="AL1722" s="214"/>
      <c r="AM1722" s="214"/>
      <c r="AN1722" s="213"/>
      <c r="AO1722" s="213"/>
      <c r="AP1722" s="213"/>
      <c r="AQ1722" s="215"/>
      <c r="AR1722" s="216"/>
      <c r="AS1722" s="215"/>
      <c r="AT1722"/>
      <c r="AU1722" s="216"/>
      <c r="AV1722" s="215"/>
      <c r="AW1722" s="216"/>
      <c r="AX1722" s="215"/>
      <c r="AY1722"/>
      <c r="AZ1722"/>
    </row>
    <row r="1723" spans="1:52" s="178" customFormat="1" x14ac:dyDescent="0.25">
      <c r="A1723" s="615" t="s">
        <v>6359</v>
      </c>
      <c r="B1723" s="375" t="s">
        <v>5548</v>
      </c>
      <c r="C1723" s="375" t="s">
        <v>1296</v>
      </c>
      <c r="D1723" s="375" t="s">
        <v>7016</v>
      </c>
      <c r="E1723" s="373" t="s">
        <v>6158</v>
      </c>
      <c r="F1723" s="459">
        <f t="shared" si="772"/>
        <v>24.44</v>
      </c>
      <c r="G1723" s="535">
        <f t="shared" si="773"/>
        <v>24.44</v>
      </c>
      <c r="H1723" s="493">
        <f t="shared" si="774"/>
        <v>19.55</v>
      </c>
      <c r="I1723" s="711"/>
      <c r="J1723" s="669">
        <v>43318</v>
      </c>
      <c r="K1723" s="769"/>
      <c r="L1723" s="774"/>
      <c r="M1723" s="49">
        <f t="shared" si="775"/>
        <v>24.44</v>
      </c>
      <c r="N1723" s="41">
        <v>11.67</v>
      </c>
      <c r="O1723" s="391"/>
      <c r="P1723" s="392" t="s">
        <v>2828</v>
      </c>
      <c r="Q1723" s="392"/>
      <c r="R1723" s="392">
        <v>2017</v>
      </c>
      <c r="S1723" s="392"/>
      <c r="T1723" s="674">
        <f t="shared" si="779"/>
        <v>2.77</v>
      </c>
      <c r="U1723" s="185" t="s">
        <v>1017</v>
      </c>
      <c r="V1723" s="184"/>
      <c r="W1723" s="180"/>
      <c r="X1723" s="180"/>
      <c r="Y1723" s="184" t="s">
        <v>1017</v>
      </c>
      <c r="Z1723" s="184"/>
      <c r="AA1723" s="180"/>
      <c r="AB1723" s="184"/>
      <c r="AC1723" s="184"/>
      <c r="AD1723" s="201"/>
      <c r="AE1723" s="181" t="s">
        <v>1017</v>
      </c>
      <c r="AF1723" s="180"/>
      <c r="AG1723" s="201"/>
      <c r="AH1723" s="773" t="s">
        <v>4179</v>
      </c>
      <c r="AI1723" s="771" t="str">
        <f>IF(AND($AH1723&lt;&gt;"",AH1723 =AH1721),"Gleich","")</f>
        <v/>
      </c>
      <c r="AJ1723" s="771" t="str">
        <f>IF(AND($AH1723&lt;&gt;"",A1723 =A1721),"Gleich","")</f>
        <v/>
      </c>
      <c r="AK1723" s="771" t="str">
        <f t="shared" ref="AK1723:AM1724" si="780">IF(AND($AH1723&lt;&gt;"",D1723 =D1721),"Gleich","")</f>
        <v/>
      </c>
      <c r="AL1723" s="771" t="str">
        <f t="shared" si="780"/>
        <v/>
      </c>
      <c r="AM1723" s="771" t="str">
        <f t="shared" si="780"/>
        <v/>
      </c>
      <c r="AN1723" s="770" t="str">
        <f>IF(ISERROR(SEARCH("K1",A1723)),"","20"&amp;MID(A1723,SEARCH("K1",A1723)+1,2))</f>
        <v>2017</v>
      </c>
      <c r="AO1723" s="770" t="str">
        <f>IF(ISERROR(SEARCH("erstmals 201",E1723)),"",MID(E1723,SEARCH("erstmals ",E1723)+9,4))</f>
        <v>2017</v>
      </c>
      <c r="AP1723" s="770" t="str">
        <f>IF(R1723="x","2010",IF(S1723="x","2011",IF(T1723="x","2012","")))</f>
        <v/>
      </c>
      <c r="AQ1723" s="772" t="str">
        <f>IF(OR(AH1723&lt;&gt;AN1723,AH1723&lt;&gt;AO1723,AH1723&lt;&gt;AP1723),"DIFF","")</f>
        <v>DIFF</v>
      </c>
      <c r="AR1723" s="216" t="str">
        <f>IF(A1723="","",IF(ISERROR(SEARCH("K1",A1723)),A1723,LEFT(A1723,SEARCH("K1",A1723)+1)&amp;RIGHT(AH1723,1)&amp;MID(A1723,SEARCH("K1",A1723)+3,14)))</f>
        <v>BiK81GbK12y-06</v>
      </c>
      <c r="AS1723" s="772" t="str">
        <f>IF(OR(A1723&lt;&gt;AR1723),"DIFF","")</f>
        <v>DIFF</v>
      </c>
      <c r="AT1723" s="774">
        <f>LEN(AR1723)</f>
        <v>14</v>
      </c>
      <c r="AU1723" s="216" t="str">
        <f>IF(D1723="","",IF(OR(A1723="",ISERROR(SEARCH("erstmals 201",D1723))),D1723,LEFT(D1723,SEARCH("erstmals 201",D1723)+8) &amp; AH1723 &amp; MID(D1723,SEARCH("erstmals 201",D1723)+13,255)))</f>
        <v>0-0,15 MW, Bonusregeln G, y, b und K erstmals 2012</v>
      </c>
      <c r="AV1723" s="772" t="str">
        <f>IF(OR(D1723&lt;&gt;AU1723),"DIFF","")</f>
        <v>DIFF</v>
      </c>
      <c r="AW1723" s="216" t="str">
        <f>IF(E1723="","",IF(OR(E1723="",ISERROR(SEARCH("erstmals 201",E1723))),E1723,LEFT(E1723,SEARCH("erstmals 201",E1723)+8) &amp; AH1723 &amp; MID(E1723,SEARCH("erstmals 201",E1723)+13,255)))</f>
        <v>Anteil KWK, erstmals 2012</v>
      </c>
      <c r="AX1723" s="772" t="str">
        <f>IF(OR(E1723&lt;&gt;AW1723),"DIFF","")</f>
        <v>DIFF</v>
      </c>
      <c r="AY1723" s="774" t="str">
        <f>IF(AH1723="2011","x",IF(AH1723="2012","","" &amp; S1723))</f>
        <v/>
      </c>
      <c r="AZ1723" s="774" t="str">
        <f>IF(AH1723="2012","x",IF(AH1723="2011","","" &amp; T1723))</f>
        <v>x</v>
      </c>
    </row>
    <row r="1724" spans="1:52" s="178" customFormat="1" x14ac:dyDescent="0.25">
      <c r="A1724" s="615" t="s">
        <v>6360</v>
      </c>
      <c r="B1724" s="372" t="s">
        <v>5548</v>
      </c>
      <c r="C1724" s="372" t="s">
        <v>1296</v>
      </c>
      <c r="D1724" s="375" t="s">
        <v>7235</v>
      </c>
      <c r="E1724" s="373" t="s">
        <v>6158</v>
      </c>
      <c r="F1724" s="459">
        <f t="shared" si="772"/>
        <v>22.37</v>
      </c>
      <c r="G1724" s="535">
        <f t="shared" si="773"/>
        <v>22.37</v>
      </c>
      <c r="H1724" s="493">
        <f t="shared" si="774"/>
        <v>17.899999999999999</v>
      </c>
      <c r="I1724" s="711"/>
      <c r="J1724" s="669">
        <v>43318</v>
      </c>
      <c r="K1724" s="769"/>
      <c r="L1724" s="774"/>
      <c r="M1724" s="49">
        <f t="shared" si="775"/>
        <v>22.37</v>
      </c>
      <c r="N1724" s="41">
        <v>9.6</v>
      </c>
      <c r="O1724" s="391"/>
      <c r="P1724" s="392" t="s">
        <v>2828</v>
      </c>
      <c r="Q1724" s="392"/>
      <c r="R1724" s="392">
        <v>2017</v>
      </c>
      <c r="S1724" s="392"/>
      <c r="T1724" s="674">
        <f t="shared" si="779"/>
        <v>2.77</v>
      </c>
      <c r="U1724" s="185" t="s">
        <v>1017</v>
      </c>
      <c r="V1724" s="184"/>
      <c r="W1724" s="180"/>
      <c r="X1724" s="180"/>
      <c r="Y1724" s="184" t="s">
        <v>1017</v>
      </c>
      <c r="Z1724" s="180"/>
      <c r="AA1724" s="184"/>
      <c r="AB1724" s="184"/>
      <c r="AC1724" s="180"/>
      <c r="AD1724" s="182"/>
      <c r="AE1724" s="181" t="s">
        <v>1017</v>
      </c>
      <c r="AF1724" s="180"/>
      <c r="AG1724" s="201"/>
      <c r="AH1724" s="773" t="s">
        <v>4179</v>
      </c>
      <c r="AI1724" s="771" t="str">
        <f>IF(AND($AH1724&lt;&gt;"",AH1724 =AH1722),"Gleich","")</f>
        <v/>
      </c>
      <c r="AJ1724" s="771" t="str">
        <f>IF(AND($AH1724&lt;&gt;"",A1724 =A1722),"Gleich","")</f>
        <v/>
      </c>
      <c r="AK1724" s="771" t="str">
        <f t="shared" si="780"/>
        <v/>
      </c>
      <c r="AL1724" s="771" t="str">
        <f t="shared" si="780"/>
        <v/>
      </c>
      <c r="AM1724" s="771" t="str">
        <f t="shared" si="780"/>
        <v/>
      </c>
      <c r="AN1724" s="770" t="str">
        <f>IF(ISERROR(SEARCH("K1",A1724)),"","20"&amp;MID(A1724,SEARCH("K1",A1724)+1,2))</f>
        <v>2017</v>
      </c>
      <c r="AO1724" s="770" t="str">
        <f>IF(ISERROR(SEARCH("erstmals 201",E1724)),"",MID(E1724,SEARCH("erstmals ",E1724)+9,4))</f>
        <v>2017</v>
      </c>
      <c r="AP1724" s="770" t="str">
        <f>IF(R1724="x","2010",IF(S1724="x","2011",IF(T1724="x","2012","")))</f>
        <v/>
      </c>
      <c r="AQ1724" s="772" t="str">
        <f>IF(OR(AH1724&lt;&gt;AN1724,AH1724&lt;&gt;AO1724,AH1724&lt;&gt;AP1724),"DIFF","")</f>
        <v>DIFF</v>
      </c>
      <c r="AR1724" s="216" t="str">
        <f>IF(A1724="","",IF(ISERROR(SEARCH("K1",A1724)),A1724,LEFT(A1724,SEARCH("K1",A1724)+1)&amp;RIGHT(AH1724,1)&amp;MID(A1724,SEARCH("K1",A1724)+3,14)))</f>
        <v>BiK82GbK12y-06</v>
      </c>
      <c r="AS1724" s="772" t="str">
        <f>IF(OR(A1724&lt;&gt;AR1724),"DIFF","")</f>
        <v>DIFF</v>
      </c>
      <c r="AT1724" s="774">
        <f>LEN(AR1724)</f>
        <v>14</v>
      </c>
      <c r="AU1724" s="216" t="str">
        <f>IF(D1724="","",IF(OR(A1724="",ISERROR(SEARCH("erstmals 201",D1724))),D1724,LEFT(D1724,SEARCH("erstmals 201",D1724)+8) &amp; AH1724 &amp; MID(D1724,SEARCH("erstmals 201",D1724)+13,255)))</f>
        <v>0,15-0,5 MW, Bonusregeln G, y, b und K erstmals 2012</v>
      </c>
      <c r="AV1724" s="772" t="str">
        <f>IF(OR(D1724&lt;&gt;AU1724),"DIFF","")</f>
        <v>DIFF</v>
      </c>
      <c r="AW1724" s="216" t="str">
        <f>IF(E1724="","",IF(OR(E1724="",ISERROR(SEARCH("erstmals 201",E1724))),E1724,LEFT(E1724,SEARCH("erstmals 201",E1724)+8) &amp; AH1724 &amp; MID(E1724,SEARCH("erstmals 201",E1724)+13,255)))</f>
        <v>Anteil KWK, erstmals 2012</v>
      </c>
      <c r="AX1724" s="772" t="str">
        <f>IF(OR(E1724&lt;&gt;AW1724),"DIFF","")</f>
        <v>DIFF</v>
      </c>
      <c r="AY1724" s="774" t="str">
        <f>IF(AH1724="2011","x",IF(AH1724="2012","","" &amp; S1724))</f>
        <v/>
      </c>
      <c r="AZ1724" s="774" t="str">
        <f>IF(AH1724="2012","x",IF(AH1724="2011","","" &amp; T1724))</f>
        <v>x</v>
      </c>
    </row>
    <row r="1725" spans="1:52" s="178" customFormat="1" x14ac:dyDescent="0.25">
      <c r="A1725" s="615" t="s">
        <v>6618</v>
      </c>
      <c r="B1725" s="372" t="s">
        <v>5548</v>
      </c>
      <c r="C1725" s="372" t="s">
        <v>1296</v>
      </c>
      <c r="D1725" s="375" t="s">
        <v>7017</v>
      </c>
      <c r="E1725" s="375" t="s">
        <v>6469</v>
      </c>
      <c r="F1725" s="459">
        <f t="shared" si="772"/>
        <v>24.410000000000004</v>
      </c>
      <c r="G1725" s="544">
        <f t="shared" si="773"/>
        <v>24.410000000000004</v>
      </c>
      <c r="H1725" s="500">
        <f t="shared" si="774"/>
        <v>19.53</v>
      </c>
      <c r="I1725" s="711"/>
      <c r="J1725" s="669">
        <v>43951</v>
      </c>
      <c r="K1725" s="769"/>
      <c r="L1725" s="774"/>
      <c r="M1725" s="49">
        <f t="shared" si="775"/>
        <v>24.410000000000004</v>
      </c>
      <c r="N1725" s="41">
        <v>11.67</v>
      </c>
      <c r="O1725" s="391"/>
      <c r="P1725" s="392" t="s">
        <v>2828</v>
      </c>
      <c r="Q1725" s="392"/>
      <c r="R1725" s="392">
        <v>2018</v>
      </c>
      <c r="S1725" s="392"/>
      <c r="T1725" s="674">
        <v>2.74</v>
      </c>
      <c r="U1725" s="185" t="s">
        <v>1017</v>
      </c>
      <c r="V1725" s="184"/>
      <c r="W1725" s="180"/>
      <c r="X1725" s="180"/>
      <c r="Y1725" s="184" t="s">
        <v>1017</v>
      </c>
      <c r="Z1725" s="184"/>
      <c r="AA1725" s="180"/>
      <c r="AB1725" s="184"/>
      <c r="AC1725" s="184"/>
      <c r="AD1725" s="201"/>
      <c r="AE1725" s="181" t="s">
        <v>1017</v>
      </c>
      <c r="AF1725" s="180"/>
      <c r="AG1725" s="201"/>
      <c r="AH1725" s="773"/>
      <c r="AI1725" s="771"/>
      <c r="AJ1725" s="771"/>
      <c r="AK1725" s="771"/>
      <c r="AL1725" s="771"/>
      <c r="AM1725" s="771"/>
      <c r="AN1725" s="770"/>
      <c r="AO1725" s="770"/>
      <c r="AP1725" s="770"/>
      <c r="AQ1725" s="772"/>
      <c r="AR1725" s="216"/>
      <c r="AS1725" s="772"/>
      <c r="AT1725" s="774"/>
      <c r="AU1725" s="216"/>
      <c r="AV1725" s="772"/>
      <c r="AW1725" s="216"/>
      <c r="AX1725" s="772"/>
      <c r="AY1725" s="774"/>
      <c r="AZ1725" s="774"/>
    </row>
    <row r="1726" spans="1:52" s="178" customFormat="1" x14ac:dyDescent="0.25">
      <c r="A1726" s="615" t="s">
        <v>6492</v>
      </c>
      <c r="B1726" s="372" t="s">
        <v>5548</v>
      </c>
      <c r="C1726" s="372" t="s">
        <v>1296</v>
      </c>
      <c r="D1726" s="375" t="s">
        <v>7018</v>
      </c>
      <c r="E1726" s="375" t="s">
        <v>6469</v>
      </c>
      <c r="F1726" s="459">
        <f t="shared" si="772"/>
        <v>25.410000000000004</v>
      </c>
      <c r="G1726" s="535">
        <f t="shared" si="773"/>
        <v>25.410000000000004</v>
      </c>
      <c r="H1726" s="493">
        <f t="shared" si="774"/>
        <v>20.329999999999998</v>
      </c>
      <c r="I1726" s="711"/>
      <c r="J1726" s="669">
        <v>43677</v>
      </c>
      <c r="K1726" s="769"/>
      <c r="L1726" s="774"/>
      <c r="M1726" s="49">
        <f t="shared" si="775"/>
        <v>25.410000000000004</v>
      </c>
      <c r="N1726" s="41">
        <v>11.67</v>
      </c>
      <c r="O1726" s="391"/>
      <c r="P1726" s="392" t="s">
        <v>2828</v>
      </c>
      <c r="Q1726" s="392"/>
      <c r="R1726" s="392">
        <v>2018</v>
      </c>
      <c r="S1726" s="392"/>
      <c r="T1726" s="674">
        <f>ROUND($Q$1310*0.99^($R1726-$Q$1307),2)</f>
        <v>2.74</v>
      </c>
      <c r="U1726" s="179"/>
      <c r="W1726" s="180"/>
      <c r="X1726" s="180"/>
      <c r="Z1726" s="178" t="s">
        <v>1017</v>
      </c>
      <c r="AA1726" s="180"/>
      <c r="AD1726" s="201"/>
      <c r="AE1726" s="200"/>
      <c r="AF1726" s="180"/>
      <c r="AG1726" s="201"/>
      <c r="AH1726" s="773"/>
      <c r="AI1726" s="771"/>
      <c r="AJ1726" s="771"/>
      <c r="AK1726" s="771"/>
      <c r="AL1726" s="771"/>
      <c r="AM1726" s="771"/>
      <c r="AN1726" s="770"/>
      <c r="AO1726" s="770"/>
      <c r="AP1726" s="770"/>
      <c r="AQ1726" s="772"/>
      <c r="AR1726" s="216"/>
      <c r="AS1726" s="772"/>
      <c r="AT1726" s="774"/>
      <c r="AU1726" s="216"/>
      <c r="AV1726" s="772"/>
      <c r="AW1726" s="216"/>
      <c r="AX1726" s="772"/>
      <c r="AY1726" s="774"/>
      <c r="AZ1726" s="774"/>
    </row>
    <row r="1727" spans="1:52" s="178" customFormat="1" x14ac:dyDescent="0.25">
      <c r="A1727" s="615" t="s">
        <v>6619</v>
      </c>
      <c r="B1727" s="372" t="s">
        <v>5548</v>
      </c>
      <c r="C1727" s="372" t="s">
        <v>1296</v>
      </c>
      <c r="D1727" s="375" t="s">
        <v>7236</v>
      </c>
      <c r="E1727" s="375" t="s">
        <v>6469</v>
      </c>
      <c r="F1727" s="459">
        <f t="shared" si="772"/>
        <v>22.340000000000003</v>
      </c>
      <c r="G1727" s="544">
        <f t="shared" si="773"/>
        <v>22.340000000000003</v>
      </c>
      <c r="H1727" s="500">
        <f t="shared" si="774"/>
        <v>17.87</v>
      </c>
      <c r="I1727" s="711"/>
      <c r="J1727" s="669">
        <v>43951</v>
      </c>
      <c r="K1727" s="769"/>
      <c r="L1727" s="774"/>
      <c r="M1727" s="49">
        <f t="shared" si="775"/>
        <v>22.340000000000003</v>
      </c>
      <c r="N1727" s="41">
        <v>9.6</v>
      </c>
      <c r="O1727" s="391"/>
      <c r="P1727" s="392" t="s">
        <v>2828</v>
      </c>
      <c r="Q1727" s="392"/>
      <c r="R1727" s="392">
        <v>2018</v>
      </c>
      <c r="S1727" s="392"/>
      <c r="T1727" s="674">
        <v>2.74</v>
      </c>
      <c r="U1727" s="185" t="s">
        <v>1017</v>
      </c>
      <c r="V1727" s="184"/>
      <c r="W1727" s="180"/>
      <c r="X1727" s="180"/>
      <c r="Y1727" s="184" t="s">
        <v>1017</v>
      </c>
      <c r="Z1727" s="180"/>
      <c r="AA1727" s="184"/>
      <c r="AB1727" s="184"/>
      <c r="AC1727" s="180"/>
      <c r="AD1727" s="182"/>
      <c r="AE1727" s="181" t="s">
        <v>1017</v>
      </c>
      <c r="AF1727" s="180"/>
      <c r="AG1727" s="201"/>
      <c r="AH1727" s="773"/>
      <c r="AI1727" s="771"/>
      <c r="AJ1727" s="771"/>
      <c r="AK1727" s="771"/>
      <c r="AL1727" s="771"/>
      <c r="AM1727" s="771"/>
      <c r="AN1727" s="770"/>
      <c r="AO1727" s="770"/>
      <c r="AP1727" s="770"/>
      <c r="AQ1727" s="772"/>
      <c r="AR1727" s="216"/>
      <c r="AS1727" s="772"/>
      <c r="AT1727" s="774"/>
      <c r="AU1727" s="216"/>
      <c r="AV1727" s="772"/>
      <c r="AW1727" s="216"/>
      <c r="AX1727" s="772"/>
      <c r="AY1727" s="774"/>
      <c r="AZ1727" s="774"/>
    </row>
    <row r="1728" spans="1:52" s="178" customFormat="1" x14ac:dyDescent="0.25">
      <c r="A1728" s="615" t="s">
        <v>6493</v>
      </c>
      <c r="B1728" s="372" t="s">
        <v>5548</v>
      </c>
      <c r="C1728" s="372" t="s">
        <v>1296</v>
      </c>
      <c r="D1728" s="375" t="s">
        <v>7237</v>
      </c>
      <c r="E1728" s="375" t="s">
        <v>6469</v>
      </c>
      <c r="F1728" s="459">
        <f t="shared" si="772"/>
        <v>20.340000000000003</v>
      </c>
      <c r="G1728" s="535">
        <f t="shared" si="773"/>
        <v>20.340000000000003</v>
      </c>
      <c r="H1728" s="493">
        <f t="shared" si="774"/>
        <v>16.27</v>
      </c>
      <c r="I1728" s="711"/>
      <c r="J1728" s="669">
        <v>43677</v>
      </c>
      <c r="K1728" s="769"/>
      <c r="L1728" s="774"/>
      <c r="M1728" s="49">
        <f t="shared" si="775"/>
        <v>20.340000000000003</v>
      </c>
      <c r="N1728" s="41">
        <v>9.6</v>
      </c>
      <c r="O1728" s="391"/>
      <c r="P1728" s="392" t="s">
        <v>2828</v>
      </c>
      <c r="Q1728" s="392"/>
      <c r="R1728" s="392">
        <v>2018</v>
      </c>
      <c r="S1728" s="392"/>
      <c r="T1728" s="674">
        <f t="shared" ref="T1728:T1733" si="781">ROUND($Q$1310*0.99^($R1728-$Q$1307),2)</f>
        <v>2.74</v>
      </c>
      <c r="U1728" s="179"/>
      <c r="W1728" s="180"/>
      <c r="X1728" s="180"/>
      <c r="Z1728" s="180"/>
      <c r="AA1728" s="178" t="s">
        <v>1017</v>
      </c>
      <c r="AC1728" s="180"/>
      <c r="AD1728" s="182"/>
      <c r="AE1728" s="200"/>
      <c r="AF1728" s="180"/>
      <c r="AG1728" s="201"/>
      <c r="AH1728" s="773"/>
      <c r="AI1728" s="771"/>
      <c r="AJ1728" s="771"/>
      <c r="AK1728" s="771"/>
      <c r="AL1728" s="771"/>
      <c r="AM1728" s="771"/>
      <c r="AN1728" s="770"/>
      <c r="AO1728" s="770"/>
      <c r="AP1728" s="770"/>
      <c r="AQ1728" s="772"/>
      <c r="AR1728" s="216"/>
      <c r="AS1728" s="772"/>
      <c r="AT1728" s="774"/>
      <c r="AU1728" s="216"/>
      <c r="AV1728" s="772"/>
      <c r="AW1728" s="216"/>
      <c r="AX1728" s="772"/>
      <c r="AY1728" s="774"/>
      <c r="AZ1728" s="774"/>
    </row>
    <row r="1729" spans="1:52" s="178" customFormat="1" x14ac:dyDescent="0.25">
      <c r="A1729" s="615" t="s">
        <v>6610</v>
      </c>
      <c r="B1729" s="372" t="s">
        <v>5548</v>
      </c>
      <c r="C1729" s="372" t="s">
        <v>1296</v>
      </c>
      <c r="D1729" s="375" t="s">
        <v>7019</v>
      </c>
      <c r="E1729" s="375" t="s">
        <v>6603</v>
      </c>
      <c r="F1729" s="459">
        <f t="shared" si="772"/>
        <v>26.380000000000003</v>
      </c>
      <c r="G1729" s="535">
        <f t="shared" si="773"/>
        <v>26.380000000000003</v>
      </c>
      <c r="H1729" s="493">
        <f t="shared" si="774"/>
        <v>21.1</v>
      </c>
      <c r="I1729" s="711"/>
      <c r="J1729" s="669">
        <v>43951</v>
      </c>
      <c r="K1729" s="769"/>
      <c r="L1729" s="774"/>
      <c r="M1729" s="49">
        <f t="shared" si="775"/>
        <v>26.380000000000003</v>
      </c>
      <c r="N1729" s="41">
        <v>11.67</v>
      </c>
      <c r="O1729" s="391"/>
      <c r="P1729" s="392" t="s">
        <v>2828</v>
      </c>
      <c r="Q1729" s="392"/>
      <c r="R1729" s="392">
        <v>2019</v>
      </c>
      <c r="S1729" s="392"/>
      <c r="T1729" s="674">
        <f t="shared" si="781"/>
        <v>2.71</v>
      </c>
      <c r="U1729" s="179" t="s">
        <v>1017</v>
      </c>
      <c r="W1729" s="180"/>
      <c r="X1729" s="180"/>
      <c r="Z1729" s="178" t="s">
        <v>1017</v>
      </c>
      <c r="AA1729" s="180"/>
      <c r="AD1729" s="201"/>
      <c r="AE1729" s="200"/>
      <c r="AF1729" s="180"/>
      <c r="AG1729" s="201"/>
      <c r="AH1729" s="773"/>
      <c r="AI1729" s="771"/>
      <c r="AJ1729" s="771"/>
      <c r="AK1729" s="771"/>
      <c r="AL1729" s="771"/>
      <c r="AM1729" s="771"/>
      <c r="AN1729" s="770"/>
      <c r="AO1729" s="770"/>
      <c r="AP1729" s="770"/>
      <c r="AQ1729" s="772"/>
      <c r="AR1729" s="216"/>
      <c r="AS1729" s="772"/>
      <c r="AT1729" s="774"/>
      <c r="AU1729" s="216"/>
      <c r="AV1729" s="772"/>
      <c r="AW1729" s="216"/>
      <c r="AX1729" s="772"/>
      <c r="AY1729" s="774"/>
      <c r="AZ1729" s="774"/>
    </row>
    <row r="1730" spans="1:52" s="178" customFormat="1" x14ac:dyDescent="0.25">
      <c r="A1730" s="615" t="s">
        <v>6620</v>
      </c>
      <c r="B1730" s="372" t="s">
        <v>5548</v>
      </c>
      <c r="C1730" s="372" t="s">
        <v>1296</v>
      </c>
      <c r="D1730" s="375" t="s">
        <v>7020</v>
      </c>
      <c r="E1730" s="375" t="s">
        <v>6603</v>
      </c>
      <c r="F1730" s="459">
        <f t="shared" si="772"/>
        <v>28.380000000000003</v>
      </c>
      <c r="G1730" s="535">
        <f t="shared" si="773"/>
        <v>28.380000000000003</v>
      </c>
      <c r="H1730" s="493">
        <f t="shared" si="774"/>
        <v>22.7</v>
      </c>
      <c r="I1730" s="711"/>
      <c r="J1730" s="669">
        <v>43951</v>
      </c>
      <c r="K1730" s="769"/>
      <c r="L1730" s="774"/>
      <c r="M1730" s="49">
        <f t="shared" si="775"/>
        <v>28.380000000000003</v>
      </c>
      <c r="N1730" s="41">
        <v>11.67</v>
      </c>
      <c r="O1730" s="391"/>
      <c r="P1730" s="392" t="s">
        <v>2828</v>
      </c>
      <c r="Q1730" s="392"/>
      <c r="R1730" s="392">
        <v>2019</v>
      </c>
      <c r="S1730" s="392"/>
      <c r="T1730" s="674">
        <f t="shared" si="781"/>
        <v>2.71</v>
      </c>
      <c r="U1730" s="179" t="s">
        <v>1017</v>
      </c>
      <c r="W1730" s="180"/>
      <c r="X1730" s="180"/>
      <c r="Z1730" s="178" t="s">
        <v>1017</v>
      </c>
      <c r="AA1730" s="180"/>
      <c r="AD1730" s="201"/>
      <c r="AE1730" s="200" t="s">
        <v>1017</v>
      </c>
      <c r="AF1730" s="180"/>
      <c r="AG1730" s="201"/>
      <c r="AH1730" s="773"/>
      <c r="AI1730" s="771"/>
      <c r="AJ1730" s="771"/>
      <c r="AK1730" s="771"/>
      <c r="AL1730" s="771"/>
      <c r="AM1730" s="771"/>
      <c r="AN1730" s="770"/>
      <c r="AO1730" s="770"/>
      <c r="AP1730" s="770"/>
      <c r="AQ1730" s="772"/>
      <c r="AR1730" s="216"/>
      <c r="AS1730" s="772"/>
      <c r="AT1730" s="774"/>
      <c r="AU1730" s="216"/>
      <c r="AV1730" s="772"/>
      <c r="AW1730" s="216"/>
      <c r="AX1730" s="772"/>
      <c r="AY1730" s="774"/>
      <c r="AZ1730" s="774"/>
    </row>
    <row r="1731" spans="1:52" s="178" customFormat="1" x14ac:dyDescent="0.25">
      <c r="A1731" s="615" t="s">
        <v>6611</v>
      </c>
      <c r="B1731" s="372" t="s">
        <v>5548</v>
      </c>
      <c r="C1731" s="372" t="s">
        <v>1296</v>
      </c>
      <c r="D1731" s="375" t="s">
        <v>7238</v>
      </c>
      <c r="E1731" s="375" t="s">
        <v>6603</v>
      </c>
      <c r="F1731" s="459">
        <f t="shared" si="772"/>
        <v>21.310000000000002</v>
      </c>
      <c r="G1731" s="535">
        <f t="shared" si="773"/>
        <v>21.310000000000002</v>
      </c>
      <c r="H1731" s="493">
        <f t="shared" si="774"/>
        <v>17.05</v>
      </c>
      <c r="I1731" s="711"/>
      <c r="J1731" s="669">
        <v>43951</v>
      </c>
      <c r="K1731" s="769"/>
      <c r="L1731" s="774"/>
      <c r="M1731" s="49">
        <f t="shared" si="775"/>
        <v>21.310000000000002</v>
      </c>
      <c r="N1731" s="41">
        <v>9.6</v>
      </c>
      <c r="O1731" s="391"/>
      <c r="P1731" s="392" t="s">
        <v>2828</v>
      </c>
      <c r="Q1731" s="392"/>
      <c r="R1731" s="392">
        <v>2019</v>
      </c>
      <c r="S1731" s="392"/>
      <c r="T1731" s="674">
        <f t="shared" si="781"/>
        <v>2.71</v>
      </c>
      <c r="U1731" s="179" t="s">
        <v>1017</v>
      </c>
      <c r="W1731" s="180"/>
      <c r="X1731" s="180"/>
      <c r="Z1731" s="180"/>
      <c r="AA1731" s="178" t="s">
        <v>1017</v>
      </c>
      <c r="AC1731" s="180"/>
      <c r="AD1731" s="182"/>
      <c r="AE1731" s="200"/>
      <c r="AF1731" s="180"/>
      <c r="AG1731" s="201"/>
      <c r="AH1731" s="773"/>
      <c r="AI1731" s="771"/>
      <c r="AJ1731" s="771"/>
      <c r="AK1731" s="771"/>
      <c r="AL1731" s="771"/>
      <c r="AM1731" s="771"/>
      <c r="AN1731" s="770"/>
      <c r="AO1731" s="770"/>
      <c r="AP1731" s="770"/>
      <c r="AQ1731" s="772"/>
      <c r="AR1731" s="216"/>
      <c r="AS1731" s="772"/>
      <c r="AT1731" s="774"/>
      <c r="AU1731" s="216"/>
      <c r="AV1731" s="772"/>
      <c r="AW1731" s="216"/>
      <c r="AX1731" s="772"/>
      <c r="AY1731" s="774"/>
      <c r="AZ1731" s="774"/>
    </row>
    <row r="1732" spans="1:52" s="774" customFormat="1" x14ac:dyDescent="0.25">
      <c r="A1732" s="615" t="s">
        <v>6613</v>
      </c>
      <c r="B1732" s="372" t="s">
        <v>5548</v>
      </c>
      <c r="C1732" s="372" t="s">
        <v>1296</v>
      </c>
      <c r="D1732" s="375" t="s">
        <v>7239</v>
      </c>
      <c r="E1732" s="375" t="s">
        <v>6603</v>
      </c>
      <c r="F1732" s="459">
        <f t="shared" si="772"/>
        <v>23.310000000000002</v>
      </c>
      <c r="G1732" s="535">
        <f t="shared" si="773"/>
        <v>23.310000000000002</v>
      </c>
      <c r="H1732" s="493">
        <f t="shared" si="774"/>
        <v>18.649999999999999</v>
      </c>
      <c r="I1732" s="711"/>
      <c r="J1732" s="669">
        <v>43951</v>
      </c>
      <c r="K1732" s="769"/>
      <c r="M1732" s="49">
        <f t="shared" si="775"/>
        <v>23.310000000000002</v>
      </c>
      <c r="N1732" s="41">
        <v>9.6</v>
      </c>
      <c r="O1732" s="391"/>
      <c r="P1732" s="392" t="s">
        <v>2828</v>
      </c>
      <c r="Q1732" s="392"/>
      <c r="R1732" s="392">
        <v>2019</v>
      </c>
      <c r="S1732" s="392"/>
      <c r="T1732" s="674">
        <f t="shared" si="781"/>
        <v>2.71</v>
      </c>
      <c r="U1732" s="185" t="s">
        <v>1017</v>
      </c>
      <c r="V1732" s="184"/>
      <c r="W1732" s="180"/>
      <c r="X1732" s="180"/>
      <c r="Y1732" s="178"/>
      <c r="Z1732" s="180"/>
      <c r="AA1732" s="184" t="s">
        <v>1017</v>
      </c>
      <c r="AB1732" s="184"/>
      <c r="AC1732" s="180"/>
      <c r="AD1732" s="182"/>
      <c r="AE1732" s="181" t="s">
        <v>1017</v>
      </c>
      <c r="AF1732" s="180"/>
      <c r="AG1732" s="201"/>
      <c r="AH1732" s="773"/>
      <c r="AI1732" s="771"/>
      <c r="AJ1732" s="771"/>
      <c r="AK1732" s="771"/>
      <c r="AL1732" s="771"/>
      <c r="AM1732" s="771"/>
      <c r="AN1732" s="770"/>
      <c r="AO1732" s="770"/>
      <c r="AP1732" s="770"/>
      <c r="AQ1732" s="772"/>
      <c r="AR1732" s="216"/>
      <c r="AS1732" s="772"/>
      <c r="AU1732" s="216"/>
      <c r="AV1732" s="772"/>
      <c r="AW1732" s="216"/>
      <c r="AX1732" s="772"/>
    </row>
    <row r="1733" spans="1:52" s="178" customFormat="1" x14ac:dyDescent="0.25">
      <c r="A1733" s="615" t="s">
        <v>6612</v>
      </c>
      <c r="B1733" s="372" t="s">
        <v>5548</v>
      </c>
      <c r="C1733" s="372" t="s">
        <v>1296</v>
      </c>
      <c r="D1733" s="375" t="s">
        <v>7393</v>
      </c>
      <c r="E1733" s="373" t="s">
        <v>6603</v>
      </c>
      <c r="F1733" s="459">
        <f t="shared" si="772"/>
        <v>15.350000000000001</v>
      </c>
      <c r="G1733" s="535">
        <f t="shared" si="773"/>
        <v>15.350000000000001</v>
      </c>
      <c r="H1733" s="493">
        <f t="shared" si="774"/>
        <v>12.28</v>
      </c>
      <c r="I1733" s="711"/>
      <c r="J1733" s="669">
        <v>43951</v>
      </c>
      <c r="K1733" s="769"/>
      <c r="L1733" s="774"/>
      <c r="M1733" s="49">
        <f t="shared" si="775"/>
        <v>15.350000000000001</v>
      </c>
      <c r="N1733" s="41">
        <v>8.64</v>
      </c>
      <c r="O1733" s="391"/>
      <c r="P1733" s="392" t="s">
        <v>2828</v>
      </c>
      <c r="Q1733" s="392"/>
      <c r="R1733" s="392">
        <v>2019</v>
      </c>
      <c r="S1733" s="392"/>
      <c r="T1733" s="674">
        <f t="shared" si="781"/>
        <v>2.71</v>
      </c>
      <c r="U1733" s="427"/>
      <c r="V1733" s="422"/>
      <c r="W1733" s="37" t="s">
        <v>1017</v>
      </c>
      <c r="X1733" s="37"/>
      <c r="Y1733" s="422"/>
      <c r="Z1733" s="422"/>
      <c r="AA1733" s="422"/>
      <c r="AB1733" s="422"/>
      <c r="AC1733" s="422"/>
      <c r="AD1733" s="423"/>
      <c r="AE1733" s="426"/>
      <c r="AF1733" s="422"/>
      <c r="AG1733" s="423"/>
      <c r="AH1733" s="773"/>
      <c r="AI1733" s="771"/>
      <c r="AJ1733" s="771"/>
      <c r="AK1733" s="771"/>
      <c r="AL1733" s="771"/>
      <c r="AM1733" s="771"/>
      <c r="AN1733" s="770"/>
      <c r="AO1733" s="770"/>
      <c r="AP1733" s="770"/>
      <c r="AQ1733" s="772"/>
      <c r="AR1733" s="216"/>
      <c r="AS1733" s="772"/>
      <c r="AT1733" s="774"/>
      <c r="AU1733" s="216"/>
      <c r="AV1733" s="772"/>
      <c r="AW1733" s="216"/>
      <c r="AX1733" s="772"/>
      <c r="AY1733" s="774"/>
      <c r="AZ1733" s="774"/>
    </row>
    <row r="1734" spans="1:52" s="178" customFormat="1" x14ac:dyDescent="0.25">
      <c r="A1734" s="615" t="s">
        <v>7529</v>
      </c>
      <c r="B1734" s="372" t="s">
        <v>5548</v>
      </c>
      <c r="C1734" s="372" t="s">
        <v>1296</v>
      </c>
      <c r="D1734" s="375" t="s">
        <v>7531</v>
      </c>
      <c r="E1734" s="375" t="s">
        <v>6615</v>
      </c>
      <c r="F1734" s="459">
        <f t="shared" si="772"/>
        <v>25.360000000000003</v>
      </c>
      <c r="G1734" s="544">
        <f t="shared" si="773"/>
        <v>25.360000000000003</v>
      </c>
      <c r="H1734" s="500">
        <f t="shared" si="774"/>
        <v>20.29</v>
      </c>
      <c r="I1734" s="711"/>
      <c r="J1734" s="669">
        <v>44351</v>
      </c>
      <c r="K1734" s="769"/>
      <c r="L1734" s="774"/>
      <c r="M1734" s="49">
        <f t="shared" si="775"/>
        <v>25.360000000000003</v>
      </c>
      <c r="N1734" s="41">
        <v>11.67</v>
      </c>
      <c r="O1734" s="391"/>
      <c r="P1734" s="392" t="s">
        <v>2828</v>
      </c>
      <c r="Q1734" s="392"/>
      <c r="R1734" s="392">
        <v>2020</v>
      </c>
      <c r="S1734" s="392" t="s">
        <v>4180</v>
      </c>
      <c r="T1734" s="674">
        <v>2.69</v>
      </c>
      <c r="U1734" s="179"/>
      <c r="W1734" s="180"/>
      <c r="X1734" s="180"/>
      <c r="Z1734" s="178" t="s">
        <v>1017</v>
      </c>
      <c r="AA1734" s="180"/>
      <c r="AD1734" s="201"/>
      <c r="AE1734" s="200"/>
      <c r="AF1734" s="180"/>
      <c r="AG1734" s="201"/>
      <c r="AH1734" s="773" t="s">
        <v>4179</v>
      </c>
      <c r="AI1734" s="771" t="str">
        <f>IF(AND($AH1734&lt;&gt;"",AH1734 =AH1733),"Gleich","")</f>
        <v/>
      </c>
      <c r="AJ1734" s="771" t="str">
        <f>IF(AND($AH1734&lt;&gt;"",A1734 =A1733),"Gleich","")</f>
        <v/>
      </c>
      <c r="AK1734" s="771" t="str">
        <f t="shared" ref="AK1734:AM1735" si="782">IF(AND($AH1734&lt;&gt;"",D1734 =D1733),"Gleich","")</f>
        <v/>
      </c>
      <c r="AL1734" s="771" t="str">
        <f t="shared" si="782"/>
        <v/>
      </c>
      <c r="AM1734" s="771" t="str">
        <f t="shared" si="782"/>
        <v/>
      </c>
      <c r="AN1734" s="770" t="str">
        <f t="shared" ref="AN1734:AN1797" si="783">IF(ISERROR(SEARCH("K1",A1734)),"","20"&amp;MID(A1734,SEARCH("K1",A1734)+1,2))</f>
        <v/>
      </c>
      <c r="AO1734" s="770" t="str">
        <f t="shared" ref="AO1734:AO1797" si="784">IF(ISERROR(SEARCH("erstmals 201",E1734)),"",MID(E1734,SEARCH("erstmals ",E1734)+9,4))</f>
        <v/>
      </c>
      <c r="AP1734" s="770" t="str">
        <f t="shared" ref="AP1734:AP1797" si="785">IF(R1734="x","2010",IF(S1734="x","2011",IF(T1734="x","2012","")))</f>
        <v/>
      </c>
      <c r="AQ1734" s="772" t="str">
        <f t="shared" ref="AQ1734:AQ1797" si="786">IF(OR(AH1734&lt;&gt;AN1734,AH1734&lt;&gt;AO1734,AH1734&lt;&gt;AP1734),"DIFF","")</f>
        <v>DIFF</v>
      </c>
      <c r="AR1734" s="216" t="str">
        <f t="shared" ref="AR1734:AR1797" si="787">IF(A1734="","",IF(ISERROR(SEARCH("K1",A1734)),A1734,LEFT(A1734,SEARCH("K1",A1734)+1)&amp;RIGHT(AH1734,1)&amp;MID(A1734,SEARCH("K1",A1734)+3,14)))</f>
        <v>BiK81M1K20--06</v>
      </c>
      <c r="AS1734" s="772" t="str">
        <f t="shared" ref="AS1734:AS1797" si="788">IF(OR(A1734&lt;&gt;AR1734),"DIFF","")</f>
        <v/>
      </c>
      <c r="AT1734" s="774">
        <f t="shared" ref="AT1734:AT1797" si="789">LEN(AR1734)</f>
        <v>14</v>
      </c>
      <c r="AU1734" s="216" t="str">
        <f t="shared" ref="AU1734:AU1797" si="790">IF(D1734="","",IF(OR(A1734="",ISERROR(SEARCH("erstmals 201",D1734))),D1734,LEFT(D1734,SEARCH("erstmals 201",D1734)+8) &amp; AH1734 &amp; MID(D1734,SEARCH("erstmals 201",D1734)+13,255)))</f>
        <v>0-0,15 MW, Bonusregeln M1, K erstmals 2020</v>
      </c>
      <c r="AV1734" s="772" t="str">
        <f t="shared" ref="AV1734:AV1797" si="791">IF(OR(D1734&lt;&gt;AU1734),"DIFF","")</f>
        <v/>
      </c>
      <c r="AW1734" s="216" t="str">
        <f t="shared" ref="AW1734:AW1797" si="792">IF(E1734="","",IF(OR(E1734="",ISERROR(SEARCH("erstmals 201",E1734))),E1734,LEFT(E1734,SEARCH("erstmals 201",E1734)+8) &amp; AH1734 &amp; MID(E1734,SEARCH("erstmals 201",E1734)+13,255)))</f>
        <v>Anteil KWK, erstmals 2020</v>
      </c>
      <c r="AX1734" s="772" t="str">
        <f t="shared" ref="AX1734:AX1797" si="793">IF(OR(E1734&lt;&gt;AW1734),"DIFF","")</f>
        <v/>
      </c>
      <c r="AY1734" s="774" t="str">
        <f t="shared" ref="AY1734:AY1797" si="794">IF(AH1734="2011","x",IF(AH1734="2012","","" &amp; S1734))</f>
        <v/>
      </c>
      <c r="AZ1734" s="774" t="str">
        <f t="shared" ref="AZ1734:AZ1797" si="795">IF(AH1734="2012","x",IF(AH1734="2011","","" &amp; T1734))</f>
        <v>x</v>
      </c>
    </row>
    <row r="1735" spans="1:52" s="178" customFormat="1" x14ac:dyDescent="0.25">
      <c r="A1735" s="615" t="s">
        <v>7530</v>
      </c>
      <c r="B1735" s="372" t="s">
        <v>5548</v>
      </c>
      <c r="C1735" s="372" t="s">
        <v>1296</v>
      </c>
      <c r="D1735" s="375" t="s">
        <v>7532</v>
      </c>
      <c r="E1735" s="375" t="s">
        <v>6615</v>
      </c>
      <c r="F1735" s="459">
        <f t="shared" si="772"/>
        <v>20.290000000000003</v>
      </c>
      <c r="G1735" s="544">
        <f t="shared" si="773"/>
        <v>20.290000000000003</v>
      </c>
      <c r="H1735" s="500">
        <f t="shared" si="774"/>
        <v>16.23</v>
      </c>
      <c r="I1735" s="711"/>
      <c r="J1735" s="669">
        <v>44351</v>
      </c>
      <c r="K1735" s="769"/>
      <c r="L1735" s="774"/>
      <c r="M1735" s="49">
        <f t="shared" si="775"/>
        <v>20.290000000000003</v>
      </c>
      <c r="N1735" s="41">
        <v>9.6</v>
      </c>
      <c r="O1735" s="391"/>
      <c r="P1735" s="392" t="s">
        <v>2828</v>
      </c>
      <c r="Q1735" s="392"/>
      <c r="R1735" s="392">
        <v>2020</v>
      </c>
      <c r="S1735" s="392" t="s">
        <v>4180</v>
      </c>
      <c r="T1735" s="674">
        <v>2.69</v>
      </c>
      <c r="U1735" s="179"/>
      <c r="W1735" s="180"/>
      <c r="X1735" s="180"/>
      <c r="Z1735" s="180"/>
      <c r="AA1735" s="178" t="s">
        <v>1017</v>
      </c>
      <c r="AC1735" s="180"/>
      <c r="AD1735" s="182"/>
      <c r="AE1735" s="200"/>
      <c r="AF1735" s="180"/>
      <c r="AG1735" s="201"/>
      <c r="AH1735" s="773" t="s">
        <v>4179</v>
      </c>
      <c r="AI1735" s="771" t="str">
        <f>IF(AND($AH1735&lt;&gt;"",AH1735 =AH1734),"Gleich","")</f>
        <v>Gleich</v>
      </c>
      <c r="AJ1735" s="771" t="str">
        <f>IF(AND($AH1735&lt;&gt;"",A1735 =A1734),"Gleich","")</f>
        <v/>
      </c>
      <c r="AK1735" s="771" t="str">
        <f t="shared" si="782"/>
        <v/>
      </c>
      <c r="AL1735" s="771" t="str">
        <f t="shared" si="782"/>
        <v>Gleich</v>
      </c>
      <c r="AM1735" s="771" t="str">
        <f t="shared" si="782"/>
        <v/>
      </c>
      <c r="AN1735" s="770" t="str">
        <f t="shared" si="783"/>
        <v/>
      </c>
      <c r="AO1735" s="770" t="str">
        <f t="shared" si="784"/>
        <v/>
      </c>
      <c r="AP1735" s="770" t="str">
        <f t="shared" si="785"/>
        <v/>
      </c>
      <c r="AQ1735" s="772" t="str">
        <f t="shared" si="786"/>
        <v>DIFF</v>
      </c>
      <c r="AR1735" s="216" t="str">
        <f t="shared" si="787"/>
        <v>BiK82M2K20--06</v>
      </c>
      <c r="AS1735" s="772" t="str">
        <f t="shared" si="788"/>
        <v/>
      </c>
      <c r="AT1735" s="774">
        <f t="shared" si="789"/>
        <v>14</v>
      </c>
      <c r="AU1735" s="216" t="str">
        <f t="shared" si="790"/>
        <v>0,15-0,5 MW, Bonusregeln M2, K erstmals 2020</v>
      </c>
      <c r="AV1735" s="772" t="str">
        <f t="shared" si="791"/>
        <v/>
      </c>
      <c r="AW1735" s="216" t="str">
        <f t="shared" si="792"/>
        <v>Anteil KWK, erstmals 2020</v>
      </c>
      <c r="AX1735" s="772" t="str">
        <f t="shared" si="793"/>
        <v/>
      </c>
      <c r="AY1735" s="774" t="str">
        <f t="shared" si="794"/>
        <v/>
      </c>
      <c r="AZ1735" s="774" t="str">
        <f t="shared" si="795"/>
        <v>x</v>
      </c>
    </row>
    <row r="1736" spans="1:52" x14ac:dyDescent="0.25">
      <c r="A1736" s="609" t="s">
        <v>4180</v>
      </c>
      <c r="B1736" s="1"/>
      <c r="C1736" s="1"/>
      <c r="D1736" s="2" t="s">
        <v>4180</v>
      </c>
      <c r="E1736" s="1" t="s">
        <v>4180</v>
      </c>
      <c r="F1736" s="457"/>
      <c r="G1736" s="532"/>
      <c r="H1736" s="490"/>
      <c r="I1736" s="709"/>
      <c r="J1736" s="669" t="s">
        <v>4180</v>
      </c>
      <c r="K1736" s="15"/>
      <c r="M1736" s="29"/>
      <c r="N1736" s="29"/>
      <c r="O1736" s="54"/>
      <c r="P1736" s="15"/>
      <c r="S1736" t="s">
        <v>4180</v>
      </c>
      <c r="T1736" t="s">
        <v>4180</v>
      </c>
      <c r="U1736" s="55"/>
      <c r="AD1736" s="92"/>
      <c r="AE1736" s="124"/>
      <c r="AG1736" s="92"/>
      <c r="AH1736" s="212" t="str">
        <f t="shared" ref="AH1736:AH1747" si="796">IF(ISERROR(SEARCH("K erstmals 201",D1736)),"",RIGHT(D1736,4))</f>
        <v/>
      </c>
      <c r="AI1736" s="214" t="str">
        <f>IF(AND($AH1736&lt;&gt;"",AH1736 =AH1693),"Gleich","")</f>
        <v/>
      </c>
      <c r="AJ1736" s="214" t="str">
        <f>IF(AND($AH1736&lt;&gt;"",A1736 =A1693),"Gleich","")</f>
        <v/>
      </c>
      <c r="AK1736" s="214" t="str">
        <f>IF(AND($AH1736&lt;&gt;"",D1736 =D1693),"Gleich","")</f>
        <v/>
      </c>
      <c r="AL1736" s="214" t="str">
        <f>IF(AND($AH1736&lt;&gt;"",E1736 =E1693),"Gleich","")</f>
        <v/>
      </c>
      <c r="AM1736" s="214" t="str">
        <f>IF(AND($AH1736&lt;&gt;"",F1736 =F1693),"Gleich","")</f>
        <v/>
      </c>
      <c r="AN1736" s="213" t="str">
        <f t="shared" si="783"/>
        <v/>
      </c>
      <c r="AO1736" s="213" t="str">
        <f t="shared" si="784"/>
        <v/>
      </c>
      <c r="AP1736" s="213" t="str">
        <f t="shared" si="785"/>
        <v/>
      </c>
      <c r="AQ1736" s="215" t="str">
        <f t="shared" si="786"/>
        <v/>
      </c>
      <c r="AR1736" s="216" t="str">
        <f t="shared" si="787"/>
        <v/>
      </c>
      <c r="AS1736" s="215" t="str">
        <f t="shared" si="788"/>
        <v/>
      </c>
      <c r="AT1736">
        <f t="shared" si="789"/>
        <v>0</v>
      </c>
      <c r="AU1736" s="216" t="str">
        <f t="shared" si="790"/>
        <v/>
      </c>
      <c r="AV1736" s="215" t="str">
        <f t="shared" si="791"/>
        <v/>
      </c>
      <c r="AW1736" s="216" t="str">
        <f t="shared" si="792"/>
        <v/>
      </c>
      <c r="AX1736" s="215" t="str">
        <f t="shared" si="793"/>
        <v/>
      </c>
      <c r="AY1736" t="str">
        <f t="shared" si="794"/>
        <v/>
      </c>
      <c r="AZ1736" t="str">
        <f t="shared" si="795"/>
        <v/>
      </c>
    </row>
    <row r="1737" spans="1:52" ht="15.75" x14ac:dyDescent="0.25">
      <c r="A1737" s="609" t="s">
        <v>4180</v>
      </c>
      <c r="B1737" s="1"/>
      <c r="C1737" s="1"/>
      <c r="D1737" s="2" t="s">
        <v>4180</v>
      </c>
      <c r="E1737" s="1" t="s">
        <v>4180</v>
      </c>
      <c r="F1737" s="457"/>
      <c r="G1737" s="532"/>
      <c r="H1737" s="490"/>
      <c r="I1737" s="709"/>
      <c r="J1737" s="669" t="s">
        <v>4180</v>
      </c>
      <c r="K1737" s="15"/>
      <c r="M1737" s="68" t="s">
        <v>2240</v>
      </c>
      <c r="N1737" s="39"/>
      <c r="O1737" s="61"/>
      <c r="P1737" s="29"/>
      <c r="U1737" s="55"/>
      <c r="AD1737" s="92"/>
      <c r="AE1737" s="124"/>
      <c r="AG1737" s="92"/>
      <c r="AH1737" s="212" t="str">
        <f t="shared" si="796"/>
        <v/>
      </c>
      <c r="AI1737" s="214" t="str">
        <f t="shared" ref="AI1737:AI1800" si="797">IF(AND($AH1737&lt;&gt;"",AH1737 =AH1736),"Gleich","")</f>
        <v/>
      </c>
      <c r="AJ1737" s="214" t="str">
        <f t="shared" ref="AJ1737:AJ1800" si="798">IF(AND($AH1737&lt;&gt;"",A1737 =A1736),"Gleich","")</f>
        <v/>
      </c>
      <c r="AK1737" s="214" t="str">
        <f t="shared" ref="AK1737:AK1800" si="799">IF(AND($AH1737&lt;&gt;"",D1737 =D1736),"Gleich","")</f>
        <v/>
      </c>
      <c r="AL1737" s="214" t="str">
        <f t="shared" ref="AL1737:AL1800" si="800">IF(AND($AH1737&lt;&gt;"",E1737 =E1736),"Gleich","")</f>
        <v/>
      </c>
      <c r="AM1737" s="214" t="str">
        <f t="shared" ref="AM1737:AM1800" si="801">IF(AND($AH1737&lt;&gt;"",F1737 =F1736),"Gleich","")</f>
        <v/>
      </c>
      <c r="AN1737" s="213" t="str">
        <f t="shared" si="783"/>
        <v/>
      </c>
      <c r="AO1737" s="213" t="str">
        <f t="shared" si="784"/>
        <v/>
      </c>
      <c r="AP1737" s="213" t="str">
        <f t="shared" si="785"/>
        <v/>
      </c>
      <c r="AQ1737" s="215" t="str">
        <f t="shared" si="786"/>
        <v/>
      </c>
      <c r="AR1737" s="216" t="str">
        <f t="shared" si="787"/>
        <v/>
      </c>
      <c r="AS1737" s="215" t="str">
        <f t="shared" si="788"/>
        <v/>
      </c>
      <c r="AT1737">
        <f t="shared" si="789"/>
        <v>0</v>
      </c>
      <c r="AU1737" s="216" t="str">
        <f t="shared" si="790"/>
        <v/>
      </c>
      <c r="AV1737" s="215" t="str">
        <f t="shared" si="791"/>
        <v/>
      </c>
      <c r="AW1737" s="216" t="str">
        <f t="shared" si="792"/>
        <v/>
      </c>
      <c r="AX1737" s="215" t="str">
        <f t="shared" si="793"/>
        <v/>
      </c>
      <c r="AY1737" t="str">
        <f t="shared" si="794"/>
        <v/>
      </c>
      <c r="AZ1737" t="str">
        <f t="shared" si="795"/>
        <v/>
      </c>
    </row>
    <row r="1738" spans="1:52" x14ac:dyDescent="0.25">
      <c r="A1738" s="609" t="s">
        <v>4180</v>
      </c>
      <c r="B1738" s="1"/>
      <c r="C1738" s="1"/>
      <c r="D1738" s="2" t="s">
        <v>4180</v>
      </c>
      <c r="E1738" s="1" t="s">
        <v>4180</v>
      </c>
      <c r="F1738" s="457"/>
      <c r="G1738" s="532"/>
      <c r="H1738" s="490"/>
      <c r="I1738" s="709"/>
      <c r="J1738" s="669" t="s">
        <v>4180</v>
      </c>
      <c r="K1738" s="15"/>
      <c r="N1738" s="35"/>
      <c r="O1738" s="43" t="s">
        <v>2659</v>
      </c>
      <c r="P1738" s="29"/>
      <c r="Q1738" s="12">
        <v>2009</v>
      </c>
      <c r="R1738" s="12">
        <v>2010</v>
      </c>
      <c r="S1738" s="12">
        <v>2011</v>
      </c>
      <c r="T1738" s="12">
        <v>2012</v>
      </c>
      <c r="U1738" s="55"/>
      <c r="V1738" s="35" t="s">
        <v>778</v>
      </c>
      <c r="AD1738" s="92"/>
      <c r="AE1738" s="43" t="s">
        <v>827</v>
      </c>
      <c r="AG1738" s="92"/>
      <c r="AH1738" s="212" t="str">
        <f t="shared" si="796"/>
        <v/>
      </c>
      <c r="AI1738" s="214" t="str">
        <f t="shared" si="797"/>
        <v/>
      </c>
      <c r="AJ1738" s="214" t="str">
        <f t="shared" si="798"/>
        <v/>
      </c>
      <c r="AK1738" s="214" t="str">
        <f t="shared" si="799"/>
        <v/>
      </c>
      <c r="AL1738" s="214" t="str">
        <f t="shared" si="800"/>
        <v/>
      </c>
      <c r="AM1738" s="214" t="str">
        <f t="shared" si="801"/>
        <v/>
      </c>
      <c r="AN1738" s="213" t="str">
        <f t="shared" si="783"/>
        <v/>
      </c>
      <c r="AO1738" s="213" t="str">
        <f t="shared" si="784"/>
        <v/>
      </c>
      <c r="AP1738" s="213" t="str">
        <f t="shared" si="785"/>
        <v/>
      </c>
      <c r="AQ1738" s="215" t="str">
        <f t="shared" si="786"/>
        <v/>
      </c>
      <c r="AR1738" s="216" t="str">
        <f t="shared" si="787"/>
        <v/>
      </c>
      <c r="AS1738" s="215" t="str">
        <f t="shared" si="788"/>
        <v/>
      </c>
      <c r="AT1738">
        <f t="shared" si="789"/>
        <v>0</v>
      </c>
      <c r="AU1738" s="216" t="str">
        <f t="shared" si="790"/>
        <v/>
      </c>
      <c r="AV1738" s="215" t="str">
        <f t="shared" si="791"/>
        <v/>
      </c>
      <c r="AW1738" s="216" t="str">
        <f t="shared" si="792"/>
        <v/>
      </c>
      <c r="AX1738" s="215" t="str">
        <f t="shared" si="793"/>
        <v/>
      </c>
      <c r="AY1738" t="str">
        <f t="shared" si="794"/>
        <v>2011</v>
      </c>
      <c r="AZ1738" t="str">
        <f t="shared" si="795"/>
        <v>2012</v>
      </c>
    </row>
    <row r="1739" spans="1:52" ht="90.75" x14ac:dyDescent="0.25">
      <c r="A1739" s="609" t="s">
        <v>4180</v>
      </c>
      <c r="B1739" s="1"/>
      <c r="C1739" s="1"/>
      <c r="D1739" s="2" t="s">
        <v>4180</v>
      </c>
      <c r="E1739" s="1" t="s">
        <v>4180</v>
      </c>
      <c r="F1739" s="457"/>
      <c r="G1739" s="532"/>
      <c r="H1739" s="490"/>
      <c r="I1739" s="709"/>
      <c r="J1739" s="669" t="s">
        <v>4180</v>
      </c>
      <c r="K1739" s="15"/>
      <c r="M1739" s="48" t="s">
        <v>2914</v>
      </c>
      <c r="N1739" s="42" t="s">
        <v>2913</v>
      </c>
      <c r="O1739" s="44" t="s">
        <v>825</v>
      </c>
      <c r="P1739" s="42" t="s">
        <v>3008</v>
      </c>
      <c r="Q1739" s="42" t="s">
        <v>1013</v>
      </c>
      <c r="R1739" s="42" t="s">
        <v>1264</v>
      </c>
      <c r="S1739" s="42" t="s">
        <v>1482</v>
      </c>
      <c r="T1739" s="42" t="s">
        <v>4161</v>
      </c>
      <c r="U1739" s="80" t="s">
        <v>771</v>
      </c>
      <c r="V1739" s="42" t="s">
        <v>1021</v>
      </c>
      <c r="W1739" s="42" t="s">
        <v>1029</v>
      </c>
      <c r="X1739" s="42" t="s">
        <v>786</v>
      </c>
      <c r="Y1739" s="79" t="s">
        <v>4884</v>
      </c>
      <c r="Z1739" s="79" t="s">
        <v>5520</v>
      </c>
      <c r="AA1739" s="79" t="s">
        <v>5521</v>
      </c>
      <c r="AB1739" s="79" t="s">
        <v>5522</v>
      </c>
      <c r="AC1739" s="79" t="s">
        <v>4853</v>
      </c>
      <c r="AD1739" s="79" t="s">
        <v>770</v>
      </c>
      <c r="AE1739" s="44" t="s">
        <v>824</v>
      </c>
      <c r="AF1739" s="63"/>
      <c r="AG1739" s="63"/>
      <c r="AH1739" s="212" t="str">
        <f t="shared" si="796"/>
        <v/>
      </c>
      <c r="AI1739" s="214" t="str">
        <f t="shared" si="797"/>
        <v/>
      </c>
      <c r="AJ1739" s="214" t="str">
        <f t="shared" si="798"/>
        <v/>
      </c>
      <c r="AK1739" s="214" t="str">
        <f t="shared" si="799"/>
        <v/>
      </c>
      <c r="AL1739" s="214" t="str">
        <f t="shared" si="800"/>
        <v/>
      </c>
      <c r="AM1739" s="214" t="str">
        <f t="shared" si="801"/>
        <v/>
      </c>
      <c r="AN1739" s="213" t="str">
        <f t="shared" si="783"/>
        <v/>
      </c>
      <c r="AO1739" s="213" t="str">
        <f t="shared" si="784"/>
        <v/>
      </c>
      <c r="AP1739" s="213" t="str">
        <f t="shared" si="785"/>
        <v/>
      </c>
      <c r="AQ1739" s="215" t="str">
        <f t="shared" si="786"/>
        <v/>
      </c>
      <c r="AR1739" s="216" t="str">
        <f t="shared" si="787"/>
        <v/>
      </c>
      <c r="AS1739" s="215" t="str">
        <f t="shared" si="788"/>
        <v/>
      </c>
      <c r="AT1739">
        <f t="shared" si="789"/>
        <v>0</v>
      </c>
      <c r="AU1739" s="216" t="str">
        <f t="shared" si="790"/>
        <v/>
      </c>
      <c r="AV1739" s="215" t="str">
        <f t="shared" si="791"/>
        <v/>
      </c>
      <c r="AW1739" s="216" t="str">
        <f t="shared" si="792"/>
        <v/>
      </c>
      <c r="AX1739" s="215" t="str">
        <f t="shared" si="793"/>
        <v/>
      </c>
      <c r="AY1739" t="str">
        <f t="shared" si="794"/>
        <v>erstmals KWK in 2011</v>
      </c>
      <c r="AZ1739" t="str">
        <f t="shared" si="795"/>
        <v>erstmals KWK in 2012</v>
      </c>
    </row>
    <row r="1740" spans="1:52" ht="34.5" x14ac:dyDescent="0.25">
      <c r="A1740" s="609" t="s">
        <v>4180</v>
      </c>
      <c r="B1740" s="1"/>
      <c r="C1740" s="1"/>
      <c r="D1740" s="2" t="s">
        <v>4180</v>
      </c>
      <c r="E1740" s="1" t="s">
        <v>4180</v>
      </c>
      <c r="F1740" s="457"/>
      <c r="G1740" s="532"/>
      <c r="H1740" s="490"/>
      <c r="I1740" s="709"/>
      <c r="J1740" s="669" t="s">
        <v>4180</v>
      </c>
      <c r="K1740" s="15"/>
      <c r="M1740" s="46"/>
      <c r="N1740" s="42"/>
      <c r="O1740" s="44" t="s">
        <v>1014</v>
      </c>
      <c r="P1740" s="42" t="s">
        <v>1015</v>
      </c>
      <c r="Q1740" s="42" t="s">
        <v>1016</v>
      </c>
      <c r="R1740" s="42" t="s">
        <v>1265</v>
      </c>
      <c r="S1740" s="42" t="s">
        <v>3490</v>
      </c>
      <c r="T1740" s="118" t="s">
        <v>4162</v>
      </c>
      <c r="U1740" s="56" t="s">
        <v>1018</v>
      </c>
      <c r="V1740" s="42" t="s">
        <v>1019</v>
      </c>
      <c r="W1740" s="42" t="s">
        <v>1020</v>
      </c>
      <c r="X1740" s="42" t="s">
        <v>4069</v>
      </c>
      <c r="Y1740" s="42" t="s">
        <v>1023</v>
      </c>
      <c r="Z1740" s="42" t="s">
        <v>1024</v>
      </c>
      <c r="AA1740" s="42" t="s">
        <v>1025</v>
      </c>
      <c r="AB1740" s="42" t="s">
        <v>1026</v>
      </c>
      <c r="AC1740" s="42" t="s">
        <v>1028</v>
      </c>
      <c r="AD1740" s="42" t="s">
        <v>1027</v>
      </c>
      <c r="AE1740" s="44" t="s">
        <v>826</v>
      </c>
      <c r="AF1740" s="63"/>
      <c r="AG1740" s="63"/>
      <c r="AH1740" s="212" t="str">
        <f t="shared" si="796"/>
        <v/>
      </c>
      <c r="AI1740" s="214" t="str">
        <f t="shared" si="797"/>
        <v/>
      </c>
      <c r="AJ1740" s="214" t="str">
        <f t="shared" si="798"/>
        <v/>
      </c>
      <c r="AK1740" s="214" t="str">
        <f t="shared" si="799"/>
        <v/>
      </c>
      <c r="AL1740" s="214" t="str">
        <f t="shared" si="800"/>
        <v/>
      </c>
      <c r="AM1740" s="214" t="str">
        <f t="shared" si="801"/>
        <v/>
      </c>
      <c r="AN1740" s="213" t="str">
        <f t="shared" si="783"/>
        <v/>
      </c>
      <c r="AO1740" s="213" t="str">
        <f t="shared" si="784"/>
        <v/>
      </c>
      <c r="AP1740" s="213" t="str">
        <f t="shared" si="785"/>
        <v/>
      </c>
      <c r="AQ1740" s="215" t="str">
        <f t="shared" si="786"/>
        <v/>
      </c>
      <c r="AR1740" s="216" t="str">
        <f t="shared" si="787"/>
        <v/>
      </c>
      <c r="AS1740" s="215" t="str">
        <f t="shared" si="788"/>
        <v/>
      </c>
      <c r="AT1740">
        <f t="shared" si="789"/>
        <v>0</v>
      </c>
      <c r="AU1740" s="216" t="str">
        <f t="shared" si="790"/>
        <v/>
      </c>
      <c r="AV1740" s="215" t="str">
        <f t="shared" si="791"/>
        <v/>
      </c>
      <c r="AW1740" s="216" t="str">
        <f t="shared" si="792"/>
        <v/>
      </c>
      <c r="AX1740" s="215" t="str">
        <f t="shared" si="793"/>
        <v/>
      </c>
      <c r="AY1740" t="str">
        <f t="shared" si="794"/>
        <v>"K11"</v>
      </c>
      <c r="AZ1740" t="str">
        <f t="shared" si="795"/>
        <v>"K12"</v>
      </c>
    </row>
    <row r="1741" spans="1:52" x14ac:dyDescent="0.25">
      <c r="A1741" s="609" t="s">
        <v>4180</v>
      </c>
      <c r="B1741" s="1"/>
      <c r="C1741" s="1"/>
      <c r="D1741" s="2" t="s">
        <v>4180</v>
      </c>
      <c r="E1741" s="1" t="s">
        <v>4180</v>
      </c>
      <c r="F1741" s="457"/>
      <c r="G1741" s="532"/>
      <c r="H1741" s="490"/>
      <c r="I1741" s="709"/>
      <c r="J1741" s="669" t="s">
        <v>4180</v>
      </c>
      <c r="K1741" s="15"/>
      <c r="M1741" s="92"/>
      <c r="N1741" s="41"/>
      <c r="O1741" s="93">
        <v>2</v>
      </c>
      <c r="P1741" s="41">
        <v>3</v>
      </c>
      <c r="Q1741" s="41">
        <v>3</v>
      </c>
      <c r="R1741" s="41">
        <f>ROUND($Q1741*0.99^(R1738-$Q1738),2)</f>
        <v>2.97</v>
      </c>
      <c r="S1741" s="41">
        <f>ROUND($Q1741*0.99^(S1738-$Q1738),2)</f>
        <v>2.94</v>
      </c>
      <c r="T1741" s="41">
        <f>ROUND($Q1741*0.99^(T1738-$Q1738),2)</f>
        <v>2.91</v>
      </c>
      <c r="U1741" s="198">
        <v>1</v>
      </c>
      <c r="V1741" s="41">
        <v>6</v>
      </c>
      <c r="W1741" s="41">
        <v>4</v>
      </c>
      <c r="X1741" s="41">
        <v>2.5</v>
      </c>
      <c r="Y1741" s="41">
        <v>7</v>
      </c>
      <c r="Z1741" s="41">
        <v>11</v>
      </c>
      <c r="AA1741" s="41">
        <v>8</v>
      </c>
      <c r="AB1741" s="41">
        <v>9</v>
      </c>
      <c r="AC1741" s="41">
        <v>13</v>
      </c>
      <c r="AD1741" s="41">
        <v>10</v>
      </c>
      <c r="AE1741" s="93">
        <v>2</v>
      </c>
      <c r="AF1741" s="202"/>
      <c r="AG1741" s="202"/>
      <c r="AH1741" s="212" t="str">
        <f t="shared" si="796"/>
        <v/>
      </c>
      <c r="AI1741" s="214" t="str">
        <f t="shared" si="797"/>
        <v/>
      </c>
      <c r="AJ1741" s="214" t="str">
        <f t="shared" si="798"/>
        <v/>
      </c>
      <c r="AK1741" s="214" t="str">
        <f t="shared" si="799"/>
        <v/>
      </c>
      <c r="AL1741" s="214" t="str">
        <f t="shared" si="800"/>
        <v/>
      </c>
      <c r="AM1741" s="214" t="str">
        <f t="shared" si="801"/>
        <v/>
      </c>
      <c r="AN1741" s="213" t="str">
        <f t="shared" si="783"/>
        <v/>
      </c>
      <c r="AO1741" s="213" t="str">
        <f t="shared" si="784"/>
        <v/>
      </c>
      <c r="AP1741" s="213" t="str">
        <f t="shared" si="785"/>
        <v/>
      </c>
      <c r="AQ1741" s="215" t="str">
        <f t="shared" si="786"/>
        <v/>
      </c>
      <c r="AR1741" s="216" t="str">
        <f t="shared" si="787"/>
        <v/>
      </c>
      <c r="AS1741" s="215" t="str">
        <f t="shared" si="788"/>
        <v/>
      </c>
      <c r="AT1741">
        <f t="shared" si="789"/>
        <v>0</v>
      </c>
      <c r="AU1741" s="216" t="str">
        <f t="shared" si="790"/>
        <v/>
      </c>
      <c r="AV1741" s="215" t="str">
        <f t="shared" si="791"/>
        <v/>
      </c>
      <c r="AW1741" s="216" t="str">
        <f t="shared" si="792"/>
        <v/>
      </c>
      <c r="AX1741" s="215" t="str">
        <f t="shared" si="793"/>
        <v/>
      </c>
      <c r="AY1741" t="str">
        <f t="shared" si="794"/>
        <v>2,94</v>
      </c>
      <c r="AZ1741" t="str">
        <f t="shared" si="795"/>
        <v>2,91</v>
      </c>
    </row>
    <row r="1742" spans="1:52" x14ac:dyDescent="0.25">
      <c r="A1742" s="618" t="s">
        <v>533</v>
      </c>
      <c r="B1742" s="31" t="s">
        <v>5548</v>
      </c>
      <c r="C1742" s="31" t="s">
        <v>1304</v>
      </c>
      <c r="D1742" s="31" t="s">
        <v>1780</v>
      </c>
      <c r="E1742" s="31" t="s">
        <v>4810</v>
      </c>
      <c r="F1742" s="460">
        <f t="shared" ref="F1742:F1805" si="802">M1742</f>
        <v>11.67</v>
      </c>
      <c r="G1742" s="536">
        <v>11.67</v>
      </c>
      <c r="H1742" s="494">
        <f t="shared" ref="H1742:H1805" si="803">IF(ISNUMBER(G1742),ROUND(0.8*G1742,2),"")</f>
        <v>9.34</v>
      </c>
      <c r="I1742" s="713"/>
      <c r="J1742" s="669" t="s">
        <v>5805</v>
      </c>
      <c r="K1742" s="15"/>
      <c r="M1742" s="49">
        <f t="shared" ref="M1742:M1805" si="804">N1742+SUMIF(O1742:AG1742,"x",O$1741:AG$1741)</f>
        <v>11.67</v>
      </c>
      <c r="N1742" s="41">
        <v>11.67</v>
      </c>
      <c r="O1742" s="54"/>
      <c r="P1742" s="15"/>
      <c r="S1742" t="s">
        <v>4180</v>
      </c>
      <c r="T1742" t="s">
        <v>4180</v>
      </c>
      <c r="U1742" s="55"/>
      <c r="W1742" s="65"/>
      <c r="X1742" s="65"/>
      <c r="AA1742" s="65"/>
      <c r="AD1742" s="91"/>
      <c r="AE1742" s="124"/>
      <c r="AF1742" s="65"/>
      <c r="AG1742" s="91"/>
      <c r="AH1742" s="212" t="str">
        <f t="shared" si="796"/>
        <v/>
      </c>
      <c r="AI1742" s="214" t="str">
        <f t="shared" si="797"/>
        <v/>
      </c>
      <c r="AJ1742" s="214" t="str">
        <f t="shared" si="798"/>
        <v/>
      </c>
      <c r="AK1742" s="214" t="str">
        <f t="shared" si="799"/>
        <v/>
      </c>
      <c r="AL1742" s="214" t="str">
        <f t="shared" si="800"/>
        <v/>
      </c>
      <c r="AM1742" s="214" t="str">
        <f t="shared" si="801"/>
        <v/>
      </c>
      <c r="AN1742" s="213" t="str">
        <f t="shared" si="783"/>
        <v/>
      </c>
      <c r="AO1742" s="213" t="str">
        <f t="shared" si="784"/>
        <v/>
      </c>
      <c r="AP1742" s="213" t="str">
        <f t="shared" si="785"/>
        <v/>
      </c>
      <c r="AQ1742" s="215" t="str">
        <f t="shared" si="786"/>
        <v/>
      </c>
      <c r="AR1742" s="216" t="str">
        <f t="shared" si="787"/>
        <v>BiK81-------07</v>
      </c>
      <c r="AS1742" s="215" t="str">
        <f t="shared" si="788"/>
        <v/>
      </c>
      <c r="AT1742">
        <f t="shared" si="789"/>
        <v>14</v>
      </c>
      <c r="AU1742" s="216" t="str">
        <f t="shared" si="790"/>
        <v>0-0,15 MW</v>
      </c>
      <c r="AV1742" s="215" t="str">
        <f t="shared" si="791"/>
        <v/>
      </c>
      <c r="AW1742" s="216" t="str">
        <f t="shared" si="792"/>
        <v>Anteil Nicht-KWK</v>
      </c>
      <c r="AX1742" s="215" t="str">
        <f t="shared" si="793"/>
        <v/>
      </c>
      <c r="AY1742" t="str">
        <f t="shared" si="794"/>
        <v/>
      </c>
      <c r="AZ1742" t="str">
        <f t="shared" si="795"/>
        <v/>
      </c>
    </row>
    <row r="1743" spans="1:52" x14ac:dyDescent="0.25">
      <c r="A1743" s="618" t="s">
        <v>534</v>
      </c>
      <c r="B1743" s="31" t="s">
        <v>5548</v>
      </c>
      <c r="C1743" s="31" t="s">
        <v>1304</v>
      </c>
      <c r="D1743" s="32" t="s">
        <v>6868</v>
      </c>
      <c r="E1743" s="31" t="s">
        <v>4812</v>
      </c>
      <c r="F1743" s="460">
        <f t="shared" si="802"/>
        <v>13.67</v>
      </c>
      <c r="G1743" s="536">
        <v>13.67</v>
      </c>
      <c r="H1743" s="494">
        <f t="shared" si="803"/>
        <v>10.94</v>
      </c>
      <c r="I1743" s="713"/>
      <c r="J1743" s="669" t="s">
        <v>5805</v>
      </c>
      <c r="K1743" s="15"/>
      <c r="M1743" s="49">
        <f t="shared" si="804"/>
        <v>13.67</v>
      </c>
      <c r="N1743" s="41">
        <v>11.67</v>
      </c>
      <c r="O1743" s="54" t="s">
        <v>1017</v>
      </c>
      <c r="P1743" s="15"/>
      <c r="S1743" t="s">
        <v>4180</v>
      </c>
      <c r="T1743" t="s">
        <v>4180</v>
      </c>
      <c r="U1743" s="55"/>
      <c r="W1743" s="65"/>
      <c r="X1743" s="65"/>
      <c r="AA1743" s="65"/>
      <c r="AD1743" s="91"/>
      <c r="AE1743" s="124"/>
      <c r="AF1743" s="65"/>
      <c r="AG1743" s="91"/>
      <c r="AH1743" s="212" t="str">
        <f t="shared" si="796"/>
        <v/>
      </c>
      <c r="AI1743" s="214" t="str">
        <f t="shared" si="797"/>
        <v/>
      </c>
      <c r="AJ1743" s="214" t="str">
        <f t="shared" si="798"/>
        <v/>
      </c>
      <c r="AK1743" s="214" t="str">
        <f t="shared" si="799"/>
        <v/>
      </c>
      <c r="AL1743" s="214" t="str">
        <f t="shared" si="800"/>
        <v/>
      </c>
      <c r="AM1743" s="214" t="str">
        <f t="shared" si="801"/>
        <v/>
      </c>
      <c r="AN1743" s="213" t="str">
        <f t="shared" si="783"/>
        <v/>
      </c>
      <c r="AO1743" s="213" t="str">
        <f t="shared" si="784"/>
        <v/>
      </c>
      <c r="AP1743" s="213" t="str">
        <f t="shared" si="785"/>
        <v/>
      </c>
      <c r="AQ1743" s="215" t="str">
        <f t="shared" si="786"/>
        <v/>
      </c>
      <c r="AR1743" s="216" t="str">
        <f t="shared" si="787"/>
        <v>BiK81KWK----07</v>
      </c>
      <c r="AS1743" s="215" t="str">
        <f t="shared" si="788"/>
        <v/>
      </c>
      <c r="AT1743">
        <f t="shared" si="789"/>
        <v>14</v>
      </c>
      <c r="AU1743" s="216" t="str">
        <f t="shared" si="790"/>
        <v>0-0,15 MW, Bonusregel KWK</v>
      </c>
      <c r="AV1743" s="215" t="str">
        <f t="shared" si="791"/>
        <v/>
      </c>
      <c r="AW1743" s="216" t="str">
        <f t="shared" si="792"/>
        <v>Anteil KWK</v>
      </c>
      <c r="AX1743" s="215" t="str">
        <f t="shared" si="793"/>
        <v/>
      </c>
      <c r="AY1743" t="str">
        <f t="shared" si="794"/>
        <v/>
      </c>
      <c r="AZ1743" t="str">
        <f t="shared" si="795"/>
        <v/>
      </c>
    </row>
    <row r="1744" spans="1:52" x14ac:dyDescent="0.25">
      <c r="A1744" s="610" t="s">
        <v>4358</v>
      </c>
      <c r="B1744" s="17" t="s">
        <v>5548</v>
      </c>
      <c r="C1744" s="30" t="s">
        <v>1304</v>
      </c>
      <c r="D1744" s="30" t="s">
        <v>6869</v>
      </c>
      <c r="E1744" s="30" t="s">
        <v>4331</v>
      </c>
      <c r="F1744" s="454">
        <f t="shared" si="802"/>
        <v>14.67</v>
      </c>
      <c r="G1744" s="529">
        <v>14.67</v>
      </c>
      <c r="H1744" s="487">
        <f t="shared" si="803"/>
        <v>11.74</v>
      </c>
      <c r="I1744" s="706"/>
      <c r="J1744" s="669" t="s">
        <v>5805</v>
      </c>
      <c r="K1744" s="15"/>
      <c r="M1744" s="49">
        <f t="shared" si="804"/>
        <v>14.67</v>
      </c>
      <c r="N1744" s="41">
        <v>11.67</v>
      </c>
      <c r="O1744" s="54"/>
      <c r="P1744" t="s">
        <v>1017</v>
      </c>
      <c r="S1744" t="s">
        <v>4180</v>
      </c>
      <c r="T1744" t="s">
        <v>4180</v>
      </c>
      <c r="U1744" s="55"/>
      <c r="W1744" s="65"/>
      <c r="X1744" s="65"/>
      <c r="AA1744" s="65"/>
      <c r="AD1744" s="91"/>
      <c r="AE1744" s="124"/>
      <c r="AF1744" s="65"/>
      <c r="AG1744" s="91"/>
      <c r="AH1744" s="212" t="str">
        <f t="shared" si="796"/>
        <v/>
      </c>
      <c r="AI1744" s="214" t="str">
        <f t="shared" si="797"/>
        <v/>
      </c>
      <c r="AJ1744" s="214" t="str">
        <f t="shared" si="798"/>
        <v/>
      </c>
      <c r="AK1744" s="214" t="str">
        <f t="shared" si="799"/>
        <v/>
      </c>
      <c r="AL1744" s="214" t="str">
        <f t="shared" si="800"/>
        <v/>
      </c>
      <c r="AM1744" s="214" t="str">
        <f t="shared" si="801"/>
        <v/>
      </c>
      <c r="AN1744" s="213" t="str">
        <f t="shared" si="783"/>
        <v/>
      </c>
      <c r="AO1744" s="213" t="str">
        <f t="shared" si="784"/>
        <v/>
      </c>
      <c r="AP1744" s="213" t="str">
        <f t="shared" si="785"/>
        <v/>
      </c>
      <c r="AQ1744" s="215" t="str">
        <f t="shared" si="786"/>
        <v/>
      </c>
      <c r="AR1744" s="216" t="str">
        <f t="shared" si="787"/>
        <v>BiK81KA3----07</v>
      </c>
      <c r="AS1744" s="215" t="str">
        <f t="shared" si="788"/>
        <v/>
      </c>
      <c r="AT1744">
        <f t="shared" si="789"/>
        <v>14</v>
      </c>
      <c r="AU1744" s="216" t="str">
        <f t="shared" si="790"/>
        <v>0-0,15 MW, Bonusregel K wenn Anlage 3 erfüllt</v>
      </c>
      <c r="AV1744" s="215" t="str">
        <f t="shared" si="791"/>
        <v/>
      </c>
      <c r="AW1744" s="216" t="str">
        <f t="shared" si="792"/>
        <v>Anteil KWK gemäß Anlage 3</v>
      </c>
      <c r="AX1744" s="215" t="str">
        <f t="shared" si="793"/>
        <v/>
      </c>
      <c r="AY1744" t="str">
        <f t="shared" si="794"/>
        <v/>
      </c>
      <c r="AZ1744" t="str">
        <f t="shared" si="795"/>
        <v/>
      </c>
    </row>
    <row r="1745" spans="1:52" x14ac:dyDescent="0.25">
      <c r="A1745" s="610" t="s">
        <v>2909</v>
      </c>
      <c r="B1745" s="17" t="s">
        <v>5548</v>
      </c>
      <c r="C1745" s="17" t="s">
        <v>1304</v>
      </c>
      <c r="D1745" s="30" t="s">
        <v>6870</v>
      </c>
      <c r="E1745" s="17" t="s">
        <v>674</v>
      </c>
      <c r="F1745" s="454">
        <f t="shared" si="802"/>
        <v>14.67</v>
      </c>
      <c r="G1745" s="529">
        <v>14.67</v>
      </c>
      <c r="H1745" s="487">
        <f t="shared" si="803"/>
        <v>11.74</v>
      </c>
      <c r="I1745" s="706"/>
      <c r="J1745" s="669" t="s">
        <v>5805</v>
      </c>
      <c r="K1745" s="15"/>
      <c r="M1745" s="49">
        <f t="shared" si="804"/>
        <v>14.67</v>
      </c>
      <c r="N1745" s="41">
        <v>11.67</v>
      </c>
      <c r="O1745" s="54"/>
      <c r="P1745" s="15"/>
      <c r="Q1745" t="s">
        <v>1017</v>
      </c>
      <c r="S1745" t="s">
        <v>4180</v>
      </c>
      <c r="T1745" t="s">
        <v>4180</v>
      </c>
      <c r="U1745" s="55"/>
      <c r="W1745" s="65"/>
      <c r="X1745" s="65"/>
      <c r="AA1745" s="65"/>
      <c r="AD1745" s="91"/>
      <c r="AE1745" s="124"/>
      <c r="AF1745" s="65"/>
      <c r="AG1745" s="91"/>
      <c r="AH1745" s="212" t="str">
        <f t="shared" si="796"/>
        <v/>
      </c>
      <c r="AI1745" s="214" t="str">
        <f t="shared" si="797"/>
        <v/>
      </c>
      <c r="AJ1745" s="214" t="str">
        <f t="shared" si="798"/>
        <v/>
      </c>
      <c r="AK1745" s="214" t="str">
        <f t="shared" si="799"/>
        <v/>
      </c>
      <c r="AL1745" s="214" t="str">
        <f t="shared" si="800"/>
        <v/>
      </c>
      <c r="AM1745" s="214" t="str">
        <f t="shared" si="801"/>
        <v/>
      </c>
      <c r="AN1745" s="213" t="str">
        <f t="shared" si="783"/>
        <v/>
      </c>
      <c r="AO1745" s="213" t="str">
        <f t="shared" si="784"/>
        <v/>
      </c>
      <c r="AP1745" s="213" t="str">
        <f t="shared" si="785"/>
        <v/>
      </c>
      <c r="AQ1745" s="215" t="str">
        <f t="shared" si="786"/>
        <v/>
      </c>
      <c r="AR1745" s="216" t="str">
        <f t="shared" si="787"/>
        <v>BiK81K09----07</v>
      </c>
      <c r="AS1745" s="215" t="str">
        <f t="shared" si="788"/>
        <v/>
      </c>
      <c r="AT1745">
        <f t="shared" si="789"/>
        <v>14</v>
      </c>
      <c r="AU1745" s="216" t="str">
        <f t="shared" si="790"/>
        <v>0-0,15 MW, Bonusregel K erstmals 2009</v>
      </c>
      <c r="AV1745" s="215" t="str">
        <f t="shared" si="791"/>
        <v/>
      </c>
      <c r="AW1745" s="216" t="str">
        <f t="shared" si="792"/>
        <v>Anteil KWK, erstmals 2009</v>
      </c>
      <c r="AX1745" s="215" t="str">
        <f t="shared" si="793"/>
        <v/>
      </c>
      <c r="AY1745" t="str">
        <f t="shared" si="794"/>
        <v/>
      </c>
      <c r="AZ1745" t="str">
        <f t="shared" si="795"/>
        <v/>
      </c>
    </row>
    <row r="1746" spans="1:52" x14ac:dyDescent="0.25">
      <c r="A1746" s="610" t="s">
        <v>4941</v>
      </c>
      <c r="B1746" s="17" t="s">
        <v>5548</v>
      </c>
      <c r="C1746" s="17" t="s">
        <v>1304</v>
      </c>
      <c r="D1746" s="30" t="s">
        <v>6871</v>
      </c>
      <c r="E1746" s="30" t="s">
        <v>3567</v>
      </c>
      <c r="F1746" s="454">
        <f t="shared" si="802"/>
        <v>14.64</v>
      </c>
      <c r="G1746" s="529">
        <v>14.64</v>
      </c>
      <c r="H1746" s="487">
        <f t="shared" si="803"/>
        <v>11.71</v>
      </c>
      <c r="I1746" s="706"/>
      <c r="J1746" s="669" t="s">
        <v>5805</v>
      </c>
      <c r="K1746" s="15"/>
      <c r="M1746" s="49">
        <f t="shared" si="804"/>
        <v>14.64</v>
      </c>
      <c r="N1746" s="41">
        <v>11.67</v>
      </c>
      <c r="O1746" s="54"/>
      <c r="P1746" s="15"/>
      <c r="R1746" t="s">
        <v>1017</v>
      </c>
      <c r="S1746" t="s">
        <v>4180</v>
      </c>
      <c r="T1746" t="s">
        <v>4180</v>
      </c>
      <c r="U1746" s="55"/>
      <c r="W1746" s="65"/>
      <c r="X1746" s="65"/>
      <c r="AA1746" s="65"/>
      <c r="AD1746" s="91"/>
      <c r="AE1746" s="124"/>
      <c r="AF1746" s="65"/>
      <c r="AG1746" s="91"/>
      <c r="AH1746" s="212" t="str">
        <f t="shared" si="796"/>
        <v>2010</v>
      </c>
      <c r="AI1746" s="214" t="str">
        <f t="shared" si="797"/>
        <v/>
      </c>
      <c r="AJ1746" s="214" t="str">
        <f t="shared" si="798"/>
        <v/>
      </c>
      <c r="AK1746" s="214" t="str">
        <f t="shared" si="799"/>
        <v/>
      </c>
      <c r="AL1746" s="214" t="str">
        <f t="shared" si="800"/>
        <v/>
      </c>
      <c r="AM1746" s="214" t="str">
        <f t="shared" si="801"/>
        <v/>
      </c>
      <c r="AN1746" s="213" t="str">
        <f t="shared" si="783"/>
        <v>2010</v>
      </c>
      <c r="AO1746" s="213" t="str">
        <f t="shared" si="784"/>
        <v>2010</v>
      </c>
      <c r="AP1746" s="213" t="str">
        <f t="shared" si="785"/>
        <v>2010</v>
      </c>
      <c r="AQ1746" s="215" t="str">
        <f t="shared" si="786"/>
        <v/>
      </c>
      <c r="AR1746" s="216" t="str">
        <f t="shared" si="787"/>
        <v>BiK81K10----07</v>
      </c>
      <c r="AS1746" s="215" t="str">
        <f t="shared" si="788"/>
        <v/>
      </c>
      <c r="AT1746">
        <f t="shared" si="789"/>
        <v>14</v>
      </c>
      <c r="AU1746" s="216" t="str">
        <f t="shared" si="790"/>
        <v>0-0,15 MW, Bonusregel K erstmals 2010</v>
      </c>
      <c r="AV1746" s="215" t="str">
        <f t="shared" si="791"/>
        <v/>
      </c>
      <c r="AW1746" s="216" t="str">
        <f t="shared" si="792"/>
        <v>Anteil KWK, erstmals 2010</v>
      </c>
      <c r="AX1746" s="215" t="str">
        <f t="shared" si="793"/>
        <v/>
      </c>
      <c r="AY1746" t="str">
        <f t="shared" si="794"/>
        <v/>
      </c>
      <c r="AZ1746" t="str">
        <f t="shared" si="795"/>
        <v/>
      </c>
    </row>
    <row r="1747" spans="1:52" x14ac:dyDescent="0.25">
      <c r="A1747" s="610" t="s">
        <v>3988</v>
      </c>
      <c r="B1747" s="17" t="s">
        <v>5548</v>
      </c>
      <c r="C1747" s="17" t="s">
        <v>1304</v>
      </c>
      <c r="D1747" s="30" t="s">
        <v>6872</v>
      </c>
      <c r="E1747" s="30" t="s">
        <v>3055</v>
      </c>
      <c r="F1747" s="454">
        <f t="shared" si="802"/>
        <v>14.61</v>
      </c>
      <c r="G1747" s="529">
        <v>14.61</v>
      </c>
      <c r="H1747" s="487">
        <f t="shared" si="803"/>
        <v>11.69</v>
      </c>
      <c r="I1747" s="706"/>
      <c r="J1747" s="669" t="s">
        <v>5805</v>
      </c>
      <c r="K1747" s="15"/>
      <c r="M1747" s="49">
        <f t="shared" si="804"/>
        <v>14.61</v>
      </c>
      <c r="N1747" s="41">
        <v>11.67</v>
      </c>
      <c r="O1747" s="54"/>
      <c r="P1747" s="15"/>
      <c r="S1747" t="s">
        <v>1017</v>
      </c>
      <c r="T1747" t="s">
        <v>4180</v>
      </c>
      <c r="U1747" s="55"/>
      <c r="W1747" s="65"/>
      <c r="X1747" s="65"/>
      <c r="AA1747" s="65"/>
      <c r="AD1747" s="91"/>
      <c r="AE1747" s="124"/>
      <c r="AF1747" s="65"/>
      <c r="AG1747" s="91"/>
      <c r="AH1747" s="212" t="str">
        <f t="shared" si="796"/>
        <v>2011</v>
      </c>
      <c r="AI1747" s="214" t="str">
        <f t="shared" si="797"/>
        <v/>
      </c>
      <c r="AJ1747" s="214" t="str">
        <f t="shared" si="798"/>
        <v/>
      </c>
      <c r="AK1747" s="214" t="str">
        <f t="shared" si="799"/>
        <v/>
      </c>
      <c r="AL1747" s="214" t="str">
        <f t="shared" si="800"/>
        <v/>
      </c>
      <c r="AM1747" s="214" t="str">
        <f t="shared" si="801"/>
        <v/>
      </c>
      <c r="AN1747" s="213" t="str">
        <f t="shared" si="783"/>
        <v>2011</v>
      </c>
      <c r="AO1747" s="213" t="str">
        <f t="shared" si="784"/>
        <v>2011</v>
      </c>
      <c r="AP1747" s="213" t="str">
        <f t="shared" si="785"/>
        <v>2011</v>
      </c>
      <c r="AQ1747" s="215" t="str">
        <f t="shared" si="786"/>
        <v/>
      </c>
      <c r="AR1747" s="216" t="str">
        <f t="shared" si="787"/>
        <v>BiK81K11----07</v>
      </c>
      <c r="AS1747" s="215" t="str">
        <f t="shared" si="788"/>
        <v/>
      </c>
      <c r="AT1747">
        <f t="shared" si="789"/>
        <v>14</v>
      </c>
      <c r="AU1747" s="216" t="str">
        <f t="shared" si="790"/>
        <v>0-0,15 MW, Bonusregel K erstmals 2011</v>
      </c>
      <c r="AV1747" s="215" t="str">
        <f t="shared" si="791"/>
        <v/>
      </c>
      <c r="AW1747" s="216" t="str">
        <f t="shared" si="792"/>
        <v>Anteil KWK, erstmals 2011</v>
      </c>
      <c r="AX1747" s="215" t="str">
        <f t="shared" si="793"/>
        <v/>
      </c>
      <c r="AY1747" t="str">
        <f t="shared" si="794"/>
        <v>x</v>
      </c>
      <c r="AZ1747" t="str">
        <f t="shared" si="795"/>
        <v/>
      </c>
    </row>
    <row r="1748" spans="1:52" x14ac:dyDescent="0.25">
      <c r="A1748" s="625" t="s">
        <v>1810</v>
      </c>
      <c r="B1748" s="221" t="s">
        <v>5548</v>
      </c>
      <c r="C1748" s="221" t="s">
        <v>1304</v>
      </c>
      <c r="D1748" s="219" t="s">
        <v>6873</v>
      </c>
      <c r="E1748" s="219" t="s">
        <v>1980</v>
      </c>
      <c r="F1748" s="455">
        <f t="shared" si="802"/>
        <v>14.58</v>
      </c>
      <c r="G1748" s="530">
        <v>14.58</v>
      </c>
      <c r="H1748" s="488">
        <f t="shared" si="803"/>
        <v>11.66</v>
      </c>
      <c r="I1748" s="707"/>
      <c r="J1748" s="669" t="s">
        <v>5805</v>
      </c>
      <c r="K1748" s="15"/>
      <c r="M1748" s="49">
        <f t="shared" si="804"/>
        <v>14.58</v>
      </c>
      <c r="N1748" s="41">
        <v>11.67</v>
      </c>
      <c r="O1748" s="54"/>
      <c r="P1748" s="15"/>
      <c r="S1748" t="s">
        <v>4180</v>
      </c>
      <c r="T1748" t="s">
        <v>1017</v>
      </c>
      <c r="U1748" s="55"/>
      <c r="W1748" s="65"/>
      <c r="X1748" s="65"/>
      <c r="AA1748" s="65"/>
      <c r="AD1748" s="91"/>
      <c r="AE1748" s="124"/>
      <c r="AF1748" s="65"/>
      <c r="AG1748" s="91"/>
      <c r="AH1748" s="217" t="s">
        <v>4179</v>
      </c>
      <c r="AI1748" s="214" t="str">
        <f t="shared" si="797"/>
        <v/>
      </c>
      <c r="AJ1748" s="214" t="str">
        <f t="shared" si="798"/>
        <v/>
      </c>
      <c r="AK1748" s="214" t="str">
        <f t="shared" si="799"/>
        <v/>
      </c>
      <c r="AL1748" s="214" t="str">
        <f t="shared" si="800"/>
        <v/>
      </c>
      <c r="AM1748" s="214" t="str">
        <f t="shared" si="801"/>
        <v/>
      </c>
      <c r="AN1748" s="213" t="str">
        <f t="shared" si="783"/>
        <v>2012</v>
      </c>
      <c r="AO1748" s="213" t="str">
        <f t="shared" si="784"/>
        <v>2012</v>
      </c>
      <c r="AP1748" s="213" t="str">
        <f t="shared" si="785"/>
        <v>2012</v>
      </c>
      <c r="AQ1748" s="215" t="str">
        <f t="shared" si="786"/>
        <v/>
      </c>
      <c r="AR1748" s="216" t="str">
        <f t="shared" si="787"/>
        <v>BiK81K12----07</v>
      </c>
      <c r="AS1748" s="215" t="str">
        <f t="shared" si="788"/>
        <v/>
      </c>
      <c r="AT1748">
        <f t="shared" si="789"/>
        <v>14</v>
      </c>
      <c r="AU1748" s="216" t="str">
        <f t="shared" si="790"/>
        <v>0-0,15 MW, Bonusregel K erstmals 2012</v>
      </c>
      <c r="AV1748" s="215" t="str">
        <f t="shared" si="791"/>
        <v/>
      </c>
      <c r="AW1748" s="216" t="str">
        <f t="shared" si="792"/>
        <v>Anteil KWK, erstmals 2012</v>
      </c>
      <c r="AX1748" s="215" t="str">
        <f t="shared" si="793"/>
        <v/>
      </c>
      <c r="AY1748" t="str">
        <f t="shared" si="794"/>
        <v/>
      </c>
      <c r="AZ1748" t="str">
        <f t="shared" si="795"/>
        <v>x</v>
      </c>
    </row>
    <row r="1749" spans="1:52" x14ac:dyDescent="0.25">
      <c r="A1749" s="610" t="s">
        <v>2844</v>
      </c>
      <c r="B1749" s="17" t="s">
        <v>5548</v>
      </c>
      <c r="C1749" s="17" t="s">
        <v>1304</v>
      </c>
      <c r="D1749" s="21" t="s">
        <v>6874</v>
      </c>
      <c r="E1749" s="17" t="s">
        <v>4810</v>
      </c>
      <c r="F1749" s="454">
        <f t="shared" si="802"/>
        <v>12.67</v>
      </c>
      <c r="G1749" s="529">
        <v>12.67</v>
      </c>
      <c r="H1749" s="487">
        <f t="shared" si="803"/>
        <v>10.14</v>
      </c>
      <c r="I1749" s="706"/>
      <c r="J1749" s="669" t="s">
        <v>5805</v>
      </c>
      <c r="K1749" s="15"/>
      <c r="M1749" s="49">
        <f t="shared" si="804"/>
        <v>12.67</v>
      </c>
      <c r="N1749" s="41">
        <v>11.67</v>
      </c>
      <c r="O1749" s="54"/>
      <c r="P1749" s="15"/>
      <c r="S1749" t="s">
        <v>4180</v>
      </c>
      <c r="T1749" t="s">
        <v>4180</v>
      </c>
      <c r="U1749" s="55" t="s">
        <v>1017</v>
      </c>
      <c r="W1749" s="65"/>
      <c r="X1749" s="65"/>
      <c r="AA1749" s="65"/>
      <c r="AD1749" s="91"/>
      <c r="AE1749" s="124"/>
      <c r="AF1749" s="65"/>
      <c r="AG1749" s="91"/>
      <c r="AH1749" s="212" t="str">
        <f t="shared" ref="AH1749:AH1754" si="805">IF(ISERROR(SEARCH("K erstmals 201",D1749)),"",RIGHT(D1749,4))</f>
        <v/>
      </c>
      <c r="AI1749" s="214" t="str">
        <f t="shared" si="797"/>
        <v/>
      </c>
      <c r="AJ1749" s="214" t="str">
        <f t="shared" si="798"/>
        <v/>
      </c>
      <c r="AK1749" s="214" t="str">
        <f t="shared" si="799"/>
        <v/>
      </c>
      <c r="AL1749" s="214" t="str">
        <f t="shared" si="800"/>
        <v/>
      </c>
      <c r="AM1749" s="214" t="str">
        <f t="shared" si="801"/>
        <v/>
      </c>
      <c r="AN1749" s="213" t="str">
        <f t="shared" si="783"/>
        <v/>
      </c>
      <c r="AO1749" s="213" t="str">
        <f t="shared" si="784"/>
        <v/>
      </c>
      <c r="AP1749" s="213" t="str">
        <f t="shared" si="785"/>
        <v/>
      </c>
      <c r="AQ1749" s="215" t="str">
        <f t="shared" si="786"/>
        <v/>
      </c>
      <c r="AR1749" s="216" t="str">
        <f t="shared" si="787"/>
        <v>BiK81y------07</v>
      </c>
      <c r="AS1749" s="215" t="str">
        <f t="shared" si="788"/>
        <v/>
      </c>
      <c r="AT1749">
        <f t="shared" si="789"/>
        <v>14</v>
      </c>
      <c r="AU1749" s="216" t="str">
        <f t="shared" si="790"/>
        <v>0-0,15 MW, Bonusregel y</v>
      </c>
      <c r="AV1749" s="215" t="str">
        <f t="shared" si="791"/>
        <v/>
      </c>
      <c r="AW1749" s="216" t="str">
        <f t="shared" si="792"/>
        <v>Anteil Nicht-KWK</v>
      </c>
      <c r="AX1749" s="215" t="str">
        <f t="shared" si="793"/>
        <v/>
      </c>
      <c r="AY1749" t="str">
        <f t="shared" si="794"/>
        <v/>
      </c>
      <c r="AZ1749" t="str">
        <f t="shared" si="795"/>
        <v/>
      </c>
    </row>
    <row r="1750" spans="1:52" x14ac:dyDescent="0.25">
      <c r="A1750" s="610" t="s">
        <v>2596</v>
      </c>
      <c r="B1750" s="17" t="s">
        <v>5548</v>
      </c>
      <c r="C1750" s="17" t="s">
        <v>1304</v>
      </c>
      <c r="D1750" s="21" t="s">
        <v>6875</v>
      </c>
      <c r="E1750" s="17" t="s">
        <v>4812</v>
      </c>
      <c r="F1750" s="454">
        <f t="shared" si="802"/>
        <v>14.67</v>
      </c>
      <c r="G1750" s="529">
        <v>14.67</v>
      </c>
      <c r="H1750" s="487">
        <f t="shared" si="803"/>
        <v>11.74</v>
      </c>
      <c r="I1750" s="706"/>
      <c r="J1750" s="669" t="s">
        <v>5805</v>
      </c>
      <c r="K1750" s="15"/>
      <c r="M1750" s="49">
        <f t="shared" si="804"/>
        <v>14.67</v>
      </c>
      <c r="N1750" s="41">
        <v>11.67</v>
      </c>
      <c r="O1750" s="54" t="s">
        <v>1017</v>
      </c>
      <c r="P1750" s="15"/>
      <c r="S1750" t="s">
        <v>4180</v>
      </c>
      <c r="T1750" t="s">
        <v>4180</v>
      </c>
      <c r="U1750" s="55" t="s">
        <v>1017</v>
      </c>
      <c r="W1750" s="65"/>
      <c r="X1750" s="65"/>
      <c r="AA1750" s="65"/>
      <c r="AD1750" s="91"/>
      <c r="AE1750" s="124"/>
      <c r="AF1750" s="65"/>
      <c r="AG1750" s="91"/>
      <c r="AH1750" s="212" t="str">
        <f t="shared" si="805"/>
        <v/>
      </c>
      <c r="AI1750" s="214" t="str">
        <f t="shared" si="797"/>
        <v/>
      </c>
      <c r="AJ1750" s="214" t="str">
        <f t="shared" si="798"/>
        <v/>
      </c>
      <c r="AK1750" s="214" t="str">
        <f t="shared" si="799"/>
        <v/>
      </c>
      <c r="AL1750" s="214" t="str">
        <f t="shared" si="800"/>
        <v/>
      </c>
      <c r="AM1750" s="214" t="str">
        <f t="shared" si="801"/>
        <v/>
      </c>
      <c r="AN1750" s="213" t="str">
        <f t="shared" si="783"/>
        <v/>
      </c>
      <c r="AO1750" s="213" t="str">
        <f t="shared" si="784"/>
        <v/>
      </c>
      <c r="AP1750" s="213" t="str">
        <f t="shared" si="785"/>
        <v/>
      </c>
      <c r="AQ1750" s="215" t="str">
        <f t="shared" si="786"/>
        <v/>
      </c>
      <c r="AR1750" s="216" t="str">
        <f t="shared" si="787"/>
        <v>BiK81KWKy---07</v>
      </c>
      <c r="AS1750" s="215" t="str">
        <f t="shared" si="788"/>
        <v/>
      </c>
      <c r="AT1750">
        <f t="shared" si="789"/>
        <v>14</v>
      </c>
      <c r="AU1750" s="216" t="str">
        <f t="shared" si="790"/>
        <v>0-0,15 MW, Bonusregeln y und KWK</v>
      </c>
      <c r="AV1750" s="215" t="str">
        <f t="shared" si="791"/>
        <v/>
      </c>
      <c r="AW1750" s="216" t="str">
        <f t="shared" si="792"/>
        <v>Anteil KWK</v>
      </c>
      <c r="AX1750" s="215" t="str">
        <f t="shared" si="793"/>
        <v/>
      </c>
      <c r="AY1750" t="str">
        <f t="shared" si="794"/>
        <v/>
      </c>
      <c r="AZ1750" t="str">
        <f t="shared" si="795"/>
        <v/>
      </c>
    </row>
    <row r="1751" spans="1:52" x14ac:dyDescent="0.25">
      <c r="A1751" s="610" t="s">
        <v>2842</v>
      </c>
      <c r="B1751" s="17" t="s">
        <v>5548</v>
      </c>
      <c r="C1751" s="30" t="s">
        <v>1304</v>
      </c>
      <c r="D1751" s="30" t="s">
        <v>6876</v>
      </c>
      <c r="E1751" s="30" t="s">
        <v>4331</v>
      </c>
      <c r="F1751" s="454">
        <f t="shared" si="802"/>
        <v>15.67</v>
      </c>
      <c r="G1751" s="529">
        <v>15.67</v>
      </c>
      <c r="H1751" s="487">
        <f t="shared" si="803"/>
        <v>12.54</v>
      </c>
      <c r="I1751" s="706"/>
      <c r="J1751" s="669" t="s">
        <v>5805</v>
      </c>
      <c r="K1751" s="15"/>
      <c r="M1751" s="49">
        <f t="shared" si="804"/>
        <v>15.67</v>
      </c>
      <c r="N1751" s="41">
        <v>11.67</v>
      </c>
      <c r="O1751" s="54"/>
      <c r="P1751" t="s">
        <v>1017</v>
      </c>
      <c r="S1751" t="s">
        <v>4180</v>
      </c>
      <c r="T1751" t="s">
        <v>4180</v>
      </c>
      <c r="U1751" s="55" t="s">
        <v>1017</v>
      </c>
      <c r="W1751" s="65"/>
      <c r="X1751" s="65"/>
      <c r="AA1751" s="65"/>
      <c r="AD1751" s="91"/>
      <c r="AE1751" s="124"/>
      <c r="AF1751" s="65"/>
      <c r="AG1751" s="91"/>
      <c r="AH1751" s="212" t="str">
        <f t="shared" si="805"/>
        <v/>
      </c>
      <c r="AI1751" s="214" t="str">
        <f t="shared" si="797"/>
        <v/>
      </c>
      <c r="AJ1751" s="214" t="str">
        <f t="shared" si="798"/>
        <v/>
      </c>
      <c r="AK1751" s="214" t="str">
        <f t="shared" si="799"/>
        <v/>
      </c>
      <c r="AL1751" s="214" t="str">
        <f t="shared" si="800"/>
        <v/>
      </c>
      <c r="AM1751" s="214" t="str">
        <f t="shared" si="801"/>
        <v/>
      </c>
      <c r="AN1751" s="213" t="str">
        <f t="shared" si="783"/>
        <v/>
      </c>
      <c r="AO1751" s="213" t="str">
        <f t="shared" si="784"/>
        <v/>
      </c>
      <c r="AP1751" s="213" t="str">
        <f t="shared" si="785"/>
        <v/>
      </c>
      <c r="AQ1751" s="215" t="str">
        <f t="shared" si="786"/>
        <v/>
      </c>
      <c r="AR1751" s="216" t="str">
        <f t="shared" si="787"/>
        <v>BiK81KA3y---07</v>
      </c>
      <c r="AS1751" s="215" t="str">
        <f t="shared" si="788"/>
        <v/>
      </c>
      <c r="AT1751">
        <f t="shared" si="789"/>
        <v>14</v>
      </c>
      <c r="AU1751" s="216" t="str">
        <f t="shared" si="790"/>
        <v>0-0,15 MW, Bonusregeln y und K wenn Anlage 3 erfüllt</v>
      </c>
      <c r="AV1751" s="215" t="str">
        <f t="shared" si="791"/>
        <v/>
      </c>
      <c r="AW1751" s="216" t="str">
        <f t="shared" si="792"/>
        <v>Anteil KWK gemäß Anlage 3</v>
      </c>
      <c r="AX1751" s="215" t="str">
        <f t="shared" si="793"/>
        <v/>
      </c>
      <c r="AY1751" t="str">
        <f t="shared" si="794"/>
        <v/>
      </c>
      <c r="AZ1751" t="str">
        <f t="shared" si="795"/>
        <v/>
      </c>
    </row>
    <row r="1752" spans="1:52" x14ac:dyDescent="0.25">
      <c r="A1752" s="610" t="s">
        <v>2843</v>
      </c>
      <c r="B1752" s="17" t="s">
        <v>5548</v>
      </c>
      <c r="C1752" s="17" t="s">
        <v>1304</v>
      </c>
      <c r="D1752" s="30" t="s">
        <v>6877</v>
      </c>
      <c r="E1752" s="17" t="s">
        <v>674</v>
      </c>
      <c r="F1752" s="454">
        <f t="shared" si="802"/>
        <v>15.67</v>
      </c>
      <c r="G1752" s="529">
        <v>15.67</v>
      </c>
      <c r="H1752" s="487">
        <f t="shared" si="803"/>
        <v>12.54</v>
      </c>
      <c r="I1752" s="706"/>
      <c r="J1752" s="669" t="s">
        <v>5805</v>
      </c>
      <c r="K1752" s="15"/>
      <c r="M1752" s="49">
        <f t="shared" si="804"/>
        <v>15.67</v>
      </c>
      <c r="N1752" s="41">
        <v>11.67</v>
      </c>
      <c r="O1752" s="54"/>
      <c r="P1752" s="15"/>
      <c r="Q1752" t="s">
        <v>1017</v>
      </c>
      <c r="S1752" t="s">
        <v>4180</v>
      </c>
      <c r="T1752" t="s">
        <v>4180</v>
      </c>
      <c r="U1752" s="55" t="s">
        <v>1017</v>
      </c>
      <c r="W1752" s="65"/>
      <c r="X1752" s="65"/>
      <c r="AA1752" s="65"/>
      <c r="AD1752" s="91"/>
      <c r="AE1752" s="124"/>
      <c r="AF1752" s="65"/>
      <c r="AG1752" s="91"/>
      <c r="AH1752" s="212" t="str">
        <f t="shared" si="805"/>
        <v/>
      </c>
      <c r="AI1752" s="214" t="str">
        <f t="shared" si="797"/>
        <v/>
      </c>
      <c r="AJ1752" s="214" t="str">
        <f t="shared" si="798"/>
        <v/>
      </c>
      <c r="AK1752" s="214" t="str">
        <f t="shared" si="799"/>
        <v/>
      </c>
      <c r="AL1752" s="214" t="str">
        <f t="shared" si="800"/>
        <v/>
      </c>
      <c r="AM1752" s="214" t="str">
        <f t="shared" si="801"/>
        <v/>
      </c>
      <c r="AN1752" s="213" t="str">
        <f t="shared" si="783"/>
        <v/>
      </c>
      <c r="AO1752" s="213" t="str">
        <f t="shared" si="784"/>
        <v/>
      </c>
      <c r="AP1752" s="213" t="str">
        <f t="shared" si="785"/>
        <v/>
      </c>
      <c r="AQ1752" s="215" t="str">
        <f t="shared" si="786"/>
        <v/>
      </c>
      <c r="AR1752" s="216" t="str">
        <f t="shared" si="787"/>
        <v>BiK81K09y---07</v>
      </c>
      <c r="AS1752" s="215" t="str">
        <f t="shared" si="788"/>
        <v/>
      </c>
      <c r="AT1752">
        <f t="shared" si="789"/>
        <v>14</v>
      </c>
      <c r="AU1752" s="216" t="str">
        <f t="shared" si="790"/>
        <v>0-0,15 MW, Bonusregeln y und K erstmals 2009</v>
      </c>
      <c r="AV1752" s="215" t="str">
        <f t="shared" si="791"/>
        <v/>
      </c>
      <c r="AW1752" s="216" t="str">
        <f t="shared" si="792"/>
        <v>Anteil KWK, erstmals 2009</v>
      </c>
      <c r="AX1752" s="215" t="str">
        <f t="shared" si="793"/>
        <v/>
      </c>
      <c r="AY1752" t="str">
        <f t="shared" si="794"/>
        <v/>
      </c>
      <c r="AZ1752" t="str">
        <f t="shared" si="795"/>
        <v/>
      </c>
    </row>
    <row r="1753" spans="1:52" x14ac:dyDescent="0.25">
      <c r="A1753" s="610" t="s">
        <v>4942</v>
      </c>
      <c r="B1753" s="17" t="s">
        <v>5548</v>
      </c>
      <c r="C1753" s="17" t="s">
        <v>1304</v>
      </c>
      <c r="D1753" s="30" t="s">
        <v>6878</v>
      </c>
      <c r="E1753" s="30" t="s">
        <v>3567</v>
      </c>
      <c r="F1753" s="454">
        <f t="shared" si="802"/>
        <v>15.64</v>
      </c>
      <c r="G1753" s="529">
        <v>15.64</v>
      </c>
      <c r="H1753" s="487">
        <f t="shared" si="803"/>
        <v>12.51</v>
      </c>
      <c r="I1753" s="706"/>
      <c r="J1753" s="669" t="s">
        <v>5805</v>
      </c>
      <c r="K1753" s="15"/>
      <c r="M1753" s="49">
        <f t="shared" si="804"/>
        <v>15.64</v>
      </c>
      <c r="N1753" s="41">
        <v>11.67</v>
      </c>
      <c r="O1753" s="54"/>
      <c r="P1753" s="15"/>
      <c r="R1753" t="s">
        <v>1017</v>
      </c>
      <c r="S1753" t="s">
        <v>4180</v>
      </c>
      <c r="T1753" t="s">
        <v>4180</v>
      </c>
      <c r="U1753" s="55" t="s">
        <v>1017</v>
      </c>
      <c r="W1753" s="65"/>
      <c r="X1753" s="65"/>
      <c r="AA1753" s="65"/>
      <c r="AD1753" s="91"/>
      <c r="AE1753" s="124"/>
      <c r="AF1753" s="65"/>
      <c r="AG1753" s="91"/>
      <c r="AH1753" s="212" t="str">
        <f t="shared" si="805"/>
        <v>2010</v>
      </c>
      <c r="AI1753" s="214" t="str">
        <f t="shared" si="797"/>
        <v/>
      </c>
      <c r="AJ1753" s="214" t="str">
        <f t="shared" si="798"/>
        <v/>
      </c>
      <c r="AK1753" s="214" t="str">
        <f t="shared" si="799"/>
        <v/>
      </c>
      <c r="AL1753" s="214" t="str">
        <f t="shared" si="800"/>
        <v/>
      </c>
      <c r="AM1753" s="214" t="str">
        <f t="shared" si="801"/>
        <v/>
      </c>
      <c r="AN1753" s="213" t="str">
        <f t="shared" si="783"/>
        <v>2010</v>
      </c>
      <c r="AO1753" s="213" t="str">
        <f t="shared" si="784"/>
        <v>2010</v>
      </c>
      <c r="AP1753" s="213" t="str">
        <f t="shared" si="785"/>
        <v>2010</v>
      </c>
      <c r="AQ1753" s="215" t="str">
        <f t="shared" si="786"/>
        <v/>
      </c>
      <c r="AR1753" s="216" t="str">
        <f t="shared" si="787"/>
        <v>BiK81K10y---07</v>
      </c>
      <c r="AS1753" s="215" t="str">
        <f t="shared" si="788"/>
        <v/>
      </c>
      <c r="AT1753">
        <f t="shared" si="789"/>
        <v>14</v>
      </c>
      <c r="AU1753" s="216" t="str">
        <f t="shared" si="790"/>
        <v>0-0,15 MW, Bonusregeln y und K erstmals 2010</v>
      </c>
      <c r="AV1753" s="215" t="str">
        <f t="shared" si="791"/>
        <v/>
      </c>
      <c r="AW1753" s="216" t="str">
        <f t="shared" si="792"/>
        <v>Anteil KWK, erstmals 2010</v>
      </c>
      <c r="AX1753" s="215" t="str">
        <f t="shared" si="793"/>
        <v/>
      </c>
      <c r="AY1753" t="str">
        <f t="shared" si="794"/>
        <v/>
      </c>
      <c r="AZ1753" t="str">
        <f t="shared" si="795"/>
        <v/>
      </c>
    </row>
    <row r="1754" spans="1:52" x14ac:dyDescent="0.25">
      <c r="A1754" s="610" t="s">
        <v>3989</v>
      </c>
      <c r="B1754" s="17" t="s">
        <v>5548</v>
      </c>
      <c r="C1754" s="17" t="s">
        <v>1304</v>
      </c>
      <c r="D1754" s="30" t="s">
        <v>6879</v>
      </c>
      <c r="E1754" s="30" t="s">
        <v>3055</v>
      </c>
      <c r="F1754" s="454">
        <f t="shared" si="802"/>
        <v>15.61</v>
      </c>
      <c r="G1754" s="529">
        <v>15.61</v>
      </c>
      <c r="H1754" s="487">
        <f t="shared" si="803"/>
        <v>12.49</v>
      </c>
      <c r="I1754" s="706"/>
      <c r="J1754" s="669" t="s">
        <v>5805</v>
      </c>
      <c r="K1754" s="15"/>
      <c r="M1754" s="49">
        <f t="shared" si="804"/>
        <v>15.61</v>
      </c>
      <c r="N1754" s="41">
        <v>11.67</v>
      </c>
      <c r="O1754" s="54"/>
      <c r="P1754" s="15"/>
      <c r="S1754" t="s">
        <v>1017</v>
      </c>
      <c r="T1754" t="s">
        <v>4180</v>
      </c>
      <c r="U1754" s="55" t="s">
        <v>1017</v>
      </c>
      <c r="W1754" s="65"/>
      <c r="X1754" s="65"/>
      <c r="AA1754" s="65"/>
      <c r="AD1754" s="91"/>
      <c r="AE1754" s="124"/>
      <c r="AF1754" s="65"/>
      <c r="AG1754" s="91"/>
      <c r="AH1754" s="212" t="str">
        <f t="shared" si="805"/>
        <v>2011</v>
      </c>
      <c r="AI1754" s="214" t="str">
        <f t="shared" si="797"/>
        <v/>
      </c>
      <c r="AJ1754" s="214" t="str">
        <f t="shared" si="798"/>
        <v/>
      </c>
      <c r="AK1754" s="214" t="str">
        <f t="shared" si="799"/>
        <v/>
      </c>
      <c r="AL1754" s="214" t="str">
        <f t="shared" si="800"/>
        <v/>
      </c>
      <c r="AM1754" s="214" t="str">
        <f t="shared" si="801"/>
        <v/>
      </c>
      <c r="AN1754" s="213" t="str">
        <f t="shared" si="783"/>
        <v>2011</v>
      </c>
      <c r="AO1754" s="213" t="str">
        <f t="shared" si="784"/>
        <v>2011</v>
      </c>
      <c r="AP1754" s="213" t="str">
        <f t="shared" si="785"/>
        <v>2011</v>
      </c>
      <c r="AQ1754" s="215" t="str">
        <f t="shared" si="786"/>
        <v/>
      </c>
      <c r="AR1754" s="216" t="str">
        <f t="shared" si="787"/>
        <v>BiK81K11y---07</v>
      </c>
      <c r="AS1754" s="215" t="str">
        <f t="shared" si="788"/>
        <v/>
      </c>
      <c r="AT1754">
        <f t="shared" si="789"/>
        <v>14</v>
      </c>
      <c r="AU1754" s="216" t="str">
        <f t="shared" si="790"/>
        <v>0-0,15 MW, Bonusregeln y und K erstmals 2011</v>
      </c>
      <c r="AV1754" s="215" t="str">
        <f t="shared" si="791"/>
        <v/>
      </c>
      <c r="AW1754" s="216" t="str">
        <f t="shared" si="792"/>
        <v>Anteil KWK, erstmals 2011</v>
      </c>
      <c r="AX1754" s="215" t="str">
        <f t="shared" si="793"/>
        <v/>
      </c>
      <c r="AY1754" t="str">
        <f t="shared" si="794"/>
        <v>x</v>
      </c>
      <c r="AZ1754" t="str">
        <f t="shared" si="795"/>
        <v/>
      </c>
    </row>
    <row r="1755" spans="1:52" x14ac:dyDescent="0.25">
      <c r="A1755" s="625" t="s">
        <v>1811</v>
      </c>
      <c r="B1755" s="221" t="s">
        <v>5548</v>
      </c>
      <c r="C1755" s="221" t="s">
        <v>1304</v>
      </c>
      <c r="D1755" s="219" t="s">
        <v>6880</v>
      </c>
      <c r="E1755" s="219" t="s">
        <v>1980</v>
      </c>
      <c r="F1755" s="455">
        <f t="shared" si="802"/>
        <v>15.58</v>
      </c>
      <c r="G1755" s="530">
        <v>15.58</v>
      </c>
      <c r="H1755" s="488">
        <f t="shared" si="803"/>
        <v>12.46</v>
      </c>
      <c r="I1755" s="707"/>
      <c r="J1755" s="669" t="s">
        <v>5805</v>
      </c>
      <c r="K1755" s="15"/>
      <c r="M1755" s="49">
        <f t="shared" si="804"/>
        <v>15.58</v>
      </c>
      <c r="N1755" s="41">
        <v>11.67</v>
      </c>
      <c r="O1755" s="54"/>
      <c r="P1755" s="15"/>
      <c r="S1755" t="s">
        <v>4180</v>
      </c>
      <c r="T1755" t="s">
        <v>1017</v>
      </c>
      <c r="U1755" s="55" t="s">
        <v>1017</v>
      </c>
      <c r="W1755" s="65"/>
      <c r="X1755" s="65"/>
      <c r="AA1755" s="65"/>
      <c r="AD1755" s="91"/>
      <c r="AE1755" s="124"/>
      <c r="AF1755" s="65"/>
      <c r="AG1755" s="91"/>
      <c r="AH1755" s="217" t="s">
        <v>4179</v>
      </c>
      <c r="AI1755" s="214" t="str">
        <f t="shared" si="797"/>
        <v/>
      </c>
      <c r="AJ1755" s="214" t="str">
        <f t="shared" si="798"/>
        <v/>
      </c>
      <c r="AK1755" s="214" t="str">
        <f t="shared" si="799"/>
        <v/>
      </c>
      <c r="AL1755" s="214" t="str">
        <f t="shared" si="800"/>
        <v/>
      </c>
      <c r="AM1755" s="214" t="str">
        <f t="shared" si="801"/>
        <v/>
      </c>
      <c r="AN1755" s="213" t="str">
        <f t="shared" si="783"/>
        <v>2012</v>
      </c>
      <c r="AO1755" s="213" t="str">
        <f t="shared" si="784"/>
        <v>2012</v>
      </c>
      <c r="AP1755" s="213" t="str">
        <f t="shared" si="785"/>
        <v>2012</v>
      </c>
      <c r="AQ1755" s="215" t="str">
        <f t="shared" si="786"/>
        <v/>
      </c>
      <c r="AR1755" s="216" t="str">
        <f t="shared" si="787"/>
        <v>BiK81K12y---07</v>
      </c>
      <c r="AS1755" s="215" t="str">
        <f t="shared" si="788"/>
        <v/>
      </c>
      <c r="AT1755">
        <f t="shared" si="789"/>
        <v>14</v>
      </c>
      <c r="AU1755" s="216" t="str">
        <f t="shared" si="790"/>
        <v>0-0,15 MW, Bonusregeln y und K erstmals 2012</v>
      </c>
      <c r="AV1755" s="215" t="str">
        <f t="shared" si="791"/>
        <v/>
      </c>
      <c r="AW1755" s="216" t="str">
        <f t="shared" si="792"/>
        <v>Anteil KWK, erstmals 2012</v>
      </c>
      <c r="AX1755" s="215" t="str">
        <f t="shared" si="793"/>
        <v/>
      </c>
      <c r="AY1755" t="str">
        <f t="shared" si="794"/>
        <v/>
      </c>
      <c r="AZ1755" t="str">
        <f t="shared" si="795"/>
        <v>x</v>
      </c>
    </row>
    <row r="1756" spans="1:52" x14ac:dyDescent="0.25">
      <c r="A1756" s="618" t="s">
        <v>535</v>
      </c>
      <c r="B1756" s="31" t="s">
        <v>5548</v>
      </c>
      <c r="C1756" s="31" t="s">
        <v>1304</v>
      </c>
      <c r="D1756" s="33" t="s">
        <v>6881</v>
      </c>
      <c r="E1756" s="31" t="s">
        <v>4810</v>
      </c>
      <c r="F1756" s="460">
        <f t="shared" si="802"/>
        <v>17.670000000000002</v>
      </c>
      <c r="G1756" s="536">
        <v>17.670000000000002</v>
      </c>
      <c r="H1756" s="494">
        <f t="shared" si="803"/>
        <v>14.14</v>
      </c>
      <c r="I1756" s="713"/>
      <c r="J1756" s="669" t="s">
        <v>5805</v>
      </c>
      <c r="K1756" s="15"/>
      <c r="M1756" s="49">
        <f t="shared" si="804"/>
        <v>17.670000000000002</v>
      </c>
      <c r="N1756" s="41">
        <v>11.67</v>
      </c>
      <c r="O1756" s="54"/>
      <c r="P1756" s="15"/>
      <c r="S1756" t="s">
        <v>4180</v>
      </c>
      <c r="T1756" t="s">
        <v>4180</v>
      </c>
      <c r="U1756" s="55"/>
      <c r="V1756" t="s">
        <v>1017</v>
      </c>
      <c r="W1756" s="65"/>
      <c r="X1756" s="65"/>
      <c r="AA1756" s="65"/>
      <c r="AD1756" s="91"/>
      <c r="AE1756" s="124"/>
      <c r="AF1756" s="65"/>
      <c r="AG1756" s="91"/>
      <c r="AH1756" s="212" t="str">
        <f t="shared" ref="AH1756:AH1761" si="806">IF(ISERROR(SEARCH("K erstmals 201",D1756)),"",RIGHT(D1756,4))</f>
        <v/>
      </c>
      <c r="AI1756" s="214" t="str">
        <f t="shared" si="797"/>
        <v/>
      </c>
      <c r="AJ1756" s="214" t="str">
        <f t="shared" si="798"/>
        <v/>
      </c>
      <c r="AK1756" s="214" t="str">
        <f t="shared" si="799"/>
        <v/>
      </c>
      <c r="AL1756" s="214" t="str">
        <f t="shared" si="800"/>
        <v/>
      </c>
      <c r="AM1756" s="214" t="str">
        <f t="shared" si="801"/>
        <v/>
      </c>
      <c r="AN1756" s="213" t="str">
        <f t="shared" si="783"/>
        <v/>
      </c>
      <c r="AO1756" s="213" t="str">
        <f t="shared" si="784"/>
        <v/>
      </c>
      <c r="AP1756" s="213" t="str">
        <f t="shared" si="785"/>
        <v/>
      </c>
      <c r="AQ1756" s="215" t="str">
        <f t="shared" si="786"/>
        <v/>
      </c>
      <c r="AR1756" s="216" t="str">
        <f t="shared" si="787"/>
        <v>BiK81a1-----07</v>
      </c>
      <c r="AS1756" s="215" t="str">
        <f t="shared" si="788"/>
        <v/>
      </c>
      <c r="AT1756">
        <f t="shared" si="789"/>
        <v>14</v>
      </c>
      <c r="AU1756" s="216" t="str">
        <f t="shared" si="790"/>
        <v>0-0,15 MW, Bonusregel a1</v>
      </c>
      <c r="AV1756" s="215" t="str">
        <f t="shared" si="791"/>
        <v/>
      </c>
      <c r="AW1756" s="216" t="str">
        <f t="shared" si="792"/>
        <v>Anteil Nicht-KWK</v>
      </c>
      <c r="AX1756" s="215" t="str">
        <f t="shared" si="793"/>
        <v/>
      </c>
      <c r="AY1756" t="str">
        <f t="shared" si="794"/>
        <v/>
      </c>
      <c r="AZ1756" t="str">
        <f t="shared" si="795"/>
        <v/>
      </c>
    </row>
    <row r="1757" spans="1:52" x14ac:dyDescent="0.25">
      <c r="A1757" s="618" t="s">
        <v>536</v>
      </c>
      <c r="B1757" s="31" t="s">
        <v>5548</v>
      </c>
      <c r="C1757" s="31" t="s">
        <v>1304</v>
      </c>
      <c r="D1757" s="33" t="s">
        <v>6882</v>
      </c>
      <c r="E1757" s="31" t="s">
        <v>4812</v>
      </c>
      <c r="F1757" s="460">
        <f t="shared" si="802"/>
        <v>19.670000000000002</v>
      </c>
      <c r="G1757" s="536">
        <v>19.670000000000002</v>
      </c>
      <c r="H1757" s="494">
        <f t="shared" si="803"/>
        <v>15.74</v>
      </c>
      <c r="I1757" s="713"/>
      <c r="J1757" s="669" t="s">
        <v>5805</v>
      </c>
      <c r="K1757" s="15"/>
      <c r="M1757" s="49">
        <f t="shared" si="804"/>
        <v>19.670000000000002</v>
      </c>
      <c r="N1757" s="41">
        <v>11.67</v>
      </c>
      <c r="O1757" s="54" t="s">
        <v>1017</v>
      </c>
      <c r="P1757" s="15"/>
      <c r="S1757" t="s">
        <v>4180</v>
      </c>
      <c r="T1757" t="s">
        <v>4180</v>
      </c>
      <c r="U1757" s="55"/>
      <c r="V1757" t="s">
        <v>1017</v>
      </c>
      <c r="W1757" s="65"/>
      <c r="X1757" s="65"/>
      <c r="AA1757" s="65"/>
      <c r="AD1757" s="91"/>
      <c r="AE1757" s="124"/>
      <c r="AF1757" s="65"/>
      <c r="AG1757" s="91"/>
      <c r="AH1757" s="212" t="str">
        <f t="shared" si="806"/>
        <v/>
      </c>
      <c r="AI1757" s="214" t="str">
        <f t="shared" si="797"/>
        <v/>
      </c>
      <c r="AJ1757" s="214" t="str">
        <f t="shared" si="798"/>
        <v/>
      </c>
      <c r="AK1757" s="214" t="str">
        <f t="shared" si="799"/>
        <v/>
      </c>
      <c r="AL1757" s="214" t="str">
        <f t="shared" si="800"/>
        <v/>
      </c>
      <c r="AM1757" s="214" t="str">
        <f t="shared" si="801"/>
        <v/>
      </c>
      <c r="AN1757" s="213" t="str">
        <f t="shared" si="783"/>
        <v/>
      </c>
      <c r="AO1757" s="213" t="str">
        <f t="shared" si="784"/>
        <v/>
      </c>
      <c r="AP1757" s="213" t="str">
        <f t="shared" si="785"/>
        <v/>
      </c>
      <c r="AQ1757" s="215" t="str">
        <f t="shared" si="786"/>
        <v/>
      </c>
      <c r="AR1757" s="216" t="str">
        <f t="shared" si="787"/>
        <v>BiK81a1KWK--07</v>
      </c>
      <c r="AS1757" s="215" t="str">
        <f t="shared" si="788"/>
        <v/>
      </c>
      <c r="AT1757">
        <f t="shared" si="789"/>
        <v>14</v>
      </c>
      <c r="AU1757" s="216" t="str">
        <f t="shared" si="790"/>
        <v>0-0,15 MW, Bonusregeln a1 und KWK</v>
      </c>
      <c r="AV1757" s="215" t="str">
        <f t="shared" si="791"/>
        <v/>
      </c>
      <c r="AW1757" s="216" t="str">
        <f t="shared" si="792"/>
        <v>Anteil KWK</v>
      </c>
      <c r="AX1757" s="215" t="str">
        <f t="shared" si="793"/>
        <v/>
      </c>
      <c r="AY1757" t="str">
        <f t="shared" si="794"/>
        <v/>
      </c>
      <c r="AZ1757" t="str">
        <f t="shared" si="795"/>
        <v/>
      </c>
    </row>
    <row r="1758" spans="1:52" x14ac:dyDescent="0.25">
      <c r="A1758" s="610" t="s">
        <v>4359</v>
      </c>
      <c r="B1758" s="17" t="s">
        <v>5548</v>
      </c>
      <c r="C1758" s="30" t="s">
        <v>1304</v>
      </c>
      <c r="D1758" s="30" t="s">
        <v>6883</v>
      </c>
      <c r="E1758" s="30" t="s">
        <v>4331</v>
      </c>
      <c r="F1758" s="454">
        <f t="shared" si="802"/>
        <v>20.67</v>
      </c>
      <c r="G1758" s="529">
        <v>20.67</v>
      </c>
      <c r="H1758" s="487">
        <f t="shared" si="803"/>
        <v>16.54</v>
      </c>
      <c r="I1758" s="706"/>
      <c r="J1758" s="669" t="s">
        <v>5805</v>
      </c>
      <c r="K1758" s="15"/>
      <c r="M1758" s="49">
        <f t="shared" si="804"/>
        <v>20.67</v>
      </c>
      <c r="N1758" s="41">
        <v>11.67</v>
      </c>
      <c r="O1758" s="54"/>
      <c r="P1758" t="s">
        <v>1017</v>
      </c>
      <c r="S1758" t="s">
        <v>4180</v>
      </c>
      <c r="T1758" t="s">
        <v>4180</v>
      </c>
      <c r="U1758" s="55"/>
      <c r="V1758" t="s">
        <v>1017</v>
      </c>
      <c r="W1758" s="65"/>
      <c r="X1758" s="65"/>
      <c r="AA1758" s="65"/>
      <c r="AD1758" s="91"/>
      <c r="AE1758" s="124"/>
      <c r="AF1758" s="65"/>
      <c r="AG1758" s="91"/>
      <c r="AH1758" s="212" t="str">
        <f t="shared" si="806"/>
        <v/>
      </c>
      <c r="AI1758" s="214" t="str">
        <f t="shared" si="797"/>
        <v/>
      </c>
      <c r="AJ1758" s="214" t="str">
        <f t="shared" si="798"/>
        <v/>
      </c>
      <c r="AK1758" s="214" t="str">
        <f t="shared" si="799"/>
        <v/>
      </c>
      <c r="AL1758" s="214" t="str">
        <f t="shared" si="800"/>
        <v/>
      </c>
      <c r="AM1758" s="214" t="str">
        <f t="shared" si="801"/>
        <v/>
      </c>
      <c r="AN1758" s="213" t="str">
        <f t="shared" si="783"/>
        <v/>
      </c>
      <c r="AO1758" s="213" t="str">
        <f t="shared" si="784"/>
        <v/>
      </c>
      <c r="AP1758" s="213" t="str">
        <f t="shared" si="785"/>
        <v/>
      </c>
      <c r="AQ1758" s="215" t="str">
        <f t="shared" si="786"/>
        <v/>
      </c>
      <c r="AR1758" s="216" t="str">
        <f t="shared" si="787"/>
        <v>BiK81a1KA3--07</v>
      </c>
      <c r="AS1758" s="215" t="str">
        <f t="shared" si="788"/>
        <v/>
      </c>
      <c r="AT1758">
        <f t="shared" si="789"/>
        <v>14</v>
      </c>
      <c r="AU1758" s="216" t="str">
        <f t="shared" si="790"/>
        <v>0-0,15 MW, Bonusregeln a1 und K wenn Anlage 3 erfüllt</v>
      </c>
      <c r="AV1758" s="215" t="str">
        <f t="shared" si="791"/>
        <v/>
      </c>
      <c r="AW1758" s="216" t="str">
        <f t="shared" si="792"/>
        <v>Anteil KWK gemäß Anlage 3</v>
      </c>
      <c r="AX1758" s="215" t="str">
        <f t="shared" si="793"/>
        <v/>
      </c>
      <c r="AY1758" t="str">
        <f t="shared" si="794"/>
        <v/>
      </c>
      <c r="AZ1758" t="str">
        <f t="shared" si="795"/>
        <v/>
      </c>
    </row>
    <row r="1759" spans="1:52" x14ac:dyDescent="0.25">
      <c r="A1759" s="610" t="s">
        <v>2910</v>
      </c>
      <c r="B1759" s="17" t="s">
        <v>5548</v>
      </c>
      <c r="C1759" s="17" t="s">
        <v>1304</v>
      </c>
      <c r="D1759" s="30" t="s">
        <v>6884</v>
      </c>
      <c r="E1759" s="17" t="s">
        <v>674</v>
      </c>
      <c r="F1759" s="454">
        <f t="shared" si="802"/>
        <v>20.67</v>
      </c>
      <c r="G1759" s="529">
        <v>20.67</v>
      </c>
      <c r="H1759" s="487">
        <f t="shared" si="803"/>
        <v>16.54</v>
      </c>
      <c r="I1759" s="706"/>
      <c r="J1759" s="669" t="s">
        <v>5805</v>
      </c>
      <c r="K1759" s="15"/>
      <c r="M1759" s="49">
        <f t="shared" si="804"/>
        <v>20.67</v>
      </c>
      <c r="N1759" s="41">
        <v>11.67</v>
      </c>
      <c r="O1759" s="54"/>
      <c r="P1759" s="15"/>
      <c r="Q1759" t="s">
        <v>1017</v>
      </c>
      <c r="S1759" t="s">
        <v>4180</v>
      </c>
      <c r="T1759" t="s">
        <v>4180</v>
      </c>
      <c r="U1759" s="55"/>
      <c r="V1759" t="s">
        <v>1017</v>
      </c>
      <c r="W1759" s="65"/>
      <c r="X1759" s="65"/>
      <c r="AA1759" s="65"/>
      <c r="AD1759" s="91"/>
      <c r="AE1759" s="124"/>
      <c r="AF1759" s="65"/>
      <c r="AG1759" s="91"/>
      <c r="AH1759" s="212" t="str">
        <f t="shared" si="806"/>
        <v/>
      </c>
      <c r="AI1759" s="214" t="str">
        <f t="shared" si="797"/>
        <v/>
      </c>
      <c r="AJ1759" s="214" t="str">
        <f t="shared" si="798"/>
        <v/>
      </c>
      <c r="AK1759" s="214" t="str">
        <f t="shared" si="799"/>
        <v/>
      </c>
      <c r="AL1759" s="214" t="str">
        <f t="shared" si="800"/>
        <v/>
      </c>
      <c r="AM1759" s="214" t="str">
        <f t="shared" si="801"/>
        <v/>
      </c>
      <c r="AN1759" s="213" t="str">
        <f t="shared" si="783"/>
        <v/>
      </c>
      <c r="AO1759" s="213" t="str">
        <f t="shared" si="784"/>
        <v/>
      </c>
      <c r="AP1759" s="213" t="str">
        <f t="shared" si="785"/>
        <v/>
      </c>
      <c r="AQ1759" s="215" t="str">
        <f t="shared" si="786"/>
        <v/>
      </c>
      <c r="AR1759" s="216" t="str">
        <f t="shared" si="787"/>
        <v>BiK81a1K09--07</v>
      </c>
      <c r="AS1759" s="215" t="str">
        <f t="shared" si="788"/>
        <v/>
      </c>
      <c r="AT1759">
        <f t="shared" si="789"/>
        <v>14</v>
      </c>
      <c r="AU1759" s="216" t="str">
        <f t="shared" si="790"/>
        <v>0-0,15 MW, Bonusregeln a1, K erstmals 2009</v>
      </c>
      <c r="AV1759" s="215" t="str">
        <f t="shared" si="791"/>
        <v/>
      </c>
      <c r="AW1759" s="216" t="str">
        <f t="shared" si="792"/>
        <v>Anteil KWK, erstmals 2009</v>
      </c>
      <c r="AX1759" s="215" t="str">
        <f t="shared" si="793"/>
        <v/>
      </c>
      <c r="AY1759" t="str">
        <f t="shared" si="794"/>
        <v/>
      </c>
      <c r="AZ1759" t="str">
        <f t="shared" si="795"/>
        <v/>
      </c>
    </row>
    <row r="1760" spans="1:52" x14ac:dyDescent="0.25">
      <c r="A1760" s="610" t="s">
        <v>4943</v>
      </c>
      <c r="B1760" s="17" t="s">
        <v>5548</v>
      </c>
      <c r="C1760" s="17" t="s">
        <v>1304</v>
      </c>
      <c r="D1760" s="30" t="s">
        <v>6885</v>
      </c>
      <c r="E1760" s="30" t="s">
        <v>3567</v>
      </c>
      <c r="F1760" s="454">
        <f t="shared" si="802"/>
        <v>20.64</v>
      </c>
      <c r="G1760" s="529">
        <v>20.64</v>
      </c>
      <c r="H1760" s="487">
        <f t="shared" si="803"/>
        <v>16.510000000000002</v>
      </c>
      <c r="I1760" s="706"/>
      <c r="J1760" s="669" t="s">
        <v>5805</v>
      </c>
      <c r="K1760" s="15"/>
      <c r="M1760" s="49">
        <f t="shared" si="804"/>
        <v>20.64</v>
      </c>
      <c r="N1760" s="41">
        <v>11.67</v>
      </c>
      <c r="O1760" s="54"/>
      <c r="P1760" s="15"/>
      <c r="R1760" t="s">
        <v>1017</v>
      </c>
      <c r="S1760" t="s">
        <v>4180</v>
      </c>
      <c r="T1760" t="s">
        <v>4180</v>
      </c>
      <c r="U1760" s="55"/>
      <c r="V1760" t="s">
        <v>1017</v>
      </c>
      <c r="W1760" s="65"/>
      <c r="X1760" s="65"/>
      <c r="AA1760" s="65"/>
      <c r="AD1760" s="91"/>
      <c r="AE1760" s="124"/>
      <c r="AF1760" s="65"/>
      <c r="AG1760" s="91"/>
      <c r="AH1760" s="212" t="str">
        <f t="shared" si="806"/>
        <v>2010</v>
      </c>
      <c r="AI1760" s="214" t="str">
        <f t="shared" si="797"/>
        <v/>
      </c>
      <c r="AJ1760" s="214" t="str">
        <f t="shared" si="798"/>
        <v/>
      </c>
      <c r="AK1760" s="214" t="str">
        <f t="shared" si="799"/>
        <v/>
      </c>
      <c r="AL1760" s="214" t="str">
        <f t="shared" si="800"/>
        <v/>
      </c>
      <c r="AM1760" s="214" t="str">
        <f t="shared" si="801"/>
        <v/>
      </c>
      <c r="AN1760" s="213" t="str">
        <f t="shared" si="783"/>
        <v>2010</v>
      </c>
      <c r="AO1760" s="213" t="str">
        <f t="shared" si="784"/>
        <v>2010</v>
      </c>
      <c r="AP1760" s="213" t="str">
        <f t="shared" si="785"/>
        <v>2010</v>
      </c>
      <c r="AQ1760" s="215" t="str">
        <f t="shared" si="786"/>
        <v/>
      </c>
      <c r="AR1760" s="216" t="str">
        <f t="shared" si="787"/>
        <v>BiK81a1K10--07</v>
      </c>
      <c r="AS1760" s="215" t="str">
        <f t="shared" si="788"/>
        <v/>
      </c>
      <c r="AT1760">
        <f t="shared" si="789"/>
        <v>14</v>
      </c>
      <c r="AU1760" s="216" t="str">
        <f t="shared" si="790"/>
        <v>0-0,15 MW, Bonusregeln a1, K erstmals 2010</v>
      </c>
      <c r="AV1760" s="215" t="str">
        <f t="shared" si="791"/>
        <v/>
      </c>
      <c r="AW1760" s="216" t="str">
        <f t="shared" si="792"/>
        <v>Anteil KWK, erstmals 2010</v>
      </c>
      <c r="AX1760" s="215" t="str">
        <f t="shared" si="793"/>
        <v/>
      </c>
      <c r="AY1760" t="str">
        <f t="shared" si="794"/>
        <v/>
      </c>
      <c r="AZ1760" t="str">
        <f t="shared" si="795"/>
        <v/>
      </c>
    </row>
    <row r="1761" spans="1:52" x14ac:dyDescent="0.25">
      <c r="A1761" s="610" t="s">
        <v>3990</v>
      </c>
      <c r="B1761" s="17" t="s">
        <v>5548</v>
      </c>
      <c r="C1761" s="17" t="s">
        <v>1304</v>
      </c>
      <c r="D1761" s="30" t="s">
        <v>6886</v>
      </c>
      <c r="E1761" s="30" t="s">
        <v>3055</v>
      </c>
      <c r="F1761" s="454">
        <f t="shared" si="802"/>
        <v>20.61</v>
      </c>
      <c r="G1761" s="529">
        <v>20.61</v>
      </c>
      <c r="H1761" s="487">
        <f t="shared" si="803"/>
        <v>16.489999999999998</v>
      </c>
      <c r="I1761" s="706"/>
      <c r="J1761" s="669" t="s">
        <v>5805</v>
      </c>
      <c r="K1761" s="15"/>
      <c r="M1761" s="49">
        <f t="shared" si="804"/>
        <v>20.61</v>
      </c>
      <c r="N1761" s="41">
        <v>11.67</v>
      </c>
      <c r="O1761" s="54"/>
      <c r="P1761" s="15"/>
      <c r="S1761" t="s">
        <v>1017</v>
      </c>
      <c r="T1761" t="s">
        <v>4180</v>
      </c>
      <c r="U1761" s="55"/>
      <c r="V1761" t="s">
        <v>1017</v>
      </c>
      <c r="W1761" s="65"/>
      <c r="X1761" s="65"/>
      <c r="AA1761" s="65"/>
      <c r="AD1761" s="91"/>
      <c r="AE1761" s="124"/>
      <c r="AF1761" s="65"/>
      <c r="AG1761" s="91"/>
      <c r="AH1761" s="212" t="str">
        <f t="shared" si="806"/>
        <v>2011</v>
      </c>
      <c r="AI1761" s="214" t="str">
        <f t="shared" si="797"/>
        <v/>
      </c>
      <c r="AJ1761" s="214" t="str">
        <f t="shared" si="798"/>
        <v/>
      </c>
      <c r="AK1761" s="214" t="str">
        <f t="shared" si="799"/>
        <v/>
      </c>
      <c r="AL1761" s="214" t="str">
        <f t="shared" si="800"/>
        <v/>
      </c>
      <c r="AM1761" s="214" t="str">
        <f t="shared" si="801"/>
        <v/>
      </c>
      <c r="AN1761" s="213" t="str">
        <f t="shared" si="783"/>
        <v>2011</v>
      </c>
      <c r="AO1761" s="213" t="str">
        <f t="shared" si="784"/>
        <v>2011</v>
      </c>
      <c r="AP1761" s="213" t="str">
        <f t="shared" si="785"/>
        <v>2011</v>
      </c>
      <c r="AQ1761" s="215" t="str">
        <f t="shared" si="786"/>
        <v/>
      </c>
      <c r="AR1761" s="216" t="str">
        <f t="shared" si="787"/>
        <v>BiK81a1K11--07</v>
      </c>
      <c r="AS1761" s="215" t="str">
        <f t="shared" si="788"/>
        <v/>
      </c>
      <c r="AT1761">
        <f t="shared" si="789"/>
        <v>14</v>
      </c>
      <c r="AU1761" s="216" t="str">
        <f t="shared" si="790"/>
        <v>0-0,15 MW, Bonusregeln a1, K erstmals 2011</v>
      </c>
      <c r="AV1761" s="215" t="str">
        <f t="shared" si="791"/>
        <v/>
      </c>
      <c r="AW1761" s="216" t="str">
        <f t="shared" si="792"/>
        <v>Anteil KWK, erstmals 2011</v>
      </c>
      <c r="AX1761" s="215" t="str">
        <f t="shared" si="793"/>
        <v/>
      </c>
      <c r="AY1761" t="str">
        <f t="shared" si="794"/>
        <v>x</v>
      </c>
      <c r="AZ1761" t="str">
        <f t="shared" si="795"/>
        <v/>
      </c>
    </row>
    <row r="1762" spans="1:52" x14ac:dyDescent="0.25">
      <c r="A1762" s="625" t="s">
        <v>1812</v>
      </c>
      <c r="B1762" s="221" t="s">
        <v>5548</v>
      </c>
      <c r="C1762" s="221" t="s">
        <v>1304</v>
      </c>
      <c r="D1762" s="219" t="s">
        <v>6887</v>
      </c>
      <c r="E1762" s="219" t="s">
        <v>1980</v>
      </c>
      <c r="F1762" s="455">
        <f t="shared" si="802"/>
        <v>20.58</v>
      </c>
      <c r="G1762" s="530">
        <v>20.58</v>
      </c>
      <c r="H1762" s="488">
        <f t="shared" si="803"/>
        <v>16.46</v>
      </c>
      <c r="I1762" s="707"/>
      <c r="J1762" s="669" t="s">
        <v>5805</v>
      </c>
      <c r="K1762" s="15"/>
      <c r="M1762" s="49">
        <f t="shared" si="804"/>
        <v>20.58</v>
      </c>
      <c r="N1762" s="41">
        <v>11.67</v>
      </c>
      <c r="O1762" s="54"/>
      <c r="P1762" s="15"/>
      <c r="S1762" t="s">
        <v>4180</v>
      </c>
      <c r="T1762" t="s">
        <v>1017</v>
      </c>
      <c r="U1762" s="55"/>
      <c r="V1762" t="s">
        <v>1017</v>
      </c>
      <c r="W1762" s="65"/>
      <c r="X1762" s="65"/>
      <c r="AA1762" s="65"/>
      <c r="AD1762" s="91"/>
      <c r="AE1762" s="124"/>
      <c r="AF1762" s="65"/>
      <c r="AG1762" s="91"/>
      <c r="AH1762" s="217" t="s">
        <v>4179</v>
      </c>
      <c r="AI1762" s="214" t="str">
        <f t="shared" si="797"/>
        <v/>
      </c>
      <c r="AJ1762" s="214" t="str">
        <f t="shared" si="798"/>
        <v/>
      </c>
      <c r="AK1762" s="214" t="str">
        <f t="shared" si="799"/>
        <v/>
      </c>
      <c r="AL1762" s="214" t="str">
        <f t="shared" si="800"/>
        <v/>
      </c>
      <c r="AM1762" s="214" t="str">
        <f t="shared" si="801"/>
        <v/>
      </c>
      <c r="AN1762" s="213" t="str">
        <f t="shared" si="783"/>
        <v>2012</v>
      </c>
      <c r="AO1762" s="213" t="str">
        <f t="shared" si="784"/>
        <v>2012</v>
      </c>
      <c r="AP1762" s="213" t="str">
        <f t="shared" si="785"/>
        <v>2012</v>
      </c>
      <c r="AQ1762" s="215" t="str">
        <f t="shared" si="786"/>
        <v/>
      </c>
      <c r="AR1762" s="216" t="str">
        <f t="shared" si="787"/>
        <v>BiK81a1K12--07</v>
      </c>
      <c r="AS1762" s="215" t="str">
        <f t="shared" si="788"/>
        <v/>
      </c>
      <c r="AT1762">
        <f t="shared" si="789"/>
        <v>14</v>
      </c>
      <c r="AU1762" s="216" t="str">
        <f t="shared" si="790"/>
        <v>0-0,15 MW, Bonusregeln a1, K erstmals 2012</v>
      </c>
      <c r="AV1762" s="215" t="str">
        <f t="shared" si="791"/>
        <v/>
      </c>
      <c r="AW1762" s="216" t="str">
        <f t="shared" si="792"/>
        <v>Anteil KWK, erstmals 2012</v>
      </c>
      <c r="AX1762" s="215" t="str">
        <f t="shared" si="793"/>
        <v/>
      </c>
      <c r="AY1762" t="str">
        <f t="shared" si="794"/>
        <v/>
      </c>
      <c r="AZ1762" t="str">
        <f t="shared" si="795"/>
        <v>x</v>
      </c>
    </row>
    <row r="1763" spans="1:52" x14ac:dyDescent="0.25">
      <c r="A1763" s="610" t="s">
        <v>3631</v>
      </c>
      <c r="B1763" s="17" t="s">
        <v>5548</v>
      </c>
      <c r="C1763" s="17" t="s">
        <v>1304</v>
      </c>
      <c r="D1763" s="30" t="s">
        <v>6888</v>
      </c>
      <c r="E1763" s="17" t="s">
        <v>4810</v>
      </c>
      <c r="F1763" s="454">
        <f t="shared" si="802"/>
        <v>18.670000000000002</v>
      </c>
      <c r="G1763" s="529">
        <v>18.670000000000002</v>
      </c>
      <c r="H1763" s="487">
        <f t="shared" si="803"/>
        <v>14.94</v>
      </c>
      <c r="I1763" s="706"/>
      <c r="J1763" s="669" t="s">
        <v>5805</v>
      </c>
      <c r="K1763" s="15"/>
      <c r="M1763" s="49">
        <f t="shared" si="804"/>
        <v>18.670000000000002</v>
      </c>
      <c r="N1763" s="41">
        <v>11.67</v>
      </c>
      <c r="O1763" s="54"/>
      <c r="P1763" s="15"/>
      <c r="S1763" t="s">
        <v>4180</v>
      </c>
      <c r="T1763" t="s">
        <v>4180</v>
      </c>
      <c r="U1763" s="55" t="s">
        <v>1017</v>
      </c>
      <c r="V1763" t="s">
        <v>1017</v>
      </c>
      <c r="W1763" s="65"/>
      <c r="X1763" s="65"/>
      <c r="AA1763" s="65"/>
      <c r="AD1763" s="91"/>
      <c r="AE1763" s="124"/>
      <c r="AF1763" s="65"/>
      <c r="AG1763" s="91"/>
      <c r="AH1763" s="212" t="str">
        <f t="shared" ref="AH1763:AH1768" si="807">IF(ISERROR(SEARCH("K erstmals 201",D1763)),"",RIGHT(D1763,4))</f>
        <v/>
      </c>
      <c r="AI1763" s="214" t="str">
        <f t="shared" si="797"/>
        <v/>
      </c>
      <c r="AJ1763" s="214" t="str">
        <f t="shared" si="798"/>
        <v/>
      </c>
      <c r="AK1763" s="214" t="str">
        <f t="shared" si="799"/>
        <v/>
      </c>
      <c r="AL1763" s="214" t="str">
        <f t="shared" si="800"/>
        <v/>
      </c>
      <c r="AM1763" s="214" t="str">
        <f t="shared" si="801"/>
        <v/>
      </c>
      <c r="AN1763" s="213" t="str">
        <f t="shared" si="783"/>
        <v/>
      </c>
      <c r="AO1763" s="213" t="str">
        <f t="shared" si="784"/>
        <v/>
      </c>
      <c r="AP1763" s="213" t="str">
        <f t="shared" si="785"/>
        <v/>
      </c>
      <c r="AQ1763" s="215" t="str">
        <f t="shared" si="786"/>
        <v/>
      </c>
      <c r="AR1763" s="216" t="str">
        <f t="shared" si="787"/>
        <v>BiK81a1y----07</v>
      </c>
      <c r="AS1763" s="215" t="str">
        <f t="shared" si="788"/>
        <v/>
      </c>
      <c r="AT1763">
        <f t="shared" si="789"/>
        <v>14</v>
      </c>
      <c r="AU1763" s="216" t="str">
        <f t="shared" si="790"/>
        <v>0-0,15 MW, Bonusregeln a1, y</v>
      </c>
      <c r="AV1763" s="215" t="str">
        <f t="shared" si="791"/>
        <v/>
      </c>
      <c r="AW1763" s="216" t="str">
        <f t="shared" si="792"/>
        <v>Anteil Nicht-KWK</v>
      </c>
      <c r="AX1763" s="215" t="str">
        <f t="shared" si="793"/>
        <v/>
      </c>
      <c r="AY1763" t="str">
        <f t="shared" si="794"/>
        <v/>
      </c>
      <c r="AZ1763" t="str">
        <f t="shared" si="795"/>
        <v/>
      </c>
    </row>
    <row r="1764" spans="1:52" x14ac:dyDescent="0.25">
      <c r="A1764" s="610" t="s">
        <v>3632</v>
      </c>
      <c r="B1764" s="17" t="s">
        <v>5548</v>
      </c>
      <c r="C1764" s="17" t="s">
        <v>1304</v>
      </c>
      <c r="D1764" s="30" t="s">
        <v>6889</v>
      </c>
      <c r="E1764" s="17" t="s">
        <v>4812</v>
      </c>
      <c r="F1764" s="454">
        <f t="shared" si="802"/>
        <v>20.67</v>
      </c>
      <c r="G1764" s="529">
        <v>20.67</v>
      </c>
      <c r="H1764" s="487">
        <f t="shared" si="803"/>
        <v>16.54</v>
      </c>
      <c r="I1764" s="706"/>
      <c r="J1764" s="669" t="s">
        <v>5805</v>
      </c>
      <c r="K1764" s="15"/>
      <c r="M1764" s="49">
        <f t="shared" si="804"/>
        <v>20.67</v>
      </c>
      <c r="N1764" s="41">
        <v>11.67</v>
      </c>
      <c r="O1764" s="54" t="s">
        <v>1017</v>
      </c>
      <c r="P1764" s="15"/>
      <c r="S1764" t="s">
        <v>4180</v>
      </c>
      <c r="T1764" t="s">
        <v>4180</v>
      </c>
      <c r="U1764" s="55" t="s">
        <v>1017</v>
      </c>
      <c r="V1764" t="s">
        <v>1017</v>
      </c>
      <c r="W1764" s="65"/>
      <c r="X1764" s="65"/>
      <c r="AA1764" s="65"/>
      <c r="AD1764" s="91"/>
      <c r="AE1764" s="124"/>
      <c r="AF1764" s="65"/>
      <c r="AG1764" s="91"/>
      <c r="AH1764" s="212" t="str">
        <f t="shared" si="807"/>
        <v/>
      </c>
      <c r="AI1764" s="214" t="str">
        <f t="shared" si="797"/>
        <v/>
      </c>
      <c r="AJ1764" s="214" t="str">
        <f t="shared" si="798"/>
        <v/>
      </c>
      <c r="AK1764" s="214" t="str">
        <f t="shared" si="799"/>
        <v/>
      </c>
      <c r="AL1764" s="214" t="str">
        <f t="shared" si="800"/>
        <v/>
      </c>
      <c r="AM1764" s="214" t="str">
        <f t="shared" si="801"/>
        <v/>
      </c>
      <c r="AN1764" s="213" t="str">
        <f t="shared" si="783"/>
        <v/>
      </c>
      <c r="AO1764" s="213" t="str">
        <f t="shared" si="784"/>
        <v/>
      </c>
      <c r="AP1764" s="213" t="str">
        <f t="shared" si="785"/>
        <v/>
      </c>
      <c r="AQ1764" s="215" t="str">
        <f t="shared" si="786"/>
        <v/>
      </c>
      <c r="AR1764" s="216" t="str">
        <f t="shared" si="787"/>
        <v>BiK81a1KWKy-07</v>
      </c>
      <c r="AS1764" s="215" t="str">
        <f t="shared" si="788"/>
        <v/>
      </c>
      <c r="AT1764">
        <f t="shared" si="789"/>
        <v>14</v>
      </c>
      <c r="AU1764" s="216" t="str">
        <f t="shared" si="790"/>
        <v>0-0,15 MW, Bonusregeln a1, y und KWK</v>
      </c>
      <c r="AV1764" s="215" t="str">
        <f t="shared" si="791"/>
        <v/>
      </c>
      <c r="AW1764" s="216" t="str">
        <f t="shared" si="792"/>
        <v>Anteil KWK</v>
      </c>
      <c r="AX1764" s="215" t="str">
        <f t="shared" si="793"/>
        <v/>
      </c>
      <c r="AY1764" t="str">
        <f t="shared" si="794"/>
        <v/>
      </c>
      <c r="AZ1764" t="str">
        <f t="shared" si="795"/>
        <v/>
      </c>
    </row>
    <row r="1765" spans="1:52" x14ac:dyDescent="0.25">
      <c r="A1765" s="610" t="s">
        <v>3633</v>
      </c>
      <c r="B1765" s="17" t="s">
        <v>5548</v>
      </c>
      <c r="C1765" s="30" t="s">
        <v>1304</v>
      </c>
      <c r="D1765" s="30" t="s">
        <v>6890</v>
      </c>
      <c r="E1765" s="30" t="s">
        <v>4331</v>
      </c>
      <c r="F1765" s="454">
        <f t="shared" si="802"/>
        <v>21.67</v>
      </c>
      <c r="G1765" s="529">
        <v>21.67</v>
      </c>
      <c r="H1765" s="487">
        <f t="shared" si="803"/>
        <v>17.34</v>
      </c>
      <c r="I1765" s="706"/>
      <c r="J1765" s="669" t="s">
        <v>5805</v>
      </c>
      <c r="K1765" s="15"/>
      <c r="M1765" s="49">
        <f t="shared" si="804"/>
        <v>21.67</v>
      </c>
      <c r="N1765" s="41">
        <v>11.67</v>
      </c>
      <c r="O1765" s="54"/>
      <c r="P1765" t="s">
        <v>1017</v>
      </c>
      <c r="S1765" t="s">
        <v>4180</v>
      </c>
      <c r="T1765" t="s">
        <v>4180</v>
      </c>
      <c r="U1765" s="55" t="s">
        <v>1017</v>
      </c>
      <c r="V1765" t="s">
        <v>1017</v>
      </c>
      <c r="W1765" s="65"/>
      <c r="X1765" s="65"/>
      <c r="AA1765" s="65"/>
      <c r="AD1765" s="91"/>
      <c r="AE1765" s="124"/>
      <c r="AF1765" s="65"/>
      <c r="AG1765" s="91"/>
      <c r="AH1765" s="212" t="str">
        <f t="shared" si="807"/>
        <v/>
      </c>
      <c r="AI1765" s="214" t="str">
        <f t="shared" si="797"/>
        <v/>
      </c>
      <c r="AJ1765" s="214" t="str">
        <f t="shared" si="798"/>
        <v/>
      </c>
      <c r="AK1765" s="214" t="str">
        <f t="shared" si="799"/>
        <v/>
      </c>
      <c r="AL1765" s="214" t="str">
        <f t="shared" si="800"/>
        <v/>
      </c>
      <c r="AM1765" s="214" t="str">
        <f t="shared" si="801"/>
        <v/>
      </c>
      <c r="AN1765" s="213" t="str">
        <f t="shared" si="783"/>
        <v/>
      </c>
      <c r="AO1765" s="213" t="str">
        <f t="shared" si="784"/>
        <v/>
      </c>
      <c r="AP1765" s="213" t="str">
        <f t="shared" si="785"/>
        <v/>
      </c>
      <c r="AQ1765" s="215" t="str">
        <f t="shared" si="786"/>
        <v/>
      </c>
      <c r="AR1765" s="216" t="str">
        <f t="shared" si="787"/>
        <v>BiK81a1KA3y-07</v>
      </c>
      <c r="AS1765" s="215" t="str">
        <f t="shared" si="788"/>
        <v/>
      </c>
      <c r="AT1765">
        <f t="shared" si="789"/>
        <v>14</v>
      </c>
      <c r="AU1765" s="216" t="str">
        <f t="shared" si="790"/>
        <v>0-0,15 MW, Bonusregeln a1, y und K wenn Anlage 3 erfüllt</v>
      </c>
      <c r="AV1765" s="215" t="str">
        <f t="shared" si="791"/>
        <v/>
      </c>
      <c r="AW1765" s="216" t="str">
        <f t="shared" si="792"/>
        <v>Anteil KWK gemäß Anlage 3</v>
      </c>
      <c r="AX1765" s="215" t="str">
        <f t="shared" si="793"/>
        <v/>
      </c>
      <c r="AY1765" t="str">
        <f t="shared" si="794"/>
        <v/>
      </c>
      <c r="AZ1765" t="str">
        <f t="shared" si="795"/>
        <v/>
      </c>
    </row>
    <row r="1766" spans="1:52" s="12" customFormat="1" x14ac:dyDescent="0.25">
      <c r="A1766" s="610" t="s">
        <v>3634</v>
      </c>
      <c r="B1766" s="17" t="s">
        <v>5548</v>
      </c>
      <c r="C1766" s="17" t="s">
        <v>1304</v>
      </c>
      <c r="D1766" s="30" t="s">
        <v>6891</v>
      </c>
      <c r="E1766" s="17" t="s">
        <v>674</v>
      </c>
      <c r="F1766" s="454">
        <f t="shared" si="802"/>
        <v>21.67</v>
      </c>
      <c r="G1766" s="529">
        <v>21.67</v>
      </c>
      <c r="H1766" s="487">
        <f t="shared" si="803"/>
        <v>17.34</v>
      </c>
      <c r="I1766" s="706"/>
      <c r="J1766" s="669" t="s">
        <v>5805</v>
      </c>
      <c r="K1766" s="15"/>
      <c r="L1766"/>
      <c r="M1766" s="49">
        <f t="shared" si="804"/>
        <v>21.67</v>
      </c>
      <c r="N1766" s="41">
        <v>11.67</v>
      </c>
      <c r="O1766" s="54"/>
      <c r="P1766" s="15"/>
      <c r="Q1766" t="s">
        <v>1017</v>
      </c>
      <c r="R1766"/>
      <c r="S1766" t="s">
        <v>4180</v>
      </c>
      <c r="T1766" s="12" t="s">
        <v>4180</v>
      </c>
      <c r="U1766" s="55" t="s">
        <v>1017</v>
      </c>
      <c r="V1766" t="s">
        <v>1017</v>
      </c>
      <c r="W1766" s="65"/>
      <c r="X1766" s="65"/>
      <c r="Y1766"/>
      <c r="Z1766"/>
      <c r="AA1766" s="65"/>
      <c r="AB1766"/>
      <c r="AC1766"/>
      <c r="AD1766" s="91"/>
      <c r="AE1766" s="124"/>
      <c r="AF1766" s="65"/>
      <c r="AG1766" s="91"/>
      <c r="AH1766" s="212" t="str">
        <f t="shared" si="807"/>
        <v/>
      </c>
      <c r="AI1766" s="214" t="str">
        <f t="shared" si="797"/>
        <v/>
      </c>
      <c r="AJ1766" s="214" t="str">
        <f t="shared" si="798"/>
        <v/>
      </c>
      <c r="AK1766" s="214" t="str">
        <f t="shared" si="799"/>
        <v/>
      </c>
      <c r="AL1766" s="214" t="str">
        <f t="shared" si="800"/>
        <v/>
      </c>
      <c r="AM1766" s="214" t="str">
        <f t="shared" si="801"/>
        <v/>
      </c>
      <c r="AN1766" s="213" t="str">
        <f t="shared" si="783"/>
        <v/>
      </c>
      <c r="AO1766" s="213" t="str">
        <f t="shared" si="784"/>
        <v/>
      </c>
      <c r="AP1766" s="213" t="str">
        <f t="shared" si="785"/>
        <v/>
      </c>
      <c r="AQ1766" s="215" t="str">
        <f t="shared" si="786"/>
        <v/>
      </c>
      <c r="AR1766" s="216" t="str">
        <f t="shared" si="787"/>
        <v>BiK81a1K09y-07</v>
      </c>
      <c r="AS1766" s="215" t="str">
        <f t="shared" si="788"/>
        <v/>
      </c>
      <c r="AT1766">
        <f t="shared" si="789"/>
        <v>14</v>
      </c>
      <c r="AU1766" s="216" t="str">
        <f t="shared" si="790"/>
        <v>0-0,15 MW, Bonusregeln a1, y und K erstmals 2009</v>
      </c>
      <c r="AV1766" s="215" t="str">
        <f t="shared" si="791"/>
        <v/>
      </c>
      <c r="AW1766" s="216" t="str">
        <f t="shared" si="792"/>
        <v>Anteil KWK, erstmals 2009</v>
      </c>
      <c r="AX1766" s="215" t="str">
        <f t="shared" si="793"/>
        <v/>
      </c>
      <c r="AY1766" t="str">
        <f t="shared" si="794"/>
        <v/>
      </c>
      <c r="AZ1766" t="str">
        <f t="shared" si="795"/>
        <v/>
      </c>
    </row>
    <row r="1767" spans="1:52" s="12" customFormat="1" x14ac:dyDescent="0.25">
      <c r="A1767" s="610" t="s">
        <v>4944</v>
      </c>
      <c r="B1767" s="17" t="s">
        <v>5548</v>
      </c>
      <c r="C1767" s="17" t="s">
        <v>1304</v>
      </c>
      <c r="D1767" s="30" t="s">
        <v>6892</v>
      </c>
      <c r="E1767" s="30" t="s">
        <v>3567</v>
      </c>
      <c r="F1767" s="454">
        <f t="shared" si="802"/>
        <v>21.64</v>
      </c>
      <c r="G1767" s="529">
        <v>21.64</v>
      </c>
      <c r="H1767" s="487">
        <f t="shared" si="803"/>
        <v>17.309999999999999</v>
      </c>
      <c r="I1767" s="706"/>
      <c r="J1767" s="669" t="s">
        <v>5805</v>
      </c>
      <c r="K1767" s="15"/>
      <c r="L1767"/>
      <c r="M1767" s="49">
        <f t="shared" si="804"/>
        <v>21.64</v>
      </c>
      <c r="N1767" s="41">
        <v>11.67</v>
      </c>
      <c r="O1767" s="54"/>
      <c r="P1767" s="15"/>
      <c r="Q1767"/>
      <c r="R1767" t="s">
        <v>1017</v>
      </c>
      <c r="S1767" t="s">
        <v>4180</v>
      </c>
      <c r="T1767" s="12" t="s">
        <v>4180</v>
      </c>
      <c r="U1767" s="55" t="s">
        <v>1017</v>
      </c>
      <c r="V1767" t="s">
        <v>1017</v>
      </c>
      <c r="W1767" s="65"/>
      <c r="X1767" s="65"/>
      <c r="Y1767"/>
      <c r="Z1767"/>
      <c r="AA1767" s="65"/>
      <c r="AB1767"/>
      <c r="AC1767"/>
      <c r="AD1767" s="91"/>
      <c r="AE1767" s="124"/>
      <c r="AF1767" s="65"/>
      <c r="AG1767" s="91"/>
      <c r="AH1767" s="212" t="str">
        <f t="shared" si="807"/>
        <v>2010</v>
      </c>
      <c r="AI1767" s="214" t="str">
        <f t="shared" si="797"/>
        <v/>
      </c>
      <c r="AJ1767" s="214" t="str">
        <f t="shared" si="798"/>
        <v/>
      </c>
      <c r="AK1767" s="214" t="str">
        <f t="shared" si="799"/>
        <v/>
      </c>
      <c r="AL1767" s="214" t="str">
        <f t="shared" si="800"/>
        <v/>
      </c>
      <c r="AM1767" s="214" t="str">
        <f t="shared" si="801"/>
        <v/>
      </c>
      <c r="AN1767" s="213" t="str">
        <f t="shared" si="783"/>
        <v>2010</v>
      </c>
      <c r="AO1767" s="213" t="str">
        <f t="shared" si="784"/>
        <v>2010</v>
      </c>
      <c r="AP1767" s="213" t="str">
        <f t="shared" si="785"/>
        <v>2010</v>
      </c>
      <c r="AQ1767" s="215" t="str">
        <f t="shared" si="786"/>
        <v/>
      </c>
      <c r="AR1767" s="216" t="str">
        <f t="shared" si="787"/>
        <v>BiK81a1K10y-07</v>
      </c>
      <c r="AS1767" s="215" t="str">
        <f t="shared" si="788"/>
        <v/>
      </c>
      <c r="AT1767">
        <f t="shared" si="789"/>
        <v>14</v>
      </c>
      <c r="AU1767" s="216" t="str">
        <f t="shared" si="790"/>
        <v>0-0,15 MW, Bonusregeln a1, y und K erstmals 2010</v>
      </c>
      <c r="AV1767" s="215" t="str">
        <f t="shared" si="791"/>
        <v/>
      </c>
      <c r="AW1767" s="216" t="str">
        <f t="shared" si="792"/>
        <v>Anteil KWK, erstmals 2010</v>
      </c>
      <c r="AX1767" s="215" t="str">
        <f t="shared" si="793"/>
        <v/>
      </c>
      <c r="AY1767" t="str">
        <f t="shared" si="794"/>
        <v/>
      </c>
      <c r="AZ1767" t="str">
        <f t="shared" si="795"/>
        <v/>
      </c>
    </row>
    <row r="1768" spans="1:52" s="12" customFormat="1" x14ac:dyDescent="0.25">
      <c r="A1768" s="610" t="s">
        <v>3991</v>
      </c>
      <c r="B1768" s="17" t="s">
        <v>5548</v>
      </c>
      <c r="C1768" s="17" t="s">
        <v>1304</v>
      </c>
      <c r="D1768" s="30" t="s">
        <v>6893</v>
      </c>
      <c r="E1768" s="30" t="s">
        <v>3055</v>
      </c>
      <c r="F1768" s="454">
        <f t="shared" si="802"/>
        <v>21.61</v>
      </c>
      <c r="G1768" s="529">
        <v>21.61</v>
      </c>
      <c r="H1768" s="487">
        <f t="shared" si="803"/>
        <v>17.29</v>
      </c>
      <c r="I1768" s="706"/>
      <c r="J1768" s="669" t="s">
        <v>5805</v>
      </c>
      <c r="K1768" s="15"/>
      <c r="L1768"/>
      <c r="M1768" s="49">
        <f t="shared" si="804"/>
        <v>21.61</v>
      </c>
      <c r="N1768" s="41">
        <v>11.67</v>
      </c>
      <c r="O1768" s="54"/>
      <c r="P1768" s="15"/>
      <c r="Q1768"/>
      <c r="R1768"/>
      <c r="S1768" t="s">
        <v>1017</v>
      </c>
      <c r="T1768" s="12" t="s">
        <v>4180</v>
      </c>
      <c r="U1768" s="55" t="s">
        <v>1017</v>
      </c>
      <c r="V1768" t="s">
        <v>1017</v>
      </c>
      <c r="W1768" s="65"/>
      <c r="X1768" s="65"/>
      <c r="Y1768"/>
      <c r="Z1768"/>
      <c r="AA1768" s="65"/>
      <c r="AB1768"/>
      <c r="AC1768"/>
      <c r="AD1768" s="91"/>
      <c r="AE1768" s="124"/>
      <c r="AF1768" s="65"/>
      <c r="AG1768" s="91"/>
      <c r="AH1768" s="212" t="str">
        <f t="shared" si="807"/>
        <v>2011</v>
      </c>
      <c r="AI1768" s="214" t="str">
        <f t="shared" si="797"/>
        <v/>
      </c>
      <c r="AJ1768" s="214" t="str">
        <f t="shared" si="798"/>
        <v/>
      </c>
      <c r="AK1768" s="214" t="str">
        <f t="shared" si="799"/>
        <v/>
      </c>
      <c r="AL1768" s="214" t="str">
        <f t="shared" si="800"/>
        <v/>
      </c>
      <c r="AM1768" s="214" t="str">
        <f t="shared" si="801"/>
        <v/>
      </c>
      <c r="AN1768" s="213" t="str">
        <f t="shared" si="783"/>
        <v>2011</v>
      </c>
      <c r="AO1768" s="213" t="str">
        <f t="shared" si="784"/>
        <v>2011</v>
      </c>
      <c r="AP1768" s="213" t="str">
        <f t="shared" si="785"/>
        <v>2011</v>
      </c>
      <c r="AQ1768" s="215" t="str">
        <f t="shared" si="786"/>
        <v/>
      </c>
      <c r="AR1768" s="216" t="str">
        <f t="shared" si="787"/>
        <v>BiK81a1K11y-07</v>
      </c>
      <c r="AS1768" s="215" t="str">
        <f t="shared" si="788"/>
        <v/>
      </c>
      <c r="AT1768">
        <f t="shared" si="789"/>
        <v>14</v>
      </c>
      <c r="AU1768" s="216" t="str">
        <f t="shared" si="790"/>
        <v>0-0,15 MW, Bonusregeln a1, y und K erstmals 2011</v>
      </c>
      <c r="AV1768" s="215" t="str">
        <f t="shared" si="791"/>
        <v/>
      </c>
      <c r="AW1768" s="216" t="str">
        <f t="shared" si="792"/>
        <v>Anteil KWK, erstmals 2011</v>
      </c>
      <c r="AX1768" s="215" t="str">
        <f t="shared" si="793"/>
        <v/>
      </c>
      <c r="AY1768" t="str">
        <f t="shared" si="794"/>
        <v>x</v>
      </c>
      <c r="AZ1768" t="str">
        <f t="shared" si="795"/>
        <v/>
      </c>
    </row>
    <row r="1769" spans="1:52" s="12" customFormat="1" x14ac:dyDescent="0.25">
      <c r="A1769" s="625" t="s">
        <v>1813</v>
      </c>
      <c r="B1769" s="221" t="s">
        <v>5548</v>
      </c>
      <c r="C1769" s="221" t="s">
        <v>1304</v>
      </c>
      <c r="D1769" s="219" t="s">
        <v>6894</v>
      </c>
      <c r="E1769" s="219" t="s">
        <v>1980</v>
      </c>
      <c r="F1769" s="455">
        <f t="shared" si="802"/>
        <v>21.58</v>
      </c>
      <c r="G1769" s="530">
        <v>21.58</v>
      </c>
      <c r="H1769" s="488">
        <f t="shared" si="803"/>
        <v>17.260000000000002</v>
      </c>
      <c r="I1769" s="707"/>
      <c r="J1769" s="669" t="s">
        <v>5805</v>
      </c>
      <c r="K1769" s="15"/>
      <c r="L1769"/>
      <c r="M1769" s="49">
        <f t="shared" si="804"/>
        <v>21.58</v>
      </c>
      <c r="N1769" s="41">
        <v>11.67</v>
      </c>
      <c r="O1769" s="54"/>
      <c r="P1769" s="15"/>
      <c r="Q1769"/>
      <c r="R1769"/>
      <c r="S1769" t="s">
        <v>4180</v>
      </c>
      <c r="T1769" s="12" t="s">
        <v>1017</v>
      </c>
      <c r="U1769" s="55" t="s">
        <v>1017</v>
      </c>
      <c r="V1769" t="s">
        <v>1017</v>
      </c>
      <c r="W1769" s="65"/>
      <c r="X1769" s="65"/>
      <c r="Y1769"/>
      <c r="Z1769"/>
      <c r="AA1769" s="65"/>
      <c r="AB1769"/>
      <c r="AC1769"/>
      <c r="AD1769" s="91"/>
      <c r="AE1769" s="124"/>
      <c r="AF1769" s="65"/>
      <c r="AG1769" s="91"/>
      <c r="AH1769" s="217" t="s">
        <v>4179</v>
      </c>
      <c r="AI1769" s="214" t="str">
        <f t="shared" si="797"/>
        <v/>
      </c>
      <c r="AJ1769" s="214" t="str">
        <f t="shared" si="798"/>
        <v/>
      </c>
      <c r="AK1769" s="214" t="str">
        <f t="shared" si="799"/>
        <v/>
      </c>
      <c r="AL1769" s="214" t="str">
        <f t="shared" si="800"/>
        <v/>
      </c>
      <c r="AM1769" s="214" t="str">
        <f t="shared" si="801"/>
        <v/>
      </c>
      <c r="AN1769" s="213" t="str">
        <f t="shared" si="783"/>
        <v>2012</v>
      </c>
      <c r="AO1769" s="213" t="str">
        <f t="shared" si="784"/>
        <v>2012</v>
      </c>
      <c r="AP1769" s="213" t="str">
        <f t="shared" si="785"/>
        <v>2012</v>
      </c>
      <c r="AQ1769" s="215" t="str">
        <f t="shared" si="786"/>
        <v/>
      </c>
      <c r="AR1769" s="216" t="str">
        <f t="shared" si="787"/>
        <v>BiK81a1K12y-07</v>
      </c>
      <c r="AS1769" s="215" t="str">
        <f t="shared" si="788"/>
        <v/>
      </c>
      <c r="AT1769">
        <f t="shared" si="789"/>
        <v>14</v>
      </c>
      <c r="AU1769" s="216" t="str">
        <f t="shared" si="790"/>
        <v>0-0,15 MW, Bonusregeln a1, y und K erstmals 2012</v>
      </c>
      <c r="AV1769" s="215" t="str">
        <f t="shared" si="791"/>
        <v/>
      </c>
      <c r="AW1769" s="216" t="str">
        <f t="shared" si="792"/>
        <v>Anteil KWK, erstmals 2012</v>
      </c>
      <c r="AX1769" s="215" t="str">
        <f t="shared" si="793"/>
        <v/>
      </c>
      <c r="AY1769" t="str">
        <f t="shared" si="794"/>
        <v/>
      </c>
      <c r="AZ1769" t="str">
        <f t="shared" si="795"/>
        <v>x</v>
      </c>
    </row>
    <row r="1770" spans="1:52" s="12" customFormat="1" x14ac:dyDescent="0.25">
      <c r="A1770" s="610" t="s">
        <v>2244</v>
      </c>
      <c r="B1770" s="30" t="s">
        <v>5548</v>
      </c>
      <c r="C1770" s="30" t="s">
        <v>1304</v>
      </c>
      <c r="D1770" s="30" t="s">
        <v>6810</v>
      </c>
      <c r="E1770" s="30" t="s">
        <v>4810</v>
      </c>
      <c r="F1770" s="454">
        <f t="shared" si="802"/>
        <v>18.670000000000002</v>
      </c>
      <c r="G1770" s="529">
        <v>18.670000000000002</v>
      </c>
      <c r="H1770" s="487">
        <f t="shared" si="803"/>
        <v>14.94</v>
      </c>
      <c r="I1770" s="706"/>
      <c r="J1770" s="669" t="s">
        <v>5805</v>
      </c>
      <c r="K1770" s="15"/>
      <c r="L1770"/>
      <c r="M1770" s="49">
        <f t="shared" si="804"/>
        <v>18.670000000000002</v>
      </c>
      <c r="N1770" s="41">
        <v>11.67</v>
      </c>
      <c r="O1770" s="186"/>
      <c r="P1770" s="177"/>
      <c r="Q1770" s="178"/>
      <c r="R1770" s="178"/>
      <c r="S1770" s="178" t="s">
        <v>4180</v>
      </c>
      <c r="T1770" s="12" t="s">
        <v>4180</v>
      </c>
      <c r="U1770" s="179"/>
      <c r="V1770" s="178"/>
      <c r="W1770" s="180"/>
      <c r="X1770" s="180"/>
      <c r="Y1770" s="178" t="s">
        <v>1017</v>
      </c>
      <c r="Z1770" s="178"/>
      <c r="AA1770" s="180"/>
      <c r="AB1770" s="178"/>
      <c r="AC1770" s="178"/>
      <c r="AD1770" s="180"/>
      <c r="AE1770" s="200"/>
      <c r="AF1770" s="180"/>
      <c r="AG1770" s="180"/>
      <c r="AH1770" s="212" t="str">
        <f t="shared" ref="AH1770:AH1775" si="808">IF(ISERROR(SEARCH("K erstmals 201",D1770)),"",RIGHT(D1770,4))</f>
        <v/>
      </c>
      <c r="AI1770" s="214" t="str">
        <f t="shared" si="797"/>
        <v/>
      </c>
      <c r="AJ1770" s="214" t="str">
        <f t="shared" si="798"/>
        <v/>
      </c>
      <c r="AK1770" s="214" t="str">
        <f t="shared" si="799"/>
        <v/>
      </c>
      <c r="AL1770" s="214" t="str">
        <f t="shared" si="800"/>
        <v/>
      </c>
      <c r="AM1770" s="214" t="str">
        <f t="shared" si="801"/>
        <v/>
      </c>
      <c r="AN1770" s="213" t="str">
        <f t="shared" si="783"/>
        <v/>
      </c>
      <c r="AO1770" s="213" t="str">
        <f t="shared" si="784"/>
        <v/>
      </c>
      <c r="AP1770" s="213" t="str">
        <f t="shared" si="785"/>
        <v/>
      </c>
      <c r="AQ1770" s="215" t="str">
        <f t="shared" si="786"/>
        <v/>
      </c>
      <c r="AR1770" s="216" t="str">
        <f t="shared" si="787"/>
        <v>BiK81G------07</v>
      </c>
      <c r="AS1770" s="215" t="str">
        <f t="shared" si="788"/>
        <v/>
      </c>
      <c r="AT1770">
        <f t="shared" si="789"/>
        <v>14</v>
      </c>
      <c r="AU1770" s="216" t="str">
        <f t="shared" si="790"/>
        <v>0-0,15 MW, Bonusregel G</v>
      </c>
      <c r="AV1770" s="215" t="str">
        <f t="shared" si="791"/>
        <v/>
      </c>
      <c r="AW1770" s="216" t="str">
        <f t="shared" si="792"/>
        <v>Anteil Nicht-KWK</v>
      </c>
      <c r="AX1770" s="215" t="str">
        <f t="shared" si="793"/>
        <v/>
      </c>
      <c r="AY1770" t="str">
        <f t="shared" si="794"/>
        <v/>
      </c>
      <c r="AZ1770" t="str">
        <f t="shared" si="795"/>
        <v/>
      </c>
    </row>
    <row r="1771" spans="1:52" ht="17.25" customHeight="1" x14ac:dyDescent="0.25">
      <c r="A1771" s="610" t="s">
        <v>2245</v>
      </c>
      <c r="B1771" s="30" t="s">
        <v>5548</v>
      </c>
      <c r="C1771" s="30" t="s">
        <v>1304</v>
      </c>
      <c r="D1771" s="30" t="s">
        <v>6895</v>
      </c>
      <c r="E1771" s="30" t="s">
        <v>4812</v>
      </c>
      <c r="F1771" s="454">
        <f t="shared" si="802"/>
        <v>20.67</v>
      </c>
      <c r="G1771" s="529">
        <v>20.67</v>
      </c>
      <c r="H1771" s="487">
        <f t="shared" si="803"/>
        <v>16.54</v>
      </c>
      <c r="I1771" s="706"/>
      <c r="J1771" s="669" t="s">
        <v>5805</v>
      </c>
      <c r="K1771" s="15"/>
      <c r="M1771" s="49">
        <f t="shared" si="804"/>
        <v>20.67</v>
      </c>
      <c r="N1771" s="41">
        <v>11.67</v>
      </c>
      <c r="O1771" s="186" t="s">
        <v>1017</v>
      </c>
      <c r="P1771" s="177"/>
      <c r="Q1771" s="178"/>
      <c r="R1771" s="178"/>
      <c r="S1771" s="178" t="s">
        <v>4180</v>
      </c>
      <c r="T1771" t="s">
        <v>4180</v>
      </c>
      <c r="U1771" s="179"/>
      <c r="V1771" s="178"/>
      <c r="W1771" s="180"/>
      <c r="X1771" s="180"/>
      <c r="Y1771" s="178" t="s">
        <v>1017</v>
      </c>
      <c r="Z1771" s="178"/>
      <c r="AA1771" s="180"/>
      <c r="AB1771" s="178"/>
      <c r="AC1771" s="178"/>
      <c r="AD1771" s="201"/>
      <c r="AE1771" s="200"/>
      <c r="AF1771" s="180"/>
      <c r="AG1771" s="201"/>
      <c r="AH1771" s="212" t="str">
        <f t="shared" si="808"/>
        <v/>
      </c>
      <c r="AI1771" s="214" t="str">
        <f t="shared" si="797"/>
        <v/>
      </c>
      <c r="AJ1771" s="214" t="str">
        <f t="shared" si="798"/>
        <v/>
      </c>
      <c r="AK1771" s="214" t="str">
        <f t="shared" si="799"/>
        <v/>
      </c>
      <c r="AL1771" s="214" t="str">
        <f t="shared" si="800"/>
        <v/>
      </c>
      <c r="AM1771" s="214" t="str">
        <f t="shared" si="801"/>
        <v/>
      </c>
      <c r="AN1771" s="213" t="str">
        <f t="shared" si="783"/>
        <v/>
      </c>
      <c r="AO1771" s="213" t="str">
        <f t="shared" si="784"/>
        <v/>
      </c>
      <c r="AP1771" s="213" t="str">
        <f t="shared" si="785"/>
        <v/>
      </c>
      <c r="AQ1771" s="215" t="str">
        <f t="shared" si="786"/>
        <v/>
      </c>
      <c r="AR1771" s="216" t="str">
        <f t="shared" si="787"/>
        <v>BiK81GKWK---07</v>
      </c>
      <c r="AS1771" s="215" t="str">
        <f t="shared" si="788"/>
        <v/>
      </c>
      <c r="AT1771">
        <f t="shared" si="789"/>
        <v>14</v>
      </c>
      <c r="AU1771" s="216" t="str">
        <f t="shared" si="790"/>
        <v>0-0,15 MW, Bonusregeln G und KWK</v>
      </c>
      <c r="AV1771" s="215" t="str">
        <f t="shared" si="791"/>
        <v/>
      </c>
      <c r="AW1771" s="216" t="str">
        <f t="shared" si="792"/>
        <v>Anteil KWK</v>
      </c>
      <c r="AX1771" s="215" t="str">
        <f t="shared" si="793"/>
        <v/>
      </c>
      <c r="AY1771" t="str">
        <f t="shared" si="794"/>
        <v/>
      </c>
      <c r="AZ1771" t="str">
        <f t="shared" si="795"/>
        <v/>
      </c>
    </row>
    <row r="1772" spans="1:52" x14ac:dyDescent="0.25">
      <c r="A1772" s="610" t="s">
        <v>2246</v>
      </c>
      <c r="B1772" s="30" t="s">
        <v>5548</v>
      </c>
      <c r="C1772" s="30" t="s">
        <v>1304</v>
      </c>
      <c r="D1772" s="30" t="s">
        <v>6811</v>
      </c>
      <c r="E1772" s="30" t="s">
        <v>4331</v>
      </c>
      <c r="F1772" s="454">
        <f t="shared" si="802"/>
        <v>21.67</v>
      </c>
      <c r="G1772" s="529">
        <v>21.67</v>
      </c>
      <c r="H1772" s="487">
        <f t="shared" si="803"/>
        <v>17.34</v>
      </c>
      <c r="I1772" s="706"/>
      <c r="J1772" s="669" t="s">
        <v>5805</v>
      </c>
      <c r="K1772" s="15"/>
      <c r="M1772" s="49">
        <f t="shared" si="804"/>
        <v>21.67</v>
      </c>
      <c r="N1772" s="41">
        <v>11.67</v>
      </c>
      <c r="O1772" s="186"/>
      <c r="P1772" s="178" t="s">
        <v>1017</v>
      </c>
      <c r="Q1772" s="178"/>
      <c r="R1772" s="178"/>
      <c r="S1772" s="178" t="s">
        <v>4180</v>
      </c>
      <c r="T1772" t="s">
        <v>4180</v>
      </c>
      <c r="U1772" s="179"/>
      <c r="V1772" s="199"/>
      <c r="W1772" s="180"/>
      <c r="X1772" s="180"/>
      <c r="Y1772" s="178" t="s">
        <v>1017</v>
      </c>
      <c r="Z1772" s="178"/>
      <c r="AA1772" s="180"/>
      <c r="AB1772" s="178"/>
      <c r="AC1772" s="178"/>
      <c r="AD1772" s="201"/>
      <c r="AE1772" s="200"/>
      <c r="AF1772" s="180"/>
      <c r="AG1772" s="201"/>
      <c r="AH1772" s="212" t="str">
        <f t="shared" si="808"/>
        <v/>
      </c>
      <c r="AI1772" s="214" t="str">
        <f t="shared" si="797"/>
        <v/>
      </c>
      <c r="AJ1772" s="214" t="str">
        <f t="shared" si="798"/>
        <v/>
      </c>
      <c r="AK1772" s="214" t="str">
        <f t="shared" si="799"/>
        <v/>
      </c>
      <c r="AL1772" s="214" t="str">
        <f t="shared" si="800"/>
        <v/>
      </c>
      <c r="AM1772" s="214" t="str">
        <f t="shared" si="801"/>
        <v/>
      </c>
      <c r="AN1772" s="213" t="str">
        <f t="shared" si="783"/>
        <v/>
      </c>
      <c r="AO1772" s="213" t="str">
        <f t="shared" si="784"/>
        <v/>
      </c>
      <c r="AP1772" s="213" t="str">
        <f t="shared" si="785"/>
        <v/>
      </c>
      <c r="AQ1772" s="215" t="str">
        <f t="shared" si="786"/>
        <v/>
      </c>
      <c r="AR1772" s="216" t="str">
        <f t="shared" si="787"/>
        <v>BiK81GKA3---07</v>
      </c>
      <c r="AS1772" s="215" t="str">
        <f t="shared" si="788"/>
        <v/>
      </c>
      <c r="AT1772">
        <f t="shared" si="789"/>
        <v>14</v>
      </c>
      <c r="AU1772" s="216" t="str">
        <f t="shared" si="790"/>
        <v>0-0,15 MW, Bonusregeln G und K wenn Anlage 3 erfüllt</v>
      </c>
      <c r="AV1772" s="215" t="str">
        <f t="shared" si="791"/>
        <v/>
      </c>
      <c r="AW1772" s="216" t="str">
        <f t="shared" si="792"/>
        <v>Anteil KWK gemäß Anlage 3</v>
      </c>
      <c r="AX1772" s="215" t="str">
        <f t="shared" si="793"/>
        <v/>
      </c>
      <c r="AY1772" t="str">
        <f t="shared" si="794"/>
        <v/>
      </c>
      <c r="AZ1772" t="str">
        <f t="shared" si="795"/>
        <v/>
      </c>
    </row>
    <row r="1773" spans="1:52" x14ac:dyDescent="0.25">
      <c r="A1773" s="610" t="s">
        <v>2247</v>
      </c>
      <c r="B1773" s="30" t="s">
        <v>5548</v>
      </c>
      <c r="C1773" s="30" t="s">
        <v>1304</v>
      </c>
      <c r="D1773" s="30" t="s">
        <v>6812</v>
      </c>
      <c r="E1773" s="30" t="s">
        <v>674</v>
      </c>
      <c r="F1773" s="454">
        <f t="shared" si="802"/>
        <v>21.67</v>
      </c>
      <c r="G1773" s="529">
        <v>21.67</v>
      </c>
      <c r="H1773" s="487">
        <f t="shared" si="803"/>
        <v>17.34</v>
      </c>
      <c r="I1773" s="706"/>
      <c r="J1773" s="669" t="s">
        <v>5805</v>
      </c>
      <c r="K1773" s="15"/>
      <c r="M1773" s="49">
        <f t="shared" si="804"/>
        <v>21.67</v>
      </c>
      <c r="N1773" s="41">
        <v>11.67</v>
      </c>
      <c r="O1773" s="186"/>
      <c r="P1773" s="177"/>
      <c r="Q1773" s="178" t="s">
        <v>1017</v>
      </c>
      <c r="R1773" s="178"/>
      <c r="S1773" s="178" t="s">
        <v>4180</v>
      </c>
      <c r="T1773" t="s">
        <v>4180</v>
      </c>
      <c r="U1773" s="179"/>
      <c r="V1773" s="178"/>
      <c r="W1773" s="180"/>
      <c r="X1773" s="180"/>
      <c r="Y1773" s="178" t="s">
        <v>1017</v>
      </c>
      <c r="Z1773" s="178"/>
      <c r="AA1773" s="180"/>
      <c r="AB1773" s="178"/>
      <c r="AC1773" s="178"/>
      <c r="AD1773" s="201"/>
      <c r="AE1773" s="200"/>
      <c r="AF1773" s="180"/>
      <c r="AG1773" s="201"/>
      <c r="AH1773" s="212" t="str">
        <f t="shared" si="808"/>
        <v/>
      </c>
      <c r="AI1773" s="214" t="str">
        <f t="shared" si="797"/>
        <v/>
      </c>
      <c r="AJ1773" s="214" t="str">
        <f t="shared" si="798"/>
        <v/>
      </c>
      <c r="AK1773" s="214" t="str">
        <f t="shared" si="799"/>
        <v/>
      </c>
      <c r="AL1773" s="214" t="str">
        <f t="shared" si="800"/>
        <v/>
      </c>
      <c r="AM1773" s="214" t="str">
        <f t="shared" si="801"/>
        <v/>
      </c>
      <c r="AN1773" s="213" t="str">
        <f t="shared" si="783"/>
        <v/>
      </c>
      <c r="AO1773" s="213" t="str">
        <f t="shared" si="784"/>
        <v/>
      </c>
      <c r="AP1773" s="213" t="str">
        <f t="shared" si="785"/>
        <v/>
      </c>
      <c r="AQ1773" s="215" t="str">
        <f t="shared" si="786"/>
        <v/>
      </c>
      <c r="AR1773" s="216" t="str">
        <f t="shared" si="787"/>
        <v>BiK81GK09---07</v>
      </c>
      <c r="AS1773" s="215" t="str">
        <f t="shared" si="788"/>
        <v/>
      </c>
      <c r="AT1773">
        <f t="shared" si="789"/>
        <v>14</v>
      </c>
      <c r="AU1773" s="216" t="str">
        <f t="shared" si="790"/>
        <v>0-0,15 MW, Bonusregeln G und K erstmals 2009</v>
      </c>
      <c r="AV1773" s="215" t="str">
        <f t="shared" si="791"/>
        <v/>
      </c>
      <c r="AW1773" s="216" t="str">
        <f t="shared" si="792"/>
        <v>Anteil KWK, erstmals 2009</v>
      </c>
      <c r="AX1773" s="215" t="str">
        <f t="shared" si="793"/>
        <v/>
      </c>
      <c r="AY1773" t="str">
        <f t="shared" si="794"/>
        <v/>
      </c>
      <c r="AZ1773" t="str">
        <f t="shared" si="795"/>
        <v/>
      </c>
    </row>
    <row r="1774" spans="1:52" x14ac:dyDescent="0.25">
      <c r="A1774" s="610" t="s">
        <v>4945</v>
      </c>
      <c r="B1774" s="30" t="s">
        <v>5548</v>
      </c>
      <c r="C1774" s="30" t="s">
        <v>1304</v>
      </c>
      <c r="D1774" s="30" t="s">
        <v>6813</v>
      </c>
      <c r="E1774" s="30" t="s">
        <v>3567</v>
      </c>
      <c r="F1774" s="454">
        <f t="shared" si="802"/>
        <v>21.64</v>
      </c>
      <c r="G1774" s="529">
        <v>21.64</v>
      </c>
      <c r="H1774" s="487">
        <f t="shared" si="803"/>
        <v>17.309999999999999</v>
      </c>
      <c r="I1774" s="706"/>
      <c r="J1774" s="669" t="s">
        <v>5805</v>
      </c>
      <c r="K1774" s="15"/>
      <c r="M1774" s="49">
        <f t="shared" si="804"/>
        <v>21.64</v>
      </c>
      <c r="N1774" s="41">
        <v>11.67</v>
      </c>
      <c r="O1774" s="186"/>
      <c r="P1774" s="177"/>
      <c r="Q1774" s="178"/>
      <c r="R1774" s="178" t="s">
        <v>1017</v>
      </c>
      <c r="S1774" s="178" t="s">
        <v>4180</v>
      </c>
      <c r="T1774" t="s">
        <v>4180</v>
      </c>
      <c r="U1774" s="179"/>
      <c r="V1774" s="199"/>
      <c r="W1774" s="180"/>
      <c r="X1774" s="180"/>
      <c r="Y1774" s="178" t="s">
        <v>1017</v>
      </c>
      <c r="Z1774" s="178"/>
      <c r="AA1774" s="180"/>
      <c r="AB1774" s="178"/>
      <c r="AC1774" s="178"/>
      <c r="AD1774" s="201"/>
      <c r="AE1774" s="200"/>
      <c r="AF1774" s="180"/>
      <c r="AG1774" s="201"/>
      <c r="AH1774" s="212" t="str">
        <f t="shared" si="808"/>
        <v>2010</v>
      </c>
      <c r="AI1774" s="214" t="str">
        <f t="shared" si="797"/>
        <v/>
      </c>
      <c r="AJ1774" s="214" t="str">
        <f t="shared" si="798"/>
        <v/>
      </c>
      <c r="AK1774" s="214" t="str">
        <f t="shared" si="799"/>
        <v/>
      </c>
      <c r="AL1774" s="214" t="str">
        <f t="shared" si="800"/>
        <v/>
      </c>
      <c r="AM1774" s="214" t="str">
        <f t="shared" si="801"/>
        <v/>
      </c>
      <c r="AN1774" s="213" t="str">
        <f t="shared" si="783"/>
        <v>2010</v>
      </c>
      <c r="AO1774" s="213" t="str">
        <f t="shared" si="784"/>
        <v>2010</v>
      </c>
      <c r="AP1774" s="213" t="str">
        <f t="shared" si="785"/>
        <v>2010</v>
      </c>
      <c r="AQ1774" s="215" t="str">
        <f t="shared" si="786"/>
        <v/>
      </c>
      <c r="AR1774" s="216" t="str">
        <f t="shared" si="787"/>
        <v>BiK81GK10---07</v>
      </c>
      <c r="AS1774" s="215" t="str">
        <f t="shared" si="788"/>
        <v/>
      </c>
      <c r="AT1774">
        <f t="shared" si="789"/>
        <v>14</v>
      </c>
      <c r="AU1774" s="216" t="str">
        <f t="shared" si="790"/>
        <v>0-0,15 MW, Bonusregeln G und K erstmals 2010</v>
      </c>
      <c r="AV1774" s="215" t="str">
        <f t="shared" si="791"/>
        <v/>
      </c>
      <c r="AW1774" s="216" t="str">
        <f t="shared" si="792"/>
        <v>Anteil KWK, erstmals 2010</v>
      </c>
      <c r="AX1774" s="215" t="str">
        <f t="shared" si="793"/>
        <v/>
      </c>
      <c r="AY1774" t="str">
        <f t="shared" si="794"/>
        <v/>
      </c>
      <c r="AZ1774" t="str">
        <f t="shared" si="795"/>
        <v/>
      </c>
    </row>
    <row r="1775" spans="1:52" x14ac:dyDescent="0.25">
      <c r="A1775" s="610" t="s">
        <v>3992</v>
      </c>
      <c r="B1775" s="30" t="s">
        <v>5548</v>
      </c>
      <c r="C1775" s="30" t="s">
        <v>1304</v>
      </c>
      <c r="D1775" s="30" t="s">
        <v>6814</v>
      </c>
      <c r="E1775" s="30" t="s">
        <v>3055</v>
      </c>
      <c r="F1775" s="454">
        <f t="shared" si="802"/>
        <v>21.61</v>
      </c>
      <c r="G1775" s="529">
        <v>21.61</v>
      </c>
      <c r="H1775" s="487">
        <f t="shared" si="803"/>
        <v>17.29</v>
      </c>
      <c r="I1775" s="706"/>
      <c r="J1775" s="669" t="s">
        <v>5805</v>
      </c>
      <c r="K1775" s="15"/>
      <c r="M1775" s="49">
        <f t="shared" si="804"/>
        <v>21.61</v>
      </c>
      <c r="N1775" s="41">
        <v>11.67</v>
      </c>
      <c r="O1775" s="186"/>
      <c r="P1775" s="195"/>
      <c r="Q1775" s="199"/>
      <c r="R1775" s="199"/>
      <c r="S1775" s="199" t="s">
        <v>1017</v>
      </c>
      <c r="T1775" s="92" t="s">
        <v>4180</v>
      </c>
      <c r="U1775" s="179"/>
      <c r="V1775" s="199"/>
      <c r="W1775" s="201"/>
      <c r="X1775" s="201"/>
      <c r="Y1775" s="199" t="s">
        <v>1017</v>
      </c>
      <c r="Z1775" s="199"/>
      <c r="AA1775" s="201"/>
      <c r="AB1775" s="199"/>
      <c r="AC1775" s="199"/>
      <c r="AD1775" s="201"/>
      <c r="AE1775" s="200"/>
      <c r="AF1775" s="201"/>
      <c r="AG1775" s="201"/>
      <c r="AH1775" s="212" t="str">
        <f t="shared" si="808"/>
        <v>2011</v>
      </c>
      <c r="AI1775" s="214" t="str">
        <f t="shared" si="797"/>
        <v/>
      </c>
      <c r="AJ1775" s="214" t="str">
        <f t="shared" si="798"/>
        <v/>
      </c>
      <c r="AK1775" s="214" t="str">
        <f t="shared" si="799"/>
        <v/>
      </c>
      <c r="AL1775" s="214" t="str">
        <f t="shared" si="800"/>
        <v/>
      </c>
      <c r="AM1775" s="214" t="str">
        <f t="shared" si="801"/>
        <v/>
      </c>
      <c r="AN1775" s="213" t="str">
        <f t="shared" si="783"/>
        <v>2011</v>
      </c>
      <c r="AO1775" s="213" t="str">
        <f t="shared" si="784"/>
        <v>2011</v>
      </c>
      <c r="AP1775" s="213" t="str">
        <f t="shared" si="785"/>
        <v>2011</v>
      </c>
      <c r="AQ1775" s="215" t="str">
        <f t="shared" si="786"/>
        <v/>
      </c>
      <c r="AR1775" s="216" t="str">
        <f t="shared" si="787"/>
        <v>BiK81GK11---07</v>
      </c>
      <c r="AS1775" s="215" t="str">
        <f t="shared" si="788"/>
        <v/>
      </c>
      <c r="AT1775">
        <f t="shared" si="789"/>
        <v>14</v>
      </c>
      <c r="AU1775" s="216" t="str">
        <f t="shared" si="790"/>
        <v>0-0,15 MW, Bonusregeln G und K erstmals 2011</v>
      </c>
      <c r="AV1775" s="215" t="str">
        <f t="shared" si="791"/>
        <v/>
      </c>
      <c r="AW1775" s="216" t="str">
        <f t="shared" si="792"/>
        <v>Anteil KWK, erstmals 2011</v>
      </c>
      <c r="AX1775" s="215" t="str">
        <f t="shared" si="793"/>
        <v/>
      </c>
      <c r="AY1775" t="str">
        <f t="shared" si="794"/>
        <v>x</v>
      </c>
      <c r="AZ1775" t="str">
        <f t="shared" si="795"/>
        <v/>
      </c>
    </row>
    <row r="1776" spans="1:52" x14ac:dyDescent="0.25">
      <c r="A1776" s="625" t="s">
        <v>1814</v>
      </c>
      <c r="B1776" s="219" t="s">
        <v>5548</v>
      </c>
      <c r="C1776" s="219" t="s">
        <v>1304</v>
      </c>
      <c r="D1776" s="219" t="s">
        <v>6815</v>
      </c>
      <c r="E1776" s="219" t="s">
        <v>1980</v>
      </c>
      <c r="F1776" s="455">
        <f t="shared" si="802"/>
        <v>21.58</v>
      </c>
      <c r="G1776" s="530">
        <v>21.58</v>
      </c>
      <c r="H1776" s="488">
        <f t="shared" si="803"/>
        <v>17.260000000000002</v>
      </c>
      <c r="I1776" s="707"/>
      <c r="J1776" s="669" t="s">
        <v>5805</v>
      </c>
      <c r="K1776" s="15"/>
      <c r="M1776" s="49">
        <f t="shared" si="804"/>
        <v>21.58</v>
      </c>
      <c r="N1776" s="41">
        <v>11.67</v>
      </c>
      <c r="O1776" s="186"/>
      <c r="P1776" s="195"/>
      <c r="Q1776" s="199"/>
      <c r="R1776" s="199"/>
      <c r="S1776" s="199" t="s">
        <v>4180</v>
      </c>
      <c r="T1776" s="92" t="s">
        <v>1017</v>
      </c>
      <c r="U1776" s="179"/>
      <c r="V1776" s="199"/>
      <c r="W1776" s="201"/>
      <c r="X1776" s="201"/>
      <c r="Y1776" s="199" t="s">
        <v>1017</v>
      </c>
      <c r="Z1776" s="199"/>
      <c r="AA1776" s="201"/>
      <c r="AB1776" s="199"/>
      <c r="AC1776" s="199"/>
      <c r="AD1776" s="201"/>
      <c r="AE1776" s="200"/>
      <c r="AF1776" s="201"/>
      <c r="AG1776" s="201"/>
      <c r="AH1776" s="217" t="s">
        <v>4179</v>
      </c>
      <c r="AI1776" s="214" t="str">
        <f t="shared" si="797"/>
        <v/>
      </c>
      <c r="AJ1776" s="214" t="str">
        <f t="shared" si="798"/>
        <v/>
      </c>
      <c r="AK1776" s="214" t="str">
        <f t="shared" si="799"/>
        <v/>
      </c>
      <c r="AL1776" s="214" t="str">
        <f t="shared" si="800"/>
        <v/>
      </c>
      <c r="AM1776" s="214" t="str">
        <f t="shared" si="801"/>
        <v/>
      </c>
      <c r="AN1776" s="213" t="str">
        <f t="shared" si="783"/>
        <v>2012</v>
      </c>
      <c r="AO1776" s="213" t="str">
        <f t="shared" si="784"/>
        <v>2012</v>
      </c>
      <c r="AP1776" s="213" t="str">
        <f t="shared" si="785"/>
        <v>2012</v>
      </c>
      <c r="AQ1776" s="215" t="str">
        <f t="shared" si="786"/>
        <v/>
      </c>
      <c r="AR1776" s="216" t="str">
        <f t="shared" si="787"/>
        <v>BiK81GK12---07</v>
      </c>
      <c r="AS1776" s="215" t="str">
        <f t="shared" si="788"/>
        <v/>
      </c>
      <c r="AT1776">
        <f t="shared" si="789"/>
        <v>14</v>
      </c>
      <c r="AU1776" s="216" t="str">
        <f t="shared" si="790"/>
        <v>0-0,15 MW, Bonusregeln G und K erstmals 2012</v>
      </c>
      <c r="AV1776" s="215" t="str">
        <f t="shared" si="791"/>
        <v/>
      </c>
      <c r="AW1776" s="216" t="str">
        <f t="shared" si="792"/>
        <v>Anteil KWK, erstmals 2012</v>
      </c>
      <c r="AX1776" s="215" t="str">
        <f t="shared" si="793"/>
        <v/>
      </c>
      <c r="AY1776" t="str">
        <f t="shared" si="794"/>
        <v/>
      </c>
      <c r="AZ1776" t="str">
        <f t="shared" si="795"/>
        <v>x</v>
      </c>
    </row>
    <row r="1777" spans="1:52" x14ac:dyDescent="0.25">
      <c r="A1777" s="610" t="s">
        <v>2248</v>
      </c>
      <c r="B1777" s="30" t="s">
        <v>5548</v>
      </c>
      <c r="C1777" s="30" t="s">
        <v>1304</v>
      </c>
      <c r="D1777" s="30" t="s">
        <v>6816</v>
      </c>
      <c r="E1777" s="30" t="s">
        <v>4810</v>
      </c>
      <c r="F1777" s="454">
        <f t="shared" si="802"/>
        <v>19.670000000000002</v>
      </c>
      <c r="G1777" s="529">
        <v>19.670000000000002</v>
      </c>
      <c r="H1777" s="487">
        <f t="shared" si="803"/>
        <v>15.74</v>
      </c>
      <c r="I1777" s="706"/>
      <c r="J1777" s="669" t="s">
        <v>5805</v>
      </c>
      <c r="K1777" s="15"/>
      <c r="M1777" s="49">
        <f t="shared" si="804"/>
        <v>19.670000000000002</v>
      </c>
      <c r="N1777" s="41">
        <v>11.67</v>
      </c>
      <c r="O1777" s="187"/>
      <c r="P1777" s="183"/>
      <c r="Q1777" s="184"/>
      <c r="R1777" s="184"/>
      <c r="S1777" s="184" t="s">
        <v>4180</v>
      </c>
      <c r="T1777" t="s">
        <v>4180</v>
      </c>
      <c r="U1777" s="185" t="s">
        <v>1017</v>
      </c>
      <c r="V1777" s="184"/>
      <c r="W1777" s="180"/>
      <c r="X1777" s="180"/>
      <c r="Y1777" s="184" t="s">
        <v>1017</v>
      </c>
      <c r="Z1777" s="184"/>
      <c r="AA1777" s="180"/>
      <c r="AB1777" s="184"/>
      <c r="AC1777" s="184"/>
      <c r="AD1777" s="201"/>
      <c r="AE1777" s="181"/>
      <c r="AF1777" s="180"/>
      <c r="AG1777" s="201"/>
      <c r="AH1777" s="212" t="str">
        <f t="shared" ref="AH1777:AH1782" si="809">IF(ISERROR(SEARCH("K erstmals 201",D1777)),"",RIGHT(D1777,4))</f>
        <v/>
      </c>
      <c r="AI1777" s="214" t="str">
        <f t="shared" si="797"/>
        <v/>
      </c>
      <c r="AJ1777" s="214" t="str">
        <f t="shared" si="798"/>
        <v/>
      </c>
      <c r="AK1777" s="214" t="str">
        <f t="shared" si="799"/>
        <v/>
      </c>
      <c r="AL1777" s="214" t="str">
        <f t="shared" si="800"/>
        <v/>
      </c>
      <c r="AM1777" s="214" t="str">
        <f t="shared" si="801"/>
        <v/>
      </c>
      <c r="AN1777" s="213" t="str">
        <f t="shared" si="783"/>
        <v/>
      </c>
      <c r="AO1777" s="213" t="str">
        <f t="shared" si="784"/>
        <v/>
      </c>
      <c r="AP1777" s="213" t="str">
        <f t="shared" si="785"/>
        <v/>
      </c>
      <c r="AQ1777" s="215" t="str">
        <f t="shared" si="786"/>
        <v/>
      </c>
      <c r="AR1777" s="216" t="str">
        <f t="shared" si="787"/>
        <v>BiK81Gy-----07</v>
      </c>
      <c r="AS1777" s="215" t="str">
        <f t="shared" si="788"/>
        <v/>
      </c>
      <c r="AT1777">
        <f t="shared" si="789"/>
        <v>14</v>
      </c>
      <c r="AU1777" s="216" t="str">
        <f t="shared" si="790"/>
        <v>0-0,15 MW, Bonusregel G, y</v>
      </c>
      <c r="AV1777" s="215" t="str">
        <f t="shared" si="791"/>
        <v/>
      </c>
      <c r="AW1777" s="216" t="str">
        <f t="shared" si="792"/>
        <v>Anteil Nicht-KWK</v>
      </c>
      <c r="AX1777" s="215" t="str">
        <f t="shared" si="793"/>
        <v/>
      </c>
      <c r="AY1777" t="str">
        <f t="shared" si="794"/>
        <v/>
      </c>
      <c r="AZ1777" t="str">
        <f t="shared" si="795"/>
        <v/>
      </c>
    </row>
    <row r="1778" spans="1:52" x14ac:dyDescent="0.25">
      <c r="A1778" s="610" t="s">
        <v>2249</v>
      </c>
      <c r="B1778" s="30" t="s">
        <v>5548</v>
      </c>
      <c r="C1778" s="30" t="s">
        <v>1304</v>
      </c>
      <c r="D1778" s="30" t="s">
        <v>6896</v>
      </c>
      <c r="E1778" s="30" t="s">
        <v>4812</v>
      </c>
      <c r="F1778" s="454">
        <f t="shared" si="802"/>
        <v>21.67</v>
      </c>
      <c r="G1778" s="529">
        <v>21.67</v>
      </c>
      <c r="H1778" s="487">
        <f t="shared" si="803"/>
        <v>17.34</v>
      </c>
      <c r="I1778" s="706"/>
      <c r="J1778" s="669" t="s">
        <v>5805</v>
      </c>
      <c r="K1778" s="15"/>
      <c r="M1778" s="49">
        <f t="shared" si="804"/>
        <v>21.67</v>
      </c>
      <c r="N1778" s="41">
        <v>11.67</v>
      </c>
      <c r="O1778" s="187" t="s">
        <v>1017</v>
      </c>
      <c r="P1778" s="183"/>
      <c r="Q1778" s="184"/>
      <c r="R1778" s="184"/>
      <c r="S1778" s="184" t="s">
        <v>4180</v>
      </c>
      <c r="T1778" t="s">
        <v>4180</v>
      </c>
      <c r="U1778" s="185" t="s">
        <v>1017</v>
      </c>
      <c r="V1778" s="184"/>
      <c r="W1778" s="180"/>
      <c r="X1778" s="180"/>
      <c r="Y1778" s="184" t="s">
        <v>1017</v>
      </c>
      <c r="Z1778" s="184"/>
      <c r="AA1778" s="180"/>
      <c r="AB1778" s="184"/>
      <c r="AC1778" s="184"/>
      <c r="AD1778" s="201"/>
      <c r="AE1778" s="181"/>
      <c r="AF1778" s="180"/>
      <c r="AG1778" s="201"/>
      <c r="AH1778" s="212" t="str">
        <f t="shared" si="809"/>
        <v/>
      </c>
      <c r="AI1778" s="214" t="str">
        <f t="shared" si="797"/>
        <v/>
      </c>
      <c r="AJ1778" s="214" t="str">
        <f t="shared" si="798"/>
        <v/>
      </c>
      <c r="AK1778" s="214" t="str">
        <f t="shared" si="799"/>
        <v/>
      </c>
      <c r="AL1778" s="214" t="str">
        <f t="shared" si="800"/>
        <v/>
      </c>
      <c r="AM1778" s="214" t="str">
        <f t="shared" si="801"/>
        <v/>
      </c>
      <c r="AN1778" s="213" t="str">
        <f t="shared" si="783"/>
        <v/>
      </c>
      <c r="AO1778" s="213" t="str">
        <f t="shared" si="784"/>
        <v/>
      </c>
      <c r="AP1778" s="213" t="str">
        <f t="shared" si="785"/>
        <v/>
      </c>
      <c r="AQ1778" s="215" t="str">
        <f t="shared" si="786"/>
        <v/>
      </c>
      <c r="AR1778" s="216" t="str">
        <f t="shared" si="787"/>
        <v>BiK81GKWKy--07</v>
      </c>
      <c r="AS1778" s="215" t="str">
        <f t="shared" si="788"/>
        <v/>
      </c>
      <c r="AT1778">
        <f t="shared" si="789"/>
        <v>14</v>
      </c>
      <c r="AU1778" s="216" t="str">
        <f t="shared" si="790"/>
        <v>0-0,15 MW, Bonusregeln G, y und KWK</v>
      </c>
      <c r="AV1778" s="215" t="str">
        <f t="shared" si="791"/>
        <v/>
      </c>
      <c r="AW1778" s="216" t="str">
        <f t="shared" si="792"/>
        <v>Anteil KWK</v>
      </c>
      <c r="AX1778" s="215" t="str">
        <f t="shared" si="793"/>
        <v/>
      </c>
      <c r="AY1778" t="str">
        <f t="shared" si="794"/>
        <v/>
      </c>
      <c r="AZ1778" t="str">
        <f t="shared" si="795"/>
        <v/>
      </c>
    </row>
    <row r="1779" spans="1:52" x14ac:dyDescent="0.25">
      <c r="A1779" s="610" t="s">
        <v>2250</v>
      </c>
      <c r="B1779" s="30" t="s">
        <v>5548</v>
      </c>
      <c r="C1779" s="30" t="s">
        <v>1304</v>
      </c>
      <c r="D1779" s="109" t="s">
        <v>6817</v>
      </c>
      <c r="E1779" s="30" t="s">
        <v>4331</v>
      </c>
      <c r="F1779" s="454">
        <f t="shared" si="802"/>
        <v>22.67</v>
      </c>
      <c r="G1779" s="529">
        <v>22.67</v>
      </c>
      <c r="H1779" s="487">
        <f t="shared" si="803"/>
        <v>18.14</v>
      </c>
      <c r="I1779" s="706"/>
      <c r="J1779" s="669" t="s">
        <v>5805</v>
      </c>
      <c r="K1779" s="15"/>
      <c r="M1779" s="49">
        <f t="shared" si="804"/>
        <v>22.67</v>
      </c>
      <c r="N1779" s="41">
        <v>11.67</v>
      </c>
      <c r="O1779" s="187"/>
      <c r="P1779" s="184" t="s">
        <v>1017</v>
      </c>
      <c r="Q1779" s="184"/>
      <c r="R1779" s="184"/>
      <c r="S1779" s="184" t="s">
        <v>4180</v>
      </c>
      <c r="T1779" t="s">
        <v>4180</v>
      </c>
      <c r="U1779" s="185" t="s">
        <v>1017</v>
      </c>
      <c r="V1779" s="184"/>
      <c r="W1779" s="180"/>
      <c r="X1779" s="180"/>
      <c r="Y1779" s="184" t="s">
        <v>1017</v>
      </c>
      <c r="Z1779" s="184"/>
      <c r="AA1779" s="180"/>
      <c r="AB1779" s="184"/>
      <c r="AC1779" s="184"/>
      <c r="AD1779" s="201"/>
      <c r="AE1779" s="181"/>
      <c r="AF1779" s="180"/>
      <c r="AG1779" s="201"/>
      <c r="AH1779" s="212" t="str">
        <f t="shared" si="809"/>
        <v/>
      </c>
      <c r="AI1779" s="214" t="str">
        <f t="shared" si="797"/>
        <v/>
      </c>
      <c r="AJ1779" s="214" t="str">
        <f t="shared" si="798"/>
        <v/>
      </c>
      <c r="AK1779" s="214" t="str">
        <f t="shared" si="799"/>
        <v/>
      </c>
      <c r="AL1779" s="214" t="str">
        <f t="shared" si="800"/>
        <v/>
      </c>
      <c r="AM1779" s="214" t="str">
        <f t="shared" si="801"/>
        <v/>
      </c>
      <c r="AN1779" s="213" t="str">
        <f t="shared" si="783"/>
        <v/>
      </c>
      <c r="AO1779" s="213" t="str">
        <f t="shared" si="784"/>
        <v/>
      </c>
      <c r="AP1779" s="213" t="str">
        <f t="shared" si="785"/>
        <v/>
      </c>
      <c r="AQ1779" s="215" t="str">
        <f t="shared" si="786"/>
        <v/>
      </c>
      <c r="AR1779" s="216" t="str">
        <f t="shared" si="787"/>
        <v>BiK81GKA3y--07</v>
      </c>
      <c r="AS1779" s="215" t="str">
        <f t="shared" si="788"/>
        <v/>
      </c>
      <c r="AT1779">
        <f t="shared" si="789"/>
        <v>14</v>
      </c>
      <c r="AU1779" s="216" t="str">
        <f t="shared" si="790"/>
        <v>0-0,15 MW, Bonusregeln G, y und K wenn Anlage 3 erfüllt</v>
      </c>
      <c r="AV1779" s="215" t="str">
        <f t="shared" si="791"/>
        <v/>
      </c>
      <c r="AW1779" s="216" t="str">
        <f t="shared" si="792"/>
        <v>Anteil KWK gemäß Anlage 3</v>
      </c>
      <c r="AX1779" s="215" t="str">
        <f t="shared" si="793"/>
        <v/>
      </c>
      <c r="AY1779" t="str">
        <f t="shared" si="794"/>
        <v/>
      </c>
      <c r="AZ1779" t="str">
        <f t="shared" si="795"/>
        <v/>
      </c>
    </row>
    <row r="1780" spans="1:52" x14ac:dyDescent="0.25">
      <c r="A1780" s="610" t="s">
        <v>2251</v>
      </c>
      <c r="B1780" s="30" t="s">
        <v>5548</v>
      </c>
      <c r="C1780" s="30" t="s">
        <v>1304</v>
      </c>
      <c r="D1780" s="30" t="s">
        <v>6818</v>
      </c>
      <c r="E1780" s="30" t="s">
        <v>674</v>
      </c>
      <c r="F1780" s="454">
        <f t="shared" si="802"/>
        <v>22.67</v>
      </c>
      <c r="G1780" s="529">
        <v>22.67</v>
      </c>
      <c r="H1780" s="487">
        <f t="shared" si="803"/>
        <v>18.14</v>
      </c>
      <c r="I1780" s="706"/>
      <c r="J1780" s="669" t="s">
        <v>5805</v>
      </c>
      <c r="K1780" s="15"/>
      <c r="M1780" s="49">
        <f t="shared" si="804"/>
        <v>22.67</v>
      </c>
      <c r="N1780" s="41">
        <v>11.67</v>
      </c>
      <c r="O1780" s="187"/>
      <c r="P1780" s="183"/>
      <c r="Q1780" s="184" t="s">
        <v>1017</v>
      </c>
      <c r="R1780" s="184"/>
      <c r="S1780" s="184" t="s">
        <v>4180</v>
      </c>
      <c r="T1780" t="s">
        <v>4180</v>
      </c>
      <c r="U1780" s="185" t="s">
        <v>1017</v>
      </c>
      <c r="V1780" s="184"/>
      <c r="W1780" s="180"/>
      <c r="X1780" s="180"/>
      <c r="Y1780" s="184" t="s">
        <v>1017</v>
      </c>
      <c r="Z1780" s="184"/>
      <c r="AA1780" s="180"/>
      <c r="AB1780" s="184"/>
      <c r="AC1780" s="184"/>
      <c r="AD1780" s="201"/>
      <c r="AE1780" s="181"/>
      <c r="AF1780" s="180"/>
      <c r="AG1780" s="201"/>
      <c r="AH1780" s="212" t="str">
        <f t="shared" si="809"/>
        <v/>
      </c>
      <c r="AI1780" s="214" t="str">
        <f t="shared" si="797"/>
        <v/>
      </c>
      <c r="AJ1780" s="214" t="str">
        <f t="shared" si="798"/>
        <v/>
      </c>
      <c r="AK1780" s="214" t="str">
        <f t="shared" si="799"/>
        <v/>
      </c>
      <c r="AL1780" s="214" t="str">
        <f t="shared" si="800"/>
        <v/>
      </c>
      <c r="AM1780" s="214" t="str">
        <f t="shared" si="801"/>
        <v/>
      </c>
      <c r="AN1780" s="213" t="str">
        <f t="shared" si="783"/>
        <v/>
      </c>
      <c r="AO1780" s="213" t="str">
        <f t="shared" si="784"/>
        <v/>
      </c>
      <c r="AP1780" s="213" t="str">
        <f t="shared" si="785"/>
        <v/>
      </c>
      <c r="AQ1780" s="215" t="str">
        <f t="shared" si="786"/>
        <v/>
      </c>
      <c r="AR1780" s="216" t="str">
        <f t="shared" si="787"/>
        <v>BiK81GK09y--07</v>
      </c>
      <c r="AS1780" s="215" t="str">
        <f t="shared" si="788"/>
        <v/>
      </c>
      <c r="AT1780">
        <f t="shared" si="789"/>
        <v>14</v>
      </c>
      <c r="AU1780" s="216" t="str">
        <f t="shared" si="790"/>
        <v>0-0,15 MW, Bonusregeln G, y und K erstmals 2009</v>
      </c>
      <c r="AV1780" s="215" t="str">
        <f t="shared" si="791"/>
        <v/>
      </c>
      <c r="AW1780" s="216" t="str">
        <f t="shared" si="792"/>
        <v>Anteil KWK, erstmals 2009</v>
      </c>
      <c r="AX1780" s="215" t="str">
        <f t="shared" si="793"/>
        <v/>
      </c>
      <c r="AY1780" t="str">
        <f t="shared" si="794"/>
        <v/>
      </c>
      <c r="AZ1780" t="str">
        <f t="shared" si="795"/>
        <v/>
      </c>
    </row>
    <row r="1781" spans="1:52" x14ac:dyDescent="0.25">
      <c r="A1781" s="610" t="s">
        <v>4946</v>
      </c>
      <c r="B1781" s="30" t="s">
        <v>5548</v>
      </c>
      <c r="C1781" s="30" t="s">
        <v>1304</v>
      </c>
      <c r="D1781" s="30" t="s">
        <v>6819</v>
      </c>
      <c r="E1781" s="30" t="s">
        <v>3567</v>
      </c>
      <c r="F1781" s="454">
        <f t="shared" si="802"/>
        <v>22.64</v>
      </c>
      <c r="G1781" s="529">
        <v>22.64</v>
      </c>
      <c r="H1781" s="487">
        <f t="shared" si="803"/>
        <v>18.11</v>
      </c>
      <c r="I1781" s="706"/>
      <c r="J1781" s="669" t="s">
        <v>5805</v>
      </c>
      <c r="K1781" s="15"/>
      <c r="M1781" s="49">
        <f t="shared" si="804"/>
        <v>22.64</v>
      </c>
      <c r="N1781" s="41">
        <v>11.67</v>
      </c>
      <c r="O1781" s="187"/>
      <c r="P1781" s="183"/>
      <c r="Q1781" s="184"/>
      <c r="R1781" s="184" t="s">
        <v>1017</v>
      </c>
      <c r="S1781" s="184" t="s">
        <v>4180</v>
      </c>
      <c r="T1781" t="s">
        <v>4180</v>
      </c>
      <c r="U1781" s="185" t="s">
        <v>1017</v>
      </c>
      <c r="V1781" s="184"/>
      <c r="W1781" s="180"/>
      <c r="X1781" s="180"/>
      <c r="Y1781" s="184" t="s">
        <v>1017</v>
      </c>
      <c r="Z1781" s="184"/>
      <c r="AA1781" s="180"/>
      <c r="AB1781" s="184"/>
      <c r="AC1781" s="184"/>
      <c r="AD1781" s="201"/>
      <c r="AE1781" s="181"/>
      <c r="AF1781" s="180"/>
      <c r="AG1781" s="201"/>
      <c r="AH1781" s="212" t="str">
        <f t="shared" si="809"/>
        <v>2010</v>
      </c>
      <c r="AI1781" s="214" t="str">
        <f t="shared" si="797"/>
        <v/>
      </c>
      <c r="AJ1781" s="214" t="str">
        <f t="shared" si="798"/>
        <v/>
      </c>
      <c r="AK1781" s="214" t="str">
        <f t="shared" si="799"/>
        <v/>
      </c>
      <c r="AL1781" s="214" t="str">
        <f t="shared" si="800"/>
        <v/>
      </c>
      <c r="AM1781" s="214" t="str">
        <f t="shared" si="801"/>
        <v/>
      </c>
      <c r="AN1781" s="213" t="str">
        <f t="shared" si="783"/>
        <v>2010</v>
      </c>
      <c r="AO1781" s="213" t="str">
        <f t="shared" si="784"/>
        <v>2010</v>
      </c>
      <c r="AP1781" s="213" t="str">
        <f t="shared" si="785"/>
        <v>2010</v>
      </c>
      <c r="AQ1781" s="215" t="str">
        <f t="shared" si="786"/>
        <v/>
      </c>
      <c r="AR1781" s="216" t="str">
        <f t="shared" si="787"/>
        <v>BiK81GK10y--07</v>
      </c>
      <c r="AS1781" s="215" t="str">
        <f t="shared" si="788"/>
        <v/>
      </c>
      <c r="AT1781">
        <f t="shared" si="789"/>
        <v>14</v>
      </c>
      <c r="AU1781" s="216" t="str">
        <f t="shared" si="790"/>
        <v>0-0,15 MW, Bonusregeln G, y und K erstmals 2010</v>
      </c>
      <c r="AV1781" s="215" t="str">
        <f t="shared" si="791"/>
        <v/>
      </c>
      <c r="AW1781" s="216" t="str">
        <f t="shared" si="792"/>
        <v>Anteil KWK, erstmals 2010</v>
      </c>
      <c r="AX1781" s="215" t="str">
        <f t="shared" si="793"/>
        <v/>
      </c>
      <c r="AY1781" t="str">
        <f t="shared" si="794"/>
        <v/>
      </c>
      <c r="AZ1781" t="str">
        <f t="shared" si="795"/>
        <v/>
      </c>
    </row>
    <row r="1782" spans="1:52" x14ac:dyDescent="0.25">
      <c r="A1782" s="610" t="s">
        <v>3993</v>
      </c>
      <c r="B1782" s="30" t="s">
        <v>5548</v>
      </c>
      <c r="C1782" s="30" t="s">
        <v>1304</v>
      </c>
      <c r="D1782" s="30" t="s">
        <v>6820</v>
      </c>
      <c r="E1782" s="30" t="s">
        <v>3055</v>
      </c>
      <c r="F1782" s="454">
        <f t="shared" si="802"/>
        <v>22.61</v>
      </c>
      <c r="G1782" s="529">
        <v>22.61</v>
      </c>
      <c r="H1782" s="487">
        <f t="shared" si="803"/>
        <v>18.09</v>
      </c>
      <c r="I1782" s="706"/>
      <c r="J1782" s="669" t="s">
        <v>5805</v>
      </c>
      <c r="K1782" s="15"/>
      <c r="M1782" s="49">
        <f t="shared" si="804"/>
        <v>22.61</v>
      </c>
      <c r="N1782" s="41">
        <v>11.67</v>
      </c>
      <c r="O1782" s="187"/>
      <c r="P1782" s="183"/>
      <c r="Q1782" s="184"/>
      <c r="R1782" s="178"/>
      <c r="S1782" s="184" t="s">
        <v>1017</v>
      </c>
      <c r="T1782" t="s">
        <v>4180</v>
      </c>
      <c r="U1782" s="185" t="s">
        <v>1017</v>
      </c>
      <c r="V1782" s="184"/>
      <c r="W1782" s="180"/>
      <c r="X1782" s="180"/>
      <c r="Y1782" s="184" t="s">
        <v>1017</v>
      </c>
      <c r="Z1782" s="184"/>
      <c r="AA1782" s="180"/>
      <c r="AB1782" s="184"/>
      <c r="AC1782" s="184"/>
      <c r="AD1782" s="201"/>
      <c r="AE1782" s="181"/>
      <c r="AF1782" s="180"/>
      <c r="AG1782" s="201"/>
      <c r="AH1782" s="212" t="str">
        <f t="shared" si="809"/>
        <v>2011</v>
      </c>
      <c r="AI1782" s="214" t="str">
        <f t="shared" si="797"/>
        <v/>
      </c>
      <c r="AJ1782" s="214" t="str">
        <f t="shared" si="798"/>
        <v/>
      </c>
      <c r="AK1782" s="214" t="str">
        <f t="shared" si="799"/>
        <v/>
      </c>
      <c r="AL1782" s="214" t="str">
        <f t="shared" si="800"/>
        <v/>
      </c>
      <c r="AM1782" s="214" t="str">
        <f t="shared" si="801"/>
        <v/>
      </c>
      <c r="AN1782" s="213" t="str">
        <f t="shared" si="783"/>
        <v>2011</v>
      </c>
      <c r="AO1782" s="213" t="str">
        <f t="shared" si="784"/>
        <v>2011</v>
      </c>
      <c r="AP1782" s="213" t="str">
        <f t="shared" si="785"/>
        <v>2011</v>
      </c>
      <c r="AQ1782" s="215" t="str">
        <f t="shared" si="786"/>
        <v/>
      </c>
      <c r="AR1782" s="216" t="str">
        <f t="shared" si="787"/>
        <v>BiK81GK11y--07</v>
      </c>
      <c r="AS1782" s="215" t="str">
        <f t="shared" si="788"/>
        <v/>
      </c>
      <c r="AT1782">
        <f t="shared" si="789"/>
        <v>14</v>
      </c>
      <c r="AU1782" s="216" t="str">
        <f t="shared" si="790"/>
        <v>0-0,15 MW, Bonusregeln G, y und K erstmals 2011</v>
      </c>
      <c r="AV1782" s="215" t="str">
        <f t="shared" si="791"/>
        <v/>
      </c>
      <c r="AW1782" s="216" t="str">
        <f t="shared" si="792"/>
        <v>Anteil KWK, erstmals 2011</v>
      </c>
      <c r="AX1782" s="215" t="str">
        <f t="shared" si="793"/>
        <v/>
      </c>
      <c r="AY1782" t="str">
        <f t="shared" si="794"/>
        <v>x</v>
      </c>
      <c r="AZ1782" t="str">
        <f t="shared" si="795"/>
        <v/>
      </c>
    </row>
    <row r="1783" spans="1:52" x14ac:dyDescent="0.25">
      <c r="A1783" s="625" t="s">
        <v>1815</v>
      </c>
      <c r="B1783" s="219" t="s">
        <v>5548</v>
      </c>
      <c r="C1783" s="219" t="s">
        <v>1304</v>
      </c>
      <c r="D1783" s="219" t="s">
        <v>6821</v>
      </c>
      <c r="E1783" s="219" t="s">
        <v>1980</v>
      </c>
      <c r="F1783" s="455">
        <f t="shared" si="802"/>
        <v>22.58</v>
      </c>
      <c r="G1783" s="530">
        <v>22.58</v>
      </c>
      <c r="H1783" s="488">
        <f t="shared" si="803"/>
        <v>18.059999999999999</v>
      </c>
      <c r="I1783" s="707"/>
      <c r="J1783" s="669" t="s">
        <v>5805</v>
      </c>
      <c r="K1783" s="15"/>
      <c r="M1783" s="49">
        <f t="shared" si="804"/>
        <v>22.58</v>
      </c>
      <c r="N1783" s="41">
        <v>11.67</v>
      </c>
      <c r="O1783" s="187"/>
      <c r="P1783" s="183"/>
      <c r="Q1783" s="184"/>
      <c r="R1783" s="178"/>
      <c r="S1783" s="184" t="s">
        <v>4180</v>
      </c>
      <c r="T1783" t="s">
        <v>1017</v>
      </c>
      <c r="U1783" s="185" t="s">
        <v>1017</v>
      </c>
      <c r="V1783" s="184"/>
      <c r="W1783" s="180"/>
      <c r="X1783" s="180"/>
      <c r="Y1783" s="184" t="s">
        <v>1017</v>
      </c>
      <c r="Z1783" s="184"/>
      <c r="AA1783" s="180"/>
      <c r="AB1783" s="184"/>
      <c r="AC1783" s="184"/>
      <c r="AD1783" s="201"/>
      <c r="AE1783" s="181"/>
      <c r="AF1783" s="180"/>
      <c r="AG1783" s="201"/>
      <c r="AH1783" s="217" t="s">
        <v>4179</v>
      </c>
      <c r="AI1783" s="214" t="str">
        <f t="shared" si="797"/>
        <v/>
      </c>
      <c r="AJ1783" s="214" t="str">
        <f t="shared" si="798"/>
        <v/>
      </c>
      <c r="AK1783" s="214" t="str">
        <f t="shared" si="799"/>
        <v/>
      </c>
      <c r="AL1783" s="214" t="str">
        <f t="shared" si="800"/>
        <v/>
      </c>
      <c r="AM1783" s="214" t="str">
        <f t="shared" si="801"/>
        <v/>
      </c>
      <c r="AN1783" s="213" t="str">
        <f t="shared" si="783"/>
        <v>2012</v>
      </c>
      <c r="AO1783" s="213" t="str">
        <f t="shared" si="784"/>
        <v>2012</v>
      </c>
      <c r="AP1783" s="213" t="str">
        <f t="shared" si="785"/>
        <v>2012</v>
      </c>
      <c r="AQ1783" s="215" t="str">
        <f t="shared" si="786"/>
        <v/>
      </c>
      <c r="AR1783" s="216" t="str">
        <f t="shared" si="787"/>
        <v>BiK81GK12y--07</v>
      </c>
      <c r="AS1783" s="215" t="str">
        <f t="shared" si="788"/>
        <v/>
      </c>
      <c r="AT1783">
        <f t="shared" si="789"/>
        <v>14</v>
      </c>
      <c r="AU1783" s="216" t="str">
        <f t="shared" si="790"/>
        <v>0-0,15 MW, Bonusregeln G, y und K erstmals 2012</v>
      </c>
      <c r="AV1783" s="215" t="str">
        <f t="shared" si="791"/>
        <v/>
      </c>
      <c r="AW1783" s="216" t="str">
        <f t="shared" si="792"/>
        <v>Anteil KWK, erstmals 2012</v>
      </c>
      <c r="AX1783" s="215" t="str">
        <f t="shared" si="793"/>
        <v/>
      </c>
      <c r="AY1783" t="str">
        <f t="shared" si="794"/>
        <v/>
      </c>
      <c r="AZ1783" t="str">
        <f t="shared" si="795"/>
        <v>x</v>
      </c>
    </row>
    <row r="1784" spans="1:52" x14ac:dyDescent="0.25">
      <c r="A1784" s="610" t="s">
        <v>2252</v>
      </c>
      <c r="B1784" s="30" t="s">
        <v>5548</v>
      </c>
      <c r="C1784" s="30" t="s">
        <v>1304</v>
      </c>
      <c r="D1784" s="30" t="s">
        <v>6822</v>
      </c>
      <c r="E1784" s="30" t="s">
        <v>4810</v>
      </c>
      <c r="F1784" s="454">
        <f t="shared" si="802"/>
        <v>22.67</v>
      </c>
      <c r="G1784" s="529">
        <v>22.67</v>
      </c>
      <c r="H1784" s="487">
        <f t="shared" si="803"/>
        <v>18.14</v>
      </c>
      <c r="I1784" s="706"/>
      <c r="J1784" s="669" t="s">
        <v>5805</v>
      </c>
      <c r="K1784" s="15"/>
      <c r="M1784" s="49">
        <f t="shared" si="804"/>
        <v>22.67</v>
      </c>
      <c r="N1784" s="41">
        <v>11.67</v>
      </c>
      <c r="O1784" s="186"/>
      <c r="P1784" s="177"/>
      <c r="Q1784" s="178"/>
      <c r="R1784" s="178"/>
      <c r="S1784" s="178" t="s">
        <v>4180</v>
      </c>
      <c r="T1784" t="s">
        <v>4180</v>
      </c>
      <c r="U1784" s="179"/>
      <c r="V1784" s="178"/>
      <c r="W1784" s="180"/>
      <c r="X1784" s="180"/>
      <c r="Y1784" s="178"/>
      <c r="Z1784" s="178" t="s">
        <v>1017</v>
      </c>
      <c r="AA1784" s="180"/>
      <c r="AB1784" s="178"/>
      <c r="AC1784" s="178"/>
      <c r="AD1784" s="201"/>
      <c r="AE1784" s="200"/>
      <c r="AF1784" s="180"/>
      <c r="AG1784" s="201"/>
      <c r="AH1784" s="212" t="str">
        <f t="shared" ref="AH1784:AH1789" si="810">IF(ISERROR(SEARCH("K erstmals 201",D1784)),"",RIGHT(D1784,4))</f>
        <v/>
      </c>
      <c r="AI1784" s="214" t="str">
        <f t="shared" si="797"/>
        <v/>
      </c>
      <c r="AJ1784" s="214" t="str">
        <f t="shared" si="798"/>
        <v/>
      </c>
      <c r="AK1784" s="214" t="str">
        <f t="shared" si="799"/>
        <v/>
      </c>
      <c r="AL1784" s="214" t="str">
        <f t="shared" si="800"/>
        <v/>
      </c>
      <c r="AM1784" s="214" t="str">
        <f t="shared" si="801"/>
        <v/>
      </c>
      <c r="AN1784" s="213" t="str">
        <f t="shared" si="783"/>
        <v/>
      </c>
      <c r="AO1784" s="213" t="str">
        <f t="shared" si="784"/>
        <v/>
      </c>
      <c r="AP1784" s="213" t="str">
        <f t="shared" si="785"/>
        <v/>
      </c>
      <c r="AQ1784" s="215" t="str">
        <f t="shared" si="786"/>
        <v/>
      </c>
      <c r="AR1784" s="216" t="str">
        <f t="shared" si="787"/>
        <v>BiK81M1-----07</v>
      </c>
      <c r="AS1784" s="215" t="str">
        <f t="shared" si="788"/>
        <v/>
      </c>
      <c r="AT1784">
        <f t="shared" si="789"/>
        <v>14</v>
      </c>
      <c r="AU1784" s="216" t="str">
        <f t="shared" si="790"/>
        <v>0-0,15 MW, Bonusregel M1</v>
      </c>
      <c r="AV1784" s="215" t="str">
        <f t="shared" si="791"/>
        <v/>
      </c>
      <c r="AW1784" s="216" t="str">
        <f t="shared" si="792"/>
        <v>Anteil Nicht-KWK</v>
      </c>
      <c r="AX1784" s="215" t="str">
        <f t="shared" si="793"/>
        <v/>
      </c>
      <c r="AY1784" t="str">
        <f t="shared" si="794"/>
        <v/>
      </c>
      <c r="AZ1784" t="str">
        <f t="shared" si="795"/>
        <v/>
      </c>
    </row>
    <row r="1785" spans="1:52" x14ac:dyDescent="0.25">
      <c r="A1785" s="610" t="s">
        <v>2253</v>
      </c>
      <c r="B1785" s="30" t="s">
        <v>5548</v>
      </c>
      <c r="C1785" s="30" t="s">
        <v>1304</v>
      </c>
      <c r="D1785" s="30" t="s">
        <v>6897</v>
      </c>
      <c r="E1785" s="30" t="s">
        <v>4812</v>
      </c>
      <c r="F1785" s="454">
        <f t="shared" si="802"/>
        <v>24.67</v>
      </c>
      <c r="G1785" s="529">
        <v>24.67</v>
      </c>
      <c r="H1785" s="487">
        <f t="shared" si="803"/>
        <v>19.739999999999998</v>
      </c>
      <c r="I1785" s="706"/>
      <c r="J1785" s="669" t="s">
        <v>5805</v>
      </c>
      <c r="K1785" s="15"/>
      <c r="M1785" s="49">
        <f t="shared" si="804"/>
        <v>24.67</v>
      </c>
      <c r="N1785" s="41">
        <v>11.67</v>
      </c>
      <c r="O1785" s="186" t="s">
        <v>1017</v>
      </c>
      <c r="P1785" s="177"/>
      <c r="Q1785" s="178"/>
      <c r="R1785" s="178"/>
      <c r="S1785" s="178" t="s">
        <v>4180</v>
      </c>
      <c r="T1785" t="s">
        <v>4180</v>
      </c>
      <c r="U1785" s="179"/>
      <c r="V1785" s="178"/>
      <c r="W1785" s="180"/>
      <c r="X1785" s="180"/>
      <c r="Y1785" s="178"/>
      <c r="Z1785" s="178" t="s">
        <v>1017</v>
      </c>
      <c r="AA1785" s="180"/>
      <c r="AB1785" s="178"/>
      <c r="AC1785" s="178"/>
      <c r="AD1785" s="201"/>
      <c r="AE1785" s="200"/>
      <c r="AF1785" s="180"/>
      <c r="AG1785" s="201"/>
      <c r="AH1785" s="212" t="str">
        <f t="shared" si="810"/>
        <v/>
      </c>
      <c r="AI1785" s="214" t="str">
        <f t="shared" si="797"/>
        <v/>
      </c>
      <c r="AJ1785" s="214" t="str">
        <f t="shared" si="798"/>
        <v/>
      </c>
      <c r="AK1785" s="214" t="str">
        <f t="shared" si="799"/>
        <v/>
      </c>
      <c r="AL1785" s="214" t="str">
        <f t="shared" si="800"/>
        <v/>
      </c>
      <c r="AM1785" s="214" t="str">
        <f t="shared" si="801"/>
        <v/>
      </c>
      <c r="AN1785" s="213" t="str">
        <f t="shared" si="783"/>
        <v/>
      </c>
      <c r="AO1785" s="213" t="str">
        <f t="shared" si="784"/>
        <v/>
      </c>
      <c r="AP1785" s="213" t="str">
        <f t="shared" si="785"/>
        <v/>
      </c>
      <c r="AQ1785" s="215" t="str">
        <f t="shared" si="786"/>
        <v/>
      </c>
      <c r="AR1785" s="216" t="str">
        <f t="shared" si="787"/>
        <v>BiK81M1KWK--07</v>
      </c>
      <c r="AS1785" s="215" t="str">
        <f t="shared" si="788"/>
        <v/>
      </c>
      <c r="AT1785">
        <f t="shared" si="789"/>
        <v>14</v>
      </c>
      <c r="AU1785" s="216" t="str">
        <f t="shared" si="790"/>
        <v>0-0,15 MW, Bonusregeln M1 und KWK</v>
      </c>
      <c r="AV1785" s="215" t="str">
        <f t="shared" si="791"/>
        <v/>
      </c>
      <c r="AW1785" s="216" t="str">
        <f t="shared" si="792"/>
        <v>Anteil KWK</v>
      </c>
      <c r="AX1785" s="215" t="str">
        <f t="shared" si="793"/>
        <v/>
      </c>
      <c r="AY1785" t="str">
        <f t="shared" si="794"/>
        <v/>
      </c>
      <c r="AZ1785" t="str">
        <f t="shared" si="795"/>
        <v/>
      </c>
    </row>
    <row r="1786" spans="1:52" x14ac:dyDescent="0.25">
      <c r="A1786" s="610" t="s">
        <v>2254</v>
      </c>
      <c r="B1786" s="30" t="s">
        <v>5548</v>
      </c>
      <c r="C1786" s="30" t="s">
        <v>1304</v>
      </c>
      <c r="D1786" s="30" t="s">
        <v>6823</v>
      </c>
      <c r="E1786" s="30" t="s">
        <v>4331</v>
      </c>
      <c r="F1786" s="454">
        <f t="shared" si="802"/>
        <v>25.67</v>
      </c>
      <c r="G1786" s="529">
        <v>25.67</v>
      </c>
      <c r="H1786" s="487">
        <f t="shared" si="803"/>
        <v>20.54</v>
      </c>
      <c r="I1786" s="706"/>
      <c r="J1786" s="669" t="s">
        <v>5805</v>
      </c>
      <c r="K1786" s="15"/>
      <c r="M1786" s="49">
        <f t="shared" si="804"/>
        <v>25.67</v>
      </c>
      <c r="N1786" s="41">
        <v>11.67</v>
      </c>
      <c r="O1786" s="186"/>
      <c r="P1786" s="178" t="s">
        <v>1017</v>
      </c>
      <c r="Q1786" s="178"/>
      <c r="R1786" s="178"/>
      <c r="S1786" s="178" t="s">
        <v>4180</v>
      </c>
      <c r="T1786" t="s">
        <v>4180</v>
      </c>
      <c r="U1786" s="179"/>
      <c r="V1786" s="178"/>
      <c r="W1786" s="180"/>
      <c r="X1786" s="180"/>
      <c r="Y1786" s="178"/>
      <c r="Z1786" s="178" t="s">
        <v>1017</v>
      </c>
      <c r="AA1786" s="180"/>
      <c r="AB1786" s="178"/>
      <c r="AC1786" s="178"/>
      <c r="AD1786" s="201"/>
      <c r="AE1786" s="200"/>
      <c r="AF1786" s="180"/>
      <c r="AG1786" s="201"/>
      <c r="AH1786" s="212" t="str">
        <f t="shared" si="810"/>
        <v/>
      </c>
      <c r="AI1786" s="214" t="str">
        <f t="shared" si="797"/>
        <v/>
      </c>
      <c r="AJ1786" s="214" t="str">
        <f t="shared" si="798"/>
        <v/>
      </c>
      <c r="AK1786" s="214" t="str">
        <f t="shared" si="799"/>
        <v/>
      </c>
      <c r="AL1786" s="214" t="str">
        <f t="shared" si="800"/>
        <v/>
      </c>
      <c r="AM1786" s="214" t="str">
        <f t="shared" si="801"/>
        <v/>
      </c>
      <c r="AN1786" s="213" t="str">
        <f t="shared" si="783"/>
        <v/>
      </c>
      <c r="AO1786" s="213" t="str">
        <f t="shared" si="784"/>
        <v/>
      </c>
      <c r="AP1786" s="213" t="str">
        <f t="shared" si="785"/>
        <v/>
      </c>
      <c r="AQ1786" s="215" t="str">
        <f t="shared" si="786"/>
        <v/>
      </c>
      <c r="AR1786" s="216" t="str">
        <f t="shared" si="787"/>
        <v>BiK81M1KA3--07</v>
      </c>
      <c r="AS1786" s="215" t="str">
        <f t="shared" si="788"/>
        <v/>
      </c>
      <c r="AT1786">
        <f t="shared" si="789"/>
        <v>14</v>
      </c>
      <c r="AU1786" s="216" t="str">
        <f t="shared" si="790"/>
        <v>0-0,15 MW, Bonusregeln M1 und K wenn Anlage 3 erfüllt</v>
      </c>
      <c r="AV1786" s="215" t="str">
        <f t="shared" si="791"/>
        <v/>
      </c>
      <c r="AW1786" s="216" t="str">
        <f t="shared" si="792"/>
        <v>Anteil KWK gemäß Anlage 3</v>
      </c>
      <c r="AX1786" s="215" t="str">
        <f t="shared" si="793"/>
        <v/>
      </c>
      <c r="AY1786" t="str">
        <f t="shared" si="794"/>
        <v/>
      </c>
      <c r="AZ1786" t="str">
        <f t="shared" si="795"/>
        <v/>
      </c>
    </row>
    <row r="1787" spans="1:52" x14ac:dyDescent="0.25">
      <c r="A1787" s="610" t="s">
        <v>2255</v>
      </c>
      <c r="B1787" s="30" t="s">
        <v>5548</v>
      </c>
      <c r="C1787" s="30" t="s">
        <v>1304</v>
      </c>
      <c r="D1787" s="30" t="s">
        <v>6898</v>
      </c>
      <c r="E1787" s="30" t="s">
        <v>674</v>
      </c>
      <c r="F1787" s="454">
        <f t="shared" si="802"/>
        <v>25.67</v>
      </c>
      <c r="G1787" s="529">
        <v>25.67</v>
      </c>
      <c r="H1787" s="487">
        <f t="shared" si="803"/>
        <v>20.54</v>
      </c>
      <c r="I1787" s="706"/>
      <c r="J1787" s="669" t="s">
        <v>5805</v>
      </c>
      <c r="K1787" s="15"/>
      <c r="M1787" s="49">
        <f t="shared" si="804"/>
        <v>25.67</v>
      </c>
      <c r="N1787" s="41">
        <v>11.67</v>
      </c>
      <c r="O1787" s="186"/>
      <c r="P1787" s="177"/>
      <c r="Q1787" s="178" t="s">
        <v>1017</v>
      </c>
      <c r="R1787" s="178"/>
      <c r="S1787" s="178" t="s">
        <v>4180</v>
      </c>
      <c r="T1787" t="s">
        <v>4180</v>
      </c>
      <c r="U1787" s="179"/>
      <c r="V1787" s="178"/>
      <c r="W1787" s="180"/>
      <c r="X1787" s="180"/>
      <c r="Y1787" s="178"/>
      <c r="Z1787" s="178" t="s">
        <v>1017</v>
      </c>
      <c r="AA1787" s="180"/>
      <c r="AB1787" s="178"/>
      <c r="AC1787" s="178"/>
      <c r="AD1787" s="201"/>
      <c r="AE1787" s="200"/>
      <c r="AF1787" s="180"/>
      <c r="AG1787" s="201"/>
      <c r="AH1787" s="212" t="str">
        <f t="shared" si="810"/>
        <v/>
      </c>
      <c r="AI1787" s="214" t="str">
        <f t="shared" si="797"/>
        <v/>
      </c>
      <c r="AJ1787" s="214" t="str">
        <f t="shared" si="798"/>
        <v/>
      </c>
      <c r="AK1787" s="214" t="str">
        <f t="shared" si="799"/>
        <v/>
      </c>
      <c r="AL1787" s="214" t="str">
        <f t="shared" si="800"/>
        <v/>
      </c>
      <c r="AM1787" s="214" t="str">
        <f t="shared" si="801"/>
        <v/>
      </c>
      <c r="AN1787" s="213" t="str">
        <f t="shared" si="783"/>
        <v/>
      </c>
      <c r="AO1787" s="213" t="str">
        <f t="shared" si="784"/>
        <v/>
      </c>
      <c r="AP1787" s="213" t="str">
        <f t="shared" si="785"/>
        <v/>
      </c>
      <c r="AQ1787" s="215" t="str">
        <f t="shared" si="786"/>
        <v/>
      </c>
      <c r="AR1787" s="216" t="str">
        <f t="shared" si="787"/>
        <v>BiK81M1K09--07</v>
      </c>
      <c r="AS1787" s="215" t="str">
        <f t="shared" si="788"/>
        <v/>
      </c>
      <c r="AT1787">
        <f t="shared" si="789"/>
        <v>14</v>
      </c>
      <c r="AU1787" s="216" t="str">
        <f t="shared" si="790"/>
        <v>0-0,15 MW, Bonusregeln M1, K erstmals 2009</v>
      </c>
      <c r="AV1787" s="215" t="str">
        <f t="shared" si="791"/>
        <v/>
      </c>
      <c r="AW1787" s="216" t="str">
        <f t="shared" si="792"/>
        <v>Anteil KWK, erstmals 2009</v>
      </c>
      <c r="AX1787" s="215" t="str">
        <f t="shared" si="793"/>
        <v/>
      </c>
      <c r="AY1787" t="str">
        <f t="shared" si="794"/>
        <v/>
      </c>
      <c r="AZ1787" t="str">
        <f t="shared" si="795"/>
        <v/>
      </c>
    </row>
    <row r="1788" spans="1:52" x14ac:dyDescent="0.25">
      <c r="A1788" s="610" t="s">
        <v>4947</v>
      </c>
      <c r="B1788" s="30" t="s">
        <v>5548</v>
      </c>
      <c r="C1788" s="30" t="s">
        <v>1304</v>
      </c>
      <c r="D1788" s="30" t="s">
        <v>6899</v>
      </c>
      <c r="E1788" s="30" t="s">
        <v>3567</v>
      </c>
      <c r="F1788" s="454">
        <f t="shared" si="802"/>
        <v>25.64</v>
      </c>
      <c r="G1788" s="529">
        <v>25.64</v>
      </c>
      <c r="H1788" s="487">
        <f t="shared" si="803"/>
        <v>20.51</v>
      </c>
      <c r="I1788" s="706"/>
      <c r="J1788" s="669" t="s">
        <v>5805</v>
      </c>
      <c r="K1788" s="15"/>
      <c r="M1788" s="49">
        <f t="shared" si="804"/>
        <v>25.64</v>
      </c>
      <c r="N1788" s="41">
        <v>11.67</v>
      </c>
      <c r="O1788" s="186"/>
      <c r="P1788" s="177"/>
      <c r="Q1788" s="178"/>
      <c r="R1788" s="178" t="s">
        <v>1017</v>
      </c>
      <c r="S1788" s="178" t="s">
        <v>4180</v>
      </c>
      <c r="T1788" t="s">
        <v>4180</v>
      </c>
      <c r="U1788" s="179"/>
      <c r="V1788" s="178"/>
      <c r="W1788" s="180"/>
      <c r="X1788" s="180"/>
      <c r="Y1788" s="178"/>
      <c r="Z1788" s="178" t="s">
        <v>1017</v>
      </c>
      <c r="AA1788" s="180"/>
      <c r="AB1788" s="178"/>
      <c r="AC1788" s="178"/>
      <c r="AD1788" s="201"/>
      <c r="AE1788" s="200"/>
      <c r="AF1788" s="180"/>
      <c r="AG1788" s="201"/>
      <c r="AH1788" s="212" t="str">
        <f t="shared" si="810"/>
        <v>2010</v>
      </c>
      <c r="AI1788" s="214" t="str">
        <f t="shared" si="797"/>
        <v/>
      </c>
      <c r="AJ1788" s="214" t="str">
        <f t="shared" si="798"/>
        <v/>
      </c>
      <c r="AK1788" s="214" t="str">
        <f t="shared" si="799"/>
        <v/>
      </c>
      <c r="AL1788" s="214" t="str">
        <f t="shared" si="800"/>
        <v/>
      </c>
      <c r="AM1788" s="214" t="str">
        <f t="shared" si="801"/>
        <v/>
      </c>
      <c r="AN1788" s="213" t="str">
        <f t="shared" si="783"/>
        <v>2010</v>
      </c>
      <c r="AO1788" s="213" t="str">
        <f t="shared" si="784"/>
        <v>2010</v>
      </c>
      <c r="AP1788" s="213" t="str">
        <f t="shared" si="785"/>
        <v>2010</v>
      </c>
      <c r="AQ1788" s="215" t="str">
        <f t="shared" si="786"/>
        <v/>
      </c>
      <c r="AR1788" s="216" t="str">
        <f t="shared" si="787"/>
        <v>BiK81M1K10--07</v>
      </c>
      <c r="AS1788" s="215" t="str">
        <f t="shared" si="788"/>
        <v/>
      </c>
      <c r="AT1788">
        <f t="shared" si="789"/>
        <v>14</v>
      </c>
      <c r="AU1788" s="216" t="str">
        <f t="shared" si="790"/>
        <v>0-0,15 MW, Bonusregeln M1, K erstmals 2010</v>
      </c>
      <c r="AV1788" s="215" t="str">
        <f t="shared" si="791"/>
        <v/>
      </c>
      <c r="AW1788" s="216" t="str">
        <f t="shared" si="792"/>
        <v>Anteil KWK, erstmals 2010</v>
      </c>
      <c r="AX1788" s="215" t="str">
        <f t="shared" si="793"/>
        <v/>
      </c>
      <c r="AY1788" t="str">
        <f t="shared" si="794"/>
        <v/>
      </c>
      <c r="AZ1788" t="str">
        <f t="shared" si="795"/>
        <v/>
      </c>
    </row>
    <row r="1789" spans="1:52" x14ac:dyDescent="0.25">
      <c r="A1789" s="610" t="s">
        <v>3994</v>
      </c>
      <c r="B1789" s="30" t="s">
        <v>5548</v>
      </c>
      <c r="C1789" s="30" t="s">
        <v>1304</v>
      </c>
      <c r="D1789" s="30" t="s">
        <v>6900</v>
      </c>
      <c r="E1789" s="30" t="s">
        <v>3055</v>
      </c>
      <c r="F1789" s="454">
        <f t="shared" si="802"/>
        <v>25.61</v>
      </c>
      <c r="G1789" s="529">
        <v>25.61</v>
      </c>
      <c r="H1789" s="487">
        <f t="shared" si="803"/>
        <v>20.49</v>
      </c>
      <c r="I1789" s="706"/>
      <c r="J1789" s="669" t="s">
        <v>5805</v>
      </c>
      <c r="K1789" s="15"/>
      <c r="M1789" s="49">
        <f t="shared" si="804"/>
        <v>25.61</v>
      </c>
      <c r="N1789" s="41">
        <v>11.67</v>
      </c>
      <c r="O1789" s="186"/>
      <c r="P1789" s="177"/>
      <c r="Q1789" s="178"/>
      <c r="R1789" s="178"/>
      <c r="S1789" s="178" t="s">
        <v>1017</v>
      </c>
      <c r="T1789" t="s">
        <v>4180</v>
      </c>
      <c r="U1789" s="179"/>
      <c r="V1789" s="178"/>
      <c r="W1789" s="180"/>
      <c r="X1789" s="180"/>
      <c r="Y1789" s="178"/>
      <c r="Z1789" s="178" t="s">
        <v>1017</v>
      </c>
      <c r="AA1789" s="180"/>
      <c r="AB1789" s="178"/>
      <c r="AC1789" s="178"/>
      <c r="AD1789" s="201"/>
      <c r="AE1789" s="200"/>
      <c r="AF1789" s="180"/>
      <c r="AG1789" s="201"/>
      <c r="AH1789" s="212" t="str">
        <f t="shared" si="810"/>
        <v>2011</v>
      </c>
      <c r="AI1789" s="214" t="str">
        <f t="shared" si="797"/>
        <v/>
      </c>
      <c r="AJ1789" s="214" t="str">
        <f t="shared" si="798"/>
        <v/>
      </c>
      <c r="AK1789" s="214" t="str">
        <f t="shared" si="799"/>
        <v/>
      </c>
      <c r="AL1789" s="214" t="str">
        <f t="shared" si="800"/>
        <v/>
      </c>
      <c r="AM1789" s="214" t="str">
        <f t="shared" si="801"/>
        <v/>
      </c>
      <c r="AN1789" s="213" t="str">
        <f t="shared" si="783"/>
        <v>2011</v>
      </c>
      <c r="AO1789" s="213" t="str">
        <f t="shared" si="784"/>
        <v>2011</v>
      </c>
      <c r="AP1789" s="213" t="str">
        <f t="shared" si="785"/>
        <v>2011</v>
      </c>
      <c r="AQ1789" s="215" t="str">
        <f t="shared" si="786"/>
        <v/>
      </c>
      <c r="AR1789" s="216" t="str">
        <f t="shared" si="787"/>
        <v>BiK81M1K11--07</v>
      </c>
      <c r="AS1789" s="215" t="str">
        <f t="shared" si="788"/>
        <v/>
      </c>
      <c r="AT1789">
        <f t="shared" si="789"/>
        <v>14</v>
      </c>
      <c r="AU1789" s="216" t="str">
        <f t="shared" si="790"/>
        <v>0-0,15 MW, Bonusregeln M1, K erstmals 2011</v>
      </c>
      <c r="AV1789" s="215" t="str">
        <f t="shared" si="791"/>
        <v/>
      </c>
      <c r="AW1789" s="216" t="str">
        <f t="shared" si="792"/>
        <v>Anteil KWK, erstmals 2011</v>
      </c>
      <c r="AX1789" s="215" t="str">
        <f t="shared" si="793"/>
        <v/>
      </c>
      <c r="AY1789" t="str">
        <f t="shared" si="794"/>
        <v>x</v>
      </c>
      <c r="AZ1789" t="str">
        <f t="shared" si="795"/>
        <v/>
      </c>
    </row>
    <row r="1790" spans="1:52" x14ac:dyDescent="0.25">
      <c r="A1790" s="625" t="s">
        <v>1816</v>
      </c>
      <c r="B1790" s="219" t="s">
        <v>5548</v>
      </c>
      <c r="C1790" s="219" t="s">
        <v>1304</v>
      </c>
      <c r="D1790" s="219" t="s">
        <v>6901</v>
      </c>
      <c r="E1790" s="219" t="s">
        <v>1980</v>
      </c>
      <c r="F1790" s="455">
        <f t="shared" si="802"/>
        <v>25.58</v>
      </c>
      <c r="G1790" s="530">
        <v>25.58</v>
      </c>
      <c r="H1790" s="488">
        <f t="shared" si="803"/>
        <v>20.46</v>
      </c>
      <c r="I1790" s="707"/>
      <c r="J1790" s="669" t="s">
        <v>5805</v>
      </c>
      <c r="K1790" s="15"/>
      <c r="M1790" s="49">
        <f t="shared" si="804"/>
        <v>25.58</v>
      </c>
      <c r="N1790" s="41">
        <v>11.67</v>
      </c>
      <c r="O1790" s="186"/>
      <c r="P1790" s="177"/>
      <c r="Q1790" s="178"/>
      <c r="R1790" s="178"/>
      <c r="S1790" s="178" t="s">
        <v>4180</v>
      </c>
      <c r="T1790" t="s">
        <v>1017</v>
      </c>
      <c r="U1790" s="179"/>
      <c r="V1790" s="178"/>
      <c r="W1790" s="180"/>
      <c r="X1790" s="180"/>
      <c r="Y1790" s="178"/>
      <c r="Z1790" s="178" t="s">
        <v>1017</v>
      </c>
      <c r="AA1790" s="180"/>
      <c r="AB1790" s="178"/>
      <c r="AC1790" s="178"/>
      <c r="AD1790" s="201"/>
      <c r="AE1790" s="200"/>
      <c r="AF1790" s="180"/>
      <c r="AG1790" s="201"/>
      <c r="AH1790" s="217" t="s">
        <v>4179</v>
      </c>
      <c r="AI1790" s="214" t="str">
        <f t="shared" si="797"/>
        <v/>
      </c>
      <c r="AJ1790" s="214" t="str">
        <f t="shared" si="798"/>
        <v/>
      </c>
      <c r="AK1790" s="214" t="str">
        <f t="shared" si="799"/>
        <v/>
      </c>
      <c r="AL1790" s="214" t="str">
        <f t="shared" si="800"/>
        <v/>
      </c>
      <c r="AM1790" s="214" t="str">
        <f t="shared" si="801"/>
        <v/>
      </c>
      <c r="AN1790" s="213" t="str">
        <f t="shared" si="783"/>
        <v>2012</v>
      </c>
      <c r="AO1790" s="213" t="str">
        <f t="shared" si="784"/>
        <v>2012</v>
      </c>
      <c r="AP1790" s="213" t="str">
        <f t="shared" si="785"/>
        <v>2012</v>
      </c>
      <c r="AQ1790" s="215" t="str">
        <f t="shared" si="786"/>
        <v/>
      </c>
      <c r="AR1790" s="216" t="str">
        <f t="shared" si="787"/>
        <v>BiK81M1K12--07</v>
      </c>
      <c r="AS1790" s="215" t="str">
        <f t="shared" si="788"/>
        <v/>
      </c>
      <c r="AT1790">
        <f t="shared" si="789"/>
        <v>14</v>
      </c>
      <c r="AU1790" s="216" t="str">
        <f t="shared" si="790"/>
        <v>0-0,15 MW, Bonusregeln M1, K erstmals 2012</v>
      </c>
      <c r="AV1790" s="215" t="str">
        <f t="shared" si="791"/>
        <v/>
      </c>
      <c r="AW1790" s="216" t="str">
        <f t="shared" si="792"/>
        <v>Anteil KWK, erstmals 2012</v>
      </c>
      <c r="AX1790" s="215" t="str">
        <f t="shared" si="793"/>
        <v/>
      </c>
      <c r="AY1790" t="str">
        <f t="shared" si="794"/>
        <v/>
      </c>
      <c r="AZ1790" t="str">
        <f t="shared" si="795"/>
        <v>x</v>
      </c>
    </row>
    <row r="1791" spans="1:52" x14ac:dyDescent="0.25">
      <c r="A1791" s="610" t="s">
        <v>2256</v>
      </c>
      <c r="B1791" s="30" t="s">
        <v>5548</v>
      </c>
      <c r="C1791" s="30" t="s">
        <v>1304</v>
      </c>
      <c r="D1791" s="30" t="s">
        <v>6828</v>
      </c>
      <c r="E1791" s="30" t="s">
        <v>4810</v>
      </c>
      <c r="F1791" s="454">
        <f t="shared" si="802"/>
        <v>23.67</v>
      </c>
      <c r="G1791" s="529">
        <v>23.67</v>
      </c>
      <c r="H1791" s="487">
        <f t="shared" si="803"/>
        <v>18.940000000000001</v>
      </c>
      <c r="I1791" s="706"/>
      <c r="J1791" s="669" t="s">
        <v>5805</v>
      </c>
      <c r="K1791" s="15"/>
      <c r="M1791" s="49">
        <f t="shared" si="804"/>
        <v>23.67</v>
      </c>
      <c r="N1791" s="41">
        <v>11.67</v>
      </c>
      <c r="O1791" s="187"/>
      <c r="P1791" s="183"/>
      <c r="Q1791" s="184"/>
      <c r="R1791" s="184"/>
      <c r="S1791" s="184" t="s">
        <v>4180</v>
      </c>
      <c r="T1791" t="s">
        <v>4180</v>
      </c>
      <c r="U1791" s="185" t="s">
        <v>1017</v>
      </c>
      <c r="V1791" s="184"/>
      <c r="W1791" s="180"/>
      <c r="X1791" s="180"/>
      <c r="Y1791" s="178"/>
      <c r="Z1791" s="184" t="s">
        <v>1017</v>
      </c>
      <c r="AA1791" s="180"/>
      <c r="AB1791" s="184"/>
      <c r="AC1791" s="184"/>
      <c r="AD1791" s="201"/>
      <c r="AE1791" s="181"/>
      <c r="AF1791" s="180"/>
      <c r="AG1791" s="201"/>
      <c r="AH1791" s="212" t="str">
        <f t="shared" ref="AH1791:AH1796" si="811">IF(ISERROR(SEARCH("K erstmals 201",D1791)),"",RIGHT(D1791,4))</f>
        <v/>
      </c>
      <c r="AI1791" s="214" t="str">
        <f t="shared" si="797"/>
        <v/>
      </c>
      <c r="AJ1791" s="214" t="str">
        <f t="shared" si="798"/>
        <v/>
      </c>
      <c r="AK1791" s="214" t="str">
        <f t="shared" si="799"/>
        <v/>
      </c>
      <c r="AL1791" s="214" t="str">
        <f t="shared" si="800"/>
        <v/>
      </c>
      <c r="AM1791" s="214" t="str">
        <f t="shared" si="801"/>
        <v/>
      </c>
      <c r="AN1791" s="213" t="str">
        <f t="shared" si="783"/>
        <v/>
      </c>
      <c r="AO1791" s="213" t="str">
        <f t="shared" si="784"/>
        <v/>
      </c>
      <c r="AP1791" s="213" t="str">
        <f t="shared" si="785"/>
        <v/>
      </c>
      <c r="AQ1791" s="215" t="str">
        <f t="shared" si="786"/>
        <v/>
      </c>
      <c r="AR1791" s="216" t="str">
        <f t="shared" si="787"/>
        <v>BiK81M1y----07</v>
      </c>
      <c r="AS1791" s="215" t="str">
        <f t="shared" si="788"/>
        <v/>
      </c>
      <c r="AT1791">
        <f t="shared" si="789"/>
        <v>14</v>
      </c>
      <c r="AU1791" s="216" t="str">
        <f t="shared" si="790"/>
        <v>0-0,15 MW, Bonusregeln M1, y</v>
      </c>
      <c r="AV1791" s="215" t="str">
        <f t="shared" si="791"/>
        <v/>
      </c>
      <c r="AW1791" s="216" t="str">
        <f t="shared" si="792"/>
        <v>Anteil Nicht-KWK</v>
      </c>
      <c r="AX1791" s="215" t="str">
        <f t="shared" si="793"/>
        <v/>
      </c>
      <c r="AY1791" t="str">
        <f t="shared" si="794"/>
        <v/>
      </c>
      <c r="AZ1791" t="str">
        <f t="shared" si="795"/>
        <v/>
      </c>
    </row>
    <row r="1792" spans="1:52" x14ac:dyDescent="0.25">
      <c r="A1792" s="610" t="s">
        <v>2105</v>
      </c>
      <c r="B1792" s="30" t="s">
        <v>5548</v>
      </c>
      <c r="C1792" s="30" t="s">
        <v>1304</v>
      </c>
      <c r="D1792" s="30" t="s">
        <v>6902</v>
      </c>
      <c r="E1792" s="30" t="s">
        <v>4812</v>
      </c>
      <c r="F1792" s="454">
        <f t="shared" si="802"/>
        <v>25.67</v>
      </c>
      <c r="G1792" s="529">
        <v>25.67</v>
      </c>
      <c r="H1792" s="487">
        <f t="shared" si="803"/>
        <v>20.54</v>
      </c>
      <c r="I1792" s="706"/>
      <c r="J1792" s="669" t="s">
        <v>5805</v>
      </c>
      <c r="K1792" s="15"/>
      <c r="M1792" s="49">
        <f t="shared" si="804"/>
        <v>25.67</v>
      </c>
      <c r="N1792" s="41">
        <v>11.67</v>
      </c>
      <c r="O1792" s="187" t="s">
        <v>1017</v>
      </c>
      <c r="P1792" s="183"/>
      <c r="Q1792" s="184"/>
      <c r="R1792" s="184"/>
      <c r="S1792" s="184" t="s">
        <v>4180</v>
      </c>
      <c r="T1792" t="s">
        <v>4180</v>
      </c>
      <c r="U1792" s="185" t="s">
        <v>1017</v>
      </c>
      <c r="V1792" s="184"/>
      <c r="W1792" s="180"/>
      <c r="X1792" s="180"/>
      <c r="Y1792" s="178"/>
      <c r="Z1792" s="184" t="s">
        <v>1017</v>
      </c>
      <c r="AA1792" s="180"/>
      <c r="AB1792" s="184"/>
      <c r="AC1792" s="184"/>
      <c r="AD1792" s="201"/>
      <c r="AE1792" s="181"/>
      <c r="AF1792" s="180"/>
      <c r="AG1792" s="201"/>
      <c r="AH1792" s="212" t="str">
        <f t="shared" si="811"/>
        <v/>
      </c>
      <c r="AI1792" s="214" t="str">
        <f t="shared" si="797"/>
        <v/>
      </c>
      <c r="AJ1792" s="214" t="str">
        <f t="shared" si="798"/>
        <v/>
      </c>
      <c r="AK1792" s="214" t="str">
        <f t="shared" si="799"/>
        <v/>
      </c>
      <c r="AL1792" s="214" t="str">
        <f t="shared" si="800"/>
        <v/>
      </c>
      <c r="AM1792" s="214" t="str">
        <f t="shared" si="801"/>
        <v/>
      </c>
      <c r="AN1792" s="213" t="str">
        <f t="shared" si="783"/>
        <v/>
      </c>
      <c r="AO1792" s="213" t="str">
        <f t="shared" si="784"/>
        <v/>
      </c>
      <c r="AP1792" s="213" t="str">
        <f t="shared" si="785"/>
        <v/>
      </c>
      <c r="AQ1792" s="215" t="str">
        <f t="shared" si="786"/>
        <v/>
      </c>
      <c r="AR1792" s="216" t="str">
        <f t="shared" si="787"/>
        <v>BiK81M1KWKy-07</v>
      </c>
      <c r="AS1792" s="215" t="str">
        <f t="shared" si="788"/>
        <v/>
      </c>
      <c r="AT1792">
        <f t="shared" si="789"/>
        <v>14</v>
      </c>
      <c r="AU1792" s="216" t="str">
        <f t="shared" si="790"/>
        <v>0-0,15 MW, Bonusregeln M1, y und KWK</v>
      </c>
      <c r="AV1792" s="215" t="str">
        <f t="shared" si="791"/>
        <v/>
      </c>
      <c r="AW1792" s="216" t="str">
        <f t="shared" si="792"/>
        <v>Anteil KWK</v>
      </c>
      <c r="AX1792" s="215" t="str">
        <f t="shared" si="793"/>
        <v/>
      </c>
      <c r="AY1792" t="str">
        <f t="shared" si="794"/>
        <v/>
      </c>
      <c r="AZ1792" t="str">
        <f t="shared" si="795"/>
        <v/>
      </c>
    </row>
    <row r="1793" spans="1:52" x14ac:dyDescent="0.25">
      <c r="A1793" s="610" t="s">
        <v>2106</v>
      </c>
      <c r="B1793" s="30" t="s">
        <v>5548</v>
      </c>
      <c r="C1793" s="30" t="s">
        <v>1304</v>
      </c>
      <c r="D1793" s="109" t="s">
        <v>6829</v>
      </c>
      <c r="E1793" s="30" t="s">
        <v>4331</v>
      </c>
      <c r="F1793" s="454">
        <f t="shared" si="802"/>
        <v>26.67</v>
      </c>
      <c r="G1793" s="529">
        <v>26.67</v>
      </c>
      <c r="H1793" s="487">
        <f t="shared" si="803"/>
        <v>21.34</v>
      </c>
      <c r="I1793" s="706"/>
      <c r="J1793" s="669" t="s">
        <v>5805</v>
      </c>
      <c r="K1793" s="15"/>
      <c r="M1793" s="49">
        <f t="shared" si="804"/>
        <v>26.67</v>
      </c>
      <c r="N1793" s="41">
        <v>11.67</v>
      </c>
      <c r="O1793" s="187"/>
      <c r="P1793" s="184" t="s">
        <v>1017</v>
      </c>
      <c r="Q1793" s="184"/>
      <c r="R1793" s="184"/>
      <c r="S1793" s="184" t="s">
        <v>4180</v>
      </c>
      <c r="T1793" t="s">
        <v>4180</v>
      </c>
      <c r="U1793" s="185" t="s">
        <v>1017</v>
      </c>
      <c r="V1793" s="184"/>
      <c r="W1793" s="180"/>
      <c r="X1793" s="180"/>
      <c r="Y1793" s="178"/>
      <c r="Z1793" s="184" t="s">
        <v>1017</v>
      </c>
      <c r="AA1793" s="180"/>
      <c r="AB1793" s="184"/>
      <c r="AC1793" s="184"/>
      <c r="AD1793" s="201"/>
      <c r="AE1793" s="181"/>
      <c r="AF1793" s="180"/>
      <c r="AG1793" s="201"/>
      <c r="AH1793" s="212" t="str">
        <f t="shared" si="811"/>
        <v/>
      </c>
      <c r="AI1793" s="214" t="str">
        <f t="shared" si="797"/>
        <v/>
      </c>
      <c r="AJ1793" s="214" t="str">
        <f t="shared" si="798"/>
        <v/>
      </c>
      <c r="AK1793" s="214" t="str">
        <f t="shared" si="799"/>
        <v/>
      </c>
      <c r="AL1793" s="214" t="str">
        <f t="shared" si="800"/>
        <v/>
      </c>
      <c r="AM1793" s="214" t="str">
        <f t="shared" si="801"/>
        <v/>
      </c>
      <c r="AN1793" s="213" t="str">
        <f t="shared" si="783"/>
        <v/>
      </c>
      <c r="AO1793" s="213" t="str">
        <f t="shared" si="784"/>
        <v/>
      </c>
      <c r="AP1793" s="213" t="str">
        <f t="shared" si="785"/>
        <v/>
      </c>
      <c r="AQ1793" s="215" t="str">
        <f t="shared" si="786"/>
        <v/>
      </c>
      <c r="AR1793" s="216" t="str">
        <f t="shared" si="787"/>
        <v>BiK81M1KA3y-07</v>
      </c>
      <c r="AS1793" s="215" t="str">
        <f t="shared" si="788"/>
        <v/>
      </c>
      <c r="AT1793">
        <f t="shared" si="789"/>
        <v>14</v>
      </c>
      <c r="AU1793" s="216" t="str">
        <f t="shared" si="790"/>
        <v>0-0,15 MW, Bonusregeln M1, y und K wenn Anlage 3 erfüllt</v>
      </c>
      <c r="AV1793" s="215" t="str">
        <f t="shared" si="791"/>
        <v/>
      </c>
      <c r="AW1793" s="216" t="str">
        <f t="shared" si="792"/>
        <v>Anteil KWK gemäß Anlage 3</v>
      </c>
      <c r="AX1793" s="215" t="str">
        <f t="shared" si="793"/>
        <v/>
      </c>
      <c r="AY1793" t="str">
        <f t="shared" si="794"/>
        <v/>
      </c>
      <c r="AZ1793" t="str">
        <f t="shared" si="795"/>
        <v/>
      </c>
    </row>
    <row r="1794" spans="1:52" x14ac:dyDescent="0.25">
      <c r="A1794" s="610" t="s">
        <v>2107</v>
      </c>
      <c r="B1794" s="30" t="s">
        <v>5548</v>
      </c>
      <c r="C1794" s="30" t="s">
        <v>1304</v>
      </c>
      <c r="D1794" s="30" t="s">
        <v>6830</v>
      </c>
      <c r="E1794" s="30" t="s">
        <v>674</v>
      </c>
      <c r="F1794" s="454">
        <f t="shared" si="802"/>
        <v>26.67</v>
      </c>
      <c r="G1794" s="529">
        <v>26.67</v>
      </c>
      <c r="H1794" s="487">
        <f t="shared" si="803"/>
        <v>21.34</v>
      </c>
      <c r="I1794" s="706"/>
      <c r="J1794" s="669" t="s">
        <v>5805</v>
      </c>
      <c r="K1794" s="15"/>
      <c r="M1794" s="49">
        <f t="shared" si="804"/>
        <v>26.67</v>
      </c>
      <c r="N1794" s="41">
        <v>11.67</v>
      </c>
      <c r="O1794" s="187"/>
      <c r="P1794" s="183"/>
      <c r="Q1794" s="184" t="s">
        <v>1017</v>
      </c>
      <c r="R1794" s="184"/>
      <c r="S1794" s="184" t="s">
        <v>4180</v>
      </c>
      <c r="T1794" t="s">
        <v>4180</v>
      </c>
      <c r="U1794" s="185" t="s">
        <v>1017</v>
      </c>
      <c r="V1794" s="184"/>
      <c r="W1794" s="180"/>
      <c r="X1794" s="180"/>
      <c r="Y1794" s="178"/>
      <c r="Z1794" s="184" t="s">
        <v>1017</v>
      </c>
      <c r="AA1794" s="180"/>
      <c r="AB1794" s="184"/>
      <c r="AC1794" s="184"/>
      <c r="AD1794" s="201"/>
      <c r="AE1794" s="181"/>
      <c r="AF1794" s="180"/>
      <c r="AG1794" s="201"/>
      <c r="AH1794" s="212" t="str">
        <f t="shared" si="811"/>
        <v/>
      </c>
      <c r="AI1794" s="214" t="str">
        <f t="shared" si="797"/>
        <v/>
      </c>
      <c r="AJ1794" s="214" t="str">
        <f t="shared" si="798"/>
        <v/>
      </c>
      <c r="AK1794" s="214" t="str">
        <f t="shared" si="799"/>
        <v/>
      </c>
      <c r="AL1794" s="214" t="str">
        <f t="shared" si="800"/>
        <v/>
      </c>
      <c r="AM1794" s="214" t="str">
        <f t="shared" si="801"/>
        <v/>
      </c>
      <c r="AN1794" s="213" t="str">
        <f t="shared" si="783"/>
        <v/>
      </c>
      <c r="AO1794" s="213" t="str">
        <f t="shared" si="784"/>
        <v/>
      </c>
      <c r="AP1794" s="213" t="str">
        <f t="shared" si="785"/>
        <v/>
      </c>
      <c r="AQ1794" s="215" t="str">
        <f t="shared" si="786"/>
        <v/>
      </c>
      <c r="AR1794" s="216" t="str">
        <f t="shared" si="787"/>
        <v>BiK81M1K09y-07</v>
      </c>
      <c r="AS1794" s="215" t="str">
        <f t="shared" si="788"/>
        <v/>
      </c>
      <c r="AT1794">
        <f t="shared" si="789"/>
        <v>14</v>
      </c>
      <c r="AU1794" s="216" t="str">
        <f t="shared" si="790"/>
        <v>0-0,15 MW, Bonusregeln M1, y und K erstmals 2009</v>
      </c>
      <c r="AV1794" s="215" t="str">
        <f t="shared" si="791"/>
        <v/>
      </c>
      <c r="AW1794" s="216" t="str">
        <f t="shared" si="792"/>
        <v>Anteil KWK, erstmals 2009</v>
      </c>
      <c r="AX1794" s="215" t="str">
        <f t="shared" si="793"/>
        <v/>
      </c>
      <c r="AY1794" t="str">
        <f t="shared" si="794"/>
        <v/>
      </c>
      <c r="AZ1794" t="str">
        <f t="shared" si="795"/>
        <v/>
      </c>
    </row>
    <row r="1795" spans="1:52" x14ac:dyDescent="0.25">
      <c r="A1795" s="610" t="s">
        <v>4948</v>
      </c>
      <c r="B1795" s="30" t="s">
        <v>5548</v>
      </c>
      <c r="C1795" s="30" t="s">
        <v>1304</v>
      </c>
      <c r="D1795" s="30" t="s">
        <v>6831</v>
      </c>
      <c r="E1795" s="30" t="s">
        <v>3567</v>
      </c>
      <c r="F1795" s="454">
        <f t="shared" si="802"/>
        <v>26.64</v>
      </c>
      <c r="G1795" s="529">
        <v>26.64</v>
      </c>
      <c r="H1795" s="487">
        <f t="shared" si="803"/>
        <v>21.31</v>
      </c>
      <c r="I1795" s="706"/>
      <c r="J1795" s="669" t="s">
        <v>5805</v>
      </c>
      <c r="K1795" s="15"/>
      <c r="M1795" s="49">
        <f t="shared" si="804"/>
        <v>26.64</v>
      </c>
      <c r="N1795" s="41">
        <v>11.67</v>
      </c>
      <c r="O1795" s="187"/>
      <c r="P1795" s="183"/>
      <c r="Q1795" s="184"/>
      <c r="R1795" s="184" t="s">
        <v>1017</v>
      </c>
      <c r="S1795" s="184" t="s">
        <v>4180</v>
      </c>
      <c r="T1795" t="s">
        <v>4180</v>
      </c>
      <c r="U1795" s="185" t="s">
        <v>1017</v>
      </c>
      <c r="V1795" s="184"/>
      <c r="W1795" s="180"/>
      <c r="X1795" s="180"/>
      <c r="Y1795" s="178"/>
      <c r="Z1795" s="184" t="s">
        <v>1017</v>
      </c>
      <c r="AA1795" s="180"/>
      <c r="AB1795" s="184"/>
      <c r="AC1795" s="184"/>
      <c r="AD1795" s="201"/>
      <c r="AE1795" s="181"/>
      <c r="AF1795" s="180"/>
      <c r="AG1795" s="201"/>
      <c r="AH1795" s="212" t="str">
        <f t="shared" si="811"/>
        <v>2010</v>
      </c>
      <c r="AI1795" s="214" t="str">
        <f t="shared" si="797"/>
        <v/>
      </c>
      <c r="AJ1795" s="214" t="str">
        <f t="shared" si="798"/>
        <v/>
      </c>
      <c r="AK1795" s="214" t="str">
        <f t="shared" si="799"/>
        <v/>
      </c>
      <c r="AL1795" s="214" t="str">
        <f t="shared" si="800"/>
        <v/>
      </c>
      <c r="AM1795" s="214" t="str">
        <f t="shared" si="801"/>
        <v/>
      </c>
      <c r="AN1795" s="213" t="str">
        <f t="shared" si="783"/>
        <v>2010</v>
      </c>
      <c r="AO1795" s="213" t="str">
        <f t="shared" si="784"/>
        <v>2010</v>
      </c>
      <c r="AP1795" s="213" t="str">
        <f t="shared" si="785"/>
        <v>2010</v>
      </c>
      <c r="AQ1795" s="215" t="str">
        <f t="shared" si="786"/>
        <v/>
      </c>
      <c r="AR1795" s="216" t="str">
        <f t="shared" si="787"/>
        <v>BiK81M1K10y-07</v>
      </c>
      <c r="AS1795" s="215" t="str">
        <f t="shared" si="788"/>
        <v/>
      </c>
      <c r="AT1795">
        <f t="shared" si="789"/>
        <v>14</v>
      </c>
      <c r="AU1795" s="216" t="str">
        <f t="shared" si="790"/>
        <v>0-0,15 MW, Bonusregeln M1, y und K erstmals 2010</v>
      </c>
      <c r="AV1795" s="215" t="str">
        <f t="shared" si="791"/>
        <v/>
      </c>
      <c r="AW1795" s="216" t="str">
        <f t="shared" si="792"/>
        <v>Anteil KWK, erstmals 2010</v>
      </c>
      <c r="AX1795" s="215" t="str">
        <f t="shared" si="793"/>
        <v/>
      </c>
      <c r="AY1795" t="str">
        <f t="shared" si="794"/>
        <v/>
      </c>
      <c r="AZ1795" t="str">
        <f t="shared" si="795"/>
        <v/>
      </c>
    </row>
    <row r="1796" spans="1:52" x14ac:dyDescent="0.25">
      <c r="A1796" s="610" t="s">
        <v>3995</v>
      </c>
      <c r="B1796" s="30" t="s">
        <v>5548</v>
      </c>
      <c r="C1796" s="30" t="s">
        <v>1304</v>
      </c>
      <c r="D1796" s="30" t="s">
        <v>6832</v>
      </c>
      <c r="E1796" s="30" t="s">
        <v>3055</v>
      </c>
      <c r="F1796" s="454">
        <f t="shared" si="802"/>
        <v>26.61</v>
      </c>
      <c r="G1796" s="529">
        <v>26.61</v>
      </c>
      <c r="H1796" s="487">
        <f t="shared" si="803"/>
        <v>21.29</v>
      </c>
      <c r="I1796" s="706"/>
      <c r="J1796" s="669" t="s">
        <v>5805</v>
      </c>
      <c r="K1796" s="15"/>
      <c r="M1796" s="49">
        <f t="shared" si="804"/>
        <v>26.61</v>
      </c>
      <c r="N1796" s="41">
        <v>11.67</v>
      </c>
      <c r="O1796" s="187"/>
      <c r="P1796" s="183"/>
      <c r="Q1796" s="184"/>
      <c r="R1796" s="178"/>
      <c r="S1796" s="184" t="s">
        <v>1017</v>
      </c>
      <c r="T1796" t="s">
        <v>4180</v>
      </c>
      <c r="U1796" s="185" t="s">
        <v>1017</v>
      </c>
      <c r="V1796" s="184"/>
      <c r="W1796" s="180"/>
      <c r="X1796" s="180"/>
      <c r="Y1796" s="178"/>
      <c r="Z1796" s="184" t="s">
        <v>1017</v>
      </c>
      <c r="AA1796" s="180"/>
      <c r="AB1796" s="184"/>
      <c r="AC1796" s="184"/>
      <c r="AD1796" s="201"/>
      <c r="AE1796" s="181"/>
      <c r="AF1796" s="180"/>
      <c r="AG1796" s="201"/>
      <c r="AH1796" s="212" t="str">
        <f t="shared" si="811"/>
        <v>2011</v>
      </c>
      <c r="AI1796" s="214" t="str">
        <f t="shared" si="797"/>
        <v/>
      </c>
      <c r="AJ1796" s="214" t="str">
        <f t="shared" si="798"/>
        <v/>
      </c>
      <c r="AK1796" s="214" t="str">
        <f t="shared" si="799"/>
        <v/>
      </c>
      <c r="AL1796" s="214" t="str">
        <f t="shared" si="800"/>
        <v/>
      </c>
      <c r="AM1796" s="214" t="str">
        <f t="shared" si="801"/>
        <v/>
      </c>
      <c r="AN1796" s="213" t="str">
        <f t="shared" si="783"/>
        <v>2011</v>
      </c>
      <c r="AO1796" s="213" t="str">
        <f t="shared" si="784"/>
        <v>2011</v>
      </c>
      <c r="AP1796" s="213" t="str">
        <f t="shared" si="785"/>
        <v>2011</v>
      </c>
      <c r="AQ1796" s="215" t="str">
        <f t="shared" si="786"/>
        <v/>
      </c>
      <c r="AR1796" s="216" t="str">
        <f t="shared" si="787"/>
        <v>BiK81M1K11y-07</v>
      </c>
      <c r="AS1796" s="215" t="str">
        <f t="shared" si="788"/>
        <v/>
      </c>
      <c r="AT1796">
        <f t="shared" si="789"/>
        <v>14</v>
      </c>
      <c r="AU1796" s="216" t="str">
        <f t="shared" si="790"/>
        <v>0-0,15 MW, Bonusregeln M1, y und K erstmals 2011</v>
      </c>
      <c r="AV1796" s="215" t="str">
        <f t="shared" si="791"/>
        <v/>
      </c>
      <c r="AW1796" s="216" t="str">
        <f t="shared" si="792"/>
        <v>Anteil KWK, erstmals 2011</v>
      </c>
      <c r="AX1796" s="215" t="str">
        <f t="shared" si="793"/>
        <v/>
      </c>
      <c r="AY1796" t="str">
        <f t="shared" si="794"/>
        <v>x</v>
      </c>
      <c r="AZ1796" t="str">
        <f t="shared" si="795"/>
        <v/>
      </c>
    </row>
    <row r="1797" spans="1:52" x14ac:dyDescent="0.25">
      <c r="A1797" s="625" t="s">
        <v>1817</v>
      </c>
      <c r="B1797" s="219" t="s">
        <v>5548</v>
      </c>
      <c r="C1797" s="219" t="s">
        <v>1304</v>
      </c>
      <c r="D1797" s="219" t="s">
        <v>6833</v>
      </c>
      <c r="E1797" s="219" t="s">
        <v>1980</v>
      </c>
      <c r="F1797" s="455">
        <f t="shared" si="802"/>
        <v>26.58</v>
      </c>
      <c r="G1797" s="530">
        <v>26.58</v>
      </c>
      <c r="H1797" s="488">
        <f t="shared" si="803"/>
        <v>21.26</v>
      </c>
      <c r="I1797" s="707"/>
      <c r="J1797" s="669" t="s">
        <v>5805</v>
      </c>
      <c r="K1797" s="15"/>
      <c r="M1797" s="49">
        <f t="shared" si="804"/>
        <v>26.58</v>
      </c>
      <c r="N1797" s="41">
        <v>11.67</v>
      </c>
      <c r="O1797" s="187"/>
      <c r="P1797" s="183"/>
      <c r="Q1797" s="184"/>
      <c r="R1797" s="178"/>
      <c r="S1797" s="184" t="s">
        <v>4180</v>
      </c>
      <c r="T1797" t="s">
        <v>1017</v>
      </c>
      <c r="U1797" s="185" t="s">
        <v>1017</v>
      </c>
      <c r="V1797" s="184"/>
      <c r="W1797" s="180"/>
      <c r="X1797" s="180"/>
      <c r="Y1797" s="178"/>
      <c r="Z1797" s="184" t="s">
        <v>1017</v>
      </c>
      <c r="AA1797" s="180"/>
      <c r="AB1797" s="184"/>
      <c r="AC1797" s="184"/>
      <c r="AD1797" s="201"/>
      <c r="AE1797" s="181"/>
      <c r="AF1797" s="180"/>
      <c r="AG1797" s="201"/>
      <c r="AH1797" s="217" t="s">
        <v>4179</v>
      </c>
      <c r="AI1797" s="214" t="str">
        <f t="shared" si="797"/>
        <v/>
      </c>
      <c r="AJ1797" s="214" t="str">
        <f t="shared" si="798"/>
        <v/>
      </c>
      <c r="AK1797" s="214" t="str">
        <f t="shared" si="799"/>
        <v/>
      </c>
      <c r="AL1797" s="214" t="str">
        <f t="shared" si="800"/>
        <v/>
      </c>
      <c r="AM1797" s="214" t="str">
        <f t="shared" si="801"/>
        <v/>
      </c>
      <c r="AN1797" s="213" t="str">
        <f t="shared" si="783"/>
        <v>2012</v>
      </c>
      <c r="AO1797" s="213" t="str">
        <f t="shared" si="784"/>
        <v>2012</v>
      </c>
      <c r="AP1797" s="213" t="str">
        <f t="shared" si="785"/>
        <v>2012</v>
      </c>
      <c r="AQ1797" s="215" t="str">
        <f t="shared" si="786"/>
        <v/>
      </c>
      <c r="AR1797" s="216" t="str">
        <f t="shared" si="787"/>
        <v>BiK81M1K12y-07</v>
      </c>
      <c r="AS1797" s="215" t="str">
        <f t="shared" si="788"/>
        <v/>
      </c>
      <c r="AT1797">
        <f t="shared" si="789"/>
        <v>14</v>
      </c>
      <c r="AU1797" s="216" t="str">
        <f t="shared" si="790"/>
        <v>0-0,15 MW, Bonusregeln M1, y und K erstmals 2012</v>
      </c>
      <c r="AV1797" s="215" t="str">
        <f t="shared" si="791"/>
        <v/>
      </c>
      <c r="AW1797" s="216" t="str">
        <f t="shared" si="792"/>
        <v>Anteil KWK, erstmals 2012</v>
      </c>
      <c r="AX1797" s="215" t="str">
        <f t="shared" si="793"/>
        <v/>
      </c>
      <c r="AY1797" t="str">
        <f t="shared" si="794"/>
        <v/>
      </c>
      <c r="AZ1797" t="str">
        <f t="shared" si="795"/>
        <v>x</v>
      </c>
    </row>
    <row r="1798" spans="1:52" x14ac:dyDescent="0.25">
      <c r="A1798" s="610" t="s">
        <v>2108</v>
      </c>
      <c r="B1798" s="30" t="s">
        <v>5548</v>
      </c>
      <c r="C1798" s="30" t="s">
        <v>1304</v>
      </c>
      <c r="D1798" s="30" t="s">
        <v>6834</v>
      </c>
      <c r="E1798" s="30" t="s">
        <v>4810</v>
      </c>
      <c r="F1798" s="454">
        <f t="shared" si="802"/>
        <v>20.67</v>
      </c>
      <c r="G1798" s="529">
        <v>20.67</v>
      </c>
      <c r="H1798" s="487">
        <f t="shared" si="803"/>
        <v>16.54</v>
      </c>
      <c r="I1798" s="706"/>
      <c r="J1798" s="669" t="s">
        <v>5805</v>
      </c>
      <c r="K1798" s="15"/>
      <c r="M1798" s="49">
        <f t="shared" si="804"/>
        <v>20.67</v>
      </c>
      <c r="N1798" s="41">
        <v>11.67</v>
      </c>
      <c r="O1798" s="186"/>
      <c r="P1798" s="177"/>
      <c r="Q1798" s="178"/>
      <c r="R1798" s="178"/>
      <c r="S1798" s="178" t="s">
        <v>4180</v>
      </c>
      <c r="T1798" t="s">
        <v>4180</v>
      </c>
      <c r="U1798" s="179"/>
      <c r="V1798" s="178"/>
      <c r="W1798" s="180"/>
      <c r="X1798" s="180"/>
      <c r="Y1798" s="178"/>
      <c r="Z1798" s="178"/>
      <c r="AA1798" s="180"/>
      <c r="AB1798" s="178" t="s">
        <v>1017</v>
      </c>
      <c r="AC1798" s="178"/>
      <c r="AD1798" s="201"/>
      <c r="AE1798" s="200"/>
      <c r="AF1798" s="180"/>
      <c r="AG1798" s="201"/>
      <c r="AH1798" s="212" t="str">
        <f t="shared" ref="AH1798:AH1803" si="812">IF(ISERROR(SEARCH("K erstmals 201",D1798)),"",RIGHT(D1798,4))</f>
        <v/>
      </c>
      <c r="AI1798" s="214" t="str">
        <f t="shared" si="797"/>
        <v/>
      </c>
      <c r="AJ1798" s="214" t="str">
        <f t="shared" si="798"/>
        <v/>
      </c>
      <c r="AK1798" s="214" t="str">
        <f t="shared" si="799"/>
        <v/>
      </c>
      <c r="AL1798" s="214" t="str">
        <f t="shared" si="800"/>
        <v/>
      </c>
      <c r="AM1798" s="214" t="str">
        <f t="shared" si="801"/>
        <v/>
      </c>
      <c r="AN1798" s="213" t="str">
        <f t="shared" ref="AN1798:AN1861" si="813">IF(ISERROR(SEARCH("K1",A1798)),"","20"&amp;MID(A1798,SEARCH("K1",A1798)+1,2))</f>
        <v/>
      </c>
      <c r="AO1798" s="213" t="str">
        <f t="shared" ref="AO1798:AO1861" si="814">IF(ISERROR(SEARCH("erstmals 201",E1798)),"",MID(E1798,SEARCH("erstmals ",E1798)+9,4))</f>
        <v/>
      </c>
      <c r="AP1798" s="213" t="str">
        <f t="shared" ref="AP1798:AP1861" si="815">IF(R1798="x","2010",IF(S1798="x","2011",IF(T1798="x","2012","")))</f>
        <v/>
      </c>
      <c r="AQ1798" s="215" t="str">
        <f t="shared" ref="AQ1798:AQ1861" si="816">IF(OR(AH1798&lt;&gt;AN1798,AH1798&lt;&gt;AO1798,AH1798&lt;&gt;AP1798),"DIFF","")</f>
        <v/>
      </c>
      <c r="AR1798" s="216" t="str">
        <f t="shared" ref="AR1798:AR1861" si="817">IF(A1798="","",IF(ISERROR(SEARCH("K1",A1798)),A1798,LEFT(A1798,SEARCH("K1",A1798)+1)&amp;RIGHT(AH1798,1)&amp;MID(A1798,SEARCH("K1",A1798)+3,14)))</f>
        <v>BiK81L------07</v>
      </c>
      <c r="AS1798" s="215" t="str">
        <f t="shared" ref="AS1798:AS1861" si="818">IF(OR(A1798&lt;&gt;AR1798),"DIFF","")</f>
        <v/>
      </c>
      <c r="AT1798">
        <f t="shared" ref="AT1798:AT1861" si="819">LEN(AR1798)</f>
        <v>14</v>
      </c>
      <c r="AU1798" s="216" t="str">
        <f t="shared" ref="AU1798:AU1861" si="820">IF(D1798="","",IF(OR(A1798="",ISERROR(SEARCH("erstmals 201",D1798))),D1798,LEFT(D1798,SEARCH("erstmals 201",D1798)+8) &amp; AH1798 &amp; MID(D1798,SEARCH("erstmals 201",D1798)+13,255)))</f>
        <v>0-0,15 MW, Bonusregel L</v>
      </c>
      <c r="AV1798" s="215" t="str">
        <f t="shared" ref="AV1798:AV1861" si="821">IF(OR(D1798&lt;&gt;AU1798),"DIFF","")</f>
        <v/>
      </c>
      <c r="AW1798" s="216" t="str">
        <f t="shared" ref="AW1798:AW1861" si="822">IF(E1798="","",IF(OR(E1798="",ISERROR(SEARCH("erstmals 201",E1798))),E1798,LEFT(E1798,SEARCH("erstmals 201",E1798)+8) &amp; AH1798 &amp; MID(E1798,SEARCH("erstmals 201",E1798)+13,255)))</f>
        <v>Anteil Nicht-KWK</v>
      </c>
      <c r="AX1798" s="215" t="str">
        <f t="shared" ref="AX1798:AX1861" si="823">IF(OR(E1798&lt;&gt;AW1798),"DIFF","")</f>
        <v/>
      </c>
      <c r="AY1798" t="str">
        <f t="shared" ref="AY1798:AY1861" si="824">IF(AH1798="2011","x",IF(AH1798="2012","","" &amp; S1798))</f>
        <v/>
      </c>
      <c r="AZ1798" t="str">
        <f t="shared" ref="AZ1798:AZ1861" si="825">IF(AH1798="2012","x",IF(AH1798="2011","","" &amp; T1798))</f>
        <v/>
      </c>
    </row>
    <row r="1799" spans="1:52" x14ac:dyDescent="0.25">
      <c r="A1799" s="610" t="s">
        <v>2109</v>
      </c>
      <c r="B1799" s="30" t="s">
        <v>5548</v>
      </c>
      <c r="C1799" s="30" t="s">
        <v>1304</v>
      </c>
      <c r="D1799" s="30" t="s">
        <v>6903</v>
      </c>
      <c r="E1799" s="30" t="s">
        <v>4812</v>
      </c>
      <c r="F1799" s="454">
        <f t="shared" si="802"/>
        <v>22.67</v>
      </c>
      <c r="G1799" s="529">
        <v>22.67</v>
      </c>
      <c r="H1799" s="487">
        <f t="shared" si="803"/>
        <v>18.14</v>
      </c>
      <c r="I1799" s="706"/>
      <c r="J1799" s="669" t="s">
        <v>5805</v>
      </c>
      <c r="K1799" s="15"/>
      <c r="M1799" s="49">
        <f t="shared" si="804"/>
        <v>22.67</v>
      </c>
      <c r="N1799" s="41">
        <v>11.67</v>
      </c>
      <c r="O1799" s="186" t="s">
        <v>1017</v>
      </c>
      <c r="P1799" s="177"/>
      <c r="Q1799" s="178"/>
      <c r="R1799" s="178"/>
      <c r="S1799" s="178" t="s">
        <v>4180</v>
      </c>
      <c r="T1799" t="s">
        <v>4180</v>
      </c>
      <c r="U1799" s="179"/>
      <c r="V1799" s="178"/>
      <c r="W1799" s="180"/>
      <c r="X1799" s="180"/>
      <c r="Y1799" s="178"/>
      <c r="Z1799" s="178"/>
      <c r="AA1799" s="180"/>
      <c r="AB1799" s="178" t="s">
        <v>1017</v>
      </c>
      <c r="AC1799" s="178"/>
      <c r="AD1799" s="201"/>
      <c r="AE1799" s="200"/>
      <c r="AF1799" s="180"/>
      <c r="AG1799" s="201"/>
      <c r="AH1799" s="212" t="str">
        <f t="shared" si="812"/>
        <v/>
      </c>
      <c r="AI1799" s="214" t="str">
        <f t="shared" si="797"/>
        <v/>
      </c>
      <c r="AJ1799" s="214" t="str">
        <f t="shared" si="798"/>
        <v/>
      </c>
      <c r="AK1799" s="214" t="str">
        <f t="shared" si="799"/>
        <v/>
      </c>
      <c r="AL1799" s="214" t="str">
        <f t="shared" si="800"/>
        <v/>
      </c>
      <c r="AM1799" s="214" t="str">
        <f t="shared" si="801"/>
        <v/>
      </c>
      <c r="AN1799" s="213" t="str">
        <f t="shared" si="813"/>
        <v/>
      </c>
      <c r="AO1799" s="213" t="str">
        <f t="shared" si="814"/>
        <v/>
      </c>
      <c r="AP1799" s="213" t="str">
        <f t="shared" si="815"/>
        <v/>
      </c>
      <c r="AQ1799" s="215" t="str">
        <f t="shared" si="816"/>
        <v/>
      </c>
      <c r="AR1799" s="216" t="str">
        <f t="shared" si="817"/>
        <v>BiK81LKWK---07</v>
      </c>
      <c r="AS1799" s="215" t="str">
        <f t="shared" si="818"/>
        <v/>
      </c>
      <c r="AT1799">
        <f t="shared" si="819"/>
        <v>14</v>
      </c>
      <c r="AU1799" s="216" t="str">
        <f t="shared" si="820"/>
        <v>0-0,15 MW, Bonusregeln L und KWK</v>
      </c>
      <c r="AV1799" s="215" t="str">
        <f t="shared" si="821"/>
        <v/>
      </c>
      <c r="AW1799" s="216" t="str">
        <f t="shared" si="822"/>
        <v>Anteil KWK</v>
      </c>
      <c r="AX1799" s="215" t="str">
        <f t="shared" si="823"/>
        <v/>
      </c>
      <c r="AY1799" t="str">
        <f t="shared" si="824"/>
        <v/>
      </c>
      <c r="AZ1799" t="str">
        <f t="shared" si="825"/>
        <v/>
      </c>
    </row>
    <row r="1800" spans="1:52" s="178" customFormat="1" x14ac:dyDescent="0.25">
      <c r="A1800" s="610" t="s">
        <v>2110</v>
      </c>
      <c r="B1800" s="30" t="s">
        <v>5548</v>
      </c>
      <c r="C1800" s="30" t="s">
        <v>1304</v>
      </c>
      <c r="D1800" s="30" t="s">
        <v>6835</v>
      </c>
      <c r="E1800" s="30" t="s">
        <v>4331</v>
      </c>
      <c r="F1800" s="454">
        <f t="shared" si="802"/>
        <v>23.67</v>
      </c>
      <c r="G1800" s="529">
        <v>23.67</v>
      </c>
      <c r="H1800" s="487">
        <f t="shared" si="803"/>
        <v>18.940000000000001</v>
      </c>
      <c r="I1800" s="706"/>
      <c r="J1800" s="669" t="s">
        <v>5805</v>
      </c>
      <c r="K1800" s="15"/>
      <c r="L1800"/>
      <c r="M1800" s="49">
        <f t="shared" si="804"/>
        <v>23.67</v>
      </c>
      <c r="N1800" s="41">
        <v>11.67</v>
      </c>
      <c r="O1800" s="186"/>
      <c r="P1800" s="178" t="s">
        <v>1017</v>
      </c>
      <c r="S1800" s="178" t="s">
        <v>4180</v>
      </c>
      <c r="T1800" s="178" t="s">
        <v>4180</v>
      </c>
      <c r="U1800" s="179"/>
      <c r="W1800" s="180"/>
      <c r="X1800" s="180"/>
      <c r="AA1800" s="180"/>
      <c r="AB1800" s="178" t="s">
        <v>1017</v>
      </c>
      <c r="AD1800" s="201"/>
      <c r="AE1800" s="200"/>
      <c r="AF1800" s="180"/>
      <c r="AG1800" s="201"/>
      <c r="AH1800" s="212" t="str">
        <f t="shared" si="812"/>
        <v/>
      </c>
      <c r="AI1800" s="214" t="str">
        <f t="shared" si="797"/>
        <v/>
      </c>
      <c r="AJ1800" s="214" t="str">
        <f t="shared" si="798"/>
        <v/>
      </c>
      <c r="AK1800" s="214" t="str">
        <f t="shared" si="799"/>
        <v/>
      </c>
      <c r="AL1800" s="214" t="str">
        <f t="shared" si="800"/>
        <v/>
      </c>
      <c r="AM1800" s="214" t="str">
        <f t="shared" si="801"/>
        <v/>
      </c>
      <c r="AN1800" s="213" t="str">
        <f t="shared" si="813"/>
        <v/>
      </c>
      <c r="AO1800" s="213" t="str">
        <f t="shared" si="814"/>
        <v/>
      </c>
      <c r="AP1800" s="213" t="str">
        <f t="shared" si="815"/>
        <v/>
      </c>
      <c r="AQ1800" s="215" t="str">
        <f t="shared" si="816"/>
        <v/>
      </c>
      <c r="AR1800" s="216" t="str">
        <f t="shared" si="817"/>
        <v>BiK81LKA3---07</v>
      </c>
      <c r="AS1800" s="215" t="str">
        <f t="shared" si="818"/>
        <v/>
      </c>
      <c r="AT1800">
        <f t="shared" si="819"/>
        <v>14</v>
      </c>
      <c r="AU1800" s="216" t="str">
        <f t="shared" si="820"/>
        <v>0-0,15 MW, Bonusregeln L und K wenn Anlage 3 erfüllt</v>
      </c>
      <c r="AV1800" s="215" t="str">
        <f t="shared" si="821"/>
        <v/>
      </c>
      <c r="AW1800" s="216" t="str">
        <f t="shared" si="822"/>
        <v>Anteil KWK gemäß Anlage 3</v>
      </c>
      <c r="AX1800" s="215" t="str">
        <f t="shared" si="823"/>
        <v/>
      </c>
      <c r="AY1800" t="str">
        <f t="shared" si="824"/>
        <v/>
      </c>
      <c r="AZ1800" t="str">
        <f t="shared" si="825"/>
        <v/>
      </c>
    </row>
    <row r="1801" spans="1:52" s="178" customFormat="1" x14ac:dyDescent="0.25">
      <c r="A1801" s="610" t="s">
        <v>2111</v>
      </c>
      <c r="B1801" s="30" t="s">
        <v>5548</v>
      </c>
      <c r="C1801" s="30" t="s">
        <v>1304</v>
      </c>
      <c r="D1801" s="30" t="s">
        <v>6836</v>
      </c>
      <c r="E1801" s="30" t="s">
        <v>674</v>
      </c>
      <c r="F1801" s="454">
        <f t="shared" si="802"/>
        <v>23.67</v>
      </c>
      <c r="G1801" s="529">
        <v>23.67</v>
      </c>
      <c r="H1801" s="487">
        <f t="shared" si="803"/>
        <v>18.940000000000001</v>
      </c>
      <c r="I1801" s="706"/>
      <c r="J1801" s="669" t="s">
        <v>5805</v>
      </c>
      <c r="K1801" s="15"/>
      <c r="L1801"/>
      <c r="M1801" s="49">
        <f t="shared" si="804"/>
        <v>23.67</v>
      </c>
      <c r="N1801" s="41">
        <v>11.67</v>
      </c>
      <c r="O1801" s="186"/>
      <c r="P1801" s="177"/>
      <c r="Q1801" s="178" t="s">
        <v>1017</v>
      </c>
      <c r="S1801" s="178" t="s">
        <v>4180</v>
      </c>
      <c r="T1801" s="178" t="s">
        <v>4180</v>
      </c>
      <c r="U1801" s="179"/>
      <c r="W1801" s="180"/>
      <c r="X1801" s="180"/>
      <c r="AA1801" s="180"/>
      <c r="AB1801" s="178" t="s">
        <v>1017</v>
      </c>
      <c r="AD1801" s="201"/>
      <c r="AE1801" s="200"/>
      <c r="AF1801" s="180"/>
      <c r="AG1801" s="201"/>
      <c r="AH1801" s="212" t="str">
        <f t="shared" si="812"/>
        <v/>
      </c>
      <c r="AI1801" s="214" t="str">
        <f t="shared" ref="AI1801:AI1864" si="826">IF(AND($AH1801&lt;&gt;"",AH1801 =AH1800),"Gleich","")</f>
        <v/>
      </c>
      <c r="AJ1801" s="214" t="str">
        <f t="shared" ref="AJ1801:AJ1864" si="827">IF(AND($AH1801&lt;&gt;"",A1801 =A1800),"Gleich","")</f>
        <v/>
      </c>
      <c r="AK1801" s="214" t="str">
        <f t="shared" ref="AK1801:AK1864" si="828">IF(AND($AH1801&lt;&gt;"",D1801 =D1800),"Gleich","")</f>
        <v/>
      </c>
      <c r="AL1801" s="214" t="str">
        <f t="shared" ref="AL1801:AL1864" si="829">IF(AND($AH1801&lt;&gt;"",E1801 =E1800),"Gleich","")</f>
        <v/>
      </c>
      <c r="AM1801" s="214" t="str">
        <f t="shared" ref="AM1801:AM1864" si="830">IF(AND($AH1801&lt;&gt;"",F1801 =F1800),"Gleich","")</f>
        <v/>
      </c>
      <c r="AN1801" s="213" t="str">
        <f t="shared" si="813"/>
        <v/>
      </c>
      <c r="AO1801" s="213" t="str">
        <f t="shared" si="814"/>
        <v/>
      </c>
      <c r="AP1801" s="213" t="str">
        <f t="shared" si="815"/>
        <v/>
      </c>
      <c r="AQ1801" s="215" t="str">
        <f t="shared" si="816"/>
        <v/>
      </c>
      <c r="AR1801" s="216" t="str">
        <f t="shared" si="817"/>
        <v>BiK81LK09---07</v>
      </c>
      <c r="AS1801" s="215" t="str">
        <f t="shared" si="818"/>
        <v/>
      </c>
      <c r="AT1801">
        <f t="shared" si="819"/>
        <v>14</v>
      </c>
      <c r="AU1801" s="216" t="str">
        <f t="shared" si="820"/>
        <v>0-0,15 MW, Bonusregeln L und K erstmals 2009</v>
      </c>
      <c r="AV1801" s="215" t="str">
        <f t="shared" si="821"/>
        <v/>
      </c>
      <c r="AW1801" s="216" t="str">
        <f t="shared" si="822"/>
        <v>Anteil KWK, erstmals 2009</v>
      </c>
      <c r="AX1801" s="215" t="str">
        <f t="shared" si="823"/>
        <v/>
      </c>
      <c r="AY1801" t="str">
        <f t="shared" si="824"/>
        <v/>
      </c>
      <c r="AZ1801" t="str">
        <f t="shared" si="825"/>
        <v/>
      </c>
    </row>
    <row r="1802" spans="1:52" s="178" customFormat="1" x14ac:dyDescent="0.25">
      <c r="A1802" s="610" t="s">
        <v>4949</v>
      </c>
      <c r="B1802" s="30" t="s">
        <v>5548</v>
      </c>
      <c r="C1802" s="30" t="s">
        <v>1304</v>
      </c>
      <c r="D1802" s="30" t="s">
        <v>6837</v>
      </c>
      <c r="E1802" s="30" t="s">
        <v>3567</v>
      </c>
      <c r="F1802" s="454">
        <f t="shared" si="802"/>
        <v>23.64</v>
      </c>
      <c r="G1802" s="529">
        <v>23.64</v>
      </c>
      <c r="H1802" s="487">
        <f t="shared" si="803"/>
        <v>18.91</v>
      </c>
      <c r="I1802" s="706"/>
      <c r="J1802" s="669" t="s">
        <v>5805</v>
      </c>
      <c r="K1802" s="15"/>
      <c r="L1802"/>
      <c r="M1802" s="49">
        <f t="shared" si="804"/>
        <v>23.64</v>
      </c>
      <c r="N1802" s="41">
        <v>11.67</v>
      </c>
      <c r="O1802" s="186"/>
      <c r="P1802" s="177"/>
      <c r="R1802" s="178" t="s">
        <v>1017</v>
      </c>
      <c r="S1802" s="178" t="s">
        <v>4180</v>
      </c>
      <c r="T1802" s="178" t="s">
        <v>4180</v>
      </c>
      <c r="U1802" s="179"/>
      <c r="W1802" s="180"/>
      <c r="X1802" s="180"/>
      <c r="AA1802" s="180"/>
      <c r="AB1802" s="178" t="s">
        <v>1017</v>
      </c>
      <c r="AD1802" s="201"/>
      <c r="AE1802" s="200"/>
      <c r="AF1802" s="180"/>
      <c r="AG1802" s="201"/>
      <c r="AH1802" s="212" t="str">
        <f t="shared" si="812"/>
        <v>2010</v>
      </c>
      <c r="AI1802" s="214" t="str">
        <f t="shared" si="826"/>
        <v/>
      </c>
      <c r="AJ1802" s="214" t="str">
        <f t="shared" si="827"/>
        <v/>
      </c>
      <c r="AK1802" s="214" t="str">
        <f t="shared" si="828"/>
        <v/>
      </c>
      <c r="AL1802" s="214" t="str">
        <f t="shared" si="829"/>
        <v/>
      </c>
      <c r="AM1802" s="214" t="str">
        <f t="shared" si="830"/>
        <v/>
      </c>
      <c r="AN1802" s="213" t="str">
        <f t="shared" si="813"/>
        <v>2010</v>
      </c>
      <c r="AO1802" s="213" t="str">
        <f t="shared" si="814"/>
        <v>2010</v>
      </c>
      <c r="AP1802" s="213" t="str">
        <f t="shared" si="815"/>
        <v>2010</v>
      </c>
      <c r="AQ1802" s="215" t="str">
        <f t="shared" si="816"/>
        <v/>
      </c>
      <c r="AR1802" s="216" t="str">
        <f t="shared" si="817"/>
        <v>BiK81LK10---07</v>
      </c>
      <c r="AS1802" s="215" t="str">
        <f t="shared" si="818"/>
        <v/>
      </c>
      <c r="AT1802">
        <f t="shared" si="819"/>
        <v>14</v>
      </c>
      <c r="AU1802" s="216" t="str">
        <f t="shared" si="820"/>
        <v>0-0,15 MW, Bonusregeln L und K erstmals 2010</v>
      </c>
      <c r="AV1802" s="215" t="str">
        <f t="shared" si="821"/>
        <v/>
      </c>
      <c r="AW1802" s="216" t="str">
        <f t="shared" si="822"/>
        <v>Anteil KWK, erstmals 2010</v>
      </c>
      <c r="AX1802" s="215" t="str">
        <f t="shared" si="823"/>
        <v/>
      </c>
      <c r="AY1802" t="str">
        <f t="shared" si="824"/>
        <v/>
      </c>
      <c r="AZ1802" t="str">
        <f t="shared" si="825"/>
        <v/>
      </c>
    </row>
    <row r="1803" spans="1:52" s="178" customFormat="1" x14ac:dyDescent="0.25">
      <c r="A1803" s="610" t="s">
        <v>3996</v>
      </c>
      <c r="B1803" s="30" t="s">
        <v>5548</v>
      </c>
      <c r="C1803" s="30" t="s">
        <v>1304</v>
      </c>
      <c r="D1803" s="30" t="s">
        <v>6838</v>
      </c>
      <c r="E1803" s="30" t="s">
        <v>3055</v>
      </c>
      <c r="F1803" s="454">
        <f t="shared" si="802"/>
        <v>23.61</v>
      </c>
      <c r="G1803" s="529">
        <v>23.61</v>
      </c>
      <c r="H1803" s="487">
        <f t="shared" si="803"/>
        <v>18.89</v>
      </c>
      <c r="I1803" s="706"/>
      <c r="J1803" s="669" t="s">
        <v>5805</v>
      </c>
      <c r="K1803" s="15"/>
      <c r="L1803"/>
      <c r="M1803" s="49">
        <f t="shared" si="804"/>
        <v>23.61</v>
      </c>
      <c r="N1803" s="41">
        <v>11.67</v>
      </c>
      <c r="O1803" s="186"/>
      <c r="P1803" s="177"/>
      <c r="S1803" s="178" t="s">
        <v>1017</v>
      </c>
      <c r="T1803" s="178" t="s">
        <v>4180</v>
      </c>
      <c r="U1803" s="179"/>
      <c r="W1803" s="180"/>
      <c r="X1803" s="180"/>
      <c r="AA1803" s="180"/>
      <c r="AB1803" s="178" t="s">
        <v>1017</v>
      </c>
      <c r="AD1803" s="201"/>
      <c r="AE1803" s="200"/>
      <c r="AF1803" s="180"/>
      <c r="AG1803" s="201"/>
      <c r="AH1803" s="212" t="str">
        <f t="shared" si="812"/>
        <v>2011</v>
      </c>
      <c r="AI1803" s="214" t="str">
        <f t="shared" si="826"/>
        <v/>
      </c>
      <c r="AJ1803" s="214" t="str">
        <f t="shared" si="827"/>
        <v/>
      </c>
      <c r="AK1803" s="214" t="str">
        <f t="shared" si="828"/>
        <v/>
      </c>
      <c r="AL1803" s="214" t="str">
        <f t="shared" si="829"/>
        <v/>
      </c>
      <c r="AM1803" s="214" t="str">
        <f t="shared" si="830"/>
        <v/>
      </c>
      <c r="AN1803" s="213" t="str">
        <f t="shared" si="813"/>
        <v>2011</v>
      </c>
      <c r="AO1803" s="213" t="str">
        <f t="shared" si="814"/>
        <v>2011</v>
      </c>
      <c r="AP1803" s="213" t="str">
        <f t="shared" si="815"/>
        <v>2011</v>
      </c>
      <c r="AQ1803" s="215" t="str">
        <f t="shared" si="816"/>
        <v/>
      </c>
      <c r="AR1803" s="216" t="str">
        <f t="shared" si="817"/>
        <v>BiK81LK11---07</v>
      </c>
      <c r="AS1803" s="215" t="str">
        <f t="shared" si="818"/>
        <v/>
      </c>
      <c r="AT1803">
        <f t="shared" si="819"/>
        <v>14</v>
      </c>
      <c r="AU1803" s="216" t="str">
        <f t="shared" si="820"/>
        <v>0-0,15 MW, Bonusregeln L und K erstmals 2011</v>
      </c>
      <c r="AV1803" s="215" t="str">
        <f t="shared" si="821"/>
        <v/>
      </c>
      <c r="AW1803" s="216" t="str">
        <f t="shared" si="822"/>
        <v>Anteil KWK, erstmals 2011</v>
      </c>
      <c r="AX1803" s="215" t="str">
        <f t="shared" si="823"/>
        <v/>
      </c>
      <c r="AY1803" t="str">
        <f t="shared" si="824"/>
        <v>x</v>
      </c>
      <c r="AZ1803" t="str">
        <f t="shared" si="825"/>
        <v/>
      </c>
    </row>
    <row r="1804" spans="1:52" s="178" customFormat="1" x14ac:dyDescent="0.25">
      <c r="A1804" s="625" t="s">
        <v>1818</v>
      </c>
      <c r="B1804" s="219" t="s">
        <v>5548</v>
      </c>
      <c r="C1804" s="219" t="s">
        <v>1304</v>
      </c>
      <c r="D1804" s="219" t="s">
        <v>6839</v>
      </c>
      <c r="E1804" s="219" t="s">
        <v>1980</v>
      </c>
      <c r="F1804" s="455">
        <f t="shared" si="802"/>
        <v>23.58</v>
      </c>
      <c r="G1804" s="530">
        <v>23.58</v>
      </c>
      <c r="H1804" s="488">
        <f t="shared" si="803"/>
        <v>18.86</v>
      </c>
      <c r="I1804" s="707"/>
      <c r="J1804" s="669" t="s">
        <v>5805</v>
      </c>
      <c r="K1804" s="15"/>
      <c r="L1804"/>
      <c r="M1804" s="49">
        <f t="shared" si="804"/>
        <v>23.58</v>
      </c>
      <c r="N1804" s="41">
        <v>11.67</v>
      </c>
      <c r="O1804" s="186"/>
      <c r="P1804" s="177"/>
      <c r="S1804" s="178" t="s">
        <v>4180</v>
      </c>
      <c r="T1804" s="178" t="s">
        <v>1017</v>
      </c>
      <c r="U1804" s="179"/>
      <c r="W1804" s="180"/>
      <c r="X1804" s="180"/>
      <c r="AA1804" s="180"/>
      <c r="AB1804" s="178" t="s">
        <v>1017</v>
      </c>
      <c r="AD1804" s="201"/>
      <c r="AE1804" s="200"/>
      <c r="AF1804" s="180"/>
      <c r="AG1804" s="201"/>
      <c r="AH1804" s="217" t="s">
        <v>4179</v>
      </c>
      <c r="AI1804" s="214" t="str">
        <f t="shared" si="826"/>
        <v/>
      </c>
      <c r="AJ1804" s="214" t="str">
        <f t="shared" si="827"/>
        <v/>
      </c>
      <c r="AK1804" s="214" t="str">
        <f t="shared" si="828"/>
        <v/>
      </c>
      <c r="AL1804" s="214" t="str">
        <f t="shared" si="829"/>
        <v/>
      </c>
      <c r="AM1804" s="214" t="str">
        <f t="shared" si="830"/>
        <v/>
      </c>
      <c r="AN1804" s="213" t="str">
        <f t="shared" si="813"/>
        <v>2012</v>
      </c>
      <c r="AO1804" s="213" t="str">
        <f t="shared" si="814"/>
        <v>2012</v>
      </c>
      <c r="AP1804" s="213" t="str">
        <f t="shared" si="815"/>
        <v>2012</v>
      </c>
      <c r="AQ1804" s="215" t="str">
        <f t="shared" si="816"/>
        <v/>
      </c>
      <c r="AR1804" s="216" t="str">
        <f t="shared" si="817"/>
        <v>BiK81LK12---07</v>
      </c>
      <c r="AS1804" s="215" t="str">
        <f t="shared" si="818"/>
        <v/>
      </c>
      <c r="AT1804">
        <f t="shared" si="819"/>
        <v>14</v>
      </c>
      <c r="AU1804" s="216" t="str">
        <f t="shared" si="820"/>
        <v>0-0,15 MW, Bonusregeln L und K erstmals 2012</v>
      </c>
      <c r="AV1804" s="215" t="str">
        <f t="shared" si="821"/>
        <v/>
      </c>
      <c r="AW1804" s="216" t="str">
        <f t="shared" si="822"/>
        <v>Anteil KWK, erstmals 2012</v>
      </c>
      <c r="AX1804" s="215" t="str">
        <f t="shared" si="823"/>
        <v/>
      </c>
      <c r="AY1804" t="str">
        <f t="shared" si="824"/>
        <v/>
      </c>
      <c r="AZ1804" t="str">
        <f t="shared" si="825"/>
        <v>x</v>
      </c>
    </row>
    <row r="1805" spans="1:52" s="178" customFormat="1" x14ac:dyDescent="0.25">
      <c r="A1805" s="610" t="s">
        <v>4454</v>
      </c>
      <c r="B1805" s="30" t="s">
        <v>5548</v>
      </c>
      <c r="C1805" s="30" t="s">
        <v>1304</v>
      </c>
      <c r="D1805" s="30" t="s">
        <v>6840</v>
      </c>
      <c r="E1805" s="30" t="s">
        <v>4810</v>
      </c>
      <c r="F1805" s="454">
        <f t="shared" si="802"/>
        <v>21.67</v>
      </c>
      <c r="G1805" s="529">
        <v>21.67</v>
      </c>
      <c r="H1805" s="487">
        <f t="shared" si="803"/>
        <v>17.34</v>
      </c>
      <c r="I1805" s="706"/>
      <c r="J1805" s="669" t="s">
        <v>5805</v>
      </c>
      <c r="K1805" s="15"/>
      <c r="L1805"/>
      <c r="M1805" s="49">
        <f t="shared" si="804"/>
        <v>21.67</v>
      </c>
      <c r="N1805" s="41">
        <v>11.67</v>
      </c>
      <c r="O1805" s="187"/>
      <c r="P1805" s="183"/>
      <c r="Q1805" s="184"/>
      <c r="R1805" s="184"/>
      <c r="S1805" s="184" t="s">
        <v>4180</v>
      </c>
      <c r="T1805" s="178" t="s">
        <v>4180</v>
      </c>
      <c r="U1805" s="185" t="s">
        <v>1017</v>
      </c>
      <c r="V1805" s="184"/>
      <c r="W1805" s="180"/>
      <c r="X1805" s="180"/>
      <c r="AA1805" s="180"/>
      <c r="AB1805" s="184" t="s">
        <v>1017</v>
      </c>
      <c r="AC1805" s="184"/>
      <c r="AD1805" s="201"/>
      <c r="AE1805" s="181"/>
      <c r="AF1805" s="180"/>
      <c r="AG1805" s="201"/>
      <c r="AH1805" s="212" t="str">
        <f t="shared" ref="AH1805:AH1810" si="831">IF(ISERROR(SEARCH("K erstmals 201",D1805)),"",RIGHT(D1805,4))</f>
        <v/>
      </c>
      <c r="AI1805" s="214" t="str">
        <f t="shared" si="826"/>
        <v/>
      </c>
      <c r="AJ1805" s="214" t="str">
        <f t="shared" si="827"/>
        <v/>
      </c>
      <c r="AK1805" s="214" t="str">
        <f t="shared" si="828"/>
        <v/>
      </c>
      <c r="AL1805" s="214" t="str">
        <f t="shared" si="829"/>
        <v/>
      </c>
      <c r="AM1805" s="214" t="str">
        <f t="shared" si="830"/>
        <v/>
      </c>
      <c r="AN1805" s="213" t="str">
        <f t="shared" si="813"/>
        <v/>
      </c>
      <c r="AO1805" s="213" t="str">
        <f t="shared" si="814"/>
        <v/>
      </c>
      <c r="AP1805" s="213" t="str">
        <f t="shared" si="815"/>
        <v/>
      </c>
      <c r="AQ1805" s="215" t="str">
        <f t="shared" si="816"/>
        <v/>
      </c>
      <c r="AR1805" s="216" t="str">
        <f t="shared" si="817"/>
        <v>BiK81Ly-----07</v>
      </c>
      <c r="AS1805" s="215" t="str">
        <f t="shared" si="818"/>
        <v/>
      </c>
      <c r="AT1805">
        <f t="shared" si="819"/>
        <v>14</v>
      </c>
      <c r="AU1805" s="216" t="str">
        <f t="shared" si="820"/>
        <v>0-0,15 MW, Bonusregeln L, y</v>
      </c>
      <c r="AV1805" s="215" t="str">
        <f t="shared" si="821"/>
        <v/>
      </c>
      <c r="AW1805" s="216" t="str">
        <f t="shared" si="822"/>
        <v>Anteil Nicht-KWK</v>
      </c>
      <c r="AX1805" s="215" t="str">
        <f t="shared" si="823"/>
        <v/>
      </c>
      <c r="AY1805" t="str">
        <f t="shared" si="824"/>
        <v/>
      </c>
      <c r="AZ1805" t="str">
        <f t="shared" si="825"/>
        <v/>
      </c>
    </row>
    <row r="1806" spans="1:52" s="178" customFormat="1" x14ac:dyDescent="0.25">
      <c r="A1806" s="610" t="s">
        <v>4455</v>
      </c>
      <c r="B1806" s="30" t="s">
        <v>5548</v>
      </c>
      <c r="C1806" s="30" t="s">
        <v>1304</v>
      </c>
      <c r="D1806" s="30" t="s">
        <v>6904</v>
      </c>
      <c r="E1806" s="30" t="s">
        <v>4812</v>
      </c>
      <c r="F1806" s="454">
        <f t="shared" ref="F1806:F1869" si="832">M1806</f>
        <v>23.67</v>
      </c>
      <c r="G1806" s="529">
        <v>23.67</v>
      </c>
      <c r="H1806" s="487">
        <f t="shared" ref="H1806:H1869" si="833">IF(ISNUMBER(G1806),ROUND(0.8*G1806,2),"")</f>
        <v>18.940000000000001</v>
      </c>
      <c r="I1806" s="706"/>
      <c r="J1806" s="669" t="s">
        <v>5805</v>
      </c>
      <c r="K1806" s="15"/>
      <c r="L1806"/>
      <c r="M1806" s="49">
        <f t="shared" ref="M1806:M1869" si="834">N1806+SUMIF(O1806:AG1806,"x",O$1741:AG$1741)</f>
        <v>23.67</v>
      </c>
      <c r="N1806" s="41">
        <v>11.67</v>
      </c>
      <c r="O1806" s="187" t="s">
        <v>1017</v>
      </c>
      <c r="P1806" s="183"/>
      <c r="Q1806" s="184"/>
      <c r="R1806" s="184"/>
      <c r="S1806" s="184" t="s">
        <v>4180</v>
      </c>
      <c r="T1806" s="178" t="s">
        <v>4180</v>
      </c>
      <c r="U1806" s="185" t="s">
        <v>1017</v>
      </c>
      <c r="V1806" s="184"/>
      <c r="W1806" s="180"/>
      <c r="X1806" s="180"/>
      <c r="AA1806" s="180"/>
      <c r="AB1806" s="184" t="s">
        <v>1017</v>
      </c>
      <c r="AC1806" s="184"/>
      <c r="AD1806" s="201"/>
      <c r="AE1806" s="181"/>
      <c r="AF1806" s="180"/>
      <c r="AG1806" s="201"/>
      <c r="AH1806" s="212" t="str">
        <f t="shared" si="831"/>
        <v/>
      </c>
      <c r="AI1806" s="214" t="str">
        <f t="shared" si="826"/>
        <v/>
      </c>
      <c r="AJ1806" s="214" t="str">
        <f t="shared" si="827"/>
        <v/>
      </c>
      <c r="AK1806" s="214" t="str">
        <f t="shared" si="828"/>
        <v/>
      </c>
      <c r="AL1806" s="214" t="str">
        <f t="shared" si="829"/>
        <v/>
      </c>
      <c r="AM1806" s="214" t="str">
        <f t="shared" si="830"/>
        <v/>
      </c>
      <c r="AN1806" s="213" t="str">
        <f t="shared" si="813"/>
        <v/>
      </c>
      <c r="AO1806" s="213" t="str">
        <f t="shared" si="814"/>
        <v/>
      </c>
      <c r="AP1806" s="213" t="str">
        <f t="shared" si="815"/>
        <v/>
      </c>
      <c r="AQ1806" s="215" t="str">
        <f t="shared" si="816"/>
        <v/>
      </c>
      <c r="AR1806" s="216" t="str">
        <f t="shared" si="817"/>
        <v>BiK81LKWKy--07</v>
      </c>
      <c r="AS1806" s="215" t="str">
        <f t="shared" si="818"/>
        <v/>
      </c>
      <c r="AT1806">
        <f t="shared" si="819"/>
        <v>14</v>
      </c>
      <c r="AU1806" s="216" t="str">
        <f t="shared" si="820"/>
        <v>0-0,15 MW, Bonusregeln L, y und KWK</v>
      </c>
      <c r="AV1806" s="215" t="str">
        <f t="shared" si="821"/>
        <v/>
      </c>
      <c r="AW1806" s="216" t="str">
        <f t="shared" si="822"/>
        <v>Anteil KWK</v>
      </c>
      <c r="AX1806" s="215" t="str">
        <f t="shared" si="823"/>
        <v/>
      </c>
      <c r="AY1806" t="str">
        <f t="shared" si="824"/>
        <v/>
      </c>
      <c r="AZ1806" t="str">
        <f t="shared" si="825"/>
        <v/>
      </c>
    </row>
    <row r="1807" spans="1:52" s="178" customFormat="1" x14ac:dyDescent="0.25">
      <c r="A1807" s="610" t="s">
        <v>4456</v>
      </c>
      <c r="B1807" s="30" t="s">
        <v>5548</v>
      </c>
      <c r="C1807" s="30" t="s">
        <v>1304</v>
      </c>
      <c r="D1807" s="109" t="s">
        <v>6841</v>
      </c>
      <c r="E1807" s="30" t="s">
        <v>4331</v>
      </c>
      <c r="F1807" s="454">
        <f t="shared" si="832"/>
        <v>24.67</v>
      </c>
      <c r="G1807" s="529">
        <v>24.67</v>
      </c>
      <c r="H1807" s="487">
        <f t="shared" si="833"/>
        <v>19.739999999999998</v>
      </c>
      <c r="I1807" s="706"/>
      <c r="J1807" s="669" t="s">
        <v>5805</v>
      </c>
      <c r="K1807" s="15"/>
      <c r="L1807"/>
      <c r="M1807" s="49">
        <f t="shared" si="834"/>
        <v>24.67</v>
      </c>
      <c r="N1807" s="41">
        <v>11.67</v>
      </c>
      <c r="O1807" s="187"/>
      <c r="P1807" s="184" t="s">
        <v>1017</v>
      </c>
      <c r="Q1807" s="184"/>
      <c r="R1807" s="184"/>
      <c r="S1807" s="184" t="s">
        <v>4180</v>
      </c>
      <c r="T1807" s="178" t="s">
        <v>4180</v>
      </c>
      <c r="U1807" s="185" t="s">
        <v>1017</v>
      </c>
      <c r="V1807" s="184"/>
      <c r="W1807" s="180"/>
      <c r="X1807" s="180"/>
      <c r="AA1807" s="180"/>
      <c r="AB1807" s="184" t="s">
        <v>1017</v>
      </c>
      <c r="AC1807" s="184"/>
      <c r="AD1807" s="201"/>
      <c r="AE1807" s="181"/>
      <c r="AF1807" s="180"/>
      <c r="AG1807" s="201"/>
      <c r="AH1807" s="212" t="str">
        <f t="shared" si="831"/>
        <v/>
      </c>
      <c r="AI1807" s="214" t="str">
        <f t="shared" si="826"/>
        <v/>
      </c>
      <c r="AJ1807" s="214" t="str">
        <f t="shared" si="827"/>
        <v/>
      </c>
      <c r="AK1807" s="214" t="str">
        <f t="shared" si="828"/>
        <v/>
      </c>
      <c r="AL1807" s="214" t="str">
        <f t="shared" si="829"/>
        <v/>
      </c>
      <c r="AM1807" s="214" t="str">
        <f t="shared" si="830"/>
        <v/>
      </c>
      <c r="AN1807" s="213" t="str">
        <f t="shared" si="813"/>
        <v/>
      </c>
      <c r="AO1807" s="213" t="str">
        <f t="shared" si="814"/>
        <v/>
      </c>
      <c r="AP1807" s="213" t="str">
        <f t="shared" si="815"/>
        <v/>
      </c>
      <c r="AQ1807" s="215" t="str">
        <f t="shared" si="816"/>
        <v/>
      </c>
      <c r="AR1807" s="216" t="str">
        <f t="shared" si="817"/>
        <v>BiK81LKA3y--07</v>
      </c>
      <c r="AS1807" s="215" t="str">
        <f t="shared" si="818"/>
        <v/>
      </c>
      <c r="AT1807">
        <f t="shared" si="819"/>
        <v>14</v>
      </c>
      <c r="AU1807" s="216" t="str">
        <f t="shared" si="820"/>
        <v>0-0,15 MW, Bonusregeln L, y und K wenn Anlage 3 erfüllt</v>
      </c>
      <c r="AV1807" s="215" t="str">
        <f t="shared" si="821"/>
        <v/>
      </c>
      <c r="AW1807" s="216" t="str">
        <f t="shared" si="822"/>
        <v>Anteil KWK gemäß Anlage 3</v>
      </c>
      <c r="AX1807" s="215" t="str">
        <f t="shared" si="823"/>
        <v/>
      </c>
      <c r="AY1807" t="str">
        <f t="shared" si="824"/>
        <v/>
      </c>
      <c r="AZ1807" t="str">
        <f t="shared" si="825"/>
        <v/>
      </c>
    </row>
    <row r="1808" spans="1:52" s="178" customFormat="1" x14ac:dyDescent="0.25">
      <c r="A1808" s="610" t="s">
        <v>4457</v>
      </c>
      <c r="B1808" s="30" t="s">
        <v>5548</v>
      </c>
      <c r="C1808" s="30" t="s">
        <v>1304</v>
      </c>
      <c r="D1808" s="30" t="s">
        <v>6842</v>
      </c>
      <c r="E1808" s="30" t="s">
        <v>674</v>
      </c>
      <c r="F1808" s="454">
        <f t="shared" si="832"/>
        <v>24.67</v>
      </c>
      <c r="G1808" s="529">
        <v>24.67</v>
      </c>
      <c r="H1808" s="487">
        <f t="shared" si="833"/>
        <v>19.739999999999998</v>
      </c>
      <c r="I1808" s="706"/>
      <c r="J1808" s="669" t="s">
        <v>5805</v>
      </c>
      <c r="K1808" s="15"/>
      <c r="L1808"/>
      <c r="M1808" s="49">
        <f t="shared" si="834"/>
        <v>24.67</v>
      </c>
      <c r="N1808" s="41">
        <v>11.67</v>
      </c>
      <c r="O1808" s="187"/>
      <c r="P1808" s="183"/>
      <c r="Q1808" s="184" t="s">
        <v>1017</v>
      </c>
      <c r="R1808" s="184"/>
      <c r="S1808" s="184" t="s">
        <v>4180</v>
      </c>
      <c r="T1808" s="178" t="s">
        <v>4180</v>
      </c>
      <c r="U1808" s="185" t="s">
        <v>1017</v>
      </c>
      <c r="V1808" s="184"/>
      <c r="W1808" s="180"/>
      <c r="X1808" s="180"/>
      <c r="AA1808" s="180"/>
      <c r="AB1808" s="184" t="s">
        <v>1017</v>
      </c>
      <c r="AC1808" s="184"/>
      <c r="AD1808" s="201"/>
      <c r="AE1808" s="181"/>
      <c r="AF1808" s="180"/>
      <c r="AG1808" s="201"/>
      <c r="AH1808" s="212" t="str">
        <f t="shared" si="831"/>
        <v/>
      </c>
      <c r="AI1808" s="214" t="str">
        <f t="shared" si="826"/>
        <v/>
      </c>
      <c r="AJ1808" s="214" t="str">
        <f t="shared" si="827"/>
        <v/>
      </c>
      <c r="AK1808" s="214" t="str">
        <f t="shared" si="828"/>
        <v/>
      </c>
      <c r="AL1808" s="214" t="str">
        <f t="shared" si="829"/>
        <v/>
      </c>
      <c r="AM1808" s="214" t="str">
        <f t="shared" si="830"/>
        <v/>
      </c>
      <c r="AN1808" s="213" t="str">
        <f t="shared" si="813"/>
        <v/>
      </c>
      <c r="AO1808" s="213" t="str">
        <f t="shared" si="814"/>
        <v/>
      </c>
      <c r="AP1808" s="213" t="str">
        <f t="shared" si="815"/>
        <v/>
      </c>
      <c r="AQ1808" s="215" t="str">
        <f t="shared" si="816"/>
        <v/>
      </c>
      <c r="AR1808" s="216" t="str">
        <f t="shared" si="817"/>
        <v>BiK81LK09y--07</v>
      </c>
      <c r="AS1808" s="215" t="str">
        <f t="shared" si="818"/>
        <v/>
      </c>
      <c r="AT1808">
        <f t="shared" si="819"/>
        <v>14</v>
      </c>
      <c r="AU1808" s="216" t="str">
        <f t="shared" si="820"/>
        <v>0-0,15 MW, Bonusregeln L, y und K erstmals 2009</v>
      </c>
      <c r="AV1808" s="215" t="str">
        <f t="shared" si="821"/>
        <v/>
      </c>
      <c r="AW1808" s="216" t="str">
        <f t="shared" si="822"/>
        <v>Anteil KWK, erstmals 2009</v>
      </c>
      <c r="AX1808" s="215" t="str">
        <f t="shared" si="823"/>
        <v/>
      </c>
      <c r="AY1808" t="str">
        <f t="shared" si="824"/>
        <v/>
      </c>
      <c r="AZ1808" t="str">
        <f t="shared" si="825"/>
        <v/>
      </c>
    </row>
    <row r="1809" spans="1:52" s="178" customFormat="1" x14ac:dyDescent="0.25">
      <c r="A1809" s="610" t="s">
        <v>4950</v>
      </c>
      <c r="B1809" s="30" t="s">
        <v>5548</v>
      </c>
      <c r="C1809" s="30" t="s">
        <v>1304</v>
      </c>
      <c r="D1809" s="30" t="s">
        <v>6843</v>
      </c>
      <c r="E1809" s="30" t="s">
        <v>3567</v>
      </c>
      <c r="F1809" s="454">
        <f t="shared" si="832"/>
        <v>24.64</v>
      </c>
      <c r="G1809" s="529">
        <v>24.64</v>
      </c>
      <c r="H1809" s="487">
        <f t="shared" si="833"/>
        <v>19.71</v>
      </c>
      <c r="I1809" s="706"/>
      <c r="J1809" s="669" t="s">
        <v>5805</v>
      </c>
      <c r="K1809" s="15"/>
      <c r="L1809"/>
      <c r="M1809" s="49">
        <f t="shared" si="834"/>
        <v>24.64</v>
      </c>
      <c r="N1809" s="41">
        <v>11.67</v>
      </c>
      <c r="O1809" s="187"/>
      <c r="P1809" s="183"/>
      <c r="Q1809" s="184"/>
      <c r="R1809" s="184" t="s">
        <v>1017</v>
      </c>
      <c r="S1809" s="184" t="s">
        <v>4180</v>
      </c>
      <c r="T1809" s="178" t="s">
        <v>4180</v>
      </c>
      <c r="U1809" s="185" t="s">
        <v>1017</v>
      </c>
      <c r="V1809" s="184"/>
      <c r="W1809" s="180"/>
      <c r="X1809" s="180"/>
      <c r="AA1809" s="180"/>
      <c r="AB1809" s="184" t="s">
        <v>1017</v>
      </c>
      <c r="AC1809" s="184"/>
      <c r="AD1809" s="201"/>
      <c r="AE1809" s="181"/>
      <c r="AF1809" s="180"/>
      <c r="AG1809" s="201"/>
      <c r="AH1809" s="212" t="str">
        <f t="shared" si="831"/>
        <v>2010</v>
      </c>
      <c r="AI1809" s="214" t="str">
        <f t="shared" si="826"/>
        <v/>
      </c>
      <c r="AJ1809" s="214" t="str">
        <f t="shared" si="827"/>
        <v/>
      </c>
      <c r="AK1809" s="214" t="str">
        <f t="shared" si="828"/>
        <v/>
      </c>
      <c r="AL1809" s="214" t="str">
        <f t="shared" si="829"/>
        <v/>
      </c>
      <c r="AM1809" s="214" t="str">
        <f t="shared" si="830"/>
        <v/>
      </c>
      <c r="AN1809" s="213" t="str">
        <f t="shared" si="813"/>
        <v>2010</v>
      </c>
      <c r="AO1809" s="213" t="str">
        <f t="shared" si="814"/>
        <v>2010</v>
      </c>
      <c r="AP1809" s="213" t="str">
        <f t="shared" si="815"/>
        <v>2010</v>
      </c>
      <c r="AQ1809" s="215" t="str">
        <f t="shared" si="816"/>
        <v/>
      </c>
      <c r="AR1809" s="216" t="str">
        <f t="shared" si="817"/>
        <v>BiK81LK10y--07</v>
      </c>
      <c r="AS1809" s="215" t="str">
        <f t="shared" si="818"/>
        <v/>
      </c>
      <c r="AT1809">
        <f t="shared" si="819"/>
        <v>14</v>
      </c>
      <c r="AU1809" s="216" t="str">
        <f t="shared" si="820"/>
        <v>0-0,15 MW, Bonusregeln L, y und K erstmals 2010</v>
      </c>
      <c r="AV1809" s="215" t="str">
        <f t="shared" si="821"/>
        <v/>
      </c>
      <c r="AW1809" s="216" t="str">
        <f t="shared" si="822"/>
        <v>Anteil KWK, erstmals 2010</v>
      </c>
      <c r="AX1809" s="215" t="str">
        <f t="shared" si="823"/>
        <v/>
      </c>
      <c r="AY1809" t="str">
        <f t="shared" si="824"/>
        <v/>
      </c>
      <c r="AZ1809" t="str">
        <f t="shared" si="825"/>
        <v/>
      </c>
    </row>
    <row r="1810" spans="1:52" s="178" customFormat="1" x14ac:dyDescent="0.25">
      <c r="A1810" s="610" t="s">
        <v>3997</v>
      </c>
      <c r="B1810" s="30" t="s">
        <v>5548</v>
      </c>
      <c r="C1810" s="30" t="s">
        <v>1304</v>
      </c>
      <c r="D1810" s="30" t="s">
        <v>6844</v>
      </c>
      <c r="E1810" s="30" t="s">
        <v>3055</v>
      </c>
      <c r="F1810" s="454">
        <f t="shared" si="832"/>
        <v>24.61</v>
      </c>
      <c r="G1810" s="529">
        <v>24.61</v>
      </c>
      <c r="H1810" s="487">
        <f t="shared" si="833"/>
        <v>19.690000000000001</v>
      </c>
      <c r="I1810" s="706"/>
      <c r="J1810" s="669" t="s">
        <v>5805</v>
      </c>
      <c r="K1810" s="15"/>
      <c r="L1810"/>
      <c r="M1810" s="49">
        <f t="shared" si="834"/>
        <v>24.61</v>
      </c>
      <c r="N1810" s="41">
        <v>11.67</v>
      </c>
      <c r="O1810" s="187"/>
      <c r="P1810" s="183"/>
      <c r="Q1810" s="184"/>
      <c r="S1810" s="184" t="s">
        <v>1017</v>
      </c>
      <c r="T1810" s="178" t="s">
        <v>4180</v>
      </c>
      <c r="U1810" s="185" t="s">
        <v>1017</v>
      </c>
      <c r="V1810" s="184"/>
      <c r="W1810" s="180"/>
      <c r="X1810" s="180"/>
      <c r="AA1810" s="180"/>
      <c r="AB1810" s="184" t="s">
        <v>1017</v>
      </c>
      <c r="AC1810" s="184"/>
      <c r="AD1810" s="201"/>
      <c r="AE1810" s="181"/>
      <c r="AF1810" s="180"/>
      <c r="AG1810" s="201"/>
      <c r="AH1810" s="212" t="str">
        <f t="shared" si="831"/>
        <v>2011</v>
      </c>
      <c r="AI1810" s="214" t="str">
        <f t="shared" si="826"/>
        <v/>
      </c>
      <c r="AJ1810" s="214" t="str">
        <f t="shared" si="827"/>
        <v/>
      </c>
      <c r="AK1810" s="214" t="str">
        <f t="shared" si="828"/>
        <v/>
      </c>
      <c r="AL1810" s="214" t="str">
        <f t="shared" si="829"/>
        <v/>
      </c>
      <c r="AM1810" s="214" t="str">
        <f t="shared" si="830"/>
        <v/>
      </c>
      <c r="AN1810" s="213" t="str">
        <f t="shared" si="813"/>
        <v>2011</v>
      </c>
      <c r="AO1810" s="213" t="str">
        <f t="shared" si="814"/>
        <v>2011</v>
      </c>
      <c r="AP1810" s="213" t="str">
        <f t="shared" si="815"/>
        <v>2011</v>
      </c>
      <c r="AQ1810" s="215" t="str">
        <f t="shared" si="816"/>
        <v/>
      </c>
      <c r="AR1810" s="216" t="str">
        <f t="shared" si="817"/>
        <v>BiK81LK11y--07</v>
      </c>
      <c r="AS1810" s="215" t="str">
        <f t="shared" si="818"/>
        <v/>
      </c>
      <c r="AT1810">
        <f t="shared" si="819"/>
        <v>14</v>
      </c>
      <c r="AU1810" s="216" t="str">
        <f t="shared" si="820"/>
        <v>0-0,15 MW, Bonusregeln L, y und K erstmals 2011</v>
      </c>
      <c r="AV1810" s="215" t="str">
        <f t="shared" si="821"/>
        <v/>
      </c>
      <c r="AW1810" s="216" t="str">
        <f t="shared" si="822"/>
        <v>Anteil KWK, erstmals 2011</v>
      </c>
      <c r="AX1810" s="215" t="str">
        <f t="shared" si="823"/>
        <v/>
      </c>
      <c r="AY1810" t="str">
        <f t="shared" si="824"/>
        <v>x</v>
      </c>
      <c r="AZ1810" t="str">
        <f t="shared" si="825"/>
        <v/>
      </c>
    </row>
    <row r="1811" spans="1:52" s="178" customFormat="1" x14ac:dyDescent="0.25">
      <c r="A1811" s="625" t="s">
        <v>1819</v>
      </c>
      <c r="B1811" s="219" t="s">
        <v>5548</v>
      </c>
      <c r="C1811" s="219" t="s">
        <v>1304</v>
      </c>
      <c r="D1811" s="219" t="s">
        <v>6845</v>
      </c>
      <c r="E1811" s="219" t="s">
        <v>1980</v>
      </c>
      <c r="F1811" s="455">
        <f t="shared" si="832"/>
        <v>24.58</v>
      </c>
      <c r="G1811" s="530">
        <v>24.58</v>
      </c>
      <c r="H1811" s="488">
        <f t="shared" si="833"/>
        <v>19.66</v>
      </c>
      <c r="I1811" s="707"/>
      <c r="J1811" s="669" t="s">
        <v>5805</v>
      </c>
      <c r="K1811" s="15"/>
      <c r="L1811"/>
      <c r="M1811" s="49">
        <f t="shared" si="834"/>
        <v>24.58</v>
      </c>
      <c r="N1811" s="41">
        <v>11.67</v>
      </c>
      <c r="O1811" s="187"/>
      <c r="P1811" s="183"/>
      <c r="Q1811" s="184"/>
      <c r="S1811" s="184" t="s">
        <v>4180</v>
      </c>
      <c r="T1811" s="178" t="s">
        <v>1017</v>
      </c>
      <c r="U1811" s="185" t="s">
        <v>1017</v>
      </c>
      <c r="V1811" s="184"/>
      <c r="W1811" s="180"/>
      <c r="X1811" s="180"/>
      <c r="AA1811" s="180"/>
      <c r="AB1811" s="184" t="s">
        <v>1017</v>
      </c>
      <c r="AC1811" s="184"/>
      <c r="AD1811" s="201"/>
      <c r="AE1811" s="181"/>
      <c r="AF1811" s="180"/>
      <c r="AG1811" s="201"/>
      <c r="AH1811" s="217" t="s">
        <v>4179</v>
      </c>
      <c r="AI1811" s="214" t="str">
        <f t="shared" si="826"/>
        <v/>
      </c>
      <c r="AJ1811" s="214" t="str">
        <f t="shared" si="827"/>
        <v/>
      </c>
      <c r="AK1811" s="214" t="str">
        <f t="shared" si="828"/>
        <v/>
      </c>
      <c r="AL1811" s="214" t="str">
        <f t="shared" si="829"/>
        <v/>
      </c>
      <c r="AM1811" s="214" t="str">
        <f t="shared" si="830"/>
        <v/>
      </c>
      <c r="AN1811" s="213" t="str">
        <f t="shared" si="813"/>
        <v>2012</v>
      </c>
      <c r="AO1811" s="213" t="str">
        <f t="shared" si="814"/>
        <v>2012</v>
      </c>
      <c r="AP1811" s="213" t="str">
        <f t="shared" si="815"/>
        <v>2012</v>
      </c>
      <c r="AQ1811" s="215" t="str">
        <f t="shared" si="816"/>
        <v/>
      </c>
      <c r="AR1811" s="216" t="str">
        <f t="shared" si="817"/>
        <v>BiK81LK12y--07</v>
      </c>
      <c r="AS1811" s="215" t="str">
        <f t="shared" si="818"/>
        <v/>
      </c>
      <c r="AT1811">
        <f t="shared" si="819"/>
        <v>14</v>
      </c>
      <c r="AU1811" s="216" t="str">
        <f t="shared" si="820"/>
        <v>0-0,15 MW, Bonusregeln L, y und K erstmals 2012</v>
      </c>
      <c r="AV1811" s="215" t="str">
        <f t="shared" si="821"/>
        <v/>
      </c>
      <c r="AW1811" s="216" t="str">
        <f t="shared" si="822"/>
        <v>Anteil KWK, erstmals 2012</v>
      </c>
      <c r="AX1811" s="215" t="str">
        <f t="shared" si="823"/>
        <v/>
      </c>
      <c r="AY1811" t="str">
        <f t="shared" si="824"/>
        <v/>
      </c>
      <c r="AZ1811" t="str">
        <f t="shared" si="825"/>
        <v>x</v>
      </c>
    </row>
    <row r="1812" spans="1:52" s="178" customFormat="1" x14ac:dyDescent="0.25">
      <c r="A1812" s="610" t="s">
        <v>4458</v>
      </c>
      <c r="B1812" s="30" t="s">
        <v>5548</v>
      </c>
      <c r="C1812" s="30" t="s">
        <v>1304</v>
      </c>
      <c r="D1812" s="30" t="s">
        <v>6846</v>
      </c>
      <c r="E1812" s="30" t="s">
        <v>4810</v>
      </c>
      <c r="F1812" s="454">
        <f t="shared" si="832"/>
        <v>24.67</v>
      </c>
      <c r="G1812" s="529">
        <v>24.67</v>
      </c>
      <c r="H1812" s="487">
        <f t="shared" si="833"/>
        <v>19.739999999999998</v>
      </c>
      <c r="I1812" s="706"/>
      <c r="J1812" s="669" t="s">
        <v>5805</v>
      </c>
      <c r="K1812" s="15"/>
      <c r="L1812"/>
      <c r="M1812" s="49">
        <f t="shared" si="834"/>
        <v>24.67</v>
      </c>
      <c r="N1812" s="41">
        <v>11.67</v>
      </c>
      <c r="O1812" s="186"/>
      <c r="P1812" s="177"/>
      <c r="S1812" s="178" t="s">
        <v>4180</v>
      </c>
      <c r="T1812" s="178" t="s">
        <v>4180</v>
      </c>
      <c r="U1812" s="179"/>
      <c r="W1812" s="180"/>
      <c r="X1812" s="180"/>
      <c r="AA1812" s="180"/>
      <c r="AC1812" s="178" t="s">
        <v>1017</v>
      </c>
      <c r="AD1812" s="201"/>
      <c r="AE1812" s="200"/>
      <c r="AF1812" s="180"/>
      <c r="AG1812" s="201"/>
      <c r="AH1812" s="212" t="str">
        <f t="shared" ref="AH1812:AH1817" si="835">IF(ISERROR(SEARCH("K erstmals 201",D1812)),"",RIGHT(D1812,4))</f>
        <v/>
      </c>
      <c r="AI1812" s="214" t="str">
        <f t="shared" si="826"/>
        <v/>
      </c>
      <c r="AJ1812" s="214" t="str">
        <f t="shared" si="827"/>
        <v/>
      </c>
      <c r="AK1812" s="214" t="str">
        <f t="shared" si="828"/>
        <v/>
      </c>
      <c r="AL1812" s="214" t="str">
        <f t="shared" si="829"/>
        <v/>
      </c>
      <c r="AM1812" s="214" t="str">
        <f t="shared" si="830"/>
        <v/>
      </c>
      <c r="AN1812" s="213" t="str">
        <f t="shared" si="813"/>
        <v/>
      </c>
      <c r="AO1812" s="213" t="str">
        <f t="shared" si="814"/>
        <v/>
      </c>
      <c r="AP1812" s="213" t="str">
        <f t="shared" si="815"/>
        <v/>
      </c>
      <c r="AQ1812" s="215" t="str">
        <f t="shared" si="816"/>
        <v/>
      </c>
      <c r="AR1812" s="216" t="str">
        <f t="shared" si="817"/>
        <v>BiK81X1-----07</v>
      </c>
      <c r="AS1812" s="215" t="str">
        <f t="shared" si="818"/>
        <v/>
      </c>
      <c r="AT1812">
        <f t="shared" si="819"/>
        <v>14</v>
      </c>
      <c r="AU1812" s="216" t="str">
        <f t="shared" si="820"/>
        <v>0-0,15 MW, Bonusregel X1</v>
      </c>
      <c r="AV1812" s="215" t="str">
        <f t="shared" si="821"/>
        <v/>
      </c>
      <c r="AW1812" s="216" t="str">
        <f t="shared" si="822"/>
        <v>Anteil Nicht-KWK</v>
      </c>
      <c r="AX1812" s="215" t="str">
        <f t="shared" si="823"/>
        <v/>
      </c>
      <c r="AY1812" t="str">
        <f t="shared" si="824"/>
        <v/>
      </c>
      <c r="AZ1812" t="str">
        <f t="shared" si="825"/>
        <v/>
      </c>
    </row>
    <row r="1813" spans="1:52" s="178" customFormat="1" x14ac:dyDescent="0.25">
      <c r="A1813" s="610" t="s">
        <v>4459</v>
      </c>
      <c r="B1813" s="30" t="s">
        <v>5548</v>
      </c>
      <c r="C1813" s="30" t="s">
        <v>1304</v>
      </c>
      <c r="D1813" s="30" t="s">
        <v>6905</v>
      </c>
      <c r="E1813" s="30" t="s">
        <v>4812</v>
      </c>
      <c r="F1813" s="454">
        <f t="shared" si="832"/>
        <v>26.67</v>
      </c>
      <c r="G1813" s="529">
        <v>26.67</v>
      </c>
      <c r="H1813" s="487">
        <f t="shared" si="833"/>
        <v>21.34</v>
      </c>
      <c r="I1813" s="706"/>
      <c r="J1813" s="669" t="s">
        <v>5805</v>
      </c>
      <c r="K1813" s="15"/>
      <c r="L1813"/>
      <c r="M1813" s="49">
        <f t="shared" si="834"/>
        <v>26.67</v>
      </c>
      <c r="N1813" s="41">
        <v>11.67</v>
      </c>
      <c r="O1813" s="186" t="s">
        <v>1017</v>
      </c>
      <c r="P1813" s="177"/>
      <c r="S1813" s="178" t="s">
        <v>4180</v>
      </c>
      <c r="T1813" s="178" t="s">
        <v>4180</v>
      </c>
      <c r="U1813" s="179"/>
      <c r="W1813" s="180"/>
      <c r="X1813" s="180"/>
      <c r="AA1813" s="180"/>
      <c r="AC1813" s="178" t="s">
        <v>1017</v>
      </c>
      <c r="AD1813" s="201"/>
      <c r="AE1813" s="200"/>
      <c r="AF1813" s="180"/>
      <c r="AG1813" s="201"/>
      <c r="AH1813" s="212" t="str">
        <f t="shared" si="835"/>
        <v/>
      </c>
      <c r="AI1813" s="214" t="str">
        <f t="shared" si="826"/>
        <v/>
      </c>
      <c r="AJ1813" s="214" t="str">
        <f t="shared" si="827"/>
        <v/>
      </c>
      <c r="AK1813" s="214" t="str">
        <f t="shared" si="828"/>
        <v/>
      </c>
      <c r="AL1813" s="214" t="str">
        <f t="shared" si="829"/>
        <v/>
      </c>
      <c r="AM1813" s="214" t="str">
        <f t="shared" si="830"/>
        <v/>
      </c>
      <c r="AN1813" s="213" t="str">
        <f t="shared" si="813"/>
        <v/>
      </c>
      <c r="AO1813" s="213" t="str">
        <f t="shared" si="814"/>
        <v/>
      </c>
      <c r="AP1813" s="213" t="str">
        <f t="shared" si="815"/>
        <v/>
      </c>
      <c r="AQ1813" s="215" t="str">
        <f t="shared" si="816"/>
        <v/>
      </c>
      <c r="AR1813" s="216" t="str">
        <f t="shared" si="817"/>
        <v>BiK81X1KWK--07</v>
      </c>
      <c r="AS1813" s="215" t="str">
        <f t="shared" si="818"/>
        <v/>
      </c>
      <c r="AT1813">
        <f t="shared" si="819"/>
        <v>14</v>
      </c>
      <c r="AU1813" s="216" t="str">
        <f t="shared" si="820"/>
        <v>0-0,15 MW, Bonusregeln X1 und KWK</v>
      </c>
      <c r="AV1813" s="215" t="str">
        <f t="shared" si="821"/>
        <v/>
      </c>
      <c r="AW1813" s="216" t="str">
        <f t="shared" si="822"/>
        <v>Anteil KWK</v>
      </c>
      <c r="AX1813" s="215" t="str">
        <f t="shared" si="823"/>
        <v/>
      </c>
      <c r="AY1813" t="str">
        <f t="shared" si="824"/>
        <v/>
      </c>
      <c r="AZ1813" t="str">
        <f t="shared" si="825"/>
        <v/>
      </c>
    </row>
    <row r="1814" spans="1:52" s="178" customFormat="1" x14ac:dyDescent="0.25">
      <c r="A1814" s="610" t="s">
        <v>4460</v>
      </c>
      <c r="B1814" s="30" t="s">
        <v>5548</v>
      </c>
      <c r="C1814" s="30" t="s">
        <v>1304</v>
      </c>
      <c r="D1814" s="30" t="s">
        <v>6847</v>
      </c>
      <c r="E1814" s="30" t="s">
        <v>4331</v>
      </c>
      <c r="F1814" s="454">
        <f t="shared" si="832"/>
        <v>27.67</v>
      </c>
      <c r="G1814" s="529">
        <v>27.67</v>
      </c>
      <c r="H1814" s="487">
        <f t="shared" si="833"/>
        <v>22.14</v>
      </c>
      <c r="I1814" s="706"/>
      <c r="J1814" s="669" t="s">
        <v>5805</v>
      </c>
      <c r="K1814" s="15"/>
      <c r="L1814"/>
      <c r="M1814" s="49">
        <f t="shared" si="834"/>
        <v>27.67</v>
      </c>
      <c r="N1814" s="41">
        <v>11.67</v>
      </c>
      <c r="O1814" s="186"/>
      <c r="P1814" s="178" t="s">
        <v>1017</v>
      </c>
      <c r="S1814" s="178" t="s">
        <v>4180</v>
      </c>
      <c r="T1814" s="178" t="s">
        <v>4180</v>
      </c>
      <c r="U1814" s="179"/>
      <c r="W1814" s="180"/>
      <c r="X1814" s="180"/>
      <c r="AA1814" s="180"/>
      <c r="AC1814" s="178" t="s">
        <v>1017</v>
      </c>
      <c r="AD1814" s="201"/>
      <c r="AE1814" s="200"/>
      <c r="AF1814" s="180"/>
      <c r="AG1814" s="201"/>
      <c r="AH1814" s="212" t="str">
        <f t="shared" si="835"/>
        <v/>
      </c>
      <c r="AI1814" s="214" t="str">
        <f t="shared" si="826"/>
        <v/>
      </c>
      <c r="AJ1814" s="214" t="str">
        <f t="shared" si="827"/>
        <v/>
      </c>
      <c r="AK1814" s="214" t="str">
        <f t="shared" si="828"/>
        <v/>
      </c>
      <c r="AL1814" s="214" t="str">
        <f t="shared" si="829"/>
        <v/>
      </c>
      <c r="AM1814" s="214" t="str">
        <f t="shared" si="830"/>
        <v/>
      </c>
      <c r="AN1814" s="213" t="str">
        <f t="shared" si="813"/>
        <v/>
      </c>
      <c r="AO1814" s="213" t="str">
        <f t="shared" si="814"/>
        <v/>
      </c>
      <c r="AP1814" s="213" t="str">
        <f t="shared" si="815"/>
        <v/>
      </c>
      <c r="AQ1814" s="215" t="str">
        <f t="shared" si="816"/>
        <v/>
      </c>
      <c r="AR1814" s="216" t="str">
        <f t="shared" si="817"/>
        <v>BiK81X1KA3--07</v>
      </c>
      <c r="AS1814" s="215" t="str">
        <f t="shared" si="818"/>
        <v/>
      </c>
      <c r="AT1814">
        <f t="shared" si="819"/>
        <v>14</v>
      </c>
      <c r="AU1814" s="216" t="str">
        <f t="shared" si="820"/>
        <v>0-0,15 MW, Bonusregeln X1 und K wenn Anlage 3 erfüllt</v>
      </c>
      <c r="AV1814" s="215" t="str">
        <f t="shared" si="821"/>
        <v/>
      </c>
      <c r="AW1814" s="216" t="str">
        <f t="shared" si="822"/>
        <v>Anteil KWK gemäß Anlage 3</v>
      </c>
      <c r="AX1814" s="215" t="str">
        <f t="shared" si="823"/>
        <v/>
      </c>
      <c r="AY1814" t="str">
        <f t="shared" si="824"/>
        <v/>
      </c>
      <c r="AZ1814" t="str">
        <f t="shared" si="825"/>
        <v/>
      </c>
    </row>
    <row r="1815" spans="1:52" s="178" customFormat="1" x14ac:dyDescent="0.25">
      <c r="A1815" s="610" t="s">
        <v>4461</v>
      </c>
      <c r="B1815" s="30" t="s">
        <v>5548</v>
      </c>
      <c r="C1815" s="30" t="s">
        <v>1304</v>
      </c>
      <c r="D1815" s="30" t="s">
        <v>6848</v>
      </c>
      <c r="E1815" s="30" t="s">
        <v>674</v>
      </c>
      <c r="F1815" s="454">
        <f t="shared" si="832"/>
        <v>27.67</v>
      </c>
      <c r="G1815" s="529">
        <v>27.67</v>
      </c>
      <c r="H1815" s="487">
        <f t="shared" si="833"/>
        <v>22.14</v>
      </c>
      <c r="I1815" s="706"/>
      <c r="J1815" s="669" t="s">
        <v>5805</v>
      </c>
      <c r="K1815" s="15"/>
      <c r="L1815"/>
      <c r="M1815" s="49">
        <f t="shared" si="834"/>
        <v>27.67</v>
      </c>
      <c r="N1815" s="41">
        <v>11.67</v>
      </c>
      <c r="O1815" s="186"/>
      <c r="P1815" s="177"/>
      <c r="Q1815" s="178" t="s">
        <v>1017</v>
      </c>
      <c r="S1815" s="178" t="s">
        <v>4180</v>
      </c>
      <c r="T1815" s="178" t="s">
        <v>4180</v>
      </c>
      <c r="U1815" s="179"/>
      <c r="W1815" s="180"/>
      <c r="X1815" s="180"/>
      <c r="AA1815" s="180"/>
      <c r="AC1815" s="178" t="s">
        <v>1017</v>
      </c>
      <c r="AD1815" s="201"/>
      <c r="AE1815" s="200"/>
      <c r="AF1815" s="180"/>
      <c r="AG1815" s="201"/>
      <c r="AH1815" s="212" t="str">
        <f t="shared" si="835"/>
        <v/>
      </c>
      <c r="AI1815" s="214" t="str">
        <f t="shared" si="826"/>
        <v/>
      </c>
      <c r="AJ1815" s="214" t="str">
        <f t="shared" si="827"/>
        <v/>
      </c>
      <c r="AK1815" s="214" t="str">
        <f t="shared" si="828"/>
        <v/>
      </c>
      <c r="AL1815" s="214" t="str">
        <f t="shared" si="829"/>
        <v/>
      </c>
      <c r="AM1815" s="214" t="str">
        <f t="shared" si="830"/>
        <v/>
      </c>
      <c r="AN1815" s="213" t="str">
        <f t="shared" si="813"/>
        <v/>
      </c>
      <c r="AO1815" s="213" t="str">
        <f t="shared" si="814"/>
        <v/>
      </c>
      <c r="AP1815" s="213" t="str">
        <f t="shared" si="815"/>
        <v/>
      </c>
      <c r="AQ1815" s="215" t="str">
        <f t="shared" si="816"/>
        <v/>
      </c>
      <c r="AR1815" s="216" t="str">
        <f t="shared" si="817"/>
        <v>BiK81X1K09--07</v>
      </c>
      <c r="AS1815" s="215" t="str">
        <f t="shared" si="818"/>
        <v/>
      </c>
      <c r="AT1815">
        <f t="shared" si="819"/>
        <v>14</v>
      </c>
      <c r="AU1815" s="216" t="str">
        <f t="shared" si="820"/>
        <v>0-0,15 MW, Bonusregeln X1 und K erstmals 2009</v>
      </c>
      <c r="AV1815" s="215" t="str">
        <f t="shared" si="821"/>
        <v/>
      </c>
      <c r="AW1815" s="216" t="str">
        <f t="shared" si="822"/>
        <v>Anteil KWK, erstmals 2009</v>
      </c>
      <c r="AX1815" s="215" t="str">
        <f t="shared" si="823"/>
        <v/>
      </c>
      <c r="AY1815" t="str">
        <f t="shared" si="824"/>
        <v/>
      </c>
      <c r="AZ1815" t="str">
        <f t="shared" si="825"/>
        <v/>
      </c>
    </row>
    <row r="1816" spans="1:52" s="178" customFormat="1" x14ac:dyDescent="0.25">
      <c r="A1816" s="610" t="s">
        <v>4951</v>
      </c>
      <c r="B1816" s="30" t="s">
        <v>5548</v>
      </c>
      <c r="C1816" s="30" t="s">
        <v>1304</v>
      </c>
      <c r="D1816" s="30" t="s">
        <v>6849</v>
      </c>
      <c r="E1816" s="30" t="s">
        <v>3567</v>
      </c>
      <c r="F1816" s="454">
        <f t="shared" si="832"/>
        <v>27.64</v>
      </c>
      <c r="G1816" s="529">
        <v>27.64</v>
      </c>
      <c r="H1816" s="487">
        <f t="shared" si="833"/>
        <v>22.11</v>
      </c>
      <c r="I1816" s="706"/>
      <c r="J1816" s="669" t="s">
        <v>5805</v>
      </c>
      <c r="K1816" s="15"/>
      <c r="L1816"/>
      <c r="M1816" s="49">
        <f t="shared" si="834"/>
        <v>27.64</v>
      </c>
      <c r="N1816" s="41">
        <v>11.67</v>
      </c>
      <c r="O1816" s="186"/>
      <c r="P1816" s="177"/>
      <c r="R1816" s="178" t="s">
        <v>1017</v>
      </c>
      <c r="S1816" s="178" t="s">
        <v>4180</v>
      </c>
      <c r="T1816" s="178" t="s">
        <v>4180</v>
      </c>
      <c r="U1816" s="179"/>
      <c r="W1816" s="180"/>
      <c r="X1816" s="180"/>
      <c r="AA1816" s="180"/>
      <c r="AC1816" s="178" t="s">
        <v>1017</v>
      </c>
      <c r="AD1816" s="201"/>
      <c r="AE1816" s="200"/>
      <c r="AF1816" s="180"/>
      <c r="AG1816" s="201"/>
      <c r="AH1816" s="212" t="str">
        <f t="shared" si="835"/>
        <v>2010</v>
      </c>
      <c r="AI1816" s="214" t="str">
        <f t="shared" si="826"/>
        <v/>
      </c>
      <c r="AJ1816" s="214" t="str">
        <f t="shared" si="827"/>
        <v/>
      </c>
      <c r="AK1816" s="214" t="str">
        <f t="shared" si="828"/>
        <v/>
      </c>
      <c r="AL1816" s="214" t="str">
        <f t="shared" si="829"/>
        <v/>
      </c>
      <c r="AM1816" s="214" t="str">
        <f t="shared" si="830"/>
        <v/>
      </c>
      <c r="AN1816" s="213" t="str">
        <f t="shared" si="813"/>
        <v>2010</v>
      </c>
      <c r="AO1816" s="213" t="str">
        <f t="shared" si="814"/>
        <v>2010</v>
      </c>
      <c r="AP1816" s="213" t="str">
        <f t="shared" si="815"/>
        <v>2010</v>
      </c>
      <c r="AQ1816" s="215" t="str">
        <f t="shared" si="816"/>
        <v/>
      </c>
      <c r="AR1816" s="216" t="str">
        <f t="shared" si="817"/>
        <v>BiK81X1K10--07</v>
      </c>
      <c r="AS1816" s="215" t="str">
        <f t="shared" si="818"/>
        <v/>
      </c>
      <c r="AT1816">
        <f t="shared" si="819"/>
        <v>14</v>
      </c>
      <c r="AU1816" s="216" t="str">
        <f t="shared" si="820"/>
        <v>0-0,15 MW, Bonusregeln X1 und K erstmals 2010</v>
      </c>
      <c r="AV1816" s="215" t="str">
        <f t="shared" si="821"/>
        <v/>
      </c>
      <c r="AW1816" s="216" t="str">
        <f t="shared" si="822"/>
        <v>Anteil KWK, erstmals 2010</v>
      </c>
      <c r="AX1816" s="215" t="str">
        <f t="shared" si="823"/>
        <v/>
      </c>
      <c r="AY1816" t="str">
        <f t="shared" si="824"/>
        <v/>
      </c>
      <c r="AZ1816" t="str">
        <f t="shared" si="825"/>
        <v/>
      </c>
    </row>
    <row r="1817" spans="1:52" s="178" customFormat="1" x14ac:dyDescent="0.25">
      <c r="A1817" s="610" t="s">
        <v>3998</v>
      </c>
      <c r="B1817" s="30" t="s">
        <v>5548</v>
      </c>
      <c r="C1817" s="30" t="s">
        <v>1304</v>
      </c>
      <c r="D1817" s="30" t="s">
        <v>6850</v>
      </c>
      <c r="E1817" s="30" t="s">
        <v>3055</v>
      </c>
      <c r="F1817" s="454">
        <f t="shared" si="832"/>
        <v>27.61</v>
      </c>
      <c r="G1817" s="529">
        <v>27.61</v>
      </c>
      <c r="H1817" s="487">
        <f t="shared" si="833"/>
        <v>22.09</v>
      </c>
      <c r="I1817" s="706"/>
      <c r="J1817" s="669" t="s">
        <v>5805</v>
      </c>
      <c r="K1817" s="15"/>
      <c r="L1817"/>
      <c r="M1817" s="49">
        <f t="shared" si="834"/>
        <v>27.61</v>
      </c>
      <c r="N1817" s="41">
        <v>11.67</v>
      </c>
      <c r="O1817" s="186"/>
      <c r="P1817" s="177"/>
      <c r="S1817" s="178" t="s">
        <v>1017</v>
      </c>
      <c r="T1817" s="178" t="s">
        <v>4180</v>
      </c>
      <c r="U1817" s="179"/>
      <c r="W1817" s="180"/>
      <c r="X1817" s="180"/>
      <c r="AA1817" s="180"/>
      <c r="AC1817" s="178" t="s">
        <v>1017</v>
      </c>
      <c r="AD1817" s="201"/>
      <c r="AE1817" s="200"/>
      <c r="AF1817" s="180"/>
      <c r="AG1817" s="201"/>
      <c r="AH1817" s="212" t="str">
        <f t="shared" si="835"/>
        <v>2011</v>
      </c>
      <c r="AI1817" s="214" t="str">
        <f t="shared" si="826"/>
        <v/>
      </c>
      <c r="AJ1817" s="214" t="str">
        <f t="shared" si="827"/>
        <v/>
      </c>
      <c r="AK1817" s="214" t="str">
        <f t="shared" si="828"/>
        <v/>
      </c>
      <c r="AL1817" s="214" t="str">
        <f t="shared" si="829"/>
        <v/>
      </c>
      <c r="AM1817" s="214" t="str">
        <f t="shared" si="830"/>
        <v/>
      </c>
      <c r="AN1817" s="213" t="str">
        <f t="shared" si="813"/>
        <v>2011</v>
      </c>
      <c r="AO1817" s="213" t="str">
        <f t="shared" si="814"/>
        <v>2011</v>
      </c>
      <c r="AP1817" s="213" t="str">
        <f t="shared" si="815"/>
        <v>2011</v>
      </c>
      <c r="AQ1817" s="215" t="str">
        <f t="shared" si="816"/>
        <v/>
      </c>
      <c r="AR1817" s="216" t="str">
        <f t="shared" si="817"/>
        <v>BiK81X1K11--07</v>
      </c>
      <c r="AS1817" s="215" t="str">
        <f t="shared" si="818"/>
        <v/>
      </c>
      <c r="AT1817">
        <f t="shared" si="819"/>
        <v>14</v>
      </c>
      <c r="AU1817" s="216" t="str">
        <f t="shared" si="820"/>
        <v>0-0,15 MW, Bonusregeln X1 und K erstmals 2011</v>
      </c>
      <c r="AV1817" s="215" t="str">
        <f t="shared" si="821"/>
        <v/>
      </c>
      <c r="AW1817" s="216" t="str">
        <f t="shared" si="822"/>
        <v>Anteil KWK, erstmals 2011</v>
      </c>
      <c r="AX1817" s="215" t="str">
        <f t="shared" si="823"/>
        <v/>
      </c>
      <c r="AY1817" t="str">
        <f t="shared" si="824"/>
        <v>x</v>
      </c>
      <c r="AZ1817" t="str">
        <f t="shared" si="825"/>
        <v/>
      </c>
    </row>
    <row r="1818" spans="1:52" s="178" customFormat="1" x14ac:dyDescent="0.25">
      <c r="A1818" s="625" t="s">
        <v>1820</v>
      </c>
      <c r="B1818" s="219" t="s">
        <v>5548</v>
      </c>
      <c r="C1818" s="219" t="s">
        <v>1304</v>
      </c>
      <c r="D1818" s="219" t="s">
        <v>6851</v>
      </c>
      <c r="E1818" s="219" t="s">
        <v>1980</v>
      </c>
      <c r="F1818" s="455">
        <f t="shared" si="832"/>
        <v>27.58</v>
      </c>
      <c r="G1818" s="530">
        <v>27.58</v>
      </c>
      <c r="H1818" s="488">
        <f t="shared" si="833"/>
        <v>22.06</v>
      </c>
      <c r="I1818" s="707"/>
      <c r="J1818" s="669" t="s">
        <v>5805</v>
      </c>
      <c r="K1818" s="15"/>
      <c r="L1818"/>
      <c r="M1818" s="49">
        <f t="shared" si="834"/>
        <v>27.58</v>
      </c>
      <c r="N1818" s="41">
        <v>11.67</v>
      </c>
      <c r="O1818" s="186"/>
      <c r="P1818" s="177"/>
      <c r="S1818" s="178" t="s">
        <v>4180</v>
      </c>
      <c r="T1818" s="178" t="s">
        <v>1017</v>
      </c>
      <c r="U1818" s="179"/>
      <c r="W1818" s="180"/>
      <c r="X1818" s="180"/>
      <c r="AA1818" s="180"/>
      <c r="AC1818" s="178" t="s">
        <v>1017</v>
      </c>
      <c r="AD1818" s="201"/>
      <c r="AE1818" s="200"/>
      <c r="AF1818" s="180"/>
      <c r="AG1818" s="201"/>
      <c r="AH1818" s="217" t="s">
        <v>4179</v>
      </c>
      <c r="AI1818" s="214" t="str">
        <f t="shared" si="826"/>
        <v/>
      </c>
      <c r="AJ1818" s="214" t="str">
        <f t="shared" si="827"/>
        <v/>
      </c>
      <c r="AK1818" s="214" t="str">
        <f t="shared" si="828"/>
        <v/>
      </c>
      <c r="AL1818" s="214" t="str">
        <f t="shared" si="829"/>
        <v/>
      </c>
      <c r="AM1818" s="214" t="str">
        <f t="shared" si="830"/>
        <v/>
      </c>
      <c r="AN1818" s="213" t="str">
        <f t="shared" si="813"/>
        <v>2012</v>
      </c>
      <c r="AO1818" s="213" t="str">
        <f t="shared" si="814"/>
        <v>2012</v>
      </c>
      <c r="AP1818" s="213" t="str">
        <f t="shared" si="815"/>
        <v>2012</v>
      </c>
      <c r="AQ1818" s="215" t="str">
        <f t="shared" si="816"/>
        <v/>
      </c>
      <c r="AR1818" s="216" t="str">
        <f t="shared" si="817"/>
        <v>BiK81X1K12--07</v>
      </c>
      <c r="AS1818" s="215" t="str">
        <f t="shared" si="818"/>
        <v/>
      </c>
      <c r="AT1818">
        <f t="shared" si="819"/>
        <v>14</v>
      </c>
      <c r="AU1818" s="216" t="str">
        <f t="shared" si="820"/>
        <v>0-0,15 MW, Bonusregeln X1 und K erstmals 2012</v>
      </c>
      <c r="AV1818" s="215" t="str">
        <f t="shared" si="821"/>
        <v/>
      </c>
      <c r="AW1818" s="216" t="str">
        <f t="shared" si="822"/>
        <v>Anteil KWK, erstmals 2012</v>
      </c>
      <c r="AX1818" s="215" t="str">
        <f t="shared" si="823"/>
        <v/>
      </c>
      <c r="AY1818" t="str">
        <f t="shared" si="824"/>
        <v/>
      </c>
      <c r="AZ1818" t="str">
        <f t="shared" si="825"/>
        <v>x</v>
      </c>
    </row>
    <row r="1819" spans="1:52" s="178" customFormat="1" x14ac:dyDescent="0.25">
      <c r="A1819" s="610" t="s">
        <v>4462</v>
      </c>
      <c r="B1819" s="30" t="s">
        <v>5548</v>
      </c>
      <c r="C1819" s="30" t="s">
        <v>1304</v>
      </c>
      <c r="D1819" s="30" t="s">
        <v>6852</v>
      </c>
      <c r="E1819" s="30" t="s">
        <v>4810</v>
      </c>
      <c r="F1819" s="454">
        <f t="shared" si="832"/>
        <v>25.67</v>
      </c>
      <c r="G1819" s="529">
        <v>25.67</v>
      </c>
      <c r="H1819" s="487">
        <f t="shared" si="833"/>
        <v>20.54</v>
      </c>
      <c r="I1819" s="706"/>
      <c r="J1819" s="669" t="s">
        <v>5805</v>
      </c>
      <c r="K1819" s="15"/>
      <c r="L1819"/>
      <c r="M1819" s="49">
        <f t="shared" si="834"/>
        <v>25.67</v>
      </c>
      <c r="N1819" s="41">
        <v>11.67</v>
      </c>
      <c r="O1819" s="187"/>
      <c r="P1819" s="183"/>
      <c r="Q1819" s="184"/>
      <c r="R1819" s="184"/>
      <c r="S1819" s="184" t="s">
        <v>4180</v>
      </c>
      <c r="T1819" s="178" t="s">
        <v>4180</v>
      </c>
      <c r="U1819" s="185" t="s">
        <v>1017</v>
      </c>
      <c r="V1819" s="184"/>
      <c r="W1819" s="180"/>
      <c r="X1819" s="180"/>
      <c r="AA1819" s="180"/>
      <c r="AC1819" s="184" t="s">
        <v>1017</v>
      </c>
      <c r="AD1819" s="201"/>
      <c r="AE1819" s="181"/>
      <c r="AF1819" s="180"/>
      <c r="AG1819" s="201"/>
      <c r="AH1819" s="212" t="str">
        <f t="shared" ref="AH1819:AH1824" si="836">IF(ISERROR(SEARCH("K erstmals 201",D1819)),"",RIGHT(D1819,4))</f>
        <v/>
      </c>
      <c r="AI1819" s="214" t="str">
        <f t="shared" si="826"/>
        <v/>
      </c>
      <c r="AJ1819" s="214" t="str">
        <f t="shared" si="827"/>
        <v/>
      </c>
      <c r="AK1819" s="214" t="str">
        <f t="shared" si="828"/>
        <v/>
      </c>
      <c r="AL1819" s="214" t="str">
        <f t="shared" si="829"/>
        <v/>
      </c>
      <c r="AM1819" s="214" t="str">
        <f t="shared" si="830"/>
        <v/>
      </c>
      <c r="AN1819" s="213" t="str">
        <f t="shared" si="813"/>
        <v/>
      </c>
      <c r="AO1819" s="213" t="str">
        <f t="shared" si="814"/>
        <v/>
      </c>
      <c r="AP1819" s="213" t="str">
        <f t="shared" si="815"/>
        <v/>
      </c>
      <c r="AQ1819" s="215" t="str">
        <f t="shared" si="816"/>
        <v/>
      </c>
      <c r="AR1819" s="216" t="str">
        <f t="shared" si="817"/>
        <v>BiK81X1y----07</v>
      </c>
      <c r="AS1819" s="215" t="str">
        <f t="shared" si="818"/>
        <v/>
      </c>
      <c r="AT1819">
        <f t="shared" si="819"/>
        <v>14</v>
      </c>
      <c r="AU1819" s="216" t="str">
        <f t="shared" si="820"/>
        <v>0-0,15 MW, Bonusregeln X1, y</v>
      </c>
      <c r="AV1819" s="215" t="str">
        <f t="shared" si="821"/>
        <v/>
      </c>
      <c r="AW1819" s="216" t="str">
        <f t="shared" si="822"/>
        <v>Anteil Nicht-KWK</v>
      </c>
      <c r="AX1819" s="215" t="str">
        <f t="shared" si="823"/>
        <v/>
      </c>
      <c r="AY1819" t="str">
        <f t="shared" si="824"/>
        <v/>
      </c>
      <c r="AZ1819" t="str">
        <f t="shared" si="825"/>
        <v/>
      </c>
    </row>
    <row r="1820" spans="1:52" s="178" customFormat="1" x14ac:dyDescent="0.25">
      <c r="A1820" s="610" t="s">
        <v>4463</v>
      </c>
      <c r="B1820" s="30" t="s">
        <v>5548</v>
      </c>
      <c r="C1820" s="30" t="s">
        <v>1304</v>
      </c>
      <c r="D1820" s="30" t="s">
        <v>6906</v>
      </c>
      <c r="E1820" s="30" t="s">
        <v>4812</v>
      </c>
      <c r="F1820" s="454">
        <f t="shared" si="832"/>
        <v>27.67</v>
      </c>
      <c r="G1820" s="529">
        <v>27.67</v>
      </c>
      <c r="H1820" s="487">
        <f t="shared" si="833"/>
        <v>22.14</v>
      </c>
      <c r="I1820" s="706"/>
      <c r="J1820" s="669" t="s">
        <v>5805</v>
      </c>
      <c r="K1820" s="15"/>
      <c r="L1820"/>
      <c r="M1820" s="49">
        <f t="shared" si="834"/>
        <v>27.67</v>
      </c>
      <c r="N1820" s="41">
        <v>11.67</v>
      </c>
      <c r="O1820" s="187" t="s">
        <v>1017</v>
      </c>
      <c r="P1820" s="183"/>
      <c r="Q1820" s="184"/>
      <c r="R1820" s="184"/>
      <c r="S1820" s="184" t="s">
        <v>4180</v>
      </c>
      <c r="T1820" s="178" t="s">
        <v>4180</v>
      </c>
      <c r="U1820" s="185" t="s">
        <v>1017</v>
      </c>
      <c r="V1820" s="184"/>
      <c r="W1820" s="180"/>
      <c r="X1820" s="180"/>
      <c r="AA1820" s="180"/>
      <c r="AC1820" s="184" t="s">
        <v>1017</v>
      </c>
      <c r="AD1820" s="201"/>
      <c r="AE1820" s="181"/>
      <c r="AF1820" s="180"/>
      <c r="AG1820" s="201"/>
      <c r="AH1820" s="212" t="str">
        <f t="shared" si="836"/>
        <v/>
      </c>
      <c r="AI1820" s="214" t="str">
        <f t="shared" si="826"/>
        <v/>
      </c>
      <c r="AJ1820" s="214" t="str">
        <f t="shared" si="827"/>
        <v/>
      </c>
      <c r="AK1820" s="214" t="str">
        <f t="shared" si="828"/>
        <v/>
      </c>
      <c r="AL1820" s="214" t="str">
        <f t="shared" si="829"/>
        <v/>
      </c>
      <c r="AM1820" s="214" t="str">
        <f t="shared" si="830"/>
        <v/>
      </c>
      <c r="AN1820" s="213" t="str">
        <f t="shared" si="813"/>
        <v/>
      </c>
      <c r="AO1820" s="213" t="str">
        <f t="shared" si="814"/>
        <v/>
      </c>
      <c r="AP1820" s="213" t="str">
        <f t="shared" si="815"/>
        <v/>
      </c>
      <c r="AQ1820" s="215" t="str">
        <f t="shared" si="816"/>
        <v/>
      </c>
      <c r="AR1820" s="216" t="str">
        <f t="shared" si="817"/>
        <v>BiK81X1KWKy-07</v>
      </c>
      <c r="AS1820" s="215" t="str">
        <f t="shared" si="818"/>
        <v/>
      </c>
      <c r="AT1820">
        <f t="shared" si="819"/>
        <v>14</v>
      </c>
      <c r="AU1820" s="216" t="str">
        <f t="shared" si="820"/>
        <v>0-0,15 MW, Bonusregeln X1, y und KWK</v>
      </c>
      <c r="AV1820" s="215" t="str">
        <f t="shared" si="821"/>
        <v/>
      </c>
      <c r="AW1820" s="216" t="str">
        <f t="shared" si="822"/>
        <v>Anteil KWK</v>
      </c>
      <c r="AX1820" s="215" t="str">
        <f t="shared" si="823"/>
        <v/>
      </c>
      <c r="AY1820" t="str">
        <f t="shared" si="824"/>
        <v/>
      </c>
      <c r="AZ1820" t="str">
        <f t="shared" si="825"/>
        <v/>
      </c>
    </row>
    <row r="1821" spans="1:52" s="178" customFormat="1" x14ac:dyDescent="0.25">
      <c r="A1821" s="610" t="s">
        <v>4464</v>
      </c>
      <c r="B1821" s="30" t="s">
        <v>5548</v>
      </c>
      <c r="C1821" s="30" t="s">
        <v>1304</v>
      </c>
      <c r="D1821" s="109" t="s">
        <v>6853</v>
      </c>
      <c r="E1821" s="30" t="s">
        <v>4331</v>
      </c>
      <c r="F1821" s="454">
        <f t="shared" si="832"/>
        <v>28.67</v>
      </c>
      <c r="G1821" s="529">
        <v>28.67</v>
      </c>
      <c r="H1821" s="487">
        <f t="shared" si="833"/>
        <v>22.94</v>
      </c>
      <c r="I1821" s="706"/>
      <c r="J1821" s="669" t="s">
        <v>5805</v>
      </c>
      <c r="K1821" s="15"/>
      <c r="L1821"/>
      <c r="M1821" s="49">
        <f t="shared" si="834"/>
        <v>28.67</v>
      </c>
      <c r="N1821" s="41">
        <v>11.67</v>
      </c>
      <c r="O1821" s="187"/>
      <c r="P1821" s="184" t="s">
        <v>1017</v>
      </c>
      <c r="Q1821" s="184"/>
      <c r="R1821" s="184"/>
      <c r="S1821" s="184" t="s">
        <v>4180</v>
      </c>
      <c r="T1821" s="178" t="s">
        <v>4180</v>
      </c>
      <c r="U1821" s="185" t="s">
        <v>1017</v>
      </c>
      <c r="V1821" s="184"/>
      <c r="W1821" s="180"/>
      <c r="X1821" s="180"/>
      <c r="AA1821" s="180"/>
      <c r="AC1821" s="184" t="s">
        <v>1017</v>
      </c>
      <c r="AD1821" s="201"/>
      <c r="AE1821" s="181"/>
      <c r="AF1821" s="180"/>
      <c r="AG1821" s="201"/>
      <c r="AH1821" s="212" t="str">
        <f t="shared" si="836"/>
        <v/>
      </c>
      <c r="AI1821" s="214" t="str">
        <f t="shared" si="826"/>
        <v/>
      </c>
      <c r="AJ1821" s="214" t="str">
        <f t="shared" si="827"/>
        <v/>
      </c>
      <c r="AK1821" s="214" t="str">
        <f t="shared" si="828"/>
        <v/>
      </c>
      <c r="AL1821" s="214" t="str">
        <f t="shared" si="829"/>
        <v/>
      </c>
      <c r="AM1821" s="214" t="str">
        <f t="shared" si="830"/>
        <v/>
      </c>
      <c r="AN1821" s="213" t="str">
        <f t="shared" si="813"/>
        <v/>
      </c>
      <c r="AO1821" s="213" t="str">
        <f t="shared" si="814"/>
        <v/>
      </c>
      <c r="AP1821" s="213" t="str">
        <f t="shared" si="815"/>
        <v/>
      </c>
      <c r="AQ1821" s="215" t="str">
        <f t="shared" si="816"/>
        <v/>
      </c>
      <c r="AR1821" s="216" t="str">
        <f t="shared" si="817"/>
        <v>BiK81X1KA3y-07</v>
      </c>
      <c r="AS1821" s="215" t="str">
        <f t="shared" si="818"/>
        <v/>
      </c>
      <c r="AT1821">
        <f t="shared" si="819"/>
        <v>14</v>
      </c>
      <c r="AU1821" s="216" t="str">
        <f t="shared" si="820"/>
        <v>0-0,15 MW, Bonusregeln X1, y und K wenn Anlage 3 erfüllt</v>
      </c>
      <c r="AV1821" s="215" t="str">
        <f t="shared" si="821"/>
        <v/>
      </c>
      <c r="AW1821" s="216" t="str">
        <f t="shared" si="822"/>
        <v>Anteil KWK gemäß Anlage 3</v>
      </c>
      <c r="AX1821" s="215" t="str">
        <f t="shared" si="823"/>
        <v/>
      </c>
      <c r="AY1821" t="str">
        <f t="shared" si="824"/>
        <v/>
      </c>
      <c r="AZ1821" t="str">
        <f t="shared" si="825"/>
        <v/>
      </c>
    </row>
    <row r="1822" spans="1:52" s="178" customFormat="1" x14ac:dyDescent="0.25">
      <c r="A1822" s="610" t="s">
        <v>4465</v>
      </c>
      <c r="B1822" s="30" t="s">
        <v>5548</v>
      </c>
      <c r="C1822" s="30" t="s">
        <v>1304</v>
      </c>
      <c r="D1822" s="30" t="s">
        <v>6854</v>
      </c>
      <c r="E1822" s="30" t="s">
        <v>674</v>
      </c>
      <c r="F1822" s="454">
        <f t="shared" si="832"/>
        <v>28.67</v>
      </c>
      <c r="G1822" s="529">
        <v>28.67</v>
      </c>
      <c r="H1822" s="487">
        <f t="shared" si="833"/>
        <v>22.94</v>
      </c>
      <c r="I1822" s="706"/>
      <c r="J1822" s="669" t="s">
        <v>5805</v>
      </c>
      <c r="K1822" s="15"/>
      <c r="L1822"/>
      <c r="M1822" s="49">
        <f t="shared" si="834"/>
        <v>28.67</v>
      </c>
      <c r="N1822" s="41">
        <v>11.67</v>
      </c>
      <c r="O1822" s="187"/>
      <c r="P1822" s="183"/>
      <c r="Q1822" s="184" t="s">
        <v>1017</v>
      </c>
      <c r="R1822" s="184"/>
      <c r="S1822" s="184" t="s">
        <v>4180</v>
      </c>
      <c r="T1822" s="178" t="s">
        <v>4180</v>
      </c>
      <c r="U1822" s="185" t="s">
        <v>1017</v>
      </c>
      <c r="V1822" s="184"/>
      <c r="W1822" s="180"/>
      <c r="X1822" s="180"/>
      <c r="AA1822" s="180"/>
      <c r="AC1822" s="184" t="s">
        <v>1017</v>
      </c>
      <c r="AD1822" s="201"/>
      <c r="AE1822" s="181"/>
      <c r="AF1822" s="180"/>
      <c r="AG1822" s="201"/>
      <c r="AH1822" s="212" t="str">
        <f t="shared" si="836"/>
        <v/>
      </c>
      <c r="AI1822" s="214" t="str">
        <f t="shared" si="826"/>
        <v/>
      </c>
      <c r="AJ1822" s="214" t="str">
        <f t="shared" si="827"/>
        <v/>
      </c>
      <c r="AK1822" s="214" t="str">
        <f t="shared" si="828"/>
        <v/>
      </c>
      <c r="AL1822" s="214" t="str">
        <f t="shared" si="829"/>
        <v/>
      </c>
      <c r="AM1822" s="214" t="str">
        <f t="shared" si="830"/>
        <v/>
      </c>
      <c r="AN1822" s="213" t="str">
        <f t="shared" si="813"/>
        <v/>
      </c>
      <c r="AO1822" s="213" t="str">
        <f t="shared" si="814"/>
        <v/>
      </c>
      <c r="AP1822" s="213" t="str">
        <f t="shared" si="815"/>
        <v/>
      </c>
      <c r="AQ1822" s="215" t="str">
        <f t="shared" si="816"/>
        <v/>
      </c>
      <c r="AR1822" s="216" t="str">
        <f t="shared" si="817"/>
        <v>BiK81X1K09y-07</v>
      </c>
      <c r="AS1822" s="215" t="str">
        <f t="shared" si="818"/>
        <v/>
      </c>
      <c r="AT1822">
        <f t="shared" si="819"/>
        <v>14</v>
      </c>
      <c r="AU1822" s="216" t="str">
        <f t="shared" si="820"/>
        <v>0-0,15 MW, Bonusregeln X1, y und K erstmals 2009</v>
      </c>
      <c r="AV1822" s="215" t="str">
        <f t="shared" si="821"/>
        <v/>
      </c>
      <c r="AW1822" s="216" t="str">
        <f t="shared" si="822"/>
        <v>Anteil KWK, erstmals 2009</v>
      </c>
      <c r="AX1822" s="215" t="str">
        <f t="shared" si="823"/>
        <v/>
      </c>
      <c r="AY1822" t="str">
        <f t="shared" si="824"/>
        <v/>
      </c>
      <c r="AZ1822" t="str">
        <f t="shared" si="825"/>
        <v/>
      </c>
    </row>
    <row r="1823" spans="1:52" s="178" customFormat="1" x14ac:dyDescent="0.25">
      <c r="A1823" s="610" t="s">
        <v>4952</v>
      </c>
      <c r="B1823" s="30" t="s">
        <v>5548</v>
      </c>
      <c r="C1823" s="30" t="s">
        <v>1304</v>
      </c>
      <c r="D1823" s="30" t="s">
        <v>6855</v>
      </c>
      <c r="E1823" s="30" t="s">
        <v>3567</v>
      </c>
      <c r="F1823" s="454">
        <f t="shared" si="832"/>
        <v>28.64</v>
      </c>
      <c r="G1823" s="529">
        <v>28.64</v>
      </c>
      <c r="H1823" s="487">
        <f t="shared" si="833"/>
        <v>22.91</v>
      </c>
      <c r="I1823" s="706"/>
      <c r="J1823" s="669" t="s">
        <v>5805</v>
      </c>
      <c r="K1823" s="15"/>
      <c r="L1823"/>
      <c r="M1823" s="49">
        <f t="shared" si="834"/>
        <v>28.64</v>
      </c>
      <c r="N1823" s="41">
        <v>11.67</v>
      </c>
      <c r="O1823" s="187"/>
      <c r="P1823" s="183"/>
      <c r="Q1823" s="184"/>
      <c r="R1823" s="184" t="s">
        <v>1017</v>
      </c>
      <c r="S1823" s="184" t="s">
        <v>4180</v>
      </c>
      <c r="T1823" s="178" t="s">
        <v>4180</v>
      </c>
      <c r="U1823" s="185" t="s">
        <v>1017</v>
      </c>
      <c r="V1823" s="184"/>
      <c r="W1823" s="180"/>
      <c r="X1823" s="180"/>
      <c r="AA1823" s="180"/>
      <c r="AC1823" s="184" t="s">
        <v>1017</v>
      </c>
      <c r="AD1823" s="201"/>
      <c r="AE1823" s="181"/>
      <c r="AF1823" s="180"/>
      <c r="AG1823" s="201"/>
      <c r="AH1823" s="212" t="str">
        <f t="shared" si="836"/>
        <v>2010</v>
      </c>
      <c r="AI1823" s="214" t="str">
        <f t="shared" si="826"/>
        <v/>
      </c>
      <c r="AJ1823" s="214" t="str">
        <f t="shared" si="827"/>
        <v/>
      </c>
      <c r="AK1823" s="214" t="str">
        <f t="shared" si="828"/>
        <v/>
      </c>
      <c r="AL1823" s="214" t="str">
        <f t="shared" si="829"/>
        <v/>
      </c>
      <c r="AM1823" s="214" t="str">
        <f t="shared" si="830"/>
        <v/>
      </c>
      <c r="AN1823" s="213" t="str">
        <f t="shared" si="813"/>
        <v>2010</v>
      </c>
      <c r="AO1823" s="213" t="str">
        <f t="shared" si="814"/>
        <v>2010</v>
      </c>
      <c r="AP1823" s="213" t="str">
        <f t="shared" si="815"/>
        <v>2010</v>
      </c>
      <c r="AQ1823" s="215" t="str">
        <f t="shared" si="816"/>
        <v/>
      </c>
      <c r="AR1823" s="216" t="str">
        <f t="shared" si="817"/>
        <v>BiK81X1K10y-07</v>
      </c>
      <c r="AS1823" s="215" t="str">
        <f t="shared" si="818"/>
        <v/>
      </c>
      <c r="AT1823">
        <f t="shared" si="819"/>
        <v>14</v>
      </c>
      <c r="AU1823" s="216" t="str">
        <f t="shared" si="820"/>
        <v>0-0,15 MW, Bonusregeln X1, y und K erstmals 2010</v>
      </c>
      <c r="AV1823" s="215" t="str">
        <f t="shared" si="821"/>
        <v/>
      </c>
      <c r="AW1823" s="216" t="str">
        <f t="shared" si="822"/>
        <v>Anteil KWK, erstmals 2010</v>
      </c>
      <c r="AX1823" s="215" t="str">
        <f t="shared" si="823"/>
        <v/>
      </c>
      <c r="AY1823" t="str">
        <f t="shared" si="824"/>
        <v/>
      </c>
      <c r="AZ1823" t="str">
        <f t="shared" si="825"/>
        <v/>
      </c>
    </row>
    <row r="1824" spans="1:52" s="178" customFormat="1" x14ac:dyDescent="0.25">
      <c r="A1824" s="610" t="s">
        <v>3999</v>
      </c>
      <c r="B1824" s="30" t="s">
        <v>5548</v>
      </c>
      <c r="C1824" s="30" t="s">
        <v>1304</v>
      </c>
      <c r="D1824" s="30" t="s">
        <v>6856</v>
      </c>
      <c r="E1824" s="30" t="s">
        <v>3055</v>
      </c>
      <c r="F1824" s="454">
        <f t="shared" si="832"/>
        <v>28.61</v>
      </c>
      <c r="G1824" s="529">
        <v>28.61</v>
      </c>
      <c r="H1824" s="487">
        <f t="shared" si="833"/>
        <v>22.89</v>
      </c>
      <c r="I1824" s="706"/>
      <c r="J1824" s="669" t="s">
        <v>5805</v>
      </c>
      <c r="K1824" s="15"/>
      <c r="L1824"/>
      <c r="M1824" s="49">
        <f t="shared" si="834"/>
        <v>28.61</v>
      </c>
      <c r="N1824" s="41">
        <v>11.67</v>
      </c>
      <c r="O1824" s="187"/>
      <c r="P1824" s="183"/>
      <c r="Q1824" s="184"/>
      <c r="S1824" s="184" t="s">
        <v>1017</v>
      </c>
      <c r="T1824" s="178" t="s">
        <v>4180</v>
      </c>
      <c r="U1824" s="185" t="s">
        <v>1017</v>
      </c>
      <c r="V1824" s="184"/>
      <c r="W1824" s="180"/>
      <c r="X1824" s="180"/>
      <c r="AA1824" s="180"/>
      <c r="AC1824" s="184" t="s">
        <v>1017</v>
      </c>
      <c r="AD1824" s="201"/>
      <c r="AE1824" s="181"/>
      <c r="AF1824" s="180"/>
      <c r="AG1824" s="201"/>
      <c r="AH1824" s="212" t="str">
        <f t="shared" si="836"/>
        <v>2011</v>
      </c>
      <c r="AI1824" s="214" t="str">
        <f t="shared" si="826"/>
        <v/>
      </c>
      <c r="AJ1824" s="214" t="str">
        <f t="shared" si="827"/>
        <v/>
      </c>
      <c r="AK1824" s="214" t="str">
        <f t="shared" si="828"/>
        <v/>
      </c>
      <c r="AL1824" s="214" t="str">
        <f t="shared" si="829"/>
        <v/>
      </c>
      <c r="AM1824" s="214" t="str">
        <f t="shared" si="830"/>
        <v/>
      </c>
      <c r="AN1824" s="213" t="str">
        <f t="shared" si="813"/>
        <v>2011</v>
      </c>
      <c r="AO1824" s="213" t="str">
        <f t="shared" si="814"/>
        <v>2011</v>
      </c>
      <c r="AP1824" s="213" t="str">
        <f t="shared" si="815"/>
        <v>2011</v>
      </c>
      <c r="AQ1824" s="215" t="str">
        <f t="shared" si="816"/>
        <v/>
      </c>
      <c r="AR1824" s="216" t="str">
        <f t="shared" si="817"/>
        <v>BiK81X1K11y-07</v>
      </c>
      <c r="AS1824" s="215" t="str">
        <f t="shared" si="818"/>
        <v/>
      </c>
      <c r="AT1824">
        <f t="shared" si="819"/>
        <v>14</v>
      </c>
      <c r="AU1824" s="216" t="str">
        <f t="shared" si="820"/>
        <v>0-0,15 MW, Bonusregeln X1, y und K erstmals 2011</v>
      </c>
      <c r="AV1824" s="215" t="str">
        <f t="shared" si="821"/>
        <v/>
      </c>
      <c r="AW1824" s="216" t="str">
        <f t="shared" si="822"/>
        <v>Anteil KWK, erstmals 2011</v>
      </c>
      <c r="AX1824" s="215" t="str">
        <f t="shared" si="823"/>
        <v/>
      </c>
      <c r="AY1824" t="str">
        <f t="shared" si="824"/>
        <v>x</v>
      </c>
      <c r="AZ1824" t="str">
        <f t="shared" si="825"/>
        <v/>
      </c>
    </row>
    <row r="1825" spans="1:52" s="178" customFormat="1" x14ac:dyDescent="0.25">
      <c r="A1825" s="625" t="s">
        <v>1821</v>
      </c>
      <c r="B1825" s="219" t="s">
        <v>5548</v>
      </c>
      <c r="C1825" s="219" t="s">
        <v>1304</v>
      </c>
      <c r="D1825" s="219" t="s">
        <v>6857</v>
      </c>
      <c r="E1825" s="219" t="s">
        <v>1980</v>
      </c>
      <c r="F1825" s="455">
        <f t="shared" si="832"/>
        <v>28.58</v>
      </c>
      <c r="G1825" s="530">
        <v>28.58</v>
      </c>
      <c r="H1825" s="488">
        <f t="shared" si="833"/>
        <v>22.86</v>
      </c>
      <c r="I1825" s="707"/>
      <c r="J1825" s="669" t="s">
        <v>5805</v>
      </c>
      <c r="K1825" s="15"/>
      <c r="L1825"/>
      <c r="M1825" s="49">
        <f t="shared" si="834"/>
        <v>28.58</v>
      </c>
      <c r="N1825" s="41">
        <v>11.67</v>
      </c>
      <c r="O1825" s="187"/>
      <c r="P1825" s="183"/>
      <c r="Q1825" s="184"/>
      <c r="S1825" s="184" t="s">
        <v>4180</v>
      </c>
      <c r="T1825" s="178" t="s">
        <v>1017</v>
      </c>
      <c r="U1825" s="185" t="s">
        <v>1017</v>
      </c>
      <c r="V1825" s="184"/>
      <c r="W1825" s="180"/>
      <c r="X1825" s="180"/>
      <c r="AA1825" s="180"/>
      <c r="AC1825" s="184" t="s">
        <v>1017</v>
      </c>
      <c r="AD1825" s="201"/>
      <c r="AE1825" s="181"/>
      <c r="AF1825" s="180"/>
      <c r="AG1825" s="201"/>
      <c r="AH1825" s="217" t="s">
        <v>4179</v>
      </c>
      <c r="AI1825" s="214" t="str">
        <f t="shared" si="826"/>
        <v/>
      </c>
      <c r="AJ1825" s="214" t="str">
        <f t="shared" si="827"/>
        <v/>
      </c>
      <c r="AK1825" s="214" t="str">
        <f t="shared" si="828"/>
        <v/>
      </c>
      <c r="AL1825" s="214" t="str">
        <f t="shared" si="829"/>
        <v/>
      </c>
      <c r="AM1825" s="214" t="str">
        <f t="shared" si="830"/>
        <v/>
      </c>
      <c r="AN1825" s="213" t="str">
        <f t="shared" si="813"/>
        <v>2012</v>
      </c>
      <c r="AO1825" s="213" t="str">
        <f t="shared" si="814"/>
        <v>2012</v>
      </c>
      <c r="AP1825" s="213" t="str">
        <f t="shared" si="815"/>
        <v>2012</v>
      </c>
      <c r="AQ1825" s="215" t="str">
        <f t="shared" si="816"/>
        <v/>
      </c>
      <c r="AR1825" s="216" t="str">
        <f t="shared" si="817"/>
        <v>BiK81X1K12y-07</v>
      </c>
      <c r="AS1825" s="215" t="str">
        <f t="shared" si="818"/>
        <v/>
      </c>
      <c r="AT1825">
        <f t="shared" si="819"/>
        <v>14</v>
      </c>
      <c r="AU1825" s="216" t="str">
        <f t="shared" si="820"/>
        <v>0-0,15 MW, Bonusregeln X1, y und K erstmals 2012</v>
      </c>
      <c r="AV1825" s="215" t="str">
        <f t="shared" si="821"/>
        <v/>
      </c>
      <c r="AW1825" s="216" t="str">
        <f t="shared" si="822"/>
        <v>Anteil KWK, erstmals 2012</v>
      </c>
      <c r="AX1825" s="215" t="str">
        <f t="shared" si="823"/>
        <v/>
      </c>
      <c r="AY1825" t="str">
        <f t="shared" si="824"/>
        <v/>
      </c>
      <c r="AZ1825" t="str">
        <f t="shared" si="825"/>
        <v>x</v>
      </c>
    </row>
    <row r="1826" spans="1:52" s="178" customFormat="1" x14ac:dyDescent="0.25">
      <c r="A1826" s="618" t="s">
        <v>537</v>
      </c>
      <c r="B1826" s="31" t="s">
        <v>5548</v>
      </c>
      <c r="C1826" s="31" t="s">
        <v>1304</v>
      </c>
      <c r="D1826" s="31" t="s">
        <v>6907</v>
      </c>
      <c r="E1826" s="31" t="s">
        <v>4810</v>
      </c>
      <c r="F1826" s="460">
        <f t="shared" si="832"/>
        <v>13.67</v>
      </c>
      <c r="G1826" s="536">
        <v>13.67</v>
      </c>
      <c r="H1826" s="494">
        <f t="shared" si="833"/>
        <v>10.94</v>
      </c>
      <c r="I1826" s="713"/>
      <c r="J1826" s="669" t="s">
        <v>5805</v>
      </c>
      <c r="K1826" s="15"/>
      <c r="L1826"/>
      <c r="M1826" s="49">
        <f t="shared" si="834"/>
        <v>13.67</v>
      </c>
      <c r="N1826" s="41">
        <v>11.67</v>
      </c>
      <c r="O1826" s="54"/>
      <c r="P1826" s="15"/>
      <c r="Q1826"/>
      <c r="R1826"/>
      <c r="S1826" t="s">
        <v>4180</v>
      </c>
      <c r="T1826" s="178" t="s">
        <v>4180</v>
      </c>
      <c r="U1826" s="55"/>
      <c r="V1826"/>
      <c r="W1826" s="65"/>
      <c r="X1826" s="65"/>
      <c r="Y1826"/>
      <c r="Z1826"/>
      <c r="AA1826" s="65"/>
      <c r="AB1826"/>
      <c r="AC1826"/>
      <c r="AD1826" s="91"/>
      <c r="AE1826" s="124" t="s">
        <v>1017</v>
      </c>
      <c r="AF1826" s="65"/>
      <c r="AG1826" s="91"/>
      <c r="AH1826" s="212" t="str">
        <f t="shared" ref="AH1826:AH1831" si="837">IF(ISERROR(SEARCH("K erstmals 201",D1826)),"",RIGHT(D1826,4))</f>
        <v/>
      </c>
      <c r="AI1826" s="214" t="str">
        <f t="shared" si="826"/>
        <v/>
      </c>
      <c r="AJ1826" s="214" t="str">
        <f t="shared" si="827"/>
        <v/>
      </c>
      <c r="AK1826" s="214" t="str">
        <f t="shared" si="828"/>
        <v/>
      </c>
      <c r="AL1826" s="214" t="str">
        <f t="shared" si="829"/>
        <v/>
      </c>
      <c r="AM1826" s="214" t="str">
        <f t="shared" si="830"/>
        <v/>
      </c>
      <c r="AN1826" s="213" t="str">
        <f t="shared" si="813"/>
        <v/>
      </c>
      <c r="AO1826" s="213" t="str">
        <f t="shared" si="814"/>
        <v/>
      </c>
      <c r="AP1826" s="213" t="str">
        <f t="shared" si="815"/>
        <v/>
      </c>
      <c r="AQ1826" s="215" t="str">
        <f t="shared" si="816"/>
        <v/>
      </c>
      <c r="AR1826" s="216" t="str">
        <f t="shared" si="817"/>
        <v>BiK81b------07</v>
      </c>
      <c r="AS1826" s="215" t="str">
        <f t="shared" si="818"/>
        <v/>
      </c>
      <c r="AT1826">
        <f t="shared" si="819"/>
        <v>14</v>
      </c>
      <c r="AU1826" s="216" t="str">
        <f t="shared" si="820"/>
        <v>0-0,15 MW, Bonusregel b</v>
      </c>
      <c r="AV1826" s="215" t="str">
        <f t="shared" si="821"/>
        <v/>
      </c>
      <c r="AW1826" s="216" t="str">
        <f t="shared" si="822"/>
        <v>Anteil Nicht-KWK</v>
      </c>
      <c r="AX1826" s="215" t="str">
        <f t="shared" si="823"/>
        <v/>
      </c>
      <c r="AY1826" t="str">
        <f t="shared" si="824"/>
        <v/>
      </c>
      <c r="AZ1826" t="str">
        <f t="shared" si="825"/>
        <v/>
      </c>
    </row>
    <row r="1827" spans="1:52" s="178" customFormat="1" x14ac:dyDescent="0.25">
      <c r="A1827" s="618" t="s">
        <v>538</v>
      </c>
      <c r="B1827" s="31" t="s">
        <v>5548</v>
      </c>
      <c r="C1827" s="31" t="s">
        <v>1304</v>
      </c>
      <c r="D1827" s="33" t="s">
        <v>6908</v>
      </c>
      <c r="E1827" s="31" t="s">
        <v>4812</v>
      </c>
      <c r="F1827" s="460">
        <f t="shared" si="832"/>
        <v>15.67</v>
      </c>
      <c r="G1827" s="536">
        <v>15.67</v>
      </c>
      <c r="H1827" s="494">
        <f t="shared" si="833"/>
        <v>12.54</v>
      </c>
      <c r="I1827" s="713"/>
      <c r="J1827" s="669" t="s">
        <v>5805</v>
      </c>
      <c r="K1827" s="15"/>
      <c r="L1827"/>
      <c r="M1827" s="49">
        <f t="shared" si="834"/>
        <v>15.67</v>
      </c>
      <c r="N1827" s="41">
        <v>11.67</v>
      </c>
      <c r="O1827" s="54" t="s">
        <v>1017</v>
      </c>
      <c r="P1827" s="15"/>
      <c r="Q1827"/>
      <c r="R1827"/>
      <c r="S1827" t="s">
        <v>4180</v>
      </c>
      <c r="T1827" s="178" t="s">
        <v>4180</v>
      </c>
      <c r="U1827" s="55"/>
      <c r="V1827"/>
      <c r="W1827" s="65"/>
      <c r="X1827" s="65"/>
      <c r="Y1827"/>
      <c r="Z1827"/>
      <c r="AA1827" s="65"/>
      <c r="AB1827"/>
      <c r="AC1827"/>
      <c r="AD1827" s="91"/>
      <c r="AE1827" s="124" t="s">
        <v>1017</v>
      </c>
      <c r="AF1827" s="65"/>
      <c r="AG1827" s="91"/>
      <c r="AH1827" s="212" t="str">
        <f t="shared" si="837"/>
        <v/>
      </c>
      <c r="AI1827" s="214" t="str">
        <f t="shared" si="826"/>
        <v/>
      </c>
      <c r="AJ1827" s="214" t="str">
        <f t="shared" si="827"/>
        <v/>
      </c>
      <c r="AK1827" s="214" t="str">
        <f t="shared" si="828"/>
        <v/>
      </c>
      <c r="AL1827" s="214" t="str">
        <f t="shared" si="829"/>
        <v/>
      </c>
      <c r="AM1827" s="214" t="str">
        <f t="shared" si="830"/>
        <v/>
      </c>
      <c r="AN1827" s="213" t="str">
        <f t="shared" si="813"/>
        <v/>
      </c>
      <c r="AO1827" s="213" t="str">
        <f t="shared" si="814"/>
        <v/>
      </c>
      <c r="AP1827" s="213" t="str">
        <f t="shared" si="815"/>
        <v/>
      </c>
      <c r="AQ1827" s="215" t="str">
        <f t="shared" si="816"/>
        <v/>
      </c>
      <c r="AR1827" s="216" t="str">
        <f t="shared" si="817"/>
        <v>BiK81bKWK---07</v>
      </c>
      <c r="AS1827" s="215" t="str">
        <f t="shared" si="818"/>
        <v/>
      </c>
      <c r="AT1827">
        <f t="shared" si="819"/>
        <v>14</v>
      </c>
      <c r="AU1827" s="216" t="str">
        <f t="shared" si="820"/>
        <v>0-0,15 MW, Bonusregeln b und KWK</v>
      </c>
      <c r="AV1827" s="215" t="str">
        <f t="shared" si="821"/>
        <v/>
      </c>
      <c r="AW1827" s="216" t="str">
        <f t="shared" si="822"/>
        <v>Anteil KWK</v>
      </c>
      <c r="AX1827" s="215" t="str">
        <f t="shared" si="823"/>
        <v/>
      </c>
      <c r="AY1827" t="str">
        <f t="shared" si="824"/>
        <v/>
      </c>
      <c r="AZ1827" t="str">
        <f t="shared" si="825"/>
        <v/>
      </c>
    </row>
    <row r="1828" spans="1:52" s="178" customFormat="1" x14ac:dyDescent="0.25">
      <c r="A1828" s="610" t="s">
        <v>4360</v>
      </c>
      <c r="B1828" s="17" t="s">
        <v>5548</v>
      </c>
      <c r="C1828" s="30" t="s">
        <v>1304</v>
      </c>
      <c r="D1828" s="30" t="s">
        <v>6909</v>
      </c>
      <c r="E1828" s="30" t="s">
        <v>4331</v>
      </c>
      <c r="F1828" s="454">
        <f t="shared" si="832"/>
        <v>16.670000000000002</v>
      </c>
      <c r="G1828" s="529">
        <v>16.670000000000002</v>
      </c>
      <c r="H1828" s="487">
        <f t="shared" si="833"/>
        <v>13.34</v>
      </c>
      <c r="I1828" s="706"/>
      <c r="J1828" s="669" t="s">
        <v>5805</v>
      </c>
      <c r="K1828" s="15"/>
      <c r="L1828"/>
      <c r="M1828" s="49">
        <f t="shared" si="834"/>
        <v>16.670000000000002</v>
      </c>
      <c r="N1828" s="41">
        <v>11.67</v>
      </c>
      <c r="O1828" s="54"/>
      <c r="P1828" t="s">
        <v>1017</v>
      </c>
      <c r="Q1828"/>
      <c r="R1828"/>
      <c r="S1828" t="s">
        <v>4180</v>
      </c>
      <c r="T1828" s="178" t="s">
        <v>4180</v>
      </c>
      <c r="U1828" s="55"/>
      <c r="V1828"/>
      <c r="W1828" s="65"/>
      <c r="X1828" s="65"/>
      <c r="Y1828"/>
      <c r="Z1828"/>
      <c r="AA1828" s="65"/>
      <c r="AB1828"/>
      <c r="AC1828"/>
      <c r="AD1828" s="91"/>
      <c r="AE1828" s="124" t="s">
        <v>1017</v>
      </c>
      <c r="AF1828" s="65"/>
      <c r="AG1828" s="91"/>
      <c r="AH1828" s="212" t="str">
        <f t="shared" si="837"/>
        <v/>
      </c>
      <c r="AI1828" s="214" t="str">
        <f t="shared" si="826"/>
        <v/>
      </c>
      <c r="AJ1828" s="214" t="str">
        <f t="shared" si="827"/>
        <v/>
      </c>
      <c r="AK1828" s="214" t="str">
        <f t="shared" si="828"/>
        <v/>
      </c>
      <c r="AL1828" s="214" t="str">
        <f t="shared" si="829"/>
        <v/>
      </c>
      <c r="AM1828" s="214" t="str">
        <f t="shared" si="830"/>
        <v/>
      </c>
      <c r="AN1828" s="213" t="str">
        <f t="shared" si="813"/>
        <v/>
      </c>
      <c r="AO1828" s="213" t="str">
        <f t="shared" si="814"/>
        <v/>
      </c>
      <c r="AP1828" s="213" t="str">
        <f t="shared" si="815"/>
        <v/>
      </c>
      <c r="AQ1828" s="215" t="str">
        <f t="shared" si="816"/>
        <v/>
      </c>
      <c r="AR1828" s="216" t="str">
        <f t="shared" si="817"/>
        <v>BiK81bKA3---07</v>
      </c>
      <c r="AS1828" s="215" t="str">
        <f t="shared" si="818"/>
        <v/>
      </c>
      <c r="AT1828">
        <f t="shared" si="819"/>
        <v>14</v>
      </c>
      <c r="AU1828" s="216" t="str">
        <f t="shared" si="820"/>
        <v>0-0,15 MW, Bonusregeln b und K wenn Anlage 3 erfüllt</v>
      </c>
      <c r="AV1828" s="215" t="str">
        <f t="shared" si="821"/>
        <v/>
      </c>
      <c r="AW1828" s="216" t="str">
        <f t="shared" si="822"/>
        <v>Anteil KWK gemäß Anlage 3</v>
      </c>
      <c r="AX1828" s="215" t="str">
        <f t="shared" si="823"/>
        <v/>
      </c>
      <c r="AY1828" t="str">
        <f t="shared" si="824"/>
        <v/>
      </c>
      <c r="AZ1828" t="str">
        <f t="shared" si="825"/>
        <v/>
      </c>
    </row>
    <row r="1829" spans="1:52" s="178" customFormat="1" x14ac:dyDescent="0.25">
      <c r="A1829" s="610" t="s">
        <v>888</v>
      </c>
      <c r="B1829" s="17" t="s">
        <v>5548</v>
      </c>
      <c r="C1829" s="17" t="s">
        <v>1304</v>
      </c>
      <c r="D1829" s="30" t="s">
        <v>6910</v>
      </c>
      <c r="E1829" s="17" t="s">
        <v>674</v>
      </c>
      <c r="F1829" s="454">
        <f t="shared" si="832"/>
        <v>16.670000000000002</v>
      </c>
      <c r="G1829" s="529">
        <v>16.670000000000002</v>
      </c>
      <c r="H1829" s="487">
        <f t="shared" si="833"/>
        <v>13.34</v>
      </c>
      <c r="I1829" s="706"/>
      <c r="J1829" s="669" t="s">
        <v>5805</v>
      </c>
      <c r="K1829" s="15"/>
      <c r="L1829"/>
      <c r="M1829" s="49">
        <f t="shared" si="834"/>
        <v>16.670000000000002</v>
      </c>
      <c r="N1829" s="41">
        <v>11.67</v>
      </c>
      <c r="O1829" s="54"/>
      <c r="P1829" s="15"/>
      <c r="Q1829" t="s">
        <v>1017</v>
      </c>
      <c r="R1829"/>
      <c r="S1829" t="s">
        <v>4180</v>
      </c>
      <c r="T1829" s="178" t="s">
        <v>4180</v>
      </c>
      <c r="U1829" s="55"/>
      <c r="V1829"/>
      <c r="W1829" s="65"/>
      <c r="X1829" s="65"/>
      <c r="Y1829"/>
      <c r="Z1829"/>
      <c r="AA1829" s="65"/>
      <c r="AB1829"/>
      <c r="AC1829"/>
      <c r="AD1829" s="91"/>
      <c r="AE1829" s="124" t="s">
        <v>1017</v>
      </c>
      <c r="AF1829" s="65"/>
      <c r="AG1829" s="91"/>
      <c r="AH1829" s="212" t="str">
        <f t="shared" si="837"/>
        <v/>
      </c>
      <c r="AI1829" s="214" t="str">
        <f t="shared" si="826"/>
        <v/>
      </c>
      <c r="AJ1829" s="214" t="str">
        <f t="shared" si="827"/>
        <v/>
      </c>
      <c r="AK1829" s="214" t="str">
        <f t="shared" si="828"/>
        <v/>
      </c>
      <c r="AL1829" s="214" t="str">
        <f t="shared" si="829"/>
        <v/>
      </c>
      <c r="AM1829" s="214" t="str">
        <f t="shared" si="830"/>
        <v/>
      </c>
      <c r="AN1829" s="213" t="str">
        <f t="shared" si="813"/>
        <v/>
      </c>
      <c r="AO1829" s="213" t="str">
        <f t="shared" si="814"/>
        <v/>
      </c>
      <c r="AP1829" s="213" t="str">
        <f t="shared" si="815"/>
        <v/>
      </c>
      <c r="AQ1829" s="215" t="str">
        <f t="shared" si="816"/>
        <v/>
      </c>
      <c r="AR1829" s="216" t="str">
        <f t="shared" si="817"/>
        <v>BiK81bK09---07</v>
      </c>
      <c r="AS1829" s="215" t="str">
        <f t="shared" si="818"/>
        <v/>
      </c>
      <c r="AT1829">
        <f t="shared" si="819"/>
        <v>14</v>
      </c>
      <c r="AU1829" s="216" t="str">
        <f t="shared" si="820"/>
        <v>0-0,15 MW, Bonusregeln b und K erstmals 2009</v>
      </c>
      <c r="AV1829" s="215" t="str">
        <f t="shared" si="821"/>
        <v/>
      </c>
      <c r="AW1829" s="216" t="str">
        <f t="shared" si="822"/>
        <v>Anteil KWK, erstmals 2009</v>
      </c>
      <c r="AX1829" s="215" t="str">
        <f t="shared" si="823"/>
        <v/>
      </c>
      <c r="AY1829" t="str">
        <f t="shared" si="824"/>
        <v/>
      </c>
      <c r="AZ1829" t="str">
        <f t="shared" si="825"/>
        <v/>
      </c>
    </row>
    <row r="1830" spans="1:52" s="178" customFormat="1" x14ac:dyDescent="0.25">
      <c r="A1830" s="610" t="s">
        <v>4953</v>
      </c>
      <c r="B1830" s="17" t="s">
        <v>5548</v>
      </c>
      <c r="C1830" s="17" t="s">
        <v>1304</v>
      </c>
      <c r="D1830" s="30" t="s">
        <v>6911</v>
      </c>
      <c r="E1830" s="30" t="s">
        <v>3567</v>
      </c>
      <c r="F1830" s="454">
        <f t="shared" si="832"/>
        <v>16.64</v>
      </c>
      <c r="G1830" s="529">
        <v>16.64</v>
      </c>
      <c r="H1830" s="487">
        <f t="shared" si="833"/>
        <v>13.31</v>
      </c>
      <c r="I1830" s="706"/>
      <c r="J1830" s="669" t="s">
        <v>5805</v>
      </c>
      <c r="K1830" s="15"/>
      <c r="L1830"/>
      <c r="M1830" s="49">
        <f t="shared" si="834"/>
        <v>16.64</v>
      </c>
      <c r="N1830" s="41">
        <v>11.67</v>
      </c>
      <c r="O1830" s="54"/>
      <c r="P1830" s="15"/>
      <c r="Q1830"/>
      <c r="R1830" t="s">
        <v>1017</v>
      </c>
      <c r="S1830" t="s">
        <v>4180</v>
      </c>
      <c r="T1830" s="178" t="s">
        <v>4180</v>
      </c>
      <c r="U1830" s="55"/>
      <c r="V1830"/>
      <c r="W1830" s="65"/>
      <c r="X1830" s="65"/>
      <c r="Y1830"/>
      <c r="Z1830"/>
      <c r="AA1830" s="65"/>
      <c r="AB1830"/>
      <c r="AC1830"/>
      <c r="AD1830" s="91"/>
      <c r="AE1830" s="124" t="s">
        <v>1017</v>
      </c>
      <c r="AF1830" s="65"/>
      <c r="AG1830" s="91"/>
      <c r="AH1830" s="212" t="str">
        <f t="shared" si="837"/>
        <v>2010</v>
      </c>
      <c r="AI1830" s="214" t="str">
        <f t="shared" si="826"/>
        <v/>
      </c>
      <c r="AJ1830" s="214" t="str">
        <f t="shared" si="827"/>
        <v/>
      </c>
      <c r="AK1830" s="214" t="str">
        <f t="shared" si="828"/>
        <v/>
      </c>
      <c r="AL1830" s="214" t="str">
        <f t="shared" si="829"/>
        <v/>
      </c>
      <c r="AM1830" s="214" t="str">
        <f t="shared" si="830"/>
        <v/>
      </c>
      <c r="AN1830" s="213" t="str">
        <f t="shared" si="813"/>
        <v>2010</v>
      </c>
      <c r="AO1830" s="213" t="str">
        <f t="shared" si="814"/>
        <v>2010</v>
      </c>
      <c r="AP1830" s="213" t="str">
        <f t="shared" si="815"/>
        <v>2010</v>
      </c>
      <c r="AQ1830" s="215" t="str">
        <f t="shared" si="816"/>
        <v/>
      </c>
      <c r="AR1830" s="216" t="str">
        <f t="shared" si="817"/>
        <v>BiK81bK10---07</v>
      </c>
      <c r="AS1830" s="215" t="str">
        <f t="shared" si="818"/>
        <v/>
      </c>
      <c r="AT1830">
        <f t="shared" si="819"/>
        <v>14</v>
      </c>
      <c r="AU1830" s="216" t="str">
        <f t="shared" si="820"/>
        <v>0-0,15 MW, Bonusregeln b und K erstmals 2010</v>
      </c>
      <c r="AV1830" s="215" t="str">
        <f t="shared" si="821"/>
        <v/>
      </c>
      <c r="AW1830" s="216" t="str">
        <f t="shared" si="822"/>
        <v>Anteil KWK, erstmals 2010</v>
      </c>
      <c r="AX1830" s="215" t="str">
        <f t="shared" si="823"/>
        <v/>
      </c>
      <c r="AY1830" t="str">
        <f t="shared" si="824"/>
        <v/>
      </c>
      <c r="AZ1830" t="str">
        <f t="shared" si="825"/>
        <v/>
      </c>
    </row>
    <row r="1831" spans="1:52" s="178" customFormat="1" x14ac:dyDescent="0.25">
      <c r="A1831" s="610" t="s">
        <v>5397</v>
      </c>
      <c r="B1831" s="17" t="s">
        <v>5548</v>
      </c>
      <c r="C1831" s="17" t="s">
        <v>1304</v>
      </c>
      <c r="D1831" s="30" t="s">
        <v>6912</v>
      </c>
      <c r="E1831" s="30" t="s">
        <v>3055</v>
      </c>
      <c r="F1831" s="454">
        <f t="shared" si="832"/>
        <v>16.61</v>
      </c>
      <c r="G1831" s="529">
        <v>16.61</v>
      </c>
      <c r="H1831" s="487">
        <f t="shared" si="833"/>
        <v>13.29</v>
      </c>
      <c r="I1831" s="706"/>
      <c r="J1831" s="669" t="s">
        <v>5805</v>
      </c>
      <c r="K1831" s="15"/>
      <c r="L1831"/>
      <c r="M1831" s="49">
        <f t="shared" si="834"/>
        <v>16.61</v>
      </c>
      <c r="N1831" s="41">
        <v>11.67</v>
      </c>
      <c r="O1831" s="54"/>
      <c r="P1831" s="15"/>
      <c r="Q1831"/>
      <c r="R1831"/>
      <c r="S1831" t="s">
        <v>1017</v>
      </c>
      <c r="T1831" s="178" t="s">
        <v>4180</v>
      </c>
      <c r="U1831" s="55"/>
      <c r="V1831"/>
      <c r="W1831" s="65"/>
      <c r="X1831" s="65"/>
      <c r="Y1831"/>
      <c r="Z1831"/>
      <c r="AA1831" s="65"/>
      <c r="AB1831"/>
      <c r="AC1831"/>
      <c r="AD1831" s="91"/>
      <c r="AE1831" s="124" t="s">
        <v>1017</v>
      </c>
      <c r="AF1831" s="65"/>
      <c r="AG1831" s="91"/>
      <c r="AH1831" s="212" t="str">
        <f t="shared" si="837"/>
        <v>2011</v>
      </c>
      <c r="AI1831" s="214" t="str">
        <f t="shared" si="826"/>
        <v/>
      </c>
      <c r="AJ1831" s="214" t="str">
        <f t="shared" si="827"/>
        <v/>
      </c>
      <c r="AK1831" s="214" t="str">
        <f t="shared" si="828"/>
        <v/>
      </c>
      <c r="AL1831" s="214" t="str">
        <f t="shared" si="829"/>
        <v/>
      </c>
      <c r="AM1831" s="214" t="str">
        <f t="shared" si="830"/>
        <v/>
      </c>
      <c r="AN1831" s="213" t="str">
        <f t="shared" si="813"/>
        <v>2011</v>
      </c>
      <c r="AO1831" s="213" t="str">
        <f t="shared" si="814"/>
        <v>2011</v>
      </c>
      <c r="AP1831" s="213" t="str">
        <f t="shared" si="815"/>
        <v>2011</v>
      </c>
      <c r="AQ1831" s="215" t="str">
        <f t="shared" si="816"/>
        <v/>
      </c>
      <c r="AR1831" s="216" t="str">
        <f t="shared" si="817"/>
        <v>BiK81bK11---07</v>
      </c>
      <c r="AS1831" s="215" t="str">
        <f t="shared" si="818"/>
        <v/>
      </c>
      <c r="AT1831">
        <f t="shared" si="819"/>
        <v>14</v>
      </c>
      <c r="AU1831" s="216" t="str">
        <f t="shared" si="820"/>
        <v>0-0,15 MW, Bonusregeln b und K erstmals 2011</v>
      </c>
      <c r="AV1831" s="215" t="str">
        <f t="shared" si="821"/>
        <v/>
      </c>
      <c r="AW1831" s="216" t="str">
        <f t="shared" si="822"/>
        <v>Anteil KWK, erstmals 2011</v>
      </c>
      <c r="AX1831" s="215" t="str">
        <f t="shared" si="823"/>
        <v/>
      </c>
      <c r="AY1831" t="str">
        <f t="shared" si="824"/>
        <v>x</v>
      </c>
      <c r="AZ1831" t="str">
        <f t="shared" si="825"/>
        <v/>
      </c>
    </row>
    <row r="1832" spans="1:52" s="178" customFormat="1" x14ac:dyDescent="0.25">
      <c r="A1832" s="625" t="s">
        <v>1822</v>
      </c>
      <c r="B1832" s="221" t="s">
        <v>5548</v>
      </c>
      <c r="C1832" s="221" t="s">
        <v>1304</v>
      </c>
      <c r="D1832" s="219" t="s">
        <v>6913</v>
      </c>
      <c r="E1832" s="219" t="s">
        <v>1980</v>
      </c>
      <c r="F1832" s="455">
        <f t="shared" si="832"/>
        <v>16.579999999999998</v>
      </c>
      <c r="G1832" s="530">
        <v>16.579999999999998</v>
      </c>
      <c r="H1832" s="488">
        <f t="shared" si="833"/>
        <v>13.26</v>
      </c>
      <c r="I1832" s="707"/>
      <c r="J1832" s="669" t="s">
        <v>5805</v>
      </c>
      <c r="K1832" s="15"/>
      <c r="L1832"/>
      <c r="M1832" s="49">
        <f t="shared" si="834"/>
        <v>16.579999999999998</v>
      </c>
      <c r="N1832" s="41">
        <v>11.67</v>
      </c>
      <c r="O1832" s="54"/>
      <c r="P1832" s="15"/>
      <c r="Q1832"/>
      <c r="R1832"/>
      <c r="S1832" t="s">
        <v>4180</v>
      </c>
      <c r="T1832" s="178" t="s">
        <v>1017</v>
      </c>
      <c r="U1832" s="55"/>
      <c r="V1832"/>
      <c r="W1832" s="65"/>
      <c r="X1832" s="65"/>
      <c r="Y1832"/>
      <c r="Z1832"/>
      <c r="AA1832" s="65"/>
      <c r="AB1832"/>
      <c r="AC1832"/>
      <c r="AD1832" s="91"/>
      <c r="AE1832" s="124" t="s">
        <v>1017</v>
      </c>
      <c r="AF1832" s="65"/>
      <c r="AG1832" s="91"/>
      <c r="AH1832" s="217" t="s">
        <v>4179</v>
      </c>
      <c r="AI1832" s="214" t="str">
        <f t="shared" si="826"/>
        <v/>
      </c>
      <c r="AJ1832" s="214" t="str">
        <f t="shared" si="827"/>
        <v/>
      </c>
      <c r="AK1832" s="214" t="str">
        <f t="shared" si="828"/>
        <v/>
      </c>
      <c r="AL1832" s="214" t="str">
        <f t="shared" si="829"/>
        <v/>
      </c>
      <c r="AM1832" s="214" t="str">
        <f t="shared" si="830"/>
        <v/>
      </c>
      <c r="AN1832" s="213" t="str">
        <f t="shared" si="813"/>
        <v>2012</v>
      </c>
      <c r="AO1832" s="213" t="str">
        <f t="shared" si="814"/>
        <v>2012</v>
      </c>
      <c r="AP1832" s="213" t="str">
        <f t="shared" si="815"/>
        <v>2012</v>
      </c>
      <c r="AQ1832" s="215" t="str">
        <f t="shared" si="816"/>
        <v/>
      </c>
      <c r="AR1832" s="216" t="str">
        <f t="shared" si="817"/>
        <v>BiK81bK12---07</v>
      </c>
      <c r="AS1832" s="215" t="str">
        <f t="shared" si="818"/>
        <v/>
      </c>
      <c r="AT1832">
        <f t="shared" si="819"/>
        <v>14</v>
      </c>
      <c r="AU1832" s="216" t="str">
        <f t="shared" si="820"/>
        <v>0-0,15 MW, Bonusregeln b und K erstmals 2012</v>
      </c>
      <c r="AV1832" s="215" t="str">
        <f t="shared" si="821"/>
        <v/>
      </c>
      <c r="AW1832" s="216" t="str">
        <f t="shared" si="822"/>
        <v>Anteil KWK, erstmals 2012</v>
      </c>
      <c r="AX1832" s="215" t="str">
        <f t="shared" si="823"/>
        <v/>
      </c>
      <c r="AY1832" t="str">
        <f t="shared" si="824"/>
        <v/>
      </c>
      <c r="AZ1832" t="str">
        <f t="shared" si="825"/>
        <v>x</v>
      </c>
    </row>
    <row r="1833" spans="1:52" s="178" customFormat="1" x14ac:dyDescent="0.25">
      <c r="A1833" s="610" t="s">
        <v>3635</v>
      </c>
      <c r="B1833" s="17" t="s">
        <v>5548</v>
      </c>
      <c r="C1833" s="17" t="s">
        <v>1304</v>
      </c>
      <c r="D1833" s="30" t="s">
        <v>6914</v>
      </c>
      <c r="E1833" s="17" t="s">
        <v>4810</v>
      </c>
      <c r="F1833" s="454">
        <f t="shared" si="832"/>
        <v>14.67</v>
      </c>
      <c r="G1833" s="529">
        <v>14.67</v>
      </c>
      <c r="H1833" s="487">
        <f t="shared" si="833"/>
        <v>11.74</v>
      </c>
      <c r="I1833" s="706"/>
      <c r="J1833" s="669" t="s">
        <v>5805</v>
      </c>
      <c r="K1833" s="15"/>
      <c r="L1833"/>
      <c r="M1833" s="49">
        <f t="shared" si="834"/>
        <v>14.67</v>
      </c>
      <c r="N1833" s="41">
        <v>11.67</v>
      </c>
      <c r="O1833" s="54"/>
      <c r="P1833" s="15"/>
      <c r="Q1833"/>
      <c r="R1833"/>
      <c r="S1833" t="s">
        <v>4180</v>
      </c>
      <c r="T1833" s="178" t="s">
        <v>4180</v>
      </c>
      <c r="U1833" s="55" t="s">
        <v>1017</v>
      </c>
      <c r="V1833"/>
      <c r="W1833" s="65"/>
      <c r="X1833" s="65"/>
      <c r="Y1833"/>
      <c r="Z1833"/>
      <c r="AA1833" s="65"/>
      <c r="AB1833"/>
      <c r="AC1833"/>
      <c r="AD1833" s="91"/>
      <c r="AE1833" s="124" t="s">
        <v>1017</v>
      </c>
      <c r="AF1833" s="65"/>
      <c r="AG1833" s="91"/>
      <c r="AH1833" s="212" t="str">
        <f t="shared" ref="AH1833:AH1838" si="838">IF(ISERROR(SEARCH("K erstmals 201",D1833)),"",RIGHT(D1833,4))</f>
        <v/>
      </c>
      <c r="AI1833" s="214" t="str">
        <f t="shared" si="826"/>
        <v/>
      </c>
      <c r="AJ1833" s="214" t="str">
        <f t="shared" si="827"/>
        <v/>
      </c>
      <c r="AK1833" s="214" t="str">
        <f t="shared" si="828"/>
        <v/>
      </c>
      <c r="AL1833" s="214" t="str">
        <f t="shared" si="829"/>
        <v/>
      </c>
      <c r="AM1833" s="214" t="str">
        <f t="shared" si="830"/>
        <v/>
      </c>
      <c r="AN1833" s="213" t="str">
        <f t="shared" si="813"/>
        <v/>
      </c>
      <c r="AO1833" s="213" t="str">
        <f t="shared" si="814"/>
        <v/>
      </c>
      <c r="AP1833" s="213" t="str">
        <f t="shared" si="815"/>
        <v/>
      </c>
      <c r="AQ1833" s="215" t="str">
        <f t="shared" si="816"/>
        <v/>
      </c>
      <c r="AR1833" s="216" t="str">
        <f t="shared" si="817"/>
        <v>BiK81by-----07</v>
      </c>
      <c r="AS1833" s="215" t="str">
        <f t="shared" si="818"/>
        <v/>
      </c>
      <c r="AT1833">
        <f t="shared" si="819"/>
        <v>14</v>
      </c>
      <c r="AU1833" s="216" t="str">
        <f t="shared" si="820"/>
        <v>0-0,15 MW, Bonusregeln b, y</v>
      </c>
      <c r="AV1833" s="215" t="str">
        <f t="shared" si="821"/>
        <v/>
      </c>
      <c r="AW1833" s="216" t="str">
        <f t="shared" si="822"/>
        <v>Anteil Nicht-KWK</v>
      </c>
      <c r="AX1833" s="215" t="str">
        <f t="shared" si="823"/>
        <v/>
      </c>
      <c r="AY1833" t="str">
        <f t="shared" si="824"/>
        <v/>
      </c>
      <c r="AZ1833" t="str">
        <f t="shared" si="825"/>
        <v/>
      </c>
    </row>
    <row r="1834" spans="1:52" s="178" customFormat="1" x14ac:dyDescent="0.25">
      <c r="A1834" s="610" t="s">
        <v>3636</v>
      </c>
      <c r="B1834" s="17" t="s">
        <v>5548</v>
      </c>
      <c r="C1834" s="17" t="s">
        <v>1304</v>
      </c>
      <c r="D1834" s="30" t="s">
        <v>6915</v>
      </c>
      <c r="E1834" s="17" t="s">
        <v>4812</v>
      </c>
      <c r="F1834" s="454">
        <f t="shared" si="832"/>
        <v>16.670000000000002</v>
      </c>
      <c r="G1834" s="529">
        <v>16.670000000000002</v>
      </c>
      <c r="H1834" s="487">
        <f t="shared" si="833"/>
        <v>13.34</v>
      </c>
      <c r="I1834" s="706"/>
      <c r="J1834" s="669" t="s">
        <v>5805</v>
      </c>
      <c r="K1834" s="15"/>
      <c r="L1834"/>
      <c r="M1834" s="49">
        <f t="shared" si="834"/>
        <v>16.670000000000002</v>
      </c>
      <c r="N1834" s="41">
        <v>11.67</v>
      </c>
      <c r="O1834" s="54" t="s">
        <v>1017</v>
      </c>
      <c r="P1834" s="15"/>
      <c r="Q1834"/>
      <c r="R1834"/>
      <c r="S1834" t="s">
        <v>4180</v>
      </c>
      <c r="T1834" s="178" t="s">
        <v>4180</v>
      </c>
      <c r="U1834" s="55" t="s">
        <v>1017</v>
      </c>
      <c r="V1834"/>
      <c r="W1834" s="65"/>
      <c r="X1834" s="65"/>
      <c r="Y1834"/>
      <c r="Z1834"/>
      <c r="AA1834" s="65"/>
      <c r="AB1834"/>
      <c r="AC1834"/>
      <c r="AD1834" s="91"/>
      <c r="AE1834" s="124" t="s">
        <v>1017</v>
      </c>
      <c r="AF1834" s="65"/>
      <c r="AG1834" s="91"/>
      <c r="AH1834" s="212" t="str">
        <f t="shared" si="838"/>
        <v/>
      </c>
      <c r="AI1834" s="214" t="str">
        <f t="shared" si="826"/>
        <v/>
      </c>
      <c r="AJ1834" s="214" t="str">
        <f t="shared" si="827"/>
        <v/>
      </c>
      <c r="AK1834" s="214" t="str">
        <f t="shared" si="828"/>
        <v/>
      </c>
      <c r="AL1834" s="214" t="str">
        <f t="shared" si="829"/>
        <v/>
      </c>
      <c r="AM1834" s="214" t="str">
        <f t="shared" si="830"/>
        <v/>
      </c>
      <c r="AN1834" s="213" t="str">
        <f t="shared" si="813"/>
        <v/>
      </c>
      <c r="AO1834" s="213" t="str">
        <f t="shared" si="814"/>
        <v/>
      </c>
      <c r="AP1834" s="213" t="str">
        <f t="shared" si="815"/>
        <v/>
      </c>
      <c r="AQ1834" s="215" t="str">
        <f t="shared" si="816"/>
        <v/>
      </c>
      <c r="AR1834" s="216" t="str">
        <f t="shared" si="817"/>
        <v>BiK81bKWKy--07</v>
      </c>
      <c r="AS1834" s="215" t="str">
        <f t="shared" si="818"/>
        <v/>
      </c>
      <c r="AT1834">
        <f t="shared" si="819"/>
        <v>14</v>
      </c>
      <c r="AU1834" s="216" t="str">
        <f t="shared" si="820"/>
        <v>0-0,15 MW, Bonusregeln b, y und KWK</v>
      </c>
      <c r="AV1834" s="215" t="str">
        <f t="shared" si="821"/>
        <v/>
      </c>
      <c r="AW1834" s="216" t="str">
        <f t="shared" si="822"/>
        <v>Anteil KWK</v>
      </c>
      <c r="AX1834" s="215" t="str">
        <f t="shared" si="823"/>
        <v/>
      </c>
      <c r="AY1834" t="str">
        <f t="shared" si="824"/>
        <v/>
      </c>
      <c r="AZ1834" t="str">
        <f t="shared" si="825"/>
        <v/>
      </c>
    </row>
    <row r="1835" spans="1:52" s="178" customFormat="1" x14ac:dyDescent="0.25">
      <c r="A1835" s="610" t="s">
        <v>3637</v>
      </c>
      <c r="B1835" s="17" t="s">
        <v>5548</v>
      </c>
      <c r="C1835" s="30" t="s">
        <v>1304</v>
      </c>
      <c r="D1835" s="30" t="s">
        <v>6916</v>
      </c>
      <c r="E1835" s="30" t="s">
        <v>4331</v>
      </c>
      <c r="F1835" s="454">
        <f t="shared" si="832"/>
        <v>17.670000000000002</v>
      </c>
      <c r="G1835" s="529">
        <v>17.670000000000002</v>
      </c>
      <c r="H1835" s="487">
        <f t="shared" si="833"/>
        <v>14.14</v>
      </c>
      <c r="I1835" s="706"/>
      <c r="J1835" s="669" t="s">
        <v>5805</v>
      </c>
      <c r="K1835" s="15"/>
      <c r="L1835"/>
      <c r="M1835" s="49">
        <f t="shared" si="834"/>
        <v>17.670000000000002</v>
      </c>
      <c r="N1835" s="41">
        <v>11.67</v>
      </c>
      <c r="O1835" s="54"/>
      <c r="P1835" t="s">
        <v>1017</v>
      </c>
      <c r="Q1835"/>
      <c r="R1835"/>
      <c r="S1835" t="s">
        <v>4180</v>
      </c>
      <c r="T1835" s="178" t="s">
        <v>4180</v>
      </c>
      <c r="U1835" s="55" t="s">
        <v>1017</v>
      </c>
      <c r="V1835"/>
      <c r="W1835" s="65"/>
      <c r="X1835" s="65"/>
      <c r="Y1835"/>
      <c r="Z1835"/>
      <c r="AA1835" s="65"/>
      <c r="AB1835"/>
      <c r="AC1835"/>
      <c r="AD1835" s="91"/>
      <c r="AE1835" s="124" t="s">
        <v>1017</v>
      </c>
      <c r="AF1835" s="65"/>
      <c r="AG1835" s="91"/>
      <c r="AH1835" s="212" t="str">
        <f t="shared" si="838"/>
        <v/>
      </c>
      <c r="AI1835" s="214" t="str">
        <f t="shared" si="826"/>
        <v/>
      </c>
      <c r="AJ1835" s="214" t="str">
        <f t="shared" si="827"/>
        <v/>
      </c>
      <c r="AK1835" s="214" t="str">
        <f t="shared" si="828"/>
        <v/>
      </c>
      <c r="AL1835" s="214" t="str">
        <f t="shared" si="829"/>
        <v/>
      </c>
      <c r="AM1835" s="214" t="str">
        <f t="shared" si="830"/>
        <v/>
      </c>
      <c r="AN1835" s="213" t="str">
        <f t="shared" si="813"/>
        <v/>
      </c>
      <c r="AO1835" s="213" t="str">
        <f t="shared" si="814"/>
        <v/>
      </c>
      <c r="AP1835" s="213" t="str">
        <f t="shared" si="815"/>
        <v/>
      </c>
      <c r="AQ1835" s="215" t="str">
        <f t="shared" si="816"/>
        <v/>
      </c>
      <c r="AR1835" s="216" t="str">
        <f t="shared" si="817"/>
        <v>BiK81bKA3y--07</v>
      </c>
      <c r="AS1835" s="215" t="str">
        <f t="shared" si="818"/>
        <v/>
      </c>
      <c r="AT1835">
        <f t="shared" si="819"/>
        <v>14</v>
      </c>
      <c r="AU1835" s="216" t="str">
        <f t="shared" si="820"/>
        <v>0-0,15 MW, Bonusregeln b, y und K wenn Anlage 3 erfüllt</v>
      </c>
      <c r="AV1835" s="215" t="str">
        <f t="shared" si="821"/>
        <v/>
      </c>
      <c r="AW1835" s="216" t="str">
        <f t="shared" si="822"/>
        <v>Anteil KWK gemäß Anlage 3</v>
      </c>
      <c r="AX1835" s="215" t="str">
        <f t="shared" si="823"/>
        <v/>
      </c>
      <c r="AY1835" t="str">
        <f t="shared" si="824"/>
        <v/>
      </c>
      <c r="AZ1835" t="str">
        <f t="shared" si="825"/>
        <v/>
      </c>
    </row>
    <row r="1836" spans="1:52" s="178" customFormat="1" x14ac:dyDescent="0.25">
      <c r="A1836" s="610" t="s">
        <v>3638</v>
      </c>
      <c r="B1836" s="17" t="s">
        <v>5548</v>
      </c>
      <c r="C1836" s="17" t="s">
        <v>1304</v>
      </c>
      <c r="D1836" s="30" t="s">
        <v>6917</v>
      </c>
      <c r="E1836" s="17" t="s">
        <v>674</v>
      </c>
      <c r="F1836" s="454">
        <f t="shared" si="832"/>
        <v>17.670000000000002</v>
      </c>
      <c r="G1836" s="529">
        <v>17.670000000000002</v>
      </c>
      <c r="H1836" s="487">
        <f t="shared" si="833"/>
        <v>14.14</v>
      </c>
      <c r="I1836" s="706"/>
      <c r="J1836" s="669" t="s">
        <v>5805</v>
      </c>
      <c r="K1836" s="15"/>
      <c r="L1836"/>
      <c r="M1836" s="49">
        <f t="shared" si="834"/>
        <v>17.670000000000002</v>
      </c>
      <c r="N1836" s="41">
        <v>11.67</v>
      </c>
      <c r="O1836" s="54"/>
      <c r="P1836" s="15"/>
      <c r="Q1836" t="s">
        <v>1017</v>
      </c>
      <c r="R1836"/>
      <c r="S1836" t="s">
        <v>4180</v>
      </c>
      <c r="T1836" s="178" t="s">
        <v>4180</v>
      </c>
      <c r="U1836" s="55" t="s">
        <v>1017</v>
      </c>
      <c r="V1836"/>
      <c r="W1836" s="65"/>
      <c r="X1836" s="65"/>
      <c r="Y1836"/>
      <c r="Z1836"/>
      <c r="AA1836" s="65"/>
      <c r="AB1836"/>
      <c r="AC1836"/>
      <c r="AD1836" s="91"/>
      <c r="AE1836" s="124" t="s">
        <v>1017</v>
      </c>
      <c r="AF1836" s="65"/>
      <c r="AG1836" s="91"/>
      <c r="AH1836" s="212" t="str">
        <f t="shared" si="838"/>
        <v/>
      </c>
      <c r="AI1836" s="214" t="str">
        <f t="shared" si="826"/>
        <v/>
      </c>
      <c r="AJ1836" s="214" t="str">
        <f t="shared" si="827"/>
        <v/>
      </c>
      <c r="AK1836" s="214" t="str">
        <f t="shared" si="828"/>
        <v/>
      </c>
      <c r="AL1836" s="214" t="str">
        <f t="shared" si="829"/>
        <v/>
      </c>
      <c r="AM1836" s="214" t="str">
        <f t="shared" si="830"/>
        <v/>
      </c>
      <c r="AN1836" s="213" t="str">
        <f t="shared" si="813"/>
        <v/>
      </c>
      <c r="AO1836" s="213" t="str">
        <f t="shared" si="814"/>
        <v/>
      </c>
      <c r="AP1836" s="213" t="str">
        <f t="shared" si="815"/>
        <v/>
      </c>
      <c r="AQ1836" s="215" t="str">
        <f t="shared" si="816"/>
        <v/>
      </c>
      <c r="AR1836" s="216" t="str">
        <f t="shared" si="817"/>
        <v>BiK81bK09y--07</v>
      </c>
      <c r="AS1836" s="215" t="str">
        <f t="shared" si="818"/>
        <v/>
      </c>
      <c r="AT1836">
        <f t="shared" si="819"/>
        <v>14</v>
      </c>
      <c r="AU1836" s="216" t="str">
        <f t="shared" si="820"/>
        <v>0-0,15 MW, Bonusregeln b, y und K erstmals 2009</v>
      </c>
      <c r="AV1836" s="215" t="str">
        <f t="shared" si="821"/>
        <v/>
      </c>
      <c r="AW1836" s="216" t="str">
        <f t="shared" si="822"/>
        <v>Anteil KWK, erstmals 2009</v>
      </c>
      <c r="AX1836" s="215" t="str">
        <f t="shared" si="823"/>
        <v/>
      </c>
      <c r="AY1836" t="str">
        <f t="shared" si="824"/>
        <v/>
      </c>
      <c r="AZ1836" t="str">
        <f t="shared" si="825"/>
        <v/>
      </c>
    </row>
    <row r="1837" spans="1:52" s="178" customFormat="1" x14ac:dyDescent="0.25">
      <c r="A1837" s="610" t="s">
        <v>4954</v>
      </c>
      <c r="B1837" s="17" t="s">
        <v>5548</v>
      </c>
      <c r="C1837" s="17" t="s">
        <v>1304</v>
      </c>
      <c r="D1837" s="30" t="s">
        <v>6918</v>
      </c>
      <c r="E1837" s="30" t="s">
        <v>3567</v>
      </c>
      <c r="F1837" s="454">
        <f t="shared" si="832"/>
        <v>17.64</v>
      </c>
      <c r="G1837" s="529">
        <v>17.64</v>
      </c>
      <c r="H1837" s="487">
        <f t="shared" si="833"/>
        <v>14.11</v>
      </c>
      <c r="I1837" s="706"/>
      <c r="J1837" s="669" t="s">
        <v>5805</v>
      </c>
      <c r="K1837" s="15"/>
      <c r="L1837"/>
      <c r="M1837" s="49">
        <f t="shared" si="834"/>
        <v>17.64</v>
      </c>
      <c r="N1837" s="41">
        <v>11.67</v>
      </c>
      <c r="O1837" s="54"/>
      <c r="P1837" s="15"/>
      <c r="Q1837"/>
      <c r="R1837" t="s">
        <v>1017</v>
      </c>
      <c r="S1837" t="s">
        <v>4180</v>
      </c>
      <c r="T1837" s="178" t="s">
        <v>4180</v>
      </c>
      <c r="U1837" s="55" t="s">
        <v>1017</v>
      </c>
      <c r="V1837"/>
      <c r="W1837" s="65"/>
      <c r="X1837" s="65"/>
      <c r="Y1837"/>
      <c r="Z1837"/>
      <c r="AA1837" s="65"/>
      <c r="AB1837"/>
      <c r="AC1837"/>
      <c r="AD1837" s="91"/>
      <c r="AE1837" s="124" t="s">
        <v>1017</v>
      </c>
      <c r="AF1837" s="65"/>
      <c r="AG1837" s="91"/>
      <c r="AH1837" s="212" t="str">
        <f t="shared" si="838"/>
        <v>2010</v>
      </c>
      <c r="AI1837" s="214" t="str">
        <f t="shared" si="826"/>
        <v/>
      </c>
      <c r="AJ1837" s="214" t="str">
        <f t="shared" si="827"/>
        <v/>
      </c>
      <c r="AK1837" s="214" t="str">
        <f t="shared" si="828"/>
        <v/>
      </c>
      <c r="AL1837" s="214" t="str">
        <f t="shared" si="829"/>
        <v/>
      </c>
      <c r="AM1837" s="214" t="str">
        <f t="shared" si="830"/>
        <v/>
      </c>
      <c r="AN1837" s="213" t="str">
        <f t="shared" si="813"/>
        <v>2010</v>
      </c>
      <c r="AO1837" s="213" t="str">
        <f t="shared" si="814"/>
        <v>2010</v>
      </c>
      <c r="AP1837" s="213" t="str">
        <f t="shared" si="815"/>
        <v>2010</v>
      </c>
      <c r="AQ1837" s="215" t="str">
        <f t="shared" si="816"/>
        <v/>
      </c>
      <c r="AR1837" s="216" t="str">
        <f t="shared" si="817"/>
        <v>BiK81bK10y--07</v>
      </c>
      <c r="AS1837" s="215" t="str">
        <f t="shared" si="818"/>
        <v/>
      </c>
      <c r="AT1837">
        <f t="shared" si="819"/>
        <v>14</v>
      </c>
      <c r="AU1837" s="216" t="str">
        <f t="shared" si="820"/>
        <v>0-0,15 MW, Bonusregeln b, y und K erstmals 2010</v>
      </c>
      <c r="AV1837" s="215" t="str">
        <f t="shared" si="821"/>
        <v/>
      </c>
      <c r="AW1837" s="216" t="str">
        <f t="shared" si="822"/>
        <v>Anteil KWK, erstmals 2010</v>
      </c>
      <c r="AX1837" s="215" t="str">
        <f t="shared" si="823"/>
        <v/>
      </c>
      <c r="AY1837" t="str">
        <f t="shared" si="824"/>
        <v/>
      </c>
      <c r="AZ1837" t="str">
        <f t="shared" si="825"/>
        <v/>
      </c>
    </row>
    <row r="1838" spans="1:52" s="178" customFormat="1" x14ac:dyDescent="0.25">
      <c r="A1838" s="610" t="s">
        <v>5398</v>
      </c>
      <c r="B1838" s="17" t="s">
        <v>5548</v>
      </c>
      <c r="C1838" s="17" t="s">
        <v>1304</v>
      </c>
      <c r="D1838" s="30" t="s">
        <v>6919</v>
      </c>
      <c r="E1838" s="30" t="s">
        <v>3055</v>
      </c>
      <c r="F1838" s="454">
        <f t="shared" si="832"/>
        <v>17.61</v>
      </c>
      <c r="G1838" s="529">
        <v>17.61</v>
      </c>
      <c r="H1838" s="487">
        <f t="shared" si="833"/>
        <v>14.09</v>
      </c>
      <c r="I1838" s="706"/>
      <c r="J1838" s="669" t="s">
        <v>5805</v>
      </c>
      <c r="K1838" s="15"/>
      <c r="L1838"/>
      <c r="M1838" s="49">
        <f t="shared" si="834"/>
        <v>17.61</v>
      </c>
      <c r="N1838" s="41">
        <v>11.67</v>
      </c>
      <c r="O1838" s="54"/>
      <c r="P1838" s="15"/>
      <c r="Q1838"/>
      <c r="R1838"/>
      <c r="S1838" t="s">
        <v>1017</v>
      </c>
      <c r="T1838" s="178" t="s">
        <v>4180</v>
      </c>
      <c r="U1838" s="55" t="s">
        <v>1017</v>
      </c>
      <c r="V1838"/>
      <c r="W1838" s="65"/>
      <c r="X1838" s="65"/>
      <c r="Y1838"/>
      <c r="Z1838"/>
      <c r="AA1838" s="65"/>
      <c r="AB1838"/>
      <c r="AC1838"/>
      <c r="AD1838" s="91"/>
      <c r="AE1838" s="124" t="s">
        <v>1017</v>
      </c>
      <c r="AF1838" s="65"/>
      <c r="AG1838" s="91"/>
      <c r="AH1838" s="212" t="str">
        <f t="shared" si="838"/>
        <v>2011</v>
      </c>
      <c r="AI1838" s="214" t="str">
        <f t="shared" si="826"/>
        <v/>
      </c>
      <c r="AJ1838" s="214" t="str">
        <f t="shared" si="827"/>
        <v/>
      </c>
      <c r="AK1838" s="214" t="str">
        <f t="shared" si="828"/>
        <v/>
      </c>
      <c r="AL1838" s="214" t="str">
        <f t="shared" si="829"/>
        <v/>
      </c>
      <c r="AM1838" s="214" t="str">
        <f t="shared" si="830"/>
        <v/>
      </c>
      <c r="AN1838" s="213" t="str">
        <f t="shared" si="813"/>
        <v>2011</v>
      </c>
      <c r="AO1838" s="213" t="str">
        <f t="shared" si="814"/>
        <v>2011</v>
      </c>
      <c r="AP1838" s="213" t="str">
        <f t="shared" si="815"/>
        <v>2011</v>
      </c>
      <c r="AQ1838" s="215" t="str">
        <f t="shared" si="816"/>
        <v/>
      </c>
      <c r="AR1838" s="216" t="str">
        <f t="shared" si="817"/>
        <v>BiK81bK11y--07</v>
      </c>
      <c r="AS1838" s="215" t="str">
        <f t="shared" si="818"/>
        <v/>
      </c>
      <c r="AT1838">
        <f t="shared" si="819"/>
        <v>14</v>
      </c>
      <c r="AU1838" s="216" t="str">
        <f t="shared" si="820"/>
        <v>0-0,15 MW, Bonusregeln b, y und K erstmals 2011</v>
      </c>
      <c r="AV1838" s="215" t="str">
        <f t="shared" si="821"/>
        <v/>
      </c>
      <c r="AW1838" s="216" t="str">
        <f t="shared" si="822"/>
        <v>Anteil KWK, erstmals 2011</v>
      </c>
      <c r="AX1838" s="215" t="str">
        <f t="shared" si="823"/>
        <v/>
      </c>
      <c r="AY1838" t="str">
        <f t="shared" si="824"/>
        <v>x</v>
      </c>
      <c r="AZ1838" t="str">
        <f t="shared" si="825"/>
        <v/>
      </c>
    </row>
    <row r="1839" spans="1:52" s="178" customFormat="1" x14ac:dyDescent="0.25">
      <c r="A1839" s="625" t="s">
        <v>1823</v>
      </c>
      <c r="B1839" s="221" t="s">
        <v>5548</v>
      </c>
      <c r="C1839" s="221" t="s">
        <v>1304</v>
      </c>
      <c r="D1839" s="219" t="s">
        <v>6920</v>
      </c>
      <c r="E1839" s="219" t="s">
        <v>1980</v>
      </c>
      <c r="F1839" s="455">
        <f t="shared" si="832"/>
        <v>17.579999999999998</v>
      </c>
      <c r="G1839" s="530">
        <v>17.579999999999998</v>
      </c>
      <c r="H1839" s="488">
        <f t="shared" si="833"/>
        <v>14.06</v>
      </c>
      <c r="I1839" s="707"/>
      <c r="J1839" s="669" t="s">
        <v>5805</v>
      </c>
      <c r="K1839" s="15"/>
      <c r="L1839"/>
      <c r="M1839" s="49">
        <f t="shared" si="834"/>
        <v>17.579999999999998</v>
      </c>
      <c r="N1839" s="41">
        <v>11.67</v>
      </c>
      <c r="O1839" s="54"/>
      <c r="P1839" s="15"/>
      <c r="Q1839"/>
      <c r="R1839"/>
      <c r="S1839" t="s">
        <v>4180</v>
      </c>
      <c r="T1839" s="178" t="s">
        <v>1017</v>
      </c>
      <c r="U1839" s="55" t="s">
        <v>1017</v>
      </c>
      <c r="V1839"/>
      <c r="W1839" s="65"/>
      <c r="X1839" s="65"/>
      <c r="Y1839"/>
      <c r="Z1839"/>
      <c r="AA1839" s="65"/>
      <c r="AB1839"/>
      <c r="AC1839"/>
      <c r="AD1839" s="91"/>
      <c r="AE1839" s="124" t="s">
        <v>1017</v>
      </c>
      <c r="AF1839" s="65"/>
      <c r="AG1839" s="91"/>
      <c r="AH1839" s="217" t="s">
        <v>4179</v>
      </c>
      <c r="AI1839" s="214" t="str">
        <f t="shared" si="826"/>
        <v/>
      </c>
      <c r="AJ1839" s="214" t="str">
        <f t="shared" si="827"/>
        <v/>
      </c>
      <c r="AK1839" s="214" t="str">
        <f t="shared" si="828"/>
        <v/>
      </c>
      <c r="AL1839" s="214" t="str">
        <f t="shared" si="829"/>
        <v/>
      </c>
      <c r="AM1839" s="214" t="str">
        <f t="shared" si="830"/>
        <v/>
      </c>
      <c r="AN1839" s="213" t="str">
        <f t="shared" si="813"/>
        <v>2012</v>
      </c>
      <c r="AO1839" s="213" t="str">
        <f t="shared" si="814"/>
        <v>2012</v>
      </c>
      <c r="AP1839" s="213" t="str">
        <f t="shared" si="815"/>
        <v>2012</v>
      </c>
      <c r="AQ1839" s="215" t="str">
        <f t="shared" si="816"/>
        <v/>
      </c>
      <c r="AR1839" s="216" t="str">
        <f t="shared" si="817"/>
        <v>BiK81bK12y--07</v>
      </c>
      <c r="AS1839" s="215" t="str">
        <f t="shared" si="818"/>
        <v/>
      </c>
      <c r="AT1839">
        <f t="shared" si="819"/>
        <v>14</v>
      </c>
      <c r="AU1839" s="216" t="str">
        <f t="shared" si="820"/>
        <v>0-0,15 MW, Bonusregeln b, y und K erstmals 2012</v>
      </c>
      <c r="AV1839" s="215" t="str">
        <f t="shared" si="821"/>
        <v/>
      </c>
      <c r="AW1839" s="216" t="str">
        <f t="shared" si="822"/>
        <v>Anteil KWK, erstmals 2012</v>
      </c>
      <c r="AX1839" s="215" t="str">
        <f t="shared" si="823"/>
        <v/>
      </c>
      <c r="AY1839" t="str">
        <f t="shared" si="824"/>
        <v/>
      </c>
      <c r="AZ1839" t="str">
        <f t="shared" si="825"/>
        <v>x</v>
      </c>
    </row>
    <row r="1840" spans="1:52" s="178" customFormat="1" x14ac:dyDescent="0.25">
      <c r="A1840" s="618" t="s">
        <v>539</v>
      </c>
      <c r="B1840" s="31" t="s">
        <v>5548</v>
      </c>
      <c r="C1840" s="31" t="s">
        <v>1304</v>
      </c>
      <c r="D1840" s="31" t="s">
        <v>6921</v>
      </c>
      <c r="E1840" s="31" t="s">
        <v>4810</v>
      </c>
      <c r="F1840" s="460">
        <f t="shared" si="832"/>
        <v>19.670000000000002</v>
      </c>
      <c r="G1840" s="536">
        <v>19.670000000000002</v>
      </c>
      <c r="H1840" s="494">
        <f t="shared" si="833"/>
        <v>15.74</v>
      </c>
      <c r="I1840" s="713"/>
      <c r="J1840" s="669" t="s">
        <v>5805</v>
      </c>
      <c r="K1840" s="15"/>
      <c r="L1840"/>
      <c r="M1840" s="49">
        <f t="shared" si="834"/>
        <v>19.670000000000002</v>
      </c>
      <c r="N1840" s="41">
        <v>11.67</v>
      </c>
      <c r="O1840" s="54"/>
      <c r="P1840" s="15"/>
      <c r="Q1840"/>
      <c r="R1840"/>
      <c r="S1840" t="s">
        <v>4180</v>
      </c>
      <c r="T1840" s="178" t="s">
        <v>4180</v>
      </c>
      <c r="U1840" s="55"/>
      <c r="V1840" t="s">
        <v>1017</v>
      </c>
      <c r="W1840" s="65"/>
      <c r="X1840" s="65"/>
      <c r="Y1840"/>
      <c r="Z1840"/>
      <c r="AA1840" s="65"/>
      <c r="AB1840"/>
      <c r="AC1840"/>
      <c r="AD1840" s="91"/>
      <c r="AE1840" s="124" t="s">
        <v>1017</v>
      </c>
      <c r="AF1840" s="65"/>
      <c r="AG1840" s="91"/>
      <c r="AH1840" s="212" t="str">
        <f t="shared" ref="AH1840:AH1845" si="839">IF(ISERROR(SEARCH("K erstmals 201",D1840)),"",RIGHT(D1840,4))</f>
        <v/>
      </c>
      <c r="AI1840" s="214" t="str">
        <f t="shared" si="826"/>
        <v/>
      </c>
      <c r="AJ1840" s="214" t="str">
        <f t="shared" si="827"/>
        <v/>
      </c>
      <c r="AK1840" s="214" t="str">
        <f t="shared" si="828"/>
        <v/>
      </c>
      <c r="AL1840" s="214" t="str">
        <f t="shared" si="829"/>
        <v/>
      </c>
      <c r="AM1840" s="214" t="str">
        <f t="shared" si="830"/>
        <v/>
      </c>
      <c r="AN1840" s="213" t="str">
        <f t="shared" si="813"/>
        <v/>
      </c>
      <c r="AO1840" s="213" t="str">
        <f t="shared" si="814"/>
        <v/>
      </c>
      <c r="AP1840" s="213" t="str">
        <f t="shared" si="815"/>
        <v/>
      </c>
      <c r="AQ1840" s="215" t="str">
        <f t="shared" si="816"/>
        <v/>
      </c>
      <c r="AR1840" s="216" t="str">
        <f t="shared" si="817"/>
        <v>BiK81a1b----07</v>
      </c>
      <c r="AS1840" s="215" t="str">
        <f t="shared" si="818"/>
        <v/>
      </c>
      <c r="AT1840">
        <f t="shared" si="819"/>
        <v>14</v>
      </c>
      <c r="AU1840" s="216" t="str">
        <f t="shared" si="820"/>
        <v>0-0,15 MW, Bonusregeln a1 und b</v>
      </c>
      <c r="AV1840" s="215" t="str">
        <f t="shared" si="821"/>
        <v/>
      </c>
      <c r="AW1840" s="216" t="str">
        <f t="shared" si="822"/>
        <v>Anteil Nicht-KWK</v>
      </c>
      <c r="AX1840" s="215" t="str">
        <f t="shared" si="823"/>
        <v/>
      </c>
      <c r="AY1840" t="str">
        <f t="shared" si="824"/>
        <v/>
      </c>
      <c r="AZ1840" t="str">
        <f t="shared" si="825"/>
        <v/>
      </c>
    </row>
    <row r="1841" spans="1:52" s="178" customFormat="1" x14ac:dyDescent="0.25">
      <c r="A1841" s="618" t="s">
        <v>540</v>
      </c>
      <c r="B1841" s="31" t="s">
        <v>5548</v>
      </c>
      <c r="C1841" s="31" t="s">
        <v>1304</v>
      </c>
      <c r="D1841" s="33" t="s">
        <v>6922</v>
      </c>
      <c r="E1841" s="31" t="s">
        <v>4812</v>
      </c>
      <c r="F1841" s="460">
        <f t="shared" si="832"/>
        <v>21.67</v>
      </c>
      <c r="G1841" s="536">
        <v>21.67</v>
      </c>
      <c r="H1841" s="494">
        <f t="shared" si="833"/>
        <v>17.34</v>
      </c>
      <c r="I1841" s="713"/>
      <c r="J1841" s="669" t="s">
        <v>5805</v>
      </c>
      <c r="K1841" s="15"/>
      <c r="L1841"/>
      <c r="M1841" s="49">
        <f t="shared" si="834"/>
        <v>21.67</v>
      </c>
      <c r="N1841" s="41">
        <v>11.67</v>
      </c>
      <c r="O1841" s="54" t="s">
        <v>1017</v>
      </c>
      <c r="P1841" s="15"/>
      <c r="Q1841"/>
      <c r="R1841"/>
      <c r="S1841" t="s">
        <v>4180</v>
      </c>
      <c r="T1841" s="178" t="s">
        <v>4180</v>
      </c>
      <c r="U1841" s="55"/>
      <c r="V1841" t="s">
        <v>1017</v>
      </c>
      <c r="W1841" s="65"/>
      <c r="X1841" s="65"/>
      <c r="Y1841"/>
      <c r="Z1841"/>
      <c r="AA1841" s="65"/>
      <c r="AB1841"/>
      <c r="AC1841"/>
      <c r="AD1841" s="91"/>
      <c r="AE1841" s="124" t="s">
        <v>1017</v>
      </c>
      <c r="AF1841" s="65"/>
      <c r="AG1841" s="91"/>
      <c r="AH1841" s="212" t="str">
        <f t="shared" si="839"/>
        <v/>
      </c>
      <c r="AI1841" s="214" t="str">
        <f t="shared" si="826"/>
        <v/>
      </c>
      <c r="AJ1841" s="214" t="str">
        <f t="shared" si="827"/>
        <v/>
      </c>
      <c r="AK1841" s="214" t="str">
        <f t="shared" si="828"/>
        <v/>
      </c>
      <c r="AL1841" s="214" t="str">
        <f t="shared" si="829"/>
        <v/>
      </c>
      <c r="AM1841" s="214" t="str">
        <f t="shared" si="830"/>
        <v/>
      </c>
      <c r="AN1841" s="213" t="str">
        <f t="shared" si="813"/>
        <v/>
      </c>
      <c r="AO1841" s="213" t="str">
        <f t="shared" si="814"/>
        <v/>
      </c>
      <c r="AP1841" s="213" t="str">
        <f t="shared" si="815"/>
        <v/>
      </c>
      <c r="AQ1841" s="215" t="str">
        <f t="shared" si="816"/>
        <v/>
      </c>
      <c r="AR1841" s="216" t="str">
        <f t="shared" si="817"/>
        <v>BiK81a1bKWK-07</v>
      </c>
      <c r="AS1841" s="215" t="str">
        <f t="shared" si="818"/>
        <v/>
      </c>
      <c r="AT1841">
        <f t="shared" si="819"/>
        <v>14</v>
      </c>
      <c r="AU1841" s="216" t="str">
        <f t="shared" si="820"/>
        <v>0-0,15 MW, Bonusregeln a1, b und KWK</v>
      </c>
      <c r="AV1841" s="215" t="str">
        <f t="shared" si="821"/>
        <v/>
      </c>
      <c r="AW1841" s="216" t="str">
        <f t="shared" si="822"/>
        <v>Anteil KWK</v>
      </c>
      <c r="AX1841" s="215" t="str">
        <f t="shared" si="823"/>
        <v/>
      </c>
      <c r="AY1841" t="str">
        <f t="shared" si="824"/>
        <v/>
      </c>
      <c r="AZ1841" t="str">
        <f t="shared" si="825"/>
        <v/>
      </c>
    </row>
    <row r="1842" spans="1:52" s="178" customFormat="1" x14ac:dyDescent="0.25">
      <c r="A1842" s="610" t="s">
        <v>4361</v>
      </c>
      <c r="B1842" s="17" t="s">
        <v>5548</v>
      </c>
      <c r="C1842" s="30" t="s">
        <v>1304</v>
      </c>
      <c r="D1842" s="30" t="s">
        <v>6923</v>
      </c>
      <c r="E1842" s="30" t="s">
        <v>4331</v>
      </c>
      <c r="F1842" s="454">
        <f t="shared" si="832"/>
        <v>22.67</v>
      </c>
      <c r="G1842" s="529">
        <v>22.67</v>
      </c>
      <c r="H1842" s="487">
        <f t="shared" si="833"/>
        <v>18.14</v>
      </c>
      <c r="I1842" s="706"/>
      <c r="J1842" s="669" t="s">
        <v>5805</v>
      </c>
      <c r="K1842" s="15"/>
      <c r="L1842"/>
      <c r="M1842" s="49">
        <f t="shared" si="834"/>
        <v>22.67</v>
      </c>
      <c r="N1842" s="41">
        <v>11.67</v>
      </c>
      <c r="O1842" s="54"/>
      <c r="P1842" t="s">
        <v>1017</v>
      </c>
      <c r="Q1842"/>
      <c r="R1842"/>
      <c r="S1842" t="s">
        <v>4180</v>
      </c>
      <c r="T1842" s="178" t="s">
        <v>4180</v>
      </c>
      <c r="U1842" s="55"/>
      <c r="V1842" t="s">
        <v>1017</v>
      </c>
      <c r="W1842" s="65"/>
      <c r="X1842" s="65"/>
      <c r="Y1842"/>
      <c r="Z1842"/>
      <c r="AA1842" s="65"/>
      <c r="AB1842"/>
      <c r="AC1842"/>
      <c r="AD1842" s="91"/>
      <c r="AE1842" s="124" t="s">
        <v>1017</v>
      </c>
      <c r="AF1842" s="65"/>
      <c r="AG1842" s="91"/>
      <c r="AH1842" s="212" t="str">
        <f t="shared" si="839"/>
        <v/>
      </c>
      <c r="AI1842" s="214" t="str">
        <f t="shared" si="826"/>
        <v/>
      </c>
      <c r="AJ1842" s="214" t="str">
        <f t="shared" si="827"/>
        <v/>
      </c>
      <c r="AK1842" s="214" t="str">
        <f t="shared" si="828"/>
        <v/>
      </c>
      <c r="AL1842" s="214" t="str">
        <f t="shared" si="829"/>
        <v/>
      </c>
      <c r="AM1842" s="214" t="str">
        <f t="shared" si="830"/>
        <v/>
      </c>
      <c r="AN1842" s="213" t="str">
        <f t="shared" si="813"/>
        <v/>
      </c>
      <c r="AO1842" s="213" t="str">
        <f t="shared" si="814"/>
        <v/>
      </c>
      <c r="AP1842" s="213" t="str">
        <f t="shared" si="815"/>
        <v/>
      </c>
      <c r="AQ1842" s="215" t="str">
        <f t="shared" si="816"/>
        <v/>
      </c>
      <c r="AR1842" s="216" t="str">
        <f t="shared" si="817"/>
        <v>BiK81a1bKA3-07</v>
      </c>
      <c r="AS1842" s="215" t="str">
        <f t="shared" si="818"/>
        <v/>
      </c>
      <c r="AT1842">
        <f t="shared" si="819"/>
        <v>14</v>
      </c>
      <c r="AU1842" s="216" t="str">
        <f t="shared" si="820"/>
        <v>0-0,15 MW, Bonusregeln a1, b und K wenn Anlage 3 erfüllt</v>
      </c>
      <c r="AV1842" s="215" t="str">
        <f t="shared" si="821"/>
        <v/>
      </c>
      <c r="AW1842" s="216" t="str">
        <f t="shared" si="822"/>
        <v>Anteil KWK gemäß Anlage 3</v>
      </c>
      <c r="AX1842" s="215" t="str">
        <f t="shared" si="823"/>
        <v/>
      </c>
      <c r="AY1842" t="str">
        <f t="shared" si="824"/>
        <v/>
      </c>
      <c r="AZ1842" t="str">
        <f t="shared" si="825"/>
        <v/>
      </c>
    </row>
    <row r="1843" spans="1:52" s="178" customFormat="1" x14ac:dyDescent="0.25">
      <c r="A1843" s="610" t="s">
        <v>889</v>
      </c>
      <c r="B1843" s="17" t="s">
        <v>5548</v>
      </c>
      <c r="C1843" s="17" t="s">
        <v>1304</v>
      </c>
      <c r="D1843" s="30" t="s">
        <v>6924</v>
      </c>
      <c r="E1843" s="17" t="s">
        <v>674</v>
      </c>
      <c r="F1843" s="454">
        <f t="shared" si="832"/>
        <v>22.67</v>
      </c>
      <c r="G1843" s="529">
        <v>22.67</v>
      </c>
      <c r="H1843" s="487">
        <f t="shared" si="833"/>
        <v>18.14</v>
      </c>
      <c r="I1843" s="706"/>
      <c r="J1843" s="669" t="s">
        <v>5805</v>
      </c>
      <c r="K1843" s="15"/>
      <c r="L1843"/>
      <c r="M1843" s="49">
        <f t="shared" si="834"/>
        <v>22.67</v>
      </c>
      <c r="N1843" s="41">
        <v>11.67</v>
      </c>
      <c r="O1843" s="54"/>
      <c r="P1843" s="15"/>
      <c r="Q1843" t="s">
        <v>1017</v>
      </c>
      <c r="R1843"/>
      <c r="S1843" t="s">
        <v>4180</v>
      </c>
      <c r="T1843" s="178" t="s">
        <v>4180</v>
      </c>
      <c r="U1843" s="55"/>
      <c r="V1843" t="s">
        <v>1017</v>
      </c>
      <c r="W1843" s="65"/>
      <c r="X1843" s="65"/>
      <c r="Y1843"/>
      <c r="Z1843"/>
      <c r="AA1843" s="65"/>
      <c r="AB1843"/>
      <c r="AC1843"/>
      <c r="AD1843" s="91"/>
      <c r="AE1843" s="124" t="s">
        <v>1017</v>
      </c>
      <c r="AF1843" s="65"/>
      <c r="AG1843" s="91"/>
      <c r="AH1843" s="212" t="str">
        <f t="shared" si="839"/>
        <v/>
      </c>
      <c r="AI1843" s="214" t="str">
        <f t="shared" si="826"/>
        <v/>
      </c>
      <c r="AJ1843" s="214" t="str">
        <f t="shared" si="827"/>
        <v/>
      </c>
      <c r="AK1843" s="214" t="str">
        <f t="shared" si="828"/>
        <v/>
      </c>
      <c r="AL1843" s="214" t="str">
        <f t="shared" si="829"/>
        <v/>
      </c>
      <c r="AM1843" s="214" t="str">
        <f t="shared" si="830"/>
        <v/>
      </c>
      <c r="AN1843" s="213" t="str">
        <f t="shared" si="813"/>
        <v/>
      </c>
      <c r="AO1843" s="213" t="str">
        <f t="shared" si="814"/>
        <v/>
      </c>
      <c r="AP1843" s="213" t="str">
        <f t="shared" si="815"/>
        <v/>
      </c>
      <c r="AQ1843" s="215" t="str">
        <f t="shared" si="816"/>
        <v/>
      </c>
      <c r="AR1843" s="216" t="str">
        <f t="shared" si="817"/>
        <v>BiK81a1bK09-07</v>
      </c>
      <c r="AS1843" s="215" t="str">
        <f t="shared" si="818"/>
        <v/>
      </c>
      <c r="AT1843">
        <f t="shared" si="819"/>
        <v>14</v>
      </c>
      <c r="AU1843" s="216" t="str">
        <f t="shared" si="820"/>
        <v>0-0,15 MW, Bonusregeln a1, b und K erstmals 2009</v>
      </c>
      <c r="AV1843" s="215" t="str">
        <f t="shared" si="821"/>
        <v/>
      </c>
      <c r="AW1843" s="216" t="str">
        <f t="shared" si="822"/>
        <v>Anteil KWK, erstmals 2009</v>
      </c>
      <c r="AX1843" s="215" t="str">
        <f t="shared" si="823"/>
        <v/>
      </c>
      <c r="AY1843" t="str">
        <f t="shared" si="824"/>
        <v/>
      </c>
      <c r="AZ1843" t="str">
        <f t="shared" si="825"/>
        <v/>
      </c>
    </row>
    <row r="1844" spans="1:52" s="178" customFormat="1" x14ac:dyDescent="0.25">
      <c r="A1844" s="610" t="s">
        <v>4955</v>
      </c>
      <c r="B1844" s="17" t="s">
        <v>5548</v>
      </c>
      <c r="C1844" s="17" t="s">
        <v>1304</v>
      </c>
      <c r="D1844" s="30" t="s">
        <v>6925</v>
      </c>
      <c r="E1844" s="30" t="s">
        <v>3567</v>
      </c>
      <c r="F1844" s="454">
        <f t="shared" si="832"/>
        <v>22.64</v>
      </c>
      <c r="G1844" s="529">
        <v>22.64</v>
      </c>
      <c r="H1844" s="487">
        <f t="shared" si="833"/>
        <v>18.11</v>
      </c>
      <c r="I1844" s="706"/>
      <c r="J1844" s="669" t="s">
        <v>5805</v>
      </c>
      <c r="K1844" s="15"/>
      <c r="L1844"/>
      <c r="M1844" s="49">
        <f t="shared" si="834"/>
        <v>22.64</v>
      </c>
      <c r="N1844" s="41">
        <v>11.67</v>
      </c>
      <c r="O1844" s="54"/>
      <c r="P1844" s="15"/>
      <c r="Q1844"/>
      <c r="R1844" t="s">
        <v>1017</v>
      </c>
      <c r="S1844" t="s">
        <v>4180</v>
      </c>
      <c r="T1844" s="178" t="s">
        <v>4180</v>
      </c>
      <c r="U1844" s="55"/>
      <c r="V1844" t="s">
        <v>1017</v>
      </c>
      <c r="W1844" s="65"/>
      <c r="X1844" s="65"/>
      <c r="Y1844"/>
      <c r="Z1844"/>
      <c r="AA1844" s="65"/>
      <c r="AB1844"/>
      <c r="AC1844"/>
      <c r="AD1844" s="91"/>
      <c r="AE1844" s="124" t="s">
        <v>1017</v>
      </c>
      <c r="AF1844" s="65"/>
      <c r="AG1844" s="91"/>
      <c r="AH1844" s="212" t="str">
        <f t="shared" si="839"/>
        <v>2010</v>
      </c>
      <c r="AI1844" s="214" t="str">
        <f t="shared" si="826"/>
        <v/>
      </c>
      <c r="AJ1844" s="214" t="str">
        <f t="shared" si="827"/>
        <v/>
      </c>
      <c r="AK1844" s="214" t="str">
        <f t="shared" si="828"/>
        <v/>
      </c>
      <c r="AL1844" s="214" t="str">
        <f t="shared" si="829"/>
        <v/>
      </c>
      <c r="AM1844" s="214" t="str">
        <f t="shared" si="830"/>
        <v/>
      </c>
      <c r="AN1844" s="213" t="str">
        <f t="shared" si="813"/>
        <v>2010</v>
      </c>
      <c r="AO1844" s="213" t="str">
        <f t="shared" si="814"/>
        <v>2010</v>
      </c>
      <c r="AP1844" s="213" t="str">
        <f t="shared" si="815"/>
        <v>2010</v>
      </c>
      <c r="AQ1844" s="215" t="str">
        <f t="shared" si="816"/>
        <v/>
      </c>
      <c r="AR1844" s="216" t="str">
        <f t="shared" si="817"/>
        <v>BiK81a1bK10-07</v>
      </c>
      <c r="AS1844" s="215" t="str">
        <f t="shared" si="818"/>
        <v/>
      </c>
      <c r="AT1844">
        <f t="shared" si="819"/>
        <v>14</v>
      </c>
      <c r="AU1844" s="216" t="str">
        <f t="shared" si="820"/>
        <v>0-0,15 MW, Bonusregeln a1, b und K erstmals 2010</v>
      </c>
      <c r="AV1844" s="215" t="str">
        <f t="shared" si="821"/>
        <v/>
      </c>
      <c r="AW1844" s="216" t="str">
        <f t="shared" si="822"/>
        <v>Anteil KWK, erstmals 2010</v>
      </c>
      <c r="AX1844" s="215" t="str">
        <f t="shared" si="823"/>
        <v/>
      </c>
      <c r="AY1844" t="str">
        <f t="shared" si="824"/>
        <v/>
      </c>
      <c r="AZ1844" t="str">
        <f t="shared" si="825"/>
        <v/>
      </c>
    </row>
    <row r="1845" spans="1:52" s="178" customFormat="1" x14ac:dyDescent="0.25">
      <c r="A1845" s="610" t="s">
        <v>5399</v>
      </c>
      <c r="B1845" s="17" t="s">
        <v>5548</v>
      </c>
      <c r="C1845" s="17" t="s">
        <v>1304</v>
      </c>
      <c r="D1845" s="30" t="s">
        <v>6926</v>
      </c>
      <c r="E1845" s="30" t="s">
        <v>3055</v>
      </c>
      <c r="F1845" s="454">
        <f t="shared" si="832"/>
        <v>22.61</v>
      </c>
      <c r="G1845" s="529">
        <v>22.61</v>
      </c>
      <c r="H1845" s="487">
        <f t="shared" si="833"/>
        <v>18.09</v>
      </c>
      <c r="I1845" s="706"/>
      <c r="J1845" s="669" t="s">
        <v>5805</v>
      </c>
      <c r="K1845" s="15"/>
      <c r="L1845"/>
      <c r="M1845" s="49">
        <f t="shared" si="834"/>
        <v>22.61</v>
      </c>
      <c r="N1845" s="41">
        <v>11.67</v>
      </c>
      <c r="O1845" s="54"/>
      <c r="P1845" s="15"/>
      <c r="Q1845"/>
      <c r="R1845"/>
      <c r="S1845" t="s">
        <v>1017</v>
      </c>
      <c r="T1845" s="178" t="s">
        <v>4180</v>
      </c>
      <c r="U1845" s="55"/>
      <c r="V1845" t="s">
        <v>1017</v>
      </c>
      <c r="W1845" s="65"/>
      <c r="X1845" s="65"/>
      <c r="Y1845"/>
      <c r="Z1845"/>
      <c r="AA1845" s="65"/>
      <c r="AB1845"/>
      <c r="AC1845"/>
      <c r="AD1845" s="91"/>
      <c r="AE1845" s="124" t="s">
        <v>1017</v>
      </c>
      <c r="AF1845" s="65"/>
      <c r="AG1845" s="91"/>
      <c r="AH1845" s="212" t="str">
        <f t="shared" si="839"/>
        <v>2011</v>
      </c>
      <c r="AI1845" s="214" t="str">
        <f t="shared" si="826"/>
        <v/>
      </c>
      <c r="AJ1845" s="214" t="str">
        <f t="shared" si="827"/>
        <v/>
      </c>
      <c r="AK1845" s="214" t="str">
        <f t="shared" si="828"/>
        <v/>
      </c>
      <c r="AL1845" s="214" t="str">
        <f t="shared" si="829"/>
        <v/>
      </c>
      <c r="AM1845" s="214" t="str">
        <f t="shared" si="830"/>
        <v/>
      </c>
      <c r="AN1845" s="213" t="str">
        <f t="shared" si="813"/>
        <v>2011</v>
      </c>
      <c r="AO1845" s="213" t="str">
        <f t="shared" si="814"/>
        <v>2011</v>
      </c>
      <c r="AP1845" s="213" t="str">
        <f t="shared" si="815"/>
        <v>2011</v>
      </c>
      <c r="AQ1845" s="215" t="str">
        <f t="shared" si="816"/>
        <v/>
      </c>
      <c r="AR1845" s="216" t="str">
        <f t="shared" si="817"/>
        <v>BiK81a1bK11-07</v>
      </c>
      <c r="AS1845" s="215" t="str">
        <f t="shared" si="818"/>
        <v/>
      </c>
      <c r="AT1845">
        <f t="shared" si="819"/>
        <v>14</v>
      </c>
      <c r="AU1845" s="216" t="str">
        <f t="shared" si="820"/>
        <v>0-0,15 MW, Bonusregeln a1, b und K erstmals 2011</v>
      </c>
      <c r="AV1845" s="215" t="str">
        <f t="shared" si="821"/>
        <v/>
      </c>
      <c r="AW1845" s="216" t="str">
        <f t="shared" si="822"/>
        <v>Anteil KWK, erstmals 2011</v>
      </c>
      <c r="AX1845" s="215" t="str">
        <f t="shared" si="823"/>
        <v/>
      </c>
      <c r="AY1845" t="str">
        <f t="shared" si="824"/>
        <v>x</v>
      </c>
      <c r="AZ1845" t="str">
        <f t="shared" si="825"/>
        <v/>
      </c>
    </row>
    <row r="1846" spans="1:52" s="178" customFormat="1" x14ac:dyDescent="0.25">
      <c r="A1846" s="625" t="s">
        <v>1824</v>
      </c>
      <c r="B1846" s="221" t="s">
        <v>5548</v>
      </c>
      <c r="C1846" s="221" t="s">
        <v>1304</v>
      </c>
      <c r="D1846" s="219" t="s">
        <v>6927</v>
      </c>
      <c r="E1846" s="219" t="s">
        <v>1980</v>
      </c>
      <c r="F1846" s="455">
        <f t="shared" si="832"/>
        <v>22.58</v>
      </c>
      <c r="G1846" s="530">
        <v>22.58</v>
      </c>
      <c r="H1846" s="488">
        <f t="shared" si="833"/>
        <v>18.059999999999999</v>
      </c>
      <c r="I1846" s="707"/>
      <c r="J1846" s="669" t="s">
        <v>5805</v>
      </c>
      <c r="K1846" s="15"/>
      <c r="L1846"/>
      <c r="M1846" s="49">
        <f t="shared" si="834"/>
        <v>22.58</v>
      </c>
      <c r="N1846" s="41">
        <v>11.67</v>
      </c>
      <c r="O1846" s="54"/>
      <c r="P1846" s="15"/>
      <c r="Q1846"/>
      <c r="R1846"/>
      <c r="S1846" t="s">
        <v>4180</v>
      </c>
      <c r="T1846" s="178" t="s">
        <v>1017</v>
      </c>
      <c r="U1846" s="55"/>
      <c r="V1846" t="s">
        <v>1017</v>
      </c>
      <c r="W1846" s="65"/>
      <c r="X1846" s="65"/>
      <c r="Y1846"/>
      <c r="Z1846"/>
      <c r="AA1846" s="65"/>
      <c r="AB1846"/>
      <c r="AC1846"/>
      <c r="AD1846" s="91"/>
      <c r="AE1846" s="124" t="s">
        <v>1017</v>
      </c>
      <c r="AF1846" s="65"/>
      <c r="AG1846" s="91"/>
      <c r="AH1846" s="217" t="s">
        <v>4179</v>
      </c>
      <c r="AI1846" s="214" t="str">
        <f t="shared" si="826"/>
        <v/>
      </c>
      <c r="AJ1846" s="214" t="str">
        <f t="shared" si="827"/>
        <v/>
      </c>
      <c r="AK1846" s="214" t="str">
        <f t="shared" si="828"/>
        <v/>
      </c>
      <c r="AL1846" s="214" t="str">
        <f t="shared" si="829"/>
        <v/>
      </c>
      <c r="AM1846" s="214" t="str">
        <f t="shared" si="830"/>
        <v/>
      </c>
      <c r="AN1846" s="213" t="str">
        <f t="shared" si="813"/>
        <v>2012</v>
      </c>
      <c r="AO1846" s="213" t="str">
        <f t="shared" si="814"/>
        <v>2012</v>
      </c>
      <c r="AP1846" s="213" t="str">
        <f t="shared" si="815"/>
        <v>2012</v>
      </c>
      <c r="AQ1846" s="215" t="str">
        <f t="shared" si="816"/>
        <v/>
      </c>
      <c r="AR1846" s="216" t="str">
        <f t="shared" si="817"/>
        <v>BiK81a1bK12-07</v>
      </c>
      <c r="AS1846" s="215" t="str">
        <f t="shared" si="818"/>
        <v/>
      </c>
      <c r="AT1846">
        <f t="shared" si="819"/>
        <v>14</v>
      </c>
      <c r="AU1846" s="216" t="str">
        <f t="shared" si="820"/>
        <v>0-0,15 MW, Bonusregeln a1, b und K erstmals 2012</v>
      </c>
      <c r="AV1846" s="215" t="str">
        <f t="shared" si="821"/>
        <v/>
      </c>
      <c r="AW1846" s="216" t="str">
        <f t="shared" si="822"/>
        <v>Anteil KWK, erstmals 2012</v>
      </c>
      <c r="AX1846" s="215" t="str">
        <f t="shared" si="823"/>
        <v/>
      </c>
      <c r="AY1846" t="str">
        <f t="shared" si="824"/>
        <v/>
      </c>
      <c r="AZ1846" t="str">
        <f t="shared" si="825"/>
        <v>x</v>
      </c>
    </row>
    <row r="1847" spans="1:52" x14ac:dyDescent="0.25">
      <c r="A1847" s="610" t="s">
        <v>4007</v>
      </c>
      <c r="B1847" s="17" t="s">
        <v>5548</v>
      </c>
      <c r="C1847" s="17" t="s">
        <v>1304</v>
      </c>
      <c r="D1847" s="30" t="s">
        <v>6928</v>
      </c>
      <c r="E1847" s="17" t="s">
        <v>4810</v>
      </c>
      <c r="F1847" s="454">
        <f t="shared" si="832"/>
        <v>20.67</v>
      </c>
      <c r="G1847" s="529">
        <v>20.67</v>
      </c>
      <c r="H1847" s="487">
        <f t="shared" si="833"/>
        <v>16.54</v>
      </c>
      <c r="I1847" s="706"/>
      <c r="J1847" s="669" t="s">
        <v>5805</v>
      </c>
      <c r="K1847" s="15"/>
      <c r="M1847" s="49">
        <f t="shared" si="834"/>
        <v>20.67</v>
      </c>
      <c r="N1847" s="41">
        <v>11.67</v>
      </c>
      <c r="O1847" s="54"/>
      <c r="P1847" s="15"/>
      <c r="S1847" t="s">
        <v>4180</v>
      </c>
      <c r="T1847" t="s">
        <v>4180</v>
      </c>
      <c r="U1847" s="55" t="s">
        <v>1017</v>
      </c>
      <c r="V1847" t="s">
        <v>1017</v>
      </c>
      <c r="W1847" s="65"/>
      <c r="X1847" s="65"/>
      <c r="AA1847" s="65"/>
      <c r="AD1847" s="91"/>
      <c r="AE1847" s="124" t="s">
        <v>1017</v>
      </c>
      <c r="AF1847" s="65"/>
      <c r="AG1847" s="91"/>
      <c r="AH1847" s="212" t="str">
        <f t="shared" ref="AH1847:AH1852" si="840">IF(ISERROR(SEARCH("K erstmals 201",D1847)),"",RIGHT(D1847,4))</f>
        <v/>
      </c>
      <c r="AI1847" s="214" t="str">
        <f t="shared" si="826"/>
        <v/>
      </c>
      <c r="AJ1847" s="214" t="str">
        <f t="shared" si="827"/>
        <v/>
      </c>
      <c r="AK1847" s="214" t="str">
        <f t="shared" si="828"/>
        <v/>
      </c>
      <c r="AL1847" s="214" t="str">
        <f t="shared" si="829"/>
        <v/>
      </c>
      <c r="AM1847" s="214" t="str">
        <f t="shared" si="830"/>
        <v/>
      </c>
      <c r="AN1847" s="213" t="str">
        <f t="shared" si="813"/>
        <v/>
      </c>
      <c r="AO1847" s="213" t="str">
        <f t="shared" si="814"/>
        <v/>
      </c>
      <c r="AP1847" s="213" t="str">
        <f t="shared" si="815"/>
        <v/>
      </c>
      <c r="AQ1847" s="215" t="str">
        <f t="shared" si="816"/>
        <v/>
      </c>
      <c r="AR1847" s="216" t="str">
        <f t="shared" si="817"/>
        <v>BiK81a1by---07</v>
      </c>
      <c r="AS1847" s="215" t="str">
        <f t="shared" si="818"/>
        <v/>
      </c>
      <c r="AT1847">
        <f t="shared" si="819"/>
        <v>14</v>
      </c>
      <c r="AU1847" s="216" t="str">
        <f t="shared" si="820"/>
        <v>0-0,15 MW, Bonusregeln a1, b, y</v>
      </c>
      <c r="AV1847" s="215" t="str">
        <f t="shared" si="821"/>
        <v/>
      </c>
      <c r="AW1847" s="216" t="str">
        <f t="shared" si="822"/>
        <v>Anteil Nicht-KWK</v>
      </c>
      <c r="AX1847" s="215" t="str">
        <f t="shared" si="823"/>
        <v/>
      </c>
      <c r="AY1847" t="str">
        <f t="shared" si="824"/>
        <v/>
      </c>
      <c r="AZ1847" t="str">
        <f t="shared" si="825"/>
        <v/>
      </c>
    </row>
    <row r="1848" spans="1:52" x14ac:dyDescent="0.25">
      <c r="A1848" s="610" t="s">
        <v>4008</v>
      </c>
      <c r="B1848" s="17" t="s">
        <v>5548</v>
      </c>
      <c r="C1848" s="17" t="s">
        <v>1304</v>
      </c>
      <c r="D1848" s="30" t="s">
        <v>6929</v>
      </c>
      <c r="E1848" s="17" t="s">
        <v>4812</v>
      </c>
      <c r="F1848" s="454">
        <f t="shared" si="832"/>
        <v>22.67</v>
      </c>
      <c r="G1848" s="529">
        <v>22.67</v>
      </c>
      <c r="H1848" s="487">
        <f t="shared" si="833"/>
        <v>18.14</v>
      </c>
      <c r="I1848" s="706"/>
      <c r="J1848" s="669" t="s">
        <v>5805</v>
      </c>
      <c r="K1848" s="15"/>
      <c r="M1848" s="49">
        <f t="shared" si="834"/>
        <v>22.67</v>
      </c>
      <c r="N1848" s="41">
        <v>11.67</v>
      </c>
      <c r="O1848" s="54" t="s">
        <v>1017</v>
      </c>
      <c r="P1848" s="15"/>
      <c r="S1848" t="s">
        <v>4180</v>
      </c>
      <c r="T1848" t="s">
        <v>4180</v>
      </c>
      <c r="U1848" s="55" t="s">
        <v>1017</v>
      </c>
      <c r="V1848" t="s">
        <v>1017</v>
      </c>
      <c r="W1848" s="65"/>
      <c r="X1848" s="65"/>
      <c r="AA1848" s="65"/>
      <c r="AD1848" s="91"/>
      <c r="AE1848" s="124" t="s">
        <v>1017</v>
      </c>
      <c r="AF1848" s="65"/>
      <c r="AG1848" s="91"/>
      <c r="AH1848" s="212" t="str">
        <f t="shared" si="840"/>
        <v/>
      </c>
      <c r="AI1848" s="214" t="str">
        <f t="shared" si="826"/>
        <v/>
      </c>
      <c r="AJ1848" s="214" t="str">
        <f t="shared" si="827"/>
        <v/>
      </c>
      <c r="AK1848" s="214" t="str">
        <f t="shared" si="828"/>
        <v/>
      </c>
      <c r="AL1848" s="214" t="str">
        <f t="shared" si="829"/>
        <v/>
      </c>
      <c r="AM1848" s="214" t="str">
        <f t="shared" si="830"/>
        <v/>
      </c>
      <c r="AN1848" s="213" t="str">
        <f t="shared" si="813"/>
        <v/>
      </c>
      <c r="AO1848" s="213" t="str">
        <f t="shared" si="814"/>
        <v/>
      </c>
      <c r="AP1848" s="213" t="str">
        <f t="shared" si="815"/>
        <v/>
      </c>
      <c r="AQ1848" s="215" t="str">
        <f t="shared" si="816"/>
        <v/>
      </c>
      <c r="AR1848" s="216" t="str">
        <f t="shared" si="817"/>
        <v>BiK81a1bKWKy07</v>
      </c>
      <c r="AS1848" s="215" t="str">
        <f t="shared" si="818"/>
        <v/>
      </c>
      <c r="AT1848">
        <f t="shared" si="819"/>
        <v>14</v>
      </c>
      <c r="AU1848" s="216" t="str">
        <f t="shared" si="820"/>
        <v>0-0,15 MW, Bonusregeln a1, b, y und KWK</v>
      </c>
      <c r="AV1848" s="215" t="str">
        <f t="shared" si="821"/>
        <v/>
      </c>
      <c r="AW1848" s="216" t="str">
        <f t="shared" si="822"/>
        <v>Anteil KWK</v>
      </c>
      <c r="AX1848" s="215" t="str">
        <f t="shared" si="823"/>
        <v/>
      </c>
      <c r="AY1848" t="str">
        <f t="shared" si="824"/>
        <v/>
      </c>
      <c r="AZ1848" t="str">
        <f t="shared" si="825"/>
        <v/>
      </c>
    </row>
    <row r="1849" spans="1:52" x14ac:dyDescent="0.25">
      <c r="A1849" s="610" t="s">
        <v>4009</v>
      </c>
      <c r="B1849" s="17" t="s">
        <v>5548</v>
      </c>
      <c r="C1849" s="30" t="s">
        <v>1304</v>
      </c>
      <c r="D1849" s="30" t="s">
        <v>6930</v>
      </c>
      <c r="E1849" s="30" t="s">
        <v>4331</v>
      </c>
      <c r="F1849" s="454">
        <f t="shared" si="832"/>
        <v>23.67</v>
      </c>
      <c r="G1849" s="529">
        <v>23.67</v>
      </c>
      <c r="H1849" s="487">
        <f t="shared" si="833"/>
        <v>18.940000000000001</v>
      </c>
      <c r="I1849" s="706"/>
      <c r="J1849" s="669" t="s">
        <v>5805</v>
      </c>
      <c r="K1849" s="15"/>
      <c r="M1849" s="49">
        <f t="shared" si="834"/>
        <v>23.67</v>
      </c>
      <c r="N1849" s="41">
        <v>11.67</v>
      </c>
      <c r="O1849" s="54"/>
      <c r="P1849" t="s">
        <v>1017</v>
      </c>
      <c r="S1849" t="s">
        <v>4180</v>
      </c>
      <c r="T1849" t="s">
        <v>4180</v>
      </c>
      <c r="U1849" s="55" t="s">
        <v>1017</v>
      </c>
      <c r="V1849" t="s">
        <v>1017</v>
      </c>
      <c r="W1849" s="65"/>
      <c r="X1849" s="65"/>
      <c r="AA1849" s="65"/>
      <c r="AD1849" s="91"/>
      <c r="AE1849" s="124" t="s">
        <v>1017</v>
      </c>
      <c r="AF1849" s="65"/>
      <c r="AG1849" s="91"/>
      <c r="AH1849" s="212" t="str">
        <f t="shared" si="840"/>
        <v/>
      </c>
      <c r="AI1849" s="214" t="str">
        <f t="shared" si="826"/>
        <v/>
      </c>
      <c r="AJ1849" s="214" t="str">
        <f t="shared" si="827"/>
        <v/>
      </c>
      <c r="AK1849" s="214" t="str">
        <f t="shared" si="828"/>
        <v/>
      </c>
      <c r="AL1849" s="214" t="str">
        <f t="shared" si="829"/>
        <v/>
      </c>
      <c r="AM1849" s="214" t="str">
        <f t="shared" si="830"/>
        <v/>
      </c>
      <c r="AN1849" s="213" t="str">
        <f t="shared" si="813"/>
        <v/>
      </c>
      <c r="AO1849" s="213" t="str">
        <f t="shared" si="814"/>
        <v/>
      </c>
      <c r="AP1849" s="213" t="str">
        <f t="shared" si="815"/>
        <v/>
      </c>
      <c r="AQ1849" s="215" t="str">
        <f t="shared" si="816"/>
        <v/>
      </c>
      <c r="AR1849" s="216" t="str">
        <f t="shared" si="817"/>
        <v>BiK81a1bKA3y07</v>
      </c>
      <c r="AS1849" s="215" t="str">
        <f t="shared" si="818"/>
        <v/>
      </c>
      <c r="AT1849">
        <f t="shared" si="819"/>
        <v>14</v>
      </c>
      <c r="AU1849" s="216" t="str">
        <f t="shared" si="820"/>
        <v>0-0,15 MW, Bonusregeln a1, b, y und K wenn Anlage 3 erfüllt</v>
      </c>
      <c r="AV1849" s="215" t="str">
        <f t="shared" si="821"/>
        <v/>
      </c>
      <c r="AW1849" s="216" t="str">
        <f t="shared" si="822"/>
        <v>Anteil KWK gemäß Anlage 3</v>
      </c>
      <c r="AX1849" s="215" t="str">
        <f t="shared" si="823"/>
        <v/>
      </c>
      <c r="AY1849" t="str">
        <f t="shared" si="824"/>
        <v/>
      </c>
      <c r="AZ1849" t="str">
        <f t="shared" si="825"/>
        <v/>
      </c>
    </row>
    <row r="1850" spans="1:52" x14ac:dyDescent="0.25">
      <c r="A1850" s="610" t="s">
        <v>4010</v>
      </c>
      <c r="B1850" s="17" t="s">
        <v>5548</v>
      </c>
      <c r="C1850" s="17" t="s">
        <v>1304</v>
      </c>
      <c r="D1850" s="30" t="s">
        <v>6931</v>
      </c>
      <c r="E1850" s="17" t="s">
        <v>674</v>
      </c>
      <c r="F1850" s="454">
        <f t="shared" si="832"/>
        <v>23.67</v>
      </c>
      <c r="G1850" s="529">
        <v>23.67</v>
      </c>
      <c r="H1850" s="487">
        <f t="shared" si="833"/>
        <v>18.940000000000001</v>
      </c>
      <c r="I1850" s="706"/>
      <c r="J1850" s="669" t="s">
        <v>5805</v>
      </c>
      <c r="K1850" s="15"/>
      <c r="M1850" s="49">
        <f t="shared" si="834"/>
        <v>23.67</v>
      </c>
      <c r="N1850" s="41">
        <v>11.67</v>
      </c>
      <c r="O1850" s="54"/>
      <c r="P1850" s="15"/>
      <c r="Q1850" t="s">
        <v>1017</v>
      </c>
      <c r="S1850" t="s">
        <v>4180</v>
      </c>
      <c r="T1850" t="s">
        <v>4180</v>
      </c>
      <c r="U1850" s="55" t="s">
        <v>1017</v>
      </c>
      <c r="V1850" t="s">
        <v>1017</v>
      </c>
      <c r="W1850" s="65"/>
      <c r="X1850" s="65"/>
      <c r="AA1850" s="65"/>
      <c r="AD1850" s="91"/>
      <c r="AE1850" s="124" t="s">
        <v>1017</v>
      </c>
      <c r="AF1850" s="65"/>
      <c r="AG1850" s="91"/>
      <c r="AH1850" s="212" t="str">
        <f t="shared" si="840"/>
        <v/>
      </c>
      <c r="AI1850" s="214" t="str">
        <f t="shared" si="826"/>
        <v/>
      </c>
      <c r="AJ1850" s="214" t="str">
        <f t="shared" si="827"/>
        <v/>
      </c>
      <c r="AK1850" s="214" t="str">
        <f t="shared" si="828"/>
        <v/>
      </c>
      <c r="AL1850" s="214" t="str">
        <f t="shared" si="829"/>
        <v/>
      </c>
      <c r="AM1850" s="214" t="str">
        <f t="shared" si="830"/>
        <v/>
      </c>
      <c r="AN1850" s="213" t="str">
        <f t="shared" si="813"/>
        <v/>
      </c>
      <c r="AO1850" s="213" t="str">
        <f t="shared" si="814"/>
        <v/>
      </c>
      <c r="AP1850" s="213" t="str">
        <f t="shared" si="815"/>
        <v/>
      </c>
      <c r="AQ1850" s="215" t="str">
        <f t="shared" si="816"/>
        <v/>
      </c>
      <c r="AR1850" s="216" t="str">
        <f t="shared" si="817"/>
        <v>BiK81a1bK09y07</v>
      </c>
      <c r="AS1850" s="215" t="str">
        <f t="shared" si="818"/>
        <v/>
      </c>
      <c r="AT1850">
        <f t="shared" si="819"/>
        <v>14</v>
      </c>
      <c r="AU1850" s="216" t="str">
        <f t="shared" si="820"/>
        <v>0-0,15 MW, Bonusregeln a1, b, y und K erstmals 2009</v>
      </c>
      <c r="AV1850" s="215" t="str">
        <f t="shared" si="821"/>
        <v/>
      </c>
      <c r="AW1850" s="216" t="str">
        <f t="shared" si="822"/>
        <v>Anteil KWK, erstmals 2009</v>
      </c>
      <c r="AX1850" s="215" t="str">
        <f t="shared" si="823"/>
        <v/>
      </c>
      <c r="AY1850" t="str">
        <f t="shared" si="824"/>
        <v/>
      </c>
      <c r="AZ1850" t="str">
        <f t="shared" si="825"/>
        <v/>
      </c>
    </row>
    <row r="1851" spans="1:52" x14ac:dyDescent="0.25">
      <c r="A1851" s="610" t="s">
        <v>4956</v>
      </c>
      <c r="B1851" s="17" t="s">
        <v>5548</v>
      </c>
      <c r="C1851" s="17" t="s">
        <v>1304</v>
      </c>
      <c r="D1851" s="30" t="s">
        <v>6932</v>
      </c>
      <c r="E1851" s="30" t="s">
        <v>3567</v>
      </c>
      <c r="F1851" s="454">
        <f t="shared" si="832"/>
        <v>23.64</v>
      </c>
      <c r="G1851" s="529">
        <v>23.64</v>
      </c>
      <c r="H1851" s="487">
        <f t="shared" si="833"/>
        <v>18.91</v>
      </c>
      <c r="I1851" s="706"/>
      <c r="J1851" s="669" t="s">
        <v>5805</v>
      </c>
      <c r="K1851" s="15"/>
      <c r="M1851" s="49">
        <f t="shared" si="834"/>
        <v>23.64</v>
      </c>
      <c r="N1851" s="41">
        <v>11.67</v>
      </c>
      <c r="O1851" s="54"/>
      <c r="P1851" s="15"/>
      <c r="R1851" t="s">
        <v>1017</v>
      </c>
      <c r="S1851" t="s">
        <v>4180</v>
      </c>
      <c r="T1851" t="s">
        <v>4180</v>
      </c>
      <c r="U1851" s="55" t="s">
        <v>1017</v>
      </c>
      <c r="V1851" t="s">
        <v>1017</v>
      </c>
      <c r="W1851" s="65"/>
      <c r="X1851" s="65"/>
      <c r="AA1851" s="65"/>
      <c r="AD1851" s="91"/>
      <c r="AE1851" s="124" t="s">
        <v>1017</v>
      </c>
      <c r="AF1851" s="65"/>
      <c r="AG1851" s="91"/>
      <c r="AH1851" s="212" t="str">
        <f t="shared" si="840"/>
        <v>2010</v>
      </c>
      <c r="AI1851" s="214" t="str">
        <f t="shared" si="826"/>
        <v/>
      </c>
      <c r="AJ1851" s="214" t="str">
        <f t="shared" si="827"/>
        <v/>
      </c>
      <c r="AK1851" s="214" t="str">
        <f t="shared" si="828"/>
        <v/>
      </c>
      <c r="AL1851" s="214" t="str">
        <f t="shared" si="829"/>
        <v/>
      </c>
      <c r="AM1851" s="214" t="str">
        <f t="shared" si="830"/>
        <v/>
      </c>
      <c r="AN1851" s="213" t="str">
        <f t="shared" si="813"/>
        <v>2010</v>
      </c>
      <c r="AO1851" s="213" t="str">
        <f t="shared" si="814"/>
        <v>2010</v>
      </c>
      <c r="AP1851" s="213" t="str">
        <f t="shared" si="815"/>
        <v>2010</v>
      </c>
      <c r="AQ1851" s="215" t="str">
        <f t="shared" si="816"/>
        <v/>
      </c>
      <c r="AR1851" s="216" t="str">
        <f t="shared" si="817"/>
        <v>BiK81a1bK10y07</v>
      </c>
      <c r="AS1851" s="215" t="str">
        <f t="shared" si="818"/>
        <v/>
      </c>
      <c r="AT1851">
        <f t="shared" si="819"/>
        <v>14</v>
      </c>
      <c r="AU1851" s="216" t="str">
        <f t="shared" si="820"/>
        <v>0-0,15 MW, Bonusregeln a1, b, y und K erstmals 2010</v>
      </c>
      <c r="AV1851" s="215" t="str">
        <f t="shared" si="821"/>
        <v/>
      </c>
      <c r="AW1851" s="216" t="str">
        <f t="shared" si="822"/>
        <v>Anteil KWK, erstmals 2010</v>
      </c>
      <c r="AX1851" s="215" t="str">
        <f t="shared" si="823"/>
        <v/>
      </c>
      <c r="AY1851" t="str">
        <f t="shared" si="824"/>
        <v/>
      </c>
      <c r="AZ1851" t="str">
        <f t="shared" si="825"/>
        <v/>
      </c>
    </row>
    <row r="1852" spans="1:52" x14ac:dyDescent="0.25">
      <c r="A1852" s="610" t="s">
        <v>5400</v>
      </c>
      <c r="B1852" s="17" t="s">
        <v>5548</v>
      </c>
      <c r="C1852" s="17" t="s">
        <v>1304</v>
      </c>
      <c r="D1852" s="30" t="s">
        <v>6933</v>
      </c>
      <c r="E1852" s="30" t="s">
        <v>3055</v>
      </c>
      <c r="F1852" s="454">
        <f t="shared" si="832"/>
        <v>23.61</v>
      </c>
      <c r="G1852" s="529">
        <v>23.61</v>
      </c>
      <c r="H1852" s="487">
        <f t="shared" si="833"/>
        <v>18.89</v>
      </c>
      <c r="I1852" s="706"/>
      <c r="J1852" s="669" t="s">
        <v>5805</v>
      </c>
      <c r="K1852" s="15"/>
      <c r="M1852" s="49">
        <f t="shared" si="834"/>
        <v>23.61</v>
      </c>
      <c r="N1852" s="41">
        <v>11.67</v>
      </c>
      <c r="O1852" s="54"/>
      <c r="P1852" s="15"/>
      <c r="S1852" t="s">
        <v>1017</v>
      </c>
      <c r="T1852" t="s">
        <v>4180</v>
      </c>
      <c r="U1852" s="55" t="s">
        <v>1017</v>
      </c>
      <c r="V1852" t="s">
        <v>1017</v>
      </c>
      <c r="W1852" s="65"/>
      <c r="X1852" s="65"/>
      <c r="AA1852" s="65"/>
      <c r="AD1852" s="91"/>
      <c r="AE1852" s="124" t="s">
        <v>1017</v>
      </c>
      <c r="AF1852" s="65"/>
      <c r="AG1852" s="91"/>
      <c r="AH1852" s="212" t="str">
        <f t="shared" si="840"/>
        <v>2011</v>
      </c>
      <c r="AI1852" s="214" t="str">
        <f t="shared" si="826"/>
        <v/>
      </c>
      <c r="AJ1852" s="214" t="str">
        <f t="shared" si="827"/>
        <v/>
      </c>
      <c r="AK1852" s="214" t="str">
        <f t="shared" si="828"/>
        <v/>
      </c>
      <c r="AL1852" s="214" t="str">
        <f t="shared" si="829"/>
        <v/>
      </c>
      <c r="AM1852" s="214" t="str">
        <f t="shared" si="830"/>
        <v/>
      </c>
      <c r="AN1852" s="213" t="str">
        <f t="shared" si="813"/>
        <v>2011</v>
      </c>
      <c r="AO1852" s="213" t="str">
        <f t="shared" si="814"/>
        <v>2011</v>
      </c>
      <c r="AP1852" s="213" t="str">
        <f t="shared" si="815"/>
        <v>2011</v>
      </c>
      <c r="AQ1852" s="215" t="str">
        <f t="shared" si="816"/>
        <v/>
      </c>
      <c r="AR1852" s="216" t="str">
        <f t="shared" si="817"/>
        <v>BiK81a1bK11y07</v>
      </c>
      <c r="AS1852" s="215" t="str">
        <f t="shared" si="818"/>
        <v/>
      </c>
      <c r="AT1852">
        <f t="shared" si="819"/>
        <v>14</v>
      </c>
      <c r="AU1852" s="216" t="str">
        <f t="shared" si="820"/>
        <v>0-0,15 MW, Bonusregeln a1, b, y und K erstmals 2011</v>
      </c>
      <c r="AV1852" s="215" t="str">
        <f t="shared" si="821"/>
        <v/>
      </c>
      <c r="AW1852" s="216" t="str">
        <f t="shared" si="822"/>
        <v>Anteil KWK, erstmals 2011</v>
      </c>
      <c r="AX1852" s="215" t="str">
        <f t="shared" si="823"/>
        <v/>
      </c>
      <c r="AY1852" t="str">
        <f t="shared" si="824"/>
        <v>x</v>
      </c>
      <c r="AZ1852" t="str">
        <f t="shared" si="825"/>
        <v/>
      </c>
    </row>
    <row r="1853" spans="1:52" x14ac:dyDescent="0.25">
      <c r="A1853" s="625" t="s">
        <v>1825</v>
      </c>
      <c r="B1853" s="221" t="s">
        <v>5548</v>
      </c>
      <c r="C1853" s="221" t="s">
        <v>1304</v>
      </c>
      <c r="D1853" s="219" t="s">
        <v>6934</v>
      </c>
      <c r="E1853" s="219" t="s">
        <v>1980</v>
      </c>
      <c r="F1853" s="455">
        <f t="shared" si="832"/>
        <v>23.58</v>
      </c>
      <c r="G1853" s="530">
        <v>23.58</v>
      </c>
      <c r="H1853" s="488">
        <f t="shared" si="833"/>
        <v>18.86</v>
      </c>
      <c r="I1853" s="707"/>
      <c r="J1853" s="669" t="s">
        <v>5805</v>
      </c>
      <c r="K1853" s="15"/>
      <c r="M1853" s="49">
        <f t="shared" si="834"/>
        <v>23.58</v>
      </c>
      <c r="N1853" s="41">
        <v>11.67</v>
      </c>
      <c r="O1853" s="54"/>
      <c r="P1853" s="15"/>
      <c r="S1853" t="s">
        <v>4180</v>
      </c>
      <c r="T1853" t="s">
        <v>1017</v>
      </c>
      <c r="U1853" s="55" t="s">
        <v>1017</v>
      </c>
      <c r="V1853" t="s">
        <v>1017</v>
      </c>
      <c r="W1853" s="65"/>
      <c r="X1853" s="65"/>
      <c r="AA1853" s="65"/>
      <c r="AD1853" s="91"/>
      <c r="AE1853" s="124" t="s">
        <v>1017</v>
      </c>
      <c r="AF1853" s="65"/>
      <c r="AG1853" s="91"/>
      <c r="AH1853" s="217" t="s">
        <v>4179</v>
      </c>
      <c r="AI1853" s="214" t="str">
        <f t="shared" si="826"/>
        <v/>
      </c>
      <c r="AJ1853" s="214" t="str">
        <f t="shared" si="827"/>
        <v/>
      </c>
      <c r="AK1853" s="214" t="str">
        <f t="shared" si="828"/>
        <v/>
      </c>
      <c r="AL1853" s="214" t="str">
        <f t="shared" si="829"/>
        <v/>
      </c>
      <c r="AM1853" s="214" t="str">
        <f t="shared" si="830"/>
        <v/>
      </c>
      <c r="AN1853" s="213" t="str">
        <f t="shared" si="813"/>
        <v>2012</v>
      </c>
      <c r="AO1853" s="213" t="str">
        <f t="shared" si="814"/>
        <v>2012</v>
      </c>
      <c r="AP1853" s="213" t="str">
        <f t="shared" si="815"/>
        <v>2012</v>
      </c>
      <c r="AQ1853" s="215" t="str">
        <f t="shared" si="816"/>
        <v/>
      </c>
      <c r="AR1853" s="216" t="str">
        <f t="shared" si="817"/>
        <v>BiK81a1bK12y07</v>
      </c>
      <c r="AS1853" s="215" t="str">
        <f t="shared" si="818"/>
        <v/>
      </c>
      <c r="AT1853">
        <f t="shared" si="819"/>
        <v>14</v>
      </c>
      <c r="AU1853" s="216" t="str">
        <f t="shared" si="820"/>
        <v>0-0,15 MW, Bonusregeln a1, b, y und K erstmals 2012</v>
      </c>
      <c r="AV1853" s="215" t="str">
        <f t="shared" si="821"/>
        <v/>
      </c>
      <c r="AW1853" s="216" t="str">
        <f t="shared" si="822"/>
        <v>Anteil KWK, erstmals 2012</v>
      </c>
      <c r="AX1853" s="215" t="str">
        <f t="shared" si="823"/>
        <v/>
      </c>
      <c r="AY1853" t="str">
        <f t="shared" si="824"/>
        <v/>
      </c>
      <c r="AZ1853" t="str">
        <f t="shared" si="825"/>
        <v>x</v>
      </c>
    </row>
    <row r="1854" spans="1:52" x14ac:dyDescent="0.25">
      <c r="A1854" s="610" t="s">
        <v>4466</v>
      </c>
      <c r="B1854" s="30" t="s">
        <v>5548</v>
      </c>
      <c r="C1854" s="30" t="s">
        <v>1304</v>
      </c>
      <c r="D1854" s="30" t="s">
        <v>6935</v>
      </c>
      <c r="E1854" s="30" t="s">
        <v>4810</v>
      </c>
      <c r="F1854" s="454">
        <f t="shared" si="832"/>
        <v>20.67</v>
      </c>
      <c r="G1854" s="529">
        <v>20.67</v>
      </c>
      <c r="H1854" s="487">
        <f t="shared" si="833"/>
        <v>16.54</v>
      </c>
      <c r="I1854" s="706"/>
      <c r="J1854" s="669" t="s">
        <v>5805</v>
      </c>
      <c r="K1854" s="15"/>
      <c r="M1854" s="49">
        <f t="shared" si="834"/>
        <v>20.67</v>
      </c>
      <c r="N1854" s="41">
        <v>11.67</v>
      </c>
      <c r="O1854" s="186"/>
      <c r="P1854" s="177"/>
      <c r="Q1854" s="178"/>
      <c r="R1854" s="178"/>
      <c r="S1854" s="178" t="s">
        <v>4180</v>
      </c>
      <c r="T1854" t="s">
        <v>4180</v>
      </c>
      <c r="U1854" s="179"/>
      <c r="V1854" s="178"/>
      <c r="W1854" s="180"/>
      <c r="X1854" s="180"/>
      <c r="Y1854" s="178" t="s">
        <v>1017</v>
      </c>
      <c r="Z1854" s="178"/>
      <c r="AA1854" s="180"/>
      <c r="AB1854" s="178"/>
      <c r="AC1854" s="178"/>
      <c r="AD1854" s="201"/>
      <c r="AE1854" s="200" t="s">
        <v>1017</v>
      </c>
      <c r="AF1854" s="180"/>
      <c r="AG1854" s="201"/>
      <c r="AH1854" s="212" t="str">
        <f t="shared" ref="AH1854:AH1859" si="841">IF(ISERROR(SEARCH("K erstmals 201",D1854)),"",RIGHT(D1854,4))</f>
        <v/>
      </c>
      <c r="AI1854" s="214" t="str">
        <f t="shared" si="826"/>
        <v/>
      </c>
      <c r="AJ1854" s="214" t="str">
        <f t="shared" si="827"/>
        <v/>
      </c>
      <c r="AK1854" s="214" t="str">
        <f t="shared" si="828"/>
        <v/>
      </c>
      <c r="AL1854" s="214" t="str">
        <f t="shared" si="829"/>
        <v/>
      </c>
      <c r="AM1854" s="214" t="str">
        <f t="shared" si="830"/>
        <v/>
      </c>
      <c r="AN1854" s="213" t="str">
        <f t="shared" si="813"/>
        <v/>
      </c>
      <c r="AO1854" s="213" t="str">
        <f t="shared" si="814"/>
        <v/>
      </c>
      <c r="AP1854" s="213" t="str">
        <f t="shared" si="815"/>
        <v/>
      </c>
      <c r="AQ1854" s="215" t="str">
        <f t="shared" si="816"/>
        <v/>
      </c>
      <c r="AR1854" s="216" t="str">
        <f t="shared" si="817"/>
        <v>BiK81Gb-----07</v>
      </c>
      <c r="AS1854" s="215" t="str">
        <f t="shared" si="818"/>
        <v/>
      </c>
      <c r="AT1854">
        <f t="shared" si="819"/>
        <v>14</v>
      </c>
      <c r="AU1854" s="216" t="str">
        <f t="shared" si="820"/>
        <v>0-0,15 MW, Bonusregeln G, b</v>
      </c>
      <c r="AV1854" s="215" t="str">
        <f t="shared" si="821"/>
        <v/>
      </c>
      <c r="AW1854" s="216" t="str">
        <f t="shared" si="822"/>
        <v>Anteil Nicht-KWK</v>
      </c>
      <c r="AX1854" s="215" t="str">
        <f t="shared" si="823"/>
        <v/>
      </c>
      <c r="AY1854" t="str">
        <f t="shared" si="824"/>
        <v/>
      </c>
      <c r="AZ1854" t="str">
        <f t="shared" si="825"/>
        <v/>
      </c>
    </row>
    <row r="1855" spans="1:52" x14ac:dyDescent="0.25">
      <c r="A1855" s="610" t="s">
        <v>4467</v>
      </c>
      <c r="B1855" s="30" t="s">
        <v>5548</v>
      </c>
      <c r="C1855" s="30" t="s">
        <v>1304</v>
      </c>
      <c r="D1855" s="30" t="s">
        <v>6936</v>
      </c>
      <c r="E1855" s="30" t="s">
        <v>4812</v>
      </c>
      <c r="F1855" s="454">
        <f t="shared" si="832"/>
        <v>22.67</v>
      </c>
      <c r="G1855" s="529">
        <v>22.67</v>
      </c>
      <c r="H1855" s="487">
        <f t="shared" si="833"/>
        <v>18.14</v>
      </c>
      <c r="I1855" s="706"/>
      <c r="J1855" s="669" t="s">
        <v>5805</v>
      </c>
      <c r="K1855" s="15"/>
      <c r="M1855" s="49">
        <f t="shared" si="834"/>
        <v>22.67</v>
      </c>
      <c r="N1855" s="41">
        <v>11.67</v>
      </c>
      <c r="O1855" s="186" t="s">
        <v>1017</v>
      </c>
      <c r="P1855" s="177"/>
      <c r="Q1855" s="178"/>
      <c r="R1855" s="178"/>
      <c r="S1855" s="178" t="s">
        <v>4180</v>
      </c>
      <c r="T1855" t="s">
        <v>4180</v>
      </c>
      <c r="U1855" s="179"/>
      <c r="V1855" s="178"/>
      <c r="W1855" s="180"/>
      <c r="X1855" s="180"/>
      <c r="Y1855" s="178" t="s">
        <v>1017</v>
      </c>
      <c r="Z1855" s="178"/>
      <c r="AA1855" s="180"/>
      <c r="AB1855" s="178"/>
      <c r="AC1855" s="178"/>
      <c r="AD1855" s="201"/>
      <c r="AE1855" s="200" t="s">
        <v>1017</v>
      </c>
      <c r="AF1855" s="180"/>
      <c r="AG1855" s="201"/>
      <c r="AH1855" s="212" t="str">
        <f t="shared" si="841"/>
        <v/>
      </c>
      <c r="AI1855" s="214" t="str">
        <f t="shared" si="826"/>
        <v/>
      </c>
      <c r="AJ1855" s="214" t="str">
        <f t="shared" si="827"/>
        <v/>
      </c>
      <c r="AK1855" s="214" t="str">
        <f t="shared" si="828"/>
        <v/>
      </c>
      <c r="AL1855" s="214" t="str">
        <f t="shared" si="829"/>
        <v/>
      </c>
      <c r="AM1855" s="214" t="str">
        <f t="shared" si="830"/>
        <v/>
      </c>
      <c r="AN1855" s="213" t="str">
        <f t="shared" si="813"/>
        <v/>
      </c>
      <c r="AO1855" s="213" t="str">
        <f t="shared" si="814"/>
        <v/>
      </c>
      <c r="AP1855" s="213" t="str">
        <f t="shared" si="815"/>
        <v/>
      </c>
      <c r="AQ1855" s="215" t="str">
        <f t="shared" si="816"/>
        <v/>
      </c>
      <c r="AR1855" s="216" t="str">
        <f t="shared" si="817"/>
        <v>BiK81GbKWK--07</v>
      </c>
      <c r="AS1855" s="215" t="str">
        <f t="shared" si="818"/>
        <v/>
      </c>
      <c r="AT1855">
        <f t="shared" si="819"/>
        <v>14</v>
      </c>
      <c r="AU1855" s="216" t="str">
        <f t="shared" si="820"/>
        <v>0-0,15 MW, Bonusregeln G, b und KWK</v>
      </c>
      <c r="AV1855" s="215" t="str">
        <f t="shared" si="821"/>
        <v/>
      </c>
      <c r="AW1855" s="216" t="str">
        <f t="shared" si="822"/>
        <v>Anteil KWK</v>
      </c>
      <c r="AX1855" s="215" t="str">
        <f t="shared" si="823"/>
        <v/>
      </c>
      <c r="AY1855" t="str">
        <f t="shared" si="824"/>
        <v/>
      </c>
      <c r="AZ1855" t="str">
        <f t="shared" si="825"/>
        <v/>
      </c>
    </row>
    <row r="1856" spans="1:52" x14ac:dyDescent="0.25">
      <c r="A1856" s="610" t="s">
        <v>4468</v>
      </c>
      <c r="B1856" s="30" t="s">
        <v>5548</v>
      </c>
      <c r="C1856" s="30" t="s">
        <v>1304</v>
      </c>
      <c r="D1856" s="30" t="s">
        <v>6937</v>
      </c>
      <c r="E1856" s="30" t="s">
        <v>4331</v>
      </c>
      <c r="F1856" s="454">
        <f t="shared" si="832"/>
        <v>23.67</v>
      </c>
      <c r="G1856" s="529">
        <v>23.67</v>
      </c>
      <c r="H1856" s="487">
        <f t="shared" si="833"/>
        <v>18.940000000000001</v>
      </c>
      <c r="I1856" s="706"/>
      <c r="J1856" s="669" t="s">
        <v>5805</v>
      </c>
      <c r="K1856" s="15"/>
      <c r="M1856" s="49">
        <f t="shared" si="834"/>
        <v>23.67</v>
      </c>
      <c r="N1856" s="41">
        <v>11.67</v>
      </c>
      <c r="O1856" s="186"/>
      <c r="P1856" s="178" t="s">
        <v>1017</v>
      </c>
      <c r="Q1856" s="178"/>
      <c r="R1856" s="178"/>
      <c r="S1856" s="178" t="s">
        <v>4180</v>
      </c>
      <c r="T1856" t="s">
        <v>4180</v>
      </c>
      <c r="U1856" s="179"/>
      <c r="V1856" s="178"/>
      <c r="W1856" s="180"/>
      <c r="X1856" s="180"/>
      <c r="Y1856" s="178" t="s">
        <v>1017</v>
      </c>
      <c r="Z1856" s="178"/>
      <c r="AA1856" s="180"/>
      <c r="AB1856" s="178"/>
      <c r="AC1856" s="178"/>
      <c r="AD1856" s="201"/>
      <c r="AE1856" s="200" t="s">
        <v>1017</v>
      </c>
      <c r="AF1856" s="180"/>
      <c r="AG1856" s="201"/>
      <c r="AH1856" s="212" t="str">
        <f t="shared" si="841"/>
        <v/>
      </c>
      <c r="AI1856" s="214" t="str">
        <f t="shared" si="826"/>
        <v/>
      </c>
      <c r="AJ1856" s="214" t="str">
        <f t="shared" si="827"/>
        <v/>
      </c>
      <c r="AK1856" s="214" t="str">
        <f t="shared" si="828"/>
        <v/>
      </c>
      <c r="AL1856" s="214" t="str">
        <f t="shared" si="829"/>
        <v/>
      </c>
      <c r="AM1856" s="214" t="str">
        <f t="shared" si="830"/>
        <v/>
      </c>
      <c r="AN1856" s="213" t="str">
        <f t="shared" si="813"/>
        <v/>
      </c>
      <c r="AO1856" s="213" t="str">
        <f t="shared" si="814"/>
        <v/>
      </c>
      <c r="AP1856" s="213" t="str">
        <f t="shared" si="815"/>
        <v/>
      </c>
      <c r="AQ1856" s="215" t="str">
        <f t="shared" si="816"/>
        <v/>
      </c>
      <c r="AR1856" s="216" t="str">
        <f t="shared" si="817"/>
        <v>BiK81GbKA3--07</v>
      </c>
      <c r="AS1856" s="215" t="str">
        <f t="shared" si="818"/>
        <v/>
      </c>
      <c r="AT1856">
        <f t="shared" si="819"/>
        <v>14</v>
      </c>
      <c r="AU1856" s="216" t="str">
        <f t="shared" si="820"/>
        <v>0-0,15 MW, Bonusregeln G, b und K wenn Anlage 3 erfüllt</v>
      </c>
      <c r="AV1856" s="215" t="str">
        <f t="shared" si="821"/>
        <v/>
      </c>
      <c r="AW1856" s="216" t="str">
        <f t="shared" si="822"/>
        <v>Anteil KWK gemäß Anlage 3</v>
      </c>
      <c r="AX1856" s="215" t="str">
        <f t="shared" si="823"/>
        <v/>
      </c>
      <c r="AY1856" t="str">
        <f t="shared" si="824"/>
        <v/>
      </c>
      <c r="AZ1856" t="str">
        <f t="shared" si="825"/>
        <v/>
      </c>
    </row>
    <row r="1857" spans="1:52" x14ac:dyDescent="0.25">
      <c r="A1857" s="610" t="s">
        <v>4469</v>
      </c>
      <c r="B1857" s="30" t="s">
        <v>5548</v>
      </c>
      <c r="C1857" s="30" t="s">
        <v>1304</v>
      </c>
      <c r="D1857" s="30" t="s">
        <v>6938</v>
      </c>
      <c r="E1857" s="30" t="s">
        <v>674</v>
      </c>
      <c r="F1857" s="454">
        <f t="shared" si="832"/>
        <v>23.67</v>
      </c>
      <c r="G1857" s="529">
        <v>23.67</v>
      </c>
      <c r="H1857" s="487">
        <f t="shared" si="833"/>
        <v>18.940000000000001</v>
      </c>
      <c r="I1857" s="706"/>
      <c r="J1857" s="669" t="s">
        <v>5805</v>
      </c>
      <c r="K1857" s="15"/>
      <c r="M1857" s="49">
        <f t="shared" si="834"/>
        <v>23.67</v>
      </c>
      <c r="N1857" s="41">
        <v>11.67</v>
      </c>
      <c r="O1857" s="186"/>
      <c r="P1857" s="177"/>
      <c r="Q1857" s="178" t="s">
        <v>1017</v>
      </c>
      <c r="R1857" s="178"/>
      <c r="S1857" s="178" t="s">
        <v>4180</v>
      </c>
      <c r="T1857" t="s">
        <v>4180</v>
      </c>
      <c r="U1857" s="179"/>
      <c r="V1857" s="178"/>
      <c r="W1857" s="180"/>
      <c r="X1857" s="180"/>
      <c r="Y1857" s="178" t="s">
        <v>1017</v>
      </c>
      <c r="Z1857" s="178"/>
      <c r="AA1857" s="180"/>
      <c r="AB1857" s="178"/>
      <c r="AC1857" s="178"/>
      <c r="AD1857" s="201"/>
      <c r="AE1857" s="200" t="s">
        <v>1017</v>
      </c>
      <c r="AF1857" s="180"/>
      <c r="AG1857" s="201"/>
      <c r="AH1857" s="212" t="str">
        <f t="shared" si="841"/>
        <v/>
      </c>
      <c r="AI1857" s="214" t="str">
        <f t="shared" si="826"/>
        <v/>
      </c>
      <c r="AJ1857" s="214" t="str">
        <f t="shared" si="827"/>
        <v/>
      </c>
      <c r="AK1857" s="214" t="str">
        <f t="shared" si="828"/>
        <v/>
      </c>
      <c r="AL1857" s="214" t="str">
        <f t="shared" si="829"/>
        <v/>
      </c>
      <c r="AM1857" s="214" t="str">
        <f t="shared" si="830"/>
        <v/>
      </c>
      <c r="AN1857" s="213" t="str">
        <f t="shared" si="813"/>
        <v/>
      </c>
      <c r="AO1857" s="213" t="str">
        <f t="shared" si="814"/>
        <v/>
      </c>
      <c r="AP1857" s="213" t="str">
        <f t="shared" si="815"/>
        <v/>
      </c>
      <c r="AQ1857" s="215" t="str">
        <f t="shared" si="816"/>
        <v/>
      </c>
      <c r="AR1857" s="216" t="str">
        <f t="shared" si="817"/>
        <v>BiK81GbK09--07</v>
      </c>
      <c r="AS1857" s="215" t="str">
        <f t="shared" si="818"/>
        <v/>
      </c>
      <c r="AT1857">
        <f t="shared" si="819"/>
        <v>14</v>
      </c>
      <c r="AU1857" s="216" t="str">
        <f t="shared" si="820"/>
        <v>0-0,15 MW, Bonusregeln G, b und K erstmals 2009</v>
      </c>
      <c r="AV1857" s="215" t="str">
        <f t="shared" si="821"/>
        <v/>
      </c>
      <c r="AW1857" s="216" t="str">
        <f t="shared" si="822"/>
        <v>Anteil KWK, erstmals 2009</v>
      </c>
      <c r="AX1857" s="215" t="str">
        <f t="shared" si="823"/>
        <v/>
      </c>
      <c r="AY1857" t="str">
        <f t="shared" si="824"/>
        <v/>
      </c>
      <c r="AZ1857" t="str">
        <f t="shared" si="825"/>
        <v/>
      </c>
    </row>
    <row r="1858" spans="1:52" x14ac:dyDescent="0.25">
      <c r="A1858" s="610" t="s">
        <v>4957</v>
      </c>
      <c r="B1858" s="30" t="s">
        <v>5548</v>
      </c>
      <c r="C1858" s="30" t="s">
        <v>1304</v>
      </c>
      <c r="D1858" s="30" t="s">
        <v>6939</v>
      </c>
      <c r="E1858" s="30" t="s">
        <v>3567</v>
      </c>
      <c r="F1858" s="454">
        <f t="shared" si="832"/>
        <v>23.64</v>
      </c>
      <c r="G1858" s="529">
        <v>23.64</v>
      </c>
      <c r="H1858" s="487">
        <f t="shared" si="833"/>
        <v>18.91</v>
      </c>
      <c r="I1858" s="706"/>
      <c r="J1858" s="669" t="s">
        <v>5805</v>
      </c>
      <c r="K1858" s="15"/>
      <c r="M1858" s="49">
        <f t="shared" si="834"/>
        <v>23.64</v>
      </c>
      <c r="N1858" s="41">
        <v>11.67</v>
      </c>
      <c r="O1858" s="186"/>
      <c r="P1858" s="177"/>
      <c r="Q1858" s="178"/>
      <c r="R1858" s="178" t="s">
        <v>1017</v>
      </c>
      <c r="S1858" s="178" t="s">
        <v>4180</v>
      </c>
      <c r="T1858" t="s">
        <v>4180</v>
      </c>
      <c r="U1858" s="179"/>
      <c r="V1858" s="178"/>
      <c r="W1858" s="180"/>
      <c r="X1858" s="180"/>
      <c r="Y1858" s="178" t="s">
        <v>1017</v>
      </c>
      <c r="Z1858" s="178"/>
      <c r="AA1858" s="180"/>
      <c r="AB1858" s="178"/>
      <c r="AC1858" s="178"/>
      <c r="AD1858" s="201"/>
      <c r="AE1858" s="200" t="s">
        <v>1017</v>
      </c>
      <c r="AF1858" s="180"/>
      <c r="AG1858" s="201"/>
      <c r="AH1858" s="212" t="str">
        <f t="shared" si="841"/>
        <v>2010</v>
      </c>
      <c r="AI1858" s="214" t="str">
        <f t="shared" si="826"/>
        <v/>
      </c>
      <c r="AJ1858" s="214" t="str">
        <f t="shared" si="827"/>
        <v/>
      </c>
      <c r="AK1858" s="214" t="str">
        <f t="shared" si="828"/>
        <v/>
      </c>
      <c r="AL1858" s="214" t="str">
        <f t="shared" si="829"/>
        <v/>
      </c>
      <c r="AM1858" s="214" t="str">
        <f t="shared" si="830"/>
        <v/>
      </c>
      <c r="AN1858" s="213" t="str">
        <f t="shared" si="813"/>
        <v>2010</v>
      </c>
      <c r="AO1858" s="213" t="str">
        <f t="shared" si="814"/>
        <v>2010</v>
      </c>
      <c r="AP1858" s="213" t="str">
        <f t="shared" si="815"/>
        <v>2010</v>
      </c>
      <c r="AQ1858" s="215" t="str">
        <f t="shared" si="816"/>
        <v/>
      </c>
      <c r="AR1858" s="216" t="str">
        <f t="shared" si="817"/>
        <v>BiK81GbK10--07</v>
      </c>
      <c r="AS1858" s="215" t="str">
        <f t="shared" si="818"/>
        <v/>
      </c>
      <c r="AT1858">
        <f t="shared" si="819"/>
        <v>14</v>
      </c>
      <c r="AU1858" s="216" t="str">
        <f t="shared" si="820"/>
        <v>0-0,15 MW, Bonusregeln G, b und K erstmals 2010</v>
      </c>
      <c r="AV1858" s="215" t="str">
        <f t="shared" si="821"/>
        <v/>
      </c>
      <c r="AW1858" s="216" t="str">
        <f t="shared" si="822"/>
        <v>Anteil KWK, erstmals 2010</v>
      </c>
      <c r="AX1858" s="215" t="str">
        <f t="shared" si="823"/>
        <v/>
      </c>
      <c r="AY1858" t="str">
        <f t="shared" si="824"/>
        <v/>
      </c>
      <c r="AZ1858" t="str">
        <f t="shared" si="825"/>
        <v/>
      </c>
    </row>
    <row r="1859" spans="1:52" x14ac:dyDescent="0.25">
      <c r="A1859" s="610" t="s">
        <v>5401</v>
      </c>
      <c r="B1859" s="30" t="s">
        <v>5548</v>
      </c>
      <c r="C1859" s="30" t="s">
        <v>1304</v>
      </c>
      <c r="D1859" s="30" t="s">
        <v>6940</v>
      </c>
      <c r="E1859" s="30" t="s">
        <v>3055</v>
      </c>
      <c r="F1859" s="454">
        <f t="shared" si="832"/>
        <v>23.61</v>
      </c>
      <c r="G1859" s="529">
        <v>23.61</v>
      </c>
      <c r="H1859" s="487">
        <f t="shared" si="833"/>
        <v>18.89</v>
      </c>
      <c r="I1859" s="706"/>
      <c r="J1859" s="669" t="s">
        <v>5805</v>
      </c>
      <c r="K1859" s="15"/>
      <c r="M1859" s="49">
        <f t="shared" si="834"/>
        <v>23.61</v>
      </c>
      <c r="N1859" s="41">
        <v>11.67</v>
      </c>
      <c r="O1859" s="186"/>
      <c r="P1859" s="177"/>
      <c r="Q1859" s="178"/>
      <c r="R1859" s="178"/>
      <c r="S1859" s="178" t="s">
        <v>1017</v>
      </c>
      <c r="T1859" t="s">
        <v>4180</v>
      </c>
      <c r="U1859" s="179"/>
      <c r="V1859" s="178"/>
      <c r="W1859" s="180"/>
      <c r="X1859" s="180"/>
      <c r="Y1859" s="178" t="s">
        <v>1017</v>
      </c>
      <c r="Z1859" s="178"/>
      <c r="AA1859" s="180"/>
      <c r="AB1859" s="178"/>
      <c r="AC1859" s="178"/>
      <c r="AD1859" s="201"/>
      <c r="AE1859" s="200" t="s">
        <v>1017</v>
      </c>
      <c r="AF1859" s="180"/>
      <c r="AG1859" s="201"/>
      <c r="AH1859" s="212" t="str">
        <f t="shared" si="841"/>
        <v>2011</v>
      </c>
      <c r="AI1859" s="214" t="str">
        <f t="shared" si="826"/>
        <v/>
      </c>
      <c r="AJ1859" s="214" t="str">
        <f t="shared" si="827"/>
        <v/>
      </c>
      <c r="AK1859" s="214" t="str">
        <f t="shared" si="828"/>
        <v/>
      </c>
      <c r="AL1859" s="214" t="str">
        <f t="shared" si="829"/>
        <v/>
      </c>
      <c r="AM1859" s="214" t="str">
        <f t="shared" si="830"/>
        <v/>
      </c>
      <c r="AN1859" s="213" t="str">
        <f t="shared" si="813"/>
        <v>2011</v>
      </c>
      <c r="AO1859" s="213" t="str">
        <f t="shared" si="814"/>
        <v>2011</v>
      </c>
      <c r="AP1859" s="213" t="str">
        <f t="shared" si="815"/>
        <v>2011</v>
      </c>
      <c r="AQ1859" s="215" t="str">
        <f t="shared" si="816"/>
        <v/>
      </c>
      <c r="AR1859" s="216" t="str">
        <f t="shared" si="817"/>
        <v>BiK81GbK11--07</v>
      </c>
      <c r="AS1859" s="215" t="str">
        <f t="shared" si="818"/>
        <v/>
      </c>
      <c r="AT1859">
        <f t="shared" si="819"/>
        <v>14</v>
      </c>
      <c r="AU1859" s="216" t="str">
        <f t="shared" si="820"/>
        <v>0-0,15 MW, Bonusregeln G, b und K erstmals 2011</v>
      </c>
      <c r="AV1859" s="215" t="str">
        <f t="shared" si="821"/>
        <v/>
      </c>
      <c r="AW1859" s="216" t="str">
        <f t="shared" si="822"/>
        <v>Anteil KWK, erstmals 2011</v>
      </c>
      <c r="AX1859" s="215" t="str">
        <f t="shared" si="823"/>
        <v/>
      </c>
      <c r="AY1859" t="str">
        <f t="shared" si="824"/>
        <v>x</v>
      </c>
      <c r="AZ1859" t="str">
        <f t="shared" si="825"/>
        <v/>
      </c>
    </row>
    <row r="1860" spans="1:52" x14ac:dyDescent="0.25">
      <c r="A1860" s="625" t="s">
        <v>1826</v>
      </c>
      <c r="B1860" s="219" t="s">
        <v>5548</v>
      </c>
      <c r="C1860" s="219" t="s">
        <v>1304</v>
      </c>
      <c r="D1860" s="219" t="s">
        <v>6941</v>
      </c>
      <c r="E1860" s="219" t="s">
        <v>1980</v>
      </c>
      <c r="F1860" s="455">
        <f t="shared" si="832"/>
        <v>23.58</v>
      </c>
      <c r="G1860" s="530">
        <v>23.58</v>
      </c>
      <c r="H1860" s="488">
        <f t="shared" si="833"/>
        <v>18.86</v>
      </c>
      <c r="I1860" s="707"/>
      <c r="J1860" s="669" t="s">
        <v>5805</v>
      </c>
      <c r="K1860" s="15"/>
      <c r="M1860" s="49">
        <f t="shared" si="834"/>
        <v>23.58</v>
      </c>
      <c r="N1860" s="41">
        <v>11.67</v>
      </c>
      <c r="O1860" s="186"/>
      <c r="P1860" s="177"/>
      <c r="Q1860" s="178"/>
      <c r="R1860" s="178"/>
      <c r="S1860" s="178" t="s">
        <v>4180</v>
      </c>
      <c r="T1860" t="s">
        <v>1017</v>
      </c>
      <c r="U1860" s="179"/>
      <c r="V1860" s="178"/>
      <c r="W1860" s="180"/>
      <c r="X1860" s="180"/>
      <c r="Y1860" s="178" t="s">
        <v>1017</v>
      </c>
      <c r="Z1860" s="178"/>
      <c r="AA1860" s="180"/>
      <c r="AB1860" s="178"/>
      <c r="AC1860" s="178"/>
      <c r="AD1860" s="201"/>
      <c r="AE1860" s="200" t="s">
        <v>1017</v>
      </c>
      <c r="AF1860" s="180"/>
      <c r="AG1860" s="201"/>
      <c r="AH1860" s="217" t="s">
        <v>4179</v>
      </c>
      <c r="AI1860" s="214" t="str">
        <f t="shared" si="826"/>
        <v/>
      </c>
      <c r="AJ1860" s="214" t="str">
        <f t="shared" si="827"/>
        <v/>
      </c>
      <c r="AK1860" s="214" t="str">
        <f t="shared" si="828"/>
        <v/>
      </c>
      <c r="AL1860" s="214" t="str">
        <f t="shared" si="829"/>
        <v/>
      </c>
      <c r="AM1860" s="214" t="str">
        <f t="shared" si="830"/>
        <v/>
      </c>
      <c r="AN1860" s="213" t="str">
        <f t="shared" si="813"/>
        <v>2012</v>
      </c>
      <c r="AO1860" s="213" t="str">
        <f t="shared" si="814"/>
        <v>2012</v>
      </c>
      <c r="AP1860" s="213" t="str">
        <f t="shared" si="815"/>
        <v>2012</v>
      </c>
      <c r="AQ1860" s="215" t="str">
        <f t="shared" si="816"/>
        <v/>
      </c>
      <c r="AR1860" s="216" t="str">
        <f t="shared" si="817"/>
        <v>BiK81GbK12--07</v>
      </c>
      <c r="AS1860" s="215" t="str">
        <f t="shared" si="818"/>
        <v/>
      </c>
      <c r="AT1860">
        <f t="shared" si="819"/>
        <v>14</v>
      </c>
      <c r="AU1860" s="216" t="str">
        <f t="shared" si="820"/>
        <v>0-0,15 MW, Bonusregeln G, b und K erstmals 2012</v>
      </c>
      <c r="AV1860" s="215" t="str">
        <f t="shared" si="821"/>
        <v/>
      </c>
      <c r="AW1860" s="216" t="str">
        <f t="shared" si="822"/>
        <v>Anteil KWK, erstmals 2012</v>
      </c>
      <c r="AX1860" s="215" t="str">
        <f t="shared" si="823"/>
        <v/>
      </c>
      <c r="AY1860" t="str">
        <f t="shared" si="824"/>
        <v/>
      </c>
      <c r="AZ1860" t="str">
        <f t="shared" si="825"/>
        <v>x</v>
      </c>
    </row>
    <row r="1861" spans="1:52" x14ac:dyDescent="0.25">
      <c r="A1861" s="610" t="s">
        <v>4470</v>
      </c>
      <c r="B1861" s="30" t="s">
        <v>5548</v>
      </c>
      <c r="C1861" s="30" t="s">
        <v>1304</v>
      </c>
      <c r="D1861" s="30" t="s">
        <v>6942</v>
      </c>
      <c r="E1861" s="30" t="s">
        <v>4810</v>
      </c>
      <c r="F1861" s="454">
        <f t="shared" si="832"/>
        <v>21.67</v>
      </c>
      <c r="G1861" s="529">
        <v>21.67</v>
      </c>
      <c r="H1861" s="487">
        <f t="shared" si="833"/>
        <v>17.34</v>
      </c>
      <c r="I1861" s="706"/>
      <c r="J1861" s="669" t="s">
        <v>5805</v>
      </c>
      <c r="K1861" s="15"/>
      <c r="M1861" s="49">
        <f t="shared" si="834"/>
        <v>21.67</v>
      </c>
      <c r="N1861" s="41">
        <v>11.67</v>
      </c>
      <c r="O1861" s="187"/>
      <c r="P1861" s="183"/>
      <c r="Q1861" s="184"/>
      <c r="R1861" s="184"/>
      <c r="S1861" s="184" t="s">
        <v>4180</v>
      </c>
      <c r="T1861" t="s">
        <v>4180</v>
      </c>
      <c r="U1861" s="185" t="s">
        <v>1017</v>
      </c>
      <c r="V1861" s="184"/>
      <c r="W1861" s="180"/>
      <c r="X1861" s="180"/>
      <c r="Y1861" s="184" t="s">
        <v>1017</v>
      </c>
      <c r="Z1861" s="184"/>
      <c r="AA1861" s="180"/>
      <c r="AB1861" s="184"/>
      <c r="AC1861" s="184"/>
      <c r="AD1861" s="201"/>
      <c r="AE1861" s="181" t="s">
        <v>1017</v>
      </c>
      <c r="AF1861" s="180"/>
      <c r="AG1861" s="201"/>
      <c r="AH1861" s="212" t="str">
        <f t="shared" ref="AH1861:AH1866" si="842">IF(ISERROR(SEARCH("K erstmals 201",D1861)),"",RIGHT(D1861,4))</f>
        <v/>
      </c>
      <c r="AI1861" s="214" t="str">
        <f t="shared" si="826"/>
        <v/>
      </c>
      <c r="AJ1861" s="214" t="str">
        <f t="shared" si="827"/>
        <v/>
      </c>
      <c r="AK1861" s="214" t="str">
        <f t="shared" si="828"/>
        <v/>
      </c>
      <c r="AL1861" s="214" t="str">
        <f t="shared" si="829"/>
        <v/>
      </c>
      <c r="AM1861" s="214" t="str">
        <f t="shared" si="830"/>
        <v/>
      </c>
      <c r="AN1861" s="213" t="str">
        <f t="shared" si="813"/>
        <v/>
      </c>
      <c r="AO1861" s="213" t="str">
        <f t="shared" si="814"/>
        <v/>
      </c>
      <c r="AP1861" s="213" t="str">
        <f t="shared" si="815"/>
        <v/>
      </c>
      <c r="AQ1861" s="215" t="str">
        <f t="shared" si="816"/>
        <v/>
      </c>
      <c r="AR1861" s="216" t="str">
        <f t="shared" si="817"/>
        <v>BiK81Gby----07</v>
      </c>
      <c r="AS1861" s="215" t="str">
        <f t="shared" si="818"/>
        <v/>
      </c>
      <c r="AT1861">
        <f t="shared" si="819"/>
        <v>14</v>
      </c>
      <c r="AU1861" s="216" t="str">
        <f t="shared" si="820"/>
        <v>0-0,15 MW, Bonusregeln G, y, b</v>
      </c>
      <c r="AV1861" s="215" t="str">
        <f t="shared" si="821"/>
        <v/>
      </c>
      <c r="AW1861" s="216" t="str">
        <f t="shared" si="822"/>
        <v>Anteil Nicht-KWK</v>
      </c>
      <c r="AX1861" s="215" t="str">
        <f t="shared" si="823"/>
        <v/>
      </c>
      <c r="AY1861" t="str">
        <f t="shared" si="824"/>
        <v/>
      </c>
      <c r="AZ1861" t="str">
        <f t="shared" si="825"/>
        <v/>
      </c>
    </row>
    <row r="1862" spans="1:52" x14ac:dyDescent="0.25">
      <c r="A1862" s="610" t="s">
        <v>4471</v>
      </c>
      <c r="B1862" s="30" t="s">
        <v>5548</v>
      </c>
      <c r="C1862" s="30" t="s">
        <v>1304</v>
      </c>
      <c r="D1862" s="30" t="s">
        <v>6943</v>
      </c>
      <c r="E1862" s="30" t="s">
        <v>4812</v>
      </c>
      <c r="F1862" s="454">
        <f t="shared" si="832"/>
        <v>23.67</v>
      </c>
      <c r="G1862" s="529">
        <v>23.67</v>
      </c>
      <c r="H1862" s="487">
        <f t="shared" si="833"/>
        <v>18.940000000000001</v>
      </c>
      <c r="I1862" s="706"/>
      <c r="J1862" s="669" t="s">
        <v>5805</v>
      </c>
      <c r="K1862" s="15"/>
      <c r="M1862" s="49">
        <f t="shared" si="834"/>
        <v>23.67</v>
      </c>
      <c r="N1862" s="41">
        <v>11.67</v>
      </c>
      <c r="O1862" s="187" t="s">
        <v>1017</v>
      </c>
      <c r="P1862" s="183"/>
      <c r="Q1862" s="184"/>
      <c r="R1862" s="184"/>
      <c r="S1862" s="184" t="s">
        <v>4180</v>
      </c>
      <c r="T1862" t="s">
        <v>4180</v>
      </c>
      <c r="U1862" s="185" t="s">
        <v>1017</v>
      </c>
      <c r="V1862" s="184"/>
      <c r="W1862" s="180"/>
      <c r="X1862" s="180"/>
      <c r="Y1862" s="184" t="s">
        <v>1017</v>
      </c>
      <c r="Z1862" s="184"/>
      <c r="AA1862" s="180"/>
      <c r="AB1862" s="184"/>
      <c r="AC1862" s="184"/>
      <c r="AD1862" s="201"/>
      <c r="AE1862" s="181" t="s">
        <v>1017</v>
      </c>
      <c r="AF1862" s="180"/>
      <c r="AG1862" s="201"/>
      <c r="AH1862" s="212" t="str">
        <f t="shared" si="842"/>
        <v/>
      </c>
      <c r="AI1862" s="214" t="str">
        <f t="shared" si="826"/>
        <v/>
      </c>
      <c r="AJ1862" s="214" t="str">
        <f t="shared" si="827"/>
        <v/>
      </c>
      <c r="AK1862" s="214" t="str">
        <f t="shared" si="828"/>
        <v/>
      </c>
      <c r="AL1862" s="214" t="str">
        <f t="shared" si="829"/>
        <v/>
      </c>
      <c r="AM1862" s="214" t="str">
        <f t="shared" si="830"/>
        <v/>
      </c>
      <c r="AN1862" s="213" t="str">
        <f t="shared" ref="AN1862:AN1925" si="843">IF(ISERROR(SEARCH("K1",A1862)),"","20"&amp;MID(A1862,SEARCH("K1",A1862)+1,2))</f>
        <v/>
      </c>
      <c r="AO1862" s="213" t="str">
        <f t="shared" ref="AO1862:AO1925" si="844">IF(ISERROR(SEARCH("erstmals 201",E1862)),"",MID(E1862,SEARCH("erstmals ",E1862)+9,4))</f>
        <v/>
      </c>
      <c r="AP1862" s="213" t="str">
        <f t="shared" ref="AP1862:AP1925" si="845">IF(R1862="x","2010",IF(S1862="x","2011",IF(T1862="x","2012","")))</f>
        <v/>
      </c>
      <c r="AQ1862" s="215" t="str">
        <f t="shared" ref="AQ1862:AQ1925" si="846">IF(OR(AH1862&lt;&gt;AN1862,AH1862&lt;&gt;AO1862,AH1862&lt;&gt;AP1862),"DIFF","")</f>
        <v/>
      </c>
      <c r="AR1862" s="216" t="str">
        <f t="shared" ref="AR1862:AR1925" si="847">IF(A1862="","",IF(ISERROR(SEARCH("K1",A1862)),A1862,LEFT(A1862,SEARCH("K1",A1862)+1)&amp;RIGHT(AH1862,1)&amp;MID(A1862,SEARCH("K1",A1862)+3,14)))</f>
        <v>BiK81GbKWKy-07</v>
      </c>
      <c r="AS1862" s="215" t="str">
        <f t="shared" ref="AS1862:AS1925" si="848">IF(OR(A1862&lt;&gt;AR1862),"DIFF","")</f>
        <v/>
      </c>
      <c r="AT1862">
        <f t="shared" ref="AT1862:AT1925" si="849">LEN(AR1862)</f>
        <v>14</v>
      </c>
      <c r="AU1862" s="216" t="str">
        <f t="shared" ref="AU1862:AU1925" si="850">IF(D1862="","",IF(OR(A1862="",ISERROR(SEARCH("erstmals 201",D1862))),D1862,LEFT(D1862,SEARCH("erstmals 201",D1862)+8) &amp; AH1862 &amp; MID(D1862,SEARCH("erstmals 201",D1862)+13,255)))</f>
        <v>0-0,15 MW, Bonusregeln G, y, b und KWK</v>
      </c>
      <c r="AV1862" s="215" t="str">
        <f t="shared" ref="AV1862:AV1925" si="851">IF(OR(D1862&lt;&gt;AU1862),"DIFF","")</f>
        <v/>
      </c>
      <c r="AW1862" s="216" t="str">
        <f t="shared" ref="AW1862:AW1925" si="852">IF(E1862="","",IF(OR(E1862="",ISERROR(SEARCH("erstmals 201",E1862))),E1862,LEFT(E1862,SEARCH("erstmals 201",E1862)+8) &amp; AH1862 &amp; MID(E1862,SEARCH("erstmals 201",E1862)+13,255)))</f>
        <v>Anteil KWK</v>
      </c>
      <c r="AX1862" s="215" t="str">
        <f t="shared" ref="AX1862:AX1925" si="853">IF(OR(E1862&lt;&gt;AW1862),"DIFF","")</f>
        <v/>
      </c>
      <c r="AY1862" t="str">
        <f t="shared" ref="AY1862:AY1925" si="854">IF(AH1862="2011","x",IF(AH1862="2012","","" &amp; S1862))</f>
        <v/>
      </c>
      <c r="AZ1862" t="str">
        <f t="shared" ref="AZ1862:AZ1925" si="855">IF(AH1862="2012","x",IF(AH1862="2011","","" &amp; T1862))</f>
        <v/>
      </c>
    </row>
    <row r="1863" spans="1:52" x14ac:dyDescent="0.25">
      <c r="A1863" s="610" t="s">
        <v>4472</v>
      </c>
      <c r="B1863" s="30" t="s">
        <v>5548</v>
      </c>
      <c r="C1863" s="30" t="s">
        <v>1304</v>
      </c>
      <c r="D1863" s="109" t="s">
        <v>6944</v>
      </c>
      <c r="E1863" s="30" t="s">
        <v>4331</v>
      </c>
      <c r="F1863" s="454">
        <f t="shared" si="832"/>
        <v>24.67</v>
      </c>
      <c r="G1863" s="529">
        <v>24.67</v>
      </c>
      <c r="H1863" s="487">
        <f t="shared" si="833"/>
        <v>19.739999999999998</v>
      </c>
      <c r="I1863" s="706"/>
      <c r="J1863" s="669" t="s">
        <v>5805</v>
      </c>
      <c r="K1863" s="15"/>
      <c r="M1863" s="49">
        <f t="shared" si="834"/>
        <v>24.67</v>
      </c>
      <c r="N1863" s="41">
        <v>11.67</v>
      </c>
      <c r="O1863" s="187"/>
      <c r="P1863" s="184" t="s">
        <v>1017</v>
      </c>
      <c r="Q1863" s="184"/>
      <c r="R1863" s="184"/>
      <c r="S1863" s="184" t="s">
        <v>4180</v>
      </c>
      <c r="T1863" t="s">
        <v>4180</v>
      </c>
      <c r="U1863" s="185" t="s">
        <v>1017</v>
      </c>
      <c r="V1863" s="184"/>
      <c r="W1863" s="180"/>
      <c r="X1863" s="180"/>
      <c r="Y1863" s="184" t="s">
        <v>1017</v>
      </c>
      <c r="Z1863" s="184"/>
      <c r="AA1863" s="180"/>
      <c r="AB1863" s="184"/>
      <c r="AC1863" s="184"/>
      <c r="AD1863" s="201"/>
      <c r="AE1863" s="181" t="s">
        <v>1017</v>
      </c>
      <c r="AF1863" s="180"/>
      <c r="AG1863" s="201"/>
      <c r="AH1863" s="212" t="str">
        <f t="shared" si="842"/>
        <v/>
      </c>
      <c r="AI1863" s="214" t="str">
        <f t="shared" si="826"/>
        <v/>
      </c>
      <c r="AJ1863" s="214" t="str">
        <f t="shared" si="827"/>
        <v/>
      </c>
      <c r="AK1863" s="214" t="str">
        <f t="shared" si="828"/>
        <v/>
      </c>
      <c r="AL1863" s="214" t="str">
        <f t="shared" si="829"/>
        <v/>
      </c>
      <c r="AM1863" s="214" t="str">
        <f t="shared" si="830"/>
        <v/>
      </c>
      <c r="AN1863" s="213" t="str">
        <f t="shared" si="843"/>
        <v/>
      </c>
      <c r="AO1863" s="213" t="str">
        <f t="shared" si="844"/>
        <v/>
      </c>
      <c r="AP1863" s="213" t="str">
        <f t="shared" si="845"/>
        <v/>
      </c>
      <c r="AQ1863" s="215" t="str">
        <f t="shared" si="846"/>
        <v/>
      </c>
      <c r="AR1863" s="216" t="str">
        <f t="shared" si="847"/>
        <v>BiK81GbKA3y-07</v>
      </c>
      <c r="AS1863" s="215" t="str">
        <f t="shared" si="848"/>
        <v/>
      </c>
      <c r="AT1863">
        <f t="shared" si="849"/>
        <v>14</v>
      </c>
      <c r="AU1863" s="216" t="str">
        <f t="shared" si="850"/>
        <v>0-0,15 MW, Bonusregeln G, y, b und K wenn Anlage 3 erfüllt</v>
      </c>
      <c r="AV1863" s="215" t="str">
        <f t="shared" si="851"/>
        <v/>
      </c>
      <c r="AW1863" s="216" t="str">
        <f t="shared" si="852"/>
        <v>Anteil KWK gemäß Anlage 3</v>
      </c>
      <c r="AX1863" s="215" t="str">
        <f t="shared" si="853"/>
        <v/>
      </c>
      <c r="AY1863" t="str">
        <f t="shared" si="854"/>
        <v/>
      </c>
      <c r="AZ1863" t="str">
        <f t="shared" si="855"/>
        <v/>
      </c>
    </row>
    <row r="1864" spans="1:52" x14ac:dyDescent="0.25">
      <c r="A1864" s="610" t="s">
        <v>4473</v>
      </c>
      <c r="B1864" s="30" t="s">
        <v>5548</v>
      </c>
      <c r="C1864" s="30" t="s">
        <v>1304</v>
      </c>
      <c r="D1864" s="30" t="s">
        <v>6945</v>
      </c>
      <c r="E1864" s="30" t="s">
        <v>674</v>
      </c>
      <c r="F1864" s="454">
        <f t="shared" si="832"/>
        <v>24.67</v>
      </c>
      <c r="G1864" s="529">
        <v>24.67</v>
      </c>
      <c r="H1864" s="487">
        <f t="shared" si="833"/>
        <v>19.739999999999998</v>
      </c>
      <c r="I1864" s="706"/>
      <c r="J1864" s="669" t="s">
        <v>5805</v>
      </c>
      <c r="K1864" s="15"/>
      <c r="M1864" s="49">
        <f t="shared" si="834"/>
        <v>24.67</v>
      </c>
      <c r="N1864" s="41">
        <v>11.67</v>
      </c>
      <c r="O1864" s="187"/>
      <c r="P1864" s="183"/>
      <c r="Q1864" s="184" t="s">
        <v>1017</v>
      </c>
      <c r="R1864" s="184"/>
      <c r="S1864" s="184" t="s">
        <v>4180</v>
      </c>
      <c r="T1864" t="s">
        <v>4180</v>
      </c>
      <c r="U1864" s="185" t="s">
        <v>1017</v>
      </c>
      <c r="V1864" s="184"/>
      <c r="W1864" s="180"/>
      <c r="X1864" s="180"/>
      <c r="Y1864" s="184" t="s">
        <v>1017</v>
      </c>
      <c r="Z1864" s="184"/>
      <c r="AA1864" s="180"/>
      <c r="AB1864" s="184"/>
      <c r="AC1864" s="184"/>
      <c r="AD1864" s="201"/>
      <c r="AE1864" s="181" t="s">
        <v>1017</v>
      </c>
      <c r="AF1864" s="180"/>
      <c r="AG1864" s="201"/>
      <c r="AH1864" s="212" t="str">
        <f t="shared" si="842"/>
        <v/>
      </c>
      <c r="AI1864" s="214" t="str">
        <f t="shared" si="826"/>
        <v/>
      </c>
      <c r="AJ1864" s="214" t="str">
        <f t="shared" si="827"/>
        <v/>
      </c>
      <c r="AK1864" s="214" t="str">
        <f t="shared" si="828"/>
        <v/>
      </c>
      <c r="AL1864" s="214" t="str">
        <f t="shared" si="829"/>
        <v/>
      </c>
      <c r="AM1864" s="214" t="str">
        <f t="shared" si="830"/>
        <v/>
      </c>
      <c r="AN1864" s="213" t="str">
        <f t="shared" si="843"/>
        <v/>
      </c>
      <c r="AO1864" s="213" t="str">
        <f t="shared" si="844"/>
        <v/>
      </c>
      <c r="AP1864" s="213" t="str">
        <f t="shared" si="845"/>
        <v/>
      </c>
      <c r="AQ1864" s="215" t="str">
        <f t="shared" si="846"/>
        <v/>
      </c>
      <c r="AR1864" s="216" t="str">
        <f t="shared" si="847"/>
        <v>BiK81GbK09y-07</v>
      </c>
      <c r="AS1864" s="215" t="str">
        <f t="shared" si="848"/>
        <v/>
      </c>
      <c r="AT1864">
        <f t="shared" si="849"/>
        <v>14</v>
      </c>
      <c r="AU1864" s="216" t="str">
        <f t="shared" si="850"/>
        <v>0-0,15 MW, Bonusregeln G, y, b und K erstmals 2009</v>
      </c>
      <c r="AV1864" s="215" t="str">
        <f t="shared" si="851"/>
        <v/>
      </c>
      <c r="AW1864" s="216" t="str">
        <f t="shared" si="852"/>
        <v>Anteil KWK, erstmals 2009</v>
      </c>
      <c r="AX1864" s="215" t="str">
        <f t="shared" si="853"/>
        <v/>
      </c>
      <c r="AY1864" t="str">
        <f t="shared" si="854"/>
        <v/>
      </c>
      <c r="AZ1864" t="str">
        <f t="shared" si="855"/>
        <v/>
      </c>
    </row>
    <row r="1865" spans="1:52" x14ac:dyDescent="0.25">
      <c r="A1865" s="610" t="s">
        <v>4958</v>
      </c>
      <c r="B1865" s="30" t="s">
        <v>5548</v>
      </c>
      <c r="C1865" s="30" t="s">
        <v>1304</v>
      </c>
      <c r="D1865" s="30" t="s">
        <v>6946</v>
      </c>
      <c r="E1865" s="30" t="s">
        <v>3567</v>
      </c>
      <c r="F1865" s="454">
        <f t="shared" si="832"/>
        <v>24.64</v>
      </c>
      <c r="G1865" s="529">
        <v>24.64</v>
      </c>
      <c r="H1865" s="487">
        <f t="shared" si="833"/>
        <v>19.71</v>
      </c>
      <c r="I1865" s="706"/>
      <c r="J1865" s="669" t="s">
        <v>5805</v>
      </c>
      <c r="K1865" s="15"/>
      <c r="M1865" s="49">
        <f t="shared" si="834"/>
        <v>24.64</v>
      </c>
      <c r="N1865" s="41">
        <v>11.67</v>
      </c>
      <c r="O1865" s="187"/>
      <c r="P1865" s="183"/>
      <c r="Q1865" s="184"/>
      <c r="R1865" s="184" t="s">
        <v>1017</v>
      </c>
      <c r="S1865" s="184" t="s">
        <v>4180</v>
      </c>
      <c r="T1865" t="s">
        <v>4180</v>
      </c>
      <c r="U1865" s="185" t="s">
        <v>1017</v>
      </c>
      <c r="V1865" s="184"/>
      <c r="W1865" s="180"/>
      <c r="X1865" s="180"/>
      <c r="Y1865" s="184" t="s">
        <v>1017</v>
      </c>
      <c r="Z1865" s="184"/>
      <c r="AA1865" s="180"/>
      <c r="AB1865" s="184"/>
      <c r="AC1865" s="184"/>
      <c r="AD1865" s="201"/>
      <c r="AE1865" s="181" t="s">
        <v>1017</v>
      </c>
      <c r="AF1865" s="180"/>
      <c r="AG1865" s="201"/>
      <c r="AH1865" s="212" t="str">
        <f t="shared" si="842"/>
        <v>2010</v>
      </c>
      <c r="AI1865" s="214" t="str">
        <f t="shared" ref="AI1865:AI1928" si="856">IF(AND($AH1865&lt;&gt;"",AH1865 =AH1864),"Gleich","")</f>
        <v/>
      </c>
      <c r="AJ1865" s="214" t="str">
        <f t="shared" ref="AJ1865:AJ1928" si="857">IF(AND($AH1865&lt;&gt;"",A1865 =A1864),"Gleich","")</f>
        <v/>
      </c>
      <c r="AK1865" s="214" t="str">
        <f t="shared" ref="AK1865:AK1928" si="858">IF(AND($AH1865&lt;&gt;"",D1865 =D1864),"Gleich","")</f>
        <v/>
      </c>
      <c r="AL1865" s="214" t="str">
        <f t="shared" ref="AL1865:AL1928" si="859">IF(AND($AH1865&lt;&gt;"",E1865 =E1864),"Gleich","")</f>
        <v/>
      </c>
      <c r="AM1865" s="214" t="str">
        <f t="shared" ref="AM1865:AM1928" si="860">IF(AND($AH1865&lt;&gt;"",F1865 =F1864),"Gleich","")</f>
        <v/>
      </c>
      <c r="AN1865" s="213" t="str">
        <f t="shared" si="843"/>
        <v>2010</v>
      </c>
      <c r="AO1865" s="213" t="str">
        <f t="shared" si="844"/>
        <v>2010</v>
      </c>
      <c r="AP1865" s="213" t="str">
        <f t="shared" si="845"/>
        <v>2010</v>
      </c>
      <c r="AQ1865" s="215" t="str">
        <f t="shared" si="846"/>
        <v/>
      </c>
      <c r="AR1865" s="216" t="str">
        <f t="shared" si="847"/>
        <v>BiK81GbK10y-07</v>
      </c>
      <c r="AS1865" s="215" t="str">
        <f t="shared" si="848"/>
        <v/>
      </c>
      <c r="AT1865">
        <f t="shared" si="849"/>
        <v>14</v>
      </c>
      <c r="AU1865" s="216" t="str">
        <f t="shared" si="850"/>
        <v>0-0,15 MW, Bonusregeln G, y, b und K erstmals 2010</v>
      </c>
      <c r="AV1865" s="215" t="str">
        <f t="shared" si="851"/>
        <v/>
      </c>
      <c r="AW1865" s="216" t="str">
        <f t="shared" si="852"/>
        <v>Anteil KWK, erstmals 2010</v>
      </c>
      <c r="AX1865" s="215" t="str">
        <f t="shared" si="853"/>
        <v/>
      </c>
      <c r="AY1865" t="str">
        <f t="shared" si="854"/>
        <v/>
      </c>
      <c r="AZ1865" t="str">
        <f t="shared" si="855"/>
        <v/>
      </c>
    </row>
    <row r="1866" spans="1:52" x14ac:dyDescent="0.25">
      <c r="A1866" s="610" t="s">
        <v>5402</v>
      </c>
      <c r="B1866" s="30" t="s">
        <v>5548</v>
      </c>
      <c r="C1866" s="30" t="s">
        <v>1304</v>
      </c>
      <c r="D1866" s="30" t="s">
        <v>6947</v>
      </c>
      <c r="E1866" s="30" t="s">
        <v>3055</v>
      </c>
      <c r="F1866" s="454">
        <f t="shared" si="832"/>
        <v>24.61</v>
      </c>
      <c r="G1866" s="529">
        <v>24.61</v>
      </c>
      <c r="H1866" s="487">
        <f t="shared" si="833"/>
        <v>19.690000000000001</v>
      </c>
      <c r="I1866" s="706"/>
      <c r="J1866" s="669" t="s">
        <v>5805</v>
      </c>
      <c r="K1866" s="15"/>
      <c r="M1866" s="49">
        <f t="shared" si="834"/>
        <v>24.61</v>
      </c>
      <c r="N1866" s="41">
        <v>11.67</v>
      </c>
      <c r="O1866" s="187"/>
      <c r="P1866" s="183"/>
      <c r="Q1866" s="184"/>
      <c r="R1866" s="178"/>
      <c r="S1866" s="184" t="s">
        <v>1017</v>
      </c>
      <c r="T1866" t="s">
        <v>4180</v>
      </c>
      <c r="U1866" s="185" t="s">
        <v>1017</v>
      </c>
      <c r="V1866" s="184"/>
      <c r="W1866" s="180"/>
      <c r="X1866" s="180"/>
      <c r="Y1866" s="184" t="s">
        <v>1017</v>
      </c>
      <c r="Z1866" s="184"/>
      <c r="AA1866" s="180"/>
      <c r="AB1866" s="184"/>
      <c r="AC1866" s="184"/>
      <c r="AD1866" s="201"/>
      <c r="AE1866" s="181" t="s">
        <v>1017</v>
      </c>
      <c r="AF1866" s="180"/>
      <c r="AG1866" s="201"/>
      <c r="AH1866" s="212" t="str">
        <f t="shared" si="842"/>
        <v>2011</v>
      </c>
      <c r="AI1866" s="214" t="str">
        <f t="shared" si="856"/>
        <v/>
      </c>
      <c r="AJ1866" s="214" t="str">
        <f t="shared" si="857"/>
        <v/>
      </c>
      <c r="AK1866" s="214" t="str">
        <f t="shared" si="858"/>
        <v/>
      </c>
      <c r="AL1866" s="214" t="str">
        <f t="shared" si="859"/>
        <v/>
      </c>
      <c r="AM1866" s="214" t="str">
        <f t="shared" si="860"/>
        <v/>
      </c>
      <c r="AN1866" s="213" t="str">
        <f t="shared" si="843"/>
        <v>2011</v>
      </c>
      <c r="AO1866" s="213" t="str">
        <f t="shared" si="844"/>
        <v>2011</v>
      </c>
      <c r="AP1866" s="213" t="str">
        <f t="shared" si="845"/>
        <v>2011</v>
      </c>
      <c r="AQ1866" s="215" t="str">
        <f t="shared" si="846"/>
        <v/>
      </c>
      <c r="AR1866" s="216" t="str">
        <f t="shared" si="847"/>
        <v>BiK81GbK11y-07</v>
      </c>
      <c r="AS1866" s="215" t="str">
        <f t="shared" si="848"/>
        <v/>
      </c>
      <c r="AT1866">
        <f t="shared" si="849"/>
        <v>14</v>
      </c>
      <c r="AU1866" s="216" t="str">
        <f t="shared" si="850"/>
        <v>0-0,15 MW, Bonusregeln G, y, b und K erstmals 2011</v>
      </c>
      <c r="AV1866" s="215" t="str">
        <f t="shared" si="851"/>
        <v/>
      </c>
      <c r="AW1866" s="216" t="str">
        <f t="shared" si="852"/>
        <v>Anteil KWK, erstmals 2011</v>
      </c>
      <c r="AX1866" s="215" t="str">
        <f t="shared" si="853"/>
        <v/>
      </c>
      <c r="AY1866" t="str">
        <f t="shared" si="854"/>
        <v>x</v>
      </c>
      <c r="AZ1866" t="str">
        <f t="shared" si="855"/>
        <v/>
      </c>
    </row>
    <row r="1867" spans="1:52" x14ac:dyDescent="0.25">
      <c r="A1867" s="625" t="s">
        <v>1827</v>
      </c>
      <c r="B1867" s="219" t="s">
        <v>5548</v>
      </c>
      <c r="C1867" s="219" t="s">
        <v>1304</v>
      </c>
      <c r="D1867" s="219" t="s">
        <v>6948</v>
      </c>
      <c r="E1867" s="219" t="s">
        <v>1980</v>
      </c>
      <c r="F1867" s="455">
        <f t="shared" si="832"/>
        <v>24.58</v>
      </c>
      <c r="G1867" s="530">
        <v>24.58</v>
      </c>
      <c r="H1867" s="488">
        <f t="shared" si="833"/>
        <v>19.66</v>
      </c>
      <c r="I1867" s="707"/>
      <c r="J1867" s="669" t="s">
        <v>5805</v>
      </c>
      <c r="K1867" s="15"/>
      <c r="M1867" s="49">
        <f t="shared" si="834"/>
        <v>24.58</v>
      </c>
      <c r="N1867" s="41">
        <v>11.67</v>
      </c>
      <c r="O1867" s="187"/>
      <c r="P1867" s="183"/>
      <c r="Q1867" s="184"/>
      <c r="R1867" s="178"/>
      <c r="S1867" s="184" t="s">
        <v>4180</v>
      </c>
      <c r="T1867" t="s">
        <v>1017</v>
      </c>
      <c r="U1867" s="185" t="s">
        <v>1017</v>
      </c>
      <c r="V1867" s="184"/>
      <c r="W1867" s="180"/>
      <c r="X1867" s="180"/>
      <c r="Y1867" s="184" t="s">
        <v>1017</v>
      </c>
      <c r="Z1867" s="184"/>
      <c r="AA1867" s="180"/>
      <c r="AB1867" s="184"/>
      <c r="AC1867" s="184"/>
      <c r="AD1867" s="201"/>
      <c r="AE1867" s="181" t="s">
        <v>1017</v>
      </c>
      <c r="AF1867" s="180"/>
      <c r="AG1867" s="201"/>
      <c r="AH1867" s="217" t="s">
        <v>4179</v>
      </c>
      <c r="AI1867" s="214" t="str">
        <f t="shared" si="856"/>
        <v/>
      </c>
      <c r="AJ1867" s="214" t="str">
        <f t="shared" si="857"/>
        <v/>
      </c>
      <c r="AK1867" s="214" t="str">
        <f t="shared" si="858"/>
        <v/>
      </c>
      <c r="AL1867" s="214" t="str">
        <f t="shared" si="859"/>
        <v/>
      </c>
      <c r="AM1867" s="214" t="str">
        <f t="shared" si="860"/>
        <v/>
      </c>
      <c r="AN1867" s="213" t="str">
        <f t="shared" si="843"/>
        <v>2012</v>
      </c>
      <c r="AO1867" s="213" t="str">
        <f t="shared" si="844"/>
        <v>2012</v>
      </c>
      <c r="AP1867" s="213" t="str">
        <f t="shared" si="845"/>
        <v>2012</v>
      </c>
      <c r="AQ1867" s="215" t="str">
        <f t="shared" si="846"/>
        <v/>
      </c>
      <c r="AR1867" s="216" t="str">
        <f t="shared" si="847"/>
        <v>BiK81GbK12y-07</v>
      </c>
      <c r="AS1867" s="215" t="str">
        <f t="shared" si="848"/>
        <v/>
      </c>
      <c r="AT1867">
        <f t="shared" si="849"/>
        <v>14</v>
      </c>
      <c r="AU1867" s="216" t="str">
        <f t="shared" si="850"/>
        <v>0-0,15 MW, Bonusregeln G, y, b und K erstmals 2012</v>
      </c>
      <c r="AV1867" s="215" t="str">
        <f t="shared" si="851"/>
        <v/>
      </c>
      <c r="AW1867" s="216" t="str">
        <f t="shared" si="852"/>
        <v>Anteil KWK, erstmals 2012</v>
      </c>
      <c r="AX1867" s="215" t="str">
        <f t="shared" si="853"/>
        <v/>
      </c>
      <c r="AY1867" t="str">
        <f t="shared" si="854"/>
        <v/>
      </c>
      <c r="AZ1867" t="str">
        <f t="shared" si="855"/>
        <v>x</v>
      </c>
    </row>
    <row r="1868" spans="1:52" x14ac:dyDescent="0.25">
      <c r="A1868" s="610" t="s">
        <v>4474</v>
      </c>
      <c r="B1868" s="30" t="s">
        <v>5548</v>
      </c>
      <c r="C1868" s="30" t="s">
        <v>1304</v>
      </c>
      <c r="D1868" s="30" t="s">
        <v>6949</v>
      </c>
      <c r="E1868" s="30" t="s">
        <v>4810</v>
      </c>
      <c r="F1868" s="454">
        <f t="shared" si="832"/>
        <v>24.67</v>
      </c>
      <c r="G1868" s="529">
        <v>24.67</v>
      </c>
      <c r="H1868" s="487">
        <f t="shared" si="833"/>
        <v>19.739999999999998</v>
      </c>
      <c r="I1868" s="706"/>
      <c r="J1868" s="669" t="s">
        <v>5805</v>
      </c>
      <c r="K1868" s="15"/>
      <c r="M1868" s="49">
        <f t="shared" si="834"/>
        <v>24.67</v>
      </c>
      <c r="N1868" s="41">
        <v>11.67</v>
      </c>
      <c r="O1868" s="186"/>
      <c r="P1868" s="177"/>
      <c r="Q1868" s="178"/>
      <c r="R1868" s="178"/>
      <c r="S1868" s="178" t="s">
        <v>4180</v>
      </c>
      <c r="T1868" t="s">
        <v>4180</v>
      </c>
      <c r="U1868" s="179"/>
      <c r="V1868" s="178"/>
      <c r="W1868" s="180"/>
      <c r="X1868" s="180"/>
      <c r="Y1868" s="178"/>
      <c r="Z1868" s="178" t="s">
        <v>1017</v>
      </c>
      <c r="AA1868" s="180"/>
      <c r="AB1868" s="178"/>
      <c r="AC1868" s="178"/>
      <c r="AD1868" s="201"/>
      <c r="AE1868" s="181" t="s">
        <v>1017</v>
      </c>
      <c r="AF1868" s="180"/>
      <c r="AG1868" s="201"/>
      <c r="AH1868" s="212" t="str">
        <f t="shared" ref="AH1868:AH1873" si="861">IF(ISERROR(SEARCH("K erstmals 201",D1868)),"",RIGHT(D1868,4))</f>
        <v/>
      </c>
      <c r="AI1868" s="214" t="str">
        <f t="shared" si="856"/>
        <v/>
      </c>
      <c r="AJ1868" s="214" t="str">
        <f t="shared" si="857"/>
        <v/>
      </c>
      <c r="AK1868" s="214" t="str">
        <f t="shared" si="858"/>
        <v/>
      </c>
      <c r="AL1868" s="214" t="str">
        <f t="shared" si="859"/>
        <v/>
      </c>
      <c r="AM1868" s="214" t="str">
        <f t="shared" si="860"/>
        <v/>
      </c>
      <c r="AN1868" s="213" t="str">
        <f t="shared" si="843"/>
        <v/>
      </c>
      <c r="AO1868" s="213" t="str">
        <f t="shared" si="844"/>
        <v/>
      </c>
      <c r="AP1868" s="213" t="str">
        <f t="shared" si="845"/>
        <v/>
      </c>
      <c r="AQ1868" s="215" t="str">
        <f t="shared" si="846"/>
        <v/>
      </c>
      <c r="AR1868" s="216" t="str">
        <f t="shared" si="847"/>
        <v>BiK81M1b----07</v>
      </c>
      <c r="AS1868" s="215" t="str">
        <f t="shared" si="848"/>
        <v/>
      </c>
      <c r="AT1868">
        <f t="shared" si="849"/>
        <v>14</v>
      </c>
      <c r="AU1868" s="216" t="str">
        <f t="shared" si="850"/>
        <v>0-0,15 MW, Bonusregeln M1, b</v>
      </c>
      <c r="AV1868" s="215" t="str">
        <f t="shared" si="851"/>
        <v/>
      </c>
      <c r="AW1868" s="216" t="str">
        <f t="shared" si="852"/>
        <v>Anteil Nicht-KWK</v>
      </c>
      <c r="AX1868" s="215" t="str">
        <f t="shared" si="853"/>
        <v/>
      </c>
      <c r="AY1868" t="str">
        <f t="shared" si="854"/>
        <v/>
      </c>
      <c r="AZ1868" t="str">
        <f t="shared" si="855"/>
        <v/>
      </c>
    </row>
    <row r="1869" spans="1:52" x14ac:dyDescent="0.25">
      <c r="A1869" s="610" t="s">
        <v>4475</v>
      </c>
      <c r="B1869" s="30" t="s">
        <v>5548</v>
      </c>
      <c r="C1869" s="30" t="s">
        <v>1304</v>
      </c>
      <c r="D1869" s="30" t="s">
        <v>6950</v>
      </c>
      <c r="E1869" s="30" t="s">
        <v>4812</v>
      </c>
      <c r="F1869" s="454">
        <f t="shared" si="832"/>
        <v>26.67</v>
      </c>
      <c r="G1869" s="529">
        <v>26.67</v>
      </c>
      <c r="H1869" s="487">
        <f t="shared" si="833"/>
        <v>21.34</v>
      </c>
      <c r="I1869" s="706"/>
      <c r="J1869" s="669" t="s">
        <v>5805</v>
      </c>
      <c r="K1869" s="15"/>
      <c r="M1869" s="49">
        <f t="shared" si="834"/>
        <v>26.67</v>
      </c>
      <c r="N1869" s="41">
        <v>11.67</v>
      </c>
      <c r="O1869" s="186" t="s">
        <v>1017</v>
      </c>
      <c r="P1869" s="177"/>
      <c r="Q1869" s="178"/>
      <c r="R1869" s="178"/>
      <c r="S1869" s="178" t="s">
        <v>4180</v>
      </c>
      <c r="T1869" t="s">
        <v>4180</v>
      </c>
      <c r="U1869" s="179"/>
      <c r="V1869" s="178"/>
      <c r="W1869" s="180"/>
      <c r="X1869" s="180"/>
      <c r="Y1869" s="178"/>
      <c r="Z1869" s="178" t="s">
        <v>1017</v>
      </c>
      <c r="AA1869" s="180"/>
      <c r="AB1869" s="178"/>
      <c r="AC1869" s="178"/>
      <c r="AD1869" s="201"/>
      <c r="AE1869" s="181" t="s">
        <v>1017</v>
      </c>
      <c r="AF1869" s="180"/>
      <c r="AG1869" s="201"/>
      <c r="AH1869" s="212" t="str">
        <f t="shared" si="861"/>
        <v/>
      </c>
      <c r="AI1869" s="214" t="str">
        <f t="shared" si="856"/>
        <v/>
      </c>
      <c r="AJ1869" s="214" t="str">
        <f t="shared" si="857"/>
        <v/>
      </c>
      <c r="AK1869" s="214" t="str">
        <f t="shared" si="858"/>
        <v/>
      </c>
      <c r="AL1869" s="214" t="str">
        <f t="shared" si="859"/>
        <v/>
      </c>
      <c r="AM1869" s="214" t="str">
        <f t="shared" si="860"/>
        <v/>
      </c>
      <c r="AN1869" s="213" t="str">
        <f t="shared" si="843"/>
        <v/>
      </c>
      <c r="AO1869" s="213" t="str">
        <f t="shared" si="844"/>
        <v/>
      </c>
      <c r="AP1869" s="213" t="str">
        <f t="shared" si="845"/>
        <v/>
      </c>
      <c r="AQ1869" s="215" t="str">
        <f t="shared" si="846"/>
        <v/>
      </c>
      <c r="AR1869" s="216" t="str">
        <f t="shared" si="847"/>
        <v>BiK81M1bKWK-07</v>
      </c>
      <c r="AS1869" s="215" t="str">
        <f t="shared" si="848"/>
        <v/>
      </c>
      <c r="AT1869">
        <f t="shared" si="849"/>
        <v>14</v>
      </c>
      <c r="AU1869" s="216" t="str">
        <f t="shared" si="850"/>
        <v>0-0,15 MW, Bonusregeln M1, b und KWK</v>
      </c>
      <c r="AV1869" s="215" t="str">
        <f t="shared" si="851"/>
        <v/>
      </c>
      <c r="AW1869" s="216" t="str">
        <f t="shared" si="852"/>
        <v>Anteil KWK</v>
      </c>
      <c r="AX1869" s="215" t="str">
        <f t="shared" si="853"/>
        <v/>
      </c>
      <c r="AY1869" t="str">
        <f t="shared" si="854"/>
        <v/>
      </c>
      <c r="AZ1869" t="str">
        <f t="shared" si="855"/>
        <v/>
      </c>
    </row>
    <row r="1870" spans="1:52" s="178" customFormat="1" x14ac:dyDescent="0.25">
      <c r="A1870" s="610" t="s">
        <v>4476</v>
      </c>
      <c r="B1870" s="30" t="s">
        <v>5548</v>
      </c>
      <c r="C1870" s="30" t="s">
        <v>1304</v>
      </c>
      <c r="D1870" s="30" t="s">
        <v>6951</v>
      </c>
      <c r="E1870" s="30" t="s">
        <v>4331</v>
      </c>
      <c r="F1870" s="454">
        <f t="shared" ref="F1870:F1933" si="862">M1870</f>
        <v>27.67</v>
      </c>
      <c r="G1870" s="529">
        <v>27.67</v>
      </c>
      <c r="H1870" s="487">
        <f t="shared" ref="H1870:H1933" si="863">IF(ISNUMBER(G1870),ROUND(0.8*G1870,2),"")</f>
        <v>22.14</v>
      </c>
      <c r="I1870" s="706"/>
      <c r="J1870" s="669" t="s">
        <v>5805</v>
      </c>
      <c r="K1870" s="15"/>
      <c r="L1870"/>
      <c r="M1870" s="49">
        <f t="shared" ref="M1870:M1933" si="864">N1870+SUMIF(O1870:AG1870,"x",O$1741:AG$1741)</f>
        <v>27.67</v>
      </c>
      <c r="N1870" s="41">
        <v>11.67</v>
      </c>
      <c r="O1870" s="186"/>
      <c r="P1870" s="178" t="s">
        <v>1017</v>
      </c>
      <c r="S1870" s="178" t="s">
        <v>4180</v>
      </c>
      <c r="T1870" s="178" t="s">
        <v>4180</v>
      </c>
      <c r="U1870" s="179"/>
      <c r="W1870" s="180"/>
      <c r="X1870" s="180"/>
      <c r="Z1870" s="178" t="s">
        <v>1017</v>
      </c>
      <c r="AA1870" s="180"/>
      <c r="AD1870" s="201"/>
      <c r="AE1870" s="181" t="s">
        <v>1017</v>
      </c>
      <c r="AF1870" s="180"/>
      <c r="AG1870" s="201"/>
      <c r="AH1870" s="212" t="str">
        <f t="shared" si="861"/>
        <v/>
      </c>
      <c r="AI1870" s="214" t="str">
        <f t="shared" si="856"/>
        <v/>
      </c>
      <c r="AJ1870" s="214" t="str">
        <f t="shared" si="857"/>
        <v/>
      </c>
      <c r="AK1870" s="214" t="str">
        <f t="shared" si="858"/>
        <v/>
      </c>
      <c r="AL1870" s="214" t="str">
        <f t="shared" si="859"/>
        <v/>
      </c>
      <c r="AM1870" s="214" t="str">
        <f t="shared" si="860"/>
        <v/>
      </c>
      <c r="AN1870" s="213" t="str">
        <f t="shared" si="843"/>
        <v/>
      </c>
      <c r="AO1870" s="213" t="str">
        <f t="shared" si="844"/>
        <v/>
      </c>
      <c r="AP1870" s="213" t="str">
        <f t="shared" si="845"/>
        <v/>
      </c>
      <c r="AQ1870" s="215" t="str">
        <f t="shared" si="846"/>
        <v/>
      </c>
      <c r="AR1870" s="216" t="str">
        <f t="shared" si="847"/>
        <v>BiK81M1bKA3-07</v>
      </c>
      <c r="AS1870" s="215" t="str">
        <f t="shared" si="848"/>
        <v/>
      </c>
      <c r="AT1870">
        <f t="shared" si="849"/>
        <v>14</v>
      </c>
      <c r="AU1870" s="216" t="str">
        <f t="shared" si="850"/>
        <v>0-0,15 MW, Bonusregeln M1, b und K wenn Anlage 3 erfüllt</v>
      </c>
      <c r="AV1870" s="215" t="str">
        <f t="shared" si="851"/>
        <v/>
      </c>
      <c r="AW1870" s="216" t="str">
        <f t="shared" si="852"/>
        <v>Anteil KWK gemäß Anlage 3</v>
      </c>
      <c r="AX1870" s="215" t="str">
        <f t="shared" si="853"/>
        <v/>
      </c>
      <c r="AY1870" t="str">
        <f t="shared" si="854"/>
        <v/>
      </c>
      <c r="AZ1870" t="str">
        <f t="shared" si="855"/>
        <v/>
      </c>
    </row>
    <row r="1871" spans="1:52" s="178" customFormat="1" x14ac:dyDescent="0.25">
      <c r="A1871" s="610" t="s">
        <v>4477</v>
      </c>
      <c r="B1871" s="30" t="s">
        <v>5548</v>
      </c>
      <c r="C1871" s="30" t="s">
        <v>1304</v>
      </c>
      <c r="D1871" s="30" t="s">
        <v>6952</v>
      </c>
      <c r="E1871" s="30" t="s">
        <v>674</v>
      </c>
      <c r="F1871" s="454">
        <f t="shared" si="862"/>
        <v>27.67</v>
      </c>
      <c r="G1871" s="529">
        <v>27.67</v>
      </c>
      <c r="H1871" s="487">
        <f t="shared" si="863"/>
        <v>22.14</v>
      </c>
      <c r="I1871" s="706"/>
      <c r="J1871" s="669" t="s">
        <v>5805</v>
      </c>
      <c r="K1871" s="15"/>
      <c r="L1871"/>
      <c r="M1871" s="49">
        <f t="shared" si="864"/>
        <v>27.67</v>
      </c>
      <c r="N1871" s="41">
        <v>11.67</v>
      </c>
      <c r="O1871" s="186"/>
      <c r="P1871" s="177"/>
      <c r="Q1871" s="178" t="s">
        <v>1017</v>
      </c>
      <c r="S1871" s="178" t="s">
        <v>4180</v>
      </c>
      <c r="T1871" s="178" t="s">
        <v>4180</v>
      </c>
      <c r="U1871" s="179"/>
      <c r="W1871" s="180"/>
      <c r="X1871" s="180"/>
      <c r="Z1871" s="178" t="s">
        <v>1017</v>
      </c>
      <c r="AA1871" s="180"/>
      <c r="AD1871" s="201"/>
      <c r="AE1871" s="181" t="s">
        <v>1017</v>
      </c>
      <c r="AF1871" s="180"/>
      <c r="AG1871" s="201"/>
      <c r="AH1871" s="212" t="str">
        <f t="shared" si="861"/>
        <v/>
      </c>
      <c r="AI1871" s="214" t="str">
        <f t="shared" si="856"/>
        <v/>
      </c>
      <c r="AJ1871" s="214" t="str">
        <f t="shared" si="857"/>
        <v/>
      </c>
      <c r="AK1871" s="214" t="str">
        <f t="shared" si="858"/>
        <v/>
      </c>
      <c r="AL1871" s="214" t="str">
        <f t="shared" si="859"/>
        <v/>
      </c>
      <c r="AM1871" s="214" t="str">
        <f t="shared" si="860"/>
        <v/>
      </c>
      <c r="AN1871" s="213" t="str">
        <f t="shared" si="843"/>
        <v/>
      </c>
      <c r="AO1871" s="213" t="str">
        <f t="shared" si="844"/>
        <v/>
      </c>
      <c r="AP1871" s="213" t="str">
        <f t="shared" si="845"/>
        <v/>
      </c>
      <c r="AQ1871" s="215" t="str">
        <f t="shared" si="846"/>
        <v/>
      </c>
      <c r="AR1871" s="216" t="str">
        <f t="shared" si="847"/>
        <v>BiK81M1bK09-07</v>
      </c>
      <c r="AS1871" s="215" t="str">
        <f t="shared" si="848"/>
        <v/>
      </c>
      <c r="AT1871">
        <f t="shared" si="849"/>
        <v>14</v>
      </c>
      <c r="AU1871" s="216" t="str">
        <f t="shared" si="850"/>
        <v>0-0,15 MW, Bonusregeln M1, b und K erstmals 2009</v>
      </c>
      <c r="AV1871" s="215" t="str">
        <f t="shared" si="851"/>
        <v/>
      </c>
      <c r="AW1871" s="216" t="str">
        <f t="shared" si="852"/>
        <v>Anteil KWK, erstmals 2009</v>
      </c>
      <c r="AX1871" s="215" t="str">
        <f t="shared" si="853"/>
        <v/>
      </c>
      <c r="AY1871" t="str">
        <f t="shared" si="854"/>
        <v/>
      </c>
      <c r="AZ1871" t="str">
        <f t="shared" si="855"/>
        <v/>
      </c>
    </row>
    <row r="1872" spans="1:52" s="178" customFormat="1" x14ac:dyDescent="0.25">
      <c r="A1872" s="610" t="s">
        <v>4959</v>
      </c>
      <c r="B1872" s="30" t="s">
        <v>5548</v>
      </c>
      <c r="C1872" s="30" t="s">
        <v>1304</v>
      </c>
      <c r="D1872" s="30" t="s">
        <v>6953</v>
      </c>
      <c r="E1872" s="30" t="s">
        <v>3567</v>
      </c>
      <c r="F1872" s="454">
        <f t="shared" si="862"/>
        <v>27.64</v>
      </c>
      <c r="G1872" s="529">
        <v>27.64</v>
      </c>
      <c r="H1872" s="487">
        <f t="shared" si="863"/>
        <v>22.11</v>
      </c>
      <c r="I1872" s="706"/>
      <c r="J1872" s="669" t="s">
        <v>5805</v>
      </c>
      <c r="K1872" s="15"/>
      <c r="L1872"/>
      <c r="M1872" s="49">
        <f t="shared" si="864"/>
        <v>27.64</v>
      </c>
      <c r="N1872" s="41">
        <v>11.67</v>
      </c>
      <c r="O1872" s="186"/>
      <c r="P1872" s="177"/>
      <c r="R1872" s="178" t="s">
        <v>1017</v>
      </c>
      <c r="S1872" s="178" t="s">
        <v>4180</v>
      </c>
      <c r="T1872" s="178" t="s">
        <v>4180</v>
      </c>
      <c r="U1872" s="179"/>
      <c r="W1872" s="180"/>
      <c r="X1872" s="180"/>
      <c r="Z1872" s="178" t="s">
        <v>1017</v>
      </c>
      <c r="AA1872" s="180"/>
      <c r="AD1872" s="201"/>
      <c r="AE1872" s="181" t="s">
        <v>1017</v>
      </c>
      <c r="AF1872" s="180"/>
      <c r="AG1872" s="201"/>
      <c r="AH1872" s="212" t="str">
        <f t="shared" si="861"/>
        <v>2010</v>
      </c>
      <c r="AI1872" s="214" t="str">
        <f t="shared" si="856"/>
        <v/>
      </c>
      <c r="AJ1872" s="214" t="str">
        <f t="shared" si="857"/>
        <v/>
      </c>
      <c r="AK1872" s="214" t="str">
        <f t="shared" si="858"/>
        <v/>
      </c>
      <c r="AL1872" s="214" t="str">
        <f t="shared" si="859"/>
        <v/>
      </c>
      <c r="AM1872" s="214" t="str">
        <f t="shared" si="860"/>
        <v/>
      </c>
      <c r="AN1872" s="213" t="str">
        <f t="shared" si="843"/>
        <v>2010</v>
      </c>
      <c r="AO1872" s="213" t="str">
        <f t="shared" si="844"/>
        <v>2010</v>
      </c>
      <c r="AP1872" s="213" t="str">
        <f t="shared" si="845"/>
        <v>2010</v>
      </c>
      <c r="AQ1872" s="215" t="str">
        <f t="shared" si="846"/>
        <v/>
      </c>
      <c r="AR1872" s="216" t="str">
        <f t="shared" si="847"/>
        <v>BiK81M1bK10-07</v>
      </c>
      <c r="AS1872" s="215" t="str">
        <f t="shared" si="848"/>
        <v/>
      </c>
      <c r="AT1872">
        <f t="shared" si="849"/>
        <v>14</v>
      </c>
      <c r="AU1872" s="216" t="str">
        <f t="shared" si="850"/>
        <v>0-0,15 MW, Bonusregeln M1, b und K erstmals 2010</v>
      </c>
      <c r="AV1872" s="215" t="str">
        <f t="shared" si="851"/>
        <v/>
      </c>
      <c r="AW1872" s="216" t="str">
        <f t="shared" si="852"/>
        <v>Anteil KWK, erstmals 2010</v>
      </c>
      <c r="AX1872" s="215" t="str">
        <f t="shared" si="853"/>
        <v/>
      </c>
      <c r="AY1872" t="str">
        <f t="shared" si="854"/>
        <v/>
      </c>
      <c r="AZ1872" t="str">
        <f t="shared" si="855"/>
        <v/>
      </c>
    </row>
    <row r="1873" spans="1:52" s="178" customFormat="1" x14ac:dyDescent="0.25">
      <c r="A1873" s="610" t="s">
        <v>5403</v>
      </c>
      <c r="B1873" s="30" t="s">
        <v>5548</v>
      </c>
      <c r="C1873" s="30" t="s">
        <v>1304</v>
      </c>
      <c r="D1873" s="30" t="s">
        <v>6954</v>
      </c>
      <c r="E1873" s="30" t="s">
        <v>3055</v>
      </c>
      <c r="F1873" s="454">
        <f t="shared" si="862"/>
        <v>27.61</v>
      </c>
      <c r="G1873" s="529">
        <v>27.61</v>
      </c>
      <c r="H1873" s="487">
        <f t="shared" si="863"/>
        <v>22.09</v>
      </c>
      <c r="I1873" s="706"/>
      <c r="J1873" s="669" t="s">
        <v>5805</v>
      </c>
      <c r="K1873" s="15"/>
      <c r="L1873"/>
      <c r="M1873" s="49">
        <f t="shared" si="864"/>
        <v>27.61</v>
      </c>
      <c r="N1873" s="41">
        <v>11.67</v>
      </c>
      <c r="O1873" s="186"/>
      <c r="P1873" s="177"/>
      <c r="S1873" s="178" t="s">
        <v>1017</v>
      </c>
      <c r="T1873" s="178" t="s">
        <v>4180</v>
      </c>
      <c r="U1873" s="179"/>
      <c r="W1873" s="180"/>
      <c r="X1873" s="180"/>
      <c r="Z1873" s="178" t="s">
        <v>1017</v>
      </c>
      <c r="AA1873" s="180"/>
      <c r="AD1873" s="201"/>
      <c r="AE1873" s="181" t="s">
        <v>1017</v>
      </c>
      <c r="AF1873" s="180"/>
      <c r="AG1873" s="201"/>
      <c r="AH1873" s="212" t="str">
        <f t="shared" si="861"/>
        <v>2011</v>
      </c>
      <c r="AI1873" s="214" t="str">
        <f t="shared" si="856"/>
        <v/>
      </c>
      <c r="AJ1873" s="214" t="str">
        <f t="shared" si="857"/>
        <v/>
      </c>
      <c r="AK1873" s="214" t="str">
        <f t="shared" si="858"/>
        <v/>
      </c>
      <c r="AL1873" s="214" t="str">
        <f t="shared" si="859"/>
        <v/>
      </c>
      <c r="AM1873" s="214" t="str">
        <f t="shared" si="860"/>
        <v/>
      </c>
      <c r="AN1873" s="213" t="str">
        <f t="shared" si="843"/>
        <v>2011</v>
      </c>
      <c r="AO1873" s="213" t="str">
        <f t="shared" si="844"/>
        <v>2011</v>
      </c>
      <c r="AP1873" s="213" t="str">
        <f t="shared" si="845"/>
        <v>2011</v>
      </c>
      <c r="AQ1873" s="215" t="str">
        <f t="shared" si="846"/>
        <v/>
      </c>
      <c r="AR1873" s="216" t="str">
        <f t="shared" si="847"/>
        <v>BiK81M1bK11-07</v>
      </c>
      <c r="AS1873" s="215" t="str">
        <f t="shared" si="848"/>
        <v/>
      </c>
      <c r="AT1873">
        <f t="shared" si="849"/>
        <v>14</v>
      </c>
      <c r="AU1873" s="216" t="str">
        <f t="shared" si="850"/>
        <v>0-0,15 MW, Bonusregeln M1, b und K erstmals 2011</v>
      </c>
      <c r="AV1873" s="215" t="str">
        <f t="shared" si="851"/>
        <v/>
      </c>
      <c r="AW1873" s="216" t="str">
        <f t="shared" si="852"/>
        <v>Anteil KWK, erstmals 2011</v>
      </c>
      <c r="AX1873" s="215" t="str">
        <f t="shared" si="853"/>
        <v/>
      </c>
      <c r="AY1873" t="str">
        <f t="shared" si="854"/>
        <v>x</v>
      </c>
      <c r="AZ1873" t="str">
        <f t="shared" si="855"/>
        <v/>
      </c>
    </row>
    <row r="1874" spans="1:52" s="178" customFormat="1" x14ac:dyDescent="0.25">
      <c r="A1874" s="625" t="s">
        <v>1828</v>
      </c>
      <c r="B1874" s="219" t="s">
        <v>5548</v>
      </c>
      <c r="C1874" s="219" t="s">
        <v>1304</v>
      </c>
      <c r="D1874" s="219" t="s">
        <v>6955</v>
      </c>
      <c r="E1874" s="219" t="s">
        <v>1980</v>
      </c>
      <c r="F1874" s="455">
        <f t="shared" si="862"/>
        <v>27.58</v>
      </c>
      <c r="G1874" s="530">
        <v>27.58</v>
      </c>
      <c r="H1874" s="488">
        <f t="shared" si="863"/>
        <v>22.06</v>
      </c>
      <c r="I1874" s="707"/>
      <c r="J1874" s="669" t="s">
        <v>5805</v>
      </c>
      <c r="K1874" s="15"/>
      <c r="L1874"/>
      <c r="M1874" s="49">
        <f t="shared" si="864"/>
        <v>27.58</v>
      </c>
      <c r="N1874" s="41">
        <v>11.67</v>
      </c>
      <c r="O1874" s="186"/>
      <c r="P1874" s="177"/>
      <c r="S1874" s="178" t="s">
        <v>4180</v>
      </c>
      <c r="T1874" s="178" t="s">
        <v>1017</v>
      </c>
      <c r="U1874" s="179"/>
      <c r="W1874" s="180"/>
      <c r="X1874" s="180"/>
      <c r="Z1874" s="178" t="s">
        <v>1017</v>
      </c>
      <c r="AA1874" s="180"/>
      <c r="AD1874" s="201"/>
      <c r="AE1874" s="181" t="s">
        <v>1017</v>
      </c>
      <c r="AF1874" s="180"/>
      <c r="AG1874" s="201"/>
      <c r="AH1874" s="217" t="s">
        <v>4179</v>
      </c>
      <c r="AI1874" s="214" t="str">
        <f t="shared" si="856"/>
        <v/>
      </c>
      <c r="AJ1874" s="214" t="str">
        <f t="shared" si="857"/>
        <v/>
      </c>
      <c r="AK1874" s="214" t="str">
        <f t="shared" si="858"/>
        <v/>
      </c>
      <c r="AL1874" s="214" t="str">
        <f t="shared" si="859"/>
        <v/>
      </c>
      <c r="AM1874" s="214" t="str">
        <f t="shared" si="860"/>
        <v/>
      </c>
      <c r="AN1874" s="213" t="str">
        <f t="shared" si="843"/>
        <v>2012</v>
      </c>
      <c r="AO1874" s="213" t="str">
        <f t="shared" si="844"/>
        <v>2012</v>
      </c>
      <c r="AP1874" s="213" t="str">
        <f t="shared" si="845"/>
        <v>2012</v>
      </c>
      <c r="AQ1874" s="215" t="str">
        <f t="shared" si="846"/>
        <v/>
      </c>
      <c r="AR1874" s="216" t="str">
        <f t="shared" si="847"/>
        <v>BiK81M1bK12-07</v>
      </c>
      <c r="AS1874" s="215" t="str">
        <f t="shared" si="848"/>
        <v/>
      </c>
      <c r="AT1874">
        <f t="shared" si="849"/>
        <v>14</v>
      </c>
      <c r="AU1874" s="216" t="str">
        <f t="shared" si="850"/>
        <v>0-0,15 MW, Bonusregeln M1, b und K erstmals 2012</v>
      </c>
      <c r="AV1874" s="215" t="str">
        <f t="shared" si="851"/>
        <v/>
      </c>
      <c r="AW1874" s="216" t="str">
        <f t="shared" si="852"/>
        <v>Anteil KWK, erstmals 2012</v>
      </c>
      <c r="AX1874" s="215" t="str">
        <f t="shared" si="853"/>
        <v/>
      </c>
      <c r="AY1874" t="str">
        <f t="shared" si="854"/>
        <v/>
      </c>
      <c r="AZ1874" t="str">
        <f t="shared" si="855"/>
        <v>x</v>
      </c>
    </row>
    <row r="1875" spans="1:52" s="178" customFormat="1" x14ac:dyDescent="0.25">
      <c r="A1875" s="610" t="s">
        <v>4478</v>
      </c>
      <c r="B1875" s="30" t="s">
        <v>5548</v>
      </c>
      <c r="C1875" s="30" t="s">
        <v>1304</v>
      </c>
      <c r="D1875" s="30" t="s">
        <v>6956</v>
      </c>
      <c r="E1875" s="30" t="s">
        <v>4810</v>
      </c>
      <c r="F1875" s="454">
        <f t="shared" si="862"/>
        <v>25.67</v>
      </c>
      <c r="G1875" s="529">
        <v>25.67</v>
      </c>
      <c r="H1875" s="487">
        <f t="shared" si="863"/>
        <v>20.54</v>
      </c>
      <c r="I1875" s="706"/>
      <c r="J1875" s="669" t="s">
        <v>5805</v>
      </c>
      <c r="K1875" s="15"/>
      <c r="L1875"/>
      <c r="M1875" s="49">
        <f t="shared" si="864"/>
        <v>25.67</v>
      </c>
      <c r="N1875" s="41">
        <v>11.67</v>
      </c>
      <c r="O1875" s="187"/>
      <c r="P1875" s="183"/>
      <c r="Q1875" s="184"/>
      <c r="R1875" s="184"/>
      <c r="S1875" s="184" t="s">
        <v>4180</v>
      </c>
      <c r="T1875" s="178" t="s">
        <v>4180</v>
      </c>
      <c r="U1875" s="185" t="s">
        <v>1017</v>
      </c>
      <c r="V1875" s="184"/>
      <c r="W1875" s="180"/>
      <c r="X1875" s="180"/>
      <c r="Z1875" s="184" t="s">
        <v>1017</v>
      </c>
      <c r="AA1875" s="180"/>
      <c r="AB1875" s="184"/>
      <c r="AC1875" s="184"/>
      <c r="AD1875" s="201"/>
      <c r="AE1875" s="181" t="s">
        <v>1017</v>
      </c>
      <c r="AF1875" s="180"/>
      <c r="AG1875" s="201"/>
      <c r="AH1875" s="212" t="str">
        <f t="shared" ref="AH1875:AH1880" si="865">IF(ISERROR(SEARCH("K erstmals 201",D1875)),"",RIGHT(D1875,4))</f>
        <v/>
      </c>
      <c r="AI1875" s="214" t="str">
        <f t="shared" si="856"/>
        <v/>
      </c>
      <c r="AJ1875" s="214" t="str">
        <f t="shared" si="857"/>
        <v/>
      </c>
      <c r="AK1875" s="214" t="str">
        <f t="shared" si="858"/>
        <v/>
      </c>
      <c r="AL1875" s="214" t="str">
        <f t="shared" si="859"/>
        <v/>
      </c>
      <c r="AM1875" s="214" t="str">
        <f t="shared" si="860"/>
        <v/>
      </c>
      <c r="AN1875" s="213" t="str">
        <f t="shared" si="843"/>
        <v/>
      </c>
      <c r="AO1875" s="213" t="str">
        <f t="shared" si="844"/>
        <v/>
      </c>
      <c r="AP1875" s="213" t="str">
        <f t="shared" si="845"/>
        <v/>
      </c>
      <c r="AQ1875" s="215" t="str">
        <f t="shared" si="846"/>
        <v/>
      </c>
      <c r="AR1875" s="216" t="str">
        <f t="shared" si="847"/>
        <v>BiK81M1by---07</v>
      </c>
      <c r="AS1875" s="215" t="str">
        <f t="shared" si="848"/>
        <v/>
      </c>
      <c r="AT1875">
        <f t="shared" si="849"/>
        <v>14</v>
      </c>
      <c r="AU1875" s="216" t="str">
        <f t="shared" si="850"/>
        <v>0-0,15 MW, Bonusregeln M1, y, b</v>
      </c>
      <c r="AV1875" s="215" t="str">
        <f t="shared" si="851"/>
        <v/>
      </c>
      <c r="AW1875" s="216" t="str">
        <f t="shared" si="852"/>
        <v>Anteil Nicht-KWK</v>
      </c>
      <c r="AX1875" s="215" t="str">
        <f t="shared" si="853"/>
        <v/>
      </c>
      <c r="AY1875" t="str">
        <f t="shared" si="854"/>
        <v/>
      </c>
      <c r="AZ1875" t="str">
        <f t="shared" si="855"/>
        <v/>
      </c>
    </row>
    <row r="1876" spans="1:52" s="178" customFormat="1" x14ac:dyDescent="0.25">
      <c r="A1876" s="610" t="s">
        <v>4479</v>
      </c>
      <c r="B1876" s="30" t="s">
        <v>5548</v>
      </c>
      <c r="C1876" s="30" t="s">
        <v>1304</v>
      </c>
      <c r="D1876" s="30" t="s">
        <v>6957</v>
      </c>
      <c r="E1876" s="30" t="s">
        <v>4812</v>
      </c>
      <c r="F1876" s="454">
        <f t="shared" si="862"/>
        <v>27.67</v>
      </c>
      <c r="G1876" s="529">
        <v>27.67</v>
      </c>
      <c r="H1876" s="487">
        <f t="shared" si="863"/>
        <v>22.14</v>
      </c>
      <c r="I1876" s="706"/>
      <c r="J1876" s="669" t="s">
        <v>5805</v>
      </c>
      <c r="K1876" s="15"/>
      <c r="L1876"/>
      <c r="M1876" s="49">
        <f t="shared" si="864"/>
        <v>27.67</v>
      </c>
      <c r="N1876" s="41">
        <v>11.67</v>
      </c>
      <c r="O1876" s="187" t="s">
        <v>1017</v>
      </c>
      <c r="P1876" s="183"/>
      <c r="Q1876" s="184"/>
      <c r="R1876" s="184"/>
      <c r="S1876" s="184" t="s">
        <v>4180</v>
      </c>
      <c r="T1876" s="178" t="s">
        <v>4180</v>
      </c>
      <c r="U1876" s="185" t="s">
        <v>1017</v>
      </c>
      <c r="V1876" s="184"/>
      <c r="W1876" s="180"/>
      <c r="X1876" s="180"/>
      <c r="Z1876" s="184" t="s">
        <v>1017</v>
      </c>
      <c r="AA1876" s="180"/>
      <c r="AB1876" s="184"/>
      <c r="AC1876" s="184"/>
      <c r="AD1876" s="201"/>
      <c r="AE1876" s="181" t="s">
        <v>1017</v>
      </c>
      <c r="AF1876" s="180"/>
      <c r="AG1876" s="201"/>
      <c r="AH1876" s="212" t="str">
        <f t="shared" si="865"/>
        <v/>
      </c>
      <c r="AI1876" s="214" t="str">
        <f t="shared" si="856"/>
        <v/>
      </c>
      <c r="AJ1876" s="214" t="str">
        <f t="shared" si="857"/>
        <v/>
      </c>
      <c r="AK1876" s="214" t="str">
        <f t="shared" si="858"/>
        <v/>
      </c>
      <c r="AL1876" s="214" t="str">
        <f t="shared" si="859"/>
        <v/>
      </c>
      <c r="AM1876" s="214" t="str">
        <f t="shared" si="860"/>
        <v/>
      </c>
      <c r="AN1876" s="213" t="str">
        <f t="shared" si="843"/>
        <v/>
      </c>
      <c r="AO1876" s="213" t="str">
        <f t="shared" si="844"/>
        <v/>
      </c>
      <c r="AP1876" s="213" t="str">
        <f t="shared" si="845"/>
        <v/>
      </c>
      <c r="AQ1876" s="215" t="str">
        <f t="shared" si="846"/>
        <v/>
      </c>
      <c r="AR1876" s="216" t="str">
        <f t="shared" si="847"/>
        <v>BiK81M1bKWKy07</v>
      </c>
      <c r="AS1876" s="215" t="str">
        <f t="shared" si="848"/>
        <v/>
      </c>
      <c r="AT1876">
        <f t="shared" si="849"/>
        <v>14</v>
      </c>
      <c r="AU1876" s="216" t="str">
        <f t="shared" si="850"/>
        <v>0-0,15 MW, Bonusregeln M1, y, b und KWK</v>
      </c>
      <c r="AV1876" s="215" t="str">
        <f t="shared" si="851"/>
        <v/>
      </c>
      <c r="AW1876" s="216" t="str">
        <f t="shared" si="852"/>
        <v>Anteil KWK</v>
      </c>
      <c r="AX1876" s="215" t="str">
        <f t="shared" si="853"/>
        <v/>
      </c>
      <c r="AY1876" t="str">
        <f t="shared" si="854"/>
        <v/>
      </c>
      <c r="AZ1876" t="str">
        <f t="shared" si="855"/>
        <v/>
      </c>
    </row>
    <row r="1877" spans="1:52" s="178" customFormat="1" x14ac:dyDescent="0.25">
      <c r="A1877" s="610" t="s">
        <v>4480</v>
      </c>
      <c r="B1877" s="30" t="s">
        <v>5548</v>
      </c>
      <c r="C1877" s="30" t="s">
        <v>1304</v>
      </c>
      <c r="D1877" s="109" t="s">
        <v>6958</v>
      </c>
      <c r="E1877" s="30" t="s">
        <v>4331</v>
      </c>
      <c r="F1877" s="454">
        <f t="shared" si="862"/>
        <v>28.67</v>
      </c>
      <c r="G1877" s="529">
        <v>28.67</v>
      </c>
      <c r="H1877" s="487">
        <f t="shared" si="863"/>
        <v>22.94</v>
      </c>
      <c r="I1877" s="706"/>
      <c r="J1877" s="669" t="s">
        <v>5805</v>
      </c>
      <c r="K1877" s="15"/>
      <c r="L1877"/>
      <c r="M1877" s="49">
        <f t="shared" si="864"/>
        <v>28.67</v>
      </c>
      <c r="N1877" s="41">
        <v>11.67</v>
      </c>
      <c r="O1877" s="187"/>
      <c r="P1877" s="184" t="s">
        <v>1017</v>
      </c>
      <c r="Q1877" s="184"/>
      <c r="R1877" s="184"/>
      <c r="S1877" s="184" t="s">
        <v>4180</v>
      </c>
      <c r="T1877" s="178" t="s">
        <v>4180</v>
      </c>
      <c r="U1877" s="185" t="s">
        <v>1017</v>
      </c>
      <c r="V1877" s="184"/>
      <c r="W1877" s="180"/>
      <c r="X1877" s="180"/>
      <c r="Z1877" s="184" t="s">
        <v>1017</v>
      </c>
      <c r="AA1877" s="180"/>
      <c r="AB1877" s="184"/>
      <c r="AC1877" s="184"/>
      <c r="AD1877" s="201"/>
      <c r="AE1877" s="181" t="s">
        <v>1017</v>
      </c>
      <c r="AF1877" s="180"/>
      <c r="AG1877" s="201"/>
      <c r="AH1877" s="212" t="str">
        <f t="shared" si="865"/>
        <v/>
      </c>
      <c r="AI1877" s="214" t="str">
        <f t="shared" si="856"/>
        <v/>
      </c>
      <c r="AJ1877" s="214" t="str">
        <f t="shared" si="857"/>
        <v/>
      </c>
      <c r="AK1877" s="214" t="str">
        <f t="shared" si="858"/>
        <v/>
      </c>
      <c r="AL1877" s="214" t="str">
        <f t="shared" si="859"/>
        <v/>
      </c>
      <c r="AM1877" s="214" t="str">
        <f t="shared" si="860"/>
        <v/>
      </c>
      <c r="AN1877" s="213" t="str">
        <f t="shared" si="843"/>
        <v/>
      </c>
      <c r="AO1877" s="213" t="str">
        <f t="shared" si="844"/>
        <v/>
      </c>
      <c r="AP1877" s="213" t="str">
        <f t="shared" si="845"/>
        <v/>
      </c>
      <c r="AQ1877" s="215" t="str">
        <f t="shared" si="846"/>
        <v/>
      </c>
      <c r="AR1877" s="216" t="str">
        <f t="shared" si="847"/>
        <v>BiK81M1bKA3y07</v>
      </c>
      <c r="AS1877" s="215" t="str">
        <f t="shared" si="848"/>
        <v/>
      </c>
      <c r="AT1877">
        <f t="shared" si="849"/>
        <v>14</v>
      </c>
      <c r="AU1877" s="216" t="str">
        <f t="shared" si="850"/>
        <v>0-0,15 MW, Bonusregeln M1, y, b und K wenn Anlage 3 erfüllt</v>
      </c>
      <c r="AV1877" s="215" t="str">
        <f t="shared" si="851"/>
        <v/>
      </c>
      <c r="AW1877" s="216" t="str">
        <f t="shared" si="852"/>
        <v>Anteil KWK gemäß Anlage 3</v>
      </c>
      <c r="AX1877" s="215" t="str">
        <f t="shared" si="853"/>
        <v/>
      </c>
      <c r="AY1877" t="str">
        <f t="shared" si="854"/>
        <v/>
      </c>
      <c r="AZ1877" t="str">
        <f t="shared" si="855"/>
        <v/>
      </c>
    </row>
    <row r="1878" spans="1:52" s="178" customFormat="1" x14ac:dyDescent="0.25">
      <c r="A1878" s="610" t="s">
        <v>4481</v>
      </c>
      <c r="B1878" s="30" t="s">
        <v>5548</v>
      </c>
      <c r="C1878" s="30" t="s">
        <v>1304</v>
      </c>
      <c r="D1878" s="30" t="s">
        <v>6959</v>
      </c>
      <c r="E1878" s="30" t="s">
        <v>674</v>
      </c>
      <c r="F1878" s="454">
        <f t="shared" si="862"/>
        <v>28.67</v>
      </c>
      <c r="G1878" s="529">
        <v>28.67</v>
      </c>
      <c r="H1878" s="487">
        <f t="shared" si="863"/>
        <v>22.94</v>
      </c>
      <c r="I1878" s="706"/>
      <c r="J1878" s="669" t="s">
        <v>5805</v>
      </c>
      <c r="K1878" s="15"/>
      <c r="L1878"/>
      <c r="M1878" s="49">
        <f t="shared" si="864"/>
        <v>28.67</v>
      </c>
      <c r="N1878" s="41">
        <v>11.67</v>
      </c>
      <c r="O1878" s="187"/>
      <c r="P1878" s="183"/>
      <c r="Q1878" s="184" t="s">
        <v>1017</v>
      </c>
      <c r="R1878" s="184"/>
      <c r="S1878" s="184" t="s">
        <v>4180</v>
      </c>
      <c r="T1878" s="178" t="s">
        <v>4180</v>
      </c>
      <c r="U1878" s="185" t="s">
        <v>1017</v>
      </c>
      <c r="V1878" s="184"/>
      <c r="W1878" s="180"/>
      <c r="X1878" s="180"/>
      <c r="Z1878" s="184" t="s">
        <v>1017</v>
      </c>
      <c r="AA1878" s="180"/>
      <c r="AB1878" s="184"/>
      <c r="AC1878" s="184"/>
      <c r="AD1878" s="201"/>
      <c r="AE1878" s="181" t="s">
        <v>1017</v>
      </c>
      <c r="AF1878" s="180"/>
      <c r="AG1878" s="201"/>
      <c r="AH1878" s="212" t="str">
        <f t="shared" si="865"/>
        <v/>
      </c>
      <c r="AI1878" s="214" t="str">
        <f t="shared" si="856"/>
        <v/>
      </c>
      <c r="AJ1878" s="214" t="str">
        <f t="shared" si="857"/>
        <v/>
      </c>
      <c r="AK1878" s="214" t="str">
        <f t="shared" si="858"/>
        <v/>
      </c>
      <c r="AL1878" s="214" t="str">
        <f t="shared" si="859"/>
        <v/>
      </c>
      <c r="AM1878" s="214" t="str">
        <f t="shared" si="860"/>
        <v/>
      </c>
      <c r="AN1878" s="213" t="str">
        <f t="shared" si="843"/>
        <v/>
      </c>
      <c r="AO1878" s="213" t="str">
        <f t="shared" si="844"/>
        <v/>
      </c>
      <c r="AP1878" s="213" t="str">
        <f t="shared" si="845"/>
        <v/>
      </c>
      <c r="AQ1878" s="215" t="str">
        <f t="shared" si="846"/>
        <v/>
      </c>
      <c r="AR1878" s="216" t="str">
        <f t="shared" si="847"/>
        <v>BiK81M1bK09y07</v>
      </c>
      <c r="AS1878" s="215" t="str">
        <f t="shared" si="848"/>
        <v/>
      </c>
      <c r="AT1878">
        <f t="shared" si="849"/>
        <v>14</v>
      </c>
      <c r="AU1878" s="216" t="str">
        <f t="shared" si="850"/>
        <v>0-0,15 MW, Bonusregeln M1, y, b und K erstmals 2009</v>
      </c>
      <c r="AV1878" s="215" t="str">
        <f t="shared" si="851"/>
        <v/>
      </c>
      <c r="AW1878" s="216" t="str">
        <f t="shared" si="852"/>
        <v>Anteil KWK, erstmals 2009</v>
      </c>
      <c r="AX1878" s="215" t="str">
        <f t="shared" si="853"/>
        <v/>
      </c>
      <c r="AY1878" t="str">
        <f t="shared" si="854"/>
        <v/>
      </c>
      <c r="AZ1878" t="str">
        <f t="shared" si="855"/>
        <v/>
      </c>
    </row>
    <row r="1879" spans="1:52" s="178" customFormat="1" x14ac:dyDescent="0.25">
      <c r="A1879" s="610" t="s">
        <v>4960</v>
      </c>
      <c r="B1879" s="30" t="s">
        <v>5548</v>
      </c>
      <c r="C1879" s="30" t="s">
        <v>1304</v>
      </c>
      <c r="D1879" s="30" t="s">
        <v>6960</v>
      </c>
      <c r="E1879" s="30" t="s">
        <v>3567</v>
      </c>
      <c r="F1879" s="454">
        <f t="shared" si="862"/>
        <v>28.64</v>
      </c>
      <c r="G1879" s="529">
        <v>28.64</v>
      </c>
      <c r="H1879" s="487">
        <f t="shared" si="863"/>
        <v>22.91</v>
      </c>
      <c r="I1879" s="706"/>
      <c r="J1879" s="669" t="s">
        <v>5805</v>
      </c>
      <c r="K1879" s="15"/>
      <c r="L1879"/>
      <c r="M1879" s="49">
        <f t="shared" si="864"/>
        <v>28.64</v>
      </c>
      <c r="N1879" s="41">
        <v>11.67</v>
      </c>
      <c r="O1879" s="187"/>
      <c r="P1879" s="183"/>
      <c r="Q1879" s="184"/>
      <c r="R1879" s="184" t="s">
        <v>1017</v>
      </c>
      <c r="S1879" s="184" t="s">
        <v>4180</v>
      </c>
      <c r="T1879" s="178" t="s">
        <v>4180</v>
      </c>
      <c r="U1879" s="185" t="s">
        <v>1017</v>
      </c>
      <c r="V1879" s="184"/>
      <c r="W1879" s="180"/>
      <c r="X1879" s="180"/>
      <c r="Z1879" s="184" t="s">
        <v>1017</v>
      </c>
      <c r="AA1879" s="180"/>
      <c r="AB1879" s="184"/>
      <c r="AC1879" s="184"/>
      <c r="AD1879" s="201"/>
      <c r="AE1879" s="181" t="s">
        <v>1017</v>
      </c>
      <c r="AF1879" s="180"/>
      <c r="AG1879" s="201"/>
      <c r="AH1879" s="212" t="str">
        <f t="shared" si="865"/>
        <v>2010</v>
      </c>
      <c r="AI1879" s="214" t="str">
        <f t="shared" si="856"/>
        <v/>
      </c>
      <c r="AJ1879" s="214" t="str">
        <f t="shared" si="857"/>
        <v/>
      </c>
      <c r="AK1879" s="214" t="str">
        <f t="shared" si="858"/>
        <v/>
      </c>
      <c r="AL1879" s="214" t="str">
        <f t="shared" si="859"/>
        <v/>
      </c>
      <c r="AM1879" s="214" t="str">
        <f t="shared" si="860"/>
        <v/>
      </c>
      <c r="AN1879" s="213" t="str">
        <f t="shared" si="843"/>
        <v>2010</v>
      </c>
      <c r="AO1879" s="213" t="str">
        <f t="shared" si="844"/>
        <v>2010</v>
      </c>
      <c r="AP1879" s="213" t="str">
        <f t="shared" si="845"/>
        <v>2010</v>
      </c>
      <c r="AQ1879" s="215" t="str">
        <f t="shared" si="846"/>
        <v/>
      </c>
      <c r="AR1879" s="216" t="str">
        <f t="shared" si="847"/>
        <v>BiK81M1bK10y07</v>
      </c>
      <c r="AS1879" s="215" t="str">
        <f t="shared" si="848"/>
        <v/>
      </c>
      <c r="AT1879">
        <f t="shared" si="849"/>
        <v>14</v>
      </c>
      <c r="AU1879" s="216" t="str">
        <f t="shared" si="850"/>
        <v>0-0,15 MW, Bonusregeln M1, y, b und K erstmals 2010</v>
      </c>
      <c r="AV1879" s="215" t="str">
        <f t="shared" si="851"/>
        <v/>
      </c>
      <c r="AW1879" s="216" t="str">
        <f t="shared" si="852"/>
        <v>Anteil KWK, erstmals 2010</v>
      </c>
      <c r="AX1879" s="215" t="str">
        <f t="shared" si="853"/>
        <v/>
      </c>
      <c r="AY1879" t="str">
        <f t="shared" si="854"/>
        <v/>
      </c>
      <c r="AZ1879" t="str">
        <f t="shared" si="855"/>
        <v/>
      </c>
    </row>
    <row r="1880" spans="1:52" s="178" customFormat="1" x14ac:dyDescent="0.25">
      <c r="A1880" s="610" t="s">
        <v>3397</v>
      </c>
      <c r="B1880" s="30" t="s">
        <v>5548</v>
      </c>
      <c r="C1880" s="30" t="s">
        <v>1304</v>
      </c>
      <c r="D1880" s="30" t="s">
        <v>6961</v>
      </c>
      <c r="E1880" s="30" t="s">
        <v>3055</v>
      </c>
      <c r="F1880" s="454">
        <f t="shared" si="862"/>
        <v>28.61</v>
      </c>
      <c r="G1880" s="529">
        <v>28.61</v>
      </c>
      <c r="H1880" s="487">
        <f t="shared" si="863"/>
        <v>22.89</v>
      </c>
      <c r="I1880" s="706"/>
      <c r="J1880" s="669" t="s">
        <v>5805</v>
      </c>
      <c r="K1880" s="15"/>
      <c r="L1880"/>
      <c r="M1880" s="49">
        <f t="shared" si="864"/>
        <v>28.61</v>
      </c>
      <c r="N1880" s="41">
        <v>11.67</v>
      </c>
      <c r="O1880" s="187"/>
      <c r="P1880" s="183"/>
      <c r="Q1880" s="184"/>
      <c r="S1880" s="184" t="s">
        <v>1017</v>
      </c>
      <c r="T1880" s="178" t="s">
        <v>4180</v>
      </c>
      <c r="U1880" s="185" t="s">
        <v>1017</v>
      </c>
      <c r="V1880" s="184"/>
      <c r="W1880" s="180"/>
      <c r="X1880" s="180"/>
      <c r="Z1880" s="184" t="s">
        <v>1017</v>
      </c>
      <c r="AA1880" s="180"/>
      <c r="AB1880" s="184"/>
      <c r="AC1880" s="184"/>
      <c r="AD1880" s="201"/>
      <c r="AE1880" s="181" t="s">
        <v>1017</v>
      </c>
      <c r="AF1880" s="180"/>
      <c r="AG1880" s="201"/>
      <c r="AH1880" s="212" t="str">
        <f t="shared" si="865"/>
        <v>2011</v>
      </c>
      <c r="AI1880" s="214" t="str">
        <f t="shared" si="856"/>
        <v/>
      </c>
      <c r="AJ1880" s="214" t="str">
        <f t="shared" si="857"/>
        <v/>
      </c>
      <c r="AK1880" s="214" t="str">
        <f t="shared" si="858"/>
        <v/>
      </c>
      <c r="AL1880" s="214" t="str">
        <f t="shared" si="859"/>
        <v/>
      </c>
      <c r="AM1880" s="214" t="str">
        <f t="shared" si="860"/>
        <v/>
      </c>
      <c r="AN1880" s="213" t="str">
        <f t="shared" si="843"/>
        <v>2011</v>
      </c>
      <c r="AO1880" s="213" t="str">
        <f t="shared" si="844"/>
        <v>2011</v>
      </c>
      <c r="AP1880" s="213" t="str">
        <f t="shared" si="845"/>
        <v>2011</v>
      </c>
      <c r="AQ1880" s="215" t="str">
        <f t="shared" si="846"/>
        <v/>
      </c>
      <c r="AR1880" s="216" t="str">
        <f t="shared" si="847"/>
        <v>BiK81M1bK11y07</v>
      </c>
      <c r="AS1880" s="215" t="str">
        <f t="shared" si="848"/>
        <v/>
      </c>
      <c r="AT1880">
        <f t="shared" si="849"/>
        <v>14</v>
      </c>
      <c r="AU1880" s="216" t="str">
        <f t="shared" si="850"/>
        <v>0-0,15 MW, Bonusregeln M1, y, b und K erstmals 2011</v>
      </c>
      <c r="AV1880" s="215" t="str">
        <f t="shared" si="851"/>
        <v/>
      </c>
      <c r="AW1880" s="216" t="str">
        <f t="shared" si="852"/>
        <v>Anteil KWK, erstmals 2011</v>
      </c>
      <c r="AX1880" s="215" t="str">
        <f t="shared" si="853"/>
        <v/>
      </c>
      <c r="AY1880" t="str">
        <f t="shared" si="854"/>
        <v>x</v>
      </c>
      <c r="AZ1880" t="str">
        <f t="shared" si="855"/>
        <v/>
      </c>
    </row>
    <row r="1881" spans="1:52" s="178" customFormat="1" x14ac:dyDescent="0.25">
      <c r="A1881" s="625" t="s">
        <v>1829</v>
      </c>
      <c r="B1881" s="219" t="s">
        <v>5548</v>
      </c>
      <c r="C1881" s="219" t="s">
        <v>1304</v>
      </c>
      <c r="D1881" s="219" t="s">
        <v>6962</v>
      </c>
      <c r="E1881" s="219" t="s">
        <v>1980</v>
      </c>
      <c r="F1881" s="455">
        <f t="shared" si="862"/>
        <v>28.58</v>
      </c>
      <c r="G1881" s="530">
        <v>28.58</v>
      </c>
      <c r="H1881" s="488">
        <f t="shared" si="863"/>
        <v>22.86</v>
      </c>
      <c r="I1881" s="707"/>
      <c r="J1881" s="669" t="s">
        <v>5805</v>
      </c>
      <c r="K1881" s="15"/>
      <c r="L1881"/>
      <c r="M1881" s="49">
        <f t="shared" si="864"/>
        <v>28.58</v>
      </c>
      <c r="N1881" s="41">
        <v>11.67</v>
      </c>
      <c r="O1881" s="187"/>
      <c r="P1881" s="183"/>
      <c r="Q1881" s="184"/>
      <c r="S1881" s="184" t="s">
        <v>4180</v>
      </c>
      <c r="T1881" s="178" t="s">
        <v>1017</v>
      </c>
      <c r="U1881" s="185" t="s">
        <v>1017</v>
      </c>
      <c r="V1881" s="184"/>
      <c r="W1881" s="180"/>
      <c r="X1881" s="180"/>
      <c r="Z1881" s="184" t="s">
        <v>1017</v>
      </c>
      <c r="AA1881" s="180"/>
      <c r="AB1881" s="184"/>
      <c r="AC1881" s="184"/>
      <c r="AD1881" s="201"/>
      <c r="AE1881" s="181" t="s">
        <v>1017</v>
      </c>
      <c r="AF1881" s="180"/>
      <c r="AG1881" s="201"/>
      <c r="AH1881" s="217" t="s">
        <v>4179</v>
      </c>
      <c r="AI1881" s="214" t="str">
        <f t="shared" si="856"/>
        <v/>
      </c>
      <c r="AJ1881" s="214" t="str">
        <f t="shared" si="857"/>
        <v/>
      </c>
      <c r="AK1881" s="214" t="str">
        <f t="shared" si="858"/>
        <v/>
      </c>
      <c r="AL1881" s="214" t="str">
        <f t="shared" si="859"/>
        <v/>
      </c>
      <c r="AM1881" s="214" t="str">
        <f t="shared" si="860"/>
        <v/>
      </c>
      <c r="AN1881" s="213" t="str">
        <f t="shared" si="843"/>
        <v>2012</v>
      </c>
      <c r="AO1881" s="213" t="str">
        <f t="shared" si="844"/>
        <v>2012</v>
      </c>
      <c r="AP1881" s="213" t="str">
        <f t="shared" si="845"/>
        <v>2012</v>
      </c>
      <c r="AQ1881" s="215" t="str">
        <f t="shared" si="846"/>
        <v/>
      </c>
      <c r="AR1881" s="216" t="str">
        <f t="shared" si="847"/>
        <v>BiK81M1bK12y07</v>
      </c>
      <c r="AS1881" s="215" t="str">
        <f t="shared" si="848"/>
        <v/>
      </c>
      <c r="AT1881">
        <f t="shared" si="849"/>
        <v>14</v>
      </c>
      <c r="AU1881" s="216" t="str">
        <f t="shared" si="850"/>
        <v>0-0,15 MW, Bonusregeln M1, y, b und K erstmals 2012</v>
      </c>
      <c r="AV1881" s="215" t="str">
        <f t="shared" si="851"/>
        <v/>
      </c>
      <c r="AW1881" s="216" t="str">
        <f t="shared" si="852"/>
        <v>Anteil KWK, erstmals 2012</v>
      </c>
      <c r="AX1881" s="215" t="str">
        <f t="shared" si="853"/>
        <v/>
      </c>
      <c r="AY1881" t="str">
        <f t="shared" si="854"/>
        <v/>
      </c>
      <c r="AZ1881" t="str">
        <f t="shared" si="855"/>
        <v>x</v>
      </c>
    </row>
    <row r="1882" spans="1:52" s="178" customFormat="1" x14ac:dyDescent="0.25">
      <c r="A1882" s="610" t="s">
        <v>4482</v>
      </c>
      <c r="B1882" s="30" t="s">
        <v>5548</v>
      </c>
      <c r="C1882" s="30" t="s">
        <v>1304</v>
      </c>
      <c r="D1882" s="30" t="s">
        <v>6963</v>
      </c>
      <c r="E1882" s="30" t="s">
        <v>4810</v>
      </c>
      <c r="F1882" s="454">
        <f t="shared" si="862"/>
        <v>22.67</v>
      </c>
      <c r="G1882" s="529">
        <v>22.67</v>
      </c>
      <c r="H1882" s="487">
        <f t="shared" si="863"/>
        <v>18.14</v>
      </c>
      <c r="I1882" s="706"/>
      <c r="J1882" s="669" t="s">
        <v>5805</v>
      </c>
      <c r="K1882" s="15"/>
      <c r="L1882"/>
      <c r="M1882" s="49">
        <f t="shared" si="864"/>
        <v>22.67</v>
      </c>
      <c r="N1882" s="41">
        <v>11.67</v>
      </c>
      <c r="O1882" s="186"/>
      <c r="P1882" s="177"/>
      <c r="S1882" s="178" t="s">
        <v>4180</v>
      </c>
      <c r="T1882" s="178" t="s">
        <v>4180</v>
      </c>
      <c r="U1882" s="179"/>
      <c r="W1882" s="180"/>
      <c r="X1882" s="180"/>
      <c r="AA1882" s="180"/>
      <c r="AB1882" s="178" t="s">
        <v>1017</v>
      </c>
      <c r="AD1882" s="201"/>
      <c r="AE1882" s="181" t="s">
        <v>1017</v>
      </c>
      <c r="AF1882" s="180"/>
      <c r="AG1882" s="201"/>
      <c r="AH1882" s="212" t="str">
        <f t="shared" ref="AH1882:AH1887" si="866">IF(ISERROR(SEARCH("K erstmals 201",D1882)),"",RIGHT(D1882,4))</f>
        <v/>
      </c>
      <c r="AI1882" s="214" t="str">
        <f t="shared" si="856"/>
        <v/>
      </c>
      <c r="AJ1882" s="214" t="str">
        <f t="shared" si="857"/>
        <v/>
      </c>
      <c r="AK1882" s="214" t="str">
        <f t="shared" si="858"/>
        <v/>
      </c>
      <c r="AL1882" s="214" t="str">
        <f t="shared" si="859"/>
        <v/>
      </c>
      <c r="AM1882" s="214" t="str">
        <f t="shared" si="860"/>
        <v/>
      </c>
      <c r="AN1882" s="213" t="str">
        <f t="shared" si="843"/>
        <v/>
      </c>
      <c r="AO1882" s="213" t="str">
        <f t="shared" si="844"/>
        <v/>
      </c>
      <c r="AP1882" s="213" t="str">
        <f t="shared" si="845"/>
        <v/>
      </c>
      <c r="AQ1882" s="215" t="str">
        <f t="shared" si="846"/>
        <v/>
      </c>
      <c r="AR1882" s="216" t="str">
        <f t="shared" si="847"/>
        <v>BiK81Lb-----07</v>
      </c>
      <c r="AS1882" s="215" t="str">
        <f t="shared" si="848"/>
        <v/>
      </c>
      <c r="AT1882">
        <f t="shared" si="849"/>
        <v>14</v>
      </c>
      <c r="AU1882" s="216" t="str">
        <f t="shared" si="850"/>
        <v>0-0,15 MW, Bonusregeln L, b</v>
      </c>
      <c r="AV1882" s="215" t="str">
        <f t="shared" si="851"/>
        <v/>
      </c>
      <c r="AW1882" s="216" t="str">
        <f t="shared" si="852"/>
        <v>Anteil Nicht-KWK</v>
      </c>
      <c r="AX1882" s="215" t="str">
        <f t="shared" si="853"/>
        <v/>
      </c>
      <c r="AY1882" t="str">
        <f t="shared" si="854"/>
        <v/>
      </c>
      <c r="AZ1882" t="str">
        <f t="shared" si="855"/>
        <v/>
      </c>
    </row>
    <row r="1883" spans="1:52" s="178" customFormat="1" x14ac:dyDescent="0.25">
      <c r="A1883" s="610" t="s">
        <v>4483</v>
      </c>
      <c r="B1883" s="30" t="s">
        <v>5548</v>
      </c>
      <c r="C1883" s="30" t="s">
        <v>1304</v>
      </c>
      <c r="D1883" s="30" t="s">
        <v>6964</v>
      </c>
      <c r="E1883" s="30" t="s">
        <v>4812</v>
      </c>
      <c r="F1883" s="454">
        <f t="shared" si="862"/>
        <v>24.67</v>
      </c>
      <c r="G1883" s="529">
        <v>24.67</v>
      </c>
      <c r="H1883" s="487">
        <f t="shared" si="863"/>
        <v>19.739999999999998</v>
      </c>
      <c r="I1883" s="706"/>
      <c r="J1883" s="669" t="s">
        <v>5805</v>
      </c>
      <c r="K1883" s="15"/>
      <c r="L1883"/>
      <c r="M1883" s="49">
        <f t="shared" si="864"/>
        <v>24.67</v>
      </c>
      <c r="N1883" s="41">
        <v>11.67</v>
      </c>
      <c r="O1883" s="186" t="s">
        <v>1017</v>
      </c>
      <c r="P1883" s="177"/>
      <c r="S1883" s="178" t="s">
        <v>4180</v>
      </c>
      <c r="T1883" s="178" t="s">
        <v>4180</v>
      </c>
      <c r="U1883" s="179"/>
      <c r="W1883" s="180"/>
      <c r="X1883" s="180"/>
      <c r="AA1883" s="180"/>
      <c r="AB1883" s="178" t="s">
        <v>1017</v>
      </c>
      <c r="AD1883" s="201"/>
      <c r="AE1883" s="181" t="s">
        <v>1017</v>
      </c>
      <c r="AF1883" s="180"/>
      <c r="AG1883" s="201"/>
      <c r="AH1883" s="212" t="str">
        <f t="shared" si="866"/>
        <v/>
      </c>
      <c r="AI1883" s="214" t="str">
        <f t="shared" si="856"/>
        <v/>
      </c>
      <c r="AJ1883" s="214" t="str">
        <f t="shared" si="857"/>
        <v/>
      </c>
      <c r="AK1883" s="214" t="str">
        <f t="shared" si="858"/>
        <v/>
      </c>
      <c r="AL1883" s="214" t="str">
        <f t="shared" si="859"/>
        <v/>
      </c>
      <c r="AM1883" s="214" t="str">
        <f t="shared" si="860"/>
        <v/>
      </c>
      <c r="AN1883" s="213" t="str">
        <f t="shared" si="843"/>
        <v/>
      </c>
      <c r="AO1883" s="213" t="str">
        <f t="shared" si="844"/>
        <v/>
      </c>
      <c r="AP1883" s="213" t="str">
        <f t="shared" si="845"/>
        <v/>
      </c>
      <c r="AQ1883" s="215" t="str">
        <f t="shared" si="846"/>
        <v/>
      </c>
      <c r="AR1883" s="216" t="str">
        <f t="shared" si="847"/>
        <v>BiK81LbKWK--07</v>
      </c>
      <c r="AS1883" s="215" t="str">
        <f t="shared" si="848"/>
        <v/>
      </c>
      <c r="AT1883">
        <f t="shared" si="849"/>
        <v>14</v>
      </c>
      <c r="AU1883" s="216" t="str">
        <f t="shared" si="850"/>
        <v>0-0,15 MW, Bonusregeln L, b und KWK</v>
      </c>
      <c r="AV1883" s="215" t="str">
        <f t="shared" si="851"/>
        <v/>
      </c>
      <c r="AW1883" s="216" t="str">
        <f t="shared" si="852"/>
        <v>Anteil KWK</v>
      </c>
      <c r="AX1883" s="215" t="str">
        <f t="shared" si="853"/>
        <v/>
      </c>
      <c r="AY1883" t="str">
        <f t="shared" si="854"/>
        <v/>
      </c>
      <c r="AZ1883" t="str">
        <f t="shared" si="855"/>
        <v/>
      </c>
    </row>
    <row r="1884" spans="1:52" s="178" customFormat="1" x14ac:dyDescent="0.25">
      <c r="A1884" s="610" t="s">
        <v>4484</v>
      </c>
      <c r="B1884" s="30" t="s">
        <v>5548</v>
      </c>
      <c r="C1884" s="30" t="s">
        <v>1304</v>
      </c>
      <c r="D1884" s="30" t="s">
        <v>6965</v>
      </c>
      <c r="E1884" s="30" t="s">
        <v>4331</v>
      </c>
      <c r="F1884" s="454">
        <f t="shared" si="862"/>
        <v>25.67</v>
      </c>
      <c r="G1884" s="529">
        <v>25.67</v>
      </c>
      <c r="H1884" s="487">
        <f t="shared" si="863"/>
        <v>20.54</v>
      </c>
      <c r="I1884" s="706"/>
      <c r="J1884" s="669" t="s">
        <v>5805</v>
      </c>
      <c r="K1884" s="15"/>
      <c r="L1884"/>
      <c r="M1884" s="49">
        <f t="shared" si="864"/>
        <v>25.67</v>
      </c>
      <c r="N1884" s="41">
        <v>11.67</v>
      </c>
      <c r="O1884" s="186"/>
      <c r="P1884" s="178" t="s">
        <v>1017</v>
      </c>
      <c r="S1884" s="178" t="s">
        <v>4180</v>
      </c>
      <c r="T1884" s="178" t="s">
        <v>4180</v>
      </c>
      <c r="U1884" s="179"/>
      <c r="W1884" s="180"/>
      <c r="X1884" s="180"/>
      <c r="AA1884" s="180"/>
      <c r="AB1884" s="178" t="s">
        <v>1017</v>
      </c>
      <c r="AD1884" s="201"/>
      <c r="AE1884" s="181" t="s">
        <v>1017</v>
      </c>
      <c r="AF1884" s="180"/>
      <c r="AG1884" s="201"/>
      <c r="AH1884" s="212" t="str">
        <f t="shared" si="866"/>
        <v/>
      </c>
      <c r="AI1884" s="214" t="str">
        <f t="shared" si="856"/>
        <v/>
      </c>
      <c r="AJ1884" s="214" t="str">
        <f t="shared" si="857"/>
        <v/>
      </c>
      <c r="AK1884" s="214" t="str">
        <f t="shared" si="858"/>
        <v/>
      </c>
      <c r="AL1884" s="214" t="str">
        <f t="shared" si="859"/>
        <v/>
      </c>
      <c r="AM1884" s="214" t="str">
        <f t="shared" si="860"/>
        <v/>
      </c>
      <c r="AN1884" s="213" t="str">
        <f t="shared" si="843"/>
        <v/>
      </c>
      <c r="AO1884" s="213" t="str">
        <f t="shared" si="844"/>
        <v/>
      </c>
      <c r="AP1884" s="213" t="str">
        <f t="shared" si="845"/>
        <v/>
      </c>
      <c r="AQ1884" s="215" t="str">
        <f t="shared" si="846"/>
        <v/>
      </c>
      <c r="AR1884" s="216" t="str">
        <f t="shared" si="847"/>
        <v>BiK81LbKA3--07</v>
      </c>
      <c r="AS1884" s="215" t="str">
        <f t="shared" si="848"/>
        <v/>
      </c>
      <c r="AT1884">
        <f t="shared" si="849"/>
        <v>14</v>
      </c>
      <c r="AU1884" s="216" t="str">
        <f t="shared" si="850"/>
        <v>0-0,15 MW, Bonusregeln L, b und K wenn Anlage 3 erfüllt</v>
      </c>
      <c r="AV1884" s="215" t="str">
        <f t="shared" si="851"/>
        <v/>
      </c>
      <c r="AW1884" s="216" t="str">
        <f t="shared" si="852"/>
        <v>Anteil KWK gemäß Anlage 3</v>
      </c>
      <c r="AX1884" s="215" t="str">
        <f t="shared" si="853"/>
        <v/>
      </c>
      <c r="AY1884" t="str">
        <f t="shared" si="854"/>
        <v/>
      </c>
      <c r="AZ1884" t="str">
        <f t="shared" si="855"/>
        <v/>
      </c>
    </row>
    <row r="1885" spans="1:52" s="178" customFormat="1" x14ac:dyDescent="0.25">
      <c r="A1885" s="610" t="s">
        <v>4485</v>
      </c>
      <c r="B1885" s="30" t="s">
        <v>5548</v>
      </c>
      <c r="C1885" s="30" t="s">
        <v>1304</v>
      </c>
      <c r="D1885" s="30" t="s">
        <v>6966</v>
      </c>
      <c r="E1885" s="30" t="s">
        <v>674</v>
      </c>
      <c r="F1885" s="454">
        <f t="shared" si="862"/>
        <v>25.67</v>
      </c>
      <c r="G1885" s="529">
        <v>25.67</v>
      </c>
      <c r="H1885" s="487">
        <f t="shared" si="863"/>
        <v>20.54</v>
      </c>
      <c r="I1885" s="706"/>
      <c r="J1885" s="669" t="s">
        <v>5805</v>
      </c>
      <c r="K1885" s="15"/>
      <c r="L1885"/>
      <c r="M1885" s="49">
        <f t="shared" si="864"/>
        <v>25.67</v>
      </c>
      <c r="N1885" s="41">
        <v>11.67</v>
      </c>
      <c r="O1885" s="186"/>
      <c r="P1885" s="177"/>
      <c r="Q1885" s="178" t="s">
        <v>1017</v>
      </c>
      <c r="S1885" s="178" t="s">
        <v>4180</v>
      </c>
      <c r="T1885" s="178" t="s">
        <v>4180</v>
      </c>
      <c r="U1885" s="179"/>
      <c r="W1885" s="180"/>
      <c r="X1885" s="180"/>
      <c r="AA1885" s="180"/>
      <c r="AB1885" s="178" t="s">
        <v>1017</v>
      </c>
      <c r="AD1885" s="201"/>
      <c r="AE1885" s="181" t="s">
        <v>1017</v>
      </c>
      <c r="AF1885" s="180"/>
      <c r="AG1885" s="201"/>
      <c r="AH1885" s="212" t="str">
        <f t="shared" si="866"/>
        <v/>
      </c>
      <c r="AI1885" s="214" t="str">
        <f t="shared" si="856"/>
        <v/>
      </c>
      <c r="AJ1885" s="214" t="str">
        <f t="shared" si="857"/>
        <v/>
      </c>
      <c r="AK1885" s="214" t="str">
        <f t="shared" si="858"/>
        <v/>
      </c>
      <c r="AL1885" s="214" t="str">
        <f t="shared" si="859"/>
        <v/>
      </c>
      <c r="AM1885" s="214" t="str">
        <f t="shared" si="860"/>
        <v/>
      </c>
      <c r="AN1885" s="213" t="str">
        <f t="shared" si="843"/>
        <v/>
      </c>
      <c r="AO1885" s="213" t="str">
        <f t="shared" si="844"/>
        <v/>
      </c>
      <c r="AP1885" s="213" t="str">
        <f t="shared" si="845"/>
        <v/>
      </c>
      <c r="AQ1885" s="215" t="str">
        <f t="shared" si="846"/>
        <v/>
      </c>
      <c r="AR1885" s="216" t="str">
        <f t="shared" si="847"/>
        <v>BiK81LbK09--07</v>
      </c>
      <c r="AS1885" s="215" t="str">
        <f t="shared" si="848"/>
        <v/>
      </c>
      <c r="AT1885">
        <f t="shared" si="849"/>
        <v>14</v>
      </c>
      <c r="AU1885" s="216" t="str">
        <f t="shared" si="850"/>
        <v>0-0,15 MW, Bonusregeln L, b und K erstmals 2009</v>
      </c>
      <c r="AV1885" s="215" t="str">
        <f t="shared" si="851"/>
        <v/>
      </c>
      <c r="AW1885" s="216" t="str">
        <f t="shared" si="852"/>
        <v>Anteil KWK, erstmals 2009</v>
      </c>
      <c r="AX1885" s="215" t="str">
        <f t="shared" si="853"/>
        <v/>
      </c>
      <c r="AY1885" t="str">
        <f t="shared" si="854"/>
        <v/>
      </c>
      <c r="AZ1885" t="str">
        <f t="shared" si="855"/>
        <v/>
      </c>
    </row>
    <row r="1886" spans="1:52" s="178" customFormat="1" x14ac:dyDescent="0.25">
      <c r="A1886" s="610" t="s">
        <v>4961</v>
      </c>
      <c r="B1886" s="30" t="s">
        <v>5548</v>
      </c>
      <c r="C1886" s="30" t="s">
        <v>1304</v>
      </c>
      <c r="D1886" s="30" t="s">
        <v>6967</v>
      </c>
      <c r="E1886" s="30" t="s">
        <v>3567</v>
      </c>
      <c r="F1886" s="454">
        <f t="shared" si="862"/>
        <v>25.64</v>
      </c>
      <c r="G1886" s="529">
        <v>25.64</v>
      </c>
      <c r="H1886" s="487">
        <f t="shared" si="863"/>
        <v>20.51</v>
      </c>
      <c r="I1886" s="706"/>
      <c r="J1886" s="669" t="s">
        <v>5805</v>
      </c>
      <c r="K1886" s="15"/>
      <c r="L1886"/>
      <c r="M1886" s="49">
        <f t="shared" si="864"/>
        <v>25.64</v>
      </c>
      <c r="N1886" s="41">
        <v>11.67</v>
      </c>
      <c r="O1886" s="186"/>
      <c r="P1886" s="177"/>
      <c r="R1886" s="178" t="s">
        <v>1017</v>
      </c>
      <c r="S1886" s="178" t="s">
        <v>4180</v>
      </c>
      <c r="T1886" s="178" t="s">
        <v>4180</v>
      </c>
      <c r="U1886" s="179"/>
      <c r="W1886" s="180"/>
      <c r="X1886" s="180"/>
      <c r="AA1886" s="180"/>
      <c r="AB1886" s="178" t="s">
        <v>1017</v>
      </c>
      <c r="AD1886" s="201"/>
      <c r="AE1886" s="181" t="s">
        <v>1017</v>
      </c>
      <c r="AF1886" s="180"/>
      <c r="AG1886" s="201"/>
      <c r="AH1886" s="212" t="str">
        <f t="shared" si="866"/>
        <v>2010</v>
      </c>
      <c r="AI1886" s="214" t="str">
        <f t="shared" si="856"/>
        <v/>
      </c>
      <c r="AJ1886" s="214" t="str">
        <f t="shared" si="857"/>
        <v/>
      </c>
      <c r="AK1886" s="214" t="str">
        <f t="shared" si="858"/>
        <v/>
      </c>
      <c r="AL1886" s="214" t="str">
        <f t="shared" si="859"/>
        <v/>
      </c>
      <c r="AM1886" s="214" t="str">
        <f t="shared" si="860"/>
        <v/>
      </c>
      <c r="AN1886" s="213" t="str">
        <f t="shared" si="843"/>
        <v>2010</v>
      </c>
      <c r="AO1886" s="213" t="str">
        <f t="shared" si="844"/>
        <v>2010</v>
      </c>
      <c r="AP1886" s="213" t="str">
        <f t="shared" si="845"/>
        <v>2010</v>
      </c>
      <c r="AQ1886" s="215" t="str">
        <f t="shared" si="846"/>
        <v/>
      </c>
      <c r="AR1886" s="216" t="str">
        <f t="shared" si="847"/>
        <v>BiK81LbK10--07</v>
      </c>
      <c r="AS1886" s="215" t="str">
        <f t="shared" si="848"/>
        <v/>
      </c>
      <c r="AT1886">
        <f t="shared" si="849"/>
        <v>14</v>
      </c>
      <c r="AU1886" s="216" t="str">
        <f t="shared" si="850"/>
        <v>0-0,15 MW, Bonusregeln L, b und K erstmals 2010</v>
      </c>
      <c r="AV1886" s="215" t="str">
        <f t="shared" si="851"/>
        <v/>
      </c>
      <c r="AW1886" s="216" t="str">
        <f t="shared" si="852"/>
        <v>Anteil KWK, erstmals 2010</v>
      </c>
      <c r="AX1886" s="215" t="str">
        <f t="shared" si="853"/>
        <v/>
      </c>
      <c r="AY1886" t="str">
        <f t="shared" si="854"/>
        <v/>
      </c>
      <c r="AZ1886" t="str">
        <f t="shared" si="855"/>
        <v/>
      </c>
    </row>
    <row r="1887" spans="1:52" s="178" customFormat="1" x14ac:dyDescent="0.25">
      <c r="A1887" s="610" t="s">
        <v>3398</v>
      </c>
      <c r="B1887" s="30" t="s">
        <v>5548</v>
      </c>
      <c r="C1887" s="30" t="s">
        <v>1304</v>
      </c>
      <c r="D1887" s="30" t="s">
        <v>6968</v>
      </c>
      <c r="E1887" s="30" t="s">
        <v>3055</v>
      </c>
      <c r="F1887" s="454">
        <f t="shared" si="862"/>
        <v>25.61</v>
      </c>
      <c r="G1887" s="529">
        <v>25.61</v>
      </c>
      <c r="H1887" s="487">
        <f t="shared" si="863"/>
        <v>20.49</v>
      </c>
      <c r="I1887" s="706"/>
      <c r="J1887" s="669" t="s">
        <v>5805</v>
      </c>
      <c r="K1887" s="15"/>
      <c r="L1887"/>
      <c r="M1887" s="49">
        <f t="shared" si="864"/>
        <v>25.61</v>
      </c>
      <c r="N1887" s="41">
        <v>11.67</v>
      </c>
      <c r="O1887" s="186"/>
      <c r="P1887" s="177"/>
      <c r="S1887" s="178" t="s">
        <v>1017</v>
      </c>
      <c r="T1887" s="178" t="s">
        <v>4180</v>
      </c>
      <c r="U1887" s="179"/>
      <c r="W1887" s="180"/>
      <c r="X1887" s="180"/>
      <c r="AA1887" s="180"/>
      <c r="AB1887" s="178" t="s">
        <v>1017</v>
      </c>
      <c r="AD1887" s="201"/>
      <c r="AE1887" s="181" t="s">
        <v>1017</v>
      </c>
      <c r="AF1887" s="180"/>
      <c r="AG1887" s="201"/>
      <c r="AH1887" s="212" t="str">
        <f t="shared" si="866"/>
        <v>2011</v>
      </c>
      <c r="AI1887" s="214" t="str">
        <f t="shared" si="856"/>
        <v/>
      </c>
      <c r="AJ1887" s="214" t="str">
        <f t="shared" si="857"/>
        <v/>
      </c>
      <c r="AK1887" s="214" t="str">
        <f t="shared" si="858"/>
        <v/>
      </c>
      <c r="AL1887" s="214" t="str">
        <f t="shared" si="859"/>
        <v/>
      </c>
      <c r="AM1887" s="214" t="str">
        <f t="shared" si="860"/>
        <v/>
      </c>
      <c r="AN1887" s="213" t="str">
        <f t="shared" si="843"/>
        <v>2011</v>
      </c>
      <c r="AO1887" s="213" t="str">
        <f t="shared" si="844"/>
        <v>2011</v>
      </c>
      <c r="AP1887" s="213" t="str">
        <f t="shared" si="845"/>
        <v>2011</v>
      </c>
      <c r="AQ1887" s="215" t="str">
        <f t="shared" si="846"/>
        <v/>
      </c>
      <c r="AR1887" s="216" t="str">
        <f t="shared" si="847"/>
        <v>BiK81LbK11--07</v>
      </c>
      <c r="AS1887" s="215" t="str">
        <f t="shared" si="848"/>
        <v/>
      </c>
      <c r="AT1887">
        <f t="shared" si="849"/>
        <v>14</v>
      </c>
      <c r="AU1887" s="216" t="str">
        <f t="shared" si="850"/>
        <v>0-0,15 MW, Bonusregeln L, b und K erstmals 2011</v>
      </c>
      <c r="AV1887" s="215" t="str">
        <f t="shared" si="851"/>
        <v/>
      </c>
      <c r="AW1887" s="216" t="str">
        <f t="shared" si="852"/>
        <v>Anteil KWK, erstmals 2011</v>
      </c>
      <c r="AX1887" s="215" t="str">
        <f t="shared" si="853"/>
        <v/>
      </c>
      <c r="AY1887" t="str">
        <f t="shared" si="854"/>
        <v>x</v>
      </c>
      <c r="AZ1887" t="str">
        <f t="shared" si="855"/>
        <v/>
      </c>
    </row>
    <row r="1888" spans="1:52" s="178" customFormat="1" x14ac:dyDescent="0.25">
      <c r="A1888" s="625" t="s">
        <v>1830</v>
      </c>
      <c r="B1888" s="219" t="s">
        <v>5548</v>
      </c>
      <c r="C1888" s="219" t="s">
        <v>1304</v>
      </c>
      <c r="D1888" s="219" t="s">
        <v>6969</v>
      </c>
      <c r="E1888" s="219" t="s">
        <v>1980</v>
      </c>
      <c r="F1888" s="455">
        <f t="shared" si="862"/>
        <v>25.58</v>
      </c>
      <c r="G1888" s="530">
        <v>25.58</v>
      </c>
      <c r="H1888" s="488">
        <f t="shared" si="863"/>
        <v>20.46</v>
      </c>
      <c r="I1888" s="707"/>
      <c r="J1888" s="669" t="s">
        <v>5805</v>
      </c>
      <c r="K1888" s="15"/>
      <c r="L1888"/>
      <c r="M1888" s="49">
        <f t="shared" si="864"/>
        <v>25.58</v>
      </c>
      <c r="N1888" s="41">
        <v>11.67</v>
      </c>
      <c r="O1888" s="186"/>
      <c r="P1888" s="177"/>
      <c r="S1888" s="178" t="s">
        <v>4180</v>
      </c>
      <c r="T1888" s="178" t="s">
        <v>1017</v>
      </c>
      <c r="U1888" s="179"/>
      <c r="W1888" s="180"/>
      <c r="X1888" s="180"/>
      <c r="AA1888" s="180"/>
      <c r="AB1888" s="178" t="s">
        <v>1017</v>
      </c>
      <c r="AD1888" s="201"/>
      <c r="AE1888" s="181" t="s">
        <v>1017</v>
      </c>
      <c r="AF1888" s="180"/>
      <c r="AG1888" s="201"/>
      <c r="AH1888" s="217" t="s">
        <v>4179</v>
      </c>
      <c r="AI1888" s="214" t="str">
        <f t="shared" si="856"/>
        <v/>
      </c>
      <c r="AJ1888" s="214" t="str">
        <f t="shared" si="857"/>
        <v/>
      </c>
      <c r="AK1888" s="214" t="str">
        <f t="shared" si="858"/>
        <v/>
      </c>
      <c r="AL1888" s="214" t="str">
        <f t="shared" si="859"/>
        <v/>
      </c>
      <c r="AM1888" s="214" t="str">
        <f t="shared" si="860"/>
        <v/>
      </c>
      <c r="AN1888" s="213" t="str">
        <f t="shared" si="843"/>
        <v>2012</v>
      </c>
      <c r="AO1888" s="213" t="str">
        <f t="shared" si="844"/>
        <v>2012</v>
      </c>
      <c r="AP1888" s="213" t="str">
        <f t="shared" si="845"/>
        <v>2012</v>
      </c>
      <c r="AQ1888" s="215" t="str">
        <f t="shared" si="846"/>
        <v/>
      </c>
      <c r="AR1888" s="216" t="str">
        <f t="shared" si="847"/>
        <v>BiK81LbK12--07</v>
      </c>
      <c r="AS1888" s="215" t="str">
        <f t="shared" si="848"/>
        <v/>
      </c>
      <c r="AT1888">
        <f t="shared" si="849"/>
        <v>14</v>
      </c>
      <c r="AU1888" s="216" t="str">
        <f t="shared" si="850"/>
        <v>0-0,15 MW, Bonusregeln L, b und K erstmals 2012</v>
      </c>
      <c r="AV1888" s="215" t="str">
        <f t="shared" si="851"/>
        <v/>
      </c>
      <c r="AW1888" s="216" t="str">
        <f t="shared" si="852"/>
        <v>Anteil KWK, erstmals 2012</v>
      </c>
      <c r="AX1888" s="215" t="str">
        <f t="shared" si="853"/>
        <v/>
      </c>
      <c r="AY1888" t="str">
        <f t="shared" si="854"/>
        <v/>
      </c>
      <c r="AZ1888" t="str">
        <f t="shared" si="855"/>
        <v>x</v>
      </c>
    </row>
    <row r="1889" spans="1:52" s="178" customFormat="1" x14ac:dyDescent="0.25">
      <c r="A1889" s="610" t="s">
        <v>4486</v>
      </c>
      <c r="B1889" s="30" t="s">
        <v>5548</v>
      </c>
      <c r="C1889" s="30" t="s">
        <v>1304</v>
      </c>
      <c r="D1889" s="30" t="s">
        <v>6970</v>
      </c>
      <c r="E1889" s="30" t="s">
        <v>4810</v>
      </c>
      <c r="F1889" s="454">
        <f t="shared" si="862"/>
        <v>23.67</v>
      </c>
      <c r="G1889" s="529">
        <v>23.67</v>
      </c>
      <c r="H1889" s="487">
        <f t="shared" si="863"/>
        <v>18.940000000000001</v>
      </c>
      <c r="I1889" s="706"/>
      <c r="J1889" s="669" t="s">
        <v>5805</v>
      </c>
      <c r="K1889" s="15"/>
      <c r="L1889"/>
      <c r="M1889" s="49">
        <f t="shared" si="864"/>
        <v>23.67</v>
      </c>
      <c r="N1889" s="41">
        <v>11.67</v>
      </c>
      <c r="O1889" s="187"/>
      <c r="P1889" s="183"/>
      <c r="Q1889" s="184"/>
      <c r="R1889" s="184"/>
      <c r="S1889" s="184" t="s">
        <v>4180</v>
      </c>
      <c r="T1889" s="178" t="s">
        <v>4180</v>
      </c>
      <c r="U1889" s="185" t="s">
        <v>1017</v>
      </c>
      <c r="V1889" s="184"/>
      <c r="W1889" s="180"/>
      <c r="X1889" s="180"/>
      <c r="AA1889" s="180"/>
      <c r="AB1889" s="184" t="s">
        <v>1017</v>
      </c>
      <c r="AC1889" s="184"/>
      <c r="AD1889" s="201"/>
      <c r="AE1889" s="181" t="s">
        <v>1017</v>
      </c>
      <c r="AF1889" s="180"/>
      <c r="AG1889" s="201"/>
      <c r="AH1889" s="212" t="str">
        <f t="shared" ref="AH1889:AH1894" si="867">IF(ISERROR(SEARCH("K erstmals 201",D1889)),"",RIGHT(D1889,4))</f>
        <v/>
      </c>
      <c r="AI1889" s="214" t="str">
        <f t="shared" si="856"/>
        <v/>
      </c>
      <c r="AJ1889" s="214" t="str">
        <f t="shared" si="857"/>
        <v/>
      </c>
      <c r="AK1889" s="214" t="str">
        <f t="shared" si="858"/>
        <v/>
      </c>
      <c r="AL1889" s="214" t="str">
        <f t="shared" si="859"/>
        <v/>
      </c>
      <c r="AM1889" s="214" t="str">
        <f t="shared" si="860"/>
        <v/>
      </c>
      <c r="AN1889" s="213" t="str">
        <f t="shared" si="843"/>
        <v/>
      </c>
      <c r="AO1889" s="213" t="str">
        <f t="shared" si="844"/>
        <v/>
      </c>
      <c r="AP1889" s="213" t="str">
        <f t="shared" si="845"/>
        <v/>
      </c>
      <c r="AQ1889" s="215" t="str">
        <f t="shared" si="846"/>
        <v/>
      </c>
      <c r="AR1889" s="216" t="str">
        <f t="shared" si="847"/>
        <v>BiK81Lby----07</v>
      </c>
      <c r="AS1889" s="215" t="str">
        <f t="shared" si="848"/>
        <v/>
      </c>
      <c r="AT1889">
        <f t="shared" si="849"/>
        <v>14</v>
      </c>
      <c r="AU1889" s="216" t="str">
        <f t="shared" si="850"/>
        <v>0-0,15 MW, Bonusregeln L, y, b</v>
      </c>
      <c r="AV1889" s="215" t="str">
        <f t="shared" si="851"/>
        <v/>
      </c>
      <c r="AW1889" s="216" t="str">
        <f t="shared" si="852"/>
        <v>Anteil Nicht-KWK</v>
      </c>
      <c r="AX1889" s="215" t="str">
        <f t="shared" si="853"/>
        <v/>
      </c>
      <c r="AY1889" t="str">
        <f t="shared" si="854"/>
        <v/>
      </c>
      <c r="AZ1889" t="str">
        <f t="shared" si="855"/>
        <v/>
      </c>
    </row>
    <row r="1890" spans="1:52" s="178" customFormat="1" x14ac:dyDescent="0.25">
      <c r="A1890" s="610" t="s">
        <v>4487</v>
      </c>
      <c r="B1890" s="30" t="s">
        <v>5548</v>
      </c>
      <c r="C1890" s="30" t="s">
        <v>1304</v>
      </c>
      <c r="D1890" s="30" t="s">
        <v>6971</v>
      </c>
      <c r="E1890" s="30" t="s">
        <v>4812</v>
      </c>
      <c r="F1890" s="454">
        <f t="shared" si="862"/>
        <v>25.67</v>
      </c>
      <c r="G1890" s="529">
        <v>25.67</v>
      </c>
      <c r="H1890" s="487">
        <f t="shared" si="863"/>
        <v>20.54</v>
      </c>
      <c r="I1890" s="706"/>
      <c r="J1890" s="669" t="s">
        <v>5805</v>
      </c>
      <c r="K1890" s="15"/>
      <c r="L1890"/>
      <c r="M1890" s="49">
        <f t="shared" si="864"/>
        <v>25.67</v>
      </c>
      <c r="N1890" s="41">
        <v>11.67</v>
      </c>
      <c r="O1890" s="187" t="s">
        <v>1017</v>
      </c>
      <c r="P1890" s="183"/>
      <c r="Q1890" s="184"/>
      <c r="R1890" s="184"/>
      <c r="S1890" s="184" t="s">
        <v>4180</v>
      </c>
      <c r="T1890" s="178" t="s">
        <v>4180</v>
      </c>
      <c r="U1890" s="185" t="s">
        <v>1017</v>
      </c>
      <c r="V1890" s="184"/>
      <c r="W1890" s="180"/>
      <c r="X1890" s="180"/>
      <c r="AA1890" s="180"/>
      <c r="AB1890" s="184" t="s">
        <v>1017</v>
      </c>
      <c r="AC1890" s="184"/>
      <c r="AD1890" s="201"/>
      <c r="AE1890" s="181" t="s">
        <v>1017</v>
      </c>
      <c r="AF1890" s="180"/>
      <c r="AG1890" s="201"/>
      <c r="AH1890" s="212" t="str">
        <f t="shared" si="867"/>
        <v/>
      </c>
      <c r="AI1890" s="214" t="str">
        <f t="shared" si="856"/>
        <v/>
      </c>
      <c r="AJ1890" s="214" t="str">
        <f t="shared" si="857"/>
        <v/>
      </c>
      <c r="AK1890" s="214" t="str">
        <f t="shared" si="858"/>
        <v/>
      </c>
      <c r="AL1890" s="214" t="str">
        <f t="shared" si="859"/>
        <v/>
      </c>
      <c r="AM1890" s="214" t="str">
        <f t="shared" si="860"/>
        <v/>
      </c>
      <c r="AN1890" s="213" t="str">
        <f t="shared" si="843"/>
        <v/>
      </c>
      <c r="AO1890" s="213" t="str">
        <f t="shared" si="844"/>
        <v/>
      </c>
      <c r="AP1890" s="213" t="str">
        <f t="shared" si="845"/>
        <v/>
      </c>
      <c r="AQ1890" s="215" t="str">
        <f t="shared" si="846"/>
        <v/>
      </c>
      <c r="AR1890" s="216" t="str">
        <f t="shared" si="847"/>
        <v>BiK81LbKWKy-07</v>
      </c>
      <c r="AS1890" s="215" t="str">
        <f t="shared" si="848"/>
        <v/>
      </c>
      <c r="AT1890">
        <f t="shared" si="849"/>
        <v>14</v>
      </c>
      <c r="AU1890" s="216" t="str">
        <f t="shared" si="850"/>
        <v>0-0,15 MW, Bonusregeln L, y, b und KWK</v>
      </c>
      <c r="AV1890" s="215" t="str">
        <f t="shared" si="851"/>
        <v/>
      </c>
      <c r="AW1890" s="216" t="str">
        <f t="shared" si="852"/>
        <v>Anteil KWK</v>
      </c>
      <c r="AX1890" s="215" t="str">
        <f t="shared" si="853"/>
        <v/>
      </c>
      <c r="AY1890" t="str">
        <f t="shared" si="854"/>
        <v/>
      </c>
      <c r="AZ1890" t="str">
        <f t="shared" si="855"/>
        <v/>
      </c>
    </row>
    <row r="1891" spans="1:52" s="178" customFormat="1" x14ac:dyDescent="0.25">
      <c r="A1891" s="610" t="s">
        <v>4488</v>
      </c>
      <c r="B1891" s="30" t="s">
        <v>5548</v>
      </c>
      <c r="C1891" s="30" t="s">
        <v>1304</v>
      </c>
      <c r="D1891" s="109" t="s">
        <v>6972</v>
      </c>
      <c r="E1891" s="30" t="s">
        <v>4331</v>
      </c>
      <c r="F1891" s="454">
        <f t="shared" si="862"/>
        <v>26.67</v>
      </c>
      <c r="G1891" s="529">
        <v>26.67</v>
      </c>
      <c r="H1891" s="487">
        <f t="shared" si="863"/>
        <v>21.34</v>
      </c>
      <c r="I1891" s="706"/>
      <c r="J1891" s="669" t="s">
        <v>5805</v>
      </c>
      <c r="K1891" s="15"/>
      <c r="L1891"/>
      <c r="M1891" s="49">
        <f t="shared" si="864"/>
        <v>26.67</v>
      </c>
      <c r="N1891" s="41">
        <v>11.67</v>
      </c>
      <c r="O1891" s="187"/>
      <c r="P1891" s="184" t="s">
        <v>1017</v>
      </c>
      <c r="Q1891" s="184"/>
      <c r="R1891" s="184"/>
      <c r="S1891" s="184" t="s">
        <v>4180</v>
      </c>
      <c r="T1891" s="178" t="s">
        <v>4180</v>
      </c>
      <c r="U1891" s="185" t="s">
        <v>1017</v>
      </c>
      <c r="V1891" s="184"/>
      <c r="W1891" s="180"/>
      <c r="X1891" s="180"/>
      <c r="AA1891" s="180"/>
      <c r="AB1891" s="184" t="s">
        <v>1017</v>
      </c>
      <c r="AC1891" s="184"/>
      <c r="AD1891" s="201"/>
      <c r="AE1891" s="181" t="s">
        <v>1017</v>
      </c>
      <c r="AF1891" s="180"/>
      <c r="AG1891" s="201"/>
      <c r="AH1891" s="212" t="str">
        <f t="shared" si="867"/>
        <v/>
      </c>
      <c r="AI1891" s="214" t="str">
        <f t="shared" si="856"/>
        <v/>
      </c>
      <c r="AJ1891" s="214" t="str">
        <f t="shared" si="857"/>
        <v/>
      </c>
      <c r="AK1891" s="214" t="str">
        <f t="shared" si="858"/>
        <v/>
      </c>
      <c r="AL1891" s="214" t="str">
        <f t="shared" si="859"/>
        <v/>
      </c>
      <c r="AM1891" s="214" t="str">
        <f t="shared" si="860"/>
        <v/>
      </c>
      <c r="AN1891" s="213" t="str">
        <f t="shared" si="843"/>
        <v/>
      </c>
      <c r="AO1891" s="213" t="str">
        <f t="shared" si="844"/>
        <v/>
      </c>
      <c r="AP1891" s="213" t="str">
        <f t="shared" si="845"/>
        <v/>
      </c>
      <c r="AQ1891" s="215" t="str">
        <f t="shared" si="846"/>
        <v/>
      </c>
      <c r="AR1891" s="216" t="str">
        <f t="shared" si="847"/>
        <v>BiK81LbKA3y-07</v>
      </c>
      <c r="AS1891" s="215" t="str">
        <f t="shared" si="848"/>
        <v/>
      </c>
      <c r="AT1891">
        <f t="shared" si="849"/>
        <v>14</v>
      </c>
      <c r="AU1891" s="216" t="str">
        <f t="shared" si="850"/>
        <v>0-0,15 MW, Bonusregeln L, y, b und K wenn Anlage 3 erfüllt</v>
      </c>
      <c r="AV1891" s="215" t="str">
        <f t="shared" si="851"/>
        <v/>
      </c>
      <c r="AW1891" s="216" t="str">
        <f t="shared" si="852"/>
        <v>Anteil KWK gemäß Anlage 3</v>
      </c>
      <c r="AX1891" s="215" t="str">
        <f t="shared" si="853"/>
        <v/>
      </c>
      <c r="AY1891" t="str">
        <f t="shared" si="854"/>
        <v/>
      </c>
      <c r="AZ1891" t="str">
        <f t="shared" si="855"/>
        <v/>
      </c>
    </row>
    <row r="1892" spans="1:52" s="178" customFormat="1" x14ac:dyDescent="0.25">
      <c r="A1892" s="610" t="s">
        <v>4489</v>
      </c>
      <c r="B1892" s="30" t="s">
        <v>5548</v>
      </c>
      <c r="C1892" s="30" t="s">
        <v>1304</v>
      </c>
      <c r="D1892" s="30" t="s">
        <v>6973</v>
      </c>
      <c r="E1892" s="30" t="s">
        <v>674</v>
      </c>
      <c r="F1892" s="454">
        <f t="shared" si="862"/>
        <v>26.67</v>
      </c>
      <c r="G1892" s="529">
        <v>26.67</v>
      </c>
      <c r="H1892" s="487">
        <f t="shared" si="863"/>
        <v>21.34</v>
      </c>
      <c r="I1892" s="706"/>
      <c r="J1892" s="669" t="s">
        <v>5805</v>
      </c>
      <c r="K1892" s="15"/>
      <c r="L1892"/>
      <c r="M1892" s="49">
        <f t="shared" si="864"/>
        <v>26.67</v>
      </c>
      <c r="N1892" s="41">
        <v>11.67</v>
      </c>
      <c r="O1892" s="187"/>
      <c r="P1892" s="183"/>
      <c r="Q1892" s="184" t="s">
        <v>1017</v>
      </c>
      <c r="R1892" s="184"/>
      <c r="S1892" s="184" t="s">
        <v>4180</v>
      </c>
      <c r="T1892" s="178" t="s">
        <v>4180</v>
      </c>
      <c r="U1892" s="185" t="s">
        <v>1017</v>
      </c>
      <c r="V1892" s="184"/>
      <c r="W1892" s="180"/>
      <c r="X1892" s="180"/>
      <c r="AA1892" s="180"/>
      <c r="AB1892" s="184" t="s">
        <v>1017</v>
      </c>
      <c r="AC1892" s="184"/>
      <c r="AD1892" s="201"/>
      <c r="AE1892" s="181" t="s">
        <v>1017</v>
      </c>
      <c r="AF1892" s="180"/>
      <c r="AG1892" s="201"/>
      <c r="AH1892" s="212" t="str">
        <f t="shared" si="867"/>
        <v/>
      </c>
      <c r="AI1892" s="214" t="str">
        <f t="shared" si="856"/>
        <v/>
      </c>
      <c r="AJ1892" s="214" t="str">
        <f t="shared" si="857"/>
        <v/>
      </c>
      <c r="AK1892" s="214" t="str">
        <f t="shared" si="858"/>
        <v/>
      </c>
      <c r="AL1892" s="214" t="str">
        <f t="shared" si="859"/>
        <v/>
      </c>
      <c r="AM1892" s="214" t="str">
        <f t="shared" si="860"/>
        <v/>
      </c>
      <c r="AN1892" s="213" t="str">
        <f t="shared" si="843"/>
        <v/>
      </c>
      <c r="AO1892" s="213" t="str">
        <f t="shared" si="844"/>
        <v/>
      </c>
      <c r="AP1892" s="213" t="str">
        <f t="shared" si="845"/>
        <v/>
      </c>
      <c r="AQ1892" s="215" t="str">
        <f t="shared" si="846"/>
        <v/>
      </c>
      <c r="AR1892" s="216" t="str">
        <f t="shared" si="847"/>
        <v>BiK81LbK09y-07</v>
      </c>
      <c r="AS1892" s="215" t="str">
        <f t="shared" si="848"/>
        <v/>
      </c>
      <c r="AT1892">
        <f t="shared" si="849"/>
        <v>14</v>
      </c>
      <c r="AU1892" s="216" t="str">
        <f t="shared" si="850"/>
        <v>0-0,15 MW, Bonusregeln L, y, b und K erstmals 2009</v>
      </c>
      <c r="AV1892" s="215" t="str">
        <f t="shared" si="851"/>
        <v/>
      </c>
      <c r="AW1892" s="216" t="str">
        <f t="shared" si="852"/>
        <v>Anteil KWK, erstmals 2009</v>
      </c>
      <c r="AX1892" s="215" t="str">
        <f t="shared" si="853"/>
        <v/>
      </c>
      <c r="AY1892" t="str">
        <f t="shared" si="854"/>
        <v/>
      </c>
      <c r="AZ1892" t="str">
        <f t="shared" si="855"/>
        <v/>
      </c>
    </row>
    <row r="1893" spans="1:52" s="178" customFormat="1" x14ac:dyDescent="0.25">
      <c r="A1893" s="610" t="s">
        <v>4962</v>
      </c>
      <c r="B1893" s="30" t="s">
        <v>5548</v>
      </c>
      <c r="C1893" s="30" t="s">
        <v>1304</v>
      </c>
      <c r="D1893" s="30" t="s">
        <v>6974</v>
      </c>
      <c r="E1893" s="30" t="s">
        <v>3567</v>
      </c>
      <c r="F1893" s="454">
        <f t="shared" si="862"/>
        <v>26.64</v>
      </c>
      <c r="G1893" s="529">
        <v>26.64</v>
      </c>
      <c r="H1893" s="487">
        <f t="shared" si="863"/>
        <v>21.31</v>
      </c>
      <c r="I1893" s="706"/>
      <c r="J1893" s="669" t="s">
        <v>5805</v>
      </c>
      <c r="K1893" s="15"/>
      <c r="L1893"/>
      <c r="M1893" s="49">
        <f t="shared" si="864"/>
        <v>26.64</v>
      </c>
      <c r="N1893" s="41">
        <v>11.67</v>
      </c>
      <c r="O1893" s="187"/>
      <c r="P1893" s="183"/>
      <c r="Q1893" s="184"/>
      <c r="R1893" s="184" t="s">
        <v>1017</v>
      </c>
      <c r="S1893" s="184" t="s">
        <v>4180</v>
      </c>
      <c r="T1893" s="178" t="s">
        <v>4180</v>
      </c>
      <c r="U1893" s="185" t="s">
        <v>1017</v>
      </c>
      <c r="V1893" s="184"/>
      <c r="W1893" s="180"/>
      <c r="X1893" s="180"/>
      <c r="AA1893" s="180"/>
      <c r="AB1893" s="184" t="s">
        <v>1017</v>
      </c>
      <c r="AC1893" s="184"/>
      <c r="AD1893" s="201"/>
      <c r="AE1893" s="181" t="s">
        <v>1017</v>
      </c>
      <c r="AF1893" s="180"/>
      <c r="AG1893" s="201"/>
      <c r="AH1893" s="212" t="str">
        <f t="shared" si="867"/>
        <v>2010</v>
      </c>
      <c r="AI1893" s="214" t="str">
        <f t="shared" si="856"/>
        <v/>
      </c>
      <c r="AJ1893" s="214" t="str">
        <f t="shared" si="857"/>
        <v/>
      </c>
      <c r="AK1893" s="214" t="str">
        <f t="shared" si="858"/>
        <v/>
      </c>
      <c r="AL1893" s="214" t="str">
        <f t="shared" si="859"/>
        <v/>
      </c>
      <c r="AM1893" s="214" t="str">
        <f t="shared" si="860"/>
        <v/>
      </c>
      <c r="AN1893" s="213" t="str">
        <f t="shared" si="843"/>
        <v>2010</v>
      </c>
      <c r="AO1893" s="213" t="str">
        <f t="shared" si="844"/>
        <v>2010</v>
      </c>
      <c r="AP1893" s="213" t="str">
        <f t="shared" si="845"/>
        <v>2010</v>
      </c>
      <c r="AQ1893" s="215" t="str">
        <f t="shared" si="846"/>
        <v/>
      </c>
      <c r="AR1893" s="216" t="str">
        <f t="shared" si="847"/>
        <v>BiK81LbK10y-07</v>
      </c>
      <c r="AS1893" s="215" t="str">
        <f t="shared" si="848"/>
        <v/>
      </c>
      <c r="AT1893">
        <f t="shared" si="849"/>
        <v>14</v>
      </c>
      <c r="AU1893" s="216" t="str">
        <f t="shared" si="850"/>
        <v>0-0,15 MW, Bonusregeln L, y, b und K erstmals 2010</v>
      </c>
      <c r="AV1893" s="215" t="str">
        <f t="shared" si="851"/>
        <v/>
      </c>
      <c r="AW1893" s="216" t="str">
        <f t="shared" si="852"/>
        <v>Anteil KWK, erstmals 2010</v>
      </c>
      <c r="AX1893" s="215" t="str">
        <f t="shared" si="853"/>
        <v/>
      </c>
      <c r="AY1893" t="str">
        <f t="shared" si="854"/>
        <v/>
      </c>
      <c r="AZ1893" t="str">
        <f t="shared" si="855"/>
        <v/>
      </c>
    </row>
    <row r="1894" spans="1:52" s="178" customFormat="1" x14ac:dyDescent="0.25">
      <c r="A1894" s="610" t="s">
        <v>3399</v>
      </c>
      <c r="B1894" s="30" t="s">
        <v>5548</v>
      </c>
      <c r="C1894" s="30" t="s">
        <v>1304</v>
      </c>
      <c r="D1894" s="30" t="s">
        <v>6975</v>
      </c>
      <c r="E1894" s="30" t="s">
        <v>3055</v>
      </c>
      <c r="F1894" s="454">
        <f t="shared" si="862"/>
        <v>26.61</v>
      </c>
      <c r="G1894" s="529">
        <v>26.61</v>
      </c>
      <c r="H1894" s="487">
        <f t="shared" si="863"/>
        <v>21.29</v>
      </c>
      <c r="I1894" s="706"/>
      <c r="J1894" s="669" t="s">
        <v>5805</v>
      </c>
      <c r="K1894" s="15"/>
      <c r="L1894"/>
      <c r="M1894" s="49">
        <f t="shared" si="864"/>
        <v>26.61</v>
      </c>
      <c r="N1894" s="41">
        <v>11.67</v>
      </c>
      <c r="O1894" s="187"/>
      <c r="P1894" s="183"/>
      <c r="Q1894" s="184"/>
      <c r="S1894" s="184" t="s">
        <v>1017</v>
      </c>
      <c r="T1894" s="178" t="s">
        <v>4180</v>
      </c>
      <c r="U1894" s="185" t="s">
        <v>1017</v>
      </c>
      <c r="V1894" s="184"/>
      <c r="W1894" s="180"/>
      <c r="X1894" s="180"/>
      <c r="AA1894" s="180"/>
      <c r="AB1894" s="184" t="s">
        <v>1017</v>
      </c>
      <c r="AC1894" s="184"/>
      <c r="AD1894" s="201"/>
      <c r="AE1894" s="181" t="s">
        <v>1017</v>
      </c>
      <c r="AF1894" s="180"/>
      <c r="AG1894" s="201"/>
      <c r="AH1894" s="212" t="str">
        <f t="shared" si="867"/>
        <v>2011</v>
      </c>
      <c r="AI1894" s="214" t="str">
        <f t="shared" si="856"/>
        <v/>
      </c>
      <c r="AJ1894" s="214" t="str">
        <f t="shared" si="857"/>
        <v/>
      </c>
      <c r="AK1894" s="214" t="str">
        <f t="shared" si="858"/>
        <v/>
      </c>
      <c r="AL1894" s="214" t="str">
        <f t="shared" si="859"/>
        <v/>
      </c>
      <c r="AM1894" s="214" t="str">
        <f t="shared" si="860"/>
        <v/>
      </c>
      <c r="AN1894" s="213" t="str">
        <f t="shared" si="843"/>
        <v>2011</v>
      </c>
      <c r="AO1894" s="213" t="str">
        <f t="shared" si="844"/>
        <v>2011</v>
      </c>
      <c r="AP1894" s="213" t="str">
        <f t="shared" si="845"/>
        <v>2011</v>
      </c>
      <c r="AQ1894" s="215" t="str">
        <f t="shared" si="846"/>
        <v/>
      </c>
      <c r="AR1894" s="216" t="str">
        <f t="shared" si="847"/>
        <v>BiK81LbK11y-07</v>
      </c>
      <c r="AS1894" s="215" t="str">
        <f t="shared" si="848"/>
        <v/>
      </c>
      <c r="AT1894">
        <f t="shared" si="849"/>
        <v>14</v>
      </c>
      <c r="AU1894" s="216" t="str">
        <f t="shared" si="850"/>
        <v>0-0,15 MW, Bonusregeln L, y, b und K erstmals 2011</v>
      </c>
      <c r="AV1894" s="215" t="str">
        <f t="shared" si="851"/>
        <v/>
      </c>
      <c r="AW1894" s="216" t="str">
        <f t="shared" si="852"/>
        <v>Anteil KWK, erstmals 2011</v>
      </c>
      <c r="AX1894" s="215" t="str">
        <f t="shared" si="853"/>
        <v/>
      </c>
      <c r="AY1894" t="str">
        <f t="shared" si="854"/>
        <v>x</v>
      </c>
      <c r="AZ1894" t="str">
        <f t="shared" si="855"/>
        <v/>
      </c>
    </row>
    <row r="1895" spans="1:52" s="178" customFormat="1" x14ac:dyDescent="0.25">
      <c r="A1895" s="625" t="s">
        <v>1831</v>
      </c>
      <c r="B1895" s="219" t="s">
        <v>5548</v>
      </c>
      <c r="C1895" s="219" t="s">
        <v>1304</v>
      </c>
      <c r="D1895" s="219" t="s">
        <v>6976</v>
      </c>
      <c r="E1895" s="219" t="s">
        <v>1980</v>
      </c>
      <c r="F1895" s="455">
        <f t="shared" si="862"/>
        <v>26.58</v>
      </c>
      <c r="G1895" s="530">
        <v>26.58</v>
      </c>
      <c r="H1895" s="488">
        <f t="shared" si="863"/>
        <v>21.26</v>
      </c>
      <c r="I1895" s="707"/>
      <c r="J1895" s="669" t="s">
        <v>5805</v>
      </c>
      <c r="K1895" s="15"/>
      <c r="L1895"/>
      <c r="M1895" s="49">
        <f t="shared" si="864"/>
        <v>26.58</v>
      </c>
      <c r="N1895" s="41">
        <v>11.67</v>
      </c>
      <c r="O1895" s="187"/>
      <c r="P1895" s="183"/>
      <c r="Q1895" s="184"/>
      <c r="S1895" s="184" t="s">
        <v>4180</v>
      </c>
      <c r="T1895" s="178" t="s">
        <v>1017</v>
      </c>
      <c r="U1895" s="185" t="s">
        <v>1017</v>
      </c>
      <c r="V1895" s="184"/>
      <c r="W1895" s="180"/>
      <c r="X1895" s="180"/>
      <c r="AA1895" s="180"/>
      <c r="AB1895" s="184" t="s">
        <v>1017</v>
      </c>
      <c r="AC1895" s="184"/>
      <c r="AD1895" s="201"/>
      <c r="AE1895" s="181" t="s">
        <v>1017</v>
      </c>
      <c r="AF1895" s="180"/>
      <c r="AG1895" s="201"/>
      <c r="AH1895" s="217" t="s">
        <v>4179</v>
      </c>
      <c r="AI1895" s="214" t="str">
        <f t="shared" si="856"/>
        <v/>
      </c>
      <c r="AJ1895" s="214" t="str">
        <f t="shared" si="857"/>
        <v/>
      </c>
      <c r="AK1895" s="214" t="str">
        <f t="shared" si="858"/>
        <v/>
      </c>
      <c r="AL1895" s="214" t="str">
        <f t="shared" si="859"/>
        <v/>
      </c>
      <c r="AM1895" s="214" t="str">
        <f t="shared" si="860"/>
        <v/>
      </c>
      <c r="AN1895" s="213" t="str">
        <f t="shared" si="843"/>
        <v>2012</v>
      </c>
      <c r="AO1895" s="213" t="str">
        <f t="shared" si="844"/>
        <v>2012</v>
      </c>
      <c r="AP1895" s="213" t="str">
        <f t="shared" si="845"/>
        <v>2012</v>
      </c>
      <c r="AQ1895" s="215" t="str">
        <f t="shared" si="846"/>
        <v/>
      </c>
      <c r="AR1895" s="216" t="str">
        <f t="shared" si="847"/>
        <v>BiK81LbK12y-07</v>
      </c>
      <c r="AS1895" s="215" t="str">
        <f t="shared" si="848"/>
        <v/>
      </c>
      <c r="AT1895">
        <f t="shared" si="849"/>
        <v>14</v>
      </c>
      <c r="AU1895" s="216" t="str">
        <f t="shared" si="850"/>
        <v>0-0,15 MW, Bonusregeln L, y, b und K erstmals 2012</v>
      </c>
      <c r="AV1895" s="215" t="str">
        <f t="shared" si="851"/>
        <v/>
      </c>
      <c r="AW1895" s="216" t="str">
        <f t="shared" si="852"/>
        <v>Anteil KWK, erstmals 2012</v>
      </c>
      <c r="AX1895" s="215" t="str">
        <f t="shared" si="853"/>
        <v/>
      </c>
      <c r="AY1895" t="str">
        <f t="shared" si="854"/>
        <v/>
      </c>
      <c r="AZ1895" t="str">
        <f t="shared" si="855"/>
        <v>x</v>
      </c>
    </row>
    <row r="1896" spans="1:52" s="178" customFormat="1" x14ac:dyDescent="0.25">
      <c r="A1896" s="610" t="s">
        <v>4490</v>
      </c>
      <c r="B1896" s="30" t="s">
        <v>5548</v>
      </c>
      <c r="C1896" s="30" t="s">
        <v>1304</v>
      </c>
      <c r="D1896" s="30" t="s">
        <v>6977</v>
      </c>
      <c r="E1896" s="30" t="s">
        <v>4810</v>
      </c>
      <c r="F1896" s="454">
        <f t="shared" si="862"/>
        <v>26.67</v>
      </c>
      <c r="G1896" s="529">
        <v>26.67</v>
      </c>
      <c r="H1896" s="487">
        <f t="shared" si="863"/>
        <v>21.34</v>
      </c>
      <c r="I1896" s="706"/>
      <c r="J1896" s="669" t="s">
        <v>5805</v>
      </c>
      <c r="K1896" s="15"/>
      <c r="L1896"/>
      <c r="M1896" s="49">
        <f t="shared" si="864"/>
        <v>26.67</v>
      </c>
      <c r="N1896" s="41">
        <v>11.67</v>
      </c>
      <c r="O1896" s="186"/>
      <c r="P1896" s="177"/>
      <c r="S1896" s="178" t="s">
        <v>4180</v>
      </c>
      <c r="T1896" s="178" t="s">
        <v>4180</v>
      </c>
      <c r="U1896" s="179"/>
      <c r="W1896" s="180"/>
      <c r="X1896" s="180"/>
      <c r="AA1896" s="180"/>
      <c r="AC1896" s="178" t="s">
        <v>1017</v>
      </c>
      <c r="AD1896" s="201"/>
      <c r="AE1896" s="181" t="s">
        <v>1017</v>
      </c>
      <c r="AF1896" s="180"/>
      <c r="AG1896" s="201"/>
      <c r="AH1896" s="212" t="str">
        <f t="shared" ref="AH1896:AH1901" si="868">IF(ISERROR(SEARCH("K erstmals 201",D1896)),"",RIGHT(D1896,4))</f>
        <v/>
      </c>
      <c r="AI1896" s="214" t="str">
        <f t="shared" si="856"/>
        <v/>
      </c>
      <c r="AJ1896" s="214" t="str">
        <f t="shared" si="857"/>
        <v/>
      </c>
      <c r="AK1896" s="214" t="str">
        <f t="shared" si="858"/>
        <v/>
      </c>
      <c r="AL1896" s="214" t="str">
        <f t="shared" si="859"/>
        <v/>
      </c>
      <c r="AM1896" s="214" t="str">
        <f t="shared" si="860"/>
        <v/>
      </c>
      <c r="AN1896" s="213" t="str">
        <f t="shared" si="843"/>
        <v/>
      </c>
      <c r="AO1896" s="213" t="str">
        <f t="shared" si="844"/>
        <v/>
      </c>
      <c r="AP1896" s="213" t="str">
        <f t="shared" si="845"/>
        <v/>
      </c>
      <c r="AQ1896" s="215" t="str">
        <f t="shared" si="846"/>
        <v/>
      </c>
      <c r="AR1896" s="216" t="str">
        <f t="shared" si="847"/>
        <v>BiK81X1b----07</v>
      </c>
      <c r="AS1896" s="215" t="str">
        <f t="shared" si="848"/>
        <v/>
      </c>
      <c r="AT1896">
        <f t="shared" si="849"/>
        <v>14</v>
      </c>
      <c r="AU1896" s="216" t="str">
        <f t="shared" si="850"/>
        <v>0-0,15 MW, Bonusregeln X1, b</v>
      </c>
      <c r="AV1896" s="215" t="str">
        <f t="shared" si="851"/>
        <v/>
      </c>
      <c r="AW1896" s="216" t="str">
        <f t="shared" si="852"/>
        <v>Anteil Nicht-KWK</v>
      </c>
      <c r="AX1896" s="215" t="str">
        <f t="shared" si="853"/>
        <v/>
      </c>
      <c r="AY1896" t="str">
        <f t="shared" si="854"/>
        <v/>
      </c>
      <c r="AZ1896" t="str">
        <f t="shared" si="855"/>
        <v/>
      </c>
    </row>
    <row r="1897" spans="1:52" s="178" customFormat="1" x14ac:dyDescent="0.25">
      <c r="A1897" s="610" t="s">
        <v>2222</v>
      </c>
      <c r="B1897" s="30" t="s">
        <v>5548</v>
      </c>
      <c r="C1897" s="30" t="s">
        <v>1304</v>
      </c>
      <c r="D1897" s="30" t="s">
        <v>6978</v>
      </c>
      <c r="E1897" s="30" t="s">
        <v>4812</v>
      </c>
      <c r="F1897" s="454">
        <f t="shared" si="862"/>
        <v>28.67</v>
      </c>
      <c r="G1897" s="529">
        <v>28.67</v>
      </c>
      <c r="H1897" s="487">
        <f t="shared" si="863"/>
        <v>22.94</v>
      </c>
      <c r="I1897" s="706"/>
      <c r="J1897" s="669" t="s">
        <v>5805</v>
      </c>
      <c r="K1897" s="15"/>
      <c r="L1897"/>
      <c r="M1897" s="49">
        <f t="shared" si="864"/>
        <v>28.67</v>
      </c>
      <c r="N1897" s="41">
        <v>11.67</v>
      </c>
      <c r="O1897" s="186" t="s">
        <v>1017</v>
      </c>
      <c r="P1897" s="177"/>
      <c r="S1897" s="178" t="s">
        <v>4180</v>
      </c>
      <c r="T1897" s="178" t="s">
        <v>4180</v>
      </c>
      <c r="U1897" s="179"/>
      <c r="W1897" s="180"/>
      <c r="X1897" s="180"/>
      <c r="AA1897" s="180"/>
      <c r="AC1897" s="178" t="s">
        <v>1017</v>
      </c>
      <c r="AD1897" s="201"/>
      <c r="AE1897" s="181" t="s">
        <v>1017</v>
      </c>
      <c r="AF1897" s="180"/>
      <c r="AG1897" s="201"/>
      <c r="AH1897" s="212" t="str">
        <f t="shared" si="868"/>
        <v/>
      </c>
      <c r="AI1897" s="214" t="str">
        <f t="shared" si="856"/>
        <v/>
      </c>
      <c r="AJ1897" s="214" t="str">
        <f t="shared" si="857"/>
        <v/>
      </c>
      <c r="AK1897" s="214" t="str">
        <f t="shared" si="858"/>
        <v/>
      </c>
      <c r="AL1897" s="214" t="str">
        <f t="shared" si="859"/>
        <v/>
      </c>
      <c r="AM1897" s="214" t="str">
        <f t="shared" si="860"/>
        <v/>
      </c>
      <c r="AN1897" s="213" t="str">
        <f t="shared" si="843"/>
        <v/>
      </c>
      <c r="AO1897" s="213" t="str">
        <f t="shared" si="844"/>
        <v/>
      </c>
      <c r="AP1897" s="213" t="str">
        <f t="shared" si="845"/>
        <v/>
      </c>
      <c r="AQ1897" s="215" t="str">
        <f t="shared" si="846"/>
        <v/>
      </c>
      <c r="AR1897" s="216" t="str">
        <f t="shared" si="847"/>
        <v>BiK81X1bKWK-07</v>
      </c>
      <c r="AS1897" s="215" t="str">
        <f t="shared" si="848"/>
        <v/>
      </c>
      <c r="AT1897">
        <f t="shared" si="849"/>
        <v>14</v>
      </c>
      <c r="AU1897" s="216" t="str">
        <f t="shared" si="850"/>
        <v>0-0,15 MW, Bonusregeln X1, b und KWK</v>
      </c>
      <c r="AV1897" s="215" t="str">
        <f t="shared" si="851"/>
        <v/>
      </c>
      <c r="AW1897" s="216" t="str">
        <f t="shared" si="852"/>
        <v>Anteil KWK</v>
      </c>
      <c r="AX1897" s="215" t="str">
        <f t="shared" si="853"/>
        <v/>
      </c>
      <c r="AY1897" t="str">
        <f t="shared" si="854"/>
        <v/>
      </c>
      <c r="AZ1897" t="str">
        <f t="shared" si="855"/>
        <v/>
      </c>
    </row>
    <row r="1898" spans="1:52" s="178" customFormat="1" x14ac:dyDescent="0.25">
      <c r="A1898" s="610" t="s">
        <v>2223</v>
      </c>
      <c r="B1898" s="30" t="s">
        <v>5548</v>
      </c>
      <c r="C1898" s="30" t="s">
        <v>1304</v>
      </c>
      <c r="D1898" s="30" t="s">
        <v>6979</v>
      </c>
      <c r="E1898" s="30" t="s">
        <v>4331</v>
      </c>
      <c r="F1898" s="454">
        <f t="shared" si="862"/>
        <v>29.67</v>
      </c>
      <c r="G1898" s="529">
        <v>29.67</v>
      </c>
      <c r="H1898" s="487">
        <f t="shared" si="863"/>
        <v>23.74</v>
      </c>
      <c r="I1898" s="706"/>
      <c r="J1898" s="669" t="s">
        <v>5805</v>
      </c>
      <c r="K1898" s="15"/>
      <c r="L1898"/>
      <c r="M1898" s="49">
        <f t="shared" si="864"/>
        <v>29.67</v>
      </c>
      <c r="N1898" s="41">
        <v>11.67</v>
      </c>
      <c r="O1898" s="186"/>
      <c r="P1898" s="178" t="s">
        <v>1017</v>
      </c>
      <c r="S1898" s="178" t="s">
        <v>4180</v>
      </c>
      <c r="T1898" s="178" t="s">
        <v>4180</v>
      </c>
      <c r="U1898" s="179"/>
      <c r="W1898" s="180"/>
      <c r="X1898" s="180"/>
      <c r="AA1898" s="180"/>
      <c r="AC1898" s="178" t="s">
        <v>1017</v>
      </c>
      <c r="AD1898" s="201"/>
      <c r="AE1898" s="181" t="s">
        <v>1017</v>
      </c>
      <c r="AF1898" s="180"/>
      <c r="AG1898" s="201"/>
      <c r="AH1898" s="212" t="str">
        <f t="shared" si="868"/>
        <v/>
      </c>
      <c r="AI1898" s="214" t="str">
        <f t="shared" si="856"/>
        <v/>
      </c>
      <c r="AJ1898" s="214" t="str">
        <f t="shared" si="857"/>
        <v/>
      </c>
      <c r="AK1898" s="214" t="str">
        <f t="shared" si="858"/>
        <v/>
      </c>
      <c r="AL1898" s="214" t="str">
        <f t="shared" si="859"/>
        <v/>
      </c>
      <c r="AM1898" s="214" t="str">
        <f t="shared" si="860"/>
        <v/>
      </c>
      <c r="AN1898" s="213" t="str">
        <f t="shared" si="843"/>
        <v/>
      </c>
      <c r="AO1898" s="213" t="str">
        <f t="shared" si="844"/>
        <v/>
      </c>
      <c r="AP1898" s="213" t="str">
        <f t="shared" si="845"/>
        <v/>
      </c>
      <c r="AQ1898" s="215" t="str">
        <f t="shared" si="846"/>
        <v/>
      </c>
      <c r="AR1898" s="216" t="str">
        <f t="shared" si="847"/>
        <v>BiK81X1bKA3-07</v>
      </c>
      <c r="AS1898" s="215" t="str">
        <f t="shared" si="848"/>
        <v/>
      </c>
      <c r="AT1898">
        <f t="shared" si="849"/>
        <v>14</v>
      </c>
      <c r="AU1898" s="216" t="str">
        <f t="shared" si="850"/>
        <v>0-0,15 MW, Bonusregeln X1, b und K wenn Anlage 3 erfüllt</v>
      </c>
      <c r="AV1898" s="215" t="str">
        <f t="shared" si="851"/>
        <v/>
      </c>
      <c r="AW1898" s="216" t="str">
        <f t="shared" si="852"/>
        <v>Anteil KWK gemäß Anlage 3</v>
      </c>
      <c r="AX1898" s="215" t="str">
        <f t="shared" si="853"/>
        <v/>
      </c>
      <c r="AY1898" t="str">
        <f t="shared" si="854"/>
        <v/>
      </c>
      <c r="AZ1898" t="str">
        <f t="shared" si="855"/>
        <v/>
      </c>
    </row>
    <row r="1899" spans="1:52" s="178" customFormat="1" x14ac:dyDescent="0.25">
      <c r="A1899" s="610" t="s">
        <v>4818</v>
      </c>
      <c r="B1899" s="30" t="s">
        <v>5548</v>
      </c>
      <c r="C1899" s="30" t="s">
        <v>1304</v>
      </c>
      <c r="D1899" s="30" t="s">
        <v>6980</v>
      </c>
      <c r="E1899" s="30" t="s">
        <v>674</v>
      </c>
      <c r="F1899" s="454">
        <f t="shared" si="862"/>
        <v>29.67</v>
      </c>
      <c r="G1899" s="529">
        <v>29.67</v>
      </c>
      <c r="H1899" s="487">
        <f t="shared" si="863"/>
        <v>23.74</v>
      </c>
      <c r="I1899" s="706"/>
      <c r="J1899" s="669" t="s">
        <v>5805</v>
      </c>
      <c r="K1899" s="15"/>
      <c r="L1899"/>
      <c r="M1899" s="49">
        <f t="shared" si="864"/>
        <v>29.67</v>
      </c>
      <c r="N1899" s="41">
        <v>11.67</v>
      </c>
      <c r="O1899" s="186"/>
      <c r="P1899" s="177"/>
      <c r="Q1899" s="178" t="s">
        <v>1017</v>
      </c>
      <c r="S1899" s="178" t="s">
        <v>4180</v>
      </c>
      <c r="T1899" s="178" t="s">
        <v>4180</v>
      </c>
      <c r="U1899" s="179"/>
      <c r="W1899" s="180"/>
      <c r="X1899" s="180"/>
      <c r="AA1899" s="180"/>
      <c r="AC1899" s="178" t="s">
        <v>1017</v>
      </c>
      <c r="AD1899" s="201"/>
      <c r="AE1899" s="181" t="s">
        <v>1017</v>
      </c>
      <c r="AF1899" s="180"/>
      <c r="AG1899" s="201"/>
      <c r="AH1899" s="212" t="str">
        <f t="shared" si="868"/>
        <v/>
      </c>
      <c r="AI1899" s="214" t="str">
        <f t="shared" si="856"/>
        <v/>
      </c>
      <c r="AJ1899" s="214" t="str">
        <f t="shared" si="857"/>
        <v/>
      </c>
      <c r="AK1899" s="214" t="str">
        <f t="shared" si="858"/>
        <v/>
      </c>
      <c r="AL1899" s="214" t="str">
        <f t="shared" si="859"/>
        <v/>
      </c>
      <c r="AM1899" s="214" t="str">
        <f t="shared" si="860"/>
        <v/>
      </c>
      <c r="AN1899" s="213" t="str">
        <f t="shared" si="843"/>
        <v/>
      </c>
      <c r="AO1899" s="213" t="str">
        <f t="shared" si="844"/>
        <v/>
      </c>
      <c r="AP1899" s="213" t="str">
        <f t="shared" si="845"/>
        <v/>
      </c>
      <c r="AQ1899" s="215" t="str">
        <f t="shared" si="846"/>
        <v/>
      </c>
      <c r="AR1899" s="216" t="str">
        <f t="shared" si="847"/>
        <v>BiK81X1bK09-07</v>
      </c>
      <c r="AS1899" s="215" t="str">
        <f t="shared" si="848"/>
        <v/>
      </c>
      <c r="AT1899">
        <f t="shared" si="849"/>
        <v>14</v>
      </c>
      <c r="AU1899" s="216" t="str">
        <f t="shared" si="850"/>
        <v>0-0,15 MW, Bonusregeln X1, b und K erstmals 2009</v>
      </c>
      <c r="AV1899" s="215" t="str">
        <f t="shared" si="851"/>
        <v/>
      </c>
      <c r="AW1899" s="216" t="str">
        <f t="shared" si="852"/>
        <v>Anteil KWK, erstmals 2009</v>
      </c>
      <c r="AX1899" s="215" t="str">
        <f t="shared" si="853"/>
        <v/>
      </c>
      <c r="AY1899" t="str">
        <f t="shared" si="854"/>
        <v/>
      </c>
      <c r="AZ1899" t="str">
        <f t="shared" si="855"/>
        <v/>
      </c>
    </row>
    <row r="1900" spans="1:52" s="178" customFormat="1" x14ac:dyDescent="0.25">
      <c r="A1900" s="610" t="s">
        <v>4963</v>
      </c>
      <c r="B1900" s="30" t="s">
        <v>5548</v>
      </c>
      <c r="C1900" s="30" t="s">
        <v>1304</v>
      </c>
      <c r="D1900" s="30" t="s">
        <v>6981</v>
      </c>
      <c r="E1900" s="30" t="s">
        <v>3567</v>
      </c>
      <c r="F1900" s="454">
        <f t="shared" si="862"/>
        <v>29.64</v>
      </c>
      <c r="G1900" s="529">
        <v>29.64</v>
      </c>
      <c r="H1900" s="487">
        <f t="shared" si="863"/>
        <v>23.71</v>
      </c>
      <c r="I1900" s="706"/>
      <c r="J1900" s="669" t="s">
        <v>5805</v>
      </c>
      <c r="K1900" s="15"/>
      <c r="L1900"/>
      <c r="M1900" s="49">
        <f t="shared" si="864"/>
        <v>29.64</v>
      </c>
      <c r="N1900" s="41">
        <v>11.67</v>
      </c>
      <c r="O1900" s="186"/>
      <c r="P1900" s="177"/>
      <c r="R1900" s="178" t="s">
        <v>1017</v>
      </c>
      <c r="S1900" s="178" t="s">
        <v>4180</v>
      </c>
      <c r="T1900" s="178" t="s">
        <v>4180</v>
      </c>
      <c r="U1900" s="179"/>
      <c r="W1900" s="180"/>
      <c r="X1900" s="180"/>
      <c r="AA1900" s="180"/>
      <c r="AC1900" s="178" t="s">
        <v>1017</v>
      </c>
      <c r="AD1900" s="201"/>
      <c r="AE1900" s="181" t="s">
        <v>1017</v>
      </c>
      <c r="AF1900" s="180"/>
      <c r="AG1900" s="201"/>
      <c r="AH1900" s="212" t="str">
        <f t="shared" si="868"/>
        <v>2010</v>
      </c>
      <c r="AI1900" s="214" t="str">
        <f t="shared" si="856"/>
        <v/>
      </c>
      <c r="AJ1900" s="214" t="str">
        <f t="shared" si="857"/>
        <v/>
      </c>
      <c r="AK1900" s="214" t="str">
        <f t="shared" si="858"/>
        <v/>
      </c>
      <c r="AL1900" s="214" t="str">
        <f t="shared" si="859"/>
        <v/>
      </c>
      <c r="AM1900" s="214" t="str">
        <f t="shared" si="860"/>
        <v/>
      </c>
      <c r="AN1900" s="213" t="str">
        <f t="shared" si="843"/>
        <v>2010</v>
      </c>
      <c r="AO1900" s="213" t="str">
        <f t="shared" si="844"/>
        <v>2010</v>
      </c>
      <c r="AP1900" s="213" t="str">
        <f t="shared" si="845"/>
        <v>2010</v>
      </c>
      <c r="AQ1900" s="215" t="str">
        <f t="shared" si="846"/>
        <v/>
      </c>
      <c r="AR1900" s="216" t="str">
        <f t="shared" si="847"/>
        <v>BiK81X1bK10-07</v>
      </c>
      <c r="AS1900" s="215" t="str">
        <f t="shared" si="848"/>
        <v/>
      </c>
      <c r="AT1900">
        <f t="shared" si="849"/>
        <v>14</v>
      </c>
      <c r="AU1900" s="216" t="str">
        <f t="shared" si="850"/>
        <v>0-0,15 MW, Bonusregeln X1, b und K erstmals 2010</v>
      </c>
      <c r="AV1900" s="215" t="str">
        <f t="shared" si="851"/>
        <v/>
      </c>
      <c r="AW1900" s="216" t="str">
        <f t="shared" si="852"/>
        <v>Anteil KWK, erstmals 2010</v>
      </c>
      <c r="AX1900" s="215" t="str">
        <f t="shared" si="853"/>
        <v/>
      </c>
      <c r="AY1900" t="str">
        <f t="shared" si="854"/>
        <v/>
      </c>
      <c r="AZ1900" t="str">
        <f t="shared" si="855"/>
        <v/>
      </c>
    </row>
    <row r="1901" spans="1:52" s="178" customFormat="1" x14ac:dyDescent="0.25">
      <c r="A1901" s="610" t="s">
        <v>3400</v>
      </c>
      <c r="B1901" s="30" t="s">
        <v>5548</v>
      </c>
      <c r="C1901" s="30" t="s">
        <v>1304</v>
      </c>
      <c r="D1901" s="30" t="s">
        <v>6982</v>
      </c>
      <c r="E1901" s="30" t="s">
        <v>3055</v>
      </c>
      <c r="F1901" s="454">
        <f t="shared" si="862"/>
        <v>29.61</v>
      </c>
      <c r="G1901" s="529">
        <v>29.61</v>
      </c>
      <c r="H1901" s="487">
        <f t="shared" si="863"/>
        <v>23.69</v>
      </c>
      <c r="I1901" s="706"/>
      <c r="J1901" s="669" t="s">
        <v>5805</v>
      </c>
      <c r="K1901" s="15"/>
      <c r="L1901"/>
      <c r="M1901" s="49">
        <f t="shared" si="864"/>
        <v>29.61</v>
      </c>
      <c r="N1901" s="41">
        <v>11.67</v>
      </c>
      <c r="O1901" s="186"/>
      <c r="P1901" s="177"/>
      <c r="S1901" s="178" t="s">
        <v>1017</v>
      </c>
      <c r="T1901" s="178" t="s">
        <v>4180</v>
      </c>
      <c r="U1901" s="179"/>
      <c r="W1901" s="180"/>
      <c r="X1901" s="180"/>
      <c r="AA1901" s="180"/>
      <c r="AC1901" s="178" t="s">
        <v>1017</v>
      </c>
      <c r="AD1901" s="201"/>
      <c r="AE1901" s="181" t="s">
        <v>1017</v>
      </c>
      <c r="AF1901" s="180"/>
      <c r="AG1901" s="201"/>
      <c r="AH1901" s="212" t="str">
        <f t="shared" si="868"/>
        <v>2011</v>
      </c>
      <c r="AI1901" s="214" t="str">
        <f t="shared" si="856"/>
        <v/>
      </c>
      <c r="AJ1901" s="214" t="str">
        <f t="shared" si="857"/>
        <v/>
      </c>
      <c r="AK1901" s="214" t="str">
        <f t="shared" si="858"/>
        <v/>
      </c>
      <c r="AL1901" s="214" t="str">
        <f t="shared" si="859"/>
        <v/>
      </c>
      <c r="AM1901" s="214" t="str">
        <f t="shared" si="860"/>
        <v/>
      </c>
      <c r="AN1901" s="213" t="str">
        <f t="shared" si="843"/>
        <v>2011</v>
      </c>
      <c r="AO1901" s="213" t="str">
        <f t="shared" si="844"/>
        <v>2011</v>
      </c>
      <c r="AP1901" s="213" t="str">
        <f t="shared" si="845"/>
        <v>2011</v>
      </c>
      <c r="AQ1901" s="215" t="str">
        <f t="shared" si="846"/>
        <v/>
      </c>
      <c r="AR1901" s="216" t="str">
        <f t="shared" si="847"/>
        <v>BiK81X1bK11-07</v>
      </c>
      <c r="AS1901" s="215" t="str">
        <f t="shared" si="848"/>
        <v/>
      </c>
      <c r="AT1901">
        <f t="shared" si="849"/>
        <v>14</v>
      </c>
      <c r="AU1901" s="216" t="str">
        <f t="shared" si="850"/>
        <v>0-0,15 MW, Bonusregeln X1, b und K erstmals 2011</v>
      </c>
      <c r="AV1901" s="215" t="str">
        <f t="shared" si="851"/>
        <v/>
      </c>
      <c r="AW1901" s="216" t="str">
        <f t="shared" si="852"/>
        <v>Anteil KWK, erstmals 2011</v>
      </c>
      <c r="AX1901" s="215" t="str">
        <f t="shared" si="853"/>
        <v/>
      </c>
      <c r="AY1901" t="str">
        <f t="shared" si="854"/>
        <v>x</v>
      </c>
      <c r="AZ1901" t="str">
        <f t="shared" si="855"/>
        <v/>
      </c>
    </row>
    <row r="1902" spans="1:52" s="178" customFormat="1" x14ac:dyDescent="0.25">
      <c r="A1902" s="625" t="s">
        <v>1832</v>
      </c>
      <c r="B1902" s="219" t="s">
        <v>5548</v>
      </c>
      <c r="C1902" s="219" t="s">
        <v>1304</v>
      </c>
      <c r="D1902" s="219" t="s">
        <v>6983</v>
      </c>
      <c r="E1902" s="219" t="s">
        <v>1980</v>
      </c>
      <c r="F1902" s="455">
        <f t="shared" si="862"/>
        <v>29.58</v>
      </c>
      <c r="G1902" s="530">
        <v>29.58</v>
      </c>
      <c r="H1902" s="488">
        <f t="shared" si="863"/>
        <v>23.66</v>
      </c>
      <c r="I1902" s="707"/>
      <c r="J1902" s="669" t="s">
        <v>5805</v>
      </c>
      <c r="K1902" s="15"/>
      <c r="L1902"/>
      <c r="M1902" s="49">
        <f t="shared" si="864"/>
        <v>29.58</v>
      </c>
      <c r="N1902" s="41">
        <v>11.67</v>
      </c>
      <c r="O1902" s="186"/>
      <c r="P1902" s="177"/>
      <c r="S1902" s="178" t="s">
        <v>4180</v>
      </c>
      <c r="T1902" s="178" t="s">
        <v>1017</v>
      </c>
      <c r="U1902" s="179"/>
      <c r="W1902" s="180"/>
      <c r="X1902" s="180"/>
      <c r="AA1902" s="180"/>
      <c r="AC1902" s="178" t="s">
        <v>1017</v>
      </c>
      <c r="AD1902" s="201"/>
      <c r="AE1902" s="181" t="s">
        <v>1017</v>
      </c>
      <c r="AF1902" s="180"/>
      <c r="AG1902" s="201"/>
      <c r="AH1902" s="217" t="s">
        <v>4179</v>
      </c>
      <c r="AI1902" s="214" t="str">
        <f t="shared" si="856"/>
        <v/>
      </c>
      <c r="AJ1902" s="214" t="str">
        <f t="shared" si="857"/>
        <v/>
      </c>
      <c r="AK1902" s="214" t="str">
        <f t="shared" si="858"/>
        <v/>
      </c>
      <c r="AL1902" s="214" t="str">
        <f t="shared" si="859"/>
        <v/>
      </c>
      <c r="AM1902" s="214" t="str">
        <f t="shared" si="860"/>
        <v/>
      </c>
      <c r="AN1902" s="213" t="str">
        <f t="shared" si="843"/>
        <v>2012</v>
      </c>
      <c r="AO1902" s="213" t="str">
        <f t="shared" si="844"/>
        <v>2012</v>
      </c>
      <c r="AP1902" s="213" t="str">
        <f t="shared" si="845"/>
        <v>2012</v>
      </c>
      <c r="AQ1902" s="215" t="str">
        <f t="shared" si="846"/>
        <v/>
      </c>
      <c r="AR1902" s="216" t="str">
        <f t="shared" si="847"/>
        <v>BiK81X1bK12-07</v>
      </c>
      <c r="AS1902" s="215" t="str">
        <f t="shared" si="848"/>
        <v/>
      </c>
      <c r="AT1902">
        <f t="shared" si="849"/>
        <v>14</v>
      </c>
      <c r="AU1902" s="216" t="str">
        <f t="shared" si="850"/>
        <v>0-0,15 MW, Bonusregeln X1, b und K erstmals 2012</v>
      </c>
      <c r="AV1902" s="215" t="str">
        <f t="shared" si="851"/>
        <v/>
      </c>
      <c r="AW1902" s="216" t="str">
        <f t="shared" si="852"/>
        <v>Anteil KWK, erstmals 2012</v>
      </c>
      <c r="AX1902" s="215" t="str">
        <f t="shared" si="853"/>
        <v/>
      </c>
      <c r="AY1902" t="str">
        <f t="shared" si="854"/>
        <v/>
      </c>
      <c r="AZ1902" t="str">
        <f t="shared" si="855"/>
        <v>x</v>
      </c>
    </row>
    <row r="1903" spans="1:52" s="178" customFormat="1" x14ac:dyDescent="0.25">
      <c r="A1903" s="610" t="s">
        <v>2097</v>
      </c>
      <c r="B1903" s="30" t="s">
        <v>5548</v>
      </c>
      <c r="C1903" s="30" t="s">
        <v>1304</v>
      </c>
      <c r="D1903" s="30" t="s">
        <v>6984</v>
      </c>
      <c r="E1903" s="30" t="s">
        <v>4810</v>
      </c>
      <c r="F1903" s="454">
        <f t="shared" si="862"/>
        <v>27.67</v>
      </c>
      <c r="G1903" s="529">
        <v>27.67</v>
      </c>
      <c r="H1903" s="487">
        <f t="shared" si="863"/>
        <v>22.14</v>
      </c>
      <c r="I1903" s="706"/>
      <c r="J1903" s="669" t="s">
        <v>5805</v>
      </c>
      <c r="K1903" s="15"/>
      <c r="L1903"/>
      <c r="M1903" s="49">
        <f t="shared" si="864"/>
        <v>27.67</v>
      </c>
      <c r="N1903" s="41">
        <v>11.67</v>
      </c>
      <c r="O1903" s="187"/>
      <c r="P1903" s="183"/>
      <c r="Q1903" s="184"/>
      <c r="R1903" s="184"/>
      <c r="S1903" s="184" t="s">
        <v>4180</v>
      </c>
      <c r="T1903" s="178" t="s">
        <v>4180</v>
      </c>
      <c r="U1903" s="185" t="s">
        <v>1017</v>
      </c>
      <c r="V1903" s="184"/>
      <c r="W1903" s="180"/>
      <c r="X1903" s="180"/>
      <c r="AA1903" s="180"/>
      <c r="AC1903" s="184" t="s">
        <v>1017</v>
      </c>
      <c r="AD1903" s="201"/>
      <c r="AE1903" s="181" t="s">
        <v>1017</v>
      </c>
      <c r="AF1903" s="180"/>
      <c r="AG1903" s="201"/>
      <c r="AH1903" s="212" t="str">
        <f t="shared" ref="AH1903:AH1908" si="869">IF(ISERROR(SEARCH("K erstmals 201",D1903)),"",RIGHT(D1903,4))</f>
        <v/>
      </c>
      <c r="AI1903" s="214" t="str">
        <f t="shared" si="856"/>
        <v/>
      </c>
      <c r="AJ1903" s="214" t="str">
        <f t="shared" si="857"/>
        <v/>
      </c>
      <c r="AK1903" s="214" t="str">
        <f t="shared" si="858"/>
        <v/>
      </c>
      <c r="AL1903" s="214" t="str">
        <f t="shared" si="859"/>
        <v/>
      </c>
      <c r="AM1903" s="214" t="str">
        <f t="shared" si="860"/>
        <v/>
      </c>
      <c r="AN1903" s="213" t="str">
        <f t="shared" si="843"/>
        <v/>
      </c>
      <c r="AO1903" s="213" t="str">
        <f t="shared" si="844"/>
        <v/>
      </c>
      <c r="AP1903" s="213" t="str">
        <f t="shared" si="845"/>
        <v/>
      </c>
      <c r="AQ1903" s="215" t="str">
        <f t="shared" si="846"/>
        <v/>
      </c>
      <c r="AR1903" s="216" t="str">
        <f t="shared" si="847"/>
        <v>BiK81X1by---07</v>
      </c>
      <c r="AS1903" s="215" t="str">
        <f t="shared" si="848"/>
        <v/>
      </c>
      <c r="AT1903">
        <f t="shared" si="849"/>
        <v>14</v>
      </c>
      <c r="AU1903" s="216" t="str">
        <f t="shared" si="850"/>
        <v>0-0,15 MW, Bonusregeln X1, y, b</v>
      </c>
      <c r="AV1903" s="215" t="str">
        <f t="shared" si="851"/>
        <v/>
      </c>
      <c r="AW1903" s="216" t="str">
        <f t="shared" si="852"/>
        <v>Anteil Nicht-KWK</v>
      </c>
      <c r="AX1903" s="215" t="str">
        <f t="shared" si="853"/>
        <v/>
      </c>
      <c r="AY1903" t="str">
        <f t="shared" si="854"/>
        <v/>
      </c>
      <c r="AZ1903" t="str">
        <f t="shared" si="855"/>
        <v/>
      </c>
    </row>
    <row r="1904" spans="1:52" s="178" customFormat="1" x14ac:dyDescent="0.25">
      <c r="A1904" s="610" t="s">
        <v>2098</v>
      </c>
      <c r="B1904" s="30" t="s">
        <v>5548</v>
      </c>
      <c r="C1904" s="30" t="s">
        <v>1304</v>
      </c>
      <c r="D1904" s="30" t="s">
        <v>6985</v>
      </c>
      <c r="E1904" s="30" t="s">
        <v>4812</v>
      </c>
      <c r="F1904" s="454">
        <f t="shared" si="862"/>
        <v>29.67</v>
      </c>
      <c r="G1904" s="529">
        <v>29.67</v>
      </c>
      <c r="H1904" s="487">
        <f t="shared" si="863"/>
        <v>23.74</v>
      </c>
      <c r="I1904" s="706"/>
      <c r="J1904" s="669" t="s">
        <v>5805</v>
      </c>
      <c r="K1904" s="15"/>
      <c r="L1904"/>
      <c r="M1904" s="49">
        <f t="shared" si="864"/>
        <v>29.67</v>
      </c>
      <c r="N1904" s="41">
        <v>11.67</v>
      </c>
      <c r="O1904" s="187" t="s">
        <v>1017</v>
      </c>
      <c r="P1904" s="183"/>
      <c r="Q1904" s="184"/>
      <c r="R1904" s="184"/>
      <c r="S1904" s="184" t="s">
        <v>4180</v>
      </c>
      <c r="T1904" s="178" t="s">
        <v>4180</v>
      </c>
      <c r="U1904" s="185" t="s">
        <v>1017</v>
      </c>
      <c r="V1904" s="184"/>
      <c r="W1904" s="180"/>
      <c r="X1904" s="180"/>
      <c r="AA1904" s="180"/>
      <c r="AC1904" s="184" t="s">
        <v>1017</v>
      </c>
      <c r="AD1904" s="201"/>
      <c r="AE1904" s="181" t="s">
        <v>1017</v>
      </c>
      <c r="AF1904" s="180"/>
      <c r="AG1904" s="201"/>
      <c r="AH1904" s="212" t="str">
        <f t="shared" si="869"/>
        <v/>
      </c>
      <c r="AI1904" s="214" t="str">
        <f t="shared" si="856"/>
        <v/>
      </c>
      <c r="AJ1904" s="214" t="str">
        <f t="shared" si="857"/>
        <v/>
      </c>
      <c r="AK1904" s="214" t="str">
        <f t="shared" si="858"/>
        <v/>
      </c>
      <c r="AL1904" s="214" t="str">
        <f t="shared" si="859"/>
        <v/>
      </c>
      <c r="AM1904" s="214" t="str">
        <f t="shared" si="860"/>
        <v/>
      </c>
      <c r="AN1904" s="213" t="str">
        <f t="shared" si="843"/>
        <v/>
      </c>
      <c r="AO1904" s="213" t="str">
        <f t="shared" si="844"/>
        <v/>
      </c>
      <c r="AP1904" s="213" t="str">
        <f t="shared" si="845"/>
        <v/>
      </c>
      <c r="AQ1904" s="215" t="str">
        <f t="shared" si="846"/>
        <v/>
      </c>
      <c r="AR1904" s="216" t="str">
        <f t="shared" si="847"/>
        <v>BiK81X1bKWKy07</v>
      </c>
      <c r="AS1904" s="215" t="str">
        <f t="shared" si="848"/>
        <v/>
      </c>
      <c r="AT1904">
        <f t="shared" si="849"/>
        <v>14</v>
      </c>
      <c r="AU1904" s="216" t="str">
        <f t="shared" si="850"/>
        <v>0-0,15 MW, Bonusregeln X1, y, b und KWK</v>
      </c>
      <c r="AV1904" s="215" t="str">
        <f t="shared" si="851"/>
        <v/>
      </c>
      <c r="AW1904" s="216" t="str">
        <f t="shared" si="852"/>
        <v>Anteil KWK</v>
      </c>
      <c r="AX1904" s="215" t="str">
        <f t="shared" si="853"/>
        <v/>
      </c>
      <c r="AY1904" t="str">
        <f t="shared" si="854"/>
        <v/>
      </c>
      <c r="AZ1904" t="str">
        <f t="shared" si="855"/>
        <v/>
      </c>
    </row>
    <row r="1905" spans="1:52" s="178" customFormat="1" x14ac:dyDescent="0.25">
      <c r="A1905" s="610" t="s">
        <v>2099</v>
      </c>
      <c r="B1905" s="30" t="s">
        <v>5548</v>
      </c>
      <c r="C1905" s="30" t="s">
        <v>1304</v>
      </c>
      <c r="D1905" s="109" t="s">
        <v>6986</v>
      </c>
      <c r="E1905" s="30" t="s">
        <v>4331</v>
      </c>
      <c r="F1905" s="454">
        <f t="shared" si="862"/>
        <v>30.67</v>
      </c>
      <c r="G1905" s="529">
        <v>30.67</v>
      </c>
      <c r="H1905" s="487">
        <f t="shared" si="863"/>
        <v>24.54</v>
      </c>
      <c r="I1905" s="706"/>
      <c r="J1905" s="669" t="s">
        <v>5805</v>
      </c>
      <c r="K1905" s="15"/>
      <c r="L1905"/>
      <c r="M1905" s="49">
        <f t="shared" si="864"/>
        <v>30.67</v>
      </c>
      <c r="N1905" s="41">
        <v>11.67</v>
      </c>
      <c r="O1905" s="187"/>
      <c r="P1905" s="184" t="s">
        <v>1017</v>
      </c>
      <c r="Q1905" s="184"/>
      <c r="R1905" s="184"/>
      <c r="S1905" s="184" t="s">
        <v>4180</v>
      </c>
      <c r="T1905" s="178" t="s">
        <v>4180</v>
      </c>
      <c r="U1905" s="185" t="s">
        <v>1017</v>
      </c>
      <c r="V1905" s="184"/>
      <c r="W1905" s="180"/>
      <c r="X1905" s="180"/>
      <c r="AA1905" s="180"/>
      <c r="AC1905" s="184" t="s">
        <v>1017</v>
      </c>
      <c r="AD1905" s="201"/>
      <c r="AE1905" s="181" t="s">
        <v>1017</v>
      </c>
      <c r="AF1905" s="180"/>
      <c r="AG1905" s="201"/>
      <c r="AH1905" s="212" t="str">
        <f t="shared" si="869"/>
        <v/>
      </c>
      <c r="AI1905" s="214" t="str">
        <f t="shared" si="856"/>
        <v/>
      </c>
      <c r="AJ1905" s="214" t="str">
        <f t="shared" si="857"/>
        <v/>
      </c>
      <c r="AK1905" s="214" t="str">
        <f t="shared" si="858"/>
        <v/>
      </c>
      <c r="AL1905" s="214" t="str">
        <f t="shared" si="859"/>
        <v/>
      </c>
      <c r="AM1905" s="214" t="str">
        <f t="shared" si="860"/>
        <v/>
      </c>
      <c r="AN1905" s="213" t="str">
        <f t="shared" si="843"/>
        <v/>
      </c>
      <c r="AO1905" s="213" t="str">
        <f t="shared" si="844"/>
        <v/>
      </c>
      <c r="AP1905" s="213" t="str">
        <f t="shared" si="845"/>
        <v/>
      </c>
      <c r="AQ1905" s="215" t="str">
        <f t="shared" si="846"/>
        <v/>
      </c>
      <c r="AR1905" s="216" t="str">
        <f t="shared" si="847"/>
        <v>BiK81X1bKA3y07</v>
      </c>
      <c r="AS1905" s="215" t="str">
        <f t="shared" si="848"/>
        <v/>
      </c>
      <c r="AT1905">
        <f t="shared" si="849"/>
        <v>14</v>
      </c>
      <c r="AU1905" s="216" t="str">
        <f t="shared" si="850"/>
        <v>0-0,15 MW, Bonusregeln X1, y, b und K wenn Anlage 3 erfüllt</v>
      </c>
      <c r="AV1905" s="215" t="str">
        <f t="shared" si="851"/>
        <v/>
      </c>
      <c r="AW1905" s="216" t="str">
        <f t="shared" si="852"/>
        <v>Anteil KWK gemäß Anlage 3</v>
      </c>
      <c r="AX1905" s="215" t="str">
        <f t="shared" si="853"/>
        <v/>
      </c>
      <c r="AY1905" t="str">
        <f t="shared" si="854"/>
        <v/>
      </c>
      <c r="AZ1905" t="str">
        <f t="shared" si="855"/>
        <v/>
      </c>
    </row>
    <row r="1906" spans="1:52" s="178" customFormat="1" x14ac:dyDescent="0.25">
      <c r="A1906" s="610" t="s">
        <v>2100</v>
      </c>
      <c r="B1906" s="30" t="s">
        <v>5548</v>
      </c>
      <c r="C1906" s="30" t="s">
        <v>1304</v>
      </c>
      <c r="D1906" s="30" t="s">
        <v>6987</v>
      </c>
      <c r="E1906" s="30" t="s">
        <v>674</v>
      </c>
      <c r="F1906" s="454">
        <f t="shared" si="862"/>
        <v>30.67</v>
      </c>
      <c r="G1906" s="529">
        <v>30.67</v>
      </c>
      <c r="H1906" s="487">
        <f t="shared" si="863"/>
        <v>24.54</v>
      </c>
      <c r="I1906" s="706"/>
      <c r="J1906" s="669" t="s">
        <v>5805</v>
      </c>
      <c r="K1906" s="15"/>
      <c r="L1906"/>
      <c r="M1906" s="49">
        <f t="shared" si="864"/>
        <v>30.67</v>
      </c>
      <c r="N1906" s="41">
        <v>11.67</v>
      </c>
      <c r="O1906" s="187"/>
      <c r="P1906" s="183"/>
      <c r="Q1906" s="184" t="s">
        <v>1017</v>
      </c>
      <c r="R1906" s="184"/>
      <c r="S1906" s="184" t="s">
        <v>4180</v>
      </c>
      <c r="T1906" s="178" t="s">
        <v>4180</v>
      </c>
      <c r="U1906" s="185" t="s">
        <v>1017</v>
      </c>
      <c r="V1906" s="184"/>
      <c r="W1906" s="180"/>
      <c r="X1906" s="180"/>
      <c r="AA1906" s="180"/>
      <c r="AC1906" s="184" t="s">
        <v>1017</v>
      </c>
      <c r="AD1906" s="201"/>
      <c r="AE1906" s="181" t="s">
        <v>1017</v>
      </c>
      <c r="AF1906" s="180"/>
      <c r="AG1906" s="201"/>
      <c r="AH1906" s="212" t="str">
        <f t="shared" si="869"/>
        <v/>
      </c>
      <c r="AI1906" s="214" t="str">
        <f t="shared" si="856"/>
        <v/>
      </c>
      <c r="AJ1906" s="214" t="str">
        <f t="shared" si="857"/>
        <v/>
      </c>
      <c r="AK1906" s="214" t="str">
        <f t="shared" si="858"/>
        <v/>
      </c>
      <c r="AL1906" s="214" t="str">
        <f t="shared" si="859"/>
        <v/>
      </c>
      <c r="AM1906" s="214" t="str">
        <f t="shared" si="860"/>
        <v/>
      </c>
      <c r="AN1906" s="213" t="str">
        <f t="shared" si="843"/>
        <v/>
      </c>
      <c r="AO1906" s="213" t="str">
        <f t="shared" si="844"/>
        <v/>
      </c>
      <c r="AP1906" s="213" t="str">
        <f t="shared" si="845"/>
        <v/>
      </c>
      <c r="AQ1906" s="215" t="str">
        <f t="shared" si="846"/>
        <v/>
      </c>
      <c r="AR1906" s="216" t="str">
        <f t="shared" si="847"/>
        <v>BiK81X1bK09y07</v>
      </c>
      <c r="AS1906" s="215" t="str">
        <f t="shared" si="848"/>
        <v/>
      </c>
      <c r="AT1906">
        <f t="shared" si="849"/>
        <v>14</v>
      </c>
      <c r="AU1906" s="216" t="str">
        <f t="shared" si="850"/>
        <v>0-0,15 MW, Bonusregeln X1, y, b und K erstmals 2009</v>
      </c>
      <c r="AV1906" s="215" t="str">
        <f t="shared" si="851"/>
        <v/>
      </c>
      <c r="AW1906" s="216" t="str">
        <f t="shared" si="852"/>
        <v>Anteil KWK, erstmals 2009</v>
      </c>
      <c r="AX1906" s="215" t="str">
        <f t="shared" si="853"/>
        <v/>
      </c>
      <c r="AY1906" t="str">
        <f t="shared" si="854"/>
        <v/>
      </c>
      <c r="AZ1906" t="str">
        <f t="shared" si="855"/>
        <v/>
      </c>
    </row>
    <row r="1907" spans="1:52" s="178" customFormat="1" x14ac:dyDescent="0.25">
      <c r="A1907" s="610" t="s">
        <v>4964</v>
      </c>
      <c r="B1907" s="30" t="s">
        <v>5548</v>
      </c>
      <c r="C1907" s="30" t="s">
        <v>1304</v>
      </c>
      <c r="D1907" s="30" t="s">
        <v>6988</v>
      </c>
      <c r="E1907" s="30" t="s">
        <v>3567</v>
      </c>
      <c r="F1907" s="454">
        <f t="shared" si="862"/>
        <v>30.64</v>
      </c>
      <c r="G1907" s="529">
        <v>30.64</v>
      </c>
      <c r="H1907" s="487">
        <f t="shared" si="863"/>
        <v>24.51</v>
      </c>
      <c r="I1907" s="706"/>
      <c r="J1907" s="669" t="s">
        <v>5805</v>
      </c>
      <c r="K1907" s="15"/>
      <c r="L1907"/>
      <c r="M1907" s="49">
        <f t="shared" si="864"/>
        <v>30.64</v>
      </c>
      <c r="N1907" s="41">
        <v>11.67</v>
      </c>
      <c r="O1907" s="187"/>
      <c r="P1907" s="183"/>
      <c r="Q1907" s="184"/>
      <c r="R1907" s="184" t="s">
        <v>1017</v>
      </c>
      <c r="S1907" s="184" t="s">
        <v>4180</v>
      </c>
      <c r="T1907" s="178" t="s">
        <v>4180</v>
      </c>
      <c r="U1907" s="185" t="s">
        <v>1017</v>
      </c>
      <c r="V1907" s="184"/>
      <c r="W1907" s="180"/>
      <c r="X1907" s="180"/>
      <c r="AA1907" s="180"/>
      <c r="AC1907" s="184" t="s">
        <v>1017</v>
      </c>
      <c r="AD1907" s="201"/>
      <c r="AE1907" s="181" t="s">
        <v>1017</v>
      </c>
      <c r="AF1907" s="180"/>
      <c r="AG1907" s="201"/>
      <c r="AH1907" s="212" t="str">
        <f t="shared" si="869"/>
        <v>2010</v>
      </c>
      <c r="AI1907" s="214" t="str">
        <f t="shared" si="856"/>
        <v/>
      </c>
      <c r="AJ1907" s="214" t="str">
        <f t="shared" si="857"/>
        <v/>
      </c>
      <c r="AK1907" s="214" t="str">
        <f t="shared" si="858"/>
        <v/>
      </c>
      <c r="AL1907" s="214" t="str">
        <f t="shared" si="859"/>
        <v/>
      </c>
      <c r="AM1907" s="214" t="str">
        <f t="shared" si="860"/>
        <v/>
      </c>
      <c r="AN1907" s="213" t="str">
        <f t="shared" si="843"/>
        <v>2010</v>
      </c>
      <c r="AO1907" s="213" t="str">
        <f t="shared" si="844"/>
        <v>2010</v>
      </c>
      <c r="AP1907" s="213" t="str">
        <f t="shared" si="845"/>
        <v>2010</v>
      </c>
      <c r="AQ1907" s="215" t="str">
        <f t="shared" si="846"/>
        <v/>
      </c>
      <c r="AR1907" s="216" t="str">
        <f t="shared" si="847"/>
        <v>BiK81X1bK10y07</v>
      </c>
      <c r="AS1907" s="215" t="str">
        <f t="shared" si="848"/>
        <v/>
      </c>
      <c r="AT1907">
        <f t="shared" si="849"/>
        <v>14</v>
      </c>
      <c r="AU1907" s="216" t="str">
        <f t="shared" si="850"/>
        <v>0-0,15 MW, Bonusregeln X1, y, b und K erstmals 2010</v>
      </c>
      <c r="AV1907" s="215" t="str">
        <f t="shared" si="851"/>
        <v/>
      </c>
      <c r="AW1907" s="216" t="str">
        <f t="shared" si="852"/>
        <v>Anteil KWK, erstmals 2010</v>
      </c>
      <c r="AX1907" s="215" t="str">
        <f t="shared" si="853"/>
        <v/>
      </c>
      <c r="AY1907" t="str">
        <f t="shared" si="854"/>
        <v/>
      </c>
      <c r="AZ1907" t="str">
        <f t="shared" si="855"/>
        <v/>
      </c>
    </row>
    <row r="1908" spans="1:52" s="178" customFormat="1" x14ac:dyDescent="0.25">
      <c r="A1908" s="610" t="s">
        <v>3401</v>
      </c>
      <c r="B1908" s="30" t="s">
        <v>5548</v>
      </c>
      <c r="C1908" s="30" t="s">
        <v>1304</v>
      </c>
      <c r="D1908" s="30" t="s">
        <v>6989</v>
      </c>
      <c r="E1908" s="30" t="s">
        <v>3055</v>
      </c>
      <c r="F1908" s="454">
        <f t="shared" si="862"/>
        <v>30.61</v>
      </c>
      <c r="G1908" s="529">
        <v>30.61</v>
      </c>
      <c r="H1908" s="487">
        <f t="shared" si="863"/>
        <v>24.49</v>
      </c>
      <c r="I1908" s="706"/>
      <c r="J1908" s="669" t="s">
        <v>5805</v>
      </c>
      <c r="K1908" s="15"/>
      <c r="L1908"/>
      <c r="M1908" s="49">
        <f t="shared" si="864"/>
        <v>30.61</v>
      </c>
      <c r="N1908" s="41">
        <v>11.67</v>
      </c>
      <c r="O1908" s="187"/>
      <c r="P1908" s="183"/>
      <c r="Q1908" s="184"/>
      <c r="S1908" s="184" t="s">
        <v>1017</v>
      </c>
      <c r="T1908" s="178" t="s">
        <v>4180</v>
      </c>
      <c r="U1908" s="185" t="s">
        <v>1017</v>
      </c>
      <c r="V1908" s="184"/>
      <c r="W1908" s="180"/>
      <c r="X1908" s="180"/>
      <c r="AA1908" s="180"/>
      <c r="AC1908" s="184" t="s">
        <v>1017</v>
      </c>
      <c r="AD1908" s="201"/>
      <c r="AE1908" s="181" t="s">
        <v>1017</v>
      </c>
      <c r="AF1908" s="180"/>
      <c r="AG1908" s="201"/>
      <c r="AH1908" s="212" t="str">
        <f t="shared" si="869"/>
        <v>2011</v>
      </c>
      <c r="AI1908" s="214" t="str">
        <f t="shared" si="856"/>
        <v/>
      </c>
      <c r="AJ1908" s="214" t="str">
        <f t="shared" si="857"/>
        <v/>
      </c>
      <c r="AK1908" s="214" t="str">
        <f t="shared" si="858"/>
        <v/>
      </c>
      <c r="AL1908" s="214" t="str">
        <f t="shared" si="859"/>
        <v/>
      </c>
      <c r="AM1908" s="214" t="str">
        <f t="shared" si="860"/>
        <v/>
      </c>
      <c r="AN1908" s="213" t="str">
        <f t="shared" si="843"/>
        <v>2011</v>
      </c>
      <c r="AO1908" s="213" t="str">
        <f t="shared" si="844"/>
        <v>2011</v>
      </c>
      <c r="AP1908" s="213" t="str">
        <f t="shared" si="845"/>
        <v>2011</v>
      </c>
      <c r="AQ1908" s="215" t="str">
        <f t="shared" si="846"/>
        <v/>
      </c>
      <c r="AR1908" s="216" t="str">
        <f t="shared" si="847"/>
        <v>BiK81X1bK11y07</v>
      </c>
      <c r="AS1908" s="215" t="str">
        <f t="shared" si="848"/>
        <v/>
      </c>
      <c r="AT1908">
        <f t="shared" si="849"/>
        <v>14</v>
      </c>
      <c r="AU1908" s="216" t="str">
        <f t="shared" si="850"/>
        <v>0-0,15 MW, Bonusregeln X1, y, b und K erstmals 2011</v>
      </c>
      <c r="AV1908" s="215" t="str">
        <f t="shared" si="851"/>
        <v/>
      </c>
      <c r="AW1908" s="216" t="str">
        <f t="shared" si="852"/>
        <v>Anteil KWK, erstmals 2011</v>
      </c>
      <c r="AX1908" s="215" t="str">
        <f t="shared" si="853"/>
        <v/>
      </c>
      <c r="AY1908" t="str">
        <f t="shared" si="854"/>
        <v>x</v>
      </c>
      <c r="AZ1908" t="str">
        <f t="shared" si="855"/>
        <v/>
      </c>
    </row>
    <row r="1909" spans="1:52" s="178" customFormat="1" x14ac:dyDescent="0.25">
      <c r="A1909" s="625" t="s">
        <v>1833</v>
      </c>
      <c r="B1909" s="219" t="s">
        <v>5548</v>
      </c>
      <c r="C1909" s="219" t="s">
        <v>1304</v>
      </c>
      <c r="D1909" s="219" t="s">
        <v>6990</v>
      </c>
      <c r="E1909" s="219" t="s">
        <v>1980</v>
      </c>
      <c r="F1909" s="455">
        <f t="shared" si="862"/>
        <v>30.58</v>
      </c>
      <c r="G1909" s="530">
        <v>30.58</v>
      </c>
      <c r="H1909" s="488">
        <f t="shared" si="863"/>
        <v>24.46</v>
      </c>
      <c r="I1909" s="707"/>
      <c r="J1909" s="669" t="s">
        <v>5805</v>
      </c>
      <c r="K1909" s="15"/>
      <c r="L1909"/>
      <c r="M1909" s="49">
        <f t="shared" si="864"/>
        <v>30.58</v>
      </c>
      <c r="N1909" s="41">
        <v>11.67</v>
      </c>
      <c r="O1909" s="187"/>
      <c r="P1909" s="183"/>
      <c r="Q1909" s="184"/>
      <c r="S1909" s="184" t="s">
        <v>4180</v>
      </c>
      <c r="T1909" s="178" t="s">
        <v>1017</v>
      </c>
      <c r="U1909" s="185" t="s">
        <v>1017</v>
      </c>
      <c r="V1909" s="184"/>
      <c r="W1909" s="180"/>
      <c r="X1909" s="180"/>
      <c r="AA1909" s="180"/>
      <c r="AC1909" s="184" t="s">
        <v>1017</v>
      </c>
      <c r="AD1909" s="201"/>
      <c r="AE1909" s="181" t="s">
        <v>1017</v>
      </c>
      <c r="AF1909" s="180"/>
      <c r="AG1909" s="201"/>
      <c r="AH1909" s="217" t="s">
        <v>4179</v>
      </c>
      <c r="AI1909" s="214" t="str">
        <f t="shared" si="856"/>
        <v/>
      </c>
      <c r="AJ1909" s="214" t="str">
        <f t="shared" si="857"/>
        <v/>
      </c>
      <c r="AK1909" s="214" t="str">
        <f t="shared" si="858"/>
        <v/>
      </c>
      <c r="AL1909" s="214" t="str">
        <f t="shared" si="859"/>
        <v/>
      </c>
      <c r="AM1909" s="214" t="str">
        <f t="shared" si="860"/>
        <v/>
      </c>
      <c r="AN1909" s="213" t="str">
        <f t="shared" si="843"/>
        <v>2012</v>
      </c>
      <c r="AO1909" s="213" t="str">
        <f t="shared" si="844"/>
        <v>2012</v>
      </c>
      <c r="AP1909" s="213" t="str">
        <f t="shared" si="845"/>
        <v>2012</v>
      </c>
      <c r="AQ1909" s="215" t="str">
        <f t="shared" si="846"/>
        <v/>
      </c>
      <c r="AR1909" s="216" t="str">
        <f t="shared" si="847"/>
        <v>BiK81X1bK12y07</v>
      </c>
      <c r="AS1909" s="215" t="str">
        <f t="shared" si="848"/>
        <v/>
      </c>
      <c r="AT1909">
        <f t="shared" si="849"/>
        <v>14</v>
      </c>
      <c r="AU1909" s="216" t="str">
        <f t="shared" si="850"/>
        <v>0-0,15 MW, Bonusregeln X1, y, b und K erstmals 2012</v>
      </c>
      <c r="AV1909" s="215" t="str">
        <f t="shared" si="851"/>
        <v/>
      </c>
      <c r="AW1909" s="216" t="str">
        <f t="shared" si="852"/>
        <v>Anteil KWK, erstmals 2012</v>
      </c>
      <c r="AX1909" s="215" t="str">
        <f t="shared" si="853"/>
        <v/>
      </c>
      <c r="AY1909" t="str">
        <f t="shared" si="854"/>
        <v/>
      </c>
      <c r="AZ1909" t="str">
        <f t="shared" si="855"/>
        <v>x</v>
      </c>
    </row>
    <row r="1910" spans="1:52" s="178" customFormat="1" x14ac:dyDescent="0.25">
      <c r="A1910" s="609" t="s">
        <v>541</v>
      </c>
      <c r="B1910" s="1" t="s">
        <v>5548</v>
      </c>
      <c r="C1910" s="2" t="s">
        <v>1304</v>
      </c>
      <c r="D1910" s="1" t="s">
        <v>1779</v>
      </c>
      <c r="E1910" s="1" t="s">
        <v>4810</v>
      </c>
      <c r="F1910" s="456">
        <f t="shared" si="862"/>
        <v>9.4600000000000009</v>
      </c>
      <c r="G1910" s="531">
        <v>9.4600000000000009</v>
      </c>
      <c r="H1910" s="489">
        <f t="shared" si="863"/>
        <v>7.57</v>
      </c>
      <c r="I1910" s="708"/>
      <c r="J1910" s="669" t="s">
        <v>5805</v>
      </c>
      <c r="K1910" s="15"/>
      <c r="L1910"/>
      <c r="M1910" s="49">
        <f t="shared" si="864"/>
        <v>9.4600000000000009</v>
      </c>
      <c r="N1910" s="41">
        <v>9.4600000000000009</v>
      </c>
      <c r="O1910" s="88"/>
      <c r="P1910" s="23"/>
      <c r="Q1910" s="12"/>
      <c r="R1910" s="12"/>
      <c r="S1910" s="12" t="s">
        <v>4180</v>
      </c>
      <c r="T1910" s="178" t="s">
        <v>4180</v>
      </c>
      <c r="U1910" s="58"/>
      <c r="V1910" s="12"/>
      <c r="W1910" s="65"/>
      <c r="X1910" s="65"/>
      <c r="Y1910"/>
      <c r="Z1910" s="65"/>
      <c r="AA1910"/>
      <c r="AB1910"/>
      <c r="AC1910" s="65"/>
      <c r="AD1910" s="92"/>
      <c r="AE1910" s="124"/>
      <c r="AF1910" s="65"/>
      <c r="AG1910" s="91"/>
      <c r="AH1910" s="212" t="str">
        <f t="shared" ref="AH1910:AH1915" si="870">IF(ISERROR(SEARCH("K erstmals 201",D1910)),"",RIGHT(D1910,4))</f>
        <v/>
      </c>
      <c r="AI1910" s="214" t="str">
        <f t="shared" si="856"/>
        <v/>
      </c>
      <c r="AJ1910" s="214" t="str">
        <f t="shared" si="857"/>
        <v/>
      </c>
      <c r="AK1910" s="214" t="str">
        <f t="shared" si="858"/>
        <v/>
      </c>
      <c r="AL1910" s="214" t="str">
        <f t="shared" si="859"/>
        <v/>
      </c>
      <c r="AM1910" s="214" t="str">
        <f t="shared" si="860"/>
        <v/>
      </c>
      <c r="AN1910" s="213" t="str">
        <f t="shared" si="843"/>
        <v/>
      </c>
      <c r="AO1910" s="213" t="str">
        <f t="shared" si="844"/>
        <v/>
      </c>
      <c r="AP1910" s="213" t="str">
        <f t="shared" si="845"/>
        <v/>
      </c>
      <c r="AQ1910" s="215" t="str">
        <f t="shared" si="846"/>
        <v/>
      </c>
      <c r="AR1910" s="216" t="str">
        <f t="shared" si="847"/>
        <v>BiK82-------07</v>
      </c>
      <c r="AS1910" s="215" t="str">
        <f t="shared" si="848"/>
        <v/>
      </c>
      <c r="AT1910">
        <f t="shared" si="849"/>
        <v>14</v>
      </c>
      <c r="AU1910" s="216" t="str">
        <f t="shared" si="850"/>
        <v>0,15-0,5 MW</v>
      </c>
      <c r="AV1910" s="215" t="str">
        <f t="shared" si="851"/>
        <v/>
      </c>
      <c r="AW1910" s="216" t="str">
        <f t="shared" si="852"/>
        <v>Anteil Nicht-KWK</v>
      </c>
      <c r="AX1910" s="215" t="str">
        <f t="shared" si="853"/>
        <v/>
      </c>
      <c r="AY1910" t="str">
        <f t="shared" si="854"/>
        <v/>
      </c>
      <c r="AZ1910" t="str">
        <f t="shared" si="855"/>
        <v/>
      </c>
    </row>
    <row r="1911" spans="1:52" s="178" customFormat="1" x14ac:dyDescent="0.25">
      <c r="A1911" s="609" t="s">
        <v>542</v>
      </c>
      <c r="B1911" s="1" t="s">
        <v>5548</v>
      </c>
      <c r="C1911" s="2" t="s">
        <v>1304</v>
      </c>
      <c r="D1911" s="1" t="s">
        <v>7091</v>
      </c>
      <c r="E1911" s="1" t="s">
        <v>4812</v>
      </c>
      <c r="F1911" s="456">
        <f t="shared" si="862"/>
        <v>11.46</v>
      </c>
      <c r="G1911" s="531">
        <v>11.46</v>
      </c>
      <c r="H1911" s="489">
        <f t="shared" si="863"/>
        <v>9.17</v>
      </c>
      <c r="I1911" s="708"/>
      <c r="J1911" s="669" t="s">
        <v>5805</v>
      </c>
      <c r="K1911" s="15"/>
      <c r="L1911"/>
      <c r="M1911" s="49">
        <f t="shared" si="864"/>
        <v>11.46</v>
      </c>
      <c r="N1911" s="41">
        <v>9.4600000000000009</v>
      </c>
      <c r="O1911" s="54" t="s">
        <v>1017</v>
      </c>
      <c r="P1911" s="15"/>
      <c r="Q1911"/>
      <c r="R1911"/>
      <c r="S1911" t="s">
        <v>4180</v>
      </c>
      <c r="T1911" s="178" t="s">
        <v>4180</v>
      </c>
      <c r="U1911" s="55"/>
      <c r="V1911"/>
      <c r="W1911" s="65"/>
      <c r="X1911" s="65"/>
      <c r="Y1911"/>
      <c r="Z1911" s="65"/>
      <c r="AA1911"/>
      <c r="AB1911"/>
      <c r="AC1911" s="65"/>
      <c r="AD1911" s="92"/>
      <c r="AE1911" s="124"/>
      <c r="AF1911" s="65"/>
      <c r="AG1911" s="91"/>
      <c r="AH1911" s="212" t="str">
        <f t="shared" si="870"/>
        <v/>
      </c>
      <c r="AI1911" s="214" t="str">
        <f t="shared" si="856"/>
        <v/>
      </c>
      <c r="AJ1911" s="214" t="str">
        <f t="shared" si="857"/>
        <v/>
      </c>
      <c r="AK1911" s="214" t="str">
        <f t="shared" si="858"/>
        <v/>
      </c>
      <c r="AL1911" s="214" t="str">
        <f t="shared" si="859"/>
        <v/>
      </c>
      <c r="AM1911" s="214" t="str">
        <f t="shared" si="860"/>
        <v/>
      </c>
      <c r="AN1911" s="213" t="str">
        <f t="shared" si="843"/>
        <v/>
      </c>
      <c r="AO1911" s="213" t="str">
        <f t="shared" si="844"/>
        <v/>
      </c>
      <c r="AP1911" s="213" t="str">
        <f t="shared" si="845"/>
        <v/>
      </c>
      <c r="AQ1911" s="215" t="str">
        <f t="shared" si="846"/>
        <v/>
      </c>
      <c r="AR1911" s="216" t="str">
        <f t="shared" si="847"/>
        <v>BiK82KWK----07</v>
      </c>
      <c r="AS1911" s="215" t="str">
        <f t="shared" si="848"/>
        <v/>
      </c>
      <c r="AT1911">
        <f t="shared" si="849"/>
        <v>14</v>
      </c>
      <c r="AU1911" s="216" t="str">
        <f t="shared" si="850"/>
        <v>0,15-0,5 MW, Bonusregel KWK</v>
      </c>
      <c r="AV1911" s="215" t="str">
        <f t="shared" si="851"/>
        <v/>
      </c>
      <c r="AW1911" s="216" t="str">
        <f t="shared" si="852"/>
        <v>Anteil KWK</v>
      </c>
      <c r="AX1911" s="215" t="str">
        <f t="shared" si="853"/>
        <v/>
      </c>
      <c r="AY1911" t="str">
        <f t="shared" si="854"/>
        <v/>
      </c>
      <c r="AZ1911" t="str">
        <f t="shared" si="855"/>
        <v/>
      </c>
    </row>
    <row r="1912" spans="1:52" s="178" customFormat="1" x14ac:dyDescent="0.25">
      <c r="A1912" s="610" t="s">
        <v>4362</v>
      </c>
      <c r="B1912" s="17" t="s">
        <v>5548</v>
      </c>
      <c r="C1912" s="30" t="s">
        <v>1304</v>
      </c>
      <c r="D1912" s="30" t="s">
        <v>7092</v>
      </c>
      <c r="E1912" s="30" t="s">
        <v>4331</v>
      </c>
      <c r="F1912" s="454">
        <f t="shared" si="862"/>
        <v>12.46</v>
      </c>
      <c r="G1912" s="529">
        <v>12.46</v>
      </c>
      <c r="H1912" s="487">
        <f t="shared" si="863"/>
        <v>9.9700000000000006</v>
      </c>
      <c r="I1912" s="706"/>
      <c r="J1912" s="669" t="s">
        <v>5805</v>
      </c>
      <c r="K1912" s="15"/>
      <c r="L1912"/>
      <c r="M1912" s="49">
        <f t="shared" si="864"/>
        <v>12.46</v>
      </c>
      <c r="N1912" s="41">
        <v>9.4600000000000009</v>
      </c>
      <c r="O1912" s="54"/>
      <c r="P1912" t="s">
        <v>1017</v>
      </c>
      <c r="Q1912"/>
      <c r="R1912"/>
      <c r="S1912" t="s">
        <v>4180</v>
      </c>
      <c r="T1912" s="178" t="s">
        <v>4180</v>
      </c>
      <c r="U1912" s="55"/>
      <c r="V1912"/>
      <c r="W1912" s="65"/>
      <c r="X1912" s="65"/>
      <c r="Y1912"/>
      <c r="Z1912" s="65"/>
      <c r="AA1912"/>
      <c r="AB1912"/>
      <c r="AC1912" s="65"/>
      <c r="AD1912" s="92"/>
      <c r="AE1912" s="124"/>
      <c r="AF1912" s="65"/>
      <c r="AG1912" s="91"/>
      <c r="AH1912" s="212" t="str">
        <f t="shared" si="870"/>
        <v/>
      </c>
      <c r="AI1912" s="214" t="str">
        <f t="shared" si="856"/>
        <v/>
      </c>
      <c r="AJ1912" s="214" t="str">
        <f t="shared" si="857"/>
        <v/>
      </c>
      <c r="AK1912" s="214" t="str">
        <f t="shared" si="858"/>
        <v/>
      </c>
      <c r="AL1912" s="214" t="str">
        <f t="shared" si="859"/>
        <v/>
      </c>
      <c r="AM1912" s="214" t="str">
        <f t="shared" si="860"/>
        <v/>
      </c>
      <c r="AN1912" s="213" t="str">
        <f t="shared" si="843"/>
        <v/>
      </c>
      <c r="AO1912" s="213" t="str">
        <f t="shared" si="844"/>
        <v/>
      </c>
      <c r="AP1912" s="213" t="str">
        <f t="shared" si="845"/>
        <v/>
      </c>
      <c r="AQ1912" s="215" t="str">
        <f t="shared" si="846"/>
        <v/>
      </c>
      <c r="AR1912" s="216" t="str">
        <f t="shared" si="847"/>
        <v>BiK82KA3----07</v>
      </c>
      <c r="AS1912" s="215" t="str">
        <f t="shared" si="848"/>
        <v/>
      </c>
      <c r="AT1912">
        <f t="shared" si="849"/>
        <v>14</v>
      </c>
      <c r="AU1912" s="216" t="str">
        <f t="shared" si="850"/>
        <v>0,15-0,5 MW, Bonusregel K wenn Anlage 3 erfüllt</v>
      </c>
      <c r="AV1912" s="215" t="str">
        <f t="shared" si="851"/>
        <v/>
      </c>
      <c r="AW1912" s="216" t="str">
        <f t="shared" si="852"/>
        <v>Anteil KWK gemäß Anlage 3</v>
      </c>
      <c r="AX1912" s="215" t="str">
        <f t="shared" si="853"/>
        <v/>
      </c>
      <c r="AY1912" t="str">
        <f t="shared" si="854"/>
        <v/>
      </c>
      <c r="AZ1912" t="str">
        <f t="shared" si="855"/>
        <v/>
      </c>
    </row>
    <row r="1913" spans="1:52" s="178" customFormat="1" x14ac:dyDescent="0.25">
      <c r="A1913" s="610" t="s">
        <v>890</v>
      </c>
      <c r="B1913" s="17" t="s">
        <v>5548</v>
      </c>
      <c r="C1913" s="17" t="s">
        <v>1304</v>
      </c>
      <c r="D1913" s="30" t="s">
        <v>7093</v>
      </c>
      <c r="E1913" s="17" t="s">
        <v>674</v>
      </c>
      <c r="F1913" s="454">
        <f t="shared" si="862"/>
        <v>12.46</v>
      </c>
      <c r="G1913" s="529">
        <v>12.46</v>
      </c>
      <c r="H1913" s="487">
        <f t="shared" si="863"/>
        <v>9.9700000000000006</v>
      </c>
      <c r="I1913" s="706"/>
      <c r="J1913" s="669" t="s">
        <v>5805</v>
      </c>
      <c r="K1913" s="15"/>
      <c r="L1913"/>
      <c r="M1913" s="49">
        <f t="shared" si="864"/>
        <v>12.46</v>
      </c>
      <c r="N1913" s="41">
        <v>9.4600000000000009</v>
      </c>
      <c r="O1913" s="54"/>
      <c r="P1913" s="15"/>
      <c r="Q1913" t="s">
        <v>1017</v>
      </c>
      <c r="R1913"/>
      <c r="S1913" t="s">
        <v>4180</v>
      </c>
      <c r="T1913" s="178" t="s">
        <v>4180</v>
      </c>
      <c r="U1913" s="55"/>
      <c r="V1913"/>
      <c r="W1913" s="65"/>
      <c r="X1913" s="65"/>
      <c r="Y1913"/>
      <c r="Z1913" s="65"/>
      <c r="AA1913"/>
      <c r="AB1913"/>
      <c r="AC1913" s="65"/>
      <c r="AD1913" s="92"/>
      <c r="AE1913" s="124"/>
      <c r="AF1913" s="65"/>
      <c r="AG1913" s="91"/>
      <c r="AH1913" s="212" t="str">
        <f t="shared" si="870"/>
        <v/>
      </c>
      <c r="AI1913" s="214" t="str">
        <f t="shared" si="856"/>
        <v/>
      </c>
      <c r="AJ1913" s="214" t="str">
        <f t="shared" si="857"/>
        <v/>
      </c>
      <c r="AK1913" s="214" t="str">
        <f t="shared" si="858"/>
        <v/>
      </c>
      <c r="AL1913" s="214" t="str">
        <f t="shared" si="859"/>
        <v/>
      </c>
      <c r="AM1913" s="214" t="str">
        <f t="shared" si="860"/>
        <v/>
      </c>
      <c r="AN1913" s="213" t="str">
        <f t="shared" si="843"/>
        <v/>
      </c>
      <c r="AO1913" s="213" t="str">
        <f t="shared" si="844"/>
        <v/>
      </c>
      <c r="AP1913" s="213" t="str">
        <f t="shared" si="845"/>
        <v/>
      </c>
      <c r="AQ1913" s="215" t="str">
        <f t="shared" si="846"/>
        <v/>
      </c>
      <c r="AR1913" s="216" t="str">
        <f t="shared" si="847"/>
        <v>BiK82K09----07</v>
      </c>
      <c r="AS1913" s="215" t="str">
        <f t="shared" si="848"/>
        <v/>
      </c>
      <c r="AT1913">
        <f t="shared" si="849"/>
        <v>14</v>
      </c>
      <c r="AU1913" s="216" t="str">
        <f t="shared" si="850"/>
        <v>0,15-0,5 MW, Bonusregel K erstmals 2009</v>
      </c>
      <c r="AV1913" s="215" t="str">
        <f t="shared" si="851"/>
        <v/>
      </c>
      <c r="AW1913" s="216" t="str">
        <f t="shared" si="852"/>
        <v>Anteil KWK, erstmals 2009</v>
      </c>
      <c r="AX1913" s="215" t="str">
        <f t="shared" si="853"/>
        <v/>
      </c>
      <c r="AY1913" t="str">
        <f t="shared" si="854"/>
        <v/>
      </c>
      <c r="AZ1913" t="str">
        <f t="shared" si="855"/>
        <v/>
      </c>
    </row>
    <row r="1914" spans="1:52" s="178" customFormat="1" x14ac:dyDescent="0.25">
      <c r="A1914" s="610" t="s">
        <v>4965</v>
      </c>
      <c r="B1914" s="17" t="s">
        <v>5548</v>
      </c>
      <c r="C1914" s="17" t="s">
        <v>1304</v>
      </c>
      <c r="D1914" s="30" t="s">
        <v>7094</v>
      </c>
      <c r="E1914" s="30" t="s">
        <v>3567</v>
      </c>
      <c r="F1914" s="454">
        <f t="shared" si="862"/>
        <v>12.430000000000001</v>
      </c>
      <c r="G1914" s="529">
        <v>12.430000000000001</v>
      </c>
      <c r="H1914" s="487">
        <f t="shared" si="863"/>
        <v>9.94</v>
      </c>
      <c r="I1914" s="706"/>
      <c r="J1914" s="669" t="s">
        <v>5805</v>
      </c>
      <c r="K1914" s="15"/>
      <c r="L1914"/>
      <c r="M1914" s="49">
        <f t="shared" si="864"/>
        <v>12.430000000000001</v>
      </c>
      <c r="N1914" s="41">
        <v>9.4600000000000009</v>
      </c>
      <c r="O1914" s="54"/>
      <c r="P1914" s="15"/>
      <c r="Q1914"/>
      <c r="R1914" t="s">
        <v>1017</v>
      </c>
      <c r="S1914" t="s">
        <v>4180</v>
      </c>
      <c r="T1914" s="178" t="s">
        <v>4180</v>
      </c>
      <c r="U1914" s="55"/>
      <c r="V1914"/>
      <c r="W1914" s="65"/>
      <c r="X1914" s="65"/>
      <c r="Y1914"/>
      <c r="Z1914" s="65"/>
      <c r="AA1914"/>
      <c r="AB1914"/>
      <c r="AC1914" s="65"/>
      <c r="AD1914" s="92"/>
      <c r="AE1914" s="124"/>
      <c r="AF1914" s="65"/>
      <c r="AG1914" s="91"/>
      <c r="AH1914" s="212" t="str">
        <f t="shared" si="870"/>
        <v>2010</v>
      </c>
      <c r="AI1914" s="214" t="str">
        <f t="shared" si="856"/>
        <v/>
      </c>
      <c r="AJ1914" s="214" t="str">
        <f t="shared" si="857"/>
        <v/>
      </c>
      <c r="AK1914" s="214" t="str">
        <f t="shared" si="858"/>
        <v/>
      </c>
      <c r="AL1914" s="214" t="str">
        <f t="shared" si="859"/>
        <v/>
      </c>
      <c r="AM1914" s="214" t="str">
        <f t="shared" si="860"/>
        <v/>
      </c>
      <c r="AN1914" s="213" t="str">
        <f t="shared" si="843"/>
        <v>2010</v>
      </c>
      <c r="AO1914" s="213" t="str">
        <f t="shared" si="844"/>
        <v>2010</v>
      </c>
      <c r="AP1914" s="213" t="str">
        <f t="shared" si="845"/>
        <v>2010</v>
      </c>
      <c r="AQ1914" s="215" t="str">
        <f t="shared" si="846"/>
        <v/>
      </c>
      <c r="AR1914" s="216" t="str">
        <f t="shared" si="847"/>
        <v>BiK82K10----07</v>
      </c>
      <c r="AS1914" s="215" t="str">
        <f t="shared" si="848"/>
        <v/>
      </c>
      <c r="AT1914">
        <f t="shared" si="849"/>
        <v>14</v>
      </c>
      <c r="AU1914" s="216" t="str">
        <f t="shared" si="850"/>
        <v>0,15-0,5 MW, Bonusregel K erstmals 2010</v>
      </c>
      <c r="AV1914" s="215" t="str">
        <f t="shared" si="851"/>
        <v/>
      </c>
      <c r="AW1914" s="216" t="str">
        <f t="shared" si="852"/>
        <v>Anteil KWK, erstmals 2010</v>
      </c>
      <c r="AX1914" s="215" t="str">
        <f t="shared" si="853"/>
        <v/>
      </c>
      <c r="AY1914" t="str">
        <f t="shared" si="854"/>
        <v/>
      </c>
      <c r="AZ1914" t="str">
        <f t="shared" si="855"/>
        <v/>
      </c>
    </row>
    <row r="1915" spans="1:52" s="178" customFormat="1" x14ac:dyDescent="0.25">
      <c r="A1915" s="610" t="s">
        <v>3402</v>
      </c>
      <c r="B1915" s="17" t="s">
        <v>5548</v>
      </c>
      <c r="C1915" s="17" t="s">
        <v>1304</v>
      </c>
      <c r="D1915" s="30" t="s">
        <v>7095</v>
      </c>
      <c r="E1915" s="30" t="s">
        <v>3055</v>
      </c>
      <c r="F1915" s="454">
        <f t="shared" si="862"/>
        <v>12.4</v>
      </c>
      <c r="G1915" s="529">
        <v>12.4</v>
      </c>
      <c r="H1915" s="487">
        <f t="shared" si="863"/>
        <v>9.92</v>
      </c>
      <c r="I1915" s="706"/>
      <c r="J1915" s="669" t="s">
        <v>5805</v>
      </c>
      <c r="K1915" s="15"/>
      <c r="L1915"/>
      <c r="M1915" s="49">
        <f t="shared" si="864"/>
        <v>12.4</v>
      </c>
      <c r="N1915" s="41">
        <v>9.4600000000000009</v>
      </c>
      <c r="O1915" s="54"/>
      <c r="P1915" s="15"/>
      <c r="Q1915"/>
      <c r="R1915"/>
      <c r="S1915" t="s">
        <v>1017</v>
      </c>
      <c r="T1915" s="178" t="s">
        <v>4180</v>
      </c>
      <c r="U1915" s="55"/>
      <c r="V1915"/>
      <c r="W1915" s="65"/>
      <c r="X1915" s="65"/>
      <c r="Y1915"/>
      <c r="Z1915" s="65"/>
      <c r="AA1915"/>
      <c r="AB1915"/>
      <c r="AC1915" s="65"/>
      <c r="AD1915" s="92"/>
      <c r="AE1915" s="124"/>
      <c r="AF1915" s="65"/>
      <c r="AG1915" s="91"/>
      <c r="AH1915" s="212" t="str">
        <f t="shared" si="870"/>
        <v>2011</v>
      </c>
      <c r="AI1915" s="214" t="str">
        <f t="shared" si="856"/>
        <v/>
      </c>
      <c r="AJ1915" s="214" t="str">
        <f t="shared" si="857"/>
        <v/>
      </c>
      <c r="AK1915" s="214" t="str">
        <f t="shared" si="858"/>
        <v/>
      </c>
      <c r="AL1915" s="214" t="str">
        <f t="shared" si="859"/>
        <v/>
      </c>
      <c r="AM1915" s="214" t="str">
        <f t="shared" si="860"/>
        <v/>
      </c>
      <c r="AN1915" s="213" t="str">
        <f t="shared" si="843"/>
        <v>2011</v>
      </c>
      <c r="AO1915" s="213" t="str">
        <f t="shared" si="844"/>
        <v>2011</v>
      </c>
      <c r="AP1915" s="213" t="str">
        <f t="shared" si="845"/>
        <v>2011</v>
      </c>
      <c r="AQ1915" s="215" t="str">
        <f t="shared" si="846"/>
        <v/>
      </c>
      <c r="AR1915" s="216" t="str">
        <f t="shared" si="847"/>
        <v>BiK82K11----07</v>
      </c>
      <c r="AS1915" s="215" t="str">
        <f t="shared" si="848"/>
        <v/>
      </c>
      <c r="AT1915">
        <f t="shared" si="849"/>
        <v>14</v>
      </c>
      <c r="AU1915" s="216" t="str">
        <f t="shared" si="850"/>
        <v>0,15-0,5 MW, Bonusregel K erstmals 2011</v>
      </c>
      <c r="AV1915" s="215" t="str">
        <f t="shared" si="851"/>
        <v/>
      </c>
      <c r="AW1915" s="216" t="str">
        <f t="shared" si="852"/>
        <v>Anteil KWK, erstmals 2011</v>
      </c>
      <c r="AX1915" s="215" t="str">
        <f t="shared" si="853"/>
        <v/>
      </c>
      <c r="AY1915" t="str">
        <f t="shared" si="854"/>
        <v>x</v>
      </c>
      <c r="AZ1915" t="str">
        <f t="shared" si="855"/>
        <v/>
      </c>
    </row>
    <row r="1916" spans="1:52" s="178" customFormat="1" x14ac:dyDescent="0.25">
      <c r="A1916" s="625" t="s">
        <v>1834</v>
      </c>
      <c r="B1916" s="221" t="s">
        <v>5548</v>
      </c>
      <c r="C1916" s="221" t="s">
        <v>1304</v>
      </c>
      <c r="D1916" s="219" t="s">
        <v>7096</v>
      </c>
      <c r="E1916" s="219" t="s">
        <v>1980</v>
      </c>
      <c r="F1916" s="455">
        <f t="shared" si="862"/>
        <v>12.370000000000001</v>
      </c>
      <c r="G1916" s="530">
        <v>12.370000000000001</v>
      </c>
      <c r="H1916" s="488">
        <f t="shared" si="863"/>
        <v>9.9</v>
      </c>
      <c r="I1916" s="707"/>
      <c r="J1916" s="669" t="s">
        <v>5805</v>
      </c>
      <c r="K1916" s="15"/>
      <c r="L1916"/>
      <c r="M1916" s="49">
        <f t="shared" si="864"/>
        <v>12.370000000000001</v>
      </c>
      <c r="N1916" s="41">
        <v>9.4600000000000009</v>
      </c>
      <c r="O1916" s="54"/>
      <c r="P1916" s="15"/>
      <c r="Q1916"/>
      <c r="R1916"/>
      <c r="S1916" t="s">
        <v>4180</v>
      </c>
      <c r="T1916" s="178" t="s">
        <v>1017</v>
      </c>
      <c r="U1916" s="55"/>
      <c r="V1916"/>
      <c r="W1916" s="65"/>
      <c r="X1916" s="65"/>
      <c r="Y1916"/>
      <c r="Z1916" s="65"/>
      <c r="AA1916"/>
      <c r="AB1916"/>
      <c r="AC1916" s="65"/>
      <c r="AD1916" s="92"/>
      <c r="AE1916" s="124"/>
      <c r="AF1916" s="65"/>
      <c r="AG1916" s="91"/>
      <c r="AH1916" s="217" t="s">
        <v>4179</v>
      </c>
      <c r="AI1916" s="214" t="str">
        <f t="shared" si="856"/>
        <v/>
      </c>
      <c r="AJ1916" s="214" t="str">
        <f t="shared" si="857"/>
        <v/>
      </c>
      <c r="AK1916" s="214" t="str">
        <f t="shared" si="858"/>
        <v/>
      </c>
      <c r="AL1916" s="214" t="str">
        <f t="shared" si="859"/>
        <v/>
      </c>
      <c r="AM1916" s="214" t="str">
        <f t="shared" si="860"/>
        <v/>
      </c>
      <c r="AN1916" s="213" t="str">
        <f t="shared" si="843"/>
        <v>2012</v>
      </c>
      <c r="AO1916" s="213" t="str">
        <f t="shared" si="844"/>
        <v>2012</v>
      </c>
      <c r="AP1916" s="213" t="str">
        <f t="shared" si="845"/>
        <v>2012</v>
      </c>
      <c r="AQ1916" s="215" t="str">
        <f t="shared" si="846"/>
        <v/>
      </c>
      <c r="AR1916" s="216" t="str">
        <f t="shared" si="847"/>
        <v>BiK82K12----07</v>
      </c>
      <c r="AS1916" s="215" t="str">
        <f t="shared" si="848"/>
        <v/>
      </c>
      <c r="AT1916">
        <f t="shared" si="849"/>
        <v>14</v>
      </c>
      <c r="AU1916" s="216" t="str">
        <f t="shared" si="850"/>
        <v>0,15-0,5 MW, Bonusregel K erstmals 2012</v>
      </c>
      <c r="AV1916" s="215" t="str">
        <f t="shared" si="851"/>
        <v/>
      </c>
      <c r="AW1916" s="216" t="str">
        <f t="shared" si="852"/>
        <v>Anteil KWK, erstmals 2012</v>
      </c>
      <c r="AX1916" s="215" t="str">
        <f t="shared" si="853"/>
        <v/>
      </c>
      <c r="AY1916" t="str">
        <f t="shared" si="854"/>
        <v/>
      </c>
      <c r="AZ1916" t="str">
        <f t="shared" si="855"/>
        <v>x</v>
      </c>
    </row>
    <row r="1917" spans="1:52" x14ac:dyDescent="0.25">
      <c r="A1917" s="610" t="s">
        <v>3639</v>
      </c>
      <c r="B1917" s="17" t="s">
        <v>5548</v>
      </c>
      <c r="C1917" s="17" t="s">
        <v>1304</v>
      </c>
      <c r="D1917" s="30" t="s">
        <v>7097</v>
      </c>
      <c r="E1917" s="17" t="s">
        <v>4810</v>
      </c>
      <c r="F1917" s="454">
        <f t="shared" si="862"/>
        <v>10.46</v>
      </c>
      <c r="G1917" s="529">
        <v>10.46</v>
      </c>
      <c r="H1917" s="487">
        <f t="shared" si="863"/>
        <v>8.3699999999999992</v>
      </c>
      <c r="I1917" s="706"/>
      <c r="J1917" s="669" t="s">
        <v>5805</v>
      </c>
      <c r="K1917" s="15"/>
      <c r="M1917" s="49">
        <f t="shared" si="864"/>
        <v>10.46</v>
      </c>
      <c r="N1917" s="41">
        <v>9.4600000000000009</v>
      </c>
      <c r="O1917" s="88"/>
      <c r="P1917" s="23"/>
      <c r="Q1917" s="12"/>
      <c r="R1917" s="12"/>
      <c r="S1917" s="12" t="s">
        <v>4180</v>
      </c>
      <c r="T1917" t="s">
        <v>4180</v>
      </c>
      <c r="U1917" s="58" t="s">
        <v>1017</v>
      </c>
      <c r="V1917" s="12"/>
      <c r="W1917" s="65"/>
      <c r="X1917" s="65"/>
      <c r="Z1917" s="65"/>
      <c r="AC1917" s="65"/>
      <c r="AD1917" s="92"/>
      <c r="AE1917" s="124"/>
      <c r="AF1917" s="65"/>
      <c r="AG1917" s="91"/>
      <c r="AH1917" s="212" t="str">
        <f t="shared" ref="AH1917:AH1922" si="871">IF(ISERROR(SEARCH("K erstmals 201",D1917)),"",RIGHT(D1917,4))</f>
        <v/>
      </c>
      <c r="AI1917" s="214" t="str">
        <f t="shared" si="856"/>
        <v/>
      </c>
      <c r="AJ1917" s="214" t="str">
        <f t="shared" si="857"/>
        <v/>
      </c>
      <c r="AK1917" s="214" t="str">
        <f t="shared" si="858"/>
        <v/>
      </c>
      <c r="AL1917" s="214" t="str">
        <f t="shared" si="859"/>
        <v/>
      </c>
      <c r="AM1917" s="214" t="str">
        <f t="shared" si="860"/>
        <v/>
      </c>
      <c r="AN1917" s="213" t="str">
        <f t="shared" si="843"/>
        <v/>
      </c>
      <c r="AO1917" s="213" t="str">
        <f t="shared" si="844"/>
        <v/>
      </c>
      <c r="AP1917" s="213" t="str">
        <f t="shared" si="845"/>
        <v/>
      </c>
      <c r="AQ1917" s="215" t="str">
        <f t="shared" si="846"/>
        <v/>
      </c>
      <c r="AR1917" s="216" t="str">
        <f t="shared" si="847"/>
        <v>BiK82y------07</v>
      </c>
      <c r="AS1917" s="215" t="str">
        <f t="shared" si="848"/>
        <v/>
      </c>
      <c r="AT1917">
        <f t="shared" si="849"/>
        <v>14</v>
      </c>
      <c r="AU1917" s="216" t="str">
        <f t="shared" si="850"/>
        <v>0,15-0,5 MW, Bonusregel y</v>
      </c>
      <c r="AV1917" s="215" t="str">
        <f t="shared" si="851"/>
        <v/>
      </c>
      <c r="AW1917" s="216" t="str">
        <f t="shared" si="852"/>
        <v>Anteil Nicht-KWK</v>
      </c>
      <c r="AX1917" s="215" t="str">
        <f t="shared" si="853"/>
        <v/>
      </c>
      <c r="AY1917" t="str">
        <f t="shared" si="854"/>
        <v/>
      </c>
      <c r="AZ1917" t="str">
        <f t="shared" si="855"/>
        <v/>
      </c>
    </row>
    <row r="1918" spans="1:52" x14ac:dyDescent="0.25">
      <c r="A1918" s="610" t="s">
        <v>4000</v>
      </c>
      <c r="B1918" s="17" t="s">
        <v>5548</v>
      </c>
      <c r="C1918" s="17" t="s">
        <v>1304</v>
      </c>
      <c r="D1918" s="30" t="s">
        <v>7098</v>
      </c>
      <c r="E1918" s="17" t="s">
        <v>4812</v>
      </c>
      <c r="F1918" s="454">
        <f t="shared" si="862"/>
        <v>12.46</v>
      </c>
      <c r="G1918" s="529">
        <v>12.46</v>
      </c>
      <c r="H1918" s="487">
        <f t="shared" si="863"/>
        <v>9.9700000000000006</v>
      </c>
      <c r="I1918" s="706"/>
      <c r="J1918" s="669" t="s">
        <v>5805</v>
      </c>
      <c r="K1918" s="15"/>
      <c r="M1918" s="49">
        <f t="shared" si="864"/>
        <v>12.46</v>
      </c>
      <c r="N1918" s="41">
        <v>9.4600000000000009</v>
      </c>
      <c r="O1918" s="54" t="s">
        <v>1017</v>
      </c>
      <c r="P1918" s="15"/>
      <c r="S1918" t="s">
        <v>4180</v>
      </c>
      <c r="T1918" t="s">
        <v>4180</v>
      </c>
      <c r="U1918" s="55" t="s">
        <v>1017</v>
      </c>
      <c r="W1918" s="65"/>
      <c r="X1918" s="65"/>
      <c r="Z1918" s="65"/>
      <c r="AC1918" s="65"/>
      <c r="AD1918" s="92"/>
      <c r="AE1918" s="124"/>
      <c r="AF1918" s="65"/>
      <c r="AG1918" s="91"/>
      <c r="AH1918" s="212" t="str">
        <f t="shared" si="871"/>
        <v/>
      </c>
      <c r="AI1918" s="214" t="str">
        <f t="shared" si="856"/>
        <v/>
      </c>
      <c r="AJ1918" s="214" t="str">
        <f t="shared" si="857"/>
        <v/>
      </c>
      <c r="AK1918" s="214" t="str">
        <f t="shared" si="858"/>
        <v/>
      </c>
      <c r="AL1918" s="214" t="str">
        <f t="shared" si="859"/>
        <v/>
      </c>
      <c r="AM1918" s="214" t="str">
        <f t="shared" si="860"/>
        <v/>
      </c>
      <c r="AN1918" s="213" t="str">
        <f t="shared" si="843"/>
        <v/>
      </c>
      <c r="AO1918" s="213" t="str">
        <f t="shared" si="844"/>
        <v/>
      </c>
      <c r="AP1918" s="213" t="str">
        <f t="shared" si="845"/>
        <v/>
      </c>
      <c r="AQ1918" s="215" t="str">
        <f t="shared" si="846"/>
        <v/>
      </c>
      <c r="AR1918" s="216" t="str">
        <f t="shared" si="847"/>
        <v>BiK82KWKy---07</v>
      </c>
      <c r="AS1918" s="215" t="str">
        <f t="shared" si="848"/>
        <v/>
      </c>
      <c r="AT1918">
        <f t="shared" si="849"/>
        <v>14</v>
      </c>
      <c r="AU1918" s="216" t="str">
        <f t="shared" si="850"/>
        <v>0,15-0,5 MW, Bonusregeln y und KWK</v>
      </c>
      <c r="AV1918" s="215" t="str">
        <f t="shared" si="851"/>
        <v/>
      </c>
      <c r="AW1918" s="216" t="str">
        <f t="shared" si="852"/>
        <v>Anteil KWK</v>
      </c>
      <c r="AX1918" s="215" t="str">
        <f t="shared" si="853"/>
        <v/>
      </c>
      <c r="AY1918" t="str">
        <f t="shared" si="854"/>
        <v/>
      </c>
      <c r="AZ1918" t="str">
        <f t="shared" si="855"/>
        <v/>
      </c>
    </row>
    <row r="1919" spans="1:52" x14ac:dyDescent="0.25">
      <c r="A1919" s="610" t="s">
        <v>4001</v>
      </c>
      <c r="B1919" s="17" t="s">
        <v>5548</v>
      </c>
      <c r="C1919" s="30" t="s">
        <v>1304</v>
      </c>
      <c r="D1919" s="30" t="s">
        <v>7099</v>
      </c>
      <c r="E1919" s="30" t="s">
        <v>4331</v>
      </c>
      <c r="F1919" s="454">
        <f t="shared" si="862"/>
        <v>13.46</v>
      </c>
      <c r="G1919" s="529">
        <v>13.46</v>
      </c>
      <c r="H1919" s="487">
        <f t="shared" si="863"/>
        <v>10.77</v>
      </c>
      <c r="I1919" s="706"/>
      <c r="J1919" s="669" t="s">
        <v>5805</v>
      </c>
      <c r="K1919" s="15"/>
      <c r="M1919" s="49">
        <f t="shared" si="864"/>
        <v>13.46</v>
      </c>
      <c r="N1919" s="41">
        <v>9.4600000000000009</v>
      </c>
      <c r="O1919" s="54"/>
      <c r="P1919" t="s">
        <v>1017</v>
      </c>
      <c r="S1919" t="s">
        <v>4180</v>
      </c>
      <c r="T1919" t="s">
        <v>4180</v>
      </c>
      <c r="U1919" s="55" t="s">
        <v>1017</v>
      </c>
      <c r="W1919" s="65"/>
      <c r="X1919" s="65"/>
      <c r="Z1919" s="65"/>
      <c r="AC1919" s="65"/>
      <c r="AD1919" s="92"/>
      <c r="AE1919" s="124"/>
      <c r="AF1919" s="65"/>
      <c r="AG1919" s="91"/>
      <c r="AH1919" s="212" t="str">
        <f t="shared" si="871"/>
        <v/>
      </c>
      <c r="AI1919" s="214" t="str">
        <f t="shared" si="856"/>
        <v/>
      </c>
      <c r="AJ1919" s="214" t="str">
        <f t="shared" si="857"/>
        <v/>
      </c>
      <c r="AK1919" s="214" t="str">
        <f t="shared" si="858"/>
        <v/>
      </c>
      <c r="AL1919" s="214" t="str">
        <f t="shared" si="859"/>
        <v/>
      </c>
      <c r="AM1919" s="214" t="str">
        <f t="shared" si="860"/>
        <v/>
      </c>
      <c r="AN1919" s="213" t="str">
        <f t="shared" si="843"/>
        <v/>
      </c>
      <c r="AO1919" s="213" t="str">
        <f t="shared" si="844"/>
        <v/>
      </c>
      <c r="AP1919" s="213" t="str">
        <f t="shared" si="845"/>
        <v/>
      </c>
      <c r="AQ1919" s="215" t="str">
        <f t="shared" si="846"/>
        <v/>
      </c>
      <c r="AR1919" s="216" t="str">
        <f t="shared" si="847"/>
        <v>BiK82KA3y---07</v>
      </c>
      <c r="AS1919" s="215" t="str">
        <f t="shared" si="848"/>
        <v/>
      </c>
      <c r="AT1919">
        <f t="shared" si="849"/>
        <v>14</v>
      </c>
      <c r="AU1919" s="216" t="str">
        <f t="shared" si="850"/>
        <v>0,15-0,5 MW, Bonusregeln y und K wenn Anlage 3 erfüllt</v>
      </c>
      <c r="AV1919" s="215" t="str">
        <f t="shared" si="851"/>
        <v/>
      </c>
      <c r="AW1919" s="216" t="str">
        <f t="shared" si="852"/>
        <v>Anteil KWK gemäß Anlage 3</v>
      </c>
      <c r="AX1919" s="215" t="str">
        <f t="shared" si="853"/>
        <v/>
      </c>
      <c r="AY1919" t="str">
        <f t="shared" si="854"/>
        <v/>
      </c>
      <c r="AZ1919" t="str">
        <f t="shared" si="855"/>
        <v/>
      </c>
    </row>
    <row r="1920" spans="1:52" x14ac:dyDescent="0.25">
      <c r="A1920" s="610" t="s">
        <v>4002</v>
      </c>
      <c r="B1920" s="17" t="s">
        <v>5548</v>
      </c>
      <c r="C1920" s="17" t="s">
        <v>1304</v>
      </c>
      <c r="D1920" s="30" t="s">
        <v>7100</v>
      </c>
      <c r="E1920" s="17" t="s">
        <v>674</v>
      </c>
      <c r="F1920" s="454">
        <f t="shared" si="862"/>
        <v>13.46</v>
      </c>
      <c r="G1920" s="529">
        <v>13.46</v>
      </c>
      <c r="H1920" s="487">
        <f t="shared" si="863"/>
        <v>10.77</v>
      </c>
      <c r="I1920" s="706"/>
      <c r="J1920" s="669" t="s">
        <v>5805</v>
      </c>
      <c r="K1920" s="15"/>
      <c r="M1920" s="49">
        <f t="shared" si="864"/>
        <v>13.46</v>
      </c>
      <c r="N1920" s="41">
        <v>9.4600000000000009</v>
      </c>
      <c r="O1920" s="54"/>
      <c r="P1920" s="15"/>
      <c r="Q1920" t="s">
        <v>1017</v>
      </c>
      <c r="S1920" t="s">
        <v>4180</v>
      </c>
      <c r="T1920" t="s">
        <v>4180</v>
      </c>
      <c r="U1920" s="55" t="s">
        <v>1017</v>
      </c>
      <c r="W1920" s="65"/>
      <c r="X1920" s="65"/>
      <c r="Z1920" s="65"/>
      <c r="AC1920" s="65"/>
      <c r="AD1920" s="92"/>
      <c r="AE1920" s="124"/>
      <c r="AF1920" s="65"/>
      <c r="AG1920" s="91"/>
      <c r="AH1920" s="212" t="str">
        <f t="shared" si="871"/>
        <v/>
      </c>
      <c r="AI1920" s="214" t="str">
        <f t="shared" si="856"/>
        <v/>
      </c>
      <c r="AJ1920" s="214" t="str">
        <f t="shared" si="857"/>
        <v/>
      </c>
      <c r="AK1920" s="214" t="str">
        <f t="shared" si="858"/>
        <v/>
      </c>
      <c r="AL1920" s="214" t="str">
        <f t="shared" si="859"/>
        <v/>
      </c>
      <c r="AM1920" s="214" t="str">
        <f t="shared" si="860"/>
        <v/>
      </c>
      <c r="AN1920" s="213" t="str">
        <f t="shared" si="843"/>
        <v/>
      </c>
      <c r="AO1920" s="213" t="str">
        <f t="shared" si="844"/>
        <v/>
      </c>
      <c r="AP1920" s="213" t="str">
        <f t="shared" si="845"/>
        <v/>
      </c>
      <c r="AQ1920" s="215" t="str">
        <f t="shared" si="846"/>
        <v/>
      </c>
      <c r="AR1920" s="216" t="str">
        <f t="shared" si="847"/>
        <v>BiK82K09y---07</v>
      </c>
      <c r="AS1920" s="215" t="str">
        <f t="shared" si="848"/>
        <v/>
      </c>
      <c r="AT1920">
        <f t="shared" si="849"/>
        <v>14</v>
      </c>
      <c r="AU1920" s="216" t="str">
        <f t="shared" si="850"/>
        <v>0,15-0,5 MW, Bonusregeln y und K erstmals 2009</v>
      </c>
      <c r="AV1920" s="215" t="str">
        <f t="shared" si="851"/>
        <v/>
      </c>
      <c r="AW1920" s="216" t="str">
        <f t="shared" si="852"/>
        <v>Anteil KWK, erstmals 2009</v>
      </c>
      <c r="AX1920" s="215" t="str">
        <f t="shared" si="853"/>
        <v/>
      </c>
      <c r="AY1920" t="str">
        <f t="shared" si="854"/>
        <v/>
      </c>
      <c r="AZ1920" t="str">
        <f t="shared" si="855"/>
        <v/>
      </c>
    </row>
    <row r="1921" spans="1:52" x14ac:dyDescent="0.25">
      <c r="A1921" s="610" t="s">
        <v>4966</v>
      </c>
      <c r="B1921" s="17" t="s">
        <v>5548</v>
      </c>
      <c r="C1921" s="17" t="s">
        <v>1304</v>
      </c>
      <c r="D1921" s="30" t="s">
        <v>7101</v>
      </c>
      <c r="E1921" s="30" t="s">
        <v>3567</v>
      </c>
      <c r="F1921" s="454">
        <f t="shared" si="862"/>
        <v>13.430000000000001</v>
      </c>
      <c r="G1921" s="529">
        <v>13.430000000000001</v>
      </c>
      <c r="H1921" s="487">
        <f t="shared" si="863"/>
        <v>10.74</v>
      </c>
      <c r="I1921" s="706"/>
      <c r="J1921" s="669" t="s">
        <v>5805</v>
      </c>
      <c r="K1921" s="15"/>
      <c r="M1921" s="49">
        <f t="shared" si="864"/>
        <v>13.430000000000001</v>
      </c>
      <c r="N1921" s="41">
        <v>9.4600000000000009</v>
      </c>
      <c r="O1921" s="54"/>
      <c r="P1921" s="15"/>
      <c r="R1921" t="s">
        <v>1017</v>
      </c>
      <c r="S1921" t="s">
        <v>4180</v>
      </c>
      <c r="T1921" t="s">
        <v>4180</v>
      </c>
      <c r="U1921" s="55" t="s">
        <v>1017</v>
      </c>
      <c r="W1921" s="65"/>
      <c r="X1921" s="65"/>
      <c r="Z1921" s="65"/>
      <c r="AC1921" s="65"/>
      <c r="AD1921" s="92"/>
      <c r="AE1921" s="124"/>
      <c r="AF1921" s="65"/>
      <c r="AG1921" s="91"/>
      <c r="AH1921" s="212" t="str">
        <f t="shared" si="871"/>
        <v>2010</v>
      </c>
      <c r="AI1921" s="214" t="str">
        <f t="shared" si="856"/>
        <v/>
      </c>
      <c r="AJ1921" s="214" t="str">
        <f t="shared" si="857"/>
        <v/>
      </c>
      <c r="AK1921" s="214" t="str">
        <f t="shared" si="858"/>
        <v/>
      </c>
      <c r="AL1921" s="214" t="str">
        <f t="shared" si="859"/>
        <v/>
      </c>
      <c r="AM1921" s="214" t="str">
        <f t="shared" si="860"/>
        <v/>
      </c>
      <c r="AN1921" s="213" t="str">
        <f t="shared" si="843"/>
        <v>2010</v>
      </c>
      <c r="AO1921" s="213" t="str">
        <f t="shared" si="844"/>
        <v>2010</v>
      </c>
      <c r="AP1921" s="213" t="str">
        <f t="shared" si="845"/>
        <v>2010</v>
      </c>
      <c r="AQ1921" s="215" t="str">
        <f t="shared" si="846"/>
        <v/>
      </c>
      <c r="AR1921" s="216" t="str">
        <f t="shared" si="847"/>
        <v>BiK82K10y---07</v>
      </c>
      <c r="AS1921" s="215" t="str">
        <f t="shared" si="848"/>
        <v/>
      </c>
      <c r="AT1921">
        <f t="shared" si="849"/>
        <v>14</v>
      </c>
      <c r="AU1921" s="216" t="str">
        <f t="shared" si="850"/>
        <v>0,15-0,5 MW, Bonusregeln y und K erstmals 2010</v>
      </c>
      <c r="AV1921" s="215" t="str">
        <f t="shared" si="851"/>
        <v/>
      </c>
      <c r="AW1921" s="216" t="str">
        <f t="shared" si="852"/>
        <v>Anteil KWK, erstmals 2010</v>
      </c>
      <c r="AX1921" s="215" t="str">
        <f t="shared" si="853"/>
        <v/>
      </c>
      <c r="AY1921" t="str">
        <f t="shared" si="854"/>
        <v/>
      </c>
      <c r="AZ1921" t="str">
        <f t="shared" si="855"/>
        <v/>
      </c>
    </row>
    <row r="1922" spans="1:52" x14ac:dyDescent="0.25">
      <c r="A1922" s="610" t="s">
        <v>3403</v>
      </c>
      <c r="B1922" s="17" t="s">
        <v>5548</v>
      </c>
      <c r="C1922" s="17" t="s">
        <v>1304</v>
      </c>
      <c r="D1922" s="30" t="s">
        <v>7102</v>
      </c>
      <c r="E1922" s="30" t="s">
        <v>3055</v>
      </c>
      <c r="F1922" s="454">
        <f t="shared" si="862"/>
        <v>13.4</v>
      </c>
      <c r="G1922" s="529">
        <v>13.4</v>
      </c>
      <c r="H1922" s="487">
        <f t="shared" si="863"/>
        <v>10.72</v>
      </c>
      <c r="I1922" s="706"/>
      <c r="J1922" s="669" t="s">
        <v>5805</v>
      </c>
      <c r="K1922" s="15"/>
      <c r="M1922" s="49">
        <f t="shared" si="864"/>
        <v>13.4</v>
      </c>
      <c r="N1922" s="41">
        <v>9.4600000000000009</v>
      </c>
      <c r="O1922" s="54"/>
      <c r="P1922" s="15"/>
      <c r="S1922" t="s">
        <v>1017</v>
      </c>
      <c r="T1922" t="s">
        <v>4180</v>
      </c>
      <c r="U1922" s="55" t="s">
        <v>1017</v>
      </c>
      <c r="W1922" s="65"/>
      <c r="X1922" s="65"/>
      <c r="Z1922" s="65"/>
      <c r="AC1922" s="65"/>
      <c r="AD1922" s="92"/>
      <c r="AE1922" s="124"/>
      <c r="AF1922" s="65"/>
      <c r="AG1922" s="91"/>
      <c r="AH1922" s="212" t="str">
        <f t="shared" si="871"/>
        <v>2011</v>
      </c>
      <c r="AI1922" s="214" t="str">
        <f t="shared" si="856"/>
        <v/>
      </c>
      <c r="AJ1922" s="214" t="str">
        <f t="shared" si="857"/>
        <v/>
      </c>
      <c r="AK1922" s="214" t="str">
        <f t="shared" si="858"/>
        <v/>
      </c>
      <c r="AL1922" s="214" t="str">
        <f t="shared" si="859"/>
        <v/>
      </c>
      <c r="AM1922" s="214" t="str">
        <f t="shared" si="860"/>
        <v/>
      </c>
      <c r="AN1922" s="213" t="str">
        <f t="shared" si="843"/>
        <v>2011</v>
      </c>
      <c r="AO1922" s="213" t="str">
        <f t="shared" si="844"/>
        <v>2011</v>
      </c>
      <c r="AP1922" s="213" t="str">
        <f t="shared" si="845"/>
        <v>2011</v>
      </c>
      <c r="AQ1922" s="215" t="str">
        <f t="shared" si="846"/>
        <v/>
      </c>
      <c r="AR1922" s="216" t="str">
        <f t="shared" si="847"/>
        <v>BiK82K11y---07</v>
      </c>
      <c r="AS1922" s="215" t="str">
        <f t="shared" si="848"/>
        <v/>
      </c>
      <c r="AT1922">
        <f t="shared" si="849"/>
        <v>14</v>
      </c>
      <c r="AU1922" s="216" t="str">
        <f t="shared" si="850"/>
        <v>0,15-0,5 MW, Bonusregeln y und K erstmals 2011</v>
      </c>
      <c r="AV1922" s="215" t="str">
        <f t="shared" si="851"/>
        <v/>
      </c>
      <c r="AW1922" s="216" t="str">
        <f t="shared" si="852"/>
        <v>Anteil KWK, erstmals 2011</v>
      </c>
      <c r="AX1922" s="215" t="str">
        <f t="shared" si="853"/>
        <v/>
      </c>
      <c r="AY1922" t="str">
        <f t="shared" si="854"/>
        <v>x</v>
      </c>
      <c r="AZ1922" t="str">
        <f t="shared" si="855"/>
        <v/>
      </c>
    </row>
    <row r="1923" spans="1:52" x14ac:dyDescent="0.25">
      <c r="A1923" s="625" t="s">
        <v>1835</v>
      </c>
      <c r="B1923" s="221" t="s">
        <v>5548</v>
      </c>
      <c r="C1923" s="221" t="s">
        <v>1304</v>
      </c>
      <c r="D1923" s="219" t="s">
        <v>7103</v>
      </c>
      <c r="E1923" s="219" t="s">
        <v>1980</v>
      </c>
      <c r="F1923" s="455">
        <f t="shared" si="862"/>
        <v>13.370000000000001</v>
      </c>
      <c r="G1923" s="530">
        <v>13.370000000000001</v>
      </c>
      <c r="H1923" s="488">
        <f t="shared" si="863"/>
        <v>10.7</v>
      </c>
      <c r="I1923" s="707"/>
      <c r="J1923" s="669" t="s">
        <v>5805</v>
      </c>
      <c r="K1923" s="15"/>
      <c r="M1923" s="49">
        <f t="shared" si="864"/>
        <v>13.370000000000001</v>
      </c>
      <c r="N1923" s="41">
        <v>9.4600000000000009</v>
      </c>
      <c r="O1923" s="54"/>
      <c r="P1923" s="15"/>
      <c r="S1923" t="s">
        <v>4180</v>
      </c>
      <c r="T1923" t="s">
        <v>1017</v>
      </c>
      <c r="U1923" s="55" t="s">
        <v>1017</v>
      </c>
      <c r="W1923" s="65"/>
      <c r="X1923" s="65"/>
      <c r="Z1923" s="65"/>
      <c r="AC1923" s="65"/>
      <c r="AD1923" s="92"/>
      <c r="AE1923" s="124"/>
      <c r="AF1923" s="65"/>
      <c r="AG1923" s="91"/>
      <c r="AH1923" s="217" t="s">
        <v>4179</v>
      </c>
      <c r="AI1923" s="214" t="str">
        <f t="shared" si="856"/>
        <v/>
      </c>
      <c r="AJ1923" s="214" t="str">
        <f t="shared" si="857"/>
        <v/>
      </c>
      <c r="AK1923" s="214" t="str">
        <f t="shared" si="858"/>
        <v/>
      </c>
      <c r="AL1923" s="214" t="str">
        <f t="shared" si="859"/>
        <v/>
      </c>
      <c r="AM1923" s="214" t="str">
        <f t="shared" si="860"/>
        <v/>
      </c>
      <c r="AN1923" s="213" t="str">
        <f t="shared" si="843"/>
        <v>2012</v>
      </c>
      <c r="AO1923" s="213" t="str">
        <f t="shared" si="844"/>
        <v>2012</v>
      </c>
      <c r="AP1923" s="213" t="str">
        <f t="shared" si="845"/>
        <v>2012</v>
      </c>
      <c r="AQ1923" s="215" t="str">
        <f t="shared" si="846"/>
        <v/>
      </c>
      <c r="AR1923" s="216" t="str">
        <f t="shared" si="847"/>
        <v>BiK82K12y---07</v>
      </c>
      <c r="AS1923" s="215" t="str">
        <f t="shared" si="848"/>
        <v/>
      </c>
      <c r="AT1923">
        <f t="shared" si="849"/>
        <v>14</v>
      </c>
      <c r="AU1923" s="216" t="str">
        <f t="shared" si="850"/>
        <v>0,15-0,5 MW, Bonusregeln y und K erstmals 2012</v>
      </c>
      <c r="AV1923" s="215" t="str">
        <f t="shared" si="851"/>
        <v/>
      </c>
      <c r="AW1923" s="216" t="str">
        <f t="shared" si="852"/>
        <v>Anteil KWK, erstmals 2012</v>
      </c>
      <c r="AX1923" s="215" t="str">
        <f t="shared" si="853"/>
        <v/>
      </c>
      <c r="AY1923" t="str">
        <f t="shared" si="854"/>
        <v/>
      </c>
      <c r="AZ1923" t="str">
        <f t="shared" si="855"/>
        <v>x</v>
      </c>
    </row>
    <row r="1924" spans="1:52" x14ac:dyDescent="0.25">
      <c r="A1924" s="609" t="s">
        <v>543</v>
      </c>
      <c r="B1924" s="1" t="s">
        <v>5548</v>
      </c>
      <c r="C1924" s="2" t="s">
        <v>1304</v>
      </c>
      <c r="D1924" s="1" t="s">
        <v>7104</v>
      </c>
      <c r="E1924" s="1" t="s">
        <v>4810</v>
      </c>
      <c r="F1924" s="456">
        <f t="shared" si="862"/>
        <v>15.46</v>
      </c>
      <c r="G1924" s="531">
        <v>15.46</v>
      </c>
      <c r="H1924" s="489">
        <f t="shared" si="863"/>
        <v>12.37</v>
      </c>
      <c r="I1924" s="708"/>
      <c r="J1924" s="669" t="s">
        <v>5805</v>
      </c>
      <c r="K1924" s="15"/>
      <c r="M1924" s="49">
        <f t="shared" si="864"/>
        <v>15.46</v>
      </c>
      <c r="N1924" s="41">
        <v>9.4600000000000009</v>
      </c>
      <c r="O1924" s="54"/>
      <c r="P1924" s="15"/>
      <c r="S1924" t="s">
        <v>4180</v>
      </c>
      <c r="T1924" t="s">
        <v>4180</v>
      </c>
      <c r="U1924" s="55"/>
      <c r="V1924" t="s">
        <v>1017</v>
      </c>
      <c r="W1924" s="65"/>
      <c r="X1924" s="65"/>
      <c r="Z1924" s="65"/>
      <c r="AC1924" s="65"/>
      <c r="AD1924" s="92"/>
      <c r="AE1924" s="124"/>
      <c r="AF1924" s="65"/>
      <c r="AG1924" s="91"/>
      <c r="AH1924" s="212" t="str">
        <f t="shared" ref="AH1924:AH1929" si="872">IF(ISERROR(SEARCH("K erstmals 201",D1924)),"",RIGHT(D1924,4))</f>
        <v/>
      </c>
      <c r="AI1924" s="214" t="str">
        <f t="shared" si="856"/>
        <v/>
      </c>
      <c r="AJ1924" s="214" t="str">
        <f t="shared" si="857"/>
        <v/>
      </c>
      <c r="AK1924" s="214" t="str">
        <f t="shared" si="858"/>
        <v/>
      </c>
      <c r="AL1924" s="214" t="str">
        <f t="shared" si="859"/>
        <v/>
      </c>
      <c r="AM1924" s="214" t="str">
        <f t="shared" si="860"/>
        <v/>
      </c>
      <c r="AN1924" s="213" t="str">
        <f t="shared" si="843"/>
        <v/>
      </c>
      <c r="AO1924" s="213" t="str">
        <f t="shared" si="844"/>
        <v/>
      </c>
      <c r="AP1924" s="213" t="str">
        <f t="shared" si="845"/>
        <v/>
      </c>
      <c r="AQ1924" s="215" t="str">
        <f t="shared" si="846"/>
        <v/>
      </c>
      <c r="AR1924" s="216" t="str">
        <f t="shared" si="847"/>
        <v>BiK82a1-----07</v>
      </c>
      <c r="AS1924" s="215" t="str">
        <f t="shared" si="848"/>
        <v/>
      </c>
      <c r="AT1924">
        <f t="shared" si="849"/>
        <v>14</v>
      </c>
      <c r="AU1924" s="216" t="str">
        <f t="shared" si="850"/>
        <v>0,15-0,5 MW, Bonusregel a1</v>
      </c>
      <c r="AV1924" s="215" t="str">
        <f t="shared" si="851"/>
        <v/>
      </c>
      <c r="AW1924" s="216" t="str">
        <f t="shared" si="852"/>
        <v>Anteil Nicht-KWK</v>
      </c>
      <c r="AX1924" s="215" t="str">
        <f t="shared" si="853"/>
        <v/>
      </c>
      <c r="AY1924" t="str">
        <f t="shared" si="854"/>
        <v/>
      </c>
      <c r="AZ1924" t="str">
        <f t="shared" si="855"/>
        <v/>
      </c>
    </row>
    <row r="1925" spans="1:52" x14ac:dyDescent="0.25">
      <c r="A1925" s="609" t="s">
        <v>544</v>
      </c>
      <c r="B1925" s="1" t="s">
        <v>5548</v>
      </c>
      <c r="C1925" s="2" t="s">
        <v>1304</v>
      </c>
      <c r="D1925" s="36" t="s">
        <v>7217</v>
      </c>
      <c r="E1925" s="1" t="s">
        <v>4812</v>
      </c>
      <c r="F1925" s="456">
        <f t="shared" si="862"/>
        <v>17.46</v>
      </c>
      <c r="G1925" s="531">
        <v>17.46</v>
      </c>
      <c r="H1925" s="489">
        <f t="shared" si="863"/>
        <v>13.97</v>
      </c>
      <c r="I1925" s="708"/>
      <c r="J1925" s="669" t="s">
        <v>5805</v>
      </c>
      <c r="K1925" s="15"/>
      <c r="M1925" s="49">
        <f t="shared" si="864"/>
        <v>17.46</v>
      </c>
      <c r="N1925" s="41">
        <v>9.4600000000000009</v>
      </c>
      <c r="O1925" s="54" t="s">
        <v>1017</v>
      </c>
      <c r="P1925" s="15"/>
      <c r="S1925" t="s">
        <v>4180</v>
      </c>
      <c r="T1925" t="s">
        <v>4180</v>
      </c>
      <c r="U1925" s="55"/>
      <c r="V1925" t="s">
        <v>1017</v>
      </c>
      <c r="W1925" s="65"/>
      <c r="X1925" s="65"/>
      <c r="Z1925" s="65"/>
      <c r="AC1925" s="65"/>
      <c r="AD1925" s="92"/>
      <c r="AE1925" s="124"/>
      <c r="AF1925" s="65"/>
      <c r="AG1925" s="91"/>
      <c r="AH1925" s="212" t="str">
        <f t="shared" si="872"/>
        <v/>
      </c>
      <c r="AI1925" s="214" t="str">
        <f t="shared" si="856"/>
        <v/>
      </c>
      <c r="AJ1925" s="214" t="str">
        <f t="shared" si="857"/>
        <v/>
      </c>
      <c r="AK1925" s="214" t="str">
        <f t="shared" si="858"/>
        <v/>
      </c>
      <c r="AL1925" s="214" t="str">
        <f t="shared" si="859"/>
        <v/>
      </c>
      <c r="AM1925" s="214" t="str">
        <f t="shared" si="860"/>
        <v/>
      </c>
      <c r="AN1925" s="213" t="str">
        <f t="shared" si="843"/>
        <v/>
      </c>
      <c r="AO1925" s="213" t="str">
        <f t="shared" si="844"/>
        <v/>
      </c>
      <c r="AP1925" s="213" t="str">
        <f t="shared" si="845"/>
        <v/>
      </c>
      <c r="AQ1925" s="215" t="str">
        <f t="shared" si="846"/>
        <v/>
      </c>
      <c r="AR1925" s="216" t="str">
        <f t="shared" si="847"/>
        <v>BiK82a1KWK--07</v>
      </c>
      <c r="AS1925" s="215" t="str">
        <f t="shared" si="848"/>
        <v/>
      </c>
      <c r="AT1925">
        <f t="shared" si="849"/>
        <v>14</v>
      </c>
      <c r="AU1925" s="216" t="str">
        <f t="shared" si="850"/>
        <v>0,15-0,5 MW, Bonusregeln a1 und KWK</v>
      </c>
      <c r="AV1925" s="215" t="str">
        <f t="shared" si="851"/>
        <v/>
      </c>
      <c r="AW1925" s="216" t="str">
        <f t="shared" si="852"/>
        <v>Anteil KWK</v>
      </c>
      <c r="AX1925" s="215" t="str">
        <f t="shared" si="853"/>
        <v/>
      </c>
      <c r="AY1925" t="str">
        <f t="shared" si="854"/>
        <v/>
      </c>
      <c r="AZ1925" t="str">
        <f t="shared" si="855"/>
        <v/>
      </c>
    </row>
    <row r="1926" spans="1:52" x14ac:dyDescent="0.25">
      <c r="A1926" s="610" t="s">
        <v>4363</v>
      </c>
      <c r="B1926" s="17" t="s">
        <v>5548</v>
      </c>
      <c r="C1926" s="30" t="s">
        <v>1304</v>
      </c>
      <c r="D1926" s="30" t="s">
        <v>7106</v>
      </c>
      <c r="E1926" s="30" t="s">
        <v>4331</v>
      </c>
      <c r="F1926" s="454">
        <f t="shared" si="862"/>
        <v>18.46</v>
      </c>
      <c r="G1926" s="529">
        <v>18.46</v>
      </c>
      <c r="H1926" s="487">
        <f t="shared" si="863"/>
        <v>14.77</v>
      </c>
      <c r="I1926" s="706"/>
      <c r="J1926" s="669" t="s">
        <v>5805</v>
      </c>
      <c r="K1926" s="15"/>
      <c r="M1926" s="49">
        <f t="shared" si="864"/>
        <v>18.46</v>
      </c>
      <c r="N1926" s="41">
        <v>9.4600000000000009</v>
      </c>
      <c r="O1926" s="54"/>
      <c r="P1926" t="s">
        <v>1017</v>
      </c>
      <c r="S1926" t="s">
        <v>4180</v>
      </c>
      <c r="T1926" t="s">
        <v>4180</v>
      </c>
      <c r="U1926" s="55"/>
      <c r="V1926" t="s">
        <v>1017</v>
      </c>
      <c r="W1926" s="65"/>
      <c r="X1926" s="65"/>
      <c r="Z1926" s="65"/>
      <c r="AC1926" s="65"/>
      <c r="AD1926" s="92"/>
      <c r="AE1926" s="124"/>
      <c r="AF1926" s="65"/>
      <c r="AG1926" s="91"/>
      <c r="AH1926" s="212" t="str">
        <f t="shared" si="872"/>
        <v/>
      </c>
      <c r="AI1926" s="214" t="str">
        <f t="shared" si="856"/>
        <v/>
      </c>
      <c r="AJ1926" s="214" t="str">
        <f t="shared" si="857"/>
        <v/>
      </c>
      <c r="AK1926" s="214" t="str">
        <f t="shared" si="858"/>
        <v/>
      </c>
      <c r="AL1926" s="214" t="str">
        <f t="shared" si="859"/>
        <v/>
      </c>
      <c r="AM1926" s="214" t="str">
        <f t="shared" si="860"/>
        <v/>
      </c>
      <c r="AN1926" s="213" t="str">
        <f t="shared" ref="AN1926:AN1989" si="873">IF(ISERROR(SEARCH("K1",A1926)),"","20"&amp;MID(A1926,SEARCH("K1",A1926)+1,2))</f>
        <v/>
      </c>
      <c r="AO1926" s="213" t="str">
        <f t="shared" ref="AO1926:AO1989" si="874">IF(ISERROR(SEARCH("erstmals 201",E1926)),"",MID(E1926,SEARCH("erstmals ",E1926)+9,4))</f>
        <v/>
      </c>
      <c r="AP1926" s="213" t="str">
        <f t="shared" ref="AP1926:AP1989" si="875">IF(R1926="x","2010",IF(S1926="x","2011",IF(T1926="x","2012","")))</f>
        <v/>
      </c>
      <c r="AQ1926" s="215" t="str">
        <f t="shared" ref="AQ1926:AQ1989" si="876">IF(OR(AH1926&lt;&gt;AN1926,AH1926&lt;&gt;AO1926,AH1926&lt;&gt;AP1926),"DIFF","")</f>
        <v/>
      </c>
      <c r="AR1926" s="216" t="str">
        <f t="shared" ref="AR1926:AR1989" si="877">IF(A1926="","",IF(ISERROR(SEARCH("K1",A1926)),A1926,LEFT(A1926,SEARCH("K1",A1926)+1)&amp;RIGHT(AH1926,1)&amp;MID(A1926,SEARCH("K1",A1926)+3,14)))</f>
        <v>BiK82a1KA3--07</v>
      </c>
      <c r="AS1926" s="215" t="str">
        <f t="shared" ref="AS1926:AS1989" si="878">IF(OR(A1926&lt;&gt;AR1926),"DIFF","")</f>
        <v/>
      </c>
      <c r="AT1926">
        <f t="shared" ref="AT1926:AT1989" si="879">LEN(AR1926)</f>
        <v>14</v>
      </c>
      <c r="AU1926" s="216" t="str">
        <f t="shared" ref="AU1926:AU1989" si="880">IF(D1926="","",IF(OR(A1926="",ISERROR(SEARCH("erstmals 201",D1926))),D1926,LEFT(D1926,SEARCH("erstmals 201",D1926)+8) &amp; AH1926 &amp; MID(D1926,SEARCH("erstmals 201",D1926)+13,255)))</f>
        <v>0,15-0,5 MW, Bonusregeln a1 und K wenn Anlage 3 erfüllt</v>
      </c>
      <c r="AV1926" s="215" t="str">
        <f t="shared" ref="AV1926:AV1989" si="881">IF(OR(D1926&lt;&gt;AU1926),"DIFF","")</f>
        <v/>
      </c>
      <c r="AW1926" s="216" t="str">
        <f t="shared" ref="AW1926:AW1989" si="882">IF(E1926="","",IF(OR(E1926="",ISERROR(SEARCH("erstmals 201",E1926))),E1926,LEFT(E1926,SEARCH("erstmals 201",E1926)+8) &amp; AH1926 &amp; MID(E1926,SEARCH("erstmals 201",E1926)+13,255)))</f>
        <v>Anteil KWK gemäß Anlage 3</v>
      </c>
      <c r="AX1926" s="215" t="str">
        <f t="shared" ref="AX1926:AX1989" si="883">IF(OR(E1926&lt;&gt;AW1926),"DIFF","")</f>
        <v/>
      </c>
      <c r="AY1926" t="str">
        <f t="shared" ref="AY1926:AY1989" si="884">IF(AH1926="2011","x",IF(AH1926="2012","","" &amp; S1926))</f>
        <v/>
      </c>
      <c r="AZ1926" t="str">
        <f t="shared" ref="AZ1926:AZ1989" si="885">IF(AH1926="2012","x",IF(AH1926="2011","","" &amp; T1926))</f>
        <v/>
      </c>
    </row>
    <row r="1927" spans="1:52" x14ac:dyDescent="0.25">
      <c r="A1927" s="610" t="s">
        <v>891</v>
      </c>
      <c r="B1927" s="17" t="s">
        <v>5548</v>
      </c>
      <c r="C1927" s="17" t="s">
        <v>1304</v>
      </c>
      <c r="D1927" s="30" t="s">
        <v>7107</v>
      </c>
      <c r="E1927" s="17" t="s">
        <v>674</v>
      </c>
      <c r="F1927" s="454">
        <f t="shared" si="862"/>
        <v>18.46</v>
      </c>
      <c r="G1927" s="529">
        <v>18.46</v>
      </c>
      <c r="H1927" s="487">
        <f t="shared" si="863"/>
        <v>14.77</v>
      </c>
      <c r="I1927" s="706"/>
      <c r="J1927" s="669" t="s">
        <v>5805</v>
      </c>
      <c r="K1927" s="15"/>
      <c r="M1927" s="49">
        <f t="shared" si="864"/>
        <v>18.46</v>
      </c>
      <c r="N1927" s="41">
        <v>9.4600000000000009</v>
      </c>
      <c r="O1927" s="54"/>
      <c r="P1927" s="15"/>
      <c r="Q1927" t="s">
        <v>1017</v>
      </c>
      <c r="S1927" t="s">
        <v>4180</v>
      </c>
      <c r="T1927" t="s">
        <v>4180</v>
      </c>
      <c r="U1927" s="55"/>
      <c r="V1927" t="s">
        <v>1017</v>
      </c>
      <c r="W1927" s="65"/>
      <c r="X1927" s="65"/>
      <c r="Z1927" s="65"/>
      <c r="AC1927" s="65"/>
      <c r="AD1927" s="92"/>
      <c r="AE1927" s="124"/>
      <c r="AF1927" s="65"/>
      <c r="AG1927" s="91"/>
      <c r="AH1927" s="212" t="str">
        <f t="shared" si="872"/>
        <v/>
      </c>
      <c r="AI1927" s="214" t="str">
        <f t="shared" si="856"/>
        <v/>
      </c>
      <c r="AJ1927" s="214" t="str">
        <f t="shared" si="857"/>
        <v/>
      </c>
      <c r="AK1927" s="214" t="str">
        <f t="shared" si="858"/>
        <v/>
      </c>
      <c r="AL1927" s="214" t="str">
        <f t="shared" si="859"/>
        <v/>
      </c>
      <c r="AM1927" s="214" t="str">
        <f t="shared" si="860"/>
        <v/>
      </c>
      <c r="AN1927" s="213" t="str">
        <f t="shared" si="873"/>
        <v/>
      </c>
      <c r="AO1927" s="213" t="str">
        <f t="shared" si="874"/>
        <v/>
      </c>
      <c r="AP1927" s="213" t="str">
        <f t="shared" si="875"/>
        <v/>
      </c>
      <c r="AQ1927" s="215" t="str">
        <f t="shared" si="876"/>
        <v/>
      </c>
      <c r="AR1927" s="216" t="str">
        <f t="shared" si="877"/>
        <v>BiK82a1K09--07</v>
      </c>
      <c r="AS1927" s="215" t="str">
        <f t="shared" si="878"/>
        <v/>
      </c>
      <c r="AT1927">
        <f t="shared" si="879"/>
        <v>14</v>
      </c>
      <c r="AU1927" s="216" t="str">
        <f t="shared" si="880"/>
        <v>0,15-0,5 MW, Bonusregeln a1 und K erstmals 2009</v>
      </c>
      <c r="AV1927" s="215" t="str">
        <f t="shared" si="881"/>
        <v/>
      </c>
      <c r="AW1927" s="216" t="str">
        <f t="shared" si="882"/>
        <v>Anteil KWK, erstmals 2009</v>
      </c>
      <c r="AX1927" s="215" t="str">
        <f t="shared" si="883"/>
        <v/>
      </c>
      <c r="AY1927" t="str">
        <f t="shared" si="884"/>
        <v/>
      </c>
      <c r="AZ1927" t="str">
        <f t="shared" si="885"/>
        <v/>
      </c>
    </row>
    <row r="1928" spans="1:52" x14ac:dyDescent="0.25">
      <c r="A1928" s="610" t="s">
        <v>4967</v>
      </c>
      <c r="B1928" s="17" t="s">
        <v>5548</v>
      </c>
      <c r="C1928" s="17" t="s">
        <v>1304</v>
      </c>
      <c r="D1928" s="30" t="s">
        <v>7108</v>
      </c>
      <c r="E1928" s="30" t="s">
        <v>3567</v>
      </c>
      <c r="F1928" s="454">
        <f t="shared" si="862"/>
        <v>18.43</v>
      </c>
      <c r="G1928" s="529">
        <v>18.43</v>
      </c>
      <c r="H1928" s="487">
        <f t="shared" si="863"/>
        <v>14.74</v>
      </c>
      <c r="I1928" s="706"/>
      <c r="J1928" s="669" t="s">
        <v>5805</v>
      </c>
      <c r="K1928" s="15"/>
      <c r="M1928" s="49">
        <f t="shared" si="864"/>
        <v>18.43</v>
      </c>
      <c r="N1928" s="41">
        <v>9.4600000000000009</v>
      </c>
      <c r="O1928" s="54"/>
      <c r="P1928" s="15"/>
      <c r="R1928" t="s">
        <v>1017</v>
      </c>
      <c r="S1928" t="s">
        <v>4180</v>
      </c>
      <c r="T1928" t="s">
        <v>4180</v>
      </c>
      <c r="U1928" s="55"/>
      <c r="V1928" t="s">
        <v>1017</v>
      </c>
      <c r="W1928" s="65"/>
      <c r="X1928" s="65"/>
      <c r="Z1928" s="65"/>
      <c r="AC1928" s="65"/>
      <c r="AD1928" s="92"/>
      <c r="AE1928" s="124"/>
      <c r="AF1928" s="65"/>
      <c r="AG1928" s="91"/>
      <c r="AH1928" s="212" t="str">
        <f t="shared" si="872"/>
        <v>2010</v>
      </c>
      <c r="AI1928" s="214" t="str">
        <f t="shared" si="856"/>
        <v/>
      </c>
      <c r="AJ1928" s="214" t="str">
        <f t="shared" si="857"/>
        <v/>
      </c>
      <c r="AK1928" s="214" t="str">
        <f t="shared" si="858"/>
        <v/>
      </c>
      <c r="AL1928" s="214" t="str">
        <f t="shared" si="859"/>
        <v/>
      </c>
      <c r="AM1928" s="214" t="str">
        <f t="shared" si="860"/>
        <v/>
      </c>
      <c r="AN1928" s="213" t="str">
        <f t="shared" si="873"/>
        <v>2010</v>
      </c>
      <c r="AO1928" s="213" t="str">
        <f t="shared" si="874"/>
        <v>2010</v>
      </c>
      <c r="AP1928" s="213" t="str">
        <f t="shared" si="875"/>
        <v>2010</v>
      </c>
      <c r="AQ1928" s="215" t="str">
        <f t="shared" si="876"/>
        <v/>
      </c>
      <c r="AR1928" s="216" t="str">
        <f t="shared" si="877"/>
        <v>BiK82a1K10--07</v>
      </c>
      <c r="AS1928" s="215" t="str">
        <f t="shared" si="878"/>
        <v/>
      </c>
      <c r="AT1928">
        <f t="shared" si="879"/>
        <v>14</v>
      </c>
      <c r="AU1928" s="216" t="str">
        <f t="shared" si="880"/>
        <v>0,15-0,5 MW, Bonusregeln a1 und K erstmals 2010</v>
      </c>
      <c r="AV1928" s="215" t="str">
        <f t="shared" si="881"/>
        <v/>
      </c>
      <c r="AW1928" s="216" t="str">
        <f t="shared" si="882"/>
        <v>Anteil KWK, erstmals 2010</v>
      </c>
      <c r="AX1928" s="215" t="str">
        <f t="shared" si="883"/>
        <v/>
      </c>
      <c r="AY1928" t="str">
        <f t="shared" si="884"/>
        <v/>
      </c>
      <c r="AZ1928" t="str">
        <f t="shared" si="885"/>
        <v/>
      </c>
    </row>
    <row r="1929" spans="1:52" x14ac:dyDescent="0.25">
      <c r="A1929" s="610" t="s">
        <v>3404</v>
      </c>
      <c r="B1929" s="17" t="s">
        <v>5548</v>
      </c>
      <c r="C1929" s="17" t="s">
        <v>1304</v>
      </c>
      <c r="D1929" s="30" t="s">
        <v>7109</v>
      </c>
      <c r="E1929" s="30" t="s">
        <v>3055</v>
      </c>
      <c r="F1929" s="454">
        <f t="shared" si="862"/>
        <v>18.399999999999999</v>
      </c>
      <c r="G1929" s="529">
        <v>18.399999999999999</v>
      </c>
      <c r="H1929" s="487">
        <f t="shared" si="863"/>
        <v>14.72</v>
      </c>
      <c r="I1929" s="706"/>
      <c r="J1929" s="669" t="s">
        <v>5805</v>
      </c>
      <c r="K1929" s="15"/>
      <c r="M1929" s="49">
        <f t="shared" si="864"/>
        <v>18.399999999999999</v>
      </c>
      <c r="N1929" s="41">
        <v>9.4600000000000009</v>
      </c>
      <c r="O1929" s="54"/>
      <c r="P1929" s="15"/>
      <c r="S1929" t="s">
        <v>1017</v>
      </c>
      <c r="T1929" t="s">
        <v>4180</v>
      </c>
      <c r="U1929" s="55"/>
      <c r="V1929" t="s">
        <v>1017</v>
      </c>
      <c r="W1929" s="65"/>
      <c r="X1929" s="65"/>
      <c r="Z1929" s="65"/>
      <c r="AC1929" s="65"/>
      <c r="AD1929" s="92"/>
      <c r="AE1929" s="124"/>
      <c r="AF1929" s="65"/>
      <c r="AG1929" s="91"/>
      <c r="AH1929" s="212" t="str">
        <f t="shared" si="872"/>
        <v>2011</v>
      </c>
      <c r="AI1929" s="214" t="str">
        <f t="shared" ref="AI1929:AI1992" si="886">IF(AND($AH1929&lt;&gt;"",AH1929 =AH1928),"Gleich","")</f>
        <v/>
      </c>
      <c r="AJ1929" s="214" t="str">
        <f t="shared" ref="AJ1929:AJ1992" si="887">IF(AND($AH1929&lt;&gt;"",A1929 =A1928),"Gleich","")</f>
        <v/>
      </c>
      <c r="AK1929" s="214" t="str">
        <f t="shared" ref="AK1929:AK1992" si="888">IF(AND($AH1929&lt;&gt;"",D1929 =D1928),"Gleich","")</f>
        <v/>
      </c>
      <c r="AL1929" s="214" t="str">
        <f t="shared" ref="AL1929:AL1992" si="889">IF(AND($AH1929&lt;&gt;"",E1929 =E1928),"Gleich","")</f>
        <v/>
      </c>
      <c r="AM1929" s="214" t="str">
        <f t="shared" ref="AM1929:AM1992" si="890">IF(AND($AH1929&lt;&gt;"",F1929 =F1928),"Gleich","")</f>
        <v/>
      </c>
      <c r="AN1929" s="213" t="str">
        <f t="shared" si="873"/>
        <v>2011</v>
      </c>
      <c r="AO1929" s="213" t="str">
        <f t="shared" si="874"/>
        <v>2011</v>
      </c>
      <c r="AP1929" s="213" t="str">
        <f t="shared" si="875"/>
        <v>2011</v>
      </c>
      <c r="AQ1929" s="215" t="str">
        <f t="shared" si="876"/>
        <v/>
      </c>
      <c r="AR1929" s="216" t="str">
        <f t="shared" si="877"/>
        <v>BiK82a1K11--07</v>
      </c>
      <c r="AS1929" s="215" t="str">
        <f t="shared" si="878"/>
        <v/>
      </c>
      <c r="AT1929">
        <f t="shared" si="879"/>
        <v>14</v>
      </c>
      <c r="AU1929" s="216" t="str">
        <f t="shared" si="880"/>
        <v>0,15-0,5 MW, Bonusregeln a1 und K erstmals 2011</v>
      </c>
      <c r="AV1929" s="215" t="str">
        <f t="shared" si="881"/>
        <v/>
      </c>
      <c r="AW1929" s="216" t="str">
        <f t="shared" si="882"/>
        <v>Anteil KWK, erstmals 2011</v>
      </c>
      <c r="AX1929" s="215" t="str">
        <f t="shared" si="883"/>
        <v/>
      </c>
      <c r="AY1929" t="str">
        <f t="shared" si="884"/>
        <v>x</v>
      </c>
      <c r="AZ1929" t="str">
        <f t="shared" si="885"/>
        <v/>
      </c>
    </row>
    <row r="1930" spans="1:52" x14ac:dyDescent="0.25">
      <c r="A1930" s="625" t="s">
        <v>1836</v>
      </c>
      <c r="B1930" s="221" t="s">
        <v>5548</v>
      </c>
      <c r="C1930" s="221" t="s">
        <v>1304</v>
      </c>
      <c r="D1930" s="219" t="s">
        <v>7110</v>
      </c>
      <c r="E1930" s="219" t="s">
        <v>1980</v>
      </c>
      <c r="F1930" s="455">
        <f t="shared" si="862"/>
        <v>18.37</v>
      </c>
      <c r="G1930" s="530">
        <v>18.37</v>
      </c>
      <c r="H1930" s="488">
        <f t="shared" si="863"/>
        <v>14.7</v>
      </c>
      <c r="I1930" s="707"/>
      <c r="J1930" s="669" t="s">
        <v>5805</v>
      </c>
      <c r="K1930" s="15"/>
      <c r="M1930" s="49">
        <f t="shared" si="864"/>
        <v>18.37</v>
      </c>
      <c r="N1930" s="41">
        <v>9.4600000000000009</v>
      </c>
      <c r="O1930" s="54"/>
      <c r="P1930" s="15"/>
      <c r="S1930" t="s">
        <v>4180</v>
      </c>
      <c r="T1930" t="s">
        <v>1017</v>
      </c>
      <c r="U1930" s="55"/>
      <c r="V1930" t="s">
        <v>1017</v>
      </c>
      <c r="W1930" s="65"/>
      <c r="X1930" s="65"/>
      <c r="Z1930" s="65"/>
      <c r="AC1930" s="65"/>
      <c r="AD1930" s="92"/>
      <c r="AE1930" s="124"/>
      <c r="AF1930" s="65"/>
      <c r="AG1930" s="91"/>
      <c r="AH1930" s="217" t="s">
        <v>4179</v>
      </c>
      <c r="AI1930" s="214" t="str">
        <f t="shared" si="886"/>
        <v/>
      </c>
      <c r="AJ1930" s="214" t="str">
        <f t="shared" si="887"/>
        <v/>
      </c>
      <c r="AK1930" s="214" t="str">
        <f t="shared" si="888"/>
        <v/>
      </c>
      <c r="AL1930" s="214" t="str">
        <f t="shared" si="889"/>
        <v/>
      </c>
      <c r="AM1930" s="214" t="str">
        <f t="shared" si="890"/>
        <v/>
      </c>
      <c r="AN1930" s="213" t="str">
        <f t="shared" si="873"/>
        <v>2012</v>
      </c>
      <c r="AO1930" s="213" t="str">
        <f t="shared" si="874"/>
        <v>2012</v>
      </c>
      <c r="AP1930" s="213" t="str">
        <f t="shared" si="875"/>
        <v>2012</v>
      </c>
      <c r="AQ1930" s="215" t="str">
        <f t="shared" si="876"/>
        <v/>
      </c>
      <c r="AR1930" s="216" t="str">
        <f t="shared" si="877"/>
        <v>BiK82a1K12--07</v>
      </c>
      <c r="AS1930" s="215" t="str">
        <f t="shared" si="878"/>
        <v/>
      </c>
      <c r="AT1930">
        <f t="shared" si="879"/>
        <v>14</v>
      </c>
      <c r="AU1930" s="216" t="str">
        <f t="shared" si="880"/>
        <v>0,15-0,5 MW, Bonusregeln a1 und K erstmals 2012</v>
      </c>
      <c r="AV1930" s="215" t="str">
        <f t="shared" si="881"/>
        <v/>
      </c>
      <c r="AW1930" s="216" t="str">
        <f t="shared" si="882"/>
        <v>Anteil KWK, erstmals 2012</v>
      </c>
      <c r="AX1930" s="215" t="str">
        <f t="shared" si="883"/>
        <v/>
      </c>
      <c r="AY1930" t="str">
        <f t="shared" si="884"/>
        <v/>
      </c>
      <c r="AZ1930" t="str">
        <f t="shared" si="885"/>
        <v>x</v>
      </c>
    </row>
    <row r="1931" spans="1:52" x14ac:dyDescent="0.25">
      <c r="A1931" s="610" t="s">
        <v>4003</v>
      </c>
      <c r="B1931" s="17" t="s">
        <v>5548</v>
      </c>
      <c r="C1931" s="17" t="s">
        <v>1304</v>
      </c>
      <c r="D1931" s="30" t="s">
        <v>7111</v>
      </c>
      <c r="E1931" s="17" t="s">
        <v>4810</v>
      </c>
      <c r="F1931" s="454">
        <f t="shared" si="862"/>
        <v>16.46</v>
      </c>
      <c r="G1931" s="529">
        <v>16.46</v>
      </c>
      <c r="H1931" s="487">
        <f t="shared" si="863"/>
        <v>13.17</v>
      </c>
      <c r="I1931" s="706"/>
      <c r="J1931" s="669" t="s">
        <v>5805</v>
      </c>
      <c r="K1931" s="15"/>
      <c r="M1931" s="49">
        <f t="shared" si="864"/>
        <v>16.46</v>
      </c>
      <c r="N1931" s="41">
        <v>9.4600000000000009</v>
      </c>
      <c r="O1931" s="54"/>
      <c r="P1931" s="15"/>
      <c r="S1931" t="s">
        <v>4180</v>
      </c>
      <c r="T1931" t="s">
        <v>4180</v>
      </c>
      <c r="U1931" s="55" t="s">
        <v>1017</v>
      </c>
      <c r="V1931" t="s">
        <v>1017</v>
      </c>
      <c r="W1931" s="65"/>
      <c r="X1931" s="65"/>
      <c r="Z1931" s="65"/>
      <c r="AC1931" s="65"/>
      <c r="AD1931" s="92"/>
      <c r="AE1931" s="124"/>
      <c r="AF1931" s="65"/>
      <c r="AG1931" s="91"/>
      <c r="AH1931" s="212" t="str">
        <f t="shared" ref="AH1931:AH1936" si="891">IF(ISERROR(SEARCH("K erstmals 201",D1931)),"",RIGHT(D1931,4))</f>
        <v/>
      </c>
      <c r="AI1931" s="214" t="str">
        <f t="shared" si="886"/>
        <v/>
      </c>
      <c r="AJ1931" s="214" t="str">
        <f t="shared" si="887"/>
        <v/>
      </c>
      <c r="AK1931" s="214" t="str">
        <f t="shared" si="888"/>
        <v/>
      </c>
      <c r="AL1931" s="214" t="str">
        <f t="shared" si="889"/>
        <v/>
      </c>
      <c r="AM1931" s="214" t="str">
        <f t="shared" si="890"/>
        <v/>
      </c>
      <c r="AN1931" s="213" t="str">
        <f t="shared" si="873"/>
        <v/>
      </c>
      <c r="AO1931" s="213" t="str">
        <f t="shared" si="874"/>
        <v/>
      </c>
      <c r="AP1931" s="213" t="str">
        <f t="shared" si="875"/>
        <v/>
      </c>
      <c r="AQ1931" s="215" t="str">
        <f t="shared" si="876"/>
        <v/>
      </c>
      <c r="AR1931" s="216" t="str">
        <f t="shared" si="877"/>
        <v>BiK82a1y----07</v>
      </c>
      <c r="AS1931" s="215" t="str">
        <f t="shared" si="878"/>
        <v/>
      </c>
      <c r="AT1931">
        <f t="shared" si="879"/>
        <v>14</v>
      </c>
      <c r="AU1931" s="216" t="str">
        <f t="shared" si="880"/>
        <v>0,15-0,5 MW, Bonusregeln a1, y</v>
      </c>
      <c r="AV1931" s="215" t="str">
        <f t="shared" si="881"/>
        <v/>
      </c>
      <c r="AW1931" s="216" t="str">
        <f t="shared" si="882"/>
        <v>Anteil Nicht-KWK</v>
      </c>
      <c r="AX1931" s="215" t="str">
        <f t="shared" si="883"/>
        <v/>
      </c>
      <c r="AY1931" t="str">
        <f t="shared" si="884"/>
        <v/>
      </c>
      <c r="AZ1931" t="str">
        <f t="shared" si="885"/>
        <v/>
      </c>
    </row>
    <row r="1932" spans="1:52" x14ac:dyDescent="0.25">
      <c r="A1932" s="610" t="s">
        <v>4004</v>
      </c>
      <c r="B1932" s="17" t="s">
        <v>5548</v>
      </c>
      <c r="C1932" s="17" t="s">
        <v>1304</v>
      </c>
      <c r="D1932" s="30" t="s">
        <v>7112</v>
      </c>
      <c r="E1932" s="17" t="s">
        <v>4812</v>
      </c>
      <c r="F1932" s="454">
        <f t="shared" si="862"/>
        <v>18.46</v>
      </c>
      <c r="G1932" s="529">
        <v>18.46</v>
      </c>
      <c r="H1932" s="487">
        <f t="shared" si="863"/>
        <v>14.77</v>
      </c>
      <c r="I1932" s="706"/>
      <c r="J1932" s="669" t="s">
        <v>5805</v>
      </c>
      <c r="K1932" s="15"/>
      <c r="M1932" s="49">
        <f t="shared" si="864"/>
        <v>18.46</v>
      </c>
      <c r="N1932" s="41">
        <v>9.4600000000000009</v>
      </c>
      <c r="O1932" s="54" t="s">
        <v>1017</v>
      </c>
      <c r="P1932" s="15"/>
      <c r="S1932" t="s">
        <v>4180</v>
      </c>
      <c r="T1932" t="s">
        <v>4180</v>
      </c>
      <c r="U1932" s="55" t="s">
        <v>1017</v>
      </c>
      <c r="V1932" t="s">
        <v>1017</v>
      </c>
      <c r="W1932" s="65"/>
      <c r="X1932" s="65"/>
      <c r="Z1932" s="65"/>
      <c r="AC1932" s="65"/>
      <c r="AD1932" s="92"/>
      <c r="AE1932" s="124"/>
      <c r="AF1932" s="65"/>
      <c r="AG1932" s="91"/>
      <c r="AH1932" s="212" t="str">
        <f t="shared" si="891"/>
        <v/>
      </c>
      <c r="AI1932" s="214" t="str">
        <f t="shared" si="886"/>
        <v/>
      </c>
      <c r="AJ1932" s="214" t="str">
        <f t="shared" si="887"/>
        <v/>
      </c>
      <c r="AK1932" s="214" t="str">
        <f t="shared" si="888"/>
        <v/>
      </c>
      <c r="AL1932" s="214" t="str">
        <f t="shared" si="889"/>
        <v/>
      </c>
      <c r="AM1932" s="214" t="str">
        <f t="shared" si="890"/>
        <v/>
      </c>
      <c r="AN1932" s="213" t="str">
        <f t="shared" si="873"/>
        <v/>
      </c>
      <c r="AO1932" s="213" t="str">
        <f t="shared" si="874"/>
        <v/>
      </c>
      <c r="AP1932" s="213" t="str">
        <f t="shared" si="875"/>
        <v/>
      </c>
      <c r="AQ1932" s="215" t="str">
        <f t="shared" si="876"/>
        <v/>
      </c>
      <c r="AR1932" s="216" t="str">
        <f t="shared" si="877"/>
        <v>BiK82a1KWKy-07</v>
      </c>
      <c r="AS1932" s="215" t="str">
        <f t="shared" si="878"/>
        <v/>
      </c>
      <c r="AT1932">
        <f t="shared" si="879"/>
        <v>14</v>
      </c>
      <c r="AU1932" s="216" t="str">
        <f t="shared" si="880"/>
        <v>0,15-0,5 MW, Bonusregeln a1, y und KWK</v>
      </c>
      <c r="AV1932" s="215" t="str">
        <f t="shared" si="881"/>
        <v/>
      </c>
      <c r="AW1932" s="216" t="str">
        <f t="shared" si="882"/>
        <v>Anteil KWK</v>
      </c>
      <c r="AX1932" s="215" t="str">
        <f t="shared" si="883"/>
        <v/>
      </c>
      <c r="AY1932" t="str">
        <f t="shared" si="884"/>
        <v/>
      </c>
      <c r="AZ1932" t="str">
        <f t="shared" si="885"/>
        <v/>
      </c>
    </row>
    <row r="1933" spans="1:52" x14ac:dyDescent="0.25">
      <c r="A1933" s="610" t="s">
        <v>4005</v>
      </c>
      <c r="B1933" s="17" t="s">
        <v>5548</v>
      </c>
      <c r="C1933" s="30" t="s">
        <v>1304</v>
      </c>
      <c r="D1933" s="30" t="s">
        <v>7113</v>
      </c>
      <c r="E1933" s="30" t="s">
        <v>4331</v>
      </c>
      <c r="F1933" s="454">
        <f t="shared" si="862"/>
        <v>19.46</v>
      </c>
      <c r="G1933" s="529">
        <v>19.46</v>
      </c>
      <c r="H1933" s="487">
        <f t="shared" si="863"/>
        <v>15.57</v>
      </c>
      <c r="I1933" s="706"/>
      <c r="J1933" s="669" t="s">
        <v>5805</v>
      </c>
      <c r="K1933" s="15"/>
      <c r="M1933" s="49">
        <f t="shared" si="864"/>
        <v>19.46</v>
      </c>
      <c r="N1933" s="41">
        <v>9.4600000000000009</v>
      </c>
      <c r="O1933" s="54"/>
      <c r="P1933" t="s">
        <v>1017</v>
      </c>
      <c r="S1933" t="s">
        <v>4180</v>
      </c>
      <c r="T1933" t="s">
        <v>4180</v>
      </c>
      <c r="U1933" s="55" t="s">
        <v>1017</v>
      </c>
      <c r="V1933" t="s">
        <v>1017</v>
      </c>
      <c r="W1933" s="65"/>
      <c r="X1933" s="65"/>
      <c r="Z1933" s="65"/>
      <c r="AC1933" s="65"/>
      <c r="AD1933" s="92"/>
      <c r="AE1933" s="124"/>
      <c r="AF1933" s="65"/>
      <c r="AG1933" s="91"/>
      <c r="AH1933" s="212" t="str">
        <f t="shared" si="891"/>
        <v/>
      </c>
      <c r="AI1933" s="214" t="str">
        <f t="shared" si="886"/>
        <v/>
      </c>
      <c r="AJ1933" s="214" t="str">
        <f t="shared" si="887"/>
        <v/>
      </c>
      <c r="AK1933" s="214" t="str">
        <f t="shared" si="888"/>
        <v/>
      </c>
      <c r="AL1933" s="214" t="str">
        <f t="shared" si="889"/>
        <v/>
      </c>
      <c r="AM1933" s="214" t="str">
        <f t="shared" si="890"/>
        <v/>
      </c>
      <c r="AN1933" s="213" t="str">
        <f t="shared" si="873"/>
        <v/>
      </c>
      <c r="AO1933" s="213" t="str">
        <f t="shared" si="874"/>
        <v/>
      </c>
      <c r="AP1933" s="213" t="str">
        <f t="shared" si="875"/>
        <v/>
      </c>
      <c r="AQ1933" s="215" t="str">
        <f t="shared" si="876"/>
        <v/>
      </c>
      <c r="AR1933" s="216" t="str">
        <f t="shared" si="877"/>
        <v>BiK82a1KA3y-07</v>
      </c>
      <c r="AS1933" s="215" t="str">
        <f t="shared" si="878"/>
        <v/>
      </c>
      <c r="AT1933">
        <f t="shared" si="879"/>
        <v>14</v>
      </c>
      <c r="AU1933" s="216" t="str">
        <f t="shared" si="880"/>
        <v>0,15-0,5 MW, Bonusregeln a1, y und K wenn Anlage 3 erfüllt</v>
      </c>
      <c r="AV1933" s="215" t="str">
        <f t="shared" si="881"/>
        <v/>
      </c>
      <c r="AW1933" s="216" t="str">
        <f t="shared" si="882"/>
        <v>Anteil KWK gemäß Anlage 3</v>
      </c>
      <c r="AX1933" s="215" t="str">
        <f t="shared" si="883"/>
        <v/>
      </c>
      <c r="AY1933" t="str">
        <f t="shared" si="884"/>
        <v/>
      </c>
      <c r="AZ1933" t="str">
        <f t="shared" si="885"/>
        <v/>
      </c>
    </row>
    <row r="1934" spans="1:52" x14ac:dyDescent="0.25">
      <c r="A1934" s="610" t="s">
        <v>4006</v>
      </c>
      <c r="B1934" s="17" t="s">
        <v>5548</v>
      </c>
      <c r="C1934" s="17" t="s">
        <v>1304</v>
      </c>
      <c r="D1934" s="30" t="s">
        <v>7114</v>
      </c>
      <c r="E1934" s="17" t="s">
        <v>674</v>
      </c>
      <c r="F1934" s="454">
        <f t="shared" ref="F1934:F1997" si="892">M1934</f>
        <v>19.46</v>
      </c>
      <c r="G1934" s="529">
        <v>19.46</v>
      </c>
      <c r="H1934" s="487">
        <f t="shared" ref="H1934:H1997" si="893">IF(ISNUMBER(G1934),ROUND(0.8*G1934,2),"")</f>
        <v>15.57</v>
      </c>
      <c r="I1934" s="706"/>
      <c r="J1934" s="669" t="s">
        <v>5805</v>
      </c>
      <c r="K1934" s="15"/>
      <c r="M1934" s="49">
        <f t="shared" ref="M1934:M1997" si="894">N1934+SUMIF(O1934:AG1934,"x",O$1741:AG$1741)</f>
        <v>19.46</v>
      </c>
      <c r="N1934" s="41">
        <v>9.4600000000000009</v>
      </c>
      <c r="O1934" s="54"/>
      <c r="P1934" s="15"/>
      <c r="Q1934" t="s">
        <v>1017</v>
      </c>
      <c r="S1934" t="s">
        <v>4180</v>
      </c>
      <c r="T1934" t="s">
        <v>4180</v>
      </c>
      <c r="U1934" s="55" t="s">
        <v>1017</v>
      </c>
      <c r="V1934" t="s">
        <v>1017</v>
      </c>
      <c r="W1934" s="65"/>
      <c r="X1934" s="65"/>
      <c r="Z1934" s="65"/>
      <c r="AC1934" s="65"/>
      <c r="AD1934" s="92"/>
      <c r="AE1934" s="124"/>
      <c r="AF1934" s="65"/>
      <c r="AG1934" s="91"/>
      <c r="AH1934" s="212" t="str">
        <f t="shared" si="891"/>
        <v/>
      </c>
      <c r="AI1934" s="214" t="str">
        <f t="shared" si="886"/>
        <v/>
      </c>
      <c r="AJ1934" s="214" t="str">
        <f t="shared" si="887"/>
        <v/>
      </c>
      <c r="AK1934" s="214" t="str">
        <f t="shared" si="888"/>
        <v/>
      </c>
      <c r="AL1934" s="214" t="str">
        <f t="shared" si="889"/>
        <v/>
      </c>
      <c r="AM1934" s="214" t="str">
        <f t="shared" si="890"/>
        <v/>
      </c>
      <c r="AN1934" s="213" t="str">
        <f t="shared" si="873"/>
        <v/>
      </c>
      <c r="AO1934" s="213" t="str">
        <f t="shared" si="874"/>
        <v/>
      </c>
      <c r="AP1934" s="213" t="str">
        <f t="shared" si="875"/>
        <v/>
      </c>
      <c r="AQ1934" s="215" t="str">
        <f t="shared" si="876"/>
        <v/>
      </c>
      <c r="AR1934" s="216" t="str">
        <f t="shared" si="877"/>
        <v>BiK82a1K09y-07</v>
      </c>
      <c r="AS1934" s="215" t="str">
        <f t="shared" si="878"/>
        <v/>
      </c>
      <c r="AT1934">
        <f t="shared" si="879"/>
        <v>14</v>
      </c>
      <c r="AU1934" s="216" t="str">
        <f t="shared" si="880"/>
        <v>0,15-0,5 MW, Bonusregeln a1, y und K erstmals 2009</v>
      </c>
      <c r="AV1934" s="215" t="str">
        <f t="shared" si="881"/>
        <v/>
      </c>
      <c r="AW1934" s="216" t="str">
        <f t="shared" si="882"/>
        <v>Anteil KWK, erstmals 2009</v>
      </c>
      <c r="AX1934" s="215" t="str">
        <f t="shared" si="883"/>
        <v/>
      </c>
      <c r="AY1934" t="str">
        <f t="shared" si="884"/>
        <v/>
      </c>
      <c r="AZ1934" t="str">
        <f t="shared" si="885"/>
        <v/>
      </c>
    </row>
    <row r="1935" spans="1:52" x14ac:dyDescent="0.25">
      <c r="A1935" s="610" t="s">
        <v>4968</v>
      </c>
      <c r="B1935" s="17" t="s">
        <v>5548</v>
      </c>
      <c r="C1935" s="17" t="s">
        <v>1304</v>
      </c>
      <c r="D1935" s="30" t="s">
        <v>7115</v>
      </c>
      <c r="E1935" s="30" t="s">
        <v>3567</v>
      </c>
      <c r="F1935" s="454">
        <f t="shared" si="892"/>
        <v>19.43</v>
      </c>
      <c r="G1935" s="529">
        <v>19.43</v>
      </c>
      <c r="H1935" s="487">
        <f t="shared" si="893"/>
        <v>15.54</v>
      </c>
      <c r="I1935" s="706"/>
      <c r="J1935" s="669" t="s">
        <v>5805</v>
      </c>
      <c r="K1935" s="15"/>
      <c r="M1935" s="49">
        <f t="shared" si="894"/>
        <v>19.43</v>
      </c>
      <c r="N1935" s="41">
        <v>9.4600000000000009</v>
      </c>
      <c r="O1935" s="54"/>
      <c r="P1935" s="15"/>
      <c r="R1935" t="s">
        <v>1017</v>
      </c>
      <c r="S1935" t="s">
        <v>4180</v>
      </c>
      <c r="T1935" t="s">
        <v>4180</v>
      </c>
      <c r="U1935" s="55" t="s">
        <v>1017</v>
      </c>
      <c r="V1935" t="s">
        <v>1017</v>
      </c>
      <c r="W1935" s="65"/>
      <c r="X1935" s="65"/>
      <c r="Z1935" s="65"/>
      <c r="AC1935" s="65"/>
      <c r="AD1935" s="92"/>
      <c r="AE1935" s="124"/>
      <c r="AF1935" s="65"/>
      <c r="AG1935" s="91"/>
      <c r="AH1935" s="212" t="str">
        <f t="shared" si="891"/>
        <v>2010</v>
      </c>
      <c r="AI1935" s="214" t="str">
        <f t="shared" si="886"/>
        <v/>
      </c>
      <c r="AJ1935" s="214" t="str">
        <f t="shared" si="887"/>
        <v/>
      </c>
      <c r="AK1935" s="214" t="str">
        <f t="shared" si="888"/>
        <v/>
      </c>
      <c r="AL1935" s="214" t="str">
        <f t="shared" si="889"/>
        <v/>
      </c>
      <c r="AM1935" s="214" t="str">
        <f t="shared" si="890"/>
        <v/>
      </c>
      <c r="AN1935" s="213" t="str">
        <f t="shared" si="873"/>
        <v>2010</v>
      </c>
      <c r="AO1935" s="213" t="str">
        <f t="shared" si="874"/>
        <v>2010</v>
      </c>
      <c r="AP1935" s="213" t="str">
        <f t="shared" si="875"/>
        <v>2010</v>
      </c>
      <c r="AQ1935" s="215" t="str">
        <f t="shared" si="876"/>
        <v/>
      </c>
      <c r="AR1935" s="216" t="str">
        <f t="shared" si="877"/>
        <v>BiK82a1K10y-07</v>
      </c>
      <c r="AS1935" s="215" t="str">
        <f t="shared" si="878"/>
        <v/>
      </c>
      <c r="AT1935">
        <f t="shared" si="879"/>
        <v>14</v>
      </c>
      <c r="AU1935" s="216" t="str">
        <f t="shared" si="880"/>
        <v>0,15-0,5 MW, Bonusregeln a1, y und K erstmals 2010</v>
      </c>
      <c r="AV1935" s="215" t="str">
        <f t="shared" si="881"/>
        <v/>
      </c>
      <c r="AW1935" s="216" t="str">
        <f t="shared" si="882"/>
        <v>Anteil KWK, erstmals 2010</v>
      </c>
      <c r="AX1935" s="215" t="str">
        <f t="shared" si="883"/>
        <v/>
      </c>
      <c r="AY1935" t="str">
        <f t="shared" si="884"/>
        <v/>
      </c>
      <c r="AZ1935" t="str">
        <f t="shared" si="885"/>
        <v/>
      </c>
    </row>
    <row r="1936" spans="1:52" x14ac:dyDescent="0.25">
      <c r="A1936" s="610" t="s">
        <v>3405</v>
      </c>
      <c r="B1936" s="17" t="s">
        <v>5548</v>
      </c>
      <c r="C1936" s="17" t="s">
        <v>1304</v>
      </c>
      <c r="D1936" s="30" t="s">
        <v>7116</v>
      </c>
      <c r="E1936" s="30" t="s">
        <v>3055</v>
      </c>
      <c r="F1936" s="454">
        <f t="shared" si="892"/>
        <v>19.399999999999999</v>
      </c>
      <c r="G1936" s="529">
        <v>19.399999999999999</v>
      </c>
      <c r="H1936" s="487">
        <f t="shared" si="893"/>
        <v>15.52</v>
      </c>
      <c r="I1936" s="706"/>
      <c r="J1936" s="669" t="s">
        <v>5805</v>
      </c>
      <c r="K1936" s="15"/>
      <c r="M1936" s="49">
        <f t="shared" si="894"/>
        <v>19.399999999999999</v>
      </c>
      <c r="N1936" s="41">
        <v>9.4600000000000009</v>
      </c>
      <c r="O1936" s="54"/>
      <c r="P1936" s="15"/>
      <c r="S1936" t="s">
        <v>1017</v>
      </c>
      <c r="T1936" t="s">
        <v>4180</v>
      </c>
      <c r="U1936" s="55" t="s">
        <v>1017</v>
      </c>
      <c r="V1936" t="s">
        <v>1017</v>
      </c>
      <c r="W1936" s="65"/>
      <c r="X1936" s="65"/>
      <c r="Z1936" s="65"/>
      <c r="AC1936" s="65"/>
      <c r="AD1936" s="92"/>
      <c r="AE1936" s="124"/>
      <c r="AF1936" s="65"/>
      <c r="AG1936" s="91"/>
      <c r="AH1936" s="212" t="str">
        <f t="shared" si="891"/>
        <v>2011</v>
      </c>
      <c r="AI1936" s="214" t="str">
        <f t="shared" si="886"/>
        <v/>
      </c>
      <c r="AJ1936" s="214" t="str">
        <f t="shared" si="887"/>
        <v/>
      </c>
      <c r="AK1936" s="214" t="str">
        <f t="shared" si="888"/>
        <v/>
      </c>
      <c r="AL1936" s="214" t="str">
        <f t="shared" si="889"/>
        <v/>
      </c>
      <c r="AM1936" s="214" t="str">
        <f t="shared" si="890"/>
        <v/>
      </c>
      <c r="AN1936" s="213" t="str">
        <f t="shared" si="873"/>
        <v>2011</v>
      </c>
      <c r="AO1936" s="213" t="str">
        <f t="shared" si="874"/>
        <v>2011</v>
      </c>
      <c r="AP1936" s="213" t="str">
        <f t="shared" si="875"/>
        <v>2011</v>
      </c>
      <c r="AQ1936" s="215" t="str">
        <f t="shared" si="876"/>
        <v/>
      </c>
      <c r="AR1936" s="216" t="str">
        <f t="shared" si="877"/>
        <v>BiK82a1K11y-07</v>
      </c>
      <c r="AS1936" s="215" t="str">
        <f t="shared" si="878"/>
        <v/>
      </c>
      <c r="AT1936">
        <f t="shared" si="879"/>
        <v>14</v>
      </c>
      <c r="AU1936" s="216" t="str">
        <f t="shared" si="880"/>
        <v>0,15-0,5 MW, Bonusregeln a1, y und K erstmals 2011</v>
      </c>
      <c r="AV1936" s="215" t="str">
        <f t="shared" si="881"/>
        <v/>
      </c>
      <c r="AW1936" s="216" t="str">
        <f t="shared" si="882"/>
        <v>Anteil KWK, erstmals 2011</v>
      </c>
      <c r="AX1936" s="215" t="str">
        <f t="shared" si="883"/>
        <v/>
      </c>
      <c r="AY1936" t="str">
        <f t="shared" si="884"/>
        <v>x</v>
      </c>
      <c r="AZ1936" t="str">
        <f t="shared" si="885"/>
        <v/>
      </c>
    </row>
    <row r="1937" spans="1:52" x14ac:dyDescent="0.25">
      <c r="A1937" s="625" t="s">
        <v>1837</v>
      </c>
      <c r="B1937" s="221" t="s">
        <v>5548</v>
      </c>
      <c r="C1937" s="221" t="s">
        <v>1304</v>
      </c>
      <c r="D1937" s="219" t="s">
        <v>7117</v>
      </c>
      <c r="E1937" s="219" t="s">
        <v>1980</v>
      </c>
      <c r="F1937" s="455">
        <f t="shared" si="892"/>
        <v>19.37</v>
      </c>
      <c r="G1937" s="530">
        <v>19.37</v>
      </c>
      <c r="H1937" s="488">
        <f t="shared" si="893"/>
        <v>15.5</v>
      </c>
      <c r="I1937" s="707"/>
      <c r="J1937" s="669" t="s">
        <v>5805</v>
      </c>
      <c r="K1937" s="15"/>
      <c r="M1937" s="49">
        <f t="shared" si="894"/>
        <v>19.37</v>
      </c>
      <c r="N1937" s="41">
        <v>9.4600000000000009</v>
      </c>
      <c r="O1937" s="54"/>
      <c r="P1937" s="15"/>
      <c r="S1937" t="s">
        <v>4180</v>
      </c>
      <c r="T1937" t="s">
        <v>1017</v>
      </c>
      <c r="U1937" s="55" t="s">
        <v>1017</v>
      </c>
      <c r="V1937" t="s">
        <v>1017</v>
      </c>
      <c r="W1937" s="65"/>
      <c r="X1937" s="65"/>
      <c r="Z1937" s="65"/>
      <c r="AC1937" s="65"/>
      <c r="AD1937" s="92"/>
      <c r="AE1937" s="124"/>
      <c r="AF1937" s="65"/>
      <c r="AG1937" s="91"/>
      <c r="AH1937" s="217" t="s">
        <v>4179</v>
      </c>
      <c r="AI1937" s="214" t="str">
        <f t="shared" si="886"/>
        <v/>
      </c>
      <c r="AJ1937" s="214" t="str">
        <f t="shared" si="887"/>
        <v/>
      </c>
      <c r="AK1937" s="214" t="str">
        <f t="shared" si="888"/>
        <v/>
      </c>
      <c r="AL1937" s="214" t="str">
        <f t="shared" si="889"/>
        <v/>
      </c>
      <c r="AM1937" s="214" t="str">
        <f t="shared" si="890"/>
        <v/>
      </c>
      <c r="AN1937" s="213" t="str">
        <f t="shared" si="873"/>
        <v>2012</v>
      </c>
      <c r="AO1937" s="213" t="str">
        <f t="shared" si="874"/>
        <v>2012</v>
      </c>
      <c r="AP1937" s="213" t="str">
        <f t="shared" si="875"/>
        <v>2012</v>
      </c>
      <c r="AQ1937" s="215" t="str">
        <f t="shared" si="876"/>
        <v/>
      </c>
      <c r="AR1937" s="216" t="str">
        <f t="shared" si="877"/>
        <v>BiK82a1K12y-07</v>
      </c>
      <c r="AS1937" s="215" t="str">
        <f t="shared" si="878"/>
        <v/>
      </c>
      <c r="AT1937">
        <f t="shared" si="879"/>
        <v>14</v>
      </c>
      <c r="AU1937" s="216" t="str">
        <f t="shared" si="880"/>
        <v>0,15-0,5 MW, Bonusregeln a1, y und K erstmals 2012</v>
      </c>
      <c r="AV1937" s="215" t="str">
        <f t="shared" si="881"/>
        <v/>
      </c>
      <c r="AW1937" s="216" t="str">
        <f t="shared" si="882"/>
        <v>Anteil KWK, erstmals 2012</v>
      </c>
      <c r="AX1937" s="215" t="str">
        <f t="shared" si="883"/>
        <v/>
      </c>
      <c r="AY1937" t="str">
        <f t="shared" si="884"/>
        <v/>
      </c>
      <c r="AZ1937" t="str">
        <f t="shared" si="885"/>
        <v>x</v>
      </c>
    </row>
    <row r="1938" spans="1:52" x14ac:dyDescent="0.25">
      <c r="A1938" s="610" t="s">
        <v>4819</v>
      </c>
      <c r="B1938" s="30" t="s">
        <v>5548</v>
      </c>
      <c r="C1938" s="30" t="s">
        <v>1304</v>
      </c>
      <c r="D1938" s="30" t="s">
        <v>7034</v>
      </c>
      <c r="E1938" s="30" t="s">
        <v>4810</v>
      </c>
      <c r="F1938" s="454">
        <f t="shared" si="892"/>
        <v>16.46</v>
      </c>
      <c r="G1938" s="529">
        <v>16.46</v>
      </c>
      <c r="H1938" s="487">
        <f t="shared" si="893"/>
        <v>13.17</v>
      </c>
      <c r="I1938" s="706"/>
      <c r="J1938" s="669" t="s">
        <v>5805</v>
      </c>
      <c r="K1938" s="15"/>
      <c r="M1938" s="49">
        <f t="shared" si="894"/>
        <v>16.46</v>
      </c>
      <c r="N1938" s="41">
        <v>9.4600000000000009</v>
      </c>
      <c r="O1938" s="186"/>
      <c r="P1938" s="177"/>
      <c r="Q1938" s="178"/>
      <c r="R1938" s="178"/>
      <c r="S1938" s="178" t="s">
        <v>4180</v>
      </c>
      <c r="T1938" t="s">
        <v>4180</v>
      </c>
      <c r="U1938" s="179"/>
      <c r="V1938" s="178"/>
      <c r="W1938" s="180"/>
      <c r="X1938" s="180"/>
      <c r="Y1938" s="178" t="s">
        <v>1017</v>
      </c>
      <c r="Z1938" s="180"/>
      <c r="AA1938" s="178"/>
      <c r="AB1938" s="178"/>
      <c r="AC1938" s="180"/>
      <c r="AD1938" s="182"/>
      <c r="AE1938" s="200"/>
      <c r="AF1938" s="180"/>
      <c r="AG1938" s="201"/>
      <c r="AH1938" s="212" t="str">
        <f t="shared" ref="AH1938:AH1943" si="895">IF(ISERROR(SEARCH("K erstmals 201",D1938)),"",RIGHT(D1938,4))</f>
        <v/>
      </c>
      <c r="AI1938" s="214" t="str">
        <f t="shared" si="886"/>
        <v/>
      </c>
      <c r="AJ1938" s="214" t="str">
        <f t="shared" si="887"/>
        <v/>
      </c>
      <c r="AK1938" s="214" t="str">
        <f t="shared" si="888"/>
        <v/>
      </c>
      <c r="AL1938" s="214" t="str">
        <f t="shared" si="889"/>
        <v/>
      </c>
      <c r="AM1938" s="214" t="str">
        <f t="shared" si="890"/>
        <v/>
      </c>
      <c r="AN1938" s="213" t="str">
        <f t="shared" si="873"/>
        <v/>
      </c>
      <c r="AO1938" s="213" t="str">
        <f t="shared" si="874"/>
        <v/>
      </c>
      <c r="AP1938" s="213" t="str">
        <f t="shared" si="875"/>
        <v/>
      </c>
      <c r="AQ1938" s="215" t="str">
        <f t="shared" si="876"/>
        <v/>
      </c>
      <c r="AR1938" s="216" t="str">
        <f t="shared" si="877"/>
        <v>BiK82G------07</v>
      </c>
      <c r="AS1938" s="215" t="str">
        <f t="shared" si="878"/>
        <v/>
      </c>
      <c r="AT1938">
        <f t="shared" si="879"/>
        <v>14</v>
      </c>
      <c r="AU1938" s="216" t="str">
        <f t="shared" si="880"/>
        <v>0,15-0,5 MW, Bonusregel G</v>
      </c>
      <c r="AV1938" s="215" t="str">
        <f t="shared" si="881"/>
        <v/>
      </c>
      <c r="AW1938" s="216" t="str">
        <f t="shared" si="882"/>
        <v>Anteil Nicht-KWK</v>
      </c>
      <c r="AX1938" s="215" t="str">
        <f t="shared" si="883"/>
        <v/>
      </c>
      <c r="AY1938" t="str">
        <f t="shared" si="884"/>
        <v/>
      </c>
      <c r="AZ1938" t="str">
        <f t="shared" si="885"/>
        <v/>
      </c>
    </row>
    <row r="1939" spans="1:52" x14ac:dyDescent="0.25">
      <c r="A1939" s="610" t="s">
        <v>4820</v>
      </c>
      <c r="B1939" s="30" t="s">
        <v>5548</v>
      </c>
      <c r="C1939" s="30" t="s">
        <v>1304</v>
      </c>
      <c r="D1939" s="30" t="s">
        <v>7118</v>
      </c>
      <c r="E1939" s="30" t="s">
        <v>4812</v>
      </c>
      <c r="F1939" s="454">
        <f t="shared" si="892"/>
        <v>18.46</v>
      </c>
      <c r="G1939" s="529">
        <v>18.46</v>
      </c>
      <c r="H1939" s="487">
        <f t="shared" si="893"/>
        <v>14.77</v>
      </c>
      <c r="I1939" s="706"/>
      <c r="J1939" s="669" t="s">
        <v>5805</v>
      </c>
      <c r="K1939" s="15"/>
      <c r="M1939" s="49">
        <f t="shared" si="894"/>
        <v>18.46</v>
      </c>
      <c r="N1939" s="41">
        <v>9.4600000000000009</v>
      </c>
      <c r="O1939" s="186" t="s">
        <v>1017</v>
      </c>
      <c r="P1939" s="177"/>
      <c r="Q1939" s="178"/>
      <c r="R1939" s="178"/>
      <c r="S1939" s="178" t="s">
        <v>4180</v>
      </c>
      <c r="T1939" t="s">
        <v>4180</v>
      </c>
      <c r="U1939" s="179"/>
      <c r="V1939" s="178"/>
      <c r="W1939" s="180"/>
      <c r="X1939" s="180"/>
      <c r="Y1939" s="178" t="s">
        <v>1017</v>
      </c>
      <c r="Z1939" s="180"/>
      <c r="AA1939" s="178"/>
      <c r="AB1939" s="178"/>
      <c r="AC1939" s="180"/>
      <c r="AD1939" s="182"/>
      <c r="AE1939" s="200"/>
      <c r="AF1939" s="180"/>
      <c r="AG1939" s="201"/>
      <c r="AH1939" s="212" t="str">
        <f t="shared" si="895"/>
        <v/>
      </c>
      <c r="AI1939" s="214" t="str">
        <f t="shared" si="886"/>
        <v/>
      </c>
      <c r="AJ1939" s="214" t="str">
        <f t="shared" si="887"/>
        <v/>
      </c>
      <c r="AK1939" s="214" t="str">
        <f t="shared" si="888"/>
        <v/>
      </c>
      <c r="AL1939" s="214" t="str">
        <f t="shared" si="889"/>
        <v/>
      </c>
      <c r="AM1939" s="214" t="str">
        <f t="shared" si="890"/>
        <v/>
      </c>
      <c r="AN1939" s="213" t="str">
        <f t="shared" si="873"/>
        <v/>
      </c>
      <c r="AO1939" s="213" t="str">
        <f t="shared" si="874"/>
        <v/>
      </c>
      <c r="AP1939" s="213" t="str">
        <f t="shared" si="875"/>
        <v/>
      </c>
      <c r="AQ1939" s="215" t="str">
        <f t="shared" si="876"/>
        <v/>
      </c>
      <c r="AR1939" s="216" t="str">
        <f t="shared" si="877"/>
        <v>BiK82GKWK---07</v>
      </c>
      <c r="AS1939" s="215" t="str">
        <f t="shared" si="878"/>
        <v/>
      </c>
      <c r="AT1939">
        <f t="shared" si="879"/>
        <v>14</v>
      </c>
      <c r="AU1939" s="216" t="str">
        <f t="shared" si="880"/>
        <v>0,15-0,5 MW, Bonusregeln G und KWK</v>
      </c>
      <c r="AV1939" s="215" t="str">
        <f t="shared" si="881"/>
        <v/>
      </c>
      <c r="AW1939" s="216" t="str">
        <f t="shared" si="882"/>
        <v>Anteil KWK</v>
      </c>
      <c r="AX1939" s="215" t="str">
        <f t="shared" si="883"/>
        <v/>
      </c>
      <c r="AY1939" t="str">
        <f t="shared" si="884"/>
        <v/>
      </c>
      <c r="AZ1939" t="str">
        <f t="shared" si="885"/>
        <v/>
      </c>
    </row>
    <row r="1940" spans="1:52" s="178" customFormat="1" x14ac:dyDescent="0.25">
      <c r="A1940" s="610" t="s">
        <v>4821</v>
      </c>
      <c r="B1940" s="30" t="s">
        <v>5548</v>
      </c>
      <c r="C1940" s="30" t="s">
        <v>1304</v>
      </c>
      <c r="D1940" s="30" t="s">
        <v>7035</v>
      </c>
      <c r="E1940" s="30" t="s">
        <v>4331</v>
      </c>
      <c r="F1940" s="454">
        <f t="shared" si="892"/>
        <v>19.46</v>
      </c>
      <c r="G1940" s="529">
        <v>19.46</v>
      </c>
      <c r="H1940" s="487">
        <f t="shared" si="893"/>
        <v>15.57</v>
      </c>
      <c r="I1940" s="706"/>
      <c r="J1940" s="669" t="s">
        <v>5805</v>
      </c>
      <c r="K1940" s="15"/>
      <c r="L1940"/>
      <c r="M1940" s="49">
        <f t="shared" si="894"/>
        <v>19.46</v>
      </c>
      <c r="N1940" s="41">
        <v>9.4600000000000009</v>
      </c>
      <c r="O1940" s="186"/>
      <c r="P1940" s="178" t="s">
        <v>1017</v>
      </c>
      <c r="S1940" s="178" t="s">
        <v>4180</v>
      </c>
      <c r="T1940" s="178" t="s">
        <v>4180</v>
      </c>
      <c r="U1940" s="179"/>
      <c r="W1940" s="180"/>
      <c r="X1940" s="180"/>
      <c r="Y1940" s="178" t="s">
        <v>1017</v>
      </c>
      <c r="Z1940" s="180"/>
      <c r="AC1940" s="180"/>
      <c r="AD1940" s="182"/>
      <c r="AE1940" s="200"/>
      <c r="AF1940" s="180"/>
      <c r="AG1940" s="201"/>
      <c r="AH1940" s="212" t="str">
        <f t="shared" si="895"/>
        <v/>
      </c>
      <c r="AI1940" s="214" t="str">
        <f t="shared" si="886"/>
        <v/>
      </c>
      <c r="AJ1940" s="214" t="str">
        <f t="shared" si="887"/>
        <v/>
      </c>
      <c r="AK1940" s="214" t="str">
        <f t="shared" si="888"/>
        <v/>
      </c>
      <c r="AL1940" s="214" t="str">
        <f t="shared" si="889"/>
        <v/>
      </c>
      <c r="AM1940" s="214" t="str">
        <f t="shared" si="890"/>
        <v/>
      </c>
      <c r="AN1940" s="213" t="str">
        <f t="shared" si="873"/>
        <v/>
      </c>
      <c r="AO1940" s="213" t="str">
        <f t="shared" si="874"/>
        <v/>
      </c>
      <c r="AP1940" s="213" t="str">
        <f t="shared" si="875"/>
        <v/>
      </c>
      <c r="AQ1940" s="215" t="str">
        <f t="shared" si="876"/>
        <v/>
      </c>
      <c r="AR1940" s="216" t="str">
        <f t="shared" si="877"/>
        <v>BiK82GKA3---07</v>
      </c>
      <c r="AS1940" s="215" t="str">
        <f t="shared" si="878"/>
        <v/>
      </c>
      <c r="AT1940">
        <f t="shared" si="879"/>
        <v>14</v>
      </c>
      <c r="AU1940" s="216" t="str">
        <f t="shared" si="880"/>
        <v>0,15-0,5 MW, Bonusregeln G und K wenn Anlage 3 erfüllt</v>
      </c>
      <c r="AV1940" s="215" t="str">
        <f t="shared" si="881"/>
        <v/>
      </c>
      <c r="AW1940" s="216" t="str">
        <f t="shared" si="882"/>
        <v>Anteil KWK gemäß Anlage 3</v>
      </c>
      <c r="AX1940" s="215" t="str">
        <f t="shared" si="883"/>
        <v/>
      </c>
      <c r="AY1940" t="str">
        <f t="shared" si="884"/>
        <v/>
      </c>
      <c r="AZ1940" t="str">
        <f t="shared" si="885"/>
        <v/>
      </c>
    </row>
    <row r="1941" spans="1:52" s="178" customFormat="1" x14ac:dyDescent="0.25">
      <c r="A1941" s="610" t="s">
        <v>4822</v>
      </c>
      <c r="B1941" s="30" t="s">
        <v>5548</v>
      </c>
      <c r="C1941" s="30" t="s">
        <v>1304</v>
      </c>
      <c r="D1941" s="30" t="s">
        <v>7036</v>
      </c>
      <c r="E1941" s="30" t="s">
        <v>674</v>
      </c>
      <c r="F1941" s="454">
        <f t="shared" si="892"/>
        <v>19.46</v>
      </c>
      <c r="G1941" s="529">
        <v>19.46</v>
      </c>
      <c r="H1941" s="487">
        <f t="shared" si="893"/>
        <v>15.57</v>
      </c>
      <c r="I1941" s="706"/>
      <c r="J1941" s="669" t="s">
        <v>5805</v>
      </c>
      <c r="K1941" s="15"/>
      <c r="L1941"/>
      <c r="M1941" s="49">
        <f t="shared" si="894"/>
        <v>19.46</v>
      </c>
      <c r="N1941" s="41">
        <v>9.4600000000000009</v>
      </c>
      <c r="O1941" s="186"/>
      <c r="P1941" s="177"/>
      <c r="Q1941" s="178" t="s">
        <v>1017</v>
      </c>
      <c r="S1941" s="178" t="s">
        <v>4180</v>
      </c>
      <c r="T1941" s="178" t="s">
        <v>4180</v>
      </c>
      <c r="U1941" s="179"/>
      <c r="W1941" s="180"/>
      <c r="X1941" s="180"/>
      <c r="Y1941" s="178" t="s">
        <v>1017</v>
      </c>
      <c r="Z1941" s="180"/>
      <c r="AC1941" s="180"/>
      <c r="AD1941" s="182"/>
      <c r="AE1941" s="200"/>
      <c r="AF1941" s="180"/>
      <c r="AG1941" s="201"/>
      <c r="AH1941" s="212" t="str">
        <f t="shared" si="895"/>
        <v/>
      </c>
      <c r="AI1941" s="214" t="str">
        <f t="shared" si="886"/>
        <v/>
      </c>
      <c r="AJ1941" s="214" t="str">
        <f t="shared" si="887"/>
        <v/>
      </c>
      <c r="AK1941" s="214" t="str">
        <f t="shared" si="888"/>
        <v/>
      </c>
      <c r="AL1941" s="214" t="str">
        <f t="shared" si="889"/>
        <v/>
      </c>
      <c r="AM1941" s="214" t="str">
        <f t="shared" si="890"/>
        <v/>
      </c>
      <c r="AN1941" s="213" t="str">
        <f t="shared" si="873"/>
        <v/>
      </c>
      <c r="AO1941" s="213" t="str">
        <f t="shared" si="874"/>
        <v/>
      </c>
      <c r="AP1941" s="213" t="str">
        <f t="shared" si="875"/>
        <v/>
      </c>
      <c r="AQ1941" s="215" t="str">
        <f t="shared" si="876"/>
        <v/>
      </c>
      <c r="AR1941" s="216" t="str">
        <f t="shared" si="877"/>
        <v>BiK82GK09---07</v>
      </c>
      <c r="AS1941" s="215" t="str">
        <f t="shared" si="878"/>
        <v/>
      </c>
      <c r="AT1941">
        <f t="shared" si="879"/>
        <v>14</v>
      </c>
      <c r="AU1941" s="216" t="str">
        <f t="shared" si="880"/>
        <v>0,15-0,5 MW, Bonusregeln G und K erstmals 2009</v>
      </c>
      <c r="AV1941" s="215" t="str">
        <f t="shared" si="881"/>
        <v/>
      </c>
      <c r="AW1941" s="216" t="str">
        <f t="shared" si="882"/>
        <v>Anteil KWK, erstmals 2009</v>
      </c>
      <c r="AX1941" s="215" t="str">
        <f t="shared" si="883"/>
        <v/>
      </c>
      <c r="AY1941" t="str">
        <f t="shared" si="884"/>
        <v/>
      </c>
      <c r="AZ1941" t="str">
        <f t="shared" si="885"/>
        <v/>
      </c>
    </row>
    <row r="1942" spans="1:52" s="178" customFormat="1" x14ac:dyDescent="0.25">
      <c r="A1942" s="610" t="s">
        <v>4969</v>
      </c>
      <c r="B1942" s="30" t="s">
        <v>5548</v>
      </c>
      <c r="C1942" s="30" t="s">
        <v>1304</v>
      </c>
      <c r="D1942" s="30" t="s">
        <v>7037</v>
      </c>
      <c r="E1942" s="30" t="s">
        <v>3567</v>
      </c>
      <c r="F1942" s="454">
        <f t="shared" si="892"/>
        <v>19.43</v>
      </c>
      <c r="G1942" s="529">
        <v>19.43</v>
      </c>
      <c r="H1942" s="487">
        <f t="shared" si="893"/>
        <v>15.54</v>
      </c>
      <c r="I1942" s="706"/>
      <c r="J1942" s="669" t="s">
        <v>5805</v>
      </c>
      <c r="K1942" s="15"/>
      <c r="L1942"/>
      <c r="M1942" s="49">
        <f t="shared" si="894"/>
        <v>19.43</v>
      </c>
      <c r="N1942" s="41">
        <v>9.4600000000000009</v>
      </c>
      <c r="O1942" s="186"/>
      <c r="P1942" s="177"/>
      <c r="R1942" s="178" t="s">
        <v>1017</v>
      </c>
      <c r="S1942" s="178" t="s">
        <v>4180</v>
      </c>
      <c r="T1942" s="178" t="s">
        <v>4180</v>
      </c>
      <c r="U1942" s="179"/>
      <c r="W1942" s="180"/>
      <c r="X1942" s="180"/>
      <c r="Y1942" s="178" t="s">
        <v>1017</v>
      </c>
      <c r="Z1942" s="180"/>
      <c r="AC1942" s="180"/>
      <c r="AD1942" s="182"/>
      <c r="AE1942" s="200"/>
      <c r="AF1942" s="180"/>
      <c r="AG1942" s="201"/>
      <c r="AH1942" s="212" t="str">
        <f t="shared" si="895"/>
        <v>2010</v>
      </c>
      <c r="AI1942" s="214" t="str">
        <f t="shared" si="886"/>
        <v/>
      </c>
      <c r="AJ1942" s="214" t="str">
        <f t="shared" si="887"/>
        <v/>
      </c>
      <c r="AK1942" s="214" t="str">
        <f t="shared" si="888"/>
        <v/>
      </c>
      <c r="AL1942" s="214" t="str">
        <f t="shared" si="889"/>
        <v/>
      </c>
      <c r="AM1942" s="214" t="str">
        <f t="shared" si="890"/>
        <v/>
      </c>
      <c r="AN1942" s="213" t="str">
        <f t="shared" si="873"/>
        <v>2010</v>
      </c>
      <c r="AO1942" s="213" t="str">
        <f t="shared" si="874"/>
        <v>2010</v>
      </c>
      <c r="AP1942" s="213" t="str">
        <f t="shared" si="875"/>
        <v>2010</v>
      </c>
      <c r="AQ1942" s="215" t="str">
        <f t="shared" si="876"/>
        <v/>
      </c>
      <c r="AR1942" s="216" t="str">
        <f t="shared" si="877"/>
        <v>BiK82GK10---07</v>
      </c>
      <c r="AS1942" s="215" t="str">
        <f t="shared" si="878"/>
        <v/>
      </c>
      <c r="AT1942">
        <f t="shared" si="879"/>
        <v>14</v>
      </c>
      <c r="AU1942" s="216" t="str">
        <f t="shared" si="880"/>
        <v>0,15-0,5 MW, Bonusregeln G und K erstmals 2010</v>
      </c>
      <c r="AV1942" s="215" t="str">
        <f t="shared" si="881"/>
        <v/>
      </c>
      <c r="AW1942" s="216" t="str">
        <f t="shared" si="882"/>
        <v>Anteil KWK, erstmals 2010</v>
      </c>
      <c r="AX1942" s="215" t="str">
        <f t="shared" si="883"/>
        <v/>
      </c>
      <c r="AY1942" t="str">
        <f t="shared" si="884"/>
        <v/>
      </c>
      <c r="AZ1942" t="str">
        <f t="shared" si="885"/>
        <v/>
      </c>
    </row>
    <row r="1943" spans="1:52" s="178" customFormat="1" x14ac:dyDescent="0.25">
      <c r="A1943" s="610" t="s">
        <v>3406</v>
      </c>
      <c r="B1943" s="30" t="s">
        <v>5548</v>
      </c>
      <c r="C1943" s="30" t="s">
        <v>1304</v>
      </c>
      <c r="D1943" s="30" t="s">
        <v>7038</v>
      </c>
      <c r="E1943" s="30" t="s">
        <v>3055</v>
      </c>
      <c r="F1943" s="454">
        <f t="shared" si="892"/>
        <v>19.399999999999999</v>
      </c>
      <c r="G1943" s="529">
        <v>19.399999999999999</v>
      </c>
      <c r="H1943" s="487">
        <f t="shared" si="893"/>
        <v>15.52</v>
      </c>
      <c r="I1943" s="706"/>
      <c r="J1943" s="669" t="s">
        <v>5805</v>
      </c>
      <c r="K1943" s="15"/>
      <c r="L1943"/>
      <c r="M1943" s="49">
        <f t="shared" si="894"/>
        <v>19.399999999999999</v>
      </c>
      <c r="N1943" s="41">
        <v>9.4600000000000009</v>
      </c>
      <c r="O1943" s="186"/>
      <c r="P1943" s="177"/>
      <c r="S1943" s="178" t="s">
        <v>1017</v>
      </c>
      <c r="T1943" s="178" t="s">
        <v>4180</v>
      </c>
      <c r="U1943" s="179"/>
      <c r="W1943" s="180"/>
      <c r="X1943" s="180"/>
      <c r="Y1943" s="178" t="s">
        <v>1017</v>
      </c>
      <c r="Z1943" s="180"/>
      <c r="AC1943" s="180"/>
      <c r="AD1943" s="182"/>
      <c r="AE1943" s="200"/>
      <c r="AF1943" s="180"/>
      <c r="AG1943" s="201"/>
      <c r="AH1943" s="212" t="str">
        <f t="shared" si="895"/>
        <v>2011</v>
      </c>
      <c r="AI1943" s="214" t="str">
        <f t="shared" si="886"/>
        <v/>
      </c>
      <c r="AJ1943" s="214" t="str">
        <f t="shared" si="887"/>
        <v/>
      </c>
      <c r="AK1943" s="214" t="str">
        <f t="shared" si="888"/>
        <v/>
      </c>
      <c r="AL1943" s="214" t="str">
        <f t="shared" si="889"/>
        <v/>
      </c>
      <c r="AM1943" s="214" t="str">
        <f t="shared" si="890"/>
        <v/>
      </c>
      <c r="AN1943" s="213" t="str">
        <f t="shared" si="873"/>
        <v>2011</v>
      </c>
      <c r="AO1943" s="213" t="str">
        <f t="shared" si="874"/>
        <v>2011</v>
      </c>
      <c r="AP1943" s="213" t="str">
        <f t="shared" si="875"/>
        <v>2011</v>
      </c>
      <c r="AQ1943" s="215" t="str">
        <f t="shared" si="876"/>
        <v/>
      </c>
      <c r="AR1943" s="216" t="str">
        <f t="shared" si="877"/>
        <v>BiK82GK11---07</v>
      </c>
      <c r="AS1943" s="215" t="str">
        <f t="shared" si="878"/>
        <v/>
      </c>
      <c r="AT1943">
        <f t="shared" si="879"/>
        <v>14</v>
      </c>
      <c r="AU1943" s="216" t="str">
        <f t="shared" si="880"/>
        <v>0,15-0,5 MW, Bonusregeln G und K erstmals 2011</v>
      </c>
      <c r="AV1943" s="215" t="str">
        <f t="shared" si="881"/>
        <v/>
      </c>
      <c r="AW1943" s="216" t="str">
        <f t="shared" si="882"/>
        <v>Anteil KWK, erstmals 2011</v>
      </c>
      <c r="AX1943" s="215" t="str">
        <f t="shared" si="883"/>
        <v/>
      </c>
      <c r="AY1943" t="str">
        <f t="shared" si="884"/>
        <v>x</v>
      </c>
      <c r="AZ1943" t="str">
        <f t="shared" si="885"/>
        <v/>
      </c>
    </row>
    <row r="1944" spans="1:52" s="178" customFormat="1" x14ac:dyDescent="0.25">
      <c r="A1944" s="625" t="s">
        <v>1838</v>
      </c>
      <c r="B1944" s="219" t="s">
        <v>5548</v>
      </c>
      <c r="C1944" s="219" t="s">
        <v>1304</v>
      </c>
      <c r="D1944" s="219" t="s">
        <v>7039</v>
      </c>
      <c r="E1944" s="219" t="s">
        <v>1980</v>
      </c>
      <c r="F1944" s="455">
        <f t="shared" si="892"/>
        <v>19.37</v>
      </c>
      <c r="G1944" s="530">
        <v>19.37</v>
      </c>
      <c r="H1944" s="488">
        <f t="shared" si="893"/>
        <v>15.5</v>
      </c>
      <c r="I1944" s="707"/>
      <c r="J1944" s="669" t="s">
        <v>5805</v>
      </c>
      <c r="K1944" s="15"/>
      <c r="L1944"/>
      <c r="M1944" s="49">
        <f t="shared" si="894"/>
        <v>19.37</v>
      </c>
      <c r="N1944" s="41">
        <v>9.4600000000000009</v>
      </c>
      <c r="O1944" s="186"/>
      <c r="P1944" s="177"/>
      <c r="S1944" s="178" t="s">
        <v>4180</v>
      </c>
      <c r="T1944" s="178" t="s">
        <v>1017</v>
      </c>
      <c r="U1944" s="179"/>
      <c r="W1944" s="180"/>
      <c r="X1944" s="180"/>
      <c r="Y1944" s="178" t="s">
        <v>1017</v>
      </c>
      <c r="Z1944" s="180"/>
      <c r="AC1944" s="180"/>
      <c r="AD1944" s="182"/>
      <c r="AE1944" s="200"/>
      <c r="AF1944" s="180"/>
      <c r="AG1944" s="201"/>
      <c r="AH1944" s="217" t="s">
        <v>4179</v>
      </c>
      <c r="AI1944" s="214" t="str">
        <f t="shared" si="886"/>
        <v/>
      </c>
      <c r="AJ1944" s="214" t="str">
        <f t="shared" si="887"/>
        <v/>
      </c>
      <c r="AK1944" s="214" t="str">
        <f t="shared" si="888"/>
        <v/>
      </c>
      <c r="AL1944" s="214" t="str">
        <f t="shared" si="889"/>
        <v/>
      </c>
      <c r="AM1944" s="214" t="str">
        <f t="shared" si="890"/>
        <v/>
      </c>
      <c r="AN1944" s="213" t="str">
        <f t="shared" si="873"/>
        <v>2012</v>
      </c>
      <c r="AO1944" s="213" t="str">
        <f t="shared" si="874"/>
        <v>2012</v>
      </c>
      <c r="AP1944" s="213" t="str">
        <f t="shared" si="875"/>
        <v>2012</v>
      </c>
      <c r="AQ1944" s="215" t="str">
        <f t="shared" si="876"/>
        <v/>
      </c>
      <c r="AR1944" s="216" t="str">
        <f t="shared" si="877"/>
        <v>BiK82GK12---07</v>
      </c>
      <c r="AS1944" s="215" t="str">
        <f t="shared" si="878"/>
        <v/>
      </c>
      <c r="AT1944">
        <f t="shared" si="879"/>
        <v>14</v>
      </c>
      <c r="AU1944" s="216" t="str">
        <f t="shared" si="880"/>
        <v>0,15-0,5 MW, Bonusregeln G und K erstmals 2012</v>
      </c>
      <c r="AV1944" s="215" t="str">
        <f t="shared" si="881"/>
        <v/>
      </c>
      <c r="AW1944" s="216" t="str">
        <f t="shared" si="882"/>
        <v>Anteil KWK, erstmals 2012</v>
      </c>
      <c r="AX1944" s="215" t="str">
        <f t="shared" si="883"/>
        <v/>
      </c>
      <c r="AY1944" t="str">
        <f t="shared" si="884"/>
        <v/>
      </c>
      <c r="AZ1944" t="str">
        <f t="shared" si="885"/>
        <v>x</v>
      </c>
    </row>
    <row r="1945" spans="1:52" s="178" customFormat="1" x14ac:dyDescent="0.25">
      <c r="A1945" s="610" t="s">
        <v>4823</v>
      </c>
      <c r="B1945" s="30" t="s">
        <v>5548</v>
      </c>
      <c r="C1945" s="30" t="s">
        <v>1304</v>
      </c>
      <c r="D1945" s="30" t="s">
        <v>7040</v>
      </c>
      <c r="E1945" s="30" t="s">
        <v>4810</v>
      </c>
      <c r="F1945" s="454">
        <f t="shared" si="892"/>
        <v>17.46</v>
      </c>
      <c r="G1945" s="529">
        <v>17.46</v>
      </c>
      <c r="H1945" s="487">
        <f t="shared" si="893"/>
        <v>13.97</v>
      </c>
      <c r="I1945" s="706"/>
      <c r="J1945" s="669" t="s">
        <v>5805</v>
      </c>
      <c r="K1945" s="15"/>
      <c r="L1945"/>
      <c r="M1945" s="49">
        <f t="shared" si="894"/>
        <v>17.46</v>
      </c>
      <c r="N1945" s="41">
        <v>9.4600000000000009</v>
      </c>
      <c r="O1945" s="187"/>
      <c r="P1945" s="183"/>
      <c r="Q1945" s="184"/>
      <c r="R1945" s="184"/>
      <c r="S1945" s="184" t="s">
        <v>4180</v>
      </c>
      <c r="T1945" s="178" t="s">
        <v>4180</v>
      </c>
      <c r="U1945" s="185" t="s">
        <v>1017</v>
      </c>
      <c r="V1945" s="184"/>
      <c r="W1945" s="180"/>
      <c r="X1945" s="180"/>
      <c r="Y1945" s="184" t="s">
        <v>1017</v>
      </c>
      <c r="Z1945" s="180"/>
      <c r="AA1945" s="184"/>
      <c r="AB1945" s="184"/>
      <c r="AC1945" s="180"/>
      <c r="AD1945" s="182"/>
      <c r="AE1945" s="181"/>
      <c r="AF1945" s="180"/>
      <c r="AG1945" s="201"/>
      <c r="AH1945" s="212" t="str">
        <f t="shared" ref="AH1945:AH1950" si="896">IF(ISERROR(SEARCH("K erstmals 201",D1945)),"",RIGHT(D1945,4))</f>
        <v/>
      </c>
      <c r="AI1945" s="214" t="str">
        <f t="shared" si="886"/>
        <v/>
      </c>
      <c r="AJ1945" s="214" t="str">
        <f t="shared" si="887"/>
        <v/>
      </c>
      <c r="AK1945" s="214" t="str">
        <f t="shared" si="888"/>
        <v/>
      </c>
      <c r="AL1945" s="214" t="str">
        <f t="shared" si="889"/>
        <v/>
      </c>
      <c r="AM1945" s="214" t="str">
        <f t="shared" si="890"/>
        <v/>
      </c>
      <c r="AN1945" s="213" t="str">
        <f t="shared" si="873"/>
        <v/>
      </c>
      <c r="AO1945" s="213" t="str">
        <f t="shared" si="874"/>
        <v/>
      </c>
      <c r="AP1945" s="213" t="str">
        <f t="shared" si="875"/>
        <v/>
      </c>
      <c r="AQ1945" s="215" t="str">
        <f t="shared" si="876"/>
        <v/>
      </c>
      <c r="AR1945" s="216" t="str">
        <f t="shared" si="877"/>
        <v>BiK82Gy-----07</v>
      </c>
      <c r="AS1945" s="215" t="str">
        <f t="shared" si="878"/>
        <v/>
      </c>
      <c r="AT1945">
        <f t="shared" si="879"/>
        <v>14</v>
      </c>
      <c r="AU1945" s="216" t="str">
        <f t="shared" si="880"/>
        <v>0,15-0,5 MW, Bonusregel G, y</v>
      </c>
      <c r="AV1945" s="215" t="str">
        <f t="shared" si="881"/>
        <v/>
      </c>
      <c r="AW1945" s="216" t="str">
        <f t="shared" si="882"/>
        <v>Anteil Nicht-KWK</v>
      </c>
      <c r="AX1945" s="215" t="str">
        <f t="shared" si="883"/>
        <v/>
      </c>
      <c r="AY1945" t="str">
        <f t="shared" si="884"/>
        <v/>
      </c>
      <c r="AZ1945" t="str">
        <f t="shared" si="885"/>
        <v/>
      </c>
    </row>
    <row r="1946" spans="1:52" s="178" customFormat="1" x14ac:dyDescent="0.25">
      <c r="A1946" s="610" t="s">
        <v>4824</v>
      </c>
      <c r="B1946" s="30" t="s">
        <v>5548</v>
      </c>
      <c r="C1946" s="30" t="s">
        <v>1304</v>
      </c>
      <c r="D1946" s="30" t="s">
        <v>7119</v>
      </c>
      <c r="E1946" s="30" t="s">
        <v>4812</v>
      </c>
      <c r="F1946" s="454">
        <f t="shared" si="892"/>
        <v>19.46</v>
      </c>
      <c r="G1946" s="529">
        <v>19.46</v>
      </c>
      <c r="H1946" s="487">
        <f t="shared" si="893"/>
        <v>15.57</v>
      </c>
      <c r="I1946" s="706"/>
      <c r="J1946" s="669" t="s">
        <v>5805</v>
      </c>
      <c r="K1946" s="15"/>
      <c r="L1946"/>
      <c r="M1946" s="49">
        <f t="shared" si="894"/>
        <v>19.46</v>
      </c>
      <c r="N1946" s="41">
        <v>9.4600000000000009</v>
      </c>
      <c r="O1946" s="187" t="s">
        <v>1017</v>
      </c>
      <c r="P1946" s="183"/>
      <c r="Q1946" s="184"/>
      <c r="R1946" s="184"/>
      <c r="S1946" s="184" t="s">
        <v>4180</v>
      </c>
      <c r="T1946" s="178" t="s">
        <v>4180</v>
      </c>
      <c r="U1946" s="185" t="s">
        <v>1017</v>
      </c>
      <c r="V1946" s="184"/>
      <c r="W1946" s="180"/>
      <c r="X1946" s="180"/>
      <c r="Y1946" s="184" t="s">
        <v>1017</v>
      </c>
      <c r="Z1946" s="180"/>
      <c r="AA1946" s="184"/>
      <c r="AB1946" s="184"/>
      <c r="AC1946" s="180"/>
      <c r="AD1946" s="182"/>
      <c r="AE1946" s="181"/>
      <c r="AF1946" s="180"/>
      <c r="AG1946" s="201"/>
      <c r="AH1946" s="212" t="str">
        <f t="shared" si="896"/>
        <v/>
      </c>
      <c r="AI1946" s="214" t="str">
        <f t="shared" si="886"/>
        <v/>
      </c>
      <c r="AJ1946" s="214" t="str">
        <f t="shared" si="887"/>
        <v/>
      </c>
      <c r="AK1946" s="214" t="str">
        <f t="shared" si="888"/>
        <v/>
      </c>
      <c r="AL1946" s="214" t="str">
        <f t="shared" si="889"/>
        <v/>
      </c>
      <c r="AM1946" s="214" t="str">
        <f t="shared" si="890"/>
        <v/>
      </c>
      <c r="AN1946" s="213" t="str">
        <f t="shared" si="873"/>
        <v/>
      </c>
      <c r="AO1946" s="213" t="str">
        <f t="shared" si="874"/>
        <v/>
      </c>
      <c r="AP1946" s="213" t="str">
        <f t="shared" si="875"/>
        <v/>
      </c>
      <c r="AQ1946" s="215" t="str">
        <f t="shared" si="876"/>
        <v/>
      </c>
      <c r="AR1946" s="216" t="str">
        <f t="shared" si="877"/>
        <v>BiK82GKWKy--07</v>
      </c>
      <c r="AS1946" s="215" t="str">
        <f t="shared" si="878"/>
        <v/>
      </c>
      <c r="AT1946">
        <f t="shared" si="879"/>
        <v>14</v>
      </c>
      <c r="AU1946" s="216" t="str">
        <f t="shared" si="880"/>
        <v>0,15-0,5 MW, Bonusregeln G, y und KWK</v>
      </c>
      <c r="AV1946" s="215" t="str">
        <f t="shared" si="881"/>
        <v/>
      </c>
      <c r="AW1946" s="216" t="str">
        <f t="shared" si="882"/>
        <v>Anteil KWK</v>
      </c>
      <c r="AX1946" s="215" t="str">
        <f t="shared" si="883"/>
        <v/>
      </c>
      <c r="AY1946" t="str">
        <f t="shared" si="884"/>
        <v/>
      </c>
      <c r="AZ1946" t="str">
        <f t="shared" si="885"/>
        <v/>
      </c>
    </row>
    <row r="1947" spans="1:52" s="178" customFormat="1" x14ac:dyDescent="0.25">
      <c r="A1947" s="610" t="s">
        <v>4825</v>
      </c>
      <c r="B1947" s="30" t="s">
        <v>5548</v>
      </c>
      <c r="C1947" s="30" t="s">
        <v>1304</v>
      </c>
      <c r="D1947" s="109" t="s">
        <v>7041</v>
      </c>
      <c r="E1947" s="30" t="s">
        <v>4331</v>
      </c>
      <c r="F1947" s="454">
        <f t="shared" si="892"/>
        <v>20.46</v>
      </c>
      <c r="G1947" s="529">
        <v>20.46</v>
      </c>
      <c r="H1947" s="487">
        <f t="shared" si="893"/>
        <v>16.37</v>
      </c>
      <c r="I1947" s="706"/>
      <c r="J1947" s="669" t="s">
        <v>5805</v>
      </c>
      <c r="K1947" s="15"/>
      <c r="L1947"/>
      <c r="M1947" s="49">
        <f t="shared" si="894"/>
        <v>20.46</v>
      </c>
      <c r="N1947" s="41">
        <v>9.4600000000000009</v>
      </c>
      <c r="O1947" s="187"/>
      <c r="P1947" s="184" t="s">
        <v>1017</v>
      </c>
      <c r="Q1947" s="184"/>
      <c r="R1947" s="184"/>
      <c r="S1947" s="184" t="s">
        <v>4180</v>
      </c>
      <c r="T1947" s="178" t="s">
        <v>4180</v>
      </c>
      <c r="U1947" s="185" t="s">
        <v>1017</v>
      </c>
      <c r="V1947" s="184"/>
      <c r="W1947" s="180"/>
      <c r="X1947" s="180"/>
      <c r="Y1947" s="184" t="s">
        <v>1017</v>
      </c>
      <c r="Z1947" s="180"/>
      <c r="AA1947" s="184"/>
      <c r="AB1947" s="184"/>
      <c r="AC1947" s="180"/>
      <c r="AD1947" s="182"/>
      <c r="AE1947" s="181"/>
      <c r="AF1947" s="180"/>
      <c r="AG1947" s="201"/>
      <c r="AH1947" s="212" t="str">
        <f t="shared" si="896"/>
        <v/>
      </c>
      <c r="AI1947" s="214" t="str">
        <f t="shared" si="886"/>
        <v/>
      </c>
      <c r="AJ1947" s="214" t="str">
        <f t="shared" si="887"/>
        <v/>
      </c>
      <c r="AK1947" s="214" t="str">
        <f t="shared" si="888"/>
        <v/>
      </c>
      <c r="AL1947" s="214" t="str">
        <f t="shared" si="889"/>
        <v/>
      </c>
      <c r="AM1947" s="214" t="str">
        <f t="shared" si="890"/>
        <v/>
      </c>
      <c r="AN1947" s="213" t="str">
        <f t="shared" si="873"/>
        <v/>
      </c>
      <c r="AO1947" s="213" t="str">
        <f t="shared" si="874"/>
        <v/>
      </c>
      <c r="AP1947" s="213" t="str">
        <f t="shared" si="875"/>
        <v/>
      </c>
      <c r="AQ1947" s="215" t="str">
        <f t="shared" si="876"/>
        <v/>
      </c>
      <c r="AR1947" s="216" t="str">
        <f t="shared" si="877"/>
        <v>BiK82GKA3y--07</v>
      </c>
      <c r="AS1947" s="215" t="str">
        <f t="shared" si="878"/>
        <v/>
      </c>
      <c r="AT1947">
        <f t="shared" si="879"/>
        <v>14</v>
      </c>
      <c r="AU1947" s="216" t="str">
        <f t="shared" si="880"/>
        <v>0,15-0,5 MW, Bonusregeln G, y und K wenn Anlage 3 erfüllt</v>
      </c>
      <c r="AV1947" s="215" t="str">
        <f t="shared" si="881"/>
        <v/>
      </c>
      <c r="AW1947" s="216" t="str">
        <f t="shared" si="882"/>
        <v>Anteil KWK gemäß Anlage 3</v>
      </c>
      <c r="AX1947" s="215" t="str">
        <f t="shared" si="883"/>
        <v/>
      </c>
      <c r="AY1947" t="str">
        <f t="shared" si="884"/>
        <v/>
      </c>
      <c r="AZ1947" t="str">
        <f t="shared" si="885"/>
        <v/>
      </c>
    </row>
    <row r="1948" spans="1:52" s="178" customFormat="1" x14ac:dyDescent="0.25">
      <c r="A1948" s="610" t="s">
        <v>4826</v>
      </c>
      <c r="B1948" s="30" t="s">
        <v>5548</v>
      </c>
      <c r="C1948" s="30" t="s">
        <v>1304</v>
      </c>
      <c r="D1948" s="30" t="s">
        <v>7042</v>
      </c>
      <c r="E1948" s="30" t="s">
        <v>674</v>
      </c>
      <c r="F1948" s="454">
        <f t="shared" si="892"/>
        <v>20.46</v>
      </c>
      <c r="G1948" s="529">
        <v>20.46</v>
      </c>
      <c r="H1948" s="487">
        <f t="shared" si="893"/>
        <v>16.37</v>
      </c>
      <c r="I1948" s="706"/>
      <c r="J1948" s="669" t="s">
        <v>5805</v>
      </c>
      <c r="K1948" s="15"/>
      <c r="L1948"/>
      <c r="M1948" s="49">
        <f t="shared" si="894"/>
        <v>20.46</v>
      </c>
      <c r="N1948" s="41">
        <v>9.4600000000000009</v>
      </c>
      <c r="O1948" s="187"/>
      <c r="P1948" s="183"/>
      <c r="Q1948" s="184" t="s">
        <v>1017</v>
      </c>
      <c r="R1948" s="184"/>
      <c r="S1948" s="184" t="s">
        <v>4180</v>
      </c>
      <c r="T1948" s="178" t="s">
        <v>4180</v>
      </c>
      <c r="U1948" s="185" t="s">
        <v>1017</v>
      </c>
      <c r="V1948" s="184"/>
      <c r="W1948" s="180"/>
      <c r="X1948" s="180"/>
      <c r="Y1948" s="184" t="s">
        <v>1017</v>
      </c>
      <c r="Z1948" s="180"/>
      <c r="AA1948" s="184"/>
      <c r="AB1948" s="184"/>
      <c r="AC1948" s="180"/>
      <c r="AD1948" s="182"/>
      <c r="AE1948" s="181"/>
      <c r="AF1948" s="180"/>
      <c r="AG1948" s="201"/>
      <c r="AH1948" s="212" t="str">
        <f t="shared" si="896"/>
        <v/>
      </c>
      <c r="AI1948" s="214" t="str">
        <f t="shared" si="886"/>
        <v/>
      </c>
      <c r="AJ1948" s="214" t="str">
        <f t="shared" si="887"/>
        <v/>
      </c>
      <c r="AK1948" s="214" t="str">
        <f t="shared" si="888"/>
        <v/>
      </c>
      <c r="AL1948" s="214" t="str">
        <f t="shared" si="889"/>
        <v/>
      </c>
      <c r="AM1948" s="214" t="str">
        <f t="shared" si="890"/>
        <v/>
      </c>
      <c r="AN1948" s="213" t="str">
        <f t="shared" si="873"/>
        <v/>
      </c>
      <c r="AO1948" s="213" t="str">
        <f t="shared" si="874"/>
        <v/>
      </c>
      <c r="AP1948" s="213" t="str">
        <f t="shared" si="875"/>
        <v/>
      </c>
      <c r="AQ1948" s="215" t="str">
        <f t="shared" si="876"/>
        <v/>
      </c>
      <c r="AR1948" s="216" t="str">
        <f t="shared" si="877"/>
        <v>BiK82GK09y--07</v>
      </c>
      <c r="AS1948" s="215" t="str">
        <f t="shared" si="878"/>
        <v/>
      </c>
      <c r="AT1948">
        <f t="shared" si="879"/>
        <v>14</v>
      </c>
      <c r="AU1948" s="216" t="str">
        <f t="shared" si="880"/>
        <v>0,15-0,5 MW, Bonusregeln G, y und K erstmals 2009</v>
      </c>
      <c r="AV1948" s="215" t="str">
        <f t="shared" si="881"/>
        <v/>
      </c>
      <c r="AW1948" s="216" t="str">
        <f t="shared" si="882"/>
        <v>Anteil KWK, erstmals 2009</v>
      </c>
      <c r="AX1948" s="215" t="str">
        <f t="shared" si="883"/>
        <v/>
      </c>
      <c r="AY1948" t="str">
        <f t="shared" si="884"/>
        <v/>
      </c>
      <c r="AZ1948" t="str">
        <f t="shared" si="885"/>
        <v/>
      </c>
    </row>
    <row r="1949" spans="1:52" s="178" customFormat="1" x14ac:dyDescent="0.25">
      <c r="A1949" s="610" t="s">
        <v>4970</v>
      </c>
      <c r="B1949" s="30" t="s">
        <v>5548</v>
      </c>
      <c r="C1949" s="30" t="s">
        <v>1304</v>
      </c>
      <c r="D1949" s="30" t="s">
        <v>7043</v>
      </c>
      <c r="E1949" s="30" t="s">
        <v>3567</v>
      </c>
      <c r="F1949" s="454">
        <f t="shared" si="892"/>
        <v>20.43</v>
      </c>
      <c r="G1949" s="529">
        <v>20.43</v>
      </c>
      <c r="H1949" s="487">
        <f t="shared" si="893"/>
        <v>16.34</v>
      </c>
      <c r="I1949" s="706"/>
      <c r="J1949" s="669" t="s">
        <v>5805</v>
      </c>
      <c r="K1949" s="15"/>
      <c r="L1949"/>
      <c r="M1949" s="49">
        <f t="shared" si="894"/>
        <v>20.43</v>
      </c>
      <c r="N1949" s="41">
        <v>9.4600000000000009</v>
      </c>
      <c r="O1949" s="187"/>
      <c r="P1949" s="183"/>
      <c r="Q1949" s="184"/>
      <c r="R1949" s="184" t="s">
        <v>1017</v>
      </c>
      <c r="S1949" s="184" t="s">
        <v>4180</v>
      </c>
      <c r="T1949" s="178" t="s">
        <v>4180</v>
      </c>
      <c r="U1949" s="185" t="s">
        <v>1017</v>
      </c>
      <c r="V1949" s="184"/>
      <c r="W1949" s="180"/>
      <c r="X1949" s="180"/>
      <c r="Y1949" s="184" t="s">
        <v>1017</v>
      </c>
      <c r="Z1949" s="180"/>
      <c r="AA1949" s="184"/>
      <c r="AB1949" s="184"/>
      <c r="AC1949" s="180"/>
      <c r="AD1949" s="182"/>
      <c r="AE1949" s="181"/>
      <c r="AF1949" s="180"/>
      <c r="AG1949" s="201"/>
      <c r="AH1949" s="212" t="str">
        <f t="shared" si="896"/>
        <v>2010</v>
      </c>
      <c r="AI1949" s="214" t="str">
        <f t="shared" si="886"/>
        <v/>
      </c>
      <c r="AJ1949" s="214" t="str">
        <f t="shared" si="887"/>
        <v/>
      </c>
      <c r="AK1949" s="214" t="str">
        <f t="shared" si="888"/>
        <v/>
      </c>
      <c r="AL1949" s="214" t="str">
        <f t="shared" si="889"/>
        <v/>
      </c>
      <c r="AM1949" s="214" t="str">
        <f t="shared" si="890"/>
        <v/>
      </c>
      <c r="AN1949" s="213" t="str">
        <f t="shared" si="873"/>
        <v>2010</v>
      </c>
      <c r="AO1949" s="213" t="str">
        <f t="shared" si="874"/>
        <v>2010</v>
      </c>
      <c r="AP1949" s="213" t="str">
        <f t="shared" si="875"/>
        <v>2010</v>
      </c>
      <c r="AQ1949" s="215" t="str">
        <f t="shared" si="876"/>
        <v/>
      </c>
      <c r="AR1949" s="216" t="str">
        <f t="shared" si="877"/>
        <v>BiK82GK10y--07</v>
      </c>
      <c r="AS1949" s="215" t="str">
        <f t="shared" si="878"/>
        <v/>
      </c>
      <c r="AT1949">
        <f t="shared" si="879"/>
        <v>14</v>
      </c>
      <c r="AU1949" s="216" t="str">
        <f t="shared" si="880"/>
        <v>0,15-0,5 MW, Bonusregeln G, y und K erstmals 2010</v>
      </c>
      <c r="AV1949" s="215" t="str">
        <f t="shared" si="881"/>
        <v/>
      </c>
      <c r="AW1949" s="216" t="str">
        <f t="shared" si="882"/>
        <v>Anteil KWK, erstmals 2010</v>
      </c>
      <c r="AX1949" s="215" t="str">
        <f t="shared" si="883"/>
        <v/>
      </c>
      <c r="AY1949" t="str">
        <f t="shared" si="884"/>
        <v/>
      </c>
      <c r="AZ1949" t="str">
        <f t="shared" si="885"/>
        <v/>
      </c>
    </row>
    <row r="1950" spans="1:52" s="178" customFormat="1" x14ac:dyDescent="0.25">
      <c r="A1950" s="610" t="s">
        <v>3407</v>
      </c>
      <c r="B1950" s="30" t="s">
        <v>5548</v>
      </c>
      <c r="C1950" s="30" t="s">
        <v>1304</v>
      </c>
      <c r="D1950" s="30" t="s">
        <v>7044</v>
      </c>
      <c r="E1950" s="30" t="s">
        <v>3055</v>
      </c>
      <c r="F1950" s="454">
        <f t="shared" si="892"/>
        <v>20.399999999999999</v>
      </c>
      <c r="G1950" s="529">
        <v>20.399999999999999</v>
      </c>
      <c r="H1950" s="487">
        <f t="shared" si="893"/>
        <v>16.32</v>
      </c>
      <c r="I1950" s="706"/>
      <c r="J1950" s="669" t="s">
        <v>5805</v>
      </c>
      <c r="K1950" s="15"/>
      <c r="L1950"/>
      <c r="M1950" s="49">
        <f t="shared" si="894"/>
        <v>20.399999999999999</v>
      </c>
      <c r="N1950" s="41">
        <v>9.4600000000000009</v>
      </c>
      <c r="O1950" s="187"/>
      <c r="P1950" s="183"/>
      <c r="Q1950" s="184"/>
      <c r="S1950" s="184" t="s">
        <v>1017</v>
      </c>
      <c r="T1950" s="178" t="s">
        <v>4180</v>
      </c>
      <c r="U1950" s="185" t="s">
        <v>1017</v>
      </c>
      <c r="V1950" s="184"/>
      <c r="W1950" s="180"/>
      <c r="X1950" s="180"/>
      <c r="Y1950" s="184" t="s">
        <v>1017</v>
      </c>
      <c r="Z1950" s="180"/>
      <c r="AA1950" s="184"/>
      <c r="AB1950" s="184"/>
      <c r="AC1950" s="180"/>
      <c r="AD1950" s="182"/>
      <c r="AE1950" s="181"/>
      <c r="AF1950" s="180"/>
      <c r="AG1950" s="201"/>
      <c r="AH1950" s="212" t="str">
        <f t="shared" si="896"/>
        <v>2011</v>
      </c>
      <c r="AI1950" s="214" t="str">
        <f t="shared" si="886"/>
        <v/>
      </c>
      <c r="AJ1950" s="214" t="str">
        <f t="shared" si="887"/>
        <v/>
      </c>
      <c r="AK1950" s="214" t="str">
        <f t="shared" si="888"/>
        <v/>
      </c>
      <c r="AL1950" s="214" t="str">
        <f t="shared" si="889"/>
        <v/>
      </c>
      <c r="AM1950" s="214" t="str">
        <f t="shared" si="890"/>
        <v/>
      </c>
      <c r="AN1950" s="213" t="str">
        <f t="shared" si="873"/>
        <v>2011</v>
      </c>
      <c r="AO1950" s="213" t="str">
        <f t="shared" si="874"/>
        <v>2011</v>
      </c>
      <c r="AP1950" s="213" t="str">
        <f t="shared" si="875"/>
        <v>2011</v>
      </c>
      <c r="AQ1950" s="215" t="str">
        <f t="shared" si="876"/>
        <v/>
      </c>
      <c r="AR1950" s="216" t="str">
        <f t="shared" si="877"/>
        <v>BiK82GK11y--07</v>
      </c>
      <c r="AS1950" s="215" t="str">
        <f t="shared" si="878"/>
        <v/>
      </c>
      <c r="AT1950">
        <f t="shared" si="879"/>
        <v>14</v>
      </c>
      <c r="AU1950" s="216" t="str">
        <f t="shared" si="880"/>
        <v>0,15-0,5 MW, Bonusregeln G, y und K erstmals 2011</v>
      </c>
      <c r="AV1950" s="215" t="str">
        <f t="shared" si="881"/>
        <v/>
      </c>
      <c r="AW1950" s="216" t="str">
        <f t="shared" si="882"/>
        <v>Anteil KWK, erstmals 2011</v>
      </c>
      <c r="AX1950" s="215" t="str">
        <f t="shared" si="883"/>
        <v/>
      </c>
      <c r="AY1950" t="str">
        <f t="shared" si="884"/>
        <v>x</v>
      </c>
      <c r="AZ1950" t="str">
        <f t="shared" si="885"/>
        <v/>
      </c>
    </row>
    <row r="1951" spans="1:52" s="178" customFormat="1" x14ac:dyDescent="0.25">
      <c r="A1951" s="625" t="s">
        <v>1839</v>
      </c>
      <c r="B1951" s="219" t="s">
        <v>5548</v>
      </c>
      <c r="C1951" s="219" t="s">
        <v>1304</v>
      </c>
      <c r="D1951" s="219" t="s">
        <v>7045</v>
      </c>
      <c r="E1951" s="219" t="s">
        <v>1980</v>
      </c>
      <c r="F1951" s="455">
        <f t="shared" si="892"/>
        <v>20.37</v>
      </c>
      <c r="G1951" s="530">
        <v>20.37</v>
      </c>
      <c r="H1951" s="488">
        <f t="shared" si="893"/>
        <v>16.3</v>
      </c>
      <c r="I1951" s="707"/>
      <c r="J1951" s="669" t="s">
        <v>5805</v>
      </c>
      <c r="K1951" s="15"/>
      <c r="L1951"/>
      <c r="M1951" s="49">
        <f t="shared" si="894"/>
        <v>20.37</v>
      </c>
      <c r="N1951" s="41">
        <v>9.4600000000000009</v>
      </c>
      <c r="O1951" s="187"/>
      <c r="P1951" s="183"/>
      <c r="Q1951" s="184"/>
      <c r="S1951" s="184" t="s">
        <v>4180</v>
      </c>
      <c r="T1951" s="178" t="s">
        <v>1017</v>
      </c>
      <c r="U1951" s="185" t="s">
        <v>1017</v>
      </c>
      <c r="V1951" s="184"/>
      <c r="W1951" s="180"/>
      <c r="X1951" s="180"/>
      <c r="Y1951" s="184" t="s">
        <v>1017</v>
      </c>
      <c r="Z1951" s="180"/>
      <c r="AA1951" s="184"/>
      <c r="AB1951" s="184"/>
      <c r="AC1951" s="180"/>
      <c r="AD1951" s="182"/>
      <c r="AE1951" s="181"/>
      <c r="AF1951" s="180"/>
      <c r="AG1951" s="201"/>
      <c r="AH1951" s="217" t="s">
        <v>4179</v>
      </c>
      <c r="AI1951" s="214" t="str">
        <f t="shared" si="886"/>
        <v/>
      </c>
      <c r="AJ1951" s="214" t="str">
        <f t="shared" si="887"/>
        <v/>
      </c>
      <c r="AK1951" s="214" t="str">
        <f t="shared" si="888"/>
        <v/>
      </c>
      <c r="AL1951" s="214" t="str">
        <f t="shared" si="889"/>
        <v/>
      </c>
      <c r="AM1951" s="214" t="str">
        <f t="shared" si="890"/>
        <v/>
      </c>
      <c r="AN1951" s="213" t="str">
        <f t="shared" si="873"/>
        <v>2012</v>
      </c>
      <c r="AO1951" s="213" t="str">
        <f t="shared" si="874"/>
        <v>2012</v>
      </c>
      <c r="AP1951" s="213" t="str">
        <f t="shared" si="875"/>
        <v>2012</v>
      </c>
      <c r="AQ1951" s="215" t="str">
        <f t="shared" si="876"/>
        <v/>
      </c>
      <c r="AR1951" s="216" t="str">
        <f t="shared" si="877"/>
        <v>BiK82GK12y--07</v>
      </c>
      <c r="AS1951" s="215" t="str">
        <f t="shared" si="878"/>
        <v/>
      </c>
      <c r="AT1951">
        <f t="shared" si="879"/>
        <v>14</v>
      </c>
      <c r="AU1951" s="216" t="str">
        <f t="shared" si="880"/>
        <v>0,15-0,5 MW, Bonusregeln G, y und K erstmals 2012</v>
      </c>
      <c r="AV1951" s="215" t="str">
        <f t="shared" si="881"/>
        <v/>
      </c>
      <c r="AW1951" s="216" t="str">
        <f t="shared" si="882"/>
        <v>Anteil KWK, erstmals 2012</v>
      </c>
      <c r="AX1951" s="215" t="str">
        <f t="shared" si="883"/>
        <v/>
      </c>
      <c r="AY1951" t="str">
        <f t="shared" si="884"/>
        <v/>
      </c>
      <c r="AZ1951" t="str">
        <f t="shared" si="885"/>
        <v>x</v>
      </c>
    </row>
    <row r="1952" spans="1:52" s="178" customFormat="1" x14ac:dyDescent="0.25">
      <c r="A1952" s="610" t="s">
        <v>4827</v>
      </c>
      <c r="B1952" s="30" t="s">
        <v>5548</v>
      </c>
      <c r="C1952" s="30" t="s">
        <v>1304</v>
      </c>
      <c r="D1952" s="30" t="s">
        <v>7046</v>
      </c>
      <c r="E1952" s="30" t="s">
        <v>4810</v>
      </c>
      <c r="F1952" s="454">
        <f t="shared" si="892"/>
        <v>17.46</v>
      </c>
      <c r="G1952" s="529">
        <v>17.46</v>
      </c>
      <c r="H1952" s="487">
        <f t="shared" si="893"/>
        <v>13.97</v>
      </c>
      <c r="I1952" s="706"/>
      <c r="J1952" s="669" t="s">
        <v>5805</v>
      </c>
      <c r="K1952" s="15"/>
      <c r="L1952"/>
      <c r="M1952" s="49">
        <f t="shared" si="894"/>
        <v>17.46</v>
      </c>
      <c r="N1952" s="41">
        <v>9.4600000000000009</v>
      </c>
      <c r="O1952" s="186"/>
      <c r="P1952" s="177"/>
      <c r="S1952" s="178" t="s">
        <v>4180</v>
      </c>
      <c r="T1952" s="178" t="s">
        <v>4180</v>
      </c>
      <c r="U1952" s="179"/>
      <c r="W1952" s="180"/>
      <c r="X1952" s="180"/>
      <c r="Z1952" s="180"/>
      <c r="AA1952" s="178" t="s">
        <v>1017</v>
      </c>
      <c r="AC1952" s="180"/>
      <c r="AD1952" s="182"/>
      <c r="AE1952" s="200"/>
      <c r="AF1952" s="180"/>
      <c r="AG1952" s="201"/>
      <c r="AH1952" s="212" t="str">
        <f t="shared" ref="AH1952:AH1957" si="897">IF(ISERROR(SEARCH("K erstmals 201",D1952)),"",RIGHT(D1952,4))</f>
        <v/>
      </c>
      <c r="AI1952" s="214" t="str">
        <f t="shared" si="886"/>
        <v/>
      </c>
      <c r="AJ1952" s="214" t="str">
        <f t="shared" si="887"/>
        <v/>
      </c>
      <c r="AK1952" s="214" t="str">
        <f t="shared" si="888"/>
        <v/>
      </c>
      <c r="AL1952" s="214" t="str">
        <f t="shared" si="889"/>
        <v/>
      </c>
      <c r="AM1952" s="214" t="str">
        <f t="shared" si="890"/>
        <v/>
      </c>
      <c r="AN1952" s="213" t="str">
        <f t="shared" si="873"/>
        <v/>
      </c>
      <c r="AO1952" s="213" t="str">
        <f t="shared" si="874"/>
        <v/>
      </c>
      <c r="AP1952" s="213" t="str">
        <f t="shared" si="875"/>
        <v/>
      </c>
      <c r="AQ1952" s="215" t="str">
        <f t="shared" si="876"/>
        <v/>
      </c>
      <c r="AR1952" s="216" t="str">
        <f t="shared" si="877"/>
        <v>BiK82M2-----07</v>
      </c>
      <c r="AS1952" s="215" t="str">
        <f t="shared" si="878"/>
        <v/>
      </c>
      <c r="AT1952">
        <f t="shared" si="879"/>
        <v>14</v>
      </c>
      <c r="AU1952" s="216" t="str">
        <f t="shared" si="880"/>
        <v>0,15-0,5 MW, Bonusregel M2</v>
      </c>
      <c r="AV1952" s="215" t="str">
        <f t="shared" si="881"/>
        <v/>
      </c>
      <c r="AW1952" s="216" t="str">
        <f t="shared" si="882"/>
        <v>Anteil Nicht-KWK</v>
      </c>
      <c r="AX1952" s="215" t="str">
        <f t="shared" si="883"/>
        <v/>
      </c>
      <c r="AY1952" t="str">
        <f t="shared" si="884"/>
        <v/>
      </c>
      <c r="AZ1952" t="str">
        <f t="shared" si="885"/>
        <v/>
      </c>
    </row>
    <row r="1953" spans="1:52" s="178" customFormat="1" x14ac:dyDescent="0.25">
      <c r="A1953" s="610" t="s">
        <v>4828</v>
      </c>
      <c r="B1953" s="30" t="s">
        <v>5548</v>
      </c>
      <c r="C1953" s="30" t="s">
        <v>1304</v>
      </c>
      <c r="D1953" s="30" t="s">
        <v>7120</v>
      </c>
      <c r="E1953" s="30" t="s">
        <v>4812</v>
      </c>
      <c r="F1953" s="454">
        <f t="shared" si="892"/>
        <v>19.46</v>
      </c>
      <c r="G1953" s="529">
        <v>19.46</v>
      </c>
      <c r="H1953" s="487">
        <f t="shared" si="893"/>
        <v>15.57</v>
      </c>
      <c r="I1953" s="706"/>
      <c r="J1953" s="669" t="s">
        <v>5805</v>
      </c>
      <c r="K1953" s="15"/>
      <c r="L1953"/>
      <c r="M1953" s="49">
        <f t="shared" si="894"/>
        <v>19.46</v>
      </c>
      <c r="N1953" s="41">
        <v>9.4600000000000009</v>
      </c>
      <c r="O1953" s="186" t="s">
        <v>1017</v>
      </c>
      <c r="P1953" s="177"/>
      <c r="S1953" s="178" t="s">
        <v>4180</v>
      </c>
      <c r="T1953" s="178" t="s">
        <v>4180</v>
      </c>
      <c r="U1953" s="179"/>
      <c r="W1953" s="180"/>
      <c r="X1953" s="180"/>
      <c r="Z1953" s="180"/>
      <c r="AA1953" s="178" t="s">
        <v>1017</v>
      </c>
      <c r="AC1953" s="180"/>
      <c r="AD1953" s="182"/>
      <c r="AE1953" s="200"/>
      <c r="AF1953" s="180"/>
      <c r="AG1953" s="201"/>
      <c r="AH1953" s="212" t="str">
        <f t="shared" si="897"/>
        <v/>
      </c>
      <c r="AI1953" s="214" t="str">
        <f t="shared" si="886"/>
        <v/>
      </c>
      <c r="AJ1953" s="214" t="str">
        <f t="shared" si="887"/>
        <v/>
      </c>
      <c r="AK1953" s="214" t="str">
        <f t="shared" si="888"/>
        <v/>
      </c>
      <c r="AL1953" s="214" t="str">
        <f t="shared" si="889"/>
        <v/>
      </c>
      <c r="AM1953" s="214" t="str">
        <f t="shared" si="890"/>
        <v/>
      </c>
      <c r="AN1953" s="213" t="str">
        <f t="shared" si="873"/>
        <v/>
      </c>
      <c r="AO1953" s="213" t="str">
        <f t="shared" si="874"/>
        <v/>
      </c>
      <c r="AP1953" s="213" t="str">
        <f t="shared" si="875"/>
        <v/>
      </c>
      <c r="AQ1953" s="215" t="str">
        <f t="shared" si="876"/>
        <v/>
      </c>
      <c r="AR1953" s="216" t="str">
        <f t="shared" si="877"/>
        <v>BiK82M2KWK--07</v>
      </c>
      <c r="AS1953" s="215" t="str">
        <f t="shared" si="878"/>
        <v/>
      </c>
      <c r="AT1953">
        <f t="shared" si="879"/>
        <v>14</v>
      </c>
      <c r="AU1953" s="216" t="str">
        <f t="shared" si="880"/>
        <v>0,15-0,5 MW, Bonusregeln M2 und KWK</v>
      </c>
      <c r="AV1953" s="215" t="str">
        <f t="shared" si="881"/>
        <v/>
      </c>
      <c r="AW1953" s="216" t="str">
        <f t="shared" si="882"/>
        <v>Anteil KWK</v>
      </c>
      <c r="AX1953" s="215" t="str">
        <f t="shared" si="883"/>
        <v/>
      </c>
      <c r="AY1953" t="str">
        <f t="shared" si="884"/>
        <v/>
      </c>
      <c r="AZ1953" t="str">
        <f t="shared" si="885"/>
        <v/>
      </c>
    </row>
    <row r="1954" spans="1:52" s="178" customFormat="1" x14ac:dyDescent="0.25">
      <c r="A1954" s="610" t="s">
        <v>4829</v>
      </c>
      <c r="B1954" s="30" t="s">
        <v>5548</v>
      </c>
      <c r="C1954" s="30" t="s">
        <v>1304</v>
      </c>
      <c r="D1954" s="30" t="s">
        <v>7047</v>
      </c>
      <c r="E1954" s="30" t="s">
        <v>4331</v>
      </c>
      <c r="F1954" s="454">
        <f t="shared" si="892"/>
        <v>20.46</v>
      </c>
      <c r="G1954" s="529">
        <v>20.46</v>
      </c>
      <c r="H1954" s="487">
        <f t="shared" si="893"/>
        <v>16.37</v>
      </c>
      <c r="I1954" s="706"/>
      <c r="J1954" s="669" t="s">
        <v>5805</v>
      </c>
      <c r="K1954" s="15"/>
      <c r="L1954"/>
      <c r="M1954" s="49">
        <f t="shared" si="894"/>
        <v>20.46</v>
      </c>
      <c r="N1954" s="41">
        <v>9.4600000000000009</v>
      </c>
      <c r="O1954" s="186"/>
      <c r="P1954" s="178" t="s">
        <v>1017</v>
      </c>
      <c r="S1954" s="178" t="s">
        <v>4180</v>
      </c>
      <c r="T1954" s="178" t="s">
        <v>4180</v>
      </c>
      <c r="U1954" s="179"/>
      <c r="W1954" s="180"/>
      <c r="X1954" s="180"/>
      <c r="Z1954" s="180"/>
      <c r="AA1954" s="178" t="s">
        <v>1017</v>
      </c>
      <c r="AC1954" s="180"/>
      <c r="AD1954" s="182"/>
      <c r="AE1954" s="200"/>
      <c r="AF1954" s="180"/>
      <c r="AG1954" s="201"/>
      <c r="AH1954" s="212" t="str">
        <f t="shared" si="897"/>
        <v/>
      </c>
      <c r="AI1954" s="214" t="str">
        <f t="shared" si="886"/>
        <v/>
      </c>
      <c r="AJ1954" s="214" t="str">
        <f t="shared" si="887"/>
        <v/>
      </c>
      <c r="AK1954" s="214" t="str">
        <f t="shared" si="888"/>
        <v/>
      </c>
      <c r="AL1954" s="214" t="str">
        <f t="shared" si="889"/>
        <v/>
      </c>
      <c r="AM1954" s="214" t="str">
        <f t="shared" si="890"/>
        <v/>
      </c>
      <c r="AN1954" s="213" t="str">
        <f t="shared" si="873"/>
        <v/>
      </c>
      <c r="AO1954" s="213" t="str">
        <f t="shared" si="874"/>
        <v/>
      </c>
      <c r="AP1954" s="213" t="str">
        <f t="shared" si="875"/>
        <v/>
      </c>
      <c r="AQ1954" s="215" t="str">
        <f t="shared" si="876"/>
        <v/>
      </c>
      <c r="AR1954" s="216" t="str">
        <f t="shared" si="877"/>
        <v>BiK82M2KA3--07</v>
      </c>
      <c r="AS1954" s="215" t="str">
        <f t="shared" si="878"/>
        <v/>
      </c>
      <c r="AT1954">
        <f t="shared" si="879"/>
        <v>14</v>
      </c>
      <c r="AU1954" s="216" t="str">
        <f t="shared" si="880"/>
        <v>0,15-0,5 MW, Bonusregeln M2 und K wenn Anlage 3 erfüllt</v>
      </c>
      <c r="AV1954" s="215" t="str">
        <f t="shared" si="881"/>
        <v/>
      </c>
      <c r="AW1954" s="216" t="str">
        <f t="shared" si="882"/>
        <v>Anteil KWK gemäß Anlage 3</v>
      </c>
      <c r="AX1954" s="215" t="str">
        <f t="shared" si="883"/>
        <v/>
      </c>
      <c r="AY1954" t="str">
        <f t="shared" si="884"/>
        <v/>
      </c>
      <c r="AZ1954" t="str">
        <f t="shared" si="885"/>
        <v/>
      </c>
    </row>
    <row r="1955" spans="1:52" s="178" customFormat="1" x14ac:dyDescent="0.25">
      <c r="A1955" s="610" t="s">
        <v>4830</v>
      </c>
      <c r="B1955" s="30" t="s">
        <v>5548</v>
      </c>
      <c r="C1955" s="30" t="s">
        <v>1304</v>
      </c>
      <c r="D1955" s="30" t="s">
        <v>7121</v>
      </c>
      <c r="E1955" s="30" t="s">
        <v>674</v>
      </c>
      <c r="F1955" s="454">
        <f t="shared" si="892"/>
        <v>20.46</v>
      </c>
      <c r="G1955" s="529">
        <v>20.46</v>
      </c>
      <c r="H1955" s="487">
        <f t="shared" si="893"/>
        <v>16.37</v>
      </c>
      <c r="I1955" s="706"/>
      <c r="J1955" s="669" t="s">
        <v>5805</v>
      </c>
      <c r="K1955" s="15"/>
      <c r="L1955"/>
      <c r="M1955" s="49">
        <f t="shared" si="894"/>
        <v>20.46</v>
      </c>
      <c r="N1955" s="41">
        <v>9.4600000000000009</v>
      </c>
      <c r="O1955" s="186"/>
      <c r="P1955" s="177"/>
      <c r="Q1955" s="178" t="s">
        <v>1017</v>
      </c>
      <c r="S1955" s="178" t="s">
        <v>4180</v>
      </c>
      <c r="T1955" s="178" t="s">
        <v>4180</v>
      </c>
      <c r="U1955" s="179"/>
      <c r="W1955" s="180"/>
      <c r="X1955" s="180"/>
      <c r="Z1955" s="180"/>
      <c r="AA1955" s="178" t="s">
        <v>1017</v>
      </c>
      <c r="AC1955" s="180"/>
      <c r="AD1955" s="182"/>
      <c r="AE1955" s="200"/>
      <c r="AF1955" s="180"/>
      <c r="AG1955" s="201"/>
      <c r="AH1955" s="212" t="str">
        <f t="shared" si="897"/>
        <v/>
      </c>
      <c r="AI1955" s="214" t="str">
        <f t="shared" si="886"/>
        <v/>
      </c>
      <c r="AJ1955" s="214" t="str">
        <f t="shared" si="887"/>
        <v/>
      </c>
      <c r="AK1955" s="214" t="str">
        <f t="shared" si="888"/>
        <v/>
      </c>
      <c r="AL1955" s="214" t="str">
        <f t="shared" si="889"/>
        <v/>
      </c>
      <c r="AM1955" s="214" t="str">
        <f t="shared" si="890"/>
        <v/>
      </c>
      <c r="AN1955" s="213" t="str">
        <f t="shared" si="873"/>
        <v/>
      </c>
      <c r="AO1955" s="213" t="str">
        <f t="shared" si="874"/>
        <v/>
      </c>
      <c r="AP1955" s="213" t="str">
        <f t="shared" si="875"/>
        <v/>
      </c>
      <c r="AQ1955" s="215" t="str">
        <f t="shared" si="876"/>
        <v/>
      </c>
      <c r="AR1955" s="216" t="str">
        <f t="shared" si="877"/>
        <v>BiK82M2K09--07</v>
      </c>
      <c r="AS1955" s="215" t="str">
        <f t="shared" si="878"/>
        <v/>
      </c>
      <c r="AT1955">
        <f t="shared" si="879"/>
        <v>14</v>
      </c>
      <c r="AU1955" s="216" t="str">
        <f t="shared" si="880"/>
        <v>0,15-0,5 MW, Bonusregeln M2, K erstmals 2009</v>
      </c>
      <c r="AV1955" s="215" t="str">
        <f t="shared" si="881"/>
        <v/>
      </c>
      <c r="AW1955" s="216" t="str">
        <f t="shared" si="882"/>
        <v>Anteil KWK, erstmals 2009</v>
      </c>
      <c r="AX1955" s="215" t="str">
        <f t="shared" si="883"/>
        <v/>
      </c>
      <c r="AY1955" t="str">
        <f t="shared" si="884"/>
        <v/>
      </c>
      <c r="AZ1955" t="str">
        <f t="shared" si="885"/>
        <v/>
      </c>
    </row>
    <row r="1956" spans="1:52" s="178" customFormat="1" x14ac:dyDescent="0.25">
      <c r="A1956" s="610" t="s">
        <v>4971</v>
      </c>
      <c r="B1956" s="30" t="s">
        <v>5548</v>
      </c>
      <c r="C1956" s="30" t="s">
        <v>1304</v>
      </c>
      <c r="D1956" s="30" t="s">
        <v>7122</v>
      </c>
      <c r="E1956" s="30" t="s">
        <v>3567</v>
      </c>
      <c r="F1956" s="454">
        <f t="shared" si="892"/>
        <v>20.43</v>
      </c>
      <c r="G1956" s="529">
        <v>20.43</v>
      </c>
      <c r="H1956" s="487">
        <f t="shared" si="893"/>
        <v>16.34</v>
      </c>
      <c r="I1956" s="706"/>
      <c r="J1956" s="669" t="s">
        <v>5805</v>
      </c>
      <c r="K1956" s="15"/>
      <c r="L1956"/>
      <c r="M1956" s="49">
        <f t="shared" si="894"/>
        <v>20.43</v>
      </c>
      <c r="N1956" s="41">
        <v>9.4600000000000009</v>
      </c>
      <c r="O1956" s="186"/>
      <c r="P1956" s="177"/>
      <c r="R1956" s="178" t="s">
        <v>1017</v>
      </c>
      <c r="S1956" s="178" t="s">
        <v>4180</v>
      </c>
      <c r="T1956" s="178" t="s">
        <v>4180</v>
      </c>
      <c r="U1956" s="179"/>
      <c r="W1956" s="180"/>
      <c r="X1956" s="180"/>
      <c r="Z1956" s="180"/>
      <c r="AA1956" s="178" t="s">
        <v>1017</v>
      </c>
      <c r="AC1956" s="180"/>
      <c r="AD1956" s="182"/>
      <c r="AE1956" s="200"/>
      <c r="AF1956" s="180"/>
      <c r="AG1956" s="201"/>
      <c r="AH1956" s="212" t="str">
        <f t="shared" si="897"/>
        <v>2010</v>
      </c>
      <c r="AI1956" s="214" t="str">
        <f t="shared" si="886"/>
        <v/>
      </c>
      <c r="AJ1956" s="214" t="str">
        <f t="shared" si="887"/>
        <v/>
      </c>
      <c r="AK1956" s="214" t="str">
        <f t="shared" si="888"/>
        <v/>
      </c>
      <c r="AL1956" s="214" t="str">
        <f t="shared" si="889"/>
        <v/>
      </c>
      <c r="AM1956" s="214" t="str">
        <f t="shared" si="890"/>
        <v/>
      </c>
      <c r="AN1956" s="213" t="str">
        <f t="shared" si="873"/>
        <v>2010</v>
      </c>
      <c r="AO1956" s="213" t="str">
        <f t="shared" si="874"/>
        <v>2010</v>
      </c>
      <c r="AP1956" s="213" t="str">
        <f t="shared" si="875"/>
        <v>2010</v>
      </c>
      <c r="AQ1956" s="215" t="str">
        <f t="shared" si="876"/>
        <v/>
      </c>
      <c r="AR1956" s="216" t="str">
        <f t="shared" si="877"/>
        <v>BiK82M2K10--07</v>
      </c>
      <c r="AS1956" s="215" t="str">
        <f t="shared" si="878"/>
        <v/>
      </c>
      <c r="AT1956">
        <f t="shared" si="879"/>
        <v>14</v>
      </c>
      <c r="AU1956" s="216" t="str">
        <f t="shared" si="880"/>
        <v>0,15-0,5 MW, Bonusregeln M2, K erstmals 2010</v>
      </c>
      <c r="AV1956" s="215" t="str">
        <f t="shared" si="881"/>
        <v/>
      </c>
      <c r="AW1956" s="216" t="str">
        <f t="shared" si="882"/>
        <v>Anteil KWK, erstmals 2010</v>
      </c>
      <c r="AX1956" s="215" t="str">
        <f t="shared" si="883"/>
        <v/>
      </c>
      <c r="AY1956" t="str">
        <f t="shared" si="884"/>
        <v/>
      </c>
      <c r="AZ1956" t="str">
        <f t="shared" si="885"/>
        <v/>
      </c>
    </row>
    <row r="1957" spans="1:52" s="178" customFormat="1" x14ac:dyDescent="0.25">
      <c r="A1957" s="610" t="s">
        <v>3408</v>
      </c>
      <c r="B1957" s="30" t="s">
        <v>5548</v>
      </c>
      <c r="C1957" s="30" t="s">
        <v>1304</v>
      </c>
      <c r="D1957" s="30" t="s">
        <v>7123</v>
      </c>
      <c r="E1957" s="30" t="s">
        <v>3055</v>
      </c>
      <c r="F1957" s="454">
        <f t="shared" si="892"/>
        <v>20.399999999999999</v>
      </c>
      <c r="G1957" s="529">
        <v>20.399999999999999</v>
      </c>
      <c r="H1957" s="487">
        <f t="shared" si="893"/>
        <v>16.32</v>
      </c>
      <c r="I1957" s="706"/>
      <c r="J1957" s="669" t="s">
        <v>5805</v>
      </c>
      <c r="K1957" s="15"/>
      <c r="L1957"/>
      <c r="M1957" s="49">
        <f t="shared" si="894"/>
        <v>20.399999999999999</v>
      </c>
      <c r="N1957" s="41">
        <v>9.4600000000000009</v>
      </c>
      <c r="O1957" s="186"/>
      <c r="P1957" s="177"/>
      <c r="S1957" s="178" t="s">
        <v>1017</v>
      </c>
      <c r="T1957" s="178" t="s">
        <v>4180</v>
      </c>
      <c r="U1957" s="179"/>
      <c r="W1957" s="180"/>
      <c r="X1957" s="180"/>
      <c r="Z1957" s="180"/>
      <c r="AA1957" s="178" t="s">
        <v>1017</v>
      </c>
      <c r="AC1957" s="180"/>
      <c r="AD1957" s="182"/>
      <c r="AE1957" s="200"/>
      <c r="AF1957" s="180"/>
      <c r="AG1957" s="201"/>
      <c r="AH1957" s="212" t="str">
        <f t="shared" si="897"/>
        <v>2011</v>
      </c>
      <c r="AI1957" s="214" t="str">
        <f t="shared" si="886"/>
        <v/>
      </c>
      <c r="AJ1957" s="214" t="str">
        <f t="shared" si="887"/>
        <v/>
      </c>
      <c r="AK1957" s="214" t="str">
        <f t="shared" si="888"/>
        <v/>
      </c>
      <c r="AL1957" s="214" t="str">
        <f t="shared" si="889"/>
        <v/>
      </c>
      <c r="AM1957" s="214" t="str">
        <f t="shared" si="890"/>
        <v/>
      </c>
      <c r="AN1957" s="213" t="str">
        <f t="shared" si="873"/>
        <v>2011</v>
      </c>
      <c r="AO1957" s="213" t="str">
        <f t="shared" si="874"/>
        <v>2011</v>
      </c>
      <c r="AP1957" s="213" t="str">
        <f t="shared" si="875"/>
        <v>2011</v>
      </c>
      <c r="AQ1957" s="215" t="str">
        <f t="shared" si="876"/>
        <v/>
      </c>
      <c r="AR1957" s="216" t="str">
        <f t="shared" si="877"/>
        <v>BiK82M2K11--07</v>
      </c>
      <c r="AS1957" s="215" t="str">
        <f t="shared" si="878"/>
        <v/>
      </c>
      <c r="AT1957">
        <f t="shared" si="879"/>
        <v>14</v>
      </c>
      <c r="AU1957" s="216" t="str">
        <f t="shared" si="880"/>
        <v>0,15-0,5 MW, Bonusregeln M2, K erstmals 2011</v>
      </c>
      <c r="AV1957" s="215" t="str">
        <f t="shared" si="881"/>
        <v/>
      </c>
      <c r="AW1957" s="216" t="str">
        <f t="shared" si="882"/>
        <v>Anteil KWK, erstmals 2011</v>
      </c>
      <c r="AX1957" s="215" t="str">
        <f t="shared" si="883"/>
        <v/>
      </c>
      <c r="AY1957" t="str">
        <f t="shared" si="884"/>
        <v>x</v>
      </c>
      <c r="AZ1957" t="str">
        <f t="shared" si="885"/>
        <v/>
      </c>
    </row>
    <row r="1958" spans="1:52" s="178" customFormat="1" x14ac:dyDescent="0.25">
      <c r="A1958" s="625" t="s">
        <v>1840</v>
      </c>
      <c r="B1958" s="219" t="s">
        <v>5548</v>
      </c>
      <c r="C1958" s="219" t="s">
        <v>1304</v>
      </c>
      <c r="D1958" s="219" t="s">
        <v>7124</v>
      </c>
      <c r="E1958" s="219" t="s">
        <v>1980</v>
      </c>
      <c r="F1958" s="455">
        <f t="shared" si="892"/>
        <v>20.37</v>
      </c>
      <c r="G1958" s="530">
        <v>20.37</v>
      </c>
      <c r="H1958" s="488">
        <f t="shared" si="893"/>
        <v>16.3</v>
      </c>
      <c r="I1958" s="707"/>
      <c r="J1958" s="669" t="s">
        <v>5805</v>
      </c>
      <c r="K1958" s="15"/>
      <c r="L1958"/>
      <c r="M1958" s="49">
        <f t="shared" si="894"/>
        <v>20.37</v>
      </c>
      <c r="N1958" s="41">
        <v>9.4600000000000009</v>
      </c>
      <c r="O1958" s="186"/>
      <c r="P1958" s="177"/>
      <c r="S1958" s="178" t="s">
        <v>4180</v>
      </c>
      <c r="T1958" s="178" t="s">
        <v>1017</v>
      </c>
      <c r="U1958" s="179"/>
      <c r="W1958" s="180"/>
      <c r="X1958" s="180"/>
      <c r="Z1958" s="180"/>
      <c r="AA1958" s="178" t="s">
        <v>1017</v>
      </c>
      <c r="AC1958" s="180"/>
      <c r="AD1958" s="182"/>
      <c r="AE1958" s="200"/>
      <c r="AF1958" s="180"/>
      <c r="AG1958" s="201"/>
      <c r="AH1958" s="217" t="s">
        <v>4179</v>
      </c>
      <c r="AI1958" s="214" t="str">
        <f t="shared" si="886"/>
        <v/>
      </c>
      <c r="AJ1958" s="214" t="str">
        <f t="shared" si="887"/>
        <v/>
      </c>
      <c r="AK1958" s="214" t="str">
        <f t="shared" si="888"/>
        <v/>
      </c>
      <c r="AL1958" s="214" t="str">
        <f t="shared" si="889"/>
        <v/>
      </c>
      <c r="AM1958" s="214" t="str">
        <f t="shared" si="890"/>
        <v/>
      </c>
      <c r="AN1958" s="213" t="str">
        <f t="shared" si="873"/>
        <v>2012</v>
      </c>
      <c r="AO1958" s="213" t="str">
        <f t="shared" si="874"/>
        <v>2012</v>
      </c>
      <c r="AP1958" s="213" t="str">
        <f t="shared" si="875"/>
        <v>2012</v>
      </c>
      <c r="AQ1958" s="215" t="str">
        <f t="shared" si="876"/>
        <v/>
      </c>
      <c r="AR1958" s="216" t="str">
        <f t="shared" si="877"/>
        <v>BiK82M2K12--07</v>
      </c>
      <c r="AS1958" s="215" t="str">
        <f t="shared" si="878"/>
        <v/>
      </c>
      <c r="AT1958">
        <f t="shared" si="879"/>
        <v>14</v>
      </c>
      <c r="AU1958" s="216" t="str">
        <f t="shared" si="880"/>
        <v>0,15-0,5 MW, Bonusregeln M2, K erstmals 2012</v>
      </c>
      <c r="AV1958" s="215" t="str">
        <f t="shared" si="881"/>
        <v/>
      </c>
      <c r="AW1958" s="216" t="str">
        <f t="shared" si="882"/>
        <v>Anteil KWK, erstmals 2012</v>
      </c>
      <c r="AX1958" s="215" t="str">
        <f t="shared" si="883"/>
        <v/>
      </c>
      <c r="AY1958" t="str">
        <f t="shared" si="884"/>
        <v/>
      </c>
      <c r="AZ1958" t="str">
        <f t="shared" si="885"/>
        <v>x</v>
      </c>
    </row>
    <row r="1959" spans="1:52" s="178" customFormat="1" x14ac:dyDescent="0.25">
      <c r="A1959" s="610" t="s">
        <v>4831</v>
      </c>
      <c r="B1959" s="30" t="s">
        <v>5548</v>
      </c>
      <c r="C1959" s="30" t="s">
        <v>1304</v>
      </c>
      <c r="D1959" s="30" t="s">
        <v>7052</v>
      </c>
      <c r="E1959" s="30" t="s">
        <v>4810</v>
      </c>
      <c r="F1959" s="454">
        <f t="shared" si="892"/>
        <v>18.46</v>
      </c>
      <c r="G1959" s="529">
        <v>18.46</v>
      </c>
      <c r="H1959" s="487">
        <f t="shared" si="893"/>
        <v>14.77</v>
      </c>
      <c r="I1959" s="706"/>
      <c r="J1959" s="669" t="s">
        <v>5805</v>
      </c>
      <c r="K1959" s="15"/>
      <c r="L1959"/>
      <c r="M1959" s="49">
        <f t="shared" si="894"/>
        <v>18.46</v>
      </c>
      <c r="N1959" s="41">
        <v>9.4600000000000009</v>
      </c>
      <c r="O1959" s="187"/>
      <c r="P1959" s="183"/>
      <c r="Q1959" s="184"/>
      <c r="R1959" s="184"/>
      <c r="S1959" s="184" t="s">
        <v>4180</v>
      </c>
      <c r="T1959" s="178" t="s">
        <v>4180</v>
      </c>
      <c r="U1959" s="185" t="s">
        <v>1017</v>
      </c>
      <c r="V1959" s="184"/>
      <c r="W1959" s="180"/>
      <c r="X1959" s="180"/>
      <c r="Z1959" s="180"/>
      <c r="AA1959" s="184" t="s">
        <v>1017</v>
      </c>
      <c r="AB1959" s="184"/>
      <c r="AC1959" s="180"/>
      <c r="AD1959" s="182"/>
      <c r="AE1959" s="181"/>
      <c r="AF1959" s="180"/>
      <c r="AG1959" s="201"/>
      <c r="AH1959" s="212" t="str">
        <f t="shared" ref="AH1959:AH1964" si="898">IF(ISERROR(SEARCH("K erstmals 201",D1959)),"",RIGHT(D1959,4))</f>
        <v/>
      </c>
      <c r="AI1959" s="214" t="str">
        <f t="shared" si="886"/>
        <v/>
      </c>
      <c r="AJ1959" s="214" t="str">
        <f t="shared" si="887"/>
        <v/>
      </c>
      <c r="AK1959" s="214" t="str">
        <f t="shared" si="888"/>
        <v/>
      </c>
      <c r="AL1959" s="214" t="str">
        <f t="shared" si="889"/>
        <v/>
      </c>
      <c r="AM1959" s="214" t="str">
        <f t="shared" si="890"/>
        <v/>
      </c>
      <c r="AN1959" s="213" t="str">
        <f t="shared" si="873"/>
        <v/>
      </c>
      <c r="AO1959" s="213" t="str">
        <f t="shared" si="874"/>
        <v/>
      </c>
      <c r="AP1959" s="213" t="str">
        <f t="shared" si="875"/>
        <v/>
      </c>
      <c r="AQ1959" s="215" t="str">
        <f t="shared" si="876"/>
        <v/>
      </c>
      <c r="AR1959" s="216" t="str">
        <f t="shared" si="877"/>
        <v>BiK82M2y----07</v>
      </c>
      <c r="AS1959" s="215" t="str">
        <f t="shared" si="878"/>
        <v/>
      </c>
      <c r="AT1959">
        <f t="shared" si="879"/>
        <v>14</v>
      </c>
      <c r="AU1959" s="216" t="str">
        <f t="shared" si="880"/>
        <v>0,15-0,5 MW, Bonusregeln M2, y</v>
      </c>
      <c r="AV1959" s="215" t="str">
        <f t="shared" si="881"/>
        <v/>
      </c>
      <c r="AW1959" s="216" t="str">
        <f t="shared" si="882"/>
        <v>Anteil Nicht-KWK</v>
      </c>
      <c r="AX1959" s="215" t="str">
        <f t="shared" si="883"/>
        <v/>
      </c>
      <c r="AY1959" t="str">
        <f t="shared" si="884"/>
        <v/>
      </c>
      <c r="AZ1959" t="str">
        <f t="shared" si="885"/>
        <v/>
      </c>
    </row>
    <row r="1960" spans="1:52" s="178" customFormat="1" x14ac:dyDescent="0.25">
      <c r="A1960" s="610" t="s">
        <v>4832</v>
      </c>
      <c r="B1960" s="30" t="s">
        <v>5548</v>
      </c>
      <c r="C1960" s="30" t="s">
        <v>1304</v>
      </c>
      <c r="D1960" s="30" t="s">
        <v>7125</v>
      </c>
      <c r="E1960" s="30" t="s">
        <v>4812</v>
      </c>
      <c r="F1960" s="454">
        <f t="shared" si="892"/>
        <v>20.46</v>
      </c>
      <c r="G1960" s="529">
        <v>20.46</v>
      </c>
      <c r="H1960" s="487">
        <f t="shared" si="893"/>
        <v>16.37</v>
      </c>
      <c r="I1960" s="706"/>
      <c r="J1960" s="669" t="s">
        <v>5805</v>
      </c>
      <c r="K1960" s="15"/>
      <c r="L1960"/>
      <c r="M1960" s="49">
        <f t="shared" si="894"/>
        <v>20.46</v>
      </c>
      <c r="N1960" s="41">
        <v>9.4600000000000009</v>
      </c>
      <c r="O1960" s="187" t="s">
        <v>1017</v>
      </c>
      <c r="P1960" s="183"/>
      <c r="Q1960" s="184"/>
      <c r="R1960" s="184"/>
      <c r="S1960" s="184" t="s">
        <v>4180</v>
      </c>
      <c r="T1960" s="178" t="s">
        <v>4180</v>
      </c>
      <c r="U1960" s="185" t="s">
        <v>1017</v>
      </c>
      <c r="V1960" s="184"/>
      <c r="W1960" s="180"/>
      <c r="X1960" s="180"/>
      <c r="Z1960" s="180"/>
      <c r="AA1960" s="184" t="s">
        <v>1017</v>
      </c>
      <c r="AB1960" s="184"/>
      <c r="AC1960" s="180"/>
      <c r="AD1960" s="182"/>
      <c r="AE1960" s="181"/>
      <c r="AF1960" s="180"/>
      <c r="AG1960" s="201"/>
      <c r="AH1960" s="212" t="str">
        <f t="shared" si="898"/>
        <v/>
      </c>
      <c r="AI1960" s="214" t="str">
        <f t="shared" si="886"/>
        <v/>
      </c>
      <c r="AJ1960" s="214" t="str">
        <f t="shared" si="887"/>
        <v/>
      </c>
      <c r="AK1960" s="214" t="str">
        <f t="shared" si="888"/>
        <v/>
      </c>
      <c r="AL1960" s="214" t="str">
        <f t="shared" si="889"/>
        <v/>
      </c>
      <c r="AM1960" s="214" t="str">
        <f t="shared" si="890"/>
        <v/>
      </c>
      <c r="AN1960" s="213" t="str">
        <f t="shared" si="873"/>
        <v/>
      </c>
      <c r="AO1960" s="213" t="str">
        <f t="shared" si="874"/>
        <v/>
      </c>
      <c r="AP1960" s="213" t="str">
        <f t="shared" si="875"/>
        <v/>
      </c>
      <c r="AQ1960" s="215" t="str">
        <f t="shared" si="876"/>
        <v/>
      </c>
      <c r="AR1960" s="216" t="str">
        <f t="shared" si="877"/>
        <v>BiK82M2KWKy-07</v>
      </c>
      <c r="AS1960" s="215" t="str">
        <f t="shared" si="878"/>
        <v/>
      </c>
      <c r="AT1960">
        <f t="shared" si="879"/>
        <v>14</v>
      </c>
      <c r="AU1960" s="216" t="str">
        <f t="shared" si="880"/>
        <v>0,15-0,5 MW, Bonusregeln M2, y und KWK</v>
      </c>
      <c r="AV1960" s="215" t="str">
        <f t="shared" si="881"/>
        <v/>
      </c>
      <c r="AW1960" s="216" t="str">
        <f t="shared" si="882"/>
        <v>Anteil KWK</v>
      </c>
      <c r="AX1960" s="215" t="str">
        <f t="shared" si="883"/>
        <v/>
      </c>
      <c r="AY1960" t="str">
        <f t="shared" si="884"/>
        <v/>
      </c>
      <c r="AZ1960" t="str">
        <f t="shared" si="885"/>
        <v/>
      </c>
    </row>
    <row r="1961" spans="1:52" s="178" customFormat="1" x14ac:dyDescent="0.25">
      <c r="A1961" s="610" t="s">
        <v>4833</v>
      </c>
      <c r="B1961" s="30" t="s">
        <v>5548</v>
      </c>
      <c r="C1961" s="30" t="s">
        <v>1304</v>
      </c>
      <c r="D1961" s="109" t="s">
        <v>7053</v>
      </c>
      <c r="E1961" s="30" t="s">
        <v>4331</v>
      </c>
      <c r="F1961" s="454">
        <f t="shared" si="892"/>
        <v>21.46</v>
      </c>
      <c r="G1961" s="529">
        <v>21.46</v>
      </c>
      <c r="H1961" s="487">
        <f t="shared" si="893"/>
        <v>17.170000000000002</v>
      </c>
      <c r="I1961" s="706"/>
      <c r="J1961" s="669" t="s">
        <v>5805</v>
      </c>
      <c r="K1961" s="15"/>
      <c r="L1961"/>
      <c r="M1961" s="49">
        <f t="shared" si="894"/>
        <v>21.46</v>
      </c>
      <c r="N1961" s="41">
        <v>9.4600000000000009</v>
      </c>
      <c r="O1961" s="187"/>
      <c r="P1961" s="184" t="s">
        <v>1017</v>
      </c>
      <c r="Q1961" s="184"/>
      <c r="R1961" s="184"/>
      <c r="S1961" s="184" t="s">
        <v>4180</v>
      </c>
      <c r="T1961" s="178" t="s">
        <v>4180</v>
      </c>
      <c r="U1961" s="185" t="s">
        <v>1017</v>
      </c>
      <c r="V1961" s="184"/>
      <c r="W1961" s="180"/>
      <c r="X1961" s="180"/>
      <c r="Z1961" s="180"/>
      <c r="AA1961" s="184" t="s">
        <v>1017</v>
      </c>
      <c r="AB1961" s="184"/>
      <c r="AC1961" s="180"/>
      <c r="AD1961" s="182"/>
      <c r="AE1961" s="181"/>
      <c r="AF1961" s="180"/>
      <c r="AG1961" s="201"/>
      <c r="AH1961" s="212" t="str">
        <f t="shared" si="898"/>
        <v/>
      </c>
      <c r="AI1961" s="214" t="str">
        <f t="shared" si="886"/>
        <v/>
      </c>
      <c r="AJ1961" s="214" t="str">
        <f t="shared" si="887"/>
        <v/>
      </c>
      <c r="AK1961" s="214" t="str">
        <f t="shared" si="888"/>
        <v/>
      </c>
      <c r="AL1961" s="214" t="str">
        <f t="shared" si="889"/>
        <v/>
      </c>
      <c r="AM1961" s="214" t="str">
        <f t="shared" si="890"/>
        <v/>
      </c>
      <c r="AN1961" s="213" t="str">
        <f t="shared" si="873"/>
        <v/>
      </c>
      <c r="AO1961" s="213" t="str">
        <f t="shared" si="874"/>
        <v/>
      </c>
      <c r="AP1961" s="213" t="str">
        <f t="shared" si="875"/>
        <v/>
      </c>
      <c r="AQ1961" s="215" t="str">
        <f t="shared" si="876"/>
        <v/>
      </c>
      <c r="AR1961" s="216" t="str">
        <f t="shared" si="877"/>
        <v>BiK82M2KA3y-07</v>
      </c>
      <c r="AS1961" s="215" t="str">
        <f t="shared" si="878"/>
        <v/>
      </c>
      <c r="AT1961">
        <f t="shared" si="879"/>
        <v>14</v>
      </c>
      <c r="AU1961" s="216" t="str">
        <f t="shared" si="880"/>
        <v>0,15-0,5 MW, Bonusregeln M2, y und K wenn Anlage 3 erfüllt</v>
      </c>
      <c r="AV1961" s="215" t="str">
        <f t="shared" si="881"/>
        <v/>
      </c>
      <c r="AW1961" s="216" t="str">
        <f t="shared" si="882"/>
        <v>Anteil KWK gemäß Anlage 3</v>
      </c>
      <c r="AX1961" s="215" t="str">
        <f t="shared" si="883"/>
        <v/>
      </c>
      <c r="AY1961" t="str">
        <f t="shared" si="884"/>
        <v/>
      </c>
      <c r="AZ1961" t="str">
        <f t="shared" si="885"/>
        <v/>
      </c>
    </row>
    <row r="1962" spans="1:52" s="178" customFormat="1" x14ac:dyDescent="0.25">
      <c r="A1962" s="610" t="s">
        <v>4834</v>
      </c>
      <c r="B1962" s="30" t="s">
        <v>5548</v>
      </c>
      <c r="C1962" s="30" t="s">
        <v>1304</v>
      </c>
      <c r="D1962" s="30" t="s">
        <v>7054</v>
      </c>
      <c r="E1962" s="30" t="s">
        <v>674</v>
      </c>
      <c r="F1962" s="454">
        <f t="shared" si="892"/>
        <v>21.46</v>
      </c>
      <c r="G1962" s="529">
        <v>21.46</v>
      </c>
      <c r="H1962" s="487">
        <f t="shared" si="893"/>
        <v>17.170000000000002</v>
      </c>
      <c r="I1962" s="706"/>
      <c r="J1962" s="669" t="s">
        <v>5805</v>
      </c>
      <c r="K1962" s="15"/>
      <c r="L1962"/>
      <c r="M1962" s="49">
        <f t="shared" si="894"/>
        <v>21.46</v>
      </c>
      <c r="N1962" s="41">
        <v>9.4600000000000009</v>
      </c>
      <c r="O1962" s="187"/>
      <c r="P1962" s="183"/>
      <c r="Q1962" s="184" t="s">
        <v>1017</v>
      </c>
      <c r="R1962" s="184"/>
      <c r="S1962" s="184" t="s">
        <v>4180</v>
      </c>
      <c r="T1962" s="178" t="s">
        <v>4180</v>
      </c>
      <c r="U1962" s="185" t="s">
        <v>1017</v>
      </c>
      <c r="V1962" s="184"/>
      <c r="W1962" s="180"/>
      <c r="X1962" s="180"/>
      <c r="Z1962" s="180"/>
      <c r="AA1962" s="184" t="s">
        <v>1017</v>
      </c>
      <c r="AB1962" s="184"/>
      <c r="AC1962" s="180"/>
      <c r="AD1962" s="182"/>
      <c r="AE1962" s="181"/>
      <c r="AF1962" s="180"/>
      <c r="AG1962" s="201"/>
      <c r="AH1962" s="212" t="str">
        <f t="shared" si="898"/>
        <v/>
      </c>
      <c r="AI1962" s="214" t="str">
        <f t="shared" si="886"/>
        <v/>
      </c>
      <c r="AJ1962" s="214" t="str">
        <f t="shared" si="887"/>
        <v/>
      </c>
      <c r="AK1962" s="214" t="str">
        <f t="shared" si="888"/>
        <v/>
      </c>
      <c r="AL1962" s="214" t="str">
        <f t="shared" si="889"/>
        <v/>
      </c>
      <c r="AM1962" s="214" t="str">
        <f t="shared" si="890"/>
        <v/>
      </c>
      <c r="AN1962" s="213" t="str">
        <f t="shared" si="873"/>
        <v/>
      </c>
      <c r="AO1962" s="213" t="str">
        <f t="shared" si="874"/>
        <v/>
      </c>
      <c r="AP1962" s="213" t="str">
        <f t="shared" si="875"/>
        <v/>
      </c>
      <c r="AQ1962" s="215" t="str">
        <f t="shared" si="876"/>
        <v/>
      </c>
      <c r="AR1962" s="216" t="str">
        <f t="shared" si="877"/>
        <v>BiK82M2K09y-07</v>
      </c>
      <c r="AS1962" s="215" t="str">
        <f t="shared" si="878"/>
        <v/>
      </c>
      <c r="AT1962">
        <f t="shared" si="879"/>
        <v>14</v>
      </c>
      <c r="AU1962" s="216" t="str">
        <f t="shared" si="880"/>
        <v>0,15-0,5 MW, Bonusregeln M2, y und K erstmals 2009</v>
      </c>
      <c r="AV1962" s="215" t="str">
        <f t="shared" si="881"/>
        <v/>
      </c>
      <c r="AW1962" s="216" t="str">
        <f t="shared" si="882"/>
        <v>Anteil KWK, erstmals 2009</v>
      </c>
      <c r="AX1962" s="215" t="str">
        <f t="shared" si="883"/>
        <v/>
      </c>
      <c r="AY1962" t="str">
        <f t="shared" si="884"/>
        <v/>
      </c>
      <c r="AZ1962" t="str">
        <f t="shared" si="885"/>
        <v/>
      </c>
    </row>
    <row r="1963" spans="1:52" s="178" customFormat="1" x14ac:dyDescent="0.25">
      <c r="A1963" s="610" t="s">
        <v>4972</v>
      </c>
      <c r="B1963" s="30" t="s">
        <v>5548</v>
      </c>
      <c r="C1963" s="30" t="s">
        <v>1304</v>
      </c>
      <c r="D1963" s="30" t="s">
        <v>7055</v>
      </c>
      <c r="E1963" s="30" t="s">
        <v>3567</v>
      </c>
      <c r="F1963" s="454">
        <f t="shared" si="892"/>
        <v>21.43</v>
      </c>
      <c r="G1963" s="529">
        <v>21.43</v>
      </c>
      <c r="H1963" s="487">
        <f t="shared" si="893"/>
        <v>17.14</v>
      </c>
      <c r="I1963" s="706"/>
      <c r="J1963" s="669" t="s">
        <v>5805</v>
      </c>
      <c r="K1963" s="15"/>
      <c r="L1963"/>
      <c r="M1963" s="49">
        <f t="shared" si="894"/>
        <v>21.43</v>
      </c>
      <c r="N1963" s="41">
        <v>9.4600000000000009</v>
      </c>
      <c r="O1963" s="187"/>
      <c r="P1963" s="183"/>
      <c r="Q1963" s="184"/>
      <c r="R1963" s="184" t="s">
        <v>1017</v>
      </c>
      <c r="S1963" s="184" t="s">
        <v>4180</v>
      </c>
      <c r="T1963" s="178" t="s">
        <v>4180</v>
      </c>
      <c r="U1963" s="185" t="s">
        <v>1017</v>
      </c>
      <c r="V1963" s="184"/>
      <c r="W1963" s="180"/>
      <c r="X1963" s="180"/>
      <c r="Z1963" s="180"/>
      <c r="AA1963" s="184" t="s">
        <v>1017</v>
      </c>
      <c r="AB1963" s="184"/>
      <c r="AC1963" s="180"/>
      <c r="AD1963" s="182"/>
      <c r="AE1963" s="181"/>
      <c r="AF1963" s="180"/>
      <c r="AG1963" s="201"/>
      <c r="AH1963" s="212" t="str">
        <f t="shared" si="898"/>
        <v>2010</v>
      </c>
      <c r="AI1963" s="214" t="str">
        <f t="shared" si="886"/>
        <v/>
      </c>
      <c r="AJ1963" s="214" t="str">
        <f t="shared" si="887"/>
        <v/>
      </c>
      <c r="AK1963" s="214" t="str">
        <f t="shared" si="888"/>
        <v/>
      </c>
      <c r="AL1963" s="214" t="str">
        <f t="shared" si="889"/>
        <v/>
      </c>
      <c r="AM1963" s="214" t="str">
        <f t="shared" si="890"/>
        <v/>
      </c>
      <c r="AN1963" s="213" t="str">
        <f t="shared" si="873"/>
        <v>2010</v>
      </c>
      <c r="AO1963" s="213" t="str">
        <f t="shared" si="874"/>
        <v>2010</v>
      </c>
      <c r="AP1963" s="213" t="str">
        <f t="shared" si="875"/>
        <v>2010</v>
      </c>
      <c r="AQ1963" s="215" t="str">
        <f t="shared" si="876"/>
        <v/>
      </c>
      <c r="AR1963" s="216" t="str">
        <f t="shared" si="877"/>
        <v>BiK82M2K10y-07</v>
      </c>
      <c r="AS1963" s="215" t="str">
        <f t="shared" si="878"/>
        <v/>
      </c>
      <c r="AT1963">
        <f t="shared" si="879"/>
        <v>14</v>
      </c>
      <c r="AU1963" s="216" t="str">
        <f t="shared" si="880"/>
        <v>0,15-0,5 MW, Bonusregeln M2, y und K erstmals 2010</v>
      </c>
      <c r="AV1963" s="215" t="str">
        <f t="shared" si="881"/>
        <v/>
      </c>
      <c r="AW1963" s="216" t="str">
        <f t="shared" si="882"/>
        <v>Anteil KWK, erstmals 2010</v>
      </c>
      <c r="AX1963" s="215" t="str">
        <f t="shared" si="883"/>
        <v/>
      </c>
      <c r="AY1963" t="str">
        <f t="shared" si="884"/>
        <v/>
      </c>
      <c r="AZ1963" t="str">
        <f t="shared" si="885"/>
        <v/>
      </c>
    </row>
    <row r="1964" spans="1:52" s="178" customFormat="1" x14ac:dyDescent="0.25">
      <c r="A1964" s="610" t="s">
        <v>3409</v>
      </c>
      <c r="B1964" s="30" t="s">
        <v>5548</v>
      </c>
      <c r="C1964" s="30" t="s">
        <v>1304</v>
      </c>
      <c r="D1964" s="30" t="s">
        <v>7056</v>
      </c>
      <c r="E1964" s="30" t="s">
        <v>3055</v>
      </c>
      <c r="F1964" s="454">
        <f t="shared" si="892"/>
        <v>21.4</v>
      </c>
      <c r="G1964" s="529">
        <v>21.4</v>
      </c>
      <c r="H1964" s="487">
        <f t="shared" si="893"/>
        <v>17.12</v>
      </c>
      <c r="I1964" s="706"/>
      <c r="J1964" s="669" t="s">
        <v>5805</v>
      </c>
      <c r="K1964" s="15"/>
      <c r="L1964"/>
      <c r="M1964" s="49">
        <f t="shared" si="894"/>
        <v>21.4</v>
      </c>
      <c r="N1964" s="41">
        <v>9.4600000000000009</v>
      </c>
      <c r="O1964" s="187"/>
      <c r="P1964" s="183"/>
      <c r="Q1964" s="184"/>
      <c r="S1964" s="184" t="s">
        <v>1017</v>
      </c>
      <c r="T1964" s="178" t="s">
        <v>4180</v>
      </c>
      <c r="U1964" s="185" t="s">
        <v>1017</v>
      </c>
      <c r="V1964" s="184"/>
      <c r="W1964" s="180"/>
      <c r="X1964" s="180"/>
      <c r="Z1964" s="180"/>
      <c r="AA1964" s="184" t="s">
        <v>1017</v>
      </c>
      <c r="AB1964" s="184"/>
      <c r="AC1964" s="180"/>
      <c r="AD1964" s="182"/>
      <c r="AE1964" s="181"/>
      <c r="AF1964" s="180"/>
      <c r="AG1964" s="201"/>
      <c r="AH1964" s="212" t="str">
        <f t="shared" si="898"/>
        <v>2011</v>
      </c>
      <c r="AI1964" s="214" t="str">
        <f t="shared" si="886"/>
        <v/>
      </c>
      <c r="AJ1964" s="214" t="str">
        <f t="shared" si="887"/>
        <v/>
      </c>
      <c r="AK1964" s="214" t="str">
        <f t="shared" si="888"/>
        <v/>
      </c>
      <c r="AL1964" s="214" t="str">
        <f t="shared" si="889"/>
        <v/>
      </c>
      <c r="AM1964" s="214" t="str">
        <f t="shared" si="890"/>
        <v/>
      </c>
      <c r="AN1964" s="213" t="str">
        <f t="shared" si="873"/>
        <v>2011</v>
      </c>
      <c r="AO1964" s="213" t="str">
        <f t="shared" si="874"/>
        <v>2011</v>
      </c>
      <c r="AP1964" s="213" t="str">
        <f t="shared" si="875"/>
        <v>2011</v>
      </c>
      <c r="AQ1964" s="215" t="str">
        <f t="shared" si="876"/>
        <v/>
      </c>
      <c r="AR1964" s="216" t="str">
        <f t="shared" si="877"/>
        <v>BiK82M2K11y-07</v>
      </c>
      <c r="AS1964" s="215" t="str">
        <f t="shared" si="878"/>
        <v/>
      </c>
      <c r="AT1964">
        <f t="shared" si="879"/>
        <v>14</v>
      </c>
      <c r="AU1964" s="216" t="str">
        <f t="shared" si="880"/>
        <v>0,15-0,5 MW, Bonusregeln M2, y und K erstmals 2011</v>
      </c>
      <c r="AV1964" s="215" t="str">
        <f t="shared" si="881"/>
        <v/>
      </c>
      <c r="AW1964" s="216" t="str">
        <f t="shared" si="882"/>
        <v>Anteil KWK, erstmals 2011</v>
      </c>
      <c r="AX1964" s="215" t="str">
        <f t="shared" si="883"/>
        <v/>
      </c>
      <c r="AY1964" t="str">
        <f t="shared" si="884"/>
        <v>x</v>
      </c>
      <c r="AZ1964" t="str">
        <f t="shared" si="885"/>
        <v/>
      </c>
    </row>
    <row r="1965" spans="1:52" s="178" customFormat="1" x14ac:dyDescent="0.25">
      <c r="A1965" s="625" t="s">
        <v>1841</v>
      </c>
      <c r="B1965" s="219" t="s">
        <v>5548</v>
      </c>
      <c r="C1965" s="219" t="s">
        <v>1304</v>
      </c>
      <c r="D1965" s="219" t="s">
        <v>7057</v>
      </c>
      <c r="E1965" s="219" t="s">
        <v>1980</v>
      </c>
      <c r="F1965" s="455">
        <f t="shared" si="892"/>
        <v>21.37</v>
      </c>
      <c r="G1965" s="530">
        <v>21.37</v>
      </c>
      <c r="H1965" s="488">
        <f t="shared" si="893"/>
        <v>17.100000000000001</v>
      </c>
      <c r="I1965" s="707"/>
      <c r="J1965" s="669" t="s">
        <v>5805</v>
      </c>
      <c r="K1965" s="15"/>
      <c r="L1965"/>
      <c r="M1965" s="49">
        <f t="shared" si="894"/>
        <v>21.37</v>
      </c>
      <c r="N1965" s="41">
        <v>9.4600000000000009</v>
      </c>
      <c r="O1965" s="187"/>
      <c r="P1965" s="183"/>
      <c r="Q1965" s="184"/>
      <c r="S1965" s="184" t="s">
        <v>4180</v>
      </c>
      <c r="T1965" s="178" t="s">
        <v>1017</v>
      </c>
      <c r="U1965" s="185" t="s">
        <v>1017</v>
      </c>
      <c r="V1965" s="184"/>
      <c r="W1965" s="180"/>
      <c r="X1965" s="180"/>
      <c r="Z1965" s="180"/>
      <c r="AA1965" s="184" t="s">
        <v>1017</v>
      </c>
      <c r="AB1965" s="184"/>
      <c r="AC1965" s="180"/>
      <c r="AD1965" s="182"/>
      <c r="AE1965" s="181"/>
      <c r="AF1965" s="180"/>
      <c r="AG1965" s="201"/>
      <c r="AH1965" s="217" t="s">
        <v>4179</v>
      </c>
      <c r="AI1965" s="214" t="str">
        <f t="shared" si="886"/>
        <v/>
      </c>
      <c r="AJ1965" s="214" t="str">
        <f t="shared" si="887"/>
        <v/>
      </c>
      <c r="AK1965" s="214" t="str">
        <f t="shared" si="888"/>
        <v/>
      </c>
      <c r="AL1965" s="214" t="str">
        <f t="shared" si="889"/>
        <v/>
      </c>
      <c r="AM1965" s="214" t="str">
        <f t="shared" si="890"/>
        <v/>
      </c>
      <c r="AN1965" s="213" t="str">
        <f t="shared" si="873"/>
        <v>2012</v>
      </c>
      <c r="AO1965" s="213" t="str">
        <f t="shared" si="874"/>
        <v>2012</v>
      </c>
      <c r="AP1965" s="213" t="str">
        <f t="shared" si="875"/>
        <v>2012</v>
      </c>
      <c r="AQ1965" s="215" t="str">
        <f t="shared" si="876"/>
        <v/>
      </c>
      <c r="AR1965" s="216" t="str">
        <f t="shared" si="877"/>
        <v>BiK82M2K12y-07</v>
      </c>
      <c r="AS1965" s="215" t="str">
        <f t="shared" si="878"/>
        <v/>
      </c>
      <c r="AT1965">
        <f t="shared" si="879"/>
        <v>14</v>
      </c>
      <c r="AU1965" s="216" t="str">
        <f t="shared" si="880"/>
        <v>0,15-0,5 MW, Bonusregeln M2, y und K erstmals 2012</v>
      </c>
      <c r="AV1965" s="215" t="str">
        <f t="shared" si="881"/>
        <v/>
      </c>
      <c r="AW1965" s="216" t="str">
        <f t="shared" si="882"/>
        <v>Anteil KWK, erstmals 2012</v>
      </c>
      <c r="AX1965" s="215" t="str">
        <f t="shared" si="883"/>
        <v/>
      </c>
      <c r="AY1965" t="str">
        <f t="shared" si="884"/>
        <v/>
      </c>
      <c r="AZ1965" t="str">
        <f t="shared" si="885"/>
        <v>x</v>
      </c>
    </row>
    <row r="1966" spans="1:52" s="178" customFormat="1" x14ac:dyDescent="0.25">
      <c r="A1966" s="610" t="s">
        <v>4835</v>
      </c>
      <c r="B1966" s="30" t="s">
        <v>5548</v>
      </c>
      <c r="C1966" s="30" t="s">
        <v>1304</v>
      </c>
      <c r="D1966" s="30" t="s">
        <v>7058</v>
      </c>
      <c r="E1966" s="30" t="s">
        <v>4810</v>
      </c>
      <c r="F1966" s="454">
        <f t="shared" si="892"/>
        <v>18.46</v>
      </c>
      <c r="G1966" s="529">
        <v>18.46</v>
      </c>
      <c r="H1966" s="487">
        <f t="shared" si="893"/>
        <v>14.77</v>
      </c>
      <c r="I1966" s="706"/>
      <c r="J1966" s="669" t="s">
        <v>5805</v>
      </c>
      <c r="K1966" s="15"/>
      <c r="L1966"/>
      <c r="M1966" s="49">
        <f t="shared" si="894"/>
        <v>18.46</v>
      </c>
      <c r="N1966" s="41">
        <v>9.4600000000000009</v>
      </c>
      <c r="O1966" s="186"/>
      <c r="P1966" s="177"/>
      <c r="S1966" s="178" t="s">
        <v>4180</v>
      </c>
      <c r="T1966" s="178" t="s">
        <v>4180</v>
      </c>
      <c r="U1966" s="179"/>
      <c r="W1966" s="180"/>
      <c r="X1966" s="180"/>
      <c r="Z1966" s="180"/>
      <c r="AA1966" s="184"/>
      <c r="AB1966" s="178" t="s">
        <v>1017</v>
      </c>
      <c r="AC1966" s="180"/>
      <c r="AD1966" s="182"/>
      <c r="AE1966" s="200"/>
      <c r="AF1966" s="180"/>
      <c r="AG1966" s="201"/>
      <c r="AH1966" s="212" t="str">
        <f t="shared" ref="AH1966:AH1971" si="899">IF(ISERROR(SEARCH("K erstmals 201",D1966)),"",RIGHT(D1966,4))</f>
        <v/>
      </c>
      <c r="AI1966" s="214" t="str">
        <f t="shared" si="886"/>
        <v/>
      </c>
      <c r="AJ1966" s="214" t="str">
        <f t="shared" si="887"/>
        <v/>
      </c>
      <c r="AK1966" s="214" t="str">
        <f t="shared" si="888"/>
        <v/>
      </c>
      <c r="AL1966" s="214" t="str">
        <f t="shared" si="889"/>
        <v/>
      </c>
      <c r="AM1966" s="214" t="str">
        <f t="shared" si="890"/>
        <v/>
      </c>
      <c r="AN1966" s="213" t="str">
        <f t="shared" si="873"/>
        <v/>
      </c>
      <c r="AO1966" s="213" t="str">
        <f t="shared" si="874"/>
        <v/>
      </c>
      <c r="AP1966" s="213" t="str">
        <f t="shared" si="875"/>
        <v/>
      </c>
      <c r="AQ1966" s="215" t="str">
        <f t="shared" si="876"/>
        <v/>
      </c>
      <c r="AR1966" s="216" t="str">
        <f t="shared" si="877"/>
        <v>BiK82L------07</v>
      </c>
      <c r="AS1966" s="215" t="str">
        <f t="shared" si="878"/>
        <v/>
      </c>
      <c r="AT1966">
        <f t="shared" si="879"/>
        <v>14</v>
      </c>
      <c r="AU1966" s="216" t="str">
        <f t="shared" si="880"/>
        <v>0,15-0,5 MW, Bonusregel L</v>
      </c>
      <c r="AV1966" s="215" t="str">
        <f t="shared" si="881"/>
        <v/>
      </c>
      <c r="AW1966" s="216" t="str">
        <f t="shared" si="882"/>
        <v>Anteil Nicht-KWK</v>
      </c>
      <c r="AX1966" s="215" t="str">
        <f t="shared" si="883"/>
        <v/>
      </c>
      <c r="AY1966" t="str">
        <f t="shared" si="884"/>
        <v/>
      </c>
      <c r="AZ1966" t="str">
        <f t="shared" si="885"/>
        <v/>
      </c>
    </row>
    <row r="1967" spans="1:52" s="178" customFormat="1" x14ac:dyDescent="0.25">
      <c r="A1967" s="610" t="s">
        <v>4557</v>
      </c>
      <c r="B1967" s="30" t="s">
        <v>5548</v>
      </c>
      <c r="C1967" s="30" t="s">
        <v>1304</v>
      </c>
      <c r="D1967" s="30" t="s">
        <v>7126</v>
      </c>
      <c r="E1967" s="30" t="s">
        <v>4812</v>
      </c>
      <c r="F1967" s="454">
        <f t="shared" si="892"/>
        <v>20.46</v>
      </c>
      <c r="G1967" s="529">
        <v>20.46</v>
      </c>
      <c r="H1967" s="487">
        <f t="shared" si="893"/>
        <v>16.37</v>
      </c>
      <c r="I1967" s="706"/>
      <c r="J1967" s="669" t="s">
        <v>5805</v>
      </c>
      <c r="K1967" s="15"/>
      <c r="L1967"/>
      <c r="M1967" s="49">
        <f t="shared" si="894"/>
        <v>20.46</v>
      </c>
      <c r="N1967" s="41">
        <v>9.4600000000000009</v>
      </c>
      <c r="O1967" s="186" t="s">
        <v>1017</v>
      </c>
      <c r="P1967" s="177"/>
      <c r="S1967" s="178" t="s">
        <v>4180</v>
      </c>
      <c r="T1967" s="178" t="s">
        <v>4180</v>
      </c>
      <c r="U1967" s="179"/>
      <c r="W1967" s="180"/>
      <c r="X1967" s="180"/>
      <c r="Z1967" s="180"/>
      <c r="AA1967" s="184"/>
      <c r="AB1967" s="178" t="s">
        <v>1017</v>
      </c>
      <c r="AC1967" s="180"/>
      <c r="AD1967" s="182"/>
      <c r="AE1967" s="200"/>
      <c r="AF1967" s="180"/>
      <c r="AG1967" s="201"/>
      <c r="AH1967" s="212" t="str">
        <f t="shared" si="899"/>
        <v/>
      </c>
      <c r="AI1967" s="214" t="str">
        <f t="shared" si="886"/>
        <v/>
      </c>
      <c r="AJ1967" s="214" t="str">
        <f t="shared" si="887"/>
        <v/>
      </c>
      <c r="AK1967" s="214" t="str">
        <f t="shared" si="888"/>
        <v/>
      </c>
      <c r="AL1967" s="214" t="str">
        <f t="shared" si="889"/>
        <v/>
      </c>
      <c r="AM1967" s="214" t="str">
        <f t="shared" si="890"/>
        <v/>
      </c>
      <c r="AN1967" s="213" t="str">
        <f t="shared" si="873"/>
        <v/>
      </c>
      <c r="AO1967" s="213" t="str">
        <f t="shared" si="874"/>
        <v/>
      </c>
      <c r="AP1967" s="213" t="str">
        <f t="shared" si="875"/>
        <v/>
      </c>
      <c r="AQ1967" s="215" t="str">
        <f t="shared" si="876"/>
        <v/>
      </c>
      <c r="AR1967" s="216" t="str">
        <f t="shared" si="877"/>
        <v>BiK82LKWK---07</v>
      </c>
      <c r="AS1967" s="215" t="str">
        <f t="shared" si="878"/>
        <v/>
      </c>
      <c r="AT1967">
        <f t="shared" si="879"/>
        <v>14</v>
      </c>
      <c r="AU1967" s="216" t="str">
        <f t="shared" si="880"/>
        <v>0,15-0,5 MW, Bonusregeln L und KWK</v>
      </c>
      <c r="AV1967" s="215" t="str">
        <f t="shared" si="881"/>
        <v/>
      </c>
      <c r="AW1967" s="216" t="str">
        <f t="shared" si="882"/>
        <v>Anteil KWK</v>
      </c>
      <c r="AX1967" s="215" t="str">
        <f t="shared" si="883"/>
        <v/>
      </c>
      <c r="AY1967" t="str">
        <f t="shared" si="884"/>
        <v/>
      </c>
      <c r="AZ1967" t="str">
        <f t="shared" si="885"/>
        <v/>
      </c>
    </row>
    <row r="1968" spans="1:52" s="178" customFormat="1" x14ac:dyDescent="0.25">
      <c r="A1968" s="610" t="s">
        <v>4558</v>
      </c>
      <c r="B1968" s="30" t="s">
        <v>5548</v>
      </c>
      <c r="C1968" s="30" t="s">
        <v>1304</v>
      </c>
      <c r="D1968" s="30" t="s">
        <v>7059</v>
      </c>
      <c r="E1968" s="30" t="s">
        <v>4331</v>
      </c>
      <c r="F1968" s="454">
        <f t="shared" si="892"/>
        <v>21.46</v>
      </c>
      <c r="G1968" s="529">
        <v>21.46</v>
      </c>
      <c r="H1968" s="487">
        <f t="shared" si="893"/>
        <v>17.170000000000002</v>
      </c>
      <c r="I1968" s="706"/>
      <c r="J1968" s="669" t="s">
        <v>5805</v>
      </c>
      <c r="K1968" s="15"/>
      <c r="L1968"/>
      <c r="M1968" s="49">
        <f t="shared" si="894"/>
        <v>21.46</v>
      </c>
      <c r="N1968" s="41">
        <v>9.4600000000000009</v>
      </c>
      <c r="O1968" s="186"/>
      <c r="P1968" s="178" t="s">
        <v>1017</v>
      </c>
      <c r="S1968" s="178" t="s">
        <v>4180</v>
      </c>
      <c r="T1968" s="178" t="s">
        <v>4180</v>
      </c>
      <c r="U1968" s="179"/>
      <c r="W1968" s="180"/>
      <c r="X1968" s="180"/>
      <c r="Z1968" s="180"/>
      <c r="AA1968" s="184"/>
      <c r="AB1968" s="178" t="s">
        <v>1017</v>
      </c>
      <c r="AC1968" s="180"/>
      <c r="AD1968" s="182"/>
      <c r="AE1968" s="200"/>
      <c r="AF1968" s="180"/>
      <c r="AG1968" s="201"/>
      <c r="AH1968" s="212" t="str">
        <f t="shared" si="899"/>
        <v/>
      </c>
      <c r="AI1968" s="214" t="str">
        <f t="shared" si="886"/>
        <v/>
      </c>
      <c r="AJ1968" s="214" t="str">
        <f t="shared" si="887"/>
        <v/>
      </c>
      <c r="AK1968" s="214" t="str">
        <f t="shared" si="888"/>
        <v/>
      </c>
      <c r="AL1968" s="214" t="str">
        <f t="shared" si="889"/>
        <v/>
      </c>
      <c r="AM1968" s="214" t="str">
        <f t="shared" si="890"/>
        <v/>
      </c>
      <c r="AN1968" s="213" t="str">
        <f t="shared" si="873"/>
        <v/>
      </c>
      <c r="AO1968" s="213" t="str">
        <f t="shared" si="874"/>
        <v/>
      </c>
      <c r="AP1968" s="213" t="str">
        <f t="shared" si="875"/>
        <v/>
      </c>
      <c r="AQ1968" s="215" t="str">
        <f t="shared" si="876"/>
        <v/>
      </c>
      <c r="AR1968" s="216" t="str">
        <f t="shared" si="877"/>
        <v>BiK82LKA3---07</v>
      </c>
      <c r="AS1968" s="215" t="str">
        <f t="shared" si="878"/>
        <v/>
      </c>
      <c r="AT1968">
        <f t="shared" si="879"/>
        <v>14</v>
      </c>
      <c r="AU1968" s="216" t="str">
        <f t="shared" si="880"/>
        <v>0,15-0,5 MW, Bonusregeln L und K wenn Anlage 3 erfüllt</v>
      </c>
      <c r="AV1968" s="215" t="str">
        <f t="shared" si="881"/>
        <v/>
      </c>
      <c r="AW1968" s="216" t="str">
        <f t="shared" si="882"/>
        <v>Anteil KWK gemäß Anlage 3</v>
      </c>
      <c r="AX1968" s="215" t="str">
        <f t="shared" si="883"/>
        <v/>
      </c>
      <c r="AY1968" t="str">
        <f t="shared" si="884"/>
        <v/>
      </c>
      <c r="AZ1968" t="str">
        <f t="shared" si="885"/>
        <v/>
      </c>
    </row>
    <row r="1969" spans="1:52" s="178" customFormat="1" x14ac:dyDescent="0.25">
      <c r="A1969" s="610" t="s">
        <v>4559</v>
      </c>
      <c r="B1969" s="30" t="s">
        <v>5548</v>
      </c>
      <c r="C1969" s="30" t="s">
        <v>1304</v>
      </c>
      <c r="D1969" s="30" t="s">
        <v>7060</v>
      </c>
      <c r="E1969" s="30" t="s">
        <v>674</v>
      </c>
      <c r="F1969" s="454">
        <f t="shared" si="892"/>
        <v>21.46</v>
      </c>
      <c r="G1969" s="529">
        <v>21.46</v>
      </c>
      <c r="H1969" s="487">
        <f t="shared" si="893"/>
        <v>17.170000000000002</v>
      </c>
      <c r="I1969" s="706"/>
      <c r="J1969" s="669" t="s">
        <v>5805</v>
      </c>
      <c r="K1969" s="15"/>
      <c r="L1969"/>
      <c r="M1969" s="49">
        <f t="shared" si="894"/>
        <v>21.46</v>
      </c>
      <c r="N1969" s="41">
        <v>9.4600000000000009</v>
      </c>
      <c r="O1969" s="186"/>
      <c r="P1969" s="177"/>
      <c r="Q1969" s="178" t="s">
        <v>1017</v>
      </c>
      <c r="S1969" s="178" t="s">
        <v>4180</v>
      </c>
      <c r="T1969" s="178" t="s">
        <v>4180</v>
      </c>
      <c r="U1969" s="179"/>
      <c r="W1969" s="180"/>
      <c r="X1969" s="180"/>
      <c r="Z1969" s="180"/>
      <c r="AA1969" s="184"/>
      <c r="AB1969" s="178" t="s">
        <v>1017</v>
      </c>
      <c r="AC1969" s="180"/>
      <c r="AD1969" s="182"/>
      <c r="AE1969" s="200"/>
      <c r="AF1969" s="180"/>
      <c r="AG1969" s="201"/>
      <c r="AH1969" s="212" t="str">
        <f t="shared" si="899"/>
        <v/>
      </c>
      <c r="AI1969" s="214" t="str">
        <f t="shared" si="886"/>
        <v/>
      </c>
      <c r="AJ1969" s="214" t="str">
        <f t="shared" si="887"/>
        <v/>
      </c>
      <c r="AK1969" s="214" t="str">
        <f t="shared" si="888"/>
        <v/>
      </c>
      <c r="AL1969" s="214" t="str">
        <f t="shared" si="889"/>
        <v/>
      </c>
      <c r="AM1969" s="214" t="str">
        <f t="shared" si="890"/>
        <v/>
      </c>
      <c r="AN1969" s="213" t="str">
        <f t="shared" si="873"/>
        <v/>
      </c>
      <c r="AO1969" s="213" t="str">
        <f t="shared" si="874"/>
        <v/>
      </c>
      <c r="AP1969" s="213" t="str">
        <f t="shared" si="875"/>
        <v/>
      </c>
      <c r="AQ1969" s="215" t="str">
        <f t="shared" si="876"/>
        <v/>
      </c>
      <c r="AR1969" s="216" t="str">
        <f t="shared" si="877"/>
        <v>BiK82LK09---07</v>
      </c>
      <c r="AS1969" s="215" t="str">
        <f t="shared" si="878"/>
        <v/>
      </c>
      <c r="AT1969">
        <f t="shared" si="879"/>
        <v>14</v>
      </c>
      <c r="AU1969" s="216" t="str">
        <f t="shared" si="880"/>
        <v>0,15-0,5 MW, Bonusregeln L und K erstmals 2009</v>
      </c>
      <c r="AV1969" s="215" t="str">
        <f t="shared" si="881"/>
        <v/>
      </c>
      <c r="AW1969" s="216" t="str">
        <f t="shared" si="882"/>
        <v>Anteil KWK, erstmals 2009</v>
      </c>
      <c r="AX1969" s="215" t="str">
        <f t="shared" si="883"/>
        <v/>
      </c>
      <c r="AY1969" t="str">
        <f t="shared" si="884"/>
        <v/>
      </c>
      <c r="AZ1969" t="str">
        <f t="shared" si="885"/>
        <v/>
      </c>
    </row>
    <row r="1970" spans="1:52" s="178" customFormat="1" x14ac:dyDescent="0.25">
      <c r="A1970" s="610" t="s">
        <v>4973</v>
      </c>
      <c r="B1970" s="30" t="s">
        <v>5548</v>
      </c>
      <c r="C1970" s="30" t="s">
        <v>1304</v>
      </c>
      <c r="D1970" s="30" t="s">
        <v>7061</v>
      </c>
      <c r="E1970" s="30" t="s">
        <v>3567</v>
      </c>
      <c r="F1970" s="454">
        <f t="shared" si="892"/>
        <v>21.43</v>
      </c>
      <c r="G1970" s="529">
        <v>21.43</v>
      </c>
      <c r="H1970" s="487">
        <f t="shared" si="893"/>
        <v>17.14</v>
      </c>
      <c r="I1970" s="706"/>
      <c r="J1970" s="669" t="s">
        <v>5805</v>
      </c>
      <c r="K1970" s="15"/>
      <c r="L1970"/>
      <c r="M1970" s="49">
        <f t="shared" si="894"/>
        <v>21.43</v>
      </c>
      <c r="N1970" s="41">
        <v>9.4600000000000009</v>
      </c>
      <c r="O1970" s="186"/>
      <c r="P1970" s="177"/>
      <c r="R1970" s="178" t="s">
        <v>1017</v>
      </c>
      <c r="S1970" s="178" t="s">
        <v>4180</v>
      </c>
      <c r="T1970" s="178" t="s">
        <v>4180</v>
      </c>
      <c r="U1970" s="179"/>
      <c r="W1970" s="180"/>
      <c r="X1970" s="180"/>
      <c r="Z1970" s="180"/>
      <c r="AA1970" s="184"/>
      <c r="AB1970" s="178" t="s">
        <v>1017</v>
      </c>
      <c r="AC1970" s="180"/>
      <c r="AD1970" s="182"/>
      <c r="AE1970" s="200"/>
      <c r="AF1970" s="180"/>
      <c r="AG1970" s="201"/>
      <c r="AH1970" s="212" t="str">
        <f t="shared" si="899"/>
        <v>2010</v>
      </c>
      <c r="AI1970" s="214" t="str">
        <f t="shared" si="886"/>
        <v/>
      </c>
      <c r="AJ1970" s="214" t="str">
        <f t="shared" si="887"/>
        <v/>
      </c>
      <c r="AK1970" s="214" t="str">
        <f t="shared" si="888"/>
        <v/>
      </c>
      <c r="AL1970" s="214" t="str">
        <f t="shared" si="889"/>
        <v/>
      </c>
      <c r="AM1970" s="214" t="str">
        <f t="shared" si="890"/>
        <v/>
      </c>
      <c r="AN1970" s="213" t="str">
        <f t="shared" si="873"/>
        <v>2010</v>
      </c>
      <c r="AO1970" s="213" t="str">
        <f t="shared" si="874"/>
        <v>2010</v>
      </c>
      <c r="AP1970" s="213" t="str">
        <f t="shared" si="875"/>
        <v>2010</v>
      </c>
      <c r="AQ1970" s="215" t="str">
        <f t="shared" si="876"/>
        <v/>
      </c>
      <c r="AR1970" s="216" t="str">
        <f t="shared" si="877"/>
        <v>BiK82LK10---07</v>
      </c>
      <c r="AS1970" s="215" t="str">
        <f t="shared" si="878"/>
        <v/>
      </c>
      <c r="AT1970">
        <f t="shared" si="879"/>
        <v>14</v>
      </c>
      <c r="AU1970" s="216" t="str">
        <f t="shared" si="880"/>
        <v>0,15-0,5 MW, Bonusregeln L und K erstmals 2010</v>
      </c>
      <c r="AV1970" s="215" t="str">
        <f t="shared" si="881"/>
        <v/>
      </c>
      <c r="AW1970" s="216" t="str">
        <f t="shared" si="882"/>
        <v>Anteil KWK, erstmals 2010</v>
      </c>
      <c r="AX1970" s="215" t="str">
        <f t="shared" si="883"/>
        <v/>
      </c>
      <c r="AY1970" t="str">
        <f t="shared" si="884"/>
        <v/>
      </c>
      <c r="AZ1970" t="str">
        <f t="shared" si="885"/>
        <v/>
      </c>
    </row>
    <row r="1971" spans="1:52" s="178" customFormat="1" x14ac:dyDescent="0.25">
      <c r="A1971" s="610" t="s">
        <v>3410</v>
      </c>
      <c r="B1971" s="30" t="s">
        <v>5548</v>
      </c>
      <c r="C1971" s="30" t="s">
        <v>1304</v>
      </c>
      <c r="D1971" s="30" t="s">
        <v>7062</v>
      </c>
      <c r="E1971" s="30" t="s">
        <v>3055</v>
      </c>
      <c r="F1971" s="454">
        <f t="shared" si="892"/>
        <v>21.4</v>
      </c>
      <c r="G1971" s="529">
        <v>21.4</v>
      </c>
      <c r="H1971" s="487">
        <f t="shared" si="893"/>
        <v>17.12</v>
      </c>
      <c r="I1971" s="706"/>
      <c r="J1971" s="669" t="s">
        <v>5805</v>
      </c>
      <c r="K1971" s="15"/>
      <c r="L1971"/>
      <c r="M1971" s="49">
        <f t="shared" si="894"/>
        <v>21.4</v>
      </c>
      <c r="N1971" s="41">
        <v>9.4600000000000009</v>
      </c>
      <c r="O1971" s="186"/>
      <c r="P1971" s="177"/>
      <c r="S1971" s="178" t="s">
        <v>1017</v>
      </c>
      <c r="T1971" s="178" t="s">
        <v>4180</v>
      </c>
      <c r="U1971" s="179"/>
      <c r="W1971" s="180"/>
      <c r="X1971" s="180"/>
      <c r="Z1971" s="180"/>
      <c r="AA1971" s="184"/>
      <c r="AB1971" s="178" t="s">
        <v>1017</v>
      </c>
      <c r="AC1971" s="180"/>
      <c r="AD1971" s="182"/>
      <c r="AE1971" s="200"/>
      <c r="AF1971" s="180"/>
      <c r="AG1971" s="201"/>
      <c r="AH1971" s="212" t="str">
        <f t="shared" si="899"/>
        <v>2011</v>
      </c>
      <c r="AI1971" s="214" t="str">
        <f t="shared" si="886"/>
        <v/>
      </c>
      <c r="AJ1971" s="214" t="str">
        <f t="shared" si="887"/>
        <v/>
      </c>
      <c r="AK1971" s="214" t="str">
        <f t="shared" si="888"/>
        <v/>
      </c>
      <c r="AL1971" s="214" t="str">
        <f t="shared" si="889"/>
        <v/>
      </c>
      <c r="AM1971" s="214" t="str">
        <f t="shared" si="890"/>
        <v/>
      </c>
      <c r="AN1971" s="213" t="str">
        <f t="shared" si="873"/>
        <v>2011</v>
      </c>
      <c r="AO1971" s="213" t="str">
        <f t="shared" si="874"/>
        <v>2011</v>
      </c>
      <c r="AP1971" s="213" t="str">
        <f t="shared" si="875"/>
        <v>2011</v>
      </c>
      <c r="AQ1971" s="215" t="str">
        <f t="shared" si="876"/>
        <v/>
      </c>
      <c r="AR1971" s="216" t="str">
        <f t="shared" si="877"/>
        <v>BiK82LK11---07</v>
      </c>
      <c r="AS1971" s="215" t="str">
        <f t="shared" si="878"/>
        <v/>
      </c>
      <c r="AT1971">
        <f t="shared" si="879"/>
        <v>14</v>
      </c>
      <c r="AU1971" s="216" t="str">
        <f t="shared" si="880"/>
        <v>0,15-0,5 MW, Bonusregeln L und K erstmals 2011</v>
      </c>
      <c r="AV1971" s="215" t="str">
        <f t="shared" si="881"/>
        <v/>
      </c>
      <c r="AW1971" s="216" t="str">
        <f t="shared" si="882"/>
        <v>Anteil KWK, erstmals 2011</v>
      </c>
      <c r="AX1971" s="215" t="str">
        <f t="shared" si="883"/>
        <v/>
      </c>
      <c r="AY1971" t="str">
        <f t="shared" si="884"/>
        <v>x</v>
      </c>
      <c r="AZ1971" t="str">
        <f t="shared" si="885"/>
        <v/>
      </c>
    </row>
    <row r="1972" spans="1:52" s="178" customFormat="1" x14ac:dyDescent="0.25">
      <c r="A1972" s="625" t="s">
        <v>1842</v>
      </c>
      <c r="B1972" s="219" t="s">
        <v>5548</v>
      </c>
      <c r="C1972" s="219" t="s">
        <v>1304</v>
      </c>
      <c r="D1972" s="219" t="s">
        <v>7063</v>
      </c>
      <c r="E1972" s="219" t="s">
        <v>1980</v>
      </c>
      <c r="F1972" s="455">
        <f t="shared" si="892"/>
        <v>21.37</v>
      </c>
      <c r="G1972" s="530">
        <v>21.37</v>
      </c>
      <c r="H1972" s="488">
        <f t="shared" si="893"/>
        <v>17.100000000000001</v>
      </c>
      <c r="I1972" s="707"/>
      <c r="J1972" s="669" t="s">
        <v>5805</v>
      </c>
      <c r="K1972" s="15"/>
      <c r="L1972"/>
      <c r="M1972" s="49">
        <f t="shared" si="894"/>
        <v>21.37</v>
      </c>
      <c r="N1972" s="41">
        <v>9.4600000000000009</v>
      </c>
      <c r="O1972" s="186"/>
      <c r="P1972" s="177"/>
      <c r="S1972" s="178" t="s">
        <v>4180</v>
      </c>
      <c r="T1972" s="178" t="s">
        <v>1017</v>
      </c>
      <c r="U1972" s="179"/>
      <c r="W1972" s="180"/>
      <c r="X1972" s="180"/>
      <c r="Z1972" s="180"/>
      <c r="AA1972" s="184"/>
      <c r="AB1972" s="178" t="s">
        <v>1017</v>
      </c>
      <c r="AC1972" s="180"/>
      <c r="AD1972" s="182"/>
      <c r="AE1972" s="200"/>
      <c r="AF1972" s="180"/>
      <c r="AG1972" s="201"/>
      <c r="AH1972" s="217" t="s">
        <v>4179</v>
      </c>
      <c r="AI1972" s="214" t="str">
        <f t="shared" si="886"/>
        <v/>
      </c>
      <c r="AJ1972" s="214" t="str">
        <f t="shared" si="887"/>
        <v/>
      </c>
      <c r="AK1972" s="214" t="str">
        <f t="shared" si="888"/>
        <v/>
      </c>
      <c r="AL1972" s="214" t="str">
        <f t="shared" si="889"/>
        <v/>
      </c>
      <c r="AM1972" s="214" t="str">
        <f t="shared" si="890"/>
        <v/>
      </c>
      <c r="AN1972" s="213" t="str">
        <f t="shared" si="873"/>
        <v>2012</v>
      </c>
      <c r="AO1972" s="213" t="str">
        <f t="shared" si="874"/>
        <v>2012</v>
      </c>
      <c r="AP1972" s="213" t="str">
        <f t="shared" si="875"/>
        <v>2012</v>
      </c>
      <c r="AQ1972" s="215" t="str">
        <f t="shared" si="876"/>
        <v/>
      </c>
      <c r="AR1972" s="216" t="str">
        <f t="shared" si="877"/>
        <v>BiK82LK12---07</v>
      </c>
      <c r="AS1972" s="215" t="str">
        <f t="shared" si="878"/>
        <v/>
      </c>
      <c r="AT1972">
        <f t="shared" si="879"/>
        <v>14</v>
      </c>
      <c r="AU1972" s="216" t="str">
        <f t="shared" si="880"/>
        <v>0,15-0,5 MW, Bonusregeln L und K erstmals 2012</v>
      </c>
      <c r="AV1972" s="215" t="str">
        <f t="shared" si="881"/>
        <v/>
      </c>
      <c r="AW1972" s="216" t="str">
        <f t="shared" si="882"/>
        <v>Anteil KWK, erstmals 2012</v>
      </c>
      <c r="AX1972" s="215" t="str">
        <f t="shared" si="883"/>
        <v/>
      </c>
      <c r="AY1972" t="str">
        <f t="shared" si="884"/>
        <v/>
      </c>
      <c r="AZ1972" t="str">
        <f t="shared" si="885"/>
        <v>x</v>
      </c>
    </row>
    <row r="1973" spans="1:52" s="178" customFormat="1" x14ac:dyDescent="0.25">
      <c r="A1973" s="610" t="s">
        <v>4560</v>
      </c>
      <c r="B1973" s="30" t="s">
        <v>5548</v>
      </c>
      <c r="C1973" s="30" t="s">
        <v>1304</v>
      </c>
      <c r="D1973" s="30" t="s">
        <v>7064</v>
      </c>
      <c r="E1973" s="30" t="s">
        <v>4810</v>
      </c>
      <c r="F1973" s="454">
        <f t="shared" si="892"/>
        <v>19.46</v>
      </c>
      <c r="G1973" s="529">
        <v>19.46</v>
      </c>
      <c r="H1973" s="487">
        <f t="shared" si="893"/>
        <v>15.57</v>
      </c>
      <c r="I1973" s="706"/>
      <c r="J1973" s="669" t="s">
        <v>5805</v>
      </c>
      <c r="K1973" s="15"/>
      <c r="L1973"/>
      <c r="M1973" s="49">
        <f t="shared" si="894"/>
        <v>19.46</v>
      </c>
      <c r="N1973" s="41">
        <v>9.4600000000000009</v>
      </c>
      <c r="O1973" s="187"/>
      <c r="P1973" s="183"/>
      <c r="Q1973" s="184"/>
      <c r="R1973" s="184"/>
      <c r="S1973" s="184" t="s">
        <v>4180</v>
      </c>
      <c r="T1973" s="178" t="s">
        <v>4180</v>
      </c>
      <c r="U1973" s="185" t="s">
        <v>1017</v>
      </c>
      <c r="V1973" s="184"/>
      <c r="W1973" s="180"/>
      <c r="X1973" s="180"/>
      <c r="Z1973" s="180"/>
      <c r="AA1973" s="184"/>
      <c r="AB1973" s="184" t="s">
        <v>1017</v>
      </c>
      <c r="AC1973" s="180"/>
      <c r="AD1973" s="182"/>
      <c r="AE1973" s="181"/>
      <c r="AF1973" s="180"/>
      <c r="AG1973" s="201"/>
      <c r="AH1973" s="212" t="str">
        <f t="shared" ref="AH1973:AH1978" si="900">IF(ISERROR(SEARCH("K erstmals 201",D1973)),"",RIGHT(D1973,4))</f>
        <v/>
      </c>
      <c r="AI1973" s="214" t="str">
        <f t="shared" si="886"/>
        <v/>
      </c>
      <c r="AJ1973" s="214" t="str">
        <f t="shared" si="887"/>
        <v/>
      </c>
      <c r="AK1973" s="214" t="str">
        <f t="shared" si="888"/>
        <v/>
      </c>
      <c r="AL1973" s="214" t="str">
        <f t="shared" si="889"/>
        <v/>
      </c>
      <c r="AM1973" s="214" t="str">
        <f t="shared" si="890"/>
        <v/>
      </c>
      <c r="AN1973" s="213" t="str">
        <f t="shared" si="873"/>
        <v/>
      </c>
      <c r="AO1973" s="213" t="str">
        <f t="shared" si="874"/>
        <v/>
      </c>
      <c r="AP1973" s="213" t="str">
        <f t="shared" si="875"/>
        <v/>
      </c>
      <c r="AQ1973" s="215" t="str">
        <f t="shared" si="876"/>
        <v/>
      </c>
      <c r="AR1973" s="216" t="str">
        <f t="shared" si="877"/>
        <v>BiK82Ly-----07</v>
      </c>
      <c r="AS1973" s="215" t="str">
        <f t="shared" si="878"/>
        <v/>
      </c>
      <c r="AT1973">
        <f t="shared" si="879"/>
        <v>14</v>
      </c>
      <c r="AU1973" s="216" t="str">
        <f t="shared" si="880"/>
        <v>0,15-0,5 MW, Bonusregeln L, y</v>
      </c>
      <c r="AV1973" s="215" t="str">
        <f t="shared" si="881"/>
        <v/>
      </c>
      <c r="AW1973" s="216" t="str">
        <f t="shared" si="882"/>
        <v>Anteil Nicht-KWK</v>
      </c>
      <c r="AX1973" s="215" t="str">
        <f t="shared" si="883"/>
        <v/>
      </c>
      <c r="AY1973" t="str">
        <f t="shared" si="884"/>
        <v/>
      </c>
      <c r="AZ1973" t="str">
        <f t="shared" si="885"/>
        <v/>
      </c>
    </row>
    <row r="1974" spans="1:52" s="178" customFormat="1" x14ac:dyDescent="0.25">
      <c r="A1974" s="610" t="s">
        <v>4561</v>
      </c>
      <c r="B1974" s="30" t="s">
        <v>5548</v>
      </c>
      <c r="C1974" s="30" t="s">
        <v>1304</v>
      </c>
      <c r="D1974" s="30" t="s">
        <v>7127</v>
      </c>
      <c r="E1974" s="30" t="s">
        <v>4812</v>
      </c>
      <c r="F1974" s="454">
        <f t="shared" si="892"/>
        <v>21.46</v>
      </c>
      <c r="G1974" s="529">
        <v>21.46</v>
      </c>
      <c r="H1974" s="487">
        <f t="shared" si="893"/>
        <v>17.170000000000002</v>
      </c>
      <c r="I1974" s="706"/>
      <c r="J1974" s="669" t="s">
        <v>5805</v>
      </c>
      <c r="K1974" s="15"/>
      <c r="L1974"/>
      <c r="M1974" s="49">
        <f t="shared" si="894"/>
        <v>21.46</v>
      </c>
      <c r="N1974" s="41">
        <v>9.4600000000000009</v>
      </c>
      <c r="O1974" s="187" t="s">
        <v>1017</v>
      </c>
      <c r="P1974" s="183"/>
      <c r="Q1974" s="184"/>
      <c r="R1974" s="184"/>
      <c r="S1974" s="184" t="s">
        <v>4180</v>
      </c>
      <c r="T1974" s="178" t="s">
        <v>4180</v>
      </c>
      <c r="U1974" s="185" t="s">
        <v>1017</v>
      </c>
      <c r="V1974" s="184"/>
      <c r="W1974" s="180"/>
      <c r="X1974" s="180"/>
      <c r="Z1974" s="180"/>
      <c r="AA1974" s="184"/>
      <c r="AB1974" s="184" t="s">
        <v>1017</v>
      </c>
      <c r="AC1974" s="180"/>
      <c r="AD1974" s="182"/>
      <c r="AE1974" s="181"/>
      <c r="AF1974" s="180"/>
      <c r="AG1974" s="201"/>
      <c r="AH1974" s="212" t="str">
        <f t="shared" si="900"/>
        <v/>
      </c>
      <c r="AI1974" s="214" t="str">
        <f t="shared" si="886"/>
        <v/>
      </c>
      <c r="AJ1974" s="214" t="str">
        <f t="shared" si="887"/>
        <v/>
      </c>
      <c r="AK1974" s="214" t="str">
        <f t="shared" si="888"/>
        <v/>
      </c>
      <c r="AL1974" s="214" t="str">
        <f t="shared" si="889"/>
        <v/>
      </c>
      <c r="AM1974" s="214" t="str">
        <f t="shared" si="890"/>
        <v/>
      </c>
      <c r="AN1974" s="213" t="str">
        <f t="shared" si="873"/>
        <v/>
      </c>
      <c r="AO1974" s="213" t="str">
        <f t="shared" si="874"/>
        <v/>
      </c>
      <c r="AP1974" s="213" t="str">
        <f t="shared" si="875"/>
        <v/>
      </c>
      <c r="AQ1974" s="215" t="str">
        <f t="shared" si="876"/>
        <v/>
      </c>
      <c r="AR1974" s="216" t="str">
        <f t="shared" si="877"/>
        <v>BiK82LKWKy--07</v>
      </c>
      <c r="AS1974" s="215" t="str">
        <f t="shared" si="878"/>
        <v/>
      </c>
      <c r="AT1974">
        <f t="shared" si="879"/>
        <v>14</v>
      </c>
      <c r="AU1974" s="216" t="str">
        <f t="shared" si="880"/>
        <v>0,15-0,5 MW, Bonusregeln L, y und KWK</v>
      </c>
      <c r="AV1974" s="215" t="str">
        <f t="shared" si="881"/>
        <v/>
      </c>
      <c r="AW1974" s="216" t="str">
        <f t="shared" si="882"/>
        <v>Anteil KWK</v>
      </c>
      <c r="AX1974" s="215" t="str">
        <f t="shared" si="883"/>
        <v/>
      </c>
      <c r="AY1974" t="str">
        <f t="shared" si="884"/>
        <v/>
      </c>
      <c r="AZ1974" t="str">
        <f t="shared" si="885"/>
        <v/>
      </c>
    </row>
    <row r="1975" spans="1:52" s="178" customFormat="1" x14ac:dyDescent="0.25">
      <c r="A1975" s="610" t="s">
        <v>4562</v>
      </c>
      <c r="B1975" s="30" t="s">
        <v>5548</v>
      </c>
      <c r="C1975" s="30" t="s">
        <v>1304</v>
      </c>
      <c r="D1975" s="109" t="s">
        <v>7065</v>
      </c>
      <c r="E1975" s="30" t="s">
        <v>4331</v>
      </c>
      <c r="F1975" s="454">
        <f t="shared" si="892"/>
        <v>22.46</v>
      </c>
      <c r="G1975" s="529">
        <v>22.46</v>
      </c>
      <c r="H1975" s="487">
        <f t="shared" si="893"/>
        <v>17.97</v>
      </c>
      <c r="I1975" s="706"/>
      <c r="J1975" s="669" t="s">
        <v>5805</v>
      </c>
      <c r="K1975" s="15"/>
      <c r="L1975"/>
      <c r="M1975" s="49">
        <f t="shared" si="894"/>
        <v>22.46</v>
      </c>
      <c r="N1975" s="41">
        <v>9.4600000000000009</v>
      </c>
      <c r="O1975" s="187"/>
      <c r="P1975" s="184" t="s">
        <v>1017</v>
      </c>
      <c r="Q1975" s="184"/>
      <c r="R1975" s="184"/>
      <c r="S1975" s="184" t="s">
        <v>4180</v>
      </c>
      <c r="T1975" s="178" t="s">
        <v>4180</v>
      </c>
      <c r="U1975" s="185" t="s">
        <v>1017</v>
      </c>
      <c r="V1975" s="184"/>
      <c r="W1975" s="180"/>
      <c r="X1975" s="180"/>
      <c r="Z1975" s="180"/>
      <c r="AA1975" s="184"/>
      <c r="AB1975" s="184" t="s">
        <v>1017</v>
      </c>
      <c r="AC1975" s="180"/>
      <c r="AD1975" s="182"/>
      <c r="AE1975" s="181"/>
      <c r="AF1975" s="180"/>
      <c r="AG1975" s="201"/>
      <c r="AH1975" s="212" t="str">
        <f t="shared" si="900"/>
        <v/>
      </c>
      <c r="AI1975" s="214" t="str">
        <f t="shared" si="886"/>
        <v/>
      </c>
      <c r="AJ1975" s="214" t="str">
        <f t="shared" si="887"/>
        <v/>
      </c>
      <c r="AK1975" s="214" t="str">
        <f t="shared" si="888"/>
        <v/>
      </c>
      <c r="AL1975" s="214" t="str">
        <f t="shared" si="889"/>
        <v/>
      </c>
      <c r="AM1975" s="214" t="str">
        <f t="shared" si="890"/>
        <v/>
      </c>
      <c r="AN1975" s="213" t="str">
        <f t="shared" si="873"/>
        <v/>
      </c>
      <c r="AO1975" s="213" t="str">
        <f t="shared" si="874"/>
        <v/>
      </c>
      <c r="AP1975" s="213" t="str">
        <f t="shared" si="875"/>
        <v/>
      </c>
      <c r="AQ1975" s="215" t="str">
        <f t="shared" si="876"/>
        <v/>
      </c>
      <c r="AR1975" s="216" t="str">
        <f t="shared" si="877"/>
        <v>BiK82LKA3y--07</v>
      </c>
      <c r="AS1975" s="215" t="str">
        <f t="shared" si="878"/>
        <v/>
      </c>
      <c r="AT1975">
        <f t="shared" si="879"/>
        <v>14</v>
      </c>
      <c r="AU1975" s="216" t="str">
        <f t="shared" si="880"/>
        <v>0,15-0,5 MW, Bonusregeln L, y und K wenn Anlage 3 erfüllt</v>
      </c>
      <c r="AV1975" s="215" t="str">
        <f t="shared" si="881"/>
        <v/>
      </c>
      <c r="AW1975" s="216" t="str">
        <f t="shared" si="882"/>
        <v>Anteil KWK gemäß Anlage 3</v>
      </c>
      <c r="AX1975" s="215" t="str">
        <f t="shared" si="883"/>
        <v/>
      </c>
      <c r="AY1975" t="str">
        <f t="shared" si="884"/>
        <v/>
      </c>
      <c r="AZ1975" t="str">
        <f t="shared" si="885"/>
        <v/>
      </c>
    </row>
    <row r="1976" spans="1:52" s="178" customFormat="1" x14ac:dyDescent="0.25">
      <c r="A1976" s="610" t="s">
        <v>4563</v>
      </c>
      <c r="B1976" s="30" t="s">
        <v>5548</v>
      </c>
      <c r="C1976" s="30" t="s">
        <v>1304</v>
      </c>
      <c r="D1976" s="30" t="s">
        <v>7066</v>
      </c>
      <c r="E1976" s="30" t="s">
        <v>674</v>
      </c>
      <c r="F1976" s="454">
        <f t="shared" si="892"/>
        <v>22.46</v>
      </c>
      <c r="G1976" s="529">
        <v>22.46</v>
      </c>
      <c r="H1976" s="487">
        <f t="shared" si="893"/>
        <v>17.97</v>
      </c>
      <c r="I1976" s="706"/>
      <c r="J1976" s="669" t="s">
        <v>5805</v>
      </c>
      <c r="K1976" s="15"/>
      <c r="L1976"/>
      <c r="M1976" s="49">
        <f t="shared" si="894"/>
        <v>22.46</v>
      </c>
      <c r="N1976" s="41">
        <v>9.4600000000000009</v>
      </c>
      <c r="O1976" s="187"/>
      <c r="P1976" s="183"/>
      <c r="Q1976" s="184" t="s">
        <v>1017</v>
      </c>
      <c r="R1976" s="184"/>
      <c r="S1976" s="184" t="s">
        <v>4180</v>
      </c>
      <c r="T1976" s="178" t="s">
        <v>4180</v>
      </c>
      <c r="U1976" s="185" t="s">
        <v>1017</v>
      </c>
      <c r="V1976" s="184"/>
      <c r="W1976" s="180"/>
      <c r="X1976" s="180"/>
      <c r="Z1976" s="180"/>
      <c r="AA1976" s="184"/>
      <c r="AB1976" s="184" t="s">
        <v>1017</v>
      </c>
      <c r="AC1976" s="180"/>
      <c r="AD1976" s="182"/>
      <c r="AE1976" s="181"/>
      <c r="AF1976" s="180"/>
      <c r="AG1976" s="201"/>
      <c r="AH1976" s="212" t="str">
        <f t="shared" si="900"/>
        <v/>
      </c>
      <c r="AI1976" s="214" t="str">
        <f t="shared" si="886"/>
        <v/>
      </c>
      <c r="AJ1976" s="214" t="str">
        <f t="shared" si="887"/>
        <v/>
      </c>
      <c r="AK1976" s="214" t="str">
        <f t="shared" si="888"/>
        <v/>
      </c>
      <c r="AL1976" s="214" t="str">
        <f t="shared" si="889"/>
        <v/>
      </c>
      <c r="AM1976" s="214" t="str">
        <f t="shared" si="890"/>
        <v/>
      </c>
      <c r="AN1976" s="213" t="str">
        <f t="shared" si="873"/>
        <v/>
      </c>
      <c r="AO1976" s="213" t="str">
        <f t="shared" si="874"/>
        <v/>
      </c>
      <c r="AP1976" s="213" t="str">
        <f t="shared" si="875"/>
        <v/>
      </c>
      <c r="AQ1976" s="215" t="str">
        <f t="shared" si="876"/>
        <v/>
      </c>
      <c r="AR1976" s="216" t="str">
        <f t="shared" si="877"/>
        <v>BiK82LK09y--07</v>
      </c>
      <c r="AS1976" s="215" t="str">
        <f t="shared" si="878"/>
        <v/>
      </c>
      <c r="AT1976">
        <f t="shared" si="879"/>
        <v>14</v>
      </c>
      <c r="AU1976" s="216" t="str">
        <f t="shared" si="880"/>
        <v>0,15-0,5 MW, Bonusregeln L, y und K erstmals 2009</v>
      </c>
      <c r="AV1976" s="215" t="str">
        <f t="shared" si="881"/>
        <v/>
      </c>
      <c r="AW1976" s="216" t="str">
        <f t="shared" si="882"/>
        <v>Anteil KWK, erstmals 2009</v>
      </c>
      <c r="AX1976" s="215" t="str">
        <f t="shared" si="883"/>
        <v/>
      </c>
      <c r="AY1976" t="str">
        <f t="shared" si="884"/>
        <v/>
      </c>
      <c r="AZ1976" t="str">
        <f t="shared" si="885"/>
        <v/>
      </c>
    </row>
    <row r="1977" spans="1:52" s="178" customFormat="1" x14ac:dyDescent="0.25">
      <c r="A1977" s="610" t="s">
        <v>4974</v>
      </c>
      <c r="B1977" s="30" t="s">
        <v>5548</v>
      </c>
      <c r="C1977" s="30" t="s">
        <v>1304</v>
      </c>
      <c r="D1977" s="30" t="s">
        <v>7067</v>
      </c>
      <c r="E1977" s="30" t="s">
        <v>3567</v>
      </c>
      <c r="F1977" s="454">
        <f t="shared" si="892"/>
        <v>22.43</v>
      </c>
      <c r="G1977" s="529">
        <v>22.43</v>
      </c>
      <c r="H1977" s="487">
        <f t="shared" si="893"/>
        <v>17.940000000000001</v>
      </c>
      <c r="I1977" s="706"/>
      <c r="J1977" s="669" t="s">
        <v>5805</v>
      </c>
      <c r="K1977" s="15"/>
      <c r="L1977"/>
      <c r="M1977" s="49">
        <f t="shared" si="894"/>
        <v>22.43</v>
      </c>
      <c r="N1977" s="41">
        <v>9.4600000000000009</v>
      </c>
      <c r="O1977" s="187"/>
      <c r="P1977" s="183"/>
      <c r="Q1977" s="184"/>
      <c r="R1977" s="184" t="s">
        <v>1017</v>
      </c>
      <c r="S1977" s="184" t="s">
        <v>4180</v>
      </c>
      <c r="T1977" s="178" t="s">
        <v>4180</v>
      </c>
      <c r="U1977" s="185" t="s">
        <v>1017</v>
      </c>
      <c r="V1977" s="184"/>
      <c r="W1977" s="180"/>
      <c r="X1977" s="180"/>
      <c r="Z1977" s="180"/>
      <c r="AA1977" s="184"/>
      <c r="AB1977" s="184" t="s">
        <v>1017</v>
      </c>
      <c r="AC1977" s="180"/>
      <c r="AD1977" s="182"/>
      <c r="AE1977" s="181"/>
      <c r="AF1977" s="180"/>
      <c r="AG1977" s="201"/>
      <c r="AH1977" s="212" t="str">
        <f t="shared" si="900"/>
        <v>2010</v>
      </c>
      <c r="AI1977" s="214" t="str">
        <f t="shared" si="886"/>
        <v/>
      </c>
      <c r="AJ1977" s="214" t="str">
        <f t="shared" si="887"/>
        <v/>
      </c>
      <c r="AK1977" s="214" t="str">
        <f t="shared" si="888"/>
        <v/>
      </c>
      <c r="AL1977" s="214" t="str">
        <f t="shared" si="889"/>
        <v/>
      </c>
      <c r="AM1977" s="214" t="str">
        <f t="shared" si="890"/>
        <v/>
      </c>
      <c r="AN1977" s="213" t="str">
        <f t="shared" si="873"/>
        <v>2010</v>
      </c>
      <c r="AO1977" s="213" t="str">
        <f t="shared" si="874"/>
        <v>2010</v>
      </c>
      <c r="AP1977" s="213" t="str">
        <f t="shared" si="875"/>
        <v>2010</v>
      </c>
      <c r="AQ1977" s="215" t="str">
        <f t="shared" si="876"/>
        <v/>
      </c>
      <c r="AR1977" s="216" t="str">
        <f t="shared" si="877"/>
        <v>BiK82LK10y--07</v>
      </c>
      <c r="AS1977" s="215" t="str">
        <f t="shared" si="878"/>
        <v/>
      </c>
      <c r="AT1977">
        <f t="shared" si="879"/>
        <v>14</v>
      </c>
      <c r="AU1977" s="216" t="str">
        <f t="shared" si="880"/>
        <v>0,15-0,5 MW, Bonusregeln L, y und K erstmals 2010</v>
      </c>
      <c r="AV1977" s="215" t="str">
        <f t="shared" si="881"/>
        <v/>
      </c>
      <c r="AW1977" s="216" t="str">
        <f t="shared" si="882"/>
        <v>Anteil KWK, erstmals 2010</v>
      </c>
      <c r="AX1977" s="215" t="str">
        <f t="shared" si="883"/>
        <v/>
      </c>
      <c r="AY1977" t="str">
        <f t="shared" si="884"/>
        <v/>
      </c>
      <c r="AZ1977" t="str">
        <f t="shared" si="885"/>
        <v/>
      </c>
    </row>
    <row r="1978" spans="1:52" s="178" customFormat="1" x14ac:dyDescent="0.25">
      <c r="A1978" s="610" t="s">
        <v>3411</v>
      </c>
      <c r="B1978" s="30" t="s">
        <v>5548</v>
      </c>
      <c r="C1978" s="30" t="s">
        <v>1304</v>
      </c>
      <c r="D1978" s="30" t="s">
        <v>7068</v>
      </c>
      <c r="E1978" s="30" t="s">
        <v>3055</v>
      </c>
      <c r="F1978" s="454">
        <f t="shared" si="892"/>
        <v>22.4</v>
      </c>
      <c r="G1978" s="529">
        <v>22.4</v>
      </c>
      <c r="H1978" s="487">
        <f t="shared" si="893"/>
        <v>17.920000000000002</v>
      </c>
      <c r="I1978" s="706"/>
      <c r="J1978" s="669" t="s">
        <v>5805</v>
      </c>
      <c r="K1978" s="15"/>
      <c r="L1978"/>
      <c r="M1978" s="49">
        <f t="shared" si="894"/>
        <v>22.4</v>
      </c>
      <c r="N1978" s="41">
        <v>9.4600000000000009</v>
      </c>
      <c r="O1978" s="187"/>
      <c r="P1978" s="183"/>
      <c r="Q1978" s="184"/>
      <c r="S1978" s="184" t="s">
        <v>1017</v>
      </c>
      <c r="T1978" s="178" t="s">
        <v>4180</v>
      </c>
      <c r="U1978" s="185" t="s">
        <v>1017</v>
      </c>
      <c r="V1978" s="184"/>
      <c r="W1978" s="180"/>
      <c r="X1978" s="180"/>
      <c r="Z1978" s="180"/>
      <c r="AA1978" s="184"/>
      <c r="AB1978" s="184" t="s">
        <v>1017</v>
      </c>
      <c r="AC1978" s="180"/>
      <c r="AD1978" s="182"/>
      <c r="AE1978" s="181"/>
      <c r="AF1978" s="180"/>
      <c r="AG1978" s="201"/>
      <c r="AH1978" s="212" t="str">
        <f t="shared" si="900"/>
        <v>2011</v>
      </c>
      <c r="AI1978" s="214" t="str">
        <f t="shared" si="886"/>
        <v/>
      </c>
      <c r="AJ1978" s="214" t="str">
        <f t="shared" si="887"/>
        <v/>
      </c>
      <c r="AK1978" s="214" t="str">
        <f t="shared" si="888"/>
        <v/>
      </c>
      <c r="AL1978" s="214" t="str">
        <f t="shared" si="889"/>
        <v/>
      </c>
      <c r="AM1978" s="214" t="str">
        <f t="shared" si="890"/>
        <v/>
      </c>
      <c r="AN1978" s="213" t="str">
        <f t="shared" si="873"/>
        <v>2011</v>
      </c>
      <c r="AO1978" s="213" t="str">
        <f t="shared" si="874"/>
        <v>2011</v>
      </c>
      <c r="AP1978" s="213" t="str">
        <f t="shared" si="875"/>
        <v>2011</v>
      </c>
      <c r="AQ1978" s="215" t="str">
        <f t="shared" si="876"/>
        <v/>
      </c>
      <c r="AR1978" s="216" t="str">
        <f t="shared" si="877"/>
        <v>BiK82LK11y--07</v>
      </c>
      <c r="AS1978" s="215" t="str">
        <f t="shared" si="878"/>
        <v/>
      </c>
      <c r="AT1978">
        <f t="shared" si="879"/>
        <v>14</v>
      </c>
      <c r="AU1978" s="216" t="str">
        <f t="shared" si="880"/>
        <v>0,15-0,5 MW, Bonusregeln L, y und K erstmals 2011</v>
      </c>
      <c r="AV1978" s="215" t="str">
        <f t="shared" si="881"/>
        <v/>
      </c>
      <c r="AW1978" s="216" t="str">
        <f t="shared" si="882"/>
        <v>Anteil KWK, erstmals 2011</v>
      </c>
      <c r="AX1978" s="215" t="str">
        <f t="shared" si="883"/>
        <v/>
      </c>
      <c r="AY1978" t="str">
        <f t="shared" si="884"/>
        <v>x</v>
      </c>
      <c r="AZ1978" t="str">
        <f t="shared" si="885"/>
        <v/>
      </c>
    </row>
    <row r="1979" spans="1:52" s="178" customFormat="1" x14ac:dyDescent="0.25">
      <c r="A1979" s="625" t="s">
        <v>1843</v>
      </c>
      <c r="B1979" s="219" t="s">
        <v>5548</v>
      </c>
      <c r="C1979" s="219" t="s">
        <v>1304</v>
      </c>
      <c r="D1979" s="219" t="s">
        <v>7069</v>
      </c>
      <c r="E1979" s="219" t="s">
        <v>1980</v>
      </c>
      <c r="F1979" s="455">
        <f t="shared" si="892"/>
        <v>22.37</v>
      </c>
      <c r="G1979" s="530">
        <v>22.37</v>
      </c>
      <c r="H1979" s="488">
        <f t="shared" si="893"/>
        <v>17.899999999999999</v>
      </c>
      <c r="I1979" s="707"/>
      <c r="J1979" s="669" t="s">
        <v>5805</v>
      </c>
      <c r="K1979" s="15"/>
      <c r="L1979"/>
      <c r="M1979" s="49">
        <f t="shared" si="894"/>
        <v>22.37</v>
      </c>
      <c r="N1979" s="41">
        <v>9.4600000000000009</v>
      </c>
      <c r="O1979" s="187"/>
      <c r="P1979" s="183"/>
      <c r="Q1979" s="184"/>
      <c r="S1979" s="184" t="s">
        <v>4180</v>
      </c>
      <c r="T1979" s="178" t="s">
        <v>1017</v>
      </c>
      <c r="U1979" s="185" t="s">
        <v>1017</v>
      </c>
      <c r="V1979" s="184"/>
      <c r="W1979" s="180"/>
      <c r="X1979" s="180"/>
      <c r="Z1979" s="180"/>
      <c r="AA1979" s="184"/>
      <c r="AB1979" s="184" t="s">
        <v>1017</v>
      </c>
      <c r="AC1979" s="180"/>
      <c r="AD1979" s="182"/>
      <c r="AE1979" s="181"/>
      <c r="AF1979" s="180"/>
      <c r="AG1979" s="201"/>
      <c r="AH1979" s="217" t="s">
        <v>4179</v>
      </c>
      <c r="AI1979" s="214" t="str">
        <f t="shared" si="886"/>
        <v/>
      </c>
      <c r="AJ1979" s="214" t="str">
        <f t="shared" si="887"/>
        <v/>
      </c>
      <c r="AK1979" s="214" t="str">
        <f t="shared" si="888"/>
        <v/>
      </c>
      <c r="AL1979" s="214" t="str">
        <f t="shared" si="889"/>
        <v/>
      </c>
      <c r="AM1979" s="214" t="str">
        <f t="shared" si="890"/>
        <v/>
      </c>
      <c r="AN1979" s="213" t="str">
        <f t="shared" si="873"/>
        <v>2012</v>
      </c>
      <c r="AO1979" s="213" t="str">
        <f t="shared" si="874"/>
        <v>2012</v>
      </c>
      <c r="AP1979" s="213" t="str">
        <f t="shared" si="875"/>
        <v>2012</v>
      </c>
      <c r="AQ1979" s="215" t="str">
        <f t="shared" si="876"/>
        <v/>
      </c>
      <c r="AR1979" s="216" t="str">
        <f t="shared" si="877"/>
        <v>BiK82LK12y--07</v>
      </c>
      <c r="AS1979" s="215" t="str">
        <f t="shared" si="878"/>
        <v/>
      </c>
      <c r="AT1979">
        <f t="shared" si="879"/>
        <v>14</v>
      </c>
      <c r="AU1979" s="216" t="str">
        <f t="shared" si="880"/>
        <v>0,15-0,5 MW, Bonusregeln L, y und K erstmals 2012</v>
      </c>
      <c r="AV1979" s="215" t="str">
        <f t="shared" si="881"/>
        <v/>
      </c>
      <c r="AW1979" s="216" t="str">
        <f t="shared" si="882"/>
        <v>Anteil KWK, erstmals 2012</v>
      </c>
      <c r="AX1979" s="215" t="str">
        <f t="shared" si="883"/>
        <v/>
      </c>
      <c r="AY1979" t="str">
        <f t="shared" si="884"/>
        <v/>
      </c>
      <c r="AZ1979" t="str">
        <f t="shared" si="885"/>
        <v>x</v>
      </c>
    </row>
    <row r="1980" spans="1:52" s="178" customFormat="1" x14ac:dyDescent="0.25">
      <c r="A1980" s="610" t="s">
        <v>4564</v>
      </c>
      <c r="B1980" s="30" t="s">
        <v>5548</v>
      </c>
      <c r="C1980" s="30" t="s">
        <v>1304</v>
      </c>
      <c r="D1980" s="30" t="s">
        <v>7070</v>
      </c>
      <c r="E1980" s="30" t="s">
        <v>4810</v>
      </c>
      <c r="F1980" s="454">
        <f t="shared" si="892"/>
        <v>19.46</v>
      </c>
      <c r="G1980" s="529">
        <v>19.46</v>
      </c>
      <c r="H1980" s="487">
        <f t="shared" si="893"/>
        <v>15.57</v>
      </c>
      <c r="I1980" s="706"/>
      <c r="J1980" s="669" t="s">
        <v>5805</v>
      </c>
      <c r="K1980" s="15"/>
      <c r="L1980"/>
      <c r="M1980" s="49">
        <f t="shared" si="894"/>
        <v>19.46</v>
      </c>
      <c r="N1980" s="41">
        <v>9.4600000000000009</v>
      </c>
      <c r="O1980" s="186"/>
      <c r="P1980" s="177"/>
      <c r="S1980" s="178" t="s">
        <v>4180</v>
      </c>
      <c r="T1980" s="178" t="s">
        <v>4180</v>
      </c>
      <c r="U1980" s="179"/>
      <c r="W1980" s="180"/>
      <c r="X1980" s="180"/>
      <c r="Z1980" s="180"/>
      <c r="AA1980" s="184"/>
      <c r="AC1980" s="180"/>
      <c r="AD1980" s="199" t="s">
        <v>1017</v>
      </c>
      <c r="AE1980" s="200"/>
      <c r="AF1980" s="180"/>
      <c r="AG1980" s="201"/>
      <c r="AH1980" s="212" t="str">
        <f t="shared" ref="AH1980:AH1985" si="901">IF(ISERROR(SEARCH("K erstmals 201",D1980)),"",RIGHT(D1980,4))</f>
        <v/>
      </c>
      <c r="AI1980" s="214" t="str">
        <f t="shared" si="886"/>
        <v/>
      </c>
      <c r="AJ1980" s="214" t="str">
        <f t="shared" si="887"/>
        <v/>
      </c>
      <c r="AK1980" s="214" t="str">
        <f t="shared" si="888"/>
        <v/>
      </c>
      <c r="AL1980" s="214" t="str">
        <f t="shared" si="889"/>
        <v/>
      </c>
      <c r="AM1980" s="214" t="str">
        <f t="shared" si="890"/>
        <v/>
      </c>
      <c r="AN1980" s="213" t="str">
        <f t="shared" si="873"/>
        <v/>
      </c>
      <c r="AO1980" s="213" t="str">
        <f t="shared" si="874"/>
        <v/>
      </c>
      <c r="AP1980" s="213" t="str">
        <f t="shared" si="875"/>
        <v/>
      </c>
      <c r="AQ1980" s="215" t="str">
        <f t="shared" si="876"/>
        <v/>
      </c>
      <c r="AR1980" s="216" t="str">
        <f t="shared" si="877"/>
        <v>BiK82X2-----07</v>
      </c>
      <c r="AS1980" s="215" t="str">
        <f t="shared" si="878"/>
        <v/>
      </c>
      <c r="AT1980">
        <f t="shared" si="879"/>
        <v>14</v>
      </c>
      <c r="AU1980" s="216" t="str">
        <f t="shared" si="880"/>
        <v>0,15-0,5 MW, Bonusregel X2</v>
      </c>
      <c r="AV1980" s="215" t="str">
        <f t="shared" si="881"/>
        <v/>
      </c>
      <c r="AW1980" s="216" t="str">
        <f t="shared" si="882"/>
        <v>Anteil Nicht-KWK</v>
      </c>
      <c r="AX1980" s="215" t="str">
        <f t="shared" si="883"/>
        <v/>
      </c>
      <c r="AY1980" t="str">
        <f t="shared" si="884"/>
        <v/>
      </c>
      <c r="AZ1980" t="str">
        <f t="shared" si="885"/>
        <v/>
      </c>
    </row>
    <row r="1981" spans="1:52" s="178" customFormat="1" x14ac:dyDescent="0.25">
      <c r="A1981" s="610" t="s">
        <v>4565</v>
      </c>
      <c r="B1981" s="30" t="s">
        <v>5548</v>
      </c>
      <c r="C1981" s="30" t="s">
        <v>1304</v>
      </c>
      <c r="D1981" s="30" t="s">
        <v>7128</v>
      </c>
      <c r="E1981" s="30" t="s">
        <v>4812</v>
      </c>
      <c r="F1981" s="454">
        <f t="shared" si="892"/>
        <v>21.46</v>
      </c>
      <c r="G1981" s="529">
        <v>21.46</v>
      </c>
      <c r="H1981" s="487">
        <f t="shared" si="893"/>
        <v>17.170000000000002</v>
      </c>
      <c r="I1981" s="706"/>
      <c r="J1981" s="669" t="s">
        <v>5805</v>
      </c>
      <c r="K1981" s="15"/>
      <c r="L1981"/>
      <c r="M1981" s="49">
        <f t="shared" si="894"/>
        <v>21.46</v>
      </c>
      <c r="N1981" s="41">
        <v>9.4600000000000009</v>
      </c>
      <c r="O1981" s="186" t="s">
        <v>1017</v>
      </c>
      <c r="P1981" s="177"/>
      <c r="S1981" s="178" t="s">
        <v>4180</v>
      </c>
      <c r="T1981" s="178" t="s">
        <v>4180</v>
      </c>
      <c r="U1981" s="179"/>
      <c r="W1981" s="180"/>
      <c r="X1981" s="180"/>
      <c r="Z1981" s="180"/>
      <c r="AA1981" s="184"/>
      <c r="AC1981" s="180"/>
      <c r="AD1981" s="199" t="s">
        <v>1017</v>
      </c>
      <c r="AE1981" s="200"/>
      <c r="AF1981" s="180"/>
      <c r="AG1981" s="201"/>
      <c r="AH1981" s="212" t="str">
        <f t="shared" si="901"/>
        <v/>
      </c>
      <c r="AI1981" s="214" t="str">
        <f t="shared" si="886"/>
        <v/>
      </c>
      <c r="AJ1981" s="214" t="str">
        <f t="shared" si="887"/>
        <v/>
      </c>
      <c r="AK1981" s="214" t="str">
        <f t="shared" si="888"/>
        <v/>
      </c>
      <c r="AL1981" s="214" t="str">
        <f t="shared" si="889"/>
        <v/>
      </c>
      <c r="AM1981" s="214" t="str">
        <f t="shared" si="890"/>
        <v/>
      </c>
      <c r="AN1981" s="213" t="str">
        <f t="shared" si="873"/>
        <v/>
      </c>
      <c r="AO1981" s="213" t="str">
        <f t="shared" si="874"/>
        <v/>
      </c>
      <c r="AP1981" s="213" t="str">
        <f t="shared" si="875"/>
        <v/>
      </c>
      <c r="AQ1981" s="215" t="str">
        <f t="shared" si="876"/>
        <v/>
      </c>
      <c r="AR1981" s="216" t="str">
        <f t="shared" si="877"/>
        <v>BiK82X2KWK--07</v>
      </c>
      <c r="AS1981" s="215" t="str">
        <f t="shared" si="878"/>
        <v/>
      </c>
      <c r="AT1981">
        <f t="shared" si="879"/>
        <v>14</v>
      </c>
      <c r="AU1981" s="216" t="str">
        <f t="shared" si="880"/>
        <v>0,15-0,5 MW, Bonusregeln X2 und KWK</v>
      </c>
      <c r="AV1981" s="215" t="str">
        <f t="shared" si="881"/>
        <v/>
      </c>
      <c r="AW1981" s="216" t="str">
        <f t="shared" si="882"/>
        <v>Anteil KWK</v>
      </c>
      <c r="AX1981" s="215" t="str">
        <f t="shared" si="883"/>
        <v/>
      </c>
      <c r="AY1981" t="str">
        <f t="shared" si="884"/>
        <v/>
      </c>
      <c r="AZ1981" t="str">
        <f t="shared" si="885"/>
        <v/>
      </c>
    </row>
    <row r="1982" spans="1:52" s="178" customFormat="1" x14ac:dyDescent="0.25">
      <c r="A1982" s="610" t="s">
        <v>4566</v>
      </c>
      <c r="B1982" s="30" t="s">
        <v>5548</v>
      </c>
      <c r="C1982" s="30" t="s">
        <v>1304</v>
      </c>
      <c r="D1982" s="30" t="s">
        <v>7071</v>
      </c>
      <c r="E1982" s="30" t="s">
        <v>4331</v>
      </c>
      <c r="F1982" s="454">
        <f t="shared" si="892"/>
        <v>22.46</v>
      </c>
      <c r="G1982" s="529">
        <v>22.46</v>
      </c>
      <c r="H1982" s="487">
        <f t="shared" si="893"/>
        <v>17.97</v>
      </c>
      <c r="I1982" s="706"/>
      <c r="J1982" s="669" t="s">
        <v>5805</v>
      </c>
      <c r="K1982" s="15"/>
      <c r="L1982"/>
      <c r="M1982" s="49">
        <f t="shared" si="894"/>
        <v>22.46</v>
      </c>
      <c r="N1982" s="41">
        <v>9.4600000000000009</v>
      </c>
      <c r="O1982" s="186"/>
      <c r="P1982" s="178" t="s">
        <v>1017</v>
      </c>
      <c r="S1982" s="178" t="s">
        <v>4180</v>
      </c>
      <c r="T1982" s="178" t="s">
        <v>4180</v>
      </c>
      <c r="U1982" s="179"/>
      <c r="W1982" s="180"/>
      <c r="X1982" s="180"/>
      <c r="Z1982" s="180"/>
      <c r="AA1982" s="184"/>
      <c r="AC1982" s="180"/>
      <c r="AD1982" s="199" t="s">
        <v>1017</v>
      </c>
      <c r="AE1982" s="200"/>
      <c r="AF1982" s="180"/>
      <c r="AG1982" s="201"/>
      <c r="AH1982" s="212" t="str">
        <f t="shared" si="901"/>
        <v/>
      </c>
      <c r="AI1982" s="214" t="str">
        <f t="shared" si="886"/>
        <v/>
      </c>
      <c r="AJ1982" s="214" t="str">
        <f t="shared" si="887"/>
        <v/>
      </c>
      <c r="AK1982" s="214" t="str">
        <f t="shared" si="888"/>
        <v/>
      </c>
      <c r="AL1982" s="214" t="str">
        <f t="shared" si="889"/>
        <v/>
      </c>
      <c r="AM1982" s="214" t="str">
        <f t="shared" si="890"/>
        <v/>
      </c>
      <c r="AN1982" s="213" t="str">
        <f t="shared" si="873"/>
        <v/>
      </c>
      <c r="AO1982" s="213" t="str">
        <f t="shared" si="874"/>
        <v/>
      </c>
      <c r="AP1982" s="213" t="str">
        <f t="shared" si="875"/>
        <v/>
      </c>
      <c r="AQ1982" s="215" t="str">
        <f t="shared" si="876"/>
        <v/>
      </c>
      <c r="AR1982" s="216" t="str">
        <f t="shared" si="877"/>
        <v>BiK82X2KA3--07</v>
      </c>
      <c r="AS1982" s="215" t="str">
        <f t="shared" si="878"/>
        <v/>
      </c>
      <c r="AT1982">
        <f t="shared" si="879"/>
        <v>14</v>
      </c>
      <c r="AU1982" s="216" t="str">
        <f t="shared" si="880"/>
        <v>0,15-0,5 MW, Bonusregeln X2 und K wenn Anlage 3 erfüllt</v>
      </c>
      <c r="AV1982" s="215" t="str">
        <f t="shared" si="881"/>
        <v/>
      </c>
      <c r="AW1982" s="216" t="str">
        <f t="shared" si="882"/>
        <v>Anteil KWK gemäß Anlage 3</v>
      </c>
      <c r="AX1982" s="215" t="str">
        <f t="shared" si="883"/>
        <v/>
      </c>
      <c r="AY1982" t="str">
        <f t="shared" si="884"/>
        <v/>
      </c>
      <c r="AZ1982" t="str">
        <f t="shared" si="885"/>
        <v/>
      </c>
    </row>
    <row r="1983" spans="1:52" s="178" customFormat="1" x14ac:dyDescent="0.25">
      <c r="A1983" s="610" t="s">
        <v>3041</v>
      </c>
      <c r="B1983" s="30" t="s">
        <v>5548</v>
      </c>
      <c r="C1983" s="30" t="s">
        <v>1304</v>
      </c>
      <c r="D1983" s="30" t="s">
        <v>7072</v>
      </c>
      <c r="E1983" s="30" t="s">
        <v>674</v>
      </c>
      <c r="F1983" s="454">
        <f t="shared" si="892"/>
        <v>22.46</v>
      </c>
      <c r="G1983" s="529">
        <v>22.46</v>
      </c>
      <c r="H1983" s="487">
        <f t="shared" si="893"/>
        <v>17.97</v>
      </c>
      <c r="I1983" s="706"/>
      <c r="J1983" s="669" t="s">
        <v>5805</v>
      </c>
      <c r="K1983" s="15"/>
      <c r="L1983"/>
      <c r="M1983" s="49">
        <f t="shared" si="894"/>
        <v>22.46</v>
      </c>
      <c r="N1983" s="41">
        <v>9.4600000000000009</v>
      </c>
      <c r="O1983" s="186"/>
      <c r="P1983" s="177"/>
      <c r="Q1983" s="178" t="s">
        <v>1017</v>
      </c>
      <c r="S1983" s="178" t="s">
        <v>4180</v>
      </c>
      <c r="T1983" s="178" t="s">
        <v>4180</v>
      </c>
      <c r="U1983" s="179"/>
      <c r="W1983" s="180"/>
      <c r="X1983" s="180"/>
      <c r="Z1983" s="180"/>
      <c r="AA1983" s="184"/>
      <c r="AC1983" s="180"/>
      <c r="AD1983" s="199" t="s">
        <v>1017</v>
      </c>
      <c r="AE1983" s="200"/>
      <c r="AF1983" s="180"/>
      <c r="AG1983" s="201"/>
      <c r="AH1983" s="212" t="str">
        <f t="shared" si="901"/>
        <v/>
      </c>
      <c r="AI1983" s="214" t="str">
        <f t="shared" si="886"/>
        <v/>
      </c>
      <c r="AJ1983" s="214" t="str">
        <f t="shared" si="887"/>
        <v/>
      </c>
      <c r="AK1983" s="214" t="str">
        <f t="shared" si="888"/>
        <v/>
      </c>
      <c r="AL1983" s="214" t="str">
        <f t="shared" si="889"/>
        <v/>
      </c>
      <c r="AM1983" s="214" t="str">
        <f t="shared" si="890"/>
        <v/>
      </c>
      <c r="AN1983" s="213" t="str">
        <f t="shared" si="873"/>
        <v/>
      </c>
      <c r="AO1983" s="213" t="str">
        <f t="shared" si="874"/>
        <v/>
      </c>
      <c r="AP1983" s="213" t="str">
        <f t="shared" si="875"/>
        <v/>
      </c>
      <c r="AQ1983" s="215" t="str">
        <f t="shared" si="876"/>
        <v/>
      </c>
      <c r="AR1983" s="216" t="str">
        <f t="shared" si="877"/>
        <v>BiK82X2K09--07</v>
      </c>
      <c r="AS1983" s="215" t="str">
        <f t="shared" si="878"/>
        <v/>
      </c>
      <c r="AT1983">
        <f t="shared" si="879"/>
        <v>14</v>
      </c>
      <c r="AU1983" s="216" t="str">
        <f t="shared" si="880"/>
        <v>0,15-0,5 MW, Bonusregeln X2 und K erstmals 2009</v>
      </c>
      <c r="AV1983" s="215" t="str">
        <f t="shared" si="881"/>
        <v/>
      </c>
      <c r="AW1983" s="216" t="str">
        <f t="shared" si="882"/>
        <v>Anteil KWK, erstmals 2009</v>
      </c>
      <c r="AX1983" s="215" t="str">
        <f t="shared" si="883"/>
        <v/>
      </c>
      <c r="AY1983" t="str">
        <f t="shared" si="884"/>
        <v/>
      </c>
      <c r="AZ1983" t="str">
        <f t="shared" si="885"/>
        <v/>
      </c>
    </row>
    <row r="1984" spans="1:52" s="178" customFormat="1" x14ac:dyDescent="0.25">
      <c r="A1984" s="610" t="s">
        <v>4975</v>
      </c>
      <c r="B1984" s="30" t="s">
        <v>5548</v>
      </c>
      <c r="C1984" s="30" t="s">
        <v>1304</v>
      </c>
      <c r="D1984" s="30" t="s">
        <v>7073</v>
      </c>
      <c r="E1984" s="30" t="s">
        <v>3567</v>
      </c>
      <c r="F1984" s="454">
        <f t="shared" si="892"/>
        <v>22.43</v>
      </c>
      <c r="G1984" s="529">
        <v>22.43</v>
      </c>
      <c r="H1984" s="487">
        <f t="shared" si="893"/>
        <v>17.940000000000001</v>
      </c>
      <c r="I1984" s="706"/>
      <c r="J1984" s="669" t="s">
        <v>5805</v>
      </c>
      <c r="K1984" s="15"/>
      <c r="L1984"/>
      <c r="M1984" s="49">
        <f t="shared" si="894"/>
        <v>22.43</v>
      </c>
      <c r="N1984" s="41">
        <v>9.4600000000000009</v>
      </c>
      <c r="O1984" s="186"/>
      <c r="P1984" s="177"/>
      <c r="R1984" s="178" t="s">
        <v>1017</v>
      </c>
      <c r="S1984" s="178" t="s">
        <v>4180</v>
      </c>
      <c r="T1984" s="178" t="s">
        <v>4180</v>
      </c>
      <c r="U1984" s="179"/>
      <c r="W1984" s="180"/>
      <c r="X1984" s="180"/>
      <c r="Z1984" s="180"/>
      <c r="AA1984" s="184"/>
      <c r="AC1984" s="180"/>
      <c r="AD1984" s="199" t="s">
        <v>1017</v>
      </c>
      <c r="AE1984" s="200"/>
      <c r="AF1984" s="180"/>
      <c r="AG1984" s="201"/>
      <c r="AH1984" s="212" t="str">
        <f t="shared" si="901"/>
        <v>2010</v>
      </c>
      <c r="AI1984" s="214" t="str">
        <f t="shared" si="886"/>
        <v/>
      </c>
      <c r="AJ1984" s="214" t="str">
        <f t="shared" si="887"/>
        <v/>
      </c>
      <c r="AK1984" s="214" t="str">
        <f t="shared" si="888"/>
        <v/>
      </c>
      <c r="AL1984" s="214" t="str">
        <f t="shared" si="889"/>
        <v/>
      </c>
      <c r="AM1984" s="214" t="str">
        <f t="shared" si="890"/>
        <v/>
      </c>
      <c r="AN1984" s="213" t="str">
        <f t="shared" si="873"/>
        <v>2010</v>
      </c>
      <c r="AO1984" s="213" t="str">
        <f t="shared" si="874"/>
        <v>2010</v>
      </c>
      <c r="AP1984" s="213" t="str">
        <f t="shared" si="875"/>
        <v>2010</v>
      </c>
      <c r="AQ1984" s="215" t="str">
        <f t="shared" si="876"/>
        <v/>
      </c>
      <c r="AR1984" s="216" t="str">
        <f t="shared" si="877"/>
        <v>BiK82X2K10--07</v>
      </c>
      <c r="AS1984" s="215" t="str">
        <f t="shared" si="878"/>
        <v/>
      </c>
      <c r="AT1984">
        <f t="shared" si="879"/>
        <v>14</v>
      </c>
      <c r="AU1984" s="216" t="str">
        <f t="shared" si="880"/>
        <v>0,15-0,5 MW, Bonusregeln X2 und K erstmals 2010</v>
      </c>
      <c r="AV1984" s="215" t="str">
        <f t="shared" si="881"/>
        <v/>
      </c>
      <c r="AW1984" s="216" t="str">
        <f t="shared" si="882"/>
        <v>Anteil KWK, erstmals 2010</v>
      </c>
      <c r="AX1984" s="215" t="str">
        <f t="shared" si="883"/>
        <v/>
      </c>
      <c r="AY1984" t="str">
        <f t="shared" si="884"/>
        <v/>
      </c>
      <c r="AZ1984" t="str">
        <f t="shared" si="885"/>
        <v/>
      </c>
    </row>
    <row r="1985" spans="1:52" s="178" customFormat="1" x14ac:dyDescent="0.25">
      <c r="A1985" s="610" t="s">
        <v>3412</v>
      </c>
      <c r="B1985" s="30" t="s">
        <v>5548</v>
      </c>
      <c r="C1985" s="30" t="s">
        <v>1304</v>
      </c>
      <c r="D1985" s="30" t="s">
        <v>7074</v>
      </c>
      <c r="E1985" s="30" t="s">
        <v>3055</v>
      </c>
      <c r="F1985" s="454">
        <f t="shared" si="892"/>
        <v>22.4</v>
      </c>
      <c r="G1985" s="529">
        <v>22.4</v>
      </c>
      <c r="H1985" s="487">
        <f t="shared" si="893"/>
        <v>17.920000000000002</v>
      </c>
      <c r="I1985" s="706"/>
      <c r="J1985" s="669" t="s">
        <v>5805</v>
      </c>
      <c r="K1985" s="15"/>
      <c r="L1985"/>
      <c r="M1985" s="49">
        <f t="shared" si="894"/>
        <v>22.4</v>
      </c>
      <c r="N1985" s="41">
        <v>9.4600000000000009</v>
      </c>
      <c r="O1985" s="186"/>
      <c r="P1985" s="177"/>
      <c r="S1985" s="178" t="s">
        <v>1017</v>
      </c>
      <c r="T1985" s="178" t="s">
        <v>4180</v>
      </c>
      <c r="U1985" s="179"/>
      <c r="W1985" s="180"/>
      <c r="X1985" s="180"/>
      <c r="Z1985" s="180"/>
      <c r="AA1985" s="184"/>
      <c r="AC1985" s="180"/>
      <c r="AD1985" s="199" t="s">
        <v>1017</v>
      </c>
      <c r="AE1985" s="200"/>
      <c r="AF1985" s="180"/>
      <c r="AG1985" s="201"/>
      <c r="AH1985" s="212" t="str">
        <f t="shared" si="901"/>
        <v>2011</v>
      </c>
      <c r="AI1985" s="214" t="str">
        <f t="shared" si="886"/>
        <v/>
      </c>
      <c r="AJ1985" s="214" t="str">
        <f t="shared" si="887"/>
        <v/>
      </c>
      <c r="AK1985" s="214" t="str">
        <f t="shared" si="888"/>
        <v/>
      </c>
      <c r="AL1985" s="214" t="str">
        <f t="shared" si="889"/>
        <v/>
      </c>
      <c r="AM1985" s="214" t="str">
        <f t="shared" si="890"/>
        <v/>
      </c>
      <c r="AN1985" s="213" t="str">
        <f t="shared" si="873"/>
        <v>2011</v>
      </c>
      <c r="AO1985" s="213" t="str">
        <f t="shared" si="874"/>
        <v>2011</v>
      </c>
      <c r="AP1985" s="213" t="str">
        <f t="shared" si="875"/>
        <v>2011</v>
      </c>
      <c r="AQ1985" s="215" t="str">
        <f t="shared" si="876"/>
        <v/>
      </c>
      <c r="AR1985" s="216" t="str">
        <f t="shared" si="877"/>
        <v>BiK82X2K11--07</v>
      </c>
      <c r="AS1985" s="215" t="str">
        <f t="shared" si="878"/>
        <v/>
      </c>
      <c r="AT1985">
        <f t="shared" si="879"/>
        <v>14</v>
      </c>
      <c r="AU1985" s="216" t="str">
        <f t="shared" si="880"/>
        <v>0,15-0,5 MW, Bonusregeln X2 und K erstmals 2011</v>
      </c>
      <c r="AV1985" s="215" t="str">
        <f t="shared" si="881"/>
        <v/>
      </c>
      <c r="AW1985" s="216" t="str">
        <f t="shared" si="882"/>
        <v>Anteil KWK, erstmals 2011</v>
      </c>
      <c r="AX1985" s="215" t="str">
        <f t="shared" si="883"/>
        <v/>
      </c>
      <c r="AY1985" t="str">
        <f t="shared" si="884"/>
        <v>x</v>
      </c>
      <c r="AZ1985" t="str">
        <f t="shared" si="885"/>
        <v/>
      </c>
    </row>
    <row r="1986" spans="1:52" s="178" customFormat="1" x14ac:dyDescent="0.25">
      <c r="A1986" s="625" t="s">
        <v>1844</v>
      </c>
      <c r="B1986" s="219" t="s">
        <v>5548</v>
      </c>
      <c r="C1986" s="219" t="s">
        <v>1304</v>
      </c>
      <c r="D1986" s="219" t="s">
        <v>7075</v>
      </c>
      <c r="E1986" s="219" t="s">
        <v>1980</v>
      </c>
      <c r="F1986" s="455">
        <f t="shared" si="892"/>
        <v>22.37</v>
      </c>
      <c r="G1986" s="530">
        <v>22.37</v>
      </c>
      <c r="H1986" s="488">
        <f t="shared" si="893"/>
        <v>17.899999999999999</v>
      </c>
      <c r="I1986" s="707"/>
      <c r="J1986" s="669" t="s">
        <v>5805</v>
      </c>
      <c r="K1986" s="15"/>
      <c r="L1986"/>
      <c r="M1986" s="49">
        <f t="shared" si="894"/>
        <v>22.37</v>
      </c>
      <c r="N1986" s="41">
        <v>9.4600000000000009</v>
      </c>
      <c r="O1986" s="186"/>
      <c r="P1986" s="177"/>
      <c r="S1986" s="178" t="s">
        <v>4180</v>
      </c>
      <c r="T1986" s="178" t="s">
        <v>1017</v>
      </c>
      <c r="U1986" s="179"/>
      <c r="W1986" s="180"/>
      <c r="X1986" s="180"/>
      <c r="Z1986" s="180"/>
      <c r="AA1986" s="184"/>
      <c r="AC1986" s="180"/>
      <c r="AD1986" s="199" t="s">
        <v>1017</v>
      </c>
      <c r="AE1986" s="200"/>
      <c r="AF1986" s="180"/>
      <c r="AG1986" s="201"/>
      <c r="AH1986" s="217" t="s">
        <v>4179</v>
      </c>
      <c r="AI1986" s="214" t="str">
        <f t="shared" si="886"/>
        <v/>
      </c>
      <c r="AJ1986" s="214" t="str">
        <f t="shared" si="887"/>
        <v/>
      </c>
      <c r="AK1986" s="214" t="str">
        <f t="shared" si="888"/>
        <v/>
      </c>
      <c r="AL1986" s="214" t="str">
        <f t="shared" si="889"/>
        <v/>
      </c>
      <c r="AM1986" s="214" t="str">
        <f t="shared" si="890"/>
        <v/>
      </c>
      <c r="AN1986" s="213" t="str">
        <f t="shared" si="873"/>
        <v>2012</v>
      </c>
      <c r="AO1986" s="213" t="str">
        <f t="shared" si="874"/>
        <v>2012</v>
      </c>
      <c r="AP1986" s="213" t="str">
        <f t="shared" si="875"/>
        <v>2012</v>
      </c>
      <c r="AQ1986" s="215" t="str">
        <f t="shared" si="876"/>
        <v/>
      </c>
      <c r="AR1986" s="216" t="str">
        <f t="shared" si="877"/>
        <v>BiK82X2K12--07</v>
      </c>
      <c r="AS1986" s="215" t="str">
        <f t="shared" si="878"/>
        <v/>
      </c>
      <c r="AT1986">
        <f t="shared" si="879"/>
        <v>14</v>
      </c>
      <c r="AU1986" s="216" t="str">
        <f t="shared" si="880"/>
        <v>0,15-0,5 MW, Bonusregeln X2 und K erstmals 2012</v>
      </c>
      <c r="AV1986" s="215" t="str">
        <f t="shared" si="881"/>
        <v/>
      </c>
      <c r="AW1986" s="216" t="str">
        <f t="shared" si="882"/>
        <v>Anteil KWK, erstmals 2012</v>
      </c>
      <c r="AX1986" s="215" t="str">
        <f t="shared" si="883"/>
        <v/>
      </c>
      <c r="AY1986" t="str">
        <f t="shared" si="884"/>
        <v/>
      </c>
      <c r="AZ1986" t="str">
        <f t="shared" si="885"/>
        <v>x</v>
      </c>
    </row>
    <row r="1987" spans="1:52" x14ac:dyDescent="0.25">
      <c r="A1987" s="610" t="s">
        <v>3042</v>
      </c>
      <c r="B1987" s="30" t="s">
        <v>5548</v>
      </c>
      <c r="C1987" s="30" t="s">
        <v>1304</v>
      </c>
      <c r="D1987" s="30" t="s">
        <v>7076</v>
      </c>
      <c r="E1987" s="30" t="s">
        <v>4810</v>
      </c>
      <c r="F1987" s="454">
        <f t="shared" si="892"/>
        <v>20.46</v>
      </c>
      <c r="G1987" s="529">
        <v>20.46</v>
      </c>
      <c r="H1987" s="487">
        <f t="shared" si="893"/>
        <v>16.37</v>
      </c>
      <c r="I1987" s="706"/>
      <c r="J1987" s="669" t="s">
        <v>5805</v>
      </c>
      <c r="K1987" s="15"/>
      <c r="M1987" s="49">
        <f t="shared" si="894"/>
        <v>20.46</v>
      </c>
      <c r="N1987" s="41">
        <v>9.4600000000000009</v>
      </c>
      <c r="O1987" s="187"/>
      <c r="P1987" s="183"/>
      <c r="Q1987" s="184"/>
      <c r="R1987" s="184"/>
      <c r="S1987" s="184" t="s">
        <v>4180</v>
      </c>
      <c r="T1987" t="s">
        <v>4180</v>
      </c>
      <c r="U1987" s="185" t="s">
        <v>1017</v>
      </c>
      <c r="V1987" s="184"/>
      <c r="W1987" s="180"/>
      <c r="X1987" s="180"/>
      <c r="Y1987" s="178"/>
      <c r="Z1987" s="180"/>
      <c r="AA1987" s="184"/>
      <c r="AB1987" s="178"/>
      <c r="AC1987" s="180"/>
      <c r="AD1987" s="182" t="s">
        <v>1017</v>
      </c>
      <c r="AE1987" s="181"/>
      <c r="AF1987" s="180"/>
      <c r="AG1987" s="201"/>
      <c r="AH1987" s="212" t="str">
        <f t="shared" ref="AH1987:AH1992" si="902">IF(ISERROR(SEARCH("K erstmals 201",D1987)),"",RIGHT(D1987,4))</f>
        <v/>
      </c>
      <c r="AI1987" s="214" t="str">
        <f t="shared" si="886"/>
        <v/>
      </c>
      <c r="AJ1987" s="214" t="str">
        <f t="shared" si="887"/>
        <v/>
      </c>
      <c r="AK1987" s="214" t="str">
        <f t="shared" si="888"/>
        <v/>
      </c>
      <c r="AL1987" s="214" t="str">
        <f t="shared" si="889"/>
        <v/>
      </c>
      <c r="AM1987" s="214" t="str">
        <f t="shared" si="890"/>
        <v/>
      </c>
      <c r="AN1987" s="213" t="str">
        <f t="shared" si="873"/>
        <v/>
      </c>
      <c r="AO1987" s="213" t="str">
        <f t="shared" si="874"/>
        <v/>
      </c>
      <c r="AP1987" s="213" t="str">
        <f t="shared" si="875"/>
        <v/>
      </c>
      <c r="AQ1987" s="215" t="str">
        <f t="shared" si="876"/>
        <v/>
      </c>
      <c r="AR1987" s="216" t="str">
        <f t="shared" si="877"/>
        <v>BiK82X2y----07</v>
      </c>
      <c r="AS1987" s="215" t="str">
        <f t="shared" si="878"/>
        <v/>
      </c>
      <c r="AT1987">
        <f t="shared" si="879"/>
        <v>14</v>
      </c>
      <c r="AU1987" s="216" t="str">
        <f t="shared" si="880"/>
        <v>0,15-0,5 MW, Bonusregeln X2, y</v>
      </c>
      <c r="AV1987" s="215" t="str">
        <f t="shared" si="881"/>
        <v/>
      </c>
      <c r="AW1987" s="216" t="str">
        <f t="shared" si="882"/>
        <v>Anteil Nicht-KWK</v>
      </c>
      <c r="AX1987" s="215" t="str">
        <f t="shared" si="883"/>
        <v/>
      </c>
      <c r="AY1987" t="str">
        <f t="shared" si="884"/>
        <v/>
      </c>
      <c r="AZ1987" t="str">
        <f t="shared" si="885"/>
        <v/>
      </c>
    </row>
    <row r="1988" spans="1:52" x14ac:dyDescent="0.25">
      <c r="A1988" s="610" t="s">
        <v>3043</v>
      </c>
      <c r="B1988" s="30" t="s">
        <v>5548</v>
      </c>
      <c r="C1988" s="30" t="s">
        <v>1304</v>
      </c>
      <c r="D1988" s="30" t="s">
        <v>7129</v>
      </c>
      <c r="E1988" s="30" t="s">
        <v>4812</v>
      </c>
      <c r="F1988" s="454">
        <f t="shared" si="892"/>
        <v>22.46</v>
      </c>
      <c r="G1988" s="529">
        <v>22.46</v>
      </c>
      <c r="H1988" s="487">
        <f t="shared" si="893"/>
        <v>17.97</v>
      </c>
      <c r="I1988" s="706"/>
      <c r="J1988" s="669" t="s">
        <v>5805</v>
      </c>
      <c r="K1988" s="15"/>
      <c r="M1988" s="49">
        <f t="shared" si="894"/>
        <v>22.46</v>
      </c>
      <c r="N1988" s="41">
        <v>9.4600000000000009</v>
      </c>
      <c r="O1988" s="187" t="s">
        <v>1017</v>
      </c>
      <c r="P1988" s="183"/>
      <c r="Q1988" s="184"/>
      <c r="R1988" s="184"/>
      <c r="S1988" s="184" t="s">
        <v>4180</v>
      </c>
      <c r="T1988" t="s">
        <v>4180</v>
      </c>
      <c r="U1988" s="185" t="s">
        <v>1017</v>
      </c>
      <c r="V1988" s="184"/>
      <c r="W1988" s="180"/>
      <c r="X1988" s="180"/>
      <c r="Y1988" s="178"/>
      <c r="Z1988" s="180"/>
      <c r="AA1988" s="184"/>
      <c r="AB1988" s="178"/>
      <c r="AC1988" s="180"/>
      <c r="AD1988" s="182" t="s">
        <v>1017</v>
      </c>
      <c r="AE1988" s="181"/>
      <c r="AF1988" s="180"/>
      <c r="AG1988" s="201"/>
      <c r="AH1988" s="212" t="str">
        <f t="shared" si="902"/>
        <v/>
      </c>
      <c r="AI1988" s="214" t="str">
        <f t="shared" si="886"/>
        <v/>
      </c>
      <c r="AJ1988" s="214" t="str">
        <f t="shared" si="887"/>
        <v/>
      </c>
      <c r="AK1988" s="214" t="str">
        <f t="shared" si="888"/>
        <v/>
      </c>
      <c r="AL1988" s="214" t="str">
        <f t="shared" si="889"/>
        <v/>
      </c>
      <c r="AM1988" s="214" t="str">
        <f t="shared" si="890"/>
        <v/>
      </c>
      <c r="AN1988" s="213" t="str">
        <f t="shared" si="873"/>
        <v/>
      </c>
      <c r="AO1988" s="213" t="str">
        <f t="shared" si="874"/>
        <v/>
      </c>
      <c r="AP1988" s="213" t="str">
        <f t="shared" si="875"/>
        <v/>
      </c>
      <c r="AQ1988" s="215" t="str">
        <f t="shared" si="876"/>
        <v/>
      </c>
      <c r="AR1988" s="216" t="str">
        <f t="shared" si="877"/>
        <v>BiK82X2KWKy-07</v>
      </c>
      <c r="AS1988" s="215" t="str">
        <f t="shared" si="878"/>
        <v/>
      </c>
      <c r="AT1988">
        <f t="shared" si="879"/>
        <v>14</v>
      </c>
      <c r="AU1988" s="216" t="str">
        <f t="shared" si="880"/>
        <v>0,15-0,5 MW, Bonusregeln X2, y und KWK</v>
      </c>
      <c r="AV1988" s="215" t="str">
        <f t="shared" si="881"/>
        <v/>
      </c>
      <c r="AW1988" s="216" t="str">
        <f t="shared" si="882"/>
        <v>Anteil KWK</v>
      </c>
      <c r="AX1988" s="215" t="str">
        <f t="shared" si="883"/>
        <v/>
      </c>
      <c r="AY1988" t="str">
        <f t="shared" si="884"/>
        <v/>
      </c>
      <c r="AZ1988" t="str">
        <f t="shared" si="885"/>
        <v/>
      </c>
    </row>
    <row r="1989" spans="1:52" x14ac:dyDescent="0.25">
      <c r="A1989" s="610" t="s">
        <v>3044</v>
      </c>
      <c r="B1989" s="30" t="s">
        <v>5548</v>
      </c>
      <c r="C1989" s="30" t="s">
        <v>1304</v>
      </c>
      <c r="D1989" s="109" t="s">
        <v>7077</v>
      </c>
      <c r="E1989" s="30" t="s">
        <v>4331</v>
      </c>
      <c r="F1989" s="454">
        <f t="shared" si="892"/>
        <v>23.46</v>
      </c>
      <c r="G1989" s="529">
        <v>23.46</v>
      </c>
      <c r="H1989" s="487">
        <f t="shared" si="893"/>
        <v>18.77</v>
      </c>
      <c r="I1989" s="706"/>
      <c r="J1989" s="669" t="s">
        <v>5805</v>
      </c>
      <c r="K1989" s="15"/>
      <c r="M1989" s="49">
        <f t="shared" si="894"/>
        <v>23.46</v>
      </c>
      <c r="N1989" s="41">
        <v>9.4600000000000009</v>
      </c>
      <c r="O1989" s="187"/>
      <c r="P1989" s="184" t="s">
        <v>1017</v>
      </c>
      <c r="Q1989" s="184"/>
      <c r="R1989" s="184"/>
      <c r="S1989" s="184" t="s">
        <v>4180</v>
      </c>
      <c r="T1989" t="s">
        <v>4180</v>
      </c>
      <c r="U1989" s="185" t="s">
        <v>1017</v>
      </c>
      <c r="V1989" s="184"/>
      <c r="W1989" s="180"/>
      <c r="X1989" s="180"/>
      <c r="Y1989" s="178"/>
      <c r="Z1989" s="180"/>
      <c r="AA1989" s="184"/>
      <c r="AB1989" s="178"/>
      <c r="AC1989" s="180"/>
      <c r="AD1989" s="182" t="s">
        <v>1017</v>
      </c>
      <c r="AE1989" s="181"/>
      <c r="AF1989" s="180"/>
      <c r="AG1989" s="201"/>
      <c r="AH1989" s="212" t="str">
        <f t="shared" si="902"/>
        <v/>
      </c>
      <c r="AI1989" s="214" t="str">
        <f t="shared" si="886"/>
        <v/>
      </c>
      <c r="AJ1989" s="214" t="str">
        <f t="shared" si="887"/>
        <v/>
      </c>
      <c r="AK1989" s="214" t="str">
        <f t="shared" si="888"/>
        <v/>
      </c>
      <c r="AL1989" s="214" t="str">
        <f t="shared" si="889"/>
        <v/>
      </c>
      <c r="AM1989" s="214" t="str">
        <f t="shared" si="890"/>
        <v/>
      </c>
      <c r="AN1989" s="213" t="str">
        <f t="shared" si="873"/>
        <v/>
      </c>
      <c r="AO1989" s="213" t="str">
        <f t="shared" si="874"/>
        <v/>
      </c>
      <c r="AP1989" s="213" t="str">
        <f t="shared" si="875"/>
        <v/>
      </c>
      <c r="AQ1989" s="215" t="str">
        <f t="shared" si="876"/>
        <v/>
      </c>
      <c r="AR1989" s="216" t="str">
        <f t="shared" si="877"/>
        <v>BiK82X2KA3y-07</v>
      </c>
      <c r="AS1989" s="215" t="str">
        <f t="shared" si="878"/>
        <v/>
      </c>
      <c r="AT1989">
        <f t="shared" si="879"/>
        <v>14</v>
      </c>
      <c r="AU1989" s="216" t="str">
        <f t="shared" si="880"/>
        <v>0,15-0,5 MW, Bonusregeln X2, y und K wenn Anlage 3 erfüllt</v>
      </c>
      <c r="AV1989" s="215" t="str">
        <f t="shared" si="881"/>
        <v/>
      </c>
      <c r="AW1989" s="216" t="str">
        <f t="shared" si="882"/>
        <v>Anteil KWK gemäß Anlage 3</v>
      </c>
      <c r="AX1989" s="215" t="str">
        <f t="shared" si="883"/>
        <v/>
      </c>
      <c r="AY1989" t="str">
        <f t="shared" si="884"/>
        <v/>
      </c>
      <c r="AZ1989" t="str">
        <f t="shared" si="885"/>
        <v/>
      </c>
    </row>
    <row r="1990" spans="1:52" x14ac:dyDescent="0.25">
      <c r="A1990" s="610" t="s">
        <v>3045</v>
      </c>
      <c r="B1990" s="30" t="s">
        <v>5548</v>
      </c>
      <c r="C1990" s="30" t="s">
        <v>1304</v>
      </c>
      <c r="D1990" s="30" t="s">
        <v>7078</v>
      </c>
      <c r="E1990" s="30" t="s">
        <v>674</v>
      </c>
      <c r="F1990" s="454">
        <f t="shared" si="892"/>
        <v>23.46</v>
      </c>
      <c r="G1990" s="529">
        <v>23.46</v>
      </c>
      <c r="H1990" s="487">
        <f t="shared" si="893"/>
        <v>18.77</v>
      </c>
      <c r="I1990" s="706"/>
      <c r="J1990" s="669" t="s">
        <v>5805</v>
      </c>
      <c r="K1990" s="15"/>
      <c r="M1990" s="49">
        <f t="shared" si="894"/>
        <v>23.46</v>
      </c>
      <c r="N1990" s="41">
        <v>9.4600000000000009</v>
      </c>
      <c r="O1990" s="187"/>
      <c r="P1990" s="183"/>
      <c r="Q1990" s="184" t="s">
        <v>1017</v>
      </c>
      <c r="R1990" s="184"/>
      <c r="S1990" s="184" t="s">
        <v>4180</v>
      </c>
      <c r="T1990" t="s">
        <v>4180</v>
      </c>
      <c r="U1990" s="185" t="s">
        <v>1017</v>
      </c>
      <c r="V1990" s="184"/>
      <c r="W1990" s="180"/>
      <c r="X1990" s="180"/>
      <c r="Y1990" s="178"/>
      <c r="Z1990" s="180"/>
      <c r="AA1990" s="184"/>
      <c r="AB1990" s="178"/>
      <c r="AC1990" s="180"/>
      <c r="AD1990" s="182" t="s">
        <v>1017</v>
      </c>
      <c r="AE1990" s="181"/>
      <c r="AF1990" s="180"/>
      <c r="AG1990" s="201"/>
      <c r="AH1990" s="212" t="str">
        <f t="shared" si="902"/>
        <v/>
      </c>
      <c r="AI1990" s="214" t="str">
        <f t="shared" si="886"/>
        <v/>
      </c>
      <c r="AJ1990" s="214" t="str">
        <f t="shared" si="887"/>
        <v/>
      </c>
      <c r="AK1990" s="214" t="str">
        <f t="shared" si="888"/>
        <v/>
      </c>
      <c r="AL1990" s="214" t="str">
        <f t="shared" si="889"/>
        <v/>
      </c>
      <c r="AM1990" s="214" t="str">
        <f t="shared" si="890"/>
        <v/>
      </c>
      <c r="AN1990" s="213" t="str">
        <f t="shared" ref="AN1990:AN2053" si="903">IF(ISERROR(SEARCH("K1",A1990)),"","20"&amp;MID(A1990,SEARCH("K1",A1990)+1,2))</f>
        <v/>
      </c>
      <c r="AO1990" s="213" t="str">
        <f t="shared" ref="AO1990:AO2053" si="904">IF(ISERROR(SEARCH("erstmals 201",E1990)),"",MID(E1990,SEARCH("erstmals ",E1990)+9,4))</f>
        <v/>
      </c>
      <c r="AP1990" s="213" t="str">
        <f t="shared" ref="AP1990:AP2053" si="905">IF(R1990="x","2010",IF(S1990="x","2011",IF(T1990="x","2012","")))</f>
        <v/>
      </c>
      <c r="AQ1990" s="215" t="str">
        <f t="shared" ref="AQ1990:AQ2053" si="906">IF(OR(AH1990&lt;&gt;AN1990,AH1990&lt;&gt;AO1990,AH1990&lt;&gt;AP1990),"DIFF","")</f>
        <v/>
      </c>
      <c r="AR1990" s="216" t="str">
        <f t="shared" ref="AR1990:AR2053" si="907">IF(A1990="","",IF(ISERROR(SEARCH("K1",A1990)),A1990,LEFT(A1990,SEARCH("K1",A1990)+1)&amp;RIGHT(AH1990,1)&amp;MID(A1990,SEARCH("K1",A1990)+3,14)))</f>
        <v>BiK82X2K09y-07</v>
      </c>
      <c r="AS1990" s="215" t="str">
        <f t="shared" ref="AS1990:AS2053" si="908">IF(OR(A1990&lt;&gt;AR1990),"DIFF","")</f>
        <v/>
      </c>
      <c r="AT1990">
        <f t="shared" ref="AT1990:AT2053" si="909">LEN(AR1990)</f>
        <v>14</v>
      </c>
      <c r="AU1990" s="216" t="str">
        <f t="shared" ref="AU1990:AU2053" si="910">IF(D1990="","",IF(OR(A1990="",ISERROR(SEARCH("erstmals 201",D1990))),D1990,LEFT(D1990,SEARCH("erstmals 201",D1990)+8) &amp; AH1990 &amp; MID(D1990,SEARCH("erstmals 201",D1990)+13,255)))</f>
        <v>0,15-0,5 MW, Bonusregeln X2, y und K erstmals 2009</v>
      </c>
      <c r="AV1990" s="215" t="str">
        <f t="shared" ref="AV1990:AV2053" si="911">IF(OR(D1990&lt;&gt;AU1990),"DIFF","")</f>
        <v/>
      </c>
      <c r="AW1990" s="216" t="str">
        <f t="shared" ref="AW1990:AW2053" si="912">IF(E1990="","",IF(OR(E1990="",ISERROR(SEARCH("erstmals 201",E1990))),E1990,LEFT(E1990,SEARCH("erstmals 201",E1990)+8) &amp; AH1990 &amp; MID(E1990,SEARCH("erstmals 201",E1990)+13,255)))</f>
        <v>Anteil KWK, erstmals 2009</v>
      </c>
      <c r="AX1990" s="215" t="str">
        <f t="shared" ref="AX1990:AX2053" si="913">IF(OR(E1990&lt;&gt;AW1990),"DIFF","")</f>
        <v/>
      </c>
      <c r="AY1990" t="str">
        <f t="shared" ref="AY1990:AY2053" si="914">IF(AH1990="2011","x",IF(AH1990="2012","","" &amp; S1990))</f>
        <v/>
      </c>
      <c r="AZ1990" t="str">
        <f t="shared" ref="AZ1990:AZ2053" si="915">IF(AH1990="2012","x",IF(AH1990="2011","","" &amp; T1990))</f>
        <v/>
      </c>
    </row>
    <row r="1991" spans="1:52" x14ac:dyDescent="0.25">
      <c r="A1991" s="610" t="s">
        <v>3137</v>
      </c>
      <c r="B1991" s="30" t="s">
        <v>5548</v>
      </c>
      <c r="C1991" s="30" t="s">
        <v>1304</v>
      </c>
      <c r="D1991" s="30" t="s">
        <v>7079</v>
      </c>
      <c r="E1991" s="30" t="s">
        <v>3567</v>
      </c>
      <c r="F1991" s="454">
        <f t="shared" si="892"/>
        <v>23.43</v>
      </c>
      <c r="G1991" s="529">
        <v>23.43</v>
      </c>
      <c r="H1991" s="487">
        <f t="shared" si="893"/>
        <v>18.739999999999998</v>
      </c>
      <c r="I1991" s="706"/>
      <c r="J1991" s="669" t="s">
        <v>5805</v>
      </c>
      <c r="K1991" s="15"/>
      <c r="M1991" s="49">
        <f t="shared" si="894"/>
        <v>23.43</v>
      </c>
      <c r="N1991" s="41">
        <v>9.4600000000000009</v>
      </c>
      <c r="O1991" s="187"/>
      <c r="P1991" s="183"/>
      <c r="Q1991" s="184"/>
      <c r="R1991" s="184" t="s">
        <v>1017</v>
      </c>
      <c r="S1991" s="184" t="s">
        <v>4180</v>
      </c>
      <c r="T1991" t="s">
        <v>4180</v>
      </c>
      <c r="U1991" s="185" t="s">
        <v>1017</v>
      </c>
      <c r="V1991" s="184"/>
      <c r="W1991" s="180"/>
      <c r="X1991" s="180"/>
      <c r="Y1991" s="178"/>
      <c r="Z1991" s="180"/>
      <c r="AA1991" s="184"/>
      <c r="AB1991" s="178"/>
      <c r="AC1991" s="180"/>
      <c r="AD1991" s="182" t="s">
        <v>1017</v>
      </c>
      <c r="AE1991" s="181"/>
      <c r="AF1991" s="180"/>
      <c r="AG1991" s="201"/>
      <c r="AH1991" s="212" t="str">
        <f t="shared" si="902"/>
        <v>2010</v>
      </c>
      <c r="AI1991" s="214" t="str">
        <f t="shared" si="886"/>
        <v/>
      </c>
      <c r="AJ1991" s="214" t="str">
        <f t="shared" si="887"/>
        <v/>
      </c>
      <c r="AK1991" s="214" t="str">
        <f t="shared" si="888"/>
        <v/>
      </c>
      <c r="AL1991" s="214" t="str">
        <f t="shared" si="889"/>
        <v/>
      </c>
      <c r="AM1991" s="214" t="str">
        <f t="shared" si="890"/>
        <v/>
      </c>
      <c r="AN1991" s="213" t="str">
        <f t="shared" si="903"/>
        <v>2010</v>
      </c>
      <c r="AO1991" s="213" t="str">
        <f t="shared" si="904"/>
        <v>2010</v>
      </c>
      <c r="AP1991" s="213" t="str">
        <f t="shared" si="905"/>
        <v>2010</v>
      </c>
      <c r="AQ1991" s="215" t="str">
        <f t="shared" si="906"/>
        <v/>
      </c>
      <c r="AR1991" s="216" t="str">
        <f t="shared" si="907"/>
        <v>BiK82X2K10y-07</v>
      </c>
      <c r="AS1991" s="215" t="str">
        <f t="shared" si="908"/>
        <v/>
      </c>
      <c r="AT1991">
        <f t="shared" si="909"/>
        <v>14</v>
      </c>
      <c r="AU1991" s="216" t="str">
        <f t="shared" si="910"/>
        <v>0,15-0,5 MW, Bonusregeln X2, y und K erstmals 2010</v>
      </c>
      <c r="AV1991" s="215" t="str">
        <f t="shared" si="911"/>
        <v/>
      </c>
      <c r="AW1991" s="216" t="str">
        <f t="shared" si="912"/>
        <v>Anteil KWK, erstmals 2010</v>
      </c>
      <c r="AX1991" s="215" t="str">
        <f t="shared" si="913"/>
        <v/>
      </c>
      <c r="AY1991" t="str">
        <f t="shared" si="914"/>
        <v/>
      </c>
      <c r="AZ1991" t="str">
        <f t="shared" si="915"/>
        <v/>
      </c>
    </row>
    <row r="1992" spans="1:52" x14ac:dyDescent="0.25">
      <c r="A1992" s="610" t="s">
        <v>3413</v>
      </c>
      <c r="B1992" s="30" t="s">
        <v>5548</v>
      </c>
      <c r="C1992" s="30" t="s">
        <v>1304</v>
      </c>
      <c r="D1992" s="30" t="s">
        <v>7080</v>
      </c>
      <c r="E1992" s="30" t="s">
        <v>3055</v>
      </c>
      <c r="F1992" s="454">
        <f t="shared" si="892"/>
        <v>23.4</v>
      </c>
      <c r="G1992" s="529">
        <v>23.4</v>
      </c>
      <c r="H1992" s="487">
        <f t="shared" si="893"/>
        <v>18.72</v>
      </c>
      <c r="I1992" s="706"/>
      <c r="J1992" s="669" t="s">
        <v>5805</v>
      </c>
      <c r="K1992" s="15"/>
      <c r="M1992" s="49">
        <f t="shared" si="894"/>
        <v>23.4</v>
      </c>
      <c r="N1992" s="41">
        <v>9.4600000000000009</v>
      </c>
      <c r="O1992" s="187"/>
      <c r="P1992" s="183"/>
      <c r="Q1992" s="184"/>
      <c r="R1992" s="178"/>
      <c r="S1992" s="184" t="s">
        <v>1017</v>
      </c>
      <c r="T1992" t="s">
        <v>4180</v>
      </c>
      <c r="U1992" s="185" t="s">
        <v>1017</v>
      </c>
      <c r="V1992" s="184"/>
      <c r="W1992" s="180"/>
      <c r="X1992" s="180"/>
      <c r="Y1992" s="178"/>
      <c r="Z1992" s="180"/>
      <c r="AA1992" s="184"/>
      <c r="AB1992" s="178"/>
      <c r="AC1992" s="180"/>
      <c r="AD1992" s="182" t="s">
        <v>1017</v>
      </c>
      <c r="AE1992" s="181"/>
      <c r="AF1992" s="180"/>
      <c r="AG1992" s="201"/>
      <c r="AH1992" s="212" t="str">
        <f t="shared" si="902"/>
        <v>2011</v>
      </c>
      <c r="AI1992" s="214" t="str">
        <f t="shared" si="886"/>
        <v/>
      </c>
      <c r="AJ1992" s="214" t="str">
        <f t="shared" si="887"/>
        <v/>
      </c>
      <c r="AK1992" s="214" t="str">
        <f t="shared" si="888"/>
        <v/>
      </c>
      <c r="AL1992" s="214" t="str">
        <f t="shared" si="889"/>
        <v/>
      </c>
      <c r="AM1992" s="214" t="str">
        <f t="shared" si="890"/>
        <v/>
      </c>
      <c r="AN1992" s="213" t="str">
        <f t="shared" si="903"/>
        <v>2011</v>
      </c>
      <c r="AO1992" s="213" t="str">
        <f t="shared" si="904"/>
        <v>2011</v>
      </c>
      <c r="AP1992" s="213" t="str">
        <f t="shared" si="905"/>
        <v>2011</v>
      </c>
      <c r="AQ1992" s="215" t="str">
        <f t="shared" si="906"/>
        <v/>
      </c>
      <c r="AR1992" s="216" t="str">
        <f t="shared" si="907"/>
        <v>BiK82X2K11y-07</v>
      </c>
      <c r="AS1992" s="215" t="str">
        <f t="shared" si="908"/>
        <v/>
      </c>
      <c r="AT1992">
        <f t="shared" si="909"/>
        <v>14</v>
      </c>
      <c r="AU1992" s="216" t="str">
        <f t="shared" si="910"/>
        <v>0,15-0,5 MW, Bonusregeln X2, y und K erstmals 2011</v>
      </c>
      <c r="AV1992" s="215" t="str">
        <f t="shared" si="911"/>
        <v/>
      </c>
      <c r="AW1992" s="216" t="str">
        <f t="shared" si="912"/>
        <v>Anteil KWK, erstmals 2011</v>
      </c>
      <c r="AX1992" s="215" t="str">
        <f t="shared" si="913"/>
        <v/>
      </c>
      <c r="AY1992" t="str">
        <f t="shared" si="914"/>
        <v>x</v>
      </c>
      <c r="AZ1992" t="str">
        <f t="shared" si="915"/>
        <v/>
      </c>
    </row>
    <row r="1993" spans="1:52" x14ac:dyDescent="0.25">
      <c r="A1993" s="625" t="s">
        <v>1845</v>
      </c>
      <c r="B1993" s="219" t="s">
        <v>5548</v>
      </c>
      <c r="C1993" s="219" t="s">
        <v>1304</v>
      </c>
      <c r="D1993" s="219" t="s">
        <v>7081</v>
      </c>
      <c r="E1993" s="219" t="s">
        <v>1980</v>
      </c>
      <c r="F1993" s="455">
        <f t="shared" si="892"/>
        <v>23.37</v>
      </c>
      <c r="G1993" s="530">
        <v>23.37</v>
      </c>
      <c r="H1993" s="488">
        <f t="shared" si="893"/>
        <v>18.7</v>
      </c>
      <c r="I1993" s="707"/>
      <c r="J1993" s="669" t="s">
        <v>5805</v>
      </c>
      <c r="K1993" s="15"/>
      <c r="M1993" s="49">
        <f t="shared" si="894"/>
        <v>23.37</v>
      </c>
      <c r="N1993" s="41">
        <v>9.4600000000000009</v>
      </c>
      <c r="O1993" s="187"/>
      <c r="P1993" s="183"/>
      <c r="Q1993" s="184"/>
      <c r="R1993" s="178"/>
      <c r="S1993" s="184" t="s">
        <v>4180</v>
      </c>
      <c r="T1993" t="s">
        <v>1017</v>
      </c>
      <c r="U1993" s="185" t="s">
        <v>1017</v>
      </c>
      <c r="V1993" s="184"/>
      <c r="W1993" s="180"/>
      <c r="X1993" s="180"/>
      <c r="Y1993" s="178"/>
      <c r="Z1993" s="180"/>
      <c r="AA1993" s="184"/>
      <c r="AB1993" s="178"/>
      <c r="AC1993" s="180"/>
      <c r="AD1993" s="182" t="s">
        <v>1017</v>
      </c>
      <c r="AE1993" s="181"/>
      <c r="AF1993" s="180"/>
      <c r="AG1993" s="201"/>
      <c r="AH1993" s="217" t="s">
        <v>4179</v>
      </c>
      <c r="AI1993" s="214" t="str">
        <f t="shared" ref="AI1993:AI2056" si="916">IF(AND($AH1993&lt;&gt;"",AH1993 =AH1992),"Gleich","")</f>
        <v/>
      </c>
      <c r="AJ1993" s="214" t="str">
        <f t="shared" ref="AJ1993:AJ2056" si="917">IF(AND($AH1993&lt;&gt;"",A1993 =A1992),"Gleich","")</f>
        <v/>
      </c>
      <c r="AK1993" s="214" t="str">
        <f t="shared" ref="AK1993:AK2056" si="918">IF(AND($AH1993&lt;&gt;"",D1993 =D1992),"Gleich","")</f>
        <v/>
      </c>
      <c r="AL1993" s="214" t="str">
        <f t="shared" ref="AL1993:AL2056" si="919">IF(AND($AH1993&lt;&gt;"",E1993 =E1992),"Gleich","")</f>
        <v/>
      </c>
      <c r="AM1993" s="214" t="str">
        <f t="shared" ref="AM1993:AM2056" si="920">IF(AND($AH1993&lt;&gt;"",F1993 =F1992),"Gleich","")</f>
        <v/>
      </c>
      <c r="AN1993" s="213" t="str">
        <f t="shared" si="903"/>
        <v>2012</v>
      </c>
      <c r="AO1993" s="213" t="str">
        <f t="shared" si="904"/>
        <v>2012</v>
      </c>
      <c r="AP1993" s="213" t="str">
        <f t="shared" si="905"/>
        <v>2012</v>
      </c>
      <c r="AQ1993" s="215" t="str">
        <f t="shared" si="906"/>
        <v/>
      </c>
      <c r="AR1993" s="216" t="str">
        <f t="shared" si="907"/>
        <v>BiK82X2K12y-07</v>
      </c>
      <c r="AS1993" s="215" t="str">
        <f t="shared" si="908"/>
        <v/>
      </c>
      <c r="AT1993">
        <f t="shared" si="909"/>
        <v>14</v>
      </c>
      <c r="AU1993" s="216" t="str">
        <f t="shared" si="910"/>
        <v>0,15-0,5 MW, Bonusregeln X2, y und K erstmals 2012</v>
      </c>
      <c r="AV1993" s="215" t="str">
        <f t="shared" si="911"/>
        <v/>
      </c>
      <c r="AW1993" s="216" t="str">
        <f t="shared" si="912"/>
        <v>Anteil KWK, erstmals 2012</v>
      </c>
      <c r="AX1993" s="215" t="str">
        <f t="shared" si="913"/>
        <v/>
      </c>
      <c r="AY1993" t="str">
        <f t="shared" si="914"/>
        <v/>
      </c>
      <c r="AZ1993" t="str">
        <f t="shared" si="915"/>
        <v>x</v>
      </c>
    </row>
    <row r="1994" spans="1:52" x14ac:dyDescent="0.25">
      <c r="A1994" s="609" t="s">
        <v>545</v>
      </c>
      <c r="B1994" s="1" t="s">
        <v>5548</v>
      </c>
      <c r="C1994" s="2" t="s">
        <v>1304</v>
      </c>
      <c r="D1994" s="1" t="s">
        <v>7130</v>
      </c>
      <c r="E1994" s="1" t="s">
        <v>4810</v>
      </c>
      <c r="F1994" s="456">
        <f t="shared" si="892"/>
        <v>11.46</v>
      </c>
      <c r="G1994" s="531">
        <v>11.46</v>
      </c>
      <c r="H1994" s="489">
        <f t="shared" si="893"/>
        <v>9.17</v>
      </c>
      <c r="I1994" s="708"/>
      <c r="J1994" s="669" t="s">
        <v>5805</v>
      </c>
      <c r="K1994" s="15"/>
      <c r="M1994" s="49">
        <f t="shared" si="894"/>
        <v>11.46</v>
      </c>
      <c r="N1994" s="41">
        <v>9.4600000000000009</v>
      </c>
      <c r="O1994" s="54"/>
      <c r="P1994" s="15"/>
      <c r="S1994" t="s">
        <v>4180</v>
      </c>
      <c r="T1994" t="s">
        <v>4180</v>
      </c>
      <c r="U1994" s="55"/>
      <c r="W1994" s="65"/>
      <c r="X1994" s="65"/>
      <c r="Z1994" s="65"/>
      <c r="AC1994" s="65"/>
      <c r="AD1994" s="92"/>
      <c r="AE1994" s="124" t="s">
        <v>1017</v>
      </c>
      <c r="AF1994" s="65"/>
      <c r="AG1994" s="91"/>
      <c r="AH1994" s="212" t="str">
        <f t="shared" ref="AH1994:AH1999" si="921">IF(ISERROR(SEARCH("K erstmals 201",D1994)),"",RIGHT(D1994,4))</f>
        <v/>
      </c>
      <c r="AI1994" s="214" t="str">
        <f t="shared" si="916"/>
        <v/>
      </c>
      <c r="AJ1994" s="214" t="str">
        <f t="shared" si="917"/>
        <v/>
      </c>
      <c r="AK1994" s="214" t="str">
        <f t="shared" si="918"/>
        <v/>
      </c>
      <c r="AL1994" s="214" t="str">
        <f t="shared" si="919"/>
        <v/>
      </c>
      <c r="AM1994" s="214" t="str">
        <f t="shared" si="920"/>
        <v/>
      </c>
      <c r="AN1994" s="213" t="str">
        <f t="shared" si="903"/>
        <v/>
      </c>
      <c r="AO1994" s="213" t="str">
        <f t="shared" si="904"/>
        <v/>
      </c>
      <c r="AP1994" s="213" t="str">
        <f t="shared" si="905"/>
        <v/>
      </c>
      <c r="AQ1994" s="215" t="str">
        <f t="shared" si="906"/>
        <v/>
      </c>
      <c r="AR1994" s="216" t="str">
        <f t="shared" si="907"/>
        <v>BiK82b------07</v>
      </c>
      <c r="AS1994" s="215" t="str">
        <f t="shared" si="908"/>
        <v/>
      </c>
      <c r="AT1994">
        <f t="shared" si="909"/>
        <v>14</v>
      </c>
      <c r="AU1994" s="216" t="str">
        <f t="shared" si="910"/>
        <v>0,15-0,5 MW, Bonusregel b</v>
      </c>
      <c r="AV1994" s="215" t="str">
        <f t="shared" si="911"/>
        <v/>
      </c>
      <c r="AW1994" s="216" t="str">
        <f t="shared" si="912"/>
        <v>Anteil Nicht-KWK</v>
      </c>
      <c r="AX1994" s="215" t="str">
        <f t="shared" si="913"/>
        <v/>
      </c>
      <c r="AY1994" t="str">
        <f t="shared" si="914"/>
        <v/>
      </c>
      <c r="AZ1994" t="str">
        <f t="shared" si="915"/>
        <v/>
      </c>
    </row>
    <row r="1995" spans="1:52" x14ac:dyDescent="0.25">
      <c r="A1995" s="609" t="s">
        <v>546</v>
      </c>
      <c r="B1995" s="1" t="s">
        <v>5548</v>
      </c>
      <c r="C1995" s="2" t="s">
        <v>1304</v>
      </c>
      <c r="D1995" s="36" t="s">
        <v>7131</v>
      </c>
      <c r="E1995" s="1" t="s">
        <v>4812</v>
      </c>
      <c r="F1995" s="456">
        <f t="shared" si="892"/>
        <v>13.46</v>
      </c>
      <c r="G1995" s="531">
        <v>13.46</v>
      </c>
      <c r="H1995" s="489">
        <f t="shared" si="893"/>
        <v>10.77</v>
      </c>
      <c r="I1995" s="708"/>
      <c r="J1995" s="669" t="s">
        <v>5805</v>
      </c>
      <c r="K1995" s="15"/>
      <c r="M1995" s="49">
        <f t="shared" si="894"/>
        <v>13.46</v>
      </c>
      <c r="N1995" s="41">
        <v>9.4600000000000009</v>
      </c>
      <c r="O1995" s="54" t="s">
        <v>1017</v>
      </c>
      <c r="P1995" s="15"/>
      <c r="S1995" t="s">
        <v>4180</v>
      </c>
      <c r="T1995" t="s">
        <v>4180</v>
      </c>
      <c r="U1995" s="55"/>
      <c r="W1995" s="65"/>
      <c r="X1995" s="65"/>
      <c r="Z1995" s="65"/>
      <c r="AC1995" s="65"/>
      <c r="AD1995" s="92"/>
      <c r="AE1995" s="124" t="s">
        <v>1017</v>
      </c>
      <c r="AF1995" s="65"/>
      <c r="AG1995" s="91"/>
      <c r="AH1995" s="212" t="str">
        <f t="shared" si="921"/>
        <v/>
      </c>
      <c r="AI1995" s="214" t="str">
        <f t="shared" si="916"/>
        <v/>
      </c>
      <c r="AJ1995" s="214" t="str">
        <f t="shared" si="917"/>
        <v/>
      </c>
      <c r="AK1995" s="214" t="str">
        <f t="shared" si="918"/>
        <v/>
      </c>
      <c r="AL1995" s="214" t="str">
        <f t="shared" si="919"/>
        <v/>
      </c>
      <c r="AM1995" s="214" t="str">
        <f t="shared" si="920"/>
        <v/>
      </c>
      <c r="AN1995" s="213" t="str">
        <f t="shared" si="903"/>
        <v/>
      </c>
      <c r="AO1995" s="213" t="str">
        <f t="shared" si="904"/>
        <v/>
      </c>
      <c r="AP1995" s="213" t="str">
        <f t="shared" si="905"/>
        <v/>
      </c>
      <c r="AQ1995" s="215" t="str">
        <f t="shared" si="906"/>
        <v/>
      </c>
      <c r="AR1995" s="216" t="str">
        <f t="shared" si="907"/>
        <v>BiK82bKWK---07</v>
      </c>
      <c r="AS1995" s="215" t="str">
        <f t="shared" si="908"/>
        <v/>
      </c>
      <c r="AT1995">
        <f t="shared" si="909"/>
        <v>14</v>
      </c>
      <c r="AU1995" s="216" t="str">
        <f t="shared" si="910"/>
        <v>0,15-0,5 MW, Bonusregeln b und KWK</v>
      </c>
      <c r="AV1995" s="215" t="str">
        <f t="shared" si="911"/>
        <v/>
      </c>
      <c r="AW1995" s="216" t="str">
        <f t="shared" si="912"/>
        <v>Anteil KWK</v>
      </c>
      <c r="AX1995" s="215" t="str">
        <f t="shared" si="913"/>
        <v/>
      </c>
      <c r="AY1995" t="str">
        <f t="shared" si="914"/>
        <v/>
      </c>
      <c r="AZ1995" t="str">
        <f t="shared" si="915"/>
        <v/>
      </c>
    </row>
    <row r="1996" spans="1:52" x14ac:dyDescent="0.25">
      <c r="A1996" s="610" t="s">
        <v>4364</v>
      </c>
      <c r="B1996" s="17" t="s">
        <v>5548</v>
      </c>
      <c r="C1996" s="30" t="s">
        <v>1304</v>
      </c>
      <c r="D1996" s="30" t="s">
        <v>7132</v>
      </c>
      <c r="E1996" s="30" t="s">
        <v>4331</v>
      </c>
      <c r="F1996" s="454">
        <f t="shared" si="892"/>
        <v>14.46</v>
      </c>
      <c r="G1996" s="529">
        <v>14.46</v>
      </c>
      <c r="H1996" s="487">
        <f t="shared" si="893"/>
        <v>11.57</v>
      </c>
      <c r="I1996" s="706"/>
      <c r="J1996" s="669" t="s">
        <v>5805</v>
      </c>
      <c r="K1996" s="15"/>
      <c r="M1996" s="49">
        <f t="shared" si="894"/>
        <v>14.46</v>
      </c>
      <c r="N1996" s="41">
        <v>9.4600000000000009</v>
      </c>
      <c r="O1996" s="54"/>
      <c r="P1996" t="s">
        <v>1017</v>
      </c>
      <c r="S1996" t="s">
        <v>4180</v>
      </c>
      <c r="T1996" t="s">
        <v>4180</v>
      </c>
      <c r="U1996" s="55"/>
      <c r="W1996" s="65"/>
      <c r="X1996" s="65"/>
      <c r="Z1996" s="65"/>
      <c r="AC1996" s="65"/>
      <c r="AD1996" s="92"/>
      <c r="AE1996" s="124" t="s">
        <v>1017</v>
      </c>
      <c r="AF1996" s="65"/>
      <c r="AG1996" s="91"/>
      <c r="AH1996" s="212" t="str">
        <f t="shared" si="921"/>
        <v/>
      </c>
      <c r="AI1996" s="214" t="str">
        <f t="shared" si="916"/>
        <v/>
      </c>
      <c r="AJ1996" s="214" t="str">
        <f t="shared" si="917"/>
        <v/>
      </c>
      <c r="AK1996" s="214" t="str">
        <f t="shared" si="918"/>
        <v/>
      </c>
      <c r="AL1996" s="214" t="str">
        <f t="shared" si="919"/>
        <v/>
      </c>
      <c r="AM1996" s="214" t="str">
        <f t="shared" si="920"/>
        <v/>
      </c>
      <c r="AN1996" s="213" t="str">
        <f t="shared" si="903"/>
        <v/>
      </c>
      <c r="AO1996" s="213" t="str">
        <f t="shared" si="904"/>
        <v/>
      </c>
      <c r="AP1996" s="213" t="str">
        <f t="shared" si="905"/>
        <v/>
      </c>
      <c r="AQ1996" s="215" t="str">
        <f t="shared" si="906"/>
        <v/>
      </c>
      <c r="AR1996" s="216" t="str">
        <f t="shared" si="907"/>
        <v>BiK82bKA3---07</v>
      </c>
      <c r="AS1996" s="215" t="str">
        <f t="shared" si="908"/>
        <v/>
      </c>
      <c r="AT1996">
        <f t="shared" si="909"/>
        <v>14</v>
      </c>
      <c r="AU1996" s="216" t="str">
        <f t="shared" si="910"/>
        <v>0,15-0,5 MW, Bonusregeln b und K wenn Anlage 3 erfüllt</v>
      </c>
      <c r="AV1996" s="215" t="str">
        <f t="shared" si="911"/>
        <v/>
      </c>
      <c r="AW1996" s="216" t="str">
        <f t="shared" si="912"/>
        <v>Anteil KWK gemäß Anlage 3</v>
      </c>
      <c r="AX1996" s="215" t="str">
        <f t="shared" si="913"/>
        <v/>
      </c>
      <c r="AY1996" t="str">
        <f t="shared" si="914"/>
        <v/>
      </c>
      <c r="AZ1996" t="str">
        <f t="shared" si="915"/>
        <v/>
      </c>
    </row>
    <row r="1997" spans="1:52" x14ac:dyDescent="0.25">
      <c r="A1997" s="610" t="s">
        <v>892</v>
      </c>
      <c r="B1997" s="17" t="s">
        <v>5548</v>
      </c>
      <c r="C1997" s="17" t="s">
        <v>1304</v>
      </c>
      <c r="D1997" s="30" t="s">
        <v>7133</v>
      </c>
      <c r="E1997" s="17" t="s">
        <v>674</v>
      </c>
      <c r="F1997" s="454">
        <f t="shared" si="892"/>
        <v>14.46</v>
      </c>
      <c r="G1997" s="529">
        <v>14.46</v>
      </c>
      <c r="H1997" s="487">
        <f t="shared" si="893"/>
        <v>11.57</v>
      </c>
      <c r="I1997" s="706"/>
      <c r="J1997" s="669" t="s">
        <v>5805</v>
      </c>
      <c r="K1997" s="15"/>
      <c r="M1997" s="49">
        <f t="shared" si="894"/>
        <v>14.46</v>
      </c>
      <c r="N1997" s="41">
        <v>9.4600000000000009</v>
      </c>
      <c r="O1997" s="54"/>
      <c r="P1997" s="15"/>
      <c r="Q1997" t="s">
        <v>1017</v>
      </c>
      <c r="S1997" t="s">
        <v>4180</v>
      </c>
      <c r="T1997" t="s">
        <v>4180</v>
      </c>
      <c r="U1997" s="55"/>
      <c r="W1997" s="65"/>
      <c r="X1997" s="65"/>
      <c r="Z1997" s="65"/>
      <c r="AC1997" s="65"/>
      <c r="AD1997" s="92"/>
      <c r="AE1997" s="124" t="s">
        <v>1017</v>
      </c>
      <c r="AF1997" s="65"/>
      <c r="AG1997" s="91"/>
      <c r="AH1997" s="212" t="str">
        <f t="shared" si="921"/>
        <v/>
      </c>
      <c r="AI1997" s="214" t="str">
        <f t="shared" si="916"/>
        <v/>
      </c>
      <c r="AJ1997" s="214" t="str">
        <f t="shared" si="917"/>
        <v/>
      </c>
      <c r="AK1997" s="214" t="str">
        <f t="shared" si="918"/>
        <v/>
      </c>
      <c r="AL1997" s="214" t="str">
        <f t="shared" si="919"/>
        <v/>
      </c>
      <c r="AM1997" s="214" t="str">
        <f t="shared" si="920"/>
        <v/>
      </c>
      <c r="AN1997" s="213" t="str">
        <f t="shared" si="903"/>
        <v/>
      </c>
      <c r="AO1997" s="213" t="str">
        <f t="shared" si="904"/>
        <v/>
      </c>
      <c r="AP1997" s="213" t="str">
        <f t="shared" si="905"/>
        <v/>
      </c>
      <c r="AQ1997" s="215" t="str">
        <f t="shared" si="906"/>
        <v/>
      </c>
      <c r="AR1997" s="216" t="str">
        <f t="shared" si="907"/>
        <v>BiK82bK09---07</v>
      </c>
      <c r="AS1997" s="215" t="str">
        <f t="shared" si="908"/>
        <v/>
      </c>
      <c r="AT1997">
        <f t="shared" si="909"/>
        <v>14</v>
      </c>
      <c r="AU1997" s="216" t="str">
        <f t="shared" si="910"/>
        <v>0,15-0,5 MW, Bonusregeln b und K erstmals 2009</v>
      </c>
      <c r="AV1997" s="215" t="str">
        <f t="shared" si="911"/>
        <v/>
      </c>
      <c r="AW1997" s="216" t="str">
        <f t="shared" si="912"/>
        <v>Anteil KWK, erstmals 2009</v>
      </c>
      <c r="AX1997" s="215" t="str">
        <f t="shared" si="913"/>
        <v/>
      </c>
      <c r="AY1997" t="str">
        <f t="shared" si="914"/>
        <v/>
      </c>
      <c r="AZ1997" t="str">
        <f t="shared" si="915"/>
        <v/>
      </c>
    </row>
    <row r="1998" spans="1:52" x14ac:dyDescent="0.25">
      <c r="A1998" s="610" t="s">
        <v>3138</v>
      </c>
      <c r="B1998" s="17" t="s">
        <v>5548</v>
      </c>
      <c r="C1998" s="17" t="s">
        <v>1304</v>
      </c>
      <c r="D1998" s="30" t="s">
        <v>7134</v>
      </c>
      <c r="E1998" s="30" t="s">
        <v>3567</v>
      </c>
      <c r="F1998" s="454">
        <f t="shared" ref="F1998:F2061" si="922">M1998</f>
        <v>14.430000000000001</v>
      </c>
      <c r="G1998" s="529">
        <v>14.430000000000001</v>
      </c>
      <c r="H1998" s="487">
        <f t="shared" ref="H1998:H2061" si="923">IF(ISNUMBER(G1998),ROUND(0.8*G1998,2),"")</f>
        <v>11.54</v>
      </c>
      <c r="I1998" s="706"/>
      <c r="J1998" s="669" t="s">
        <v>5805</v>
      </c>
      <c r="K1998" s="15"/>
      <c r="M1998" s="49">
        <f t="shared" ref="M1998:M2061" si="924">N1998+SUMIF(O1998:AG1998,"x",O$1741:AG$1741)</f>
        <v>14.430000000000001</v>
      </c>
      <c r="N1998" s="41">
        <v>9.4600000000000009</v>
      </c>
      <c r="O1998" s="54"/>
      <c r="P1998" s="15"/>
      <c r="R1998" t="s">
        <v>1017</v>
      </c>
      <c r="S1998" t="s">
        <v>4180</v>
      </c>
      <c r="T1998" t="s">
        <v>4180</v>
      </c>
      <c r="U1998" s="55"/>
      <c r="W1998" s="65"/>
      <c r="X1998" s="65"/>
      <c r="Z1998" s="65"/>
      <c r="AC1998" s="65"/>
      <c r="AD1998" s="92"/>
      <c r="AE1998" s="124" t="s">
        <v>1017</v>
      </c>
      <c r="AF1998" s="65"/>
      <c r="AG1998" s="91"/>
      <c r="AH1998" s="212" t="str">
        <f t="shared" si="921"/>
        <v>2010</v>
      </c>
      <c r="AI1998" s="214" t="str">
        <f t="shared" si="916"/>
        <v/>
      </c>
      <c r="AJ1998" s="214" t="str">
        <f t="shared" si="917"/>
        <v/>
      </c>
      <c r="AK1998" s="214" t="str">
        <f t="shared" si="918"/>
        <v/>
      </c>
      <c r="AL1998" s="214" t="str">
        <f t="shared" si="919"/>
        <v/>
      </c>
      <c r="AM1998" s="214" t="str">
        <f t="shared" si="920"/>
        <v/>
      </c>
      <c r="AN1998" s="213" t="str">
        <f t="shared" si="903"/>
        <v>2010</v>
      </c>
      <c r="AO1998" s="213" t="str">
        <f t="shared" si="904"/>
        <v>2010</v>
      </c>
      <c r="AP1998" s="213" t="str">
        <f t="shared" si="905"/>
        <v>2010</v>
      </c>
      <c r="AQ1998" s="215" t="str">
        <f t="shared" si="906"/>
        <v/>
      </c>
      <c r="AR1998" s="216" t="str">
        <f t="shared" si="907"/>
        <v>BiK82bK10---07</v>
      </c>
      <c r="AS1998" s="215" t="str">
        <f t="shared" si="908"/>
        <v/>
      </c>
      <c r="AT1998">
        <f t="shared" si="909"/>
        <v>14</v>
      </c>
      <c r="AU1998" s="216" t="str">
        <f t="shared" si="910"/>
        <v>0,15-0,5 MW, Bonusregeln b und K erstmals 2010</v>
      </c>
      <c r="AV1998" s="215" t="str">
        <f t="shared" si="911"/>
        <v/>
      </c>
      <c r="AW1998" s="216" t="str">
        <f t="shared" si="912"/>
        <v>Anteil KWK, erstmals 2010</v>
      </c>
      <c r="AX1998" s="215" t="str">
        <f t="shared" si="913"/>
        <v/>
      </c>
      <c r="AY1998" t="str">
        <f t="shared" si="914"/>
        <v/>
      </c>
      <c r="AZ1998" t="str">
        <f t="shared" si="915"/>
        <v/>
      </c>
    </row>
    <row r="1999" spans="1:52" x14ac:dyDescent="0.25">
      <c r="A1999" s="610" t="s">
        <v>3414</v>
      </c>
      <c r="B1999" s="17" t="s">
        <v>5548</v>
      </c>
      <c r="C1999" s="17" t="s">
        <v>1304</v>
      </c>
      <c r="D1999" s="30" t="s">
        <v>7135</v>
      </c>
      <c r="E1999" s="30" t="s">
        <v>3055</v>
      </c>
      <c r="F1999" s="454">
        <f t="shared" si="922"/>
        <v>14.4</v>
      </c>
      <c r="G1999" s="529">
        <v>14.4</v>
      </c>
      <c r="H1999" s="487">
        <f t="shared" si="923"/>
        <v>11.52</v>
      </c>
      <c r="I1999" s="706"/>
      <c r="J1999" s="669" t="s">
        <v>5805</v>
      </c>
      <c r="K1999" s="15"/>
      <c r="M1999" s="49">
        <f t="shared" si="924"/>
        <v>14.4</v>
      </c>
      <c r="N1999" s="41">
        <v>9.4600000000000009</v>
      </c>
      <c r="O1999" s="54"/>
      <c r="P1999" s="15"/>
      <c r="S1999" t="s">
        <v>1017</v>
      </c>
      <c r="T1999" t="s">
        <v>4180</v>
      </c>
      <c r="U1999" s="55"/>
      <c r="W1999" s="65"/>
      <c r="X1999" s="65"/>
      <c r="Z1999" s="65"/>
      <c r="AC1999" s="65"/>
      <c r="AD1999" s="92"/>
      <c r="AE1999" s="124" t="s">
        <v>1017</v>
      </c>
      <c r="AF1999" s="65"/>
      <c r="AG1999" s="91"/>
      <c r="AH1999" s="212" t="str">
        <f t="shared" si="921"/>
        <v>2011</v>
      </c>
      <c r="AI1999" s="214" t="str">
        <f t="shared" si="916"/>
        <v/>
      </c>
      <c r="AJ1999" s="214" t="str">
        <f t="shared" si="917"/>
        <v/>
      </c>
      <c r="AK1999" s="214" t="str">
        <f t="shared" si="918"/>
        <v/>
      </c>
      <c r="AL1999" s="214" t="str">
        <f t="shared" si="919"/>
        <v/>
      </c>
      <c r="AM1999" s="214" t="str">
        <f t="shared" si="920"/>
        <v/>
      </c>
      <c r="AN1999" s="213" t="str">
        <f t="shared" si="903"/>
        <v>2011</v>
      </c>
      <c r="AO1999" s="213" t="str">
        <f t="shared" si="904"/>
        <v>2011</v>
      </c>
      <c r="AP1999" s="213" t="str">
        <f t="shared" si="905"/>
        <v>2011</v>
      </c>
      <c r="AQ1999" s="215" t="str">
        <f t="shared" si="906"/>
        <v/>
      </c>
      <c r="AR1999" s="216" t="str">
        <f t="shared" si="907"/>
        <v>BiK82bK11---07</v>
      </c>
      <c r="AS1999" s="215" t="str">
        <f t="shared" si="908"/>
        <v/>
      </c>
      <c r="AT1999">
        <f t="shared" si="909"/>
        <v>14</v>
      </c>
      <c r="AU1999" s="216" t="str">
        <f t="shared" si="910"/>
        <v>0,15-0,5 MW, Bonusregeln b und K erstmals 2011</v>
      </c>
      <c r="AV1999" s="215" t="str">
        <f t="shared" si="911"/>
        <v/>
      </c>
      <c r="AW1999" s="216" t="str">
        <f t="shared" si="912"/>
        <v>Anteil KWK, erstmals 2011</v>
      </c>
      <c r="AX1999" s="215" t="str">
        <f t="shared" si="913"/>
        <v/>
      </c>
      <c r="AY1999" t="str">
        <f t="shared" si="914"/>
        <v>x</v>
      </c>
      <c r="AZ1999" t="str">
        <f t="shared" si="915"/>
        <v/>
      </c>
    </row>
    <row r="2000" spans="1:52" x14ac:dyDescent="0.25">
      <c r="A2000" s="625" t="s">
        <v>1846</v>
      </c>
      <c r="B2000" s="221" t="s">
        <v>5548</v>
      </c>
      <c r="C2000" s="221" t="s">
        <v>1304</v>
      </c>
      <c r="D2000" s="219" t="s">
        <v>7136</v>
      </c>
      <c r="E2000" s="219" t="s">
        <v>1980</v>
      </c>
      <c r="F2000" s="455">
        <f t="shared" si="922"/>
        <v>14.370000000000001</v>
      </c>
      <c r="G2000" s="530">
        <v>14.370000000000001</v>
      </c>
      <c r="H2000" s="488">
        <f t="shared" si="923"/>
        <v>11.5</v>
      </c>
      <c r="I2000" s="707"/>
      <c r="J2000" s="669" t="s">
        <v>5805</v>
      </c>
      <c r="K2000" s="15"/>
      <c r="M2000" s="49">
        <f t="shared" si="924"/>
        <v>14.370000000000001</v>
      </c>
      <c r="N2000" s="41">
        <v>9.4600000000000009</v>
      </c>
      <c r="O2000" s="54"/>
      <c r="P2000" s="15"/>
      <c r="S2000" t="s">
        <v>4180</v>
      </c>
      <c r="T2000" t="s">
        <v>1017</v>
      </c>
      <c r="U2000" s="55"/>
      <c r="W2000" s="65"/>
      <c r="X2000" s="65"/>
      <c r="Z2000" s="65"/>
      <c r="AC2000" s="65"/>
      <c r="AD2000" s="92"/>
      <c r="AE2000" s="124" t="s">
        <v>1017</v>
      </c>
      <c r="AF2000" s="65"/>
      <c r="AG2000" s="91"/>
      <c r="AH2000" s="217" t="s">
        <v>4179</v>
      </c>
      <c r="AI2000" s="214" t="str">
        <f t="shared" si="916"/>
        <v/>
      </c>
      <c r="AJ2000" s="214" t="str">
        <f t="shared" si="917"/>
        <v/>
      </c>
      <c r="AK2000" s="214" t="str">
        <f t="shared" si="918"/>
        <v/>
      </c>
      <c r="AL2000" s="214" t="str">
        <f t="shared" si="919"/>
        <v/>
      </c>
      <c r="AM2000" s="214" t="str">
        <f t="shared" si="920"/>
        <v/>
      </c>
      <c r="AN2000" s="213" t="str">
        <f t="shared" si="903"/>
        <v>2012</v>
      </c>
      <c r="AO2000" s="213" t="str">
        <f t="shared" si="904"/>
        <v>2012</v>
      </c>
      <c r="AP2000" s="213" t="str">
        <f t="shared" si="905"/>
        <v>2012</v>
      </c>
      <c r="AQ2000" s="215" t="str">
        <f t="shared" si="906"/>
        <v/>
      </c>
      <c r="AR2000" s="216" t="str">
        <f t="shared" si="907"/>
        <v>BiK82bK12---07</v>
      </c>
      <c r="AS2000" s="215" t="str">
        <f t="shared" si="908"/>
        <v/>
      </c>
      <c r="AT2000">
        <f t="shared" si="909"/>
        <v>14</v>
      </c>
      <c r="AU2000" s="216" t="str">
        <f t="shared" si="910"/>
        <v>0,15-0,5 MW, Bonusregeln b und K erstmals 2012</v>
      </c>
      <c r="AV2000" s="215" t="str">
        <f t="shared" si="911"/>
        <v/>
      </c>
      <c r="AW2000" s="216" t="str">
        <f t="shared" si="912"/>
        <v>Anteil KWK, erstmals 2012</v>
      </c>
      <c r="AX2000" s="215" t="str">
        <f t="shared" si="913"/>
        <v/>
      </c>
      <c r="AY2000" t="str">
        <f t="shared" si="914"/>
        <v/>
      </c>
      <c r="AZ2000" t="str">
        <f t="shared" si="915"/>
        <v>x</v>
      </c>
    </row>
    <row r="2001" spans="1:52" x14ac:dyDescent="0.25">
      <c r="A2001" s="610" t="s">
        <v>4011</v>
      </c>
      <c r="B2001" s="17" t="s">
        <v>5548</v>
      </c>
      <c r="C2001" s="17" t="s">
        <v>1304</v>
      </c>
      <c r="D2001" s="30" t="s">
        <v>7137</v>
      </c>
      <c r="E2001" s="17" t="s">
        <v>4810</v>
      </c>
      <c r="F2001" s="454">
        <f t="shared" si="922"/>
        <v>12.46</v>
      </c>
      <c r="G2001" s="529">
        <v>12.46</v>
      </c>
      <c r="H2001" s="487">
        <f t="shared" si="923"/>
        <v>9.9700000000000006</v>
      </c>
      <c r="I2001" s="706"/>
      <c r="J2001" s="669" t="s">
        <v>5805</v>
      </c>
      <c r="K2001" s="15"/>
      <c r="M2001" s="49">
        <f t="shared" si="924"/>
        <v>12.46</v>
      </c>
      <c r="N2001" s="41">
        <v>9.4600000000000009</v>
      </c>
      <c r="O2001" s="54"/>
      <c r="P2001" s="15"/>
      <c r="S2001" t="s">
        <v>4180</v>
      </c>
      <c r="T2001" t="s">
        <v>4180</v>
      </c>
      <c r="U2001" s="55" t="s">
        <v>1017</v>
      </c>
      <c r="W2001" s="65"/>
      <c r="X2001" s="65"/>
      <c r="Z2001" s="65"/>
      <c r="AC2001" s="65"/>
      <c r="AD2001" s="92"/>
      <c r="AE2001" s="124" t="s">
        <v>1017</v>
      </c>
      <c r="AF2001" s="65"/>
      <c r="AG2001" s="91"/>
      <c r="AH2001" s="212" t="str">
        <f t="shared" ref="AH2001:AH2006" si="925">IF(ISERROR(SEARCH("K erstmals 201",D2001)),"",RIGHT(D2001,4))</f>
        <v/>
      </c>
      <c r="AI2001" s="214" t="str">
        <f t="shared" si="916"/>
        <v/>
      </c>
      <c r="AJ2001" s="214" t="str">
        <f t="shared" si="917"/>
        <v/>
      </c>
      <c r="AK2001" s="214" t="str">
        <f t="shared" si="918"/>
        <v/>
      </c>
      <c r="AL2001" s="214" t="str">
        <f t="shared" si="919"/>
        <v/>
      </c>
      <c r="AM2001" s="214" t="str">
        <f t="shared" si="920"/>
        <v/>
      </c>
      <c r="AN2001" s="213" t="str">
        <f t="shared" si="903"/>
        <v/>
      </c>
      <c r="AO2001" s="213" t="str">
        <f t="shared" si="904"/>
        <v/>
      </c>
      <c r="AP2001" s="213" t="str">
        <f t="shared" si="905"/>
        <v/>
      </c>
      <c r="AQ2001" s="215" t="str">
        <f t="shared" si="906"/>
        <v/>
      </c>
      <c r="AR2001" s="216" t="str">
        <f t="shared" si="907"/>
        <v>BiK82by-----07</v>
      </c>
      <c r="AS2001" s="215" t="str">
        <f t="shared" si="908"/>
        <v/>
      </c>
      <c r="AT2001">
        <f t="shared" si="909"/>
        <v>14</v>
      </c>
      <c r="AU2001" s="216" t="str">
        <f t="shared" si="910"/>
        <v>0,15-0,5 MW, Bonusregeln b, y</v>
      </c>
      <c r="AV2001" s="215" t="str">
        <f t="shared" si="911"/>
        <v/>
      </c>
      <c r="AW2001" s="216" t="str">
        <f t="shared" si="912"/>
        <v>Anteil Nicht-KWK</v>
      </c>
      <c r="AX2001" s="215" t="str">
        <f t="shared" si="913"/>
        <v/>
      </c>
      <c r="AY2001" t="str">
        <f t="shared" si="914"/>
        <v/>
      </c>
      <c r="AZ2001" t="str">
        <f t="shared" si="915"/>
        <v/>
      </c>
    </row>
    <row r="2002" spans="1:52" x14ac:dyDescent="0.25">
      <c r="A2002" s="610" t="s">
        <v>4012</v>
      </c>
      <c r="B2002" s="17" t="s">
        <v>5548</v>
      </c>
      <c r="C2002" s="17" t="s">
        <v>1304</v>
      </c>
      <c r="D2002" s="30" t="s">
        <v>7138</v>
      </c>
      <c r="E2002" s="17" t="s">
        <v>4812</v>
      </c>
      <c r="F2002" s="454">
        <f t="shared" si="922"/>
        <v>14.46</v>
      </c>
      <c r="G2002" s="529">
        <v>14.46</v>
      </c>
      <c r="H2002" s="487">
        <f t="shared" si="923"/>
        <v>11.57</v>
      </c>
      <c r="I2002" s="706"/>
      <c r="J2002" s="669" t="s">
        <v>5805</v>
      </c>
      <c r="K2002" s="15"/>
      <c r="M2002" s="49">
        <f t="shared" si="924"/>
        <v>14.46</v>
      </c>
      <c r="N2002" s="41">
        <v>9.4600000000000009</v>
      </c>
      <c r="O2002" s="54" t="s">
        <v>1017</v>
      </c>
      <c r="P2002" s="15"/>
      <c r="S2002" t="s">
        <v>4180</v>
      </c>
      <c r="T2002" t="s">
        <v>4180</v>
      </c>
      <c r="U2002" s="55" t="s">
        <v>1017</v>
      </c>
      <c r="W2002" s="65"/>
      <c r="X2002" s="65"/>
      <c r="Z2002" s="65"/>
      <c r="AC2002" s="65"/>
      <c r="AD2002" s="92"/>
      <c r="AE2002" s="124" t="s">
        <v>1017</v>
      </c>
      <c r="AF2002" s="65"/>
      <c r="AG2002" s="91"/>
      <c r="AH2002" s="212" t="str">
        <f t="shared" si="925"/>
        <v/>
      </c>
      <c r="AI2002" s="214" t="str">
        <f t="shared" si="916"/>
        <v/>
      </c>
      <c r="AJ2002" s="214" t="str">
        <f t="shared" si="917"/>
        <v/>
      </c>
      <c r="AK2002" s="214" t="str">
        <f t="shared" si="918"/>
        <v/>
      </c>
      <c r="AL2002" s="214" t="str">
        <f t="shared" si="919"/>
        <v/>
      </c>
      <c r="AM2002" s="214" t="str">
        <f t="shared" si="920"/>
        <v/>
      </c>
      <c r="AN2002" s="213" t="str">
        <f t="shared" si="903"/>
        <v/>
      </c>
      <c r="AO2002" s="213" t="str">
        <f t="shared" si="904"/>
        <v/>
      </c>
      <c r="AP2002" s="213" t="str">
        <f t="shared" si="905"/>
        <v/>
      </c>
      <c r="AQ2002" s="215" t="str">
        <f t="shared" si="906"/>
        <v/>
      </c>
      <c r="AR2002" s="216" t="str">
        <f t="shared" si="907"/>
        <v>BiK82bKWKy--07</v>
      </c>
      <c r="AS2002" s="215" t="str">
        <f t="shared" si="908"/>
        <v/>
      </c>
      <c r="AT2002">
        <f t="shared" si="909"/>
        <v>14</v>
      </c>
      <c r="AU2002" s="216" t="str">
        <f t="shared" si="910"/>
        <v>0,15-0,5 MW, Bonusregeln b, y und KWK</v>
      </c>
      <c r="AV2002" s="215" t="str">
        <f t="shared" si="911"/>
        <v/>
      </c>
      <c r="AW2002" s="216" t="str">
        <f t="shared" si="912"/>
        <v>Anteil KWK</v>
      </c>
      <c r="AX2002" s="215" t="str">
        <f t="shared" si="913"/>
        <v/>
      </c>
      <c r="AY2002" t="str">
        <f t="shared" si="914"/>
        <v/>
      </c>
      <c r="AZ2002" t="str">
        <f t="shared" si="915"/>
        <v/>
      </c>
    </row>
    <row r="2003" spans="1:52" x14ac:dyDescent="0.25">
      <c r="A2003" s="610" t="s">
        <v>4013</v>
      </c>
      <c r="B2003" s="17" t="s">
        <v>5548</v>
      </c>
      <c r="C2003" s="30" t="s">
        <v>1304</v>
      </c>
      <c r="D2003" s="30" t="s">
        <v>7139</v>
      </c>
      <c r="E2003" s="30" t="s">
        <v>4331</v>
      </c>
      <c r="F2003" s="454">
        <f t="shared" si="922"/>
        <v>15.46</v>
      </c>
      <c r="G2003" s="529">
        <v>15.46</v>
      </c>
      <c r="H2003" s="487">
        <f t="shared" si="923"/>
        <v>12.37</v>
      </c>
      <c r="I2003" s="706"/>
      <c r="J2003" s="669" t="s">
        <v>5805</v>
      </c>
      <c r="K2003" s="15"/>
      <c r="M2003" s="49">
        <f t="shared" si="924"/>
        <v>15.46</v>
      </c>
      <c r="N2003" s="41">
        <v>9.4600000000000009</v>
      </c>
      <c r="O2003" s="54"/>
      <c r="P2003" t="s">
        <v>1017</v>
      </c>
      <c r="S2003" t="s">
        <v>4180</v>
      </c>
      <c r="T2003" t="s">
        <v>4180</v>
      </c>
      <c r="U2003" s="55" t="s">
        <v>1017</v>
      </c>
      <c r="W2003" s="65"/>
      <c r="X2003" s="65"/>
      <c r="Z2003" s="65"/>
      <c r="AC2003" s="65"/>
      <c r="AD2003" s="92"/>
      <c r="AE2003" s="124" t="s">
        <v>1017</v>
      </c>
      <c r="AF2003" s="65"/>
      <c r="AG2003" s="91"/>
      <c r="AH2003" s="212" t="str">
        <f t="shared" si="925"/>
        <v/>
      </c>
      <c r="AI2003" s="214" t="str">
        <f t="shared" si="916"/>
        <v/>
      </c>
      <c r="AJ2003" s="214" t="str">
        <f t="shared" si="917"/>
        <v/>
      </c>
      <c r="AK2003" s="214" t="str">
        <f t="shared" si="918"/>
        <v/>
      </c>
      <c r="AL2003" s="214" t="str">
        <f t="shared" si="919"/>
        <v/>
      </c>
      <c r="AM2003" s="214" t="str">
        <f t="shared" si="920"/>
        <v/>
      </c>
      <c r="AN2003" s="213" t="str">
        <f t="shared" si="903"/>
        <v/>
      </c>
      <c r="AO2003" s="213" t="str">
        <f t="shared" si="904"/>
        <v/>
      </c>
      <c r="AP2003" s="213" t="str">
        <f t="shared" si="905"/>
        <v/>
      </c>
      <c r="AQ2003" s="215" t="str">
        <f t="shared" si="906"/>
        <v/>
      </c>
      <c r="AR2003" s="216" t="str">
        <f t="shared" si="907"/>
        <v>BiK82bKA3y--07</v>
      </c>
      <c r="AS2003" s="215" t="str">
        <f t="shared" si="908"/>
        <v/>
      </c>
      <c r="AT2003">
        <f t="shared" si="909"/>
        <v>14</v>
      </c>
      <c r="AU2003" s="216" t="str">
        <f t="shared" si="910"/>
        <v>0,15-0,5 MW, Bonusregeln b, y und K wenn Anlage 3 erfüllt</v>
      </c>
      <c r="AV2003" s="215" t="str">
        <f t="shared" si="911"/>
        <v/>
      </c>
      <c r="AW2003" s="216" t="str">
        <f t="shared" si="912"/>
        <v>Anteil KWK gemäß Anlage 3</v>
      </c>
      <c r="AX2003" s="215" t="str">
        <f t="shared" si="913"/>
        <v/>
      </c>
      <c r="AY2003" t="str">
        <f t="shared" si="914"/>
        <v/>
      </c>
      <c r="AZ2003" t="str">
        <f t="shared" si="915"/>
        <v/>
      </c>
    </row>
    <row r="2004" spans="1:52" x14ac:dyDescent="0.25">
      <c r="A2004" s="610" t="s">
        <v>4014</v>
      </c>
      <c r="B2004" s="17" t="s">
        <v>5548</v>
      </c>
      <c r="C2004" s="17" t="s">
        <v>1304</v>
      </c>
      <c r="D2004" s="30" t="s">
        <v>7140</v>
      </c>
      <c r="E2004" s="17" t="s">
        <v>674</v>
      </c>
      <c r="F2004" s="454">
        <f t="shared" si="922"/>
        <v>15.46</v>
      </c>
      <c r="G2004" s="529">
        <v>15.46</v>
      </c>
      <c r="H2004" s="487">
        <f t="shared" si="923"/>
        <v>12.37</v>
      </c>
      <c r="I2004" s="706"/>
      <c r="J2004" s="669" t="s">
        <v>5805</v>
      </c>
      <c r="K2004" s="15"/>
      <c r="M2004" s="49">
        <f t="shared" si="924"/>
        <v>15.46</v>
      </c>
      <c r="N2004" s="41">
        <v>9.4600000000000009</v>
      </c>
      <c r="O2004" s="54"/>
      <c r="P2004" s="15"/>
      <c r="Q2004" t="s">
        <v>1017</v>
      </c>
      <c r="S2004" t="s">
        <v>4180</v>
      </c>
      <c r="T2004" t="s">
        <v>4180</v>
      </c>
      <c r="U2004" s="55" t="s">
        <v>1017</v>
      </c>
      <c r="W2004" s="65"/>
      <c r="X2004" s="65"/>
      <c r="Z2004" s="65"/>
      <c r="AC2004" s="65"/>
      <c r="AD2004" s="92"/>
      <c r="AE2004" s="124" t="s">
        <v>1017</v>
      </c>
      <c r="AF2004" s="65"/>
      <c r="AG2004" s="91"/>
      <c r="AH2004" s="212" t="str">
        <f t="shared" si="925"/>
        <v/>
      </c>
      <c r="AI2004" s="214" t="str">
        <f t="shared" si="916"/>
        <v/>
      </c>
      <c r="AJ2004" s="214" t="str">
        <f t="shared" si="917"/>
        <v/>
      </c>
      <c r="AK2004" s="214" t="str">
        <f t="shared" si="918"/>
        <v/>
      </c>
      <c r="AL2004" s="214" t="str">
        <f t="shared" si="919"/>
        <v/>
      </c>
      <c r="AM2004" s="214" t="str">
        <f t="shared" si="920"/>
        <v/>
      </c>
      <c r="AN2004" s="213" t="str">
        <f t="shared" si="903"/>
        <v/>
      </c>
      <c r="AO2004" s="213" t="str">
        <f t="shared" si="904"/>
        <v/>
      </c>
      <c r="AP2004" s="213" t="str">
        <f t="shared" si="905"/>
        <v/>
      </c>
      <c r="AQ2004" s="215" t="str">
        <f t="shared" si="906"/>
        <v/>
      </c>
      <c r="AR2004" s="216" t="str">
        <f t="shared" si="907"/>
        <v>BiK82bK09y--07</v>
      </c>
      <c r="AS2004" s="215" t="str">
        <f t="shared" si="908"/>
        <v/>
      </c>
      <c r="AT2004">
        <f t="shared" si="909"/>
        <v>14</v>
      </c>
      <c r="AU2004" s="216" t="str">
        <f t="shared" si="910"/>
        <v>0,15-0,5 MW, Bonusregeln b, y und K erstmals 2009</v>
      </c>
      <c r="AV2004" s="215" t="str">
        <f t="shared" si="911"/>
        <v/>
      </c>
      <c r="AW2004" s="216" t="str">
        <f t="shared" si="912"/>
        <v>Anteil KWK, erstmals 2009</v>
      </c>
      <c r="AX2004" s="215" t="str">
        <f t="shared" si="913"/>
        <v/>
      </c>
      <c r="AY2004" t="str">
        <f t="shared" si="914"/>
        <v/>
      </c>
      <c r="AZ2004" t="str">
        <f t="shared" si="915"/>
        <v/>
      </c>
    </row>
    <row r="2005" spans="1:52" x14ac:dyDescent="0.25">
      <c r="A2005" s="610" t="s">
        <v>3139</v>
      </c>
      <c r="B2005" s="17" t="s">
        <v>5548</v>
      </c>
      <c r="C2005" s="17" t="s">
        <v>1304</v>
      </c>
      <c r="D2005" s="30" t="s">
        <v>7141</v>
      </c>
      <c r="E2005" s="30" t="s">
        <v>3567</v>
      </c>
      <c r="F2005" s="454">
        <f t="shared" si="922"/>
        <v>15.430000000000001</v>
      </c>
      <c r="G2005" s="529">
        <v>15.430000000000001</v>
      </c>
      <c r="H2005" s="487">
        <f t="shared" si="923"/>
        <v>12.34</v>
      </c>
      <c r="I2005" s="706"/>
      <c r="J2005" s="669" t="s">
        <v>5805</v>
      </c>
      <c r="K2005" s="15"/>
      <c r="M2005" s="49">
        <f t="shared" si="924"/>
        <v>15.430000000000001</v>
      </c>
      <c r="N2005" s="41">
        <v>9.4600000000000009</v>
      </c>
      <c r="O2005" s="54"/>
      <c r="P2005" s="15"/>
      <c r="R2005" t="s">
        <v>1017</v>
      </c>
      <c r="S2005" t="s">
        <v>4180</v>
      </c>
      <c r="T2005" t="s">
        <v>4180</v>
      </c>
      <c r="U2005" s="55" t="s">
        <v>1017</v>
      </c>
      <c r="W2005" s="65"/>
      <c r="X2005" s="65"/>
      <c r="Z2005" s="65"/>
      <c r="AC2005" s="65"/>
      <c r="AD2005" s="92"/>
      <c r="AE2005" s="124" t="s">
        <v>1017</v>
      </c>
      <c r="AF2005" s="65"/>
      <c r="AG2005" s="91"/>
      <c r="AH2005" s="212" t="str">
        <f t="shared" si="925"/>
        <v>2010</v>
      </c>
      <c r="AI2005" s="214" t="str">
        <f t="shared" si="916"/>
        <v/>
      </c>
      <c r="AJ2005" s="214" t="str">
        <f t="shared" si="917"/>
        <v/>
      </c>
      <c r="AK2005" s="214" t="str">
        <f t="shared" si="918"/>
        <v/>
      </c>
      <c r="AL2005" s="214" t="str">
        <f t="shared" si="919"/>
        <v/>
      </c>
      <c r="AM2005" s="214" t="str">
        <f t="shared" si="920"/>
        <v/>
      </c>
      <c r="AN2005" s="213" t="str">
        <f t="shared" si="903"/>
        <v>2010</v>
      </c>
      <c r="AO2005" s="213" t="str">
        <f t="shared" si="904"/>
        <v>2010</v>
      </c>
      <c r="AP2005" s="213" t="str">
        <f t="shared" si="905"/>
        <v>2010</v>
      </c>
      <c r="AQ2005" s="215" t="str">
        <f t="shared" si="906"/>
        <v/>
      </c>
      <c r="AR2005" s="216" t="str">
        <f t="shared" si="907"/>
        <v>BiK82bK10y--07</v>
      </c>
      <c r="AS2005" s="215" t="str">
        <f t="shared" si="908"/>
        <v/>
      </c>
      <c r="AT2005">
        <f t="shared" si="909"/>
        <v>14</v>
      </c>
      <c r="AU2005" s="216" t="str">
        <f t="shared" si="910"/>
        <v>0,15-0,5 MW, Bonusregeln b, y und K erstmals 2010</v>
      </c>
      <c r="AV2005" s="215" t="str">
        <f t="shared" si="911"/>
        <v/>
      </c>
      <c r="AW2005" s="216" t="str">
        <f t="shared" si="912"/>
        <v>Anteil KWK, erstmals 2010</v>
      </c>
      <c r="AX2005" s="215" t="str">
        <f t="shared" si="913"/>
        <v/>
      </c>
      <c r="AY2005" t="str">
        <f t="shared" si="914"/>
        <v/>
      </c>
      <c r="AZ2005" t="str">
        <f t="shared" si="915"/>
        <v/>
      </c>
    </row>
    <row r="2006" spans="1:52" x14ac:dyDescent="0.25">
      <c r="A2006" s="610" t="s">
        <v>3415</v>
      </c>
      <c r="B2006" s="17" t="s">
        <v>5548</v>
      </c>
      <c r="C2006" s="17" t="s">
        <v>1304</v>
      </c>
      <c r="D2006" s="30" t="s">
        <v>7142</v>
      </c>
      <c r="E2006" s="30" t="s">
        <v>3055</v>
      </c>
      <c r="F2006" s="454">
        <f t="shared" si="922"/>
        <v>15.4</v>
      </c>
      <c r="G2006" s="529">
        <v>15.4</v>
      </c>
      <c r="H2006" s="487">
        <f t="shared" si="923"/>
        <v>12.32</v>
      </c>
      <c r="I2006" s="706"/>
      <c r="J2006" s="669" t="s">
        <v>5805</v>
      </c>
      <c r="K2006" s="15"/>
      <c r="M2006" s="49">
        <f t="shared" si="924"/>
        <v>15.4</v>
      </c>
      <c r="N2006" s="41">
        <v>9.4600000000000009</v>
      </c>
      <c r="O2006" s="54"/>
      <c r="P2006" s="15"/>
      <c r="S2006" t="s">
        <v>1017</v>
      </c>
      <c r="T2006" t="s">
        <v>4180</v>
      </c>
      <c r="U2006" s="55" t="s">
        <v>1017</v>
      </c>
      <c r="W2006" s="65"/>
      <c r="X2006" s="65"/>
      <c r="Z2006" s="65"/>
      <c r="AC2006" s="65"/>
      <c r="AD2006" s="92"/>
      <c r="AE2006" s="124" t="s">
        <v>1017</v>
      </c>
      <c r="AF2006" s="65"/>
      <c r="AG2006" s="91"/>
      <c r="AH2006" s="212" t="str">
        <f t="shared" si="925"/>
        <v>2011</v>
      </c>
      <c r="AI2006" s="214" t="str">
        <f t="shared" si="916"/>
        <v/>
      </c>
      <c r="AJ2006" s="214" t="str">
        <f t="shared" si="917"/>
        <v/>
      </c>
      <c r="AK2006" s="214" t="str">
        <f t="shared" si="918"/>
        <v/>
      </c>
      <c r="AL2006" s="214" t="str">
        <f t="shared" si="919"/>
        <v/>
      </c>
      <c r="AM2006" s="214" t="str">
        <f t="shared" si="920"/>
        <v/>
      </c>
      <c r="AN2006" s="213" t="str">
        <f t="shared" si="903"/>
        <v>2011</v>
      </c>
      <c r="AO2006" s="213" t="str">
        <f t="shared" si="904"/>
        <v>2011</v>
      </c>
      <c r="AP2006" s="213" t="str">
        <f t="shared" si="905"/>
        <v>2011</v>
      </c>
      <c r="AQ2006" s="215" t="str">
        <f t="shared" si="906"/>
        <v/>
      </c>
      <c r="AR2006" s="216" t="str">
        <f t="shared" si="907"/>
        <v>BiK82bK11y--07</v>
      </c>
      <c r="AS2006" s="215" t="str">
        <f t="shared" si="908"/>
        <v/>
      </c>
      <c r="AT2006">
        <f t="shared" si="909"/>
        <v>14</v>
      </c>
      <c r="AU2006" s="216" t="str">
        <f t="shared" si="910"/>
        <v>0,15-0,5 MW, Bonusregeln b, y und K erstmals 2011</v>
      </c>
      <c r="AV2006" s="215" t="str">
        <f t="shared" si="911"/>
        <v/>
      </c>
      <c r="AW2006" s="216" t="str">
        <f t="shared" si="912"/>
        <v>Anteil KWK, erstmals 2011</v>
      </c>
      <c r="AX2006" s="215" t="str">
        <f t="shared" si="913"/>
        <v/>
      </c>
      <c r="AY2006" t="str">
        <f t="shared" si="914"/>
        <v>x</v>
      </c>
      <c r="AZ2006" t="str">
        <f t="shared" si="915"/>
        <v/>
      </c>
    </row>
    <row r="2007" spans="1:52" x14ac:dyDescent="0.25">
      <c r="A2007" s="625" t="s">
        <v>1847</v>
      </c>
      <c r="B2007" s="221" t="s">
        <v>5548</v>
      </c>
      <c r="C2007" s="221" t="s">
        <v>1304</v>
      </c>
      <c r="D2007" s="219" t="s">
        <v>7143</v>
      </c>
      <c r="E2007" s="219" t="s">
        <v>1980</v>
      </c>
      <c r="F2007" s="455">
        <f t="shared" si="922"/>
        <v>15.370000000000001</v>
      </c>
      <c r="G2007" s="530">
        <v>15.370000000000001</v>
      </c>
      <c r="H2007" s="488">
        <f t="shared" si="923"/>
        <v>12.3</v>
      </c>
      <c r="I2007" s="707"/>
      <c r="J2007" s="669" t="s">
        <v>5805</v>
      </c>
      <c r="K2007" s="15"/>
      <c r="M2007" s="49">
        <f t="shared" si="924"/>
        <v>15.370000000000001</v>
      </c>
      <c r="N2007" s="41">
        <v>9.4600000000000009</v>
      </c>
      <c r="O2007" s="54"/>
      <c r="P2007" s="15"/>
      <c r="S2007" t="s">
        <v>4180</v>
      </c>
      <c r="T2007" t="s">
        <v>1017</v>
      </c>
      <c r="U2007" s="55" t="s">
        <v>1017</v>
      </c>
      <c r="W2007" s="65"/>
      <c r="X2007" s="65"/>
      <c r="Z2007" s="65"/>
      <c r="AC2007" s="65"/>
      <c r="AD2007" s="92"/>
      <c r="AE2007" s="124" t="s">
        <v>1017</v>
      </c>
      <c r="AF2007" s="65"/>
      <c r="AG2007" s="91"/>
      <c r="AH2007" s="217" t="s">
        <v>4179</v>
      </c>
      <c r="AI2007" s="214" t="str">
        <f t="shared" si="916"/>
        <v/>
      </c>
      <c r="AJ2007" s="214" t="str">
        <f t="shared" si="917"/>
        <v/>
      </c>
      <c r="AK2007" s="214" t="str">
        <f t="shared" si="918"/>
        <v/>
      </c>
      <c r="AL2007" s="214" t="str">
        <f t="shared" si="919"/>
        <v/>
      </c>
      <c r="AM2007" s="214" t="str">
        <f t="shared" si="920"/>
        <v/>
      </c>
      <c r="AN2007" s="213" t="str">
        <f t="shared" si="903"/>
        <v>2012</v>
      </c>
      <c r="AO2007" s="213" t="str">
        <f t="shared" si="904"/>
        <v>2012</v>
      </c>
      <c r="AP2007" s="213" t="str">
        <f t="shared" si="905"/>
        <v>2012</v>
      </c>
      <c r="AQ2007" s="215" t="str">
        <f t="shared" si="906"/>
        <v/>
      </c>
      <c r="AR2007" s="216" t="str">
        <f t="shared" si="907"/>
        <v>BiK82bK12y--07</v>
      </c>
      <c r="AS2007" s="215" t="str">
        <f t="shared" si="908"/>
        <v/>
      </c>
      <c r="AT2007">
        <f t="shared" si="909"/>
        <v>14</v>
      </c>
      <c r="AU2007" s="216" t="str">
        <f t="shared" si="910"/>
        <v>0,15-0,5 MW, Bonusregeln b, y und K erstmals 2012</v>
      </c>
      <c r="AV2007" s="215" t="str">
        <f t="shared" si="911"/>
        <v/>
      </c>
      <c r="AW2007" s="216" t="str">
        <f t="shared" si="912"/>
        <v>Anteil KWK, erstmals 2012</v>
      </c>
      <c r="AX2007" s="215" t="str">
        <f t="shared" si="913"/>
        <v/>
      </c>
      <c r="AY2007" t="str">
        <f t="shared" si="914"/>
        <v/>
      </c>
      <c r="AZ2007" t="str">
        <f t="shared" si="915"/>
        <v>x</v>
      </c>
    </row>
    <row r="2008" spans="1:52" x14ac:dyDescent="0.25">
      <c r="A2008" s="609" t="s">
        <v>547</v>
      </c>
      <c r="B2008" s="1" t="s">
        <v>5548</v>
      </c>
      <c r="C2008" s="2" t="s">
        <v>1304</v>
      </c>
      <c r="D2008" s="1" t="s">
        <v>7144</v>
      </c>
      <c r="E2008" s="1" t="s">
        <v>4810</v>
      </c>
      <c r="F2008" s="456">
        <f t="shared" si="922"/>
        <v>17.46</v>
      </c>
      <c r="G2008" s="531">
        <v>17.46</v>
      </c>
      <c r="H2008" s="489">
        <f t="shared" si="923"/>
        <v>13.97</v>
      </c>
      <c r="I2008" s="708"/>
      <c r="J2008" s="669" t="s">
        <v>5805</v>
      </c>
      <c r="K2008" s="15"/>
      <c r="M2008" s="49">
        <f t="shared" si="924"/>
        <v>17.46</v>
      </c>
      <c r="N2008" s="41">
        <v>9.4600000000000009</v>
      </c>
      <c r="O2008" s="54"/>
      <c r="P2008" s="15"/>
      <c r="S2008" t="s">
        <v>4180</v>
      </c>
      <c r="T2008" t="s">
        <v>4180</v>
      </c>
      <c r="U2008" s="55"/>
      <c r="V2008" t="s">
        <v>1017</v>
      </c>
      <c r="W2008" s="65"/>
      <c r="X2008" s="65"/>
      <c r="Z2008" s="65"/>
      <c r="AA2008" s="12"/>
      <c r="AC2008" s="65"/>
      <c r="AD2008" s="27"/>
      <c r="AE2008" s="124" t="s">
        <v>1017</v>
      </c>
      <c r="AF2008" s="65"/>
      <c r="AG2008" s="91"/>
      <c r="AH2008" s="212" t="str">
        <f t="shared" ref="AH2008:AH2013" si="926">IF(ISERROR(SEARCH("K erstmals 201",D2008)),"",RIGHT(D2008,4))</f>
        <v/>
      </c>
      <c r="AI2008" s="214" t="str">
        <f t="shared" si="916"/>
        <v/>
      </c>
      <c r="AJ2008" s="214" t="str">
        <f t="shared" si="917"/>
        <v/>
      </c>
      <c r="AK2008" s="214" t="str">
        <f t="shared" si="918"/>
        <v/>
      </c>
      <c r="AL2008" s="214" t="str">
        <f t="shared" si="919"/>
        <v/>
      </c>
      <c r="AM2008" s="214" t="str">
        <f t="shared" si="920"/>
        <v/>
      </c>
      <c r="AN2008" s="213" t="str">
        <f t="shared" si="903"/>
        <v/>
      </c>
      <c r="AO2008" s="213" t="str">
        <f t="shared" si="904"/>
        <v/>
      </c>
      <c r="AP2008" s="213" t="str">
        <f t="shared" si="905"/>
        <v/>
      </c>
      <c r="AQ2008" s="215" t="str">
        <f t="shared" si="906"/>
        <v/>
      </c>
      <c r="AR2008" s="216" t="str">
        <f t="shared" si="907"/>
        <v>BiK82a1b----07</v>
      </c>
      <c r="AS2008" s="215" t="str">
        <f t="shared" si="908"/>
        <v/>
      </c>
      <c r="AT2008">
        <f t="shared" si="909"/>
        <v>14</v>
      </c>
      <c r="AU2008" s="216" t="str">
        <f t="shared" si="910"/>
        <v>0,15-0,5 MW, Bonusregeln a1 und b</v>
      </c>
      <c r="AV2008" s="215" t="str">
        <f t="shared" si="911"/>
        <v/>
      </c>
      <c r="AW2008" s="216" t="str">
        <f t="shared" si="912"/>
        <v>Anteil Nicht-KWK</v>
      </c>
      <c r="AX2008" s="215" t="str">
        <f t="shared" si="913"/>
        <v/>
      </c>
      <c r="AY2008" t="str">
        <f t="shared" si="914"/>
        <v/>
      </c>
      <c r="AZ2008" t="str">
        <f t="shared" si="915"/>
        <v/>
      </c>
    </row>
    <row r="2009" spans="1:52" x14ac:dyDescent="0.25">
      <c r="A2009" s="609" t="s">
        <v>548</v>
      </c>
      <c r="B2009" s="1" t="s">
        <v>5548</v>
      </c>
      <c r="C2009" s="2" t="s">
        <v>1304</v>
      </c>
      <c r="D2009" s="1" t="s">
        <v>7145</v>
      </c>
      <c r="E2009" s="1" t="s">
        <v>4812</v>
      </c>
      <c r="F2009" s="456">
        <f t="shared" si="922"/>
        <v>19.46</v>
      </c>
      <c r="G2009" s="531">
        <v>19.46</v>
      </c>
      <c r="H2009" s="489">
        <f t="shared" si="923"/>
        <v>15.57</v>
      </c>
      <c r="I2009" s="708"/>
      <c r="J2009" s="669" t="s">
        <v>5805</v>
      </c>
      <c r="K2009" s="15"/>
      <c r="M2009" s="49">
        <f t="shared" si="924"/>
        <v>19.46</v>
      </c>
      <c r="N2009" s="41">
        <v>9.4600000000000009</v>
      </c>
      <c r="O2009" s="54" t="s">
        <v>1017</v>
      </c>
      <c r="P2009" s="15"/>
      <c r="S2009" t="s">
        <v>4180</v>
      </c>
      <c r="T2009" t="s">
        <v>4180</v>
      </c>
      <c r="U2009" s="55"/>
      <c r="V2009" t="s">
        <v>1017</v>
      </c>
      <c r="W2009" s="65"/>
      <c r="X2009" s="65"/>
      <c r="Z2009" s="65"/>
      <c r="AA2009" s="12"/>
      <c r="AC2009" s="65"/>
      <c r="AD2009" s="27"/>
      <c r="AE2009" s="124" t="s">
        <v>1017</v>
      </c>
      <c r="AF2009" s="65"/>
      <c r="AG2009" s="91"/>
      <c r="AH2009" s="212" t="str">
        <f t="shared" si="926"/>
        <v/>
      </c>
      <c r="AI2009" s="214" t="str">
        <f t="shared" si="916"/>
        <v/>
      </c>
      <c r="AJ2009" s="214" t="str">
        <f t="shared" si="917"/>
        <v/>
      </c>
      <c r="AK2009" s="214" t="str">
        <f t="shared" si="918"/>
        <v/>
      </c>
      <c r="AL2009" s="214" t="str">
        <f t="shared" si="919"/>
        <v/>
      </c>
      <c r="AM2009" s="214" t="str">
        <f t="shared" si="920"/>
        <v/>
      </c>
      <c r="AN2009" s="213" t="str">
        <f t="shared" si="903"/>
        <v/>
      </c>
      <c r="AO2009" s="213" t="str">
        <f t="shared" si="904"/>
        <v/>
      </c>
      <c r="AP2009" s="213" t="str">
        <f t="shared" si="905"/>
        <v/>
      </c>
      <c r="AQ2009" s="215" t="str">
        <f t="shared" si="906"/>
        <v/>
      </c>
      <c r="AR2009" s="216" t="str">
        <f t="shared" si="907"/>
        <v>BiK82a1bKWK-07</v>
      </c>
      <c r="AS2009" s="215" t="str">
        <f t="shared" si="908"/>
        <v/>
      </c>
      <c r="AT2009">
        <f t="shared" si="909"/>
        <v>14</v>
      </c>
      <c r="AU2009" s="216" t="str">
        <f t="shared" si="910"/>
        <v>0,15-0,5 MW, Bonusregeln a1, b und KWK</v>
      </c>
      <c r="AV2009" s="215" t="str">
        <f t="shared" si="911"/>
        <v/>
      </c>
      <c r="AW2009" s="216" t="str">
        <f t="shared" si="912"/>
        <v>Anteil KWK</v>
      </c>
      <c r="AX2009" s="215" t="str">
        <f t="shared" si="913"/>
        <v/>
      </c>
      <c r="AY2009" t="str">
        <f t="shared" si="914"/>
        <v/>
      </c>
      <c r="AZ2009" t="str">
        <f t="shared" si="915"/>
        <v/>
      </c>
    </row>
    <row r="2010" spans="1:52" s="178" customFormat="1" x14ac:dyDescent="0.25">
      <c r="A2010" s="610" t="s">
        <v>4365</v>
      </c>
      <c r="B2010" s="17" t="s">
        <v>5548</v>
      </c>
      <c r="C2010" s="30" t="s">
        <v>1304</v>
      </c>
      <c r="D2010" s="30" t="s">
        <v>7146</v>
      </c>
      <c r="E2010" s="30" t="s">
        <v>4331</v>
      </c>
      <c r="F2010" s="454">
        <f t="shared" si="922"/>
        <v>20.46</v>
      </c>
      <c r="G2010" s="529">
        <v>20.46</v>
      </c>
      <c r="H2010" s="487">
        <f t="shared" si="923"/>
        <v>16.37</v>
      </c>
      <c r="I2010" s="706"/>
      <c r="J2010" s="669" t="s">
        <v>5805</v>
      </c>
      <c r="K2010" s="15"/>
      <c r="L2010"/>
      <c r="M2010" s="49">
        <f t="shared" si="924"/>
        <v>20.46</v>
      </c>
      <c r="N2010" s="41">
        <v>9.4600000000000009</v>
      </c>
      <c r="O2010" s="54"/>
      <c r="P2010" t="s">
        <v>1017</v>
      </c>
      <c r="Q2010"/>
      <c r="R2010"/>
      <c r="S2010" t="s">
        <v>4180</v>
      </c>
      <c r="T2010" s="178" t="s">
        <v>4180</v>
      </c>
      <c r="U2010" s="55"/>
      <c r="V2010" t="s">
        <v>1017</v>
      </c>
      <c r="W2010" s="65"/>
      <c r="X2010" s="65"/>
      <c r="Y2010"/>
      <c r="Z2010" s="65"/>
      <c r="AA2010" s="12"/>
      <c r="AB2010"/>
      <c r="AC2010" s="65"/>
      <c r="AD2010" s="27"/>
      <c r="AE2010" s="124" t="s">
        <v>1017</v>
      </c>
      <c r="AF2010" s="65"/>
      <c r="AG2010" s="91"/>
      <c r="AH2010" s="212" t="str">
        <f t="shared" si="926"/>
        <v/>
      </c>
      <c r="AI2010" s="214" t="str">
        <f t="shared" si="916"/>
        <v/>
      </c>
      <c r="AJ2010" s="214" t="str">
        <f t="shared" si="917"/>
        <v/>
      </c>
      <c r="AK2010" s="214" t="str">
        <f t="shared" si="918"/>
        <v/>
      </c>
      <c r="AL2010" s="214" t="str">
        <f t="shared" si="919"/>
        <v/>
      </c>
      <c r="AM2010" s="214" t="str">
        <f t="shared" si="920"/>
        <v/>
      </c>
      <c r="AN2010" s="213" t="str">
        <f t="shared" si="903"/>
        <v/>
      </c>
      <c r="AO2010" s="213" t="str">
        <f t="shared" si="904"/>
        <v/>
      </c>
      <c r="AP2010" s="213" t="str">
        <f t="shared" si="905"/>
        <v/>
      </c>
      <c r="AQ2010" s="215" t="str">
        <f t="shared" si="906"/>
        <v/>
      </c>
      <c r="AR2010" s="216" t="str">
        <f t="shared" si="907"/>
        <v>BiK82a1bKA3-07</v>
      </c>
      <c r="AS2010" s="215" t="str">
        <f t="shared" si="908"/>
        <v/>
      </c>
      <c r="AT2010">
        <f t="shared" si="909"/>
        <v>14</v>
      </c>
      <c r="AU2010" s="216" t="str">
        <f t="shared" si="910"/>
        <v>0,15-0,5 MW, Bonusregeln a1, b und K wenn Anlage 3 erfüllt</v>
      </c>
      <c r="AV2010" s="215" t="str">
        <f t="shared" si="911"/>
        <v/>
      </c>
      <c r="AW2010" s="216" t="str">
        <f t="shared" si="912"/>
        <v>Anteil KWK gemäß Anlage 3</v>
      </c>
      <c r="AX2010" s="215" t="str">
        <f t="shared" si="913"/>
        <v/>
      </c>
      <c r="AY2010" t="str">
        <f t="shared" si="914"/>
        <v/>
      </c>
      <c r="AZ2010" t="str">
        <f t="shared" si="915"/>
        <v/>
      </c>
    </row>
    <row r="2011" spans="1:52" s="178" customFormat="1" x14ac:dyDescent="0.25">
      <c r="A2011" s="610" t="s">
        <v>893</v>
      </c>
      <c r="B2011" s="17" t="s">
        <v>5548</v>
      </c>
      <c r="C2011" s="17" t="s">
        <v>1304</v>
      </c>
      <c r="D2011" s="30" t="s">
        <v>7147</v>
      </c>
      <c r="E2011" s="17" t="s">
        <v>674</v>
      </c>
      <c r="F2011" s="454">
        <f t="shared" si="922"/>
        <v>20.46</v>
      </c>
      <c r="G2011" s="529">
        <v>20.46</v>
      </c>
      <c r="H2011" s="487">
        <f t="shared" si="923"/>
        <v>16.37</v>
      </c>
      <c r="I2011" s="706"/>
      <c r="J2011" s="669" t="s">
        <v>5805</v>
      </c>
      <c r="K2011" s="15"/>
      <c r="L2011"/>
      <c r="M2011" s="49">
        <f t="shared" si="924"/>
        <v>20.46</v>
      </c>
      <c r="N2011" s="41">
        <v>9.4600000000000009</v>
      </c>
      <c r="O2011" s="54"/>
      <c r="P2011" s="15"/>
      <c r="Q2011" t="s">
        <v>1017</v>
      </c>
      <c r="R2011"/>
      <c r="S2011" t="s">
        <v>4180</v>
      </c>
      <c r="T2011" s="178" t="s">
        <v>4180</v>
      </c>
      <c r="U2011" s="55"/>
      <c r="V2011" t="s">
        <v>1017</v>
      </c>
      <c r="W2011" s="65"/>
      <c r="X2011" s="65"/>
      <c r="Y2011"/>
      <c r="Z2011" s="65"/>
      <c r="AA2011" s="12"/>
      <c r="AB2011"/>
      <c r="AC2011" s="65"/>
      <c r="AD2011" s="27"/>
      <c r="AE2011" s="124" t="s">
        <v>1017</v>
      </c>
      <c r="AF2011" s="65"/>
      <c r="AG2011" s="91"/>
      <c r="AH2011" s="212" t="str">
        <f t="shared" si="926"/>
        <v/>
      </c>
      <c r="AI2011" s="214" t="str">
        <f t="shared" si="916"/>
        <v/>
      </c>
      <c r="AJ2011" s="214" t="str">
        <f t="shared" si="917"/>
        <v/>
      </c>
      <c r="AK2011" s="214" t="str">
        <f t="shared" si="918"/>
        <v/>
      </c>
      <c r="AL2011" s="214" t="str">
        <f t="shared" si="919"/>
        <v/>
      </c>
      <c r="AM2011" s="214" t="str">
        <f t="shared" si="920"/>
        <v/>
      </c>
      <c r="AN2011" s="213" t="str">
        <f t="shared" si="903"/>
        <v/>
      </c>
      <c r="AO2011" s="213" t="str">
        <f t="shared" si="904"/>
        <v/>
      </c>
      <c r="AP2011" s="213" t="str">
        <f t="shared" si="905"/>
        <v/>
      </c>
      <c r="AQ2011" s="215" t="str">
        <f t="shared" si="906"/>
        <v/>
      </c>
      <c r="AR2011" s="216" t="str">
        <f t="shared" si="907"/>
        <v>BiK82a1bK09-07</v>
      </c>
      <c r="AS2011" s="215" t="str">
        <f t="shared" si="908"/>
        <v/>
      </c>
      <c r="AT2011">
        <f t="shared" si="909"/>
        <v>14</v>
      </c>
      <c r="AU2011" s="216" t="str">
        <f t="shared" si="910"/>
        <v>0,15-0,5 MW, Bonusregeln a1, b und K erstmals 2009</v>
      </c>
      <c r="AV2011" s="215" t="str">
        <f t="shared" si="911"/>
        <v/>
      </c>
      <c r="AW2011" s="216" t="str">
        <f t="shared" si="912"/>
        <v>Anteil KWK, erstmals 2009</v>
      </c>
      <c r="AX2011" s="215" t="str">
        <f t="shared" si="913"/>
        <v/>
      </c>
      <c r="AY2011" t="str">
        <f t="shared" si="914"/>
        <v/>
      </c>
      <c r="AZ2011" t="str">
        <f t="shared" si="915"/>
        <v/>
      </c>
    </row>
    <row r="2012" spans="1:52" s="178" customFormat="1" x14ac:dyDescent="0.25">
      <c r="A2012" s="610" t="s">
        <v>3140</v>
      </c>
      <c r="B2012" s="17" t="s">
        <v>5548</v>
      </c>
      <c r="C2012" s="17" t="s">
        <v>1304</v>
      </c>
      <c r="D2012" s="30" t="s">
        <v>7148</v>
      </c>
      <c r="E2012" s="30" t="s">
        <v>3567</v>
      </c>
      <c r="F2012" s="454">
        <f t="shared" si="922"/>
        <v>20.43</v>
      </c>
      <c r="G2012" s="529">
        <v>20.43</v>
      </c>
      <c r="H2012" s="487">
        <f t="shared" si="923"/>
        <v>16.34</v>
      </c>
      <c r="I2012" s="706"/>
      <c r="J2012" s="669" t="s">
        <v>5805</v>
      </c>
      <c r="K2012" s="15"/>
      <c r="L2012"/>
      <c r="M2012" s="49">
        <f t="shared" si="924"/>
        <v>20.43</v>
      </c>
      <c r="N2012" s="41">
        <v>9.4600000000000009</v>
      </c>
      <c r="O2012" s="54"/>
      <c r="P2012" s="15"/>
      <c r="Q2012"/>
      <c r="R2012" t="s">
        <v>1017</v>
      </c>
      <c r="S2012" t="s">
        <v>4180</v>
      </c>
      <c r="T2012" s="178" t="s">
        <v>4180</v>
      </c>
      <c r="U2012" s="55"/>
      <c r="V2012" t="s">
        <v>1017</v>
      </c>
      <c r="W2012" s="65"/>
      <c r="X2012" s="65"/>
      <c r="Y2012"/>
      <c r="Z2012" s="65"/>
      <c r="AA2012" s="12"/>
      <c r="AB2012"/>
      <c r="AC2012" s="65"/>
      <c r="AD2012" s="27"/>
      <c r="AE2012" s="124" t="s">
        <v>1017</v>
      </c>
      <c r="AF2012" s="65"/>
      <c r="AG2012" s="91"/>
      <c r="AH2012" s="212" t="str">
        <f t="shared" si="926"/>
        <v>2010</v>
      </c>
      <c r="AI2012" s="214" t="str">
        <f t="shared" si="916"/>
        <v/>
      </c>
      <c r="AJ2012" s="214" t="str">
        <f t="shared" si="917"/>
        <v/>
      </c>
      <c r="AK2012" s="214" t="str">
        <f t="shared" si="918"/>
        <v/>
      </c>
      <c r="AL2012" s="214" t="str">
        <f t="shared" si="919"/>
        <v/>
      </c>
      <c r="AM2012" s="214" t="str">
        <f t="shared" si="920"/>
        <v/>
      </c>
      <c r="AN2012" s="213" t="str">
        <f t="shared" si="903"/>
        <v>2010</v>
      </c>
      <c r="AO2012" s="213" t="str">
        <f t="shared" si="904"/>
        <v>2010</v>
      </c>
      <c r="AP2012" s="213" t="str">
        <f t="shared" si="905"/>
        <v>2010</v>
      </c>
      <c r="AQ2012" s="215" t="str">
        <f t="shared" si="906"/>
        <v/>
      </c>
      <c r="AR2012" s="216" t="str">
        <f t="shared" si="907"/>
        <v>BiK82a1bK10-07</v>
      </c>
      <c r="AS2012" s="215" t="str">
        <f t="shared" si="908"/>
        <v/>
      </c>
      <c r="AT2012">
        <f t="shared" si="909"/>
        <v>14</v>
      </c>
      <c r="AU2012" s="216" t="str">
        <f t="shared" si="910"/>
        <v>0,15-0,5 MW, Bonusregeln a1, b und K erstmals 2010</v>
      </c>
      <c r="AV2012" s="215" t="str">
        <f t="shared" si="911"/>
        <v/>
      </c>
      <c r="AW2012" s="216" t="str">
        <f t="shared" si="912"/>
        <v>Anteil KWK, erstmals 2010</v>
      </c>
      <c r="AX2012" s="215" t="str">
        <f t="shared" si="913"/>
        <v/>
      </c>
      <c r="AY2012" t="str">
        <f t="shared" si="914"/>
        <v/>
      </c>
      <c r="AZ2012" t="str">
        <f t="shared" si="915"/>
        <v/>
      </c>
    </row>
    <row r="2013" spans="1:52" s="178" customFormat="1" x14ac:dyDescent="0.25">
      <c r="A2013" s="610" t="s">
        <v>3416</v>
      </c>
      <c r="B2013" s="17" t="s">
        <v>5548</v>
      </c>
      <c r="C2013" s="17" t="s">
        <v>1304</v>
      </c>
      <c r="D2013" s="30" t="s">
        <v>7149</v>
      </c>
      <c r="E2013" s="30" t="s">
        <v>3055</v>
      </c>
      <c r="F2013" s="454">
        <f t="shared" si="922"/>
        <v>20.399999999999999</v>
      </c>
      <c r="G2013" s="529">
        <v>20.399999999999999</v>
      </c>
      <c r="H2013" s="487">
        <f t="shared" si="923"/>
        <v>16.32</v>
      </c>
      <c r="I2013" s="706"/>
      <c r="J2013" s="669" t="s">
        <v>5805</v>
      </c>
      <c r="K2013" s="15"/>
      <c r="L2013"/>
      <c r="M2013" s="49">
        <f t="shared" si="924"/>
        <v>20.399999999999999</v>
      </c>
      <c r="N2013" s="41">
        <v>9.4600000000000009</v>
      </c>
      <c r="O2013" s="54"/>
      <c r="P2013" s="15"/>
      <c r="Q2013"/>
      <c r="R2013"/>
      <c r="S2013" t="s">
        <v>1017</v>
      </c>
      <c r="T2013" s="178" t="s">
        <v>4180</v>
      </c>
      <c r="U2013" s="55"/>
      <c r="V2013" t="s">
        <v>1017</v>
      </c>
      <c r="W2013" s="65"/>
      <c r="X2013" s="65"/>
      <c r="Y2013"/>
      <c r="Z2013" s="65"/>
      <c r="AA2013" s="12"/>
      <c r="AB2013"/>
      <c r="AC2013" s="65"/>
      <c r="AD2013" s="27"/>
      <c r="AE2013" s="124" t="s">
        <v>1017</v>
      </c>
      <c r="AF2013" s="65"/>
      <c r="AG2013" s="91"/>
      <c r="AH2013" s="212" t="str">
        <f t="shared" si="926"/>
        <v>2011</v>
      </c>
      <c r="AI2013" s="214" t="str">
        <f t="shared" si="916"/>
        <v/>
      </c>
      <c r="AJ2013" s="214" t="str">
        <f t="shared" si="917"/>
        <v/>
      </c>
      <c r="AK2013" s="214" t="str">
        <f t="shared" si="918"/>
        <v/>
      </c>
      <c r="AL2013" s="214" t="str">
        <f t="shared" si="919"/>
        <v/>
      </c>
      <c r="AM2013" s="214" t="str">
        <f t="shared" si="920"/>
        <v/>
      </c>
      <c r="AN2013" s="213" t="str">
        <f t="shared" si="903"/>
        <v>2011</v>
      </c>
      <c r="AO2013" s="213" t="str">
        <f t="shared" si="904"/>
        <v>2011</v>
      </c>
      <c r="AP2013" s="213" t="str">
        <f t="shared" si="905"/>
        <v>2011</v>
      </c>
      <c r="AQ2013" s="215" t="str">
        <f t="shared" si="906"/>
        <v/>
      </c>
      <c r="AR2013" s="216" t="str">
        <f t="shared" si="907"/>
        <v>BiK82a1bK11-07</v>
      </c>
      <c r="AS2013" s="215" t="str">
        <f t="shared" si="908"/>
        <v/>
      </c>
      <c r="AT2013">
        <f t="shared" si="909"/>
        <v>14</v>
      </c>
      <c r="AU2013" s="216" t="str">
        <f t="shared" si="910"/>
        <v>0,15-0,5 MW, Bonusregeln a1, b und K erstmals 2011</v>
      </c>
      <c r="AV2013" s="215" t="str">
        <f t="shared" si="911"/>
        <v/>
      </c>
      <c r="AW2013" s="216" t="str">
        <f t="shared" si="912"/>
        <v>Anteil KWK, erstmals 2011</v>
      </c>
      <c r="AX2013" s="215" t="str">
        <f t="shared" si="913"/>
        <v/>
      </c>
      <c r="AY2013" t="str">
        <f t="shared" si="914"/>
        <v>x</v>
      </c>
      <c r="AZ2013" t="str">
        <f t="shared" si="915"/>
        <v/>
      </c>
    </row>
    <row r="2014" spans="1:52" s="178" customFormat="1" x14ac:dyDescent="0.25">
      <c r="A2014" s="625" t="s">
        <v>1848</v>
      </c>
      <c r="B2014" s="221" t="s">
        <v>5548</v>
      </c>
      <c r="C2014" s="221" t="s">
        <v>1304</v>
      </c>
      <c r="D2014" s="219" t="s">
        <v>7150</v>
      </c>
      <c r="E2014" s="219" t="s">
        <v>1980</v>
      </c>
      <c r="F2014" s="455">
        <f t="shared" si="922"/>
        <v>20.37</v>
      </c>
      <c r="G2014" s="530">
        <v>20.37</v>
      </c>
      <c r="H2014" s="488">
        <f t="shared" si="923"/>
        <v>16.3</v>
      </c>
      <c r="I2014" s="707"/>
      <c r="J2014" s="669" t="s">
        <v>5805</v>
      </c>
      <c r="K2014" s="15"/>
      <c r="L2014"/>
      <c r="M2014" s="49">
        <f t="shared" si="924"/>
        <v>20.37</v>
      </c>
      <c r="N2014" s="41">
        <v>9.4600000000000009</v>
      </c>
      <c r="O2014" s="54"/>
      <c r="P2014" s="15"/>
      <c r="Q2014"/>
      <c r="R2014"/>
      <c r="S2014" t="s">
        <v>4180</v>
      </c>
      <c r="T2014" s="178" t="s">
        <v>1017</v>
      </c>
      <c r="U2014" s="55"/>
      <c r="V2014" t="s">
        <v>1017</v>
      </c>
      <c r="W2014" s="65"/>
      <c r="X2014" s="65"/>
      <c r="Y2014"/>
      <c r="Z2014" s="65"/>
      <c r="AA2014" s="12"/>
      <c r="AB2014"/>
      <c r="AC2014" s="65"/>
      <c r="AD2014" s="27"/>
      <c r="AE2014" s="124" t="s">
        <v>1017</v>
      </c>
      <c r="AF2014" s="65"/>
      <c r="AG2014" s="91"/>
      <c r="AH2014" s="217" t="s">
        <v>4179</v>
      </c>
      <c r="AI2014" s="214" t="str">
        <f t="shared" si="916"/>
        <v/>
      </c>
      <c r="AJ2014" s="214" t="str">
        <f t="shared" si="917"/>
        <v/>
      </c>
      <c r="AK2014" s="214" t="str">
        <f t="shared" si="918"/>
        <v/>
      </c>
      <c r="AL2014" s="214" t="str">
        <f t="shared" si="919"/>
        <v/>
      </c>
      <c r="AM2014" s="214" t="str">
        <f t="shared" si="920"/>
        <v/>
      </c>
      <c r="AN2014" s="213" t="str">
        <f t="shared" si="903"/>
        <v>2012</v>
      </c>
      <c r="AO2014" s="213" t="str">
        <f t="shared" si="904"/>
        <v>2012</v>
      </c>
      <c r="AP2014" s="213" t="str">
        <f t="shared" si="905"/>
        <v>2012</v>
      </c>
      <c r="AQ2014" s="215" t="str">
        <f t="shared" si="906"/>
        <v/>
      </c>
      <c r="AR2014" s="216" t="str">
        <f t="shared" si="907"/>
        <v>BiK82a1bK12-07</v>
      </c>
      <c r="AS2014" s="215" t="str">
        <f t="shared" si="908"/>
        <v/>
      </c>
      <c r="AT2014">
        <f t="shared" si="909"/>
        <v>14</v>
      </c>
      <c r="AU2014" s="216" t="str">
        <f t="shared" si="910"/>
        <v>0,15-0,5 MW, Bonusregeln a1, b und K erstmals 2012</v>
      </c>
      <c r="AV2014" s="215" t="str">
        <f t="shared" si="911"/>
        <v/>
      </c>
      <c r="AW2014" s="216" t="str">
        <f t="shared" si="912"/>
        <v>Anteil KWK, erstmals 2012</v>
      </c>
      <c r="AX2014" s="215" t="str">
        <f t="shared" si="913"/>
        <v/>
      </c>
      <c r="AY2014" t="str">
        <f t="shared" si="914"/>
        <v/>
      </c>
      <c r="AZ2014" t="str">
        <f t="shared" si="915"/>
        <v>x</v>
      </c>
    </row>
    <row r="2015" spans="1:52" s="178" customFormat="1" x14ac:dyDescent="0.25">
      <c r="A2015" s="610" t="s">
        <v>4015</v>
      </c>
      <c r="B2015" s="17" t="s">
        <v>5548</v>
      </c>
      <c r="C2015" s="17" t="s">
        <v>1304</v>
      </c>
      <c r="D2015" s="30" t="s">
        <v>7151</v>
      </c>
      <c r="E2015" s="17" t="s">
        <v>4810</v>
      </c>
      <c r="F2015" s="454">
        <f t="shared" si="922"/>
        <v>18.46</v>
      </c>
      <c r="G2015" s="529">
        <v>18.46</v>
      </c>
      <c r="H2015" s="487">
        <f t="shared" si="923"/>
        <v>14.77</v>
      </c>
      <c r="I2015" s="706"/>
      <c r="J2015" s="669" t="s">
        <v>5805</v>
      </c>
      <c r="K2015" s="15"/>
      <c r="L2015"/>
      <c r="M2015" s="49">
        <f t="shared" si="924"/>
        <v>18.46</v>
      </c>
      <c r="N2015" s="41">
        <v>9.4600000000000009</v>
      </c>
      <c r="O2015" s="54"/>
      <c r="P2015" s="15"/>
      <c r="Q2015"/>
      <c r="R2015"/>
      <c r="S2015" t="s">
        <v>4180</v>
      </c>
      <c r="T2015" s="178" t="s">
        <v>4180</v>
      </c>
      <c r="U2015" s="55" t="s">
        <v>1017</v>
      </c>
      <c r="V2015" t="s">
        <v>1017</v>
      </c>
      <c r="W2015" s="65"/>
      <c r="X2015" s="65"/>
      <c r="Y2015"/>
      <c r="Z2015" s="65"/>
      <c r="AA2015" s="12"/>
      <c r="AB2015"/>
      <c r="AC2015" s="65"/>
      <c r="AD2015" s="27"/>
      <c r="AE2015" s="124" t="s">
        <v>1017</v>
      </c>
      <c r="AF2015" s="65"/>
      <c r="AG2015" s="91"/>
      <c r="AH2015" s="212" t="str">
        <f t="shared" ref="AH2015:AH2020" si="927">IF(ISERROR(SEARCH("K erstmals 201",D2015)),"",RIGHT(D2015,4))</f>
        <v/>
      </c>
      <c r="AI2015" s="214" t="str">
        <f t="shared" si="916"/>
        <v/>
      </c>
      <c r="AJ2015" s="214" t="str">
        <f t="shared" si="917"/>
        <v/>
      </c>
      <c r="AK2015" s="214" t="str">
        <f t="shared" si="918"/>
        <v/>
      </c>
      <c r="AL2015" s="214" t="str">
        <f t="shared" si="919"/>
        <v/>
      </c>
      <c r="AM2015" s="214" t="str">
        <f t="shared" si="920"/>
        <v/>
      </c>
      <c r="AN2015" s="213" t="str">
        <f t="shared" si="903"/>
        <v/>
      </c>
      <c r="AO2015" s="213" t="str">
        <f t="shared" si="904"/>
        <v/>
      </c>
      <c r="AP2015" s="213" t="str">
        <f t="shared" si="905"/>
        <v/>
      </c>
      <c r="AQ2015" s="215" t="str">
        <f t="shared" si="906"/>
        <v/>
      </c>
      <c r="AR2015" s="216" t="str">
        <f t="shared" si="907"/>
        <v>BiK82a1by---07</v>
      </c>
      <c r="AS2015" s="215" t="str">
        <f t="shared" si="908"/>
        <v/>
      </c>
      <c r="AT2015">
        <f t="shared" si="909"/>
        <v>14</v>
      </c>
      <c r="AU2015" s="216" t="str">
        <f t="shared" si="910"/>
        <v>0,15-0,5 MW, Bonusregeln a1, b, y</v>
      </c>
      <c r="AV2015" s="215" t="str">
        <f t="shared" si="911"/>
        <v/>
      </c>
      <c r="AW2015" s="216" t="str">
        <f t="shared" si="912"/>
        <v>Anteil Nicht-KWK</v>
      </c>
      <c r="AX2015" s="215" t="str">
        <f t="shared" si="913"/>
        <v/>
      </c>
      <c r="AY2015" t="str">
        <f t="shared" si="914"/>
        <v/>
      </c>
      <c r="AZ2015" t="str">
        <f t="shared" si="915"/>
        <v/>
      </c>
    </row>
    <row r="2016" spans="1:52" s="178" customFormat="1" x14ac:dyDescent="0.25">
      <c r="A2016" s="610" t="s">
        <v>4016</v>
      </c>
      <c r="B2016" s="17" t="s">
        <v>5548</v>
      </c>
      <c r="C2016" s="17" t="s">
        <v>1304</v>
      </c>
      <c r="D2016" s="30" t="s">
        <v>7152</v>
      </c>
      <c r="E2016" s="17" t="s">
        <v>4812</v>
      </c>
      <c r="F2016" s="454">
        <f t="shared" si="922"/>
        <v>20.46</v>
      </c>
      <c r="G2016" s="529">
        <v>20.46</v>
      </c>
      <c r="H2016" s="487">
        <f t="shared" si="923"/>
        <v>16.37</v>
      </c>
      <c r="I2016" s="706"/>
      <c r="J2016" s="669" t="s">
        <v>5805</v>
      </c>
      <c r="K2016" s="15"/>
      <c r="L2016"/>
      <c r="M2016" s="49">
        <f t="shared" si="924"/>
        <v>20.46</v>
      </c>
      <c r="N2016" s="41">
        <v>9.4600000000000009</v>
      </c>
      <c r="O2016" s="54" t="s">
        <v>1017</v>
      </c>
      <c r="P2016" s="15"/>
      <c r="Q2016"/>
      <c r="R2016"/>
      <c r="S2016" t="s">
        <v>4180</v>
      </c>
      <c r="T2016" s="178" t="s">
        <v>4180</v>
      </c>
      <c r="U2016" s="55" t="s">
        <v>1017</v>
      </c>
      <c r="V2016" t="s">
        <v>1017</v>
      </c>
      <c r="W2016" s="65"/>
      <c r="X2016" s="65"/>
      <c r="Y2016"/>
      <c r="Z2016" s="65"/>
      <c r="AA2016" s="12"/>
      <c r="AB2016"/>
      <c r="AC2016" s="65"/>
      <c r="AD2016" s="27"/>
      <c r="AE2016" s="124" t="s">
        <v>1017</v>
      </c>
      <c r="AF2016" s="65"/>
      <c r="AG2016" s="91"/>
      <c r="AH2016" s="212" t="str">
        <f t="shared" si="927"/>
        <v/>
      </c>
      <c r="AI2016" s="214" t="str">
        <f t="shared" si="916"/>
        <v/>
      </c>
      <c r="AJ2016" s="214" t="str">
        <f t="shared" si="917"/>
        <v/>
      </c>
      <c r="AK2016" s="214" t="str">
        <f t="shared" si="918"/>
        <v/>
      </c>
      <c r="AL2016" s="214" t="str">
        <f t="shared" si="919"/>
        <v/>
      </c>
      <c r="AM2016" s="214" t="str">
        <f t="shared" si="920"/>
        <v/>
      </c>
      <c r="AN2016" s="213" t="str">
        <f t="shared" si="903"/>
        <v/>
      </c>
      <c r="AO2016" s="213" t="str">
        <f t="shared" si="904"/>
        <v/>
      </c>
      <c r="AP2016" s="213" t="str">
        <f t="shared" si="905"/>
        <v/>
      </c>
      <c r="AQ2016" s="215" t="str">
        <f t="shared" si="906"/>
        <v/>
      </c>
      <c r="AR2016" s="216" t="str">
        <f t="shared" si="907"/>
        <v>BiK82a1bKWKy07</v>
      </c>
      <c r="AS2016" s="215" t="str">
        <f t="shared" si="908"/>
        <v/>
      </c>
      <c r="AT2016">
        <f t="shared" si="909"/>
        <v>14</v>
      </c>
      <c r="AU2016" s="216" t="str">
        <f t="shared" si="910"/>
        <v>0,15-0,5 MW, Bonusregeln a1, b, y und KWK</v>
      </c>
      <c r="AV2016" s="215" t="str">
        <f t="shared" si="911"/>
        <v/>
      </c>
      <c r="AW2016" s="216" t="str">
        <f t="shared" si="912"/>
        <v>Anteil KWK</v>
      </c>
      <c r="AX2016" s="215" t="str">
        <f t="shared" si="913"/>
        <v/>
      </c>
      <c r="AY2016" t="str">
        <f t="shared" si="914"/>
        <v/>
      </c>
      <c r="AZ2016" t="str">
        <f t="shared" si="915"/>
        <v/>
      </c>
    </row>
    <row r="2017" spans="1:52" s="178" customFormat="1" x14ac:dyDescent="0.25">
      <c r="A2017" s="610" t="s">
        <v>4017</v>
      </c>
      <c r="B2017" s="17" t="s">
        <v>5548</v>
      </c>
      <c r="C2017" s="30" t="s">
        <v>1304</v>
      </c>
      <c r="D2017" s="30" t="s">
        <v>7153</v>
      </c>
      <c r="E2017" s="30" t="s">
        <v>4331</v>
      </c>
      <c r="F2017" s="454">
        <f t="shared" si="922"/>
        <v>21.46</v>
      </c>
      <c r="G2017" s="529">
        <v>21.46</v>
      </c>
      <c r="H2017" s="487">
        <f t="shared" si="923"/>
        <v>17.170000000000002</v>
      </c>
      <c r="I2017" s="706"/>
      <c r="J2017" s="669" t="s">
        <v>5805</v>
      </c>
      <c r="K2017" s="15"/>
      <c r="L2017"/>
      <c r="M2017" s="49">
        <f t="shared" si="924"/>
        <v>21.46</v>
      </c>
      <c r="N2017" s="41">
        <v>9.4600000000000009</v>
      </c>
      <c r="O2017" s="54"/>
      <c r="P2017" t="s">
        <v>1017</v>
      </c>
      <c r="Q2017"/>
      <c r="R2017"/>
      <c r="S2017" t="s">
        <v>4180</v>
      </c>
      <c r="T2017" s="178" t="s">
        <v>4180</v>
      </c>
      <c r="U2017" s="55" t="s">
        <v>1017</v>
      </c>
      <c r="V2017" t="s">
        <v>1017</v>
      </c>
      <c r="W2017" s="65"/>
      <c r="X2017" s="65"/>
      <c r="Y2017"/>
      <c r="Z2017" s="65"/>
      <c r="AA2017" s="12"/>
      <c r="AB2017"/>
      <c r="AC2017" s="65"/>
      <c r="AD2017" s="27"/>
      <c r="AE2017" s="124" t="s">
        <v>1017</v>
      </c>
      <c r="AF2017" s="65"/>
      <c r="AG2017" s="91"/>
      <c r="AH2017" s="212" t="str">
        <f t="shared" si="927"/>
        <v/>
      </c>
      <c r="AI2017" s="214" t="str">
        <f t="shared" si="916"/>
        <v/>
      </c>
      <c r="AJ2017" s="214" t="str">
        <f t="shared" si="917"/>
        <v/>
      </c>
      <c r="AK2017" s="214" t="str">
        <f t="shared" si="918"/>
        <v/>
      </c>
      <c r="AL2017" s="214" t="str">
        <f t="shared" si="919"/>
        <v/>
      </c>
      <c r="AM2017" s="214" t="str">
        <f t="shared" si="920"/>
        <v/>
      </c>
      <c r="AN2017" s="213" t="str">
        <f t="shared" si="903"/>
        <v/>
      </c>
      <c r="AO2017" s="213" t="str">
        <f t="shared" si="904"/>
        <v/>
      </c>
      <c r="AP2017" s="213" t="str">
        <f t="shared" si="905"/>
        <v/>
      </c>
      <c r="AQ2017" s="215" t="str">
        <f t="shared" si="906"/>
        <v/>
      </c>
      <c r="AR2017" s="216" t="str">
        <f t="shared" si="907"/>
        <v>BiK82a1bKA3y07</v>
      </c>
      <c r="AS2017" s="215" t="str">
        <f t="shared" si="908"/>
        <v/>
      </c>
      <c r="AT2017">
        <f t="shared" si="909"/>
        <v>14</v>
      </c>
      <c r="AU2017" s="216" t="str">
        <f t="shared" si="910"/>
        <v>0,15-0,5 MW, Bonusregeln a1, b, y und K wenn Anlage 3 erfüllt</v>
      </c>
      <c r="AV2017" s="215" t="str">
        <f t="shared" si="911"/>
        <v/>
      </c>
      <c r="AW2017" s="216" t="str">
        <f t="shared" si="912"/>
        <v>Anteil KWK gemäß Anlage 3</v>
      </c>
      <c r="AX2017" s="215" t="str">
        <f t="shared" si="913"/>
        <v/>
      </c>
      <c r="AY2017" t="str">
        <f t="shared" si="914"/>
        <v/>
      </c>
      <c r="AZ2017" t="str">
        <f t="shared" si="915"/>
        <v/>
      </c>
    </row>
    <row r="2018" spans="1:52" s="178" customFormat="1" x14ac:dyDescent="0.25">
      <c r="A2018" s="610" t="s">
        <v>4018</v>
      </c>
      <c r="B2018" s="17" t="s">
        <v>5548</v>
      </c>
      <c r="C2018" s="17" t="s">
        <v>1304</v>
      </c>
      <c r="D2018" s="30" t="s">
        <v>7154</v>
      </c>
      <c r="E2018" s="17" t="s">
        <v>674</v>
      </c>
      <c r="F2018" s="454">
        <f t="shared" si="922"/>
        <v>21.46</v>
      </c>
      <c r="G2018" s="529">
        <v>21.46</v>
      </c>
      <c r="H2018" s="487">
        <f t="shared" si="923"/>
        <v>17.170000000000002</v>
      </c>
      <c r="I2018" s="706"/>
      <c r="J2018" s="669" t="s">
        <v>5805</v>
      </c>
      <c r="K2018" s="15"/>
      <c r="L2018"/>
      <c r="M2018" s="49">
        <f t="shared" si="924"/>
        <v>21.46</v>
      </c>
      <c r="N2018" s="41">
        <v>9.4600000000000009</v>
      </c>
      <c r="O2018" s="54"/>
      <c r="P2018" s="15"/>
      <c r="Q2018" t="s">
        <v>1017</v>
      </c>
      <c r="R2018"/>
      <c r="S2018" t="s">
        <v>4180</v>
      </c>
      <c r="T2018" s="178" t="s">
        <v>4180</v>
      </c>
      <c r="U2018" s="55" t="s">
        <v>1017</v>
      </c>
      <c r="V2018" t="s">
        <v>1017</v>
      </c>
      <c r="W2018" s="65"/>
      <c r="X2018" s="65"/>
      <c r="Y2018"/>
      <c r="Z2018" s="65"/>
      <c r="AA2018" s="12"/>
      <c r="AB2018"/>
      <c r="AC2018" s="65"/>
      <c r="AD2018" s="27"/>
      <c r="AE2018" s="124" t="s">
        <v>1017</v>
      </c>
      <c r="AF2018" s="65"/>
      <c r="AG2018" s="91"/>
      <c r="AH2018" s="212" t="str">
        <f t="shared" si="927"/>
        <v/>
      </c>
      <c r="AI2018" s="214" t="str">
        <f t="shared" si="916"/>
        <v/>
      </c>
      <c r="AJ2018" s="214" t="str">
        <f t="shared" si="917"/>
        <v/>
      </c>
      <c r="AK2018" s="214" t="str">
        <f t="shared" si="918"/>
        <v/>
      </c>
      <c r="AL2018" s="214" t="str">
        <f t="shared" si="919"/>
        <v/>
      </c>
      <c r="AM2018" s="214" t="str">
        <f t="shared" si="920"/>
        <v/>
      </c>
      <c r="AN2018" s="213" t="str">
        <f t="shared" si="903"/>
        <v/>
      </c>
      <c r="AO2018" s="213" t="str">
        <f t="shared" si="904"/>
        <v/>
      </c>
      <c r="AP2018" s="213" t="str">
        <f t="shared" si="905"/>
        <v/>
      </c>
      <c r="AQ2018" s="215" t="str">
        <f t="shared" si="906"/>
        <v/>
      </c>
      <c r="AR2018" s="216" t="str">
        <f t="shared" si="907"/>
        <v>BiK82a1bK09y07</v>
      </c>
      <c r="AS2018" s="215" t="str">
        <f t="shared" si="908"/>
        <v/>
      </c>
      <c r="AT2018">
        <f t="shared" si="909"/>
        <v>14</v>
      </c>
      <c r="AU2018" s="216" t="str">
        <f t="shared" si="910"/>
        <v>0,15-0,5 MW, Bonusregeln a1, b, y und K erstmals 2009</v>
      </c>
      <c r="AV2018" s="215" t="str">
        <f t="shared" si="911"/>
        <v/>
      </c>
      <c r="AW2018" s="216" t="str">
        <f t="shared" si="912"/>
        <v>Anteil KWK, erstmals 2009</v>
      </c>
      <c r="AX2018" s="215" t="str">
        <f t="shared" si="913"/>
        <v/>
      </c>
      <c r="AY2018" t="str">
        <f t="shared" si="914"/>
        <v/>
      </c>
      <c r="AZ2018" t="str">
        <f t="shared" si="915"/>
        <v/>
      </c>
    </row>
    <row r="2019" spans="1:52" s="178" customFormat="1" x14ac:dyDescent="0.25">
      <c r="A2019" s="610" t="s">
        <v>3141</v>
      </c>
      <c r="B2019" s="17" t="s">
        <v>5548</v>
      </c>
      <c r="C2019" s="17" t="s">
        <v>1304</v>
      </c>
      <c r="D2019" s="30" t="s">
        <v>7155</v>
      </c>
      <c r="E2019" s="30" t="s">
        <v>3567</v>
      </c>
      <c r="F2019" s="454">
        <f t="shared" si="922"/>
        <v>21.43</v>
      </c>
      <c r="G2019" s="529">
        <v>21.43</v>
      </c>
      <c r="H2019" s="487">
        <f t="shared" si="923"/>
        <v>17.14</v>
      </c>
      <c r="I2019" s="706"/>
      <c r="J2019" s="669" t="s">
        <v>5805</v>
      </c>
      <c r="K2019" s="15"/>
      <c r="L2019"/>
      <c r="M2019" s="49">
        <f t="shared" si="924"/>
        <v>21.43</v>
      </c>
      <c r="N2019" s="41">
        <v>9.4600000000000009</v>
      </c>
      <c r="O2019" s="54"/>
      <c r="P2019" s="15"/>
      <c r="Q2019"/>
      <c r="R2019" t="s">
        <v>1017</v>
      </c>
      <c r="S2019" t="s">
        <v>4180</v>
      </c>
      <c r="T2019" s="178" t="s">
        <v>4180</v>
      </c>
      <c r="U2019" s="55" t="s">
        <v>1017</v>
      </c>
      <c r="V2019" t="s">
        <v>1017</v>
      </c>
      <c r="W2019" s="65"/>
      <c r="X2019" s="65"/>
      <c r="Y2019"/>
      <c r="Z2019" s="65"/>
      <c r="AA2019" s="12"/>
      <c r="AB2019"/>
      <c r="AC2019" s="65"/>
      <c r="AD2019" s="27"/>
      <c r="AE2019" s="124" t="s">
        <v>1017</v>
      </c>
      <c r="AF2019" s="65"/>
      <c r="AG2019" s="91"/>
      <c r="AH2019" s="212" t="str">
        <f t="shared" si="927"/>
        <v>2010</v>
      </c>
      <c r="AI2019" s="214" t="str">
        <f t="shared" si="916"/>
        <v/>
      </c>
      <c r="AJ2019" s="214" t="str">
        <f t="shared" si="917"/>
        <v/>
      </c>
      <c r="AK2019" s="214" t="str">
        <f t="shared" si="918"/>
        <v/>
      </c>
      <c r="AL2019" s="214" t="str">
        <f t="shared" si="919"/>
        <v/>
      </c>
      <c r="AM2019" s="214" t="str">
        <f t="shared" si="920"/>
        <v/>
      </c>
      <c r="AN2019" s="213" t="str">
        <f t="shared" si="903"/>
        <v>2010</v>
      </c>
      <c r="AO2019" s="213" t="str">
        <f t="shared" si="904"/>
        <v>2010</v>
      </c>
      <c r="AP2019" s="213" t="str">
        <f t="shared" si="905"/>
        <v>2010</v>
      </c>
      <c r="AQ2019" s="215" t="str">
        <f t="shared" si="906"/>
        <v/>
      </c>
      <c r="AR2019" s="216" t="str">
        <f t="shared" si="907"/>
        <v>BiK82a1bK10y07</v>
      </c>
      <c r="AS2019" s="215" t="str">
        <f t="shared" si="908"/>
        <v/>
      </c>
      <c r="AT2019">
        <f t="shared" si="909"/>
        <v>14</v>
      </c>
      <c r="AU2019" s="216" t="str">
        <f t="shared" si="910"/>
        <v>0,15-0,5 MW, Bonusregeln a1, b, y und K erstmals 2010</v>
      </c>
      <c r="AV2019" s="215" t="str">
        <f t="shared" si="911"/>
        <v/>
      </c>
      <c r="AW2019" s="216" t="str">
        <f t="shared" si="912"/>
        <v>Anteil KWK, erstmals 2010</v>
      </c>
      <c r="AX2019" s="215" t="str">
        <f t="shared" si="913"/>
        <v/>
      </c>
      <c r="AY2019" t="str">
        <f t="shared" si="914"/>
        <v/>
      </c>
      <c r="AZ2019" t="str">
        <f t="shared" si="915"/>
        <v/>
      </c>
    </row>
    <row r="2020" spans="1:52" s="178" customFormat="1" x14ac:dyDescent="0.25">
      <c r="A2020" s="610" t="s">
        <v>3417</v>
      </c>
      <c r="B2020" s="17" t="s">
        <v>5548</v>
      </c>
      <c r="C2020" s="17" t="s">
        <v>1304</v>
      </c>
      <c r="D2020" s="30" t="s">
        <v>7156</v>
      </c>
      <c r="E2020" s="30" t="s">
        <v>3055</v>
      </c>
      <c r="F2020" s="454">
        <f t="shared" si="922"/>
        <v>21.4</v>
      </c>
      <c r="G2020" s="529">
        <v>21.4</v>
      </c>
      <c r="H2020" s="487">
        <f t="shared" si="923"/>
        <v>17.12</v>
      </c>
      <c r="I2020" s="706"/>
      <c r="J2020" s="669" t="s">
        <v>5805</v>
      </c>
      <c r="K2020" s="15"/>
      <c r="L2020"/>
      <c r="M2020" s="49">
        <f t="shared" si="924"/>
        <v>21.4</v>
      </c>
      <c r="N2020" s="41">
        <v>9.4600000000000009</v>
      </c>
      <c r="O2020" s="54"/>
      <c r="P2020" s="15"/>
      <c r="Q2020"/>
      <c r="R2020"/>
      <c r="S2020" t="s">
        <v>1017</v>
      </c>
      <c r="T2020" s="178" t="s">
        <v>4180</v>
      </c>
      <c r="U2020" s="55" t="s">
        <v>1017</v>
      </c>
      <c r="V2020" t="s">
        <v>1017</v>
      </c>
      <c r="W2020" s="65"/>
      <c r="X2020" s="65"/>
      <c r="Y2020"/>
      <c r="Z2020" s="65"/>
      <c r="AA2020" s="12"/>
      <c r="AB2020"/>
      <c r="AC2020" s="65"/>
      <c r="AD2020" s="27"/>
      <c r="AE2020" s="124" t="s">
        <v>1017</v>
      </c>
      <c r="AF2020" s="65"/>
      <c r="AG2020" s="91"/>
      <c r="AH2020" s="212" t="str">
        <f t="shared" si="927"/>
        <v>2011</v>
      </c>
      <c r="AI2020" s="214" t="str">
        <f t="shared" si="916"/>
        <v/>
      </c>
      <c r="AJ2020" s="214" t="str">
        <f t="shared" si="917"/>
        <v/>
      </c>
      <c r="AK2020" s="214" t="str">
        <f t="shared" si="918"/>
        <v/>
      </c>
      <c r="AL2020" s="214" t="str">
        <f t="shared" si="919"/>
        <v/>
      </c>
      <c r="AM2020" s="214" t="str">
        <f t="shared" si="920"/>
        <v/>
      </c>
      <c r="AN2020" s="213" t="str">
        <f t="shared" si="903"/>
        <v>2011</v>
      </c>
      <c r="AO2020" s="213" t="str">
        <f t="shared" si="904"/>
        <v>2011</v>
      </c>
      <c r="AP2020" s="213" t="str">
        <f t="shared" si="905"/>
        <v>2011</v>
      </c>
      <c r="AQ2020" s="215" t="str">
        <f t="shared" si="906"/>
        <v/>
      </c>
      <c r="AR2020" s="216" t="str">
        <f t="shared" si="907"/>
        <v>BiK82a1bK11y07</v>
      </c>
      <c r="AS2020" s="215" t="str">
        <f t="shared" si="908"/>
        <v/>
      </c>
      <c r="AT2020">
        <f t="shared" si="909"/>
        <v>14</v>
      </c>
      <c r="AU2020" s="216" t="str">
        <f t="shared" si="910"/>
        <v>0,15-0,5 MW, Bonusregeln a1, b, y und K erstmals 2011</v>
      </c>
      <c r="AV2020" s="215" t="str">
        <f t="shared" si="911"/>
        <v/>
      </c>
      <c r="AW2020" s="216" t="str">
        <f t="shared" si="912"/>
        <v>Anteil KWK, erstmals 2011</v>
      </c>
      <c r="AX2020" s="215" t="str">
        <f t="shared" si="913"/>
        <v/>
      </c>
      <c r="AY2020" t="str">
        <f t="shared" si="914"/>
        <v>x</v>
      </c>
      <c r="AZ2020" t="str">
        <f t="shared" si="915"/>
        <v/>
      </c>
    </row>
    <row r="2021" spans="1:52" s="178" customFormat="1" x14ac:dyDescent="0.25">
      <c r="A2021" s="625" t="s">
        <v>1849</v>
      </c>
      <c r="B2021" s="221" t="s">
        <v>5548</v>
      </c>
      <c r="C2021" s="221" t="s">
        <v>1304</v>
      </c>
      <c r="D2021" s="219" t="s">
        <v>7157</v>
      </c>
      <c r="E2021" s="219" t="s">
        <v>1980</v>
      </c>
      <c r="F2021" s="455">
        <f t="shared" si="922"/>
        <v>21.37</v>
      </c>
      <c r="G2021" s="530">
        <v>21.37</v>
      </c>
      <c r="H2021" s="488">
        <f t="shared" si="923"/>
        <v>17.100000000000001</v>
      </c>
      <c r="I2021" s="707"/>
      <c r="J2021" s="669" t="s">
        <v>5805</v>
      </c>
      <c r="K2021" s="15"/>
      <c r="L2021"/>
      <c r="M2021" s="49">
        <f t="shared" si="924"/>
        <v>21.37</v>
      </c>
      <c r="N2021" s="41">
        <v>9.4600000000000009</v>
      </c>
      <c r="O2021" s="54"/>
      <c r="P2021" s="15"/>
      <c r="Q2021"/>
      <c r="R2021"/>
      <c r="S2021" t="s">
        <v>4180</v>
      </c>
      <c r="T2021" s="178" t="s">
        <v>1017</v>
      </c>
      <c r="U2021" s="55" t="s">
        <v>1017</v>
      </c>
      <c r="V2021" t="s">
        <v>1017</v>
      </c>
      <c r="W2021" s="65"/>
      <c r="X2021" s="65"/>
      <c r="Y2021"/>
      <c r="Z2021" s="65"/>
      <c r="AA2021" s="12"/>
      <c r="AB2021"/>
      <c r="AC2021" s="65"/>
      <c r="AD2021" s="27"/>
      <c r="AE2021" s="124" t="s">
        <v>1017</v>
      </c>
      <c r="AF2021" s="65"/>
      <c r="AG2021" s="91"/>
      <c r="AH2021" s="217" t="s">
        <v>4179</v>
      </c>
      <c r="AI2021" s="214" t="str">
        <f t="shared" si="916"/>
        <v/>
      </c>
      <c r="AJ2021" s="214" t="str">
        <f t="shared" si="917"/>
        <v/>
      </c>
      <c r="AK2021" s="214" t="str">
        <f t="shared" si="918"/>
        <v/>
      </c>
      <c r="AL2021" s="214" t="str">
        <f t="shared" si="919"/>
        <v/>
      </c>
      <c r="AM2021" s="214" t="str">
        <f t="shared" si="920"/>
        <v/>
      </c>
      <c r="AN2021" s="213" t="str">
        <f t="shared" si="903"/>
        <v>2012</v>
      </c>
      <c r="AO2021" s="213" t="str">
        <f t="shared" si="904"/>
        <v>2012</v>
      </c>
      <c r="AP2021" s="213" t="str">
        <f t="shared" si="905"/>
        <v>2012</v>
      </c>
      <c r="AQ2021" s="215" t="str">
        <f t="shared" si="906"/>
        <v/>
      </c>
      <c r="AR2021" s="216" t="str">
        <f t="shared" si="907"/>
        <v>BiK82a1bK12y07</v>
      </c>
      <c r="AS2021" s="215" t="str">
        <f t="shared" si="908"/>
        <v/>
      </c>
      <c r="AT2021">
        <f t="shared" si="909"/>
        <v>14</v>
      </c>
      <c r="AU2021" s="216" t="str">
        <f t="shared" si="910"/>
        <v>0,15-0,5 MW, Bonusregeln a1, b, y und K erstmals 2012</v>
      </c>
      <c r="AV2021" s="215" t="str">
        <f t="shared" si="911"/>
        <v/>
      </c>
      <c r="AW2021" s="216" t="str">
        <f t="shared" si="912"/>
        <v>Anteil KWK, erstmals 2012</v>
      </c>
      <c r="AX2021" s="215" t="str">
        <f t="shared" si="913"/>
        <v/>
      </c>
      <c r="AY2021" t="str">
        <f t="shared" si="914"/>
        <v/>
      </c>
      <c r="AZ2021" t="str">
        <f t="shared" si="915"/>
        <v>x</v>
      </c>
    </row>
    <row r="2022" spans="1:52" s="178" customFormat="1" x14ac:dyDescent="0.25">
      <c r="A2022" s="610" t="s">
        <v>3046</v>
      </c>
      <c r="B2022" s="30" t="s">
        <v>5548</v>
      </c>
      <c r="C2022" s="30" t="s">
        <v>1304</v>
      </c>
      <c r="D2022" s="30" t="s">
        <v>7158</v>
      </c>
      <c r="E2022" s="30" t="s">
        <v>4810</v>
      </c>
      <c r="F2022" s="454">
        <f t="shared" si="922"/>
        <v>18.46</v>
      </c>
      <c r="G2022" s="529">
        <v>18.46</v>
      </c>
      <c r="H2022" s="487">
        <f t="shared" si="923"/>
        <v>14.77</v>
      </c>
      <c r="I2022" s="706"/>
      <c r="J2022" s="669" t="s">
        <v>5805</v>
      </c>
      <c r="K2022" s="15"/>
      <c r="L2022"/>
      <c r="M2022" s="49">
        <f t="shared" si="924"/>
        <v>18.46</v>
      </c>
      <c r="N2022" s="41">
        <v>9.4600000000000009</v>
      </c>
      <c r="O2022" s="186"/>
      <c r="P2022" s="177"/>
      <c r="S2022" s="178" t="s">
        <v>4180</v>
      </c>
      <c r="T2022" s="178" t="s">
        <v>4180</v>
      </c>
      <c r="U2022" s="179"/>
      <c r="W2022" s="180"/>
      <c r="X2022" s="180"/>
      <c r="Y2022" s="178" t="s">
        <v>1017</v>
      </c>
      <c r="Z2022" s="180"/>
      <c r="AA2022" s="184"/>
      <c r="AC2022" s="180"/>
      <c r="AD2022" s="182"/>
      <c r="AE2022" s="200" t="s">
        <v>1017</v>
      </c>
      <c r="AF2022" s="180"/>
      <c r="AG2022" s="201"/>
      <c r="AH2022" s="212" t="str">
        <f t="shared" ref="AH2022:AH2027" si="928">IF(ISERROR(SEARCH("K erstmals 201",D2022)),"",RIGHT(D2022,4))</f>
        <v/>
      </c>
      <c r="AI2022" s="214" t="str">
        <f t="shared" si="916"/>
        <v/>
      </c>
      <c r="AJ2022" s="214" t="str">
        <f t="shared" si="917"/>
        <v/>
      </c>
      <c r="AK2022" s="214" t="str">
        <f t="shared" si="918"/>
        <v/>
      </c>
      <c r="AL2022" s="214" t="str">
        <f t="shared" si="919"/>
        <v/>
      </c>
      <c r="AM2022" s="214" t="str">
        <f t="shared" si="920"/>
        <v/>
      </c>
      <c r="AN2022" s="213" t="str">
        <f t="shared" si="903"/>
        <v/>
      </c>
      <c r="AO2022" s="213" t="str">
        <f t="shared" si="904"/>
        <v/>
      </c>
      <c r="AP2022" s="213" t="str">
        <f t="shared" si="905"/>
        <v/>
      </c>
      <c r="AQ2022" s="215" t="str">
        <f t="shared" si="906"/>
        <v/>
      </c>
      <c r="AR2022" s="216" t="str">
        <f t="shared" si="907"/>
        <v>BiK82Gb-----07</v>
      </c>
      <c r="AS2022" s="215" t="str">
        <f t="shared" si="908"/>
        <v/>
      </c>
      <c r="AT2022">
        <f t="shared" si="909"/>
        <v>14</v>
      </c>
      <c r="AU2022" s="216" t="str">
        <f t="shared" si="910"/>
        <v>0,15-0,5 MW, Bonusregeln G, b</v>
      </c>
      <c r="AV2022" s="215" t="str">
        <f t="shared" si="911"/>
        <v/>
      </c>
      <c r="AW2022" s="216" t="str">
        <f t="shared" si="912"/>
        <v>Anteil Nicht-KWK</v>
      </c>
      <c r="AX2022" s="215" t="str">
        <f t="shared" si="913"/>
        <v/>
      </c>
      <c r="AY2022" t="str">
        <f t="shared" si="914"/>
        <v/>
      </c>
      <c r="AZ2022" t="str">
        <f t="shared" si="915"/>
        <v/>
      </c>
    </row>
    <row r="2023" spans="1:52" s="178" customFormat="1" x14ac:dyDescent="0.25">
      <c r="A2023" s="610" t="s">
        <v>3047</v>
      </c>
      <c r="B2023" s="30" t="s">
        <v>5548</v>
      </c>
      <c r="C2023" s="30" t="s">
        <v>1304</v>
      </c>
      <c r="D2023" s="30" t="s">
        <v>7159</v>
      </c>
      <c r="E2023" s="30" t="s">
        <v>4812</v>
      </c>
      <c r="F2023" s="454">
        <f t="shared" si="922"/>
        <v>20.46</v>
      </c>
      <c r="G2023" s="529">
        <v>20.46</v>
      </c>
      <c r="H2023" s="487">
        <f t="shared" si="923"/>
        <v>16.37</v>
      </c>
      <c r="I2023" s="706"/>
      <c r="J2023" s="669" t="s">
        <v>5805</v>
      </c>
      <c r="K2023" s="15"/>
      <c r="L2023"/>
      <c r="M2023" s="49">
        <f t="shared" si="924"/>
        <v>20.46</v>
      </c>
      <c r="N2023" s="41">
        <v>9.4600000000000009</v>
      </c>
      <c r="O2023" s="186" t="s">
        <v>1017</v>
      </c>
      <c r="P2023" s="177"/>
      <c r="S2023" s="178" t="s">
        <v>4180</v>
      </c>
      <c r="T2023" s="178" t="s">
        <v>4180</v>
      </c>
      <c r="U2023" s="179"/>
      <c r="W2023" s="180"/>
      <c r="X2023" s="180"/>
      <c r="Y2023" s="178" t="s">
        <v>1017</v>
      </c>
      <c r="Z2023" s="180"/>
      <c r="AA2023" s="184"/>
      <c r="AC2023" s="180"/>
      <c r="AD2023" s="182"/>
      <c r="AE2023" s="200" t="s">
        <v>1017</v>
      </c>
      <c r="AF2023" s="180"/>
      <c r="AG2023" s="201"/>
      <c r="AH2023" s="212" t="str">
        <f t="shared" si="928"/>
        <v/>
      </c>
      <c r="AI2023" s="214" t="str">
        <f t="shared" si="916"/>
        <v/>
      </c>
      <c r="AJ2023" s="214" t="str">
        <f t="shared" si="917"/>
        <v/>
      </c>
      <c r="AK2023" s="214" t="str">
        <f t="shared" si="918"/>
        <v/>
      </c>
      <c r="AL2023" s="214" t="str">
        <f t="shared" si="919"/>
        <v/>
      </c>
      <c r="AM2023" s="214" t="str">
        <f t="shared" si="920"/>
        <v/>
      </c>
      <c r="AN2023" s="213" t="str">
        <f t="shared" si="903"/>
        <v/>
      </c>
      <c r="AO2023" s="213" t="str">
        <f t="shared" si="904"/>
        <v/>
      </c>
      <c r="AP2023" s="213" t="str">
        <f t="shared" si="905"/>
        <v/>
      </c>
      <c r="AQ2023" s="215" t="str">
        <f t="shared" si="906"/>
        <v/>
      </c>
      <c r="AR2023" s="216" t="str">
        <f t="shared" si="907"/>
        <v>BiK82GbKWK--07</v>
      </c>
      <c r="AS2023" s="215" t="str">
        <f t="shared" si="908"/>
        <v/>
      </c>
      <c r="AT2023">
        <f t="shared" si="909"/>
        <v>14</v>
      </c>
      <c r="AU2023" s="216" t="str">
        <f t="shared" si="910"/>
        <v>0,15-0,5 MW, Bonusregeln G, b und KWK</v>
      </c>
      <c r="AV2023" s="215" t="str">
        <f t="shared" si="911"/>
        <v/>
      </c>
      <c r="AW2023" s="216" t="str">
        <f t="shared" si="912"/>
        <v>Anteil KWK</v>
      </c>
      <c r="AX2023" s="215" t="str">
        <f t="shared" si="913"/>
        <v/>
      </c>
      <c r="AY2023" t="str">
        <f t="shared" si="914"/>
        <v/>
      </c>
      <c r="AZ2023" t="str">
        <f t="shared" si="915"/>
        <v/>
      </c>
    </row>
    <row r="2024" spans="1:52" s="178" customFormat="1" x14ac:dyDescent="0.25">
      <c r="A2024" s="610" t="s">
        <v>3048</v>
      </c>
      <c r="B2024" s="30" t="s">
        <v>5548</v>
      </c>
      <c r="C2024" s="30" t="s">
        <v>1304</v>
      </c>
      <c r="D2024" s="30" t="s">
        <v>7160</v>
      </c>
      <c r="E2024" s="30" t="s">
        <v>4331</v>
      </c>
      <c r="F2024" s="454">
        <f t="shared" si="922"/>
        <v>21.46</v>
      </c>
      <c r="G2024" s="529">
        <v>21.46</v>
      </c>
      <c r="H2024" s="487">
        <f t="shared" si="923"/>
        <v>17.170000000000002</v>
      </c>
      <c r="I2024" s="706"/>
      <c r="J2024" s="669" t="s">
        <v>5805</v>
      </c>
      <c r="K2024" s="15"/>
      <c r="L2024"/>
      <c r="M2024" s="49">
        <f t="shared" si="924"/>
        <v>21.46</v>
      </c>
      <c r="N2024" s="41">
        <v>9.4600000000000009</v>
      </c>
      <c r="O2024" s="186"/>
      <c r="P2024" s="178" t="s">
        <v>1017</v>
      </c>
      <c r="S2024" s="178" t="s">
        <v>4180</v>
      </c>
      <c r="T2024" s="178" t="s">
        <v>4180</v>
      </c>
      <c r="U2024" s="179"/>
      <c r="W2024" s="180"/>
      <c r="X2024" s="180"/>
      <c r="Y2024" s="178" t="s">
        <v>1017</v>
      </c>
      <c r="Z2024" s="180"/>
      <c r="AA2024" s="184"/>
      <c r="AC2024" s="180"/>
      <c r="AD2024" s="182"/>
      <c r="AE2024" s="200" t="s">
        <v>1017</v>
      </c>
      <c r="AF2024" s="180"/>
      <c r="AG2024" s="201"/>
      <c r="AH2024" s="212" t="str">
        <f t="shared" si="928"/>
        <v/>
      </c>
      <c r="AI2024" s="214" t="str">
        <f t="shared" si="916"/>
        <v/>
      </c>
      <c r="AJ2024" s="214" t="str">
        <f t="shared" si="917"/>
        <v/>
      </c>
      <c r="AK2024" s="214" t="str">
        <f t="shared" si="918"/>
        <v/>
      </c>
      <c r="AL2024" s="214" t="str">
        <f t="shared" si="919"/>
        <v/>
      </c>
      <c r="AM2024" s="214" t="str">
        <f t="shared" si="920"/>
        <v/>
      </c>
      <c r="AN2024" s="213" t="str">
        <f t="shared" si="903"/>
        <v/>
      </c>
      <c r="AO2024" s="213" t="str">
        <f t="shared" si="904"/>
        <v/>
      </c>
      <c r="AP2024" s="213" t="str">
        <f t="shared" si="905"/>
        <v/>
      </c>
      <c r="AQ2024" s="215" t="str">
        <f t="shared" si="906"/>
        <v/>
      </c>
      <c r="AR2024" s="216" t="str">
        <f t="shared" si="907"/>
        <v>BiK82GbKA3--07</v>
      </c>
      <c r="AS2024" s="215" t="str">
        <f t="shared" si="908"/>
        <v/>
      </c>
      <c r="AT2024">
        <f t="shared" si="909"/>
        <v>14</v>
      </c>
      <c r="AU2024" s="216" t="str">
        <f t="shared" si="910"/>
        <v>0,15-0,5 MW, Bonusregeln G, b und K wenn Anlage 3 erfüllt</v>
      </c>
      <c r="AV2024" s="215" t="str">
        <f t="shared" si="911"/>
        <v/>
      </c>
      <c r="AW2024" s="216" t="str">
        <f t="shared" si="912"/>
        <v>Anteil KWK gemäß Anlage 3</v>
      </c>
      <c r="AX2024" s="215" t="str">
        <f t="shared" si="913"/>
        <v/>
      </c>
      <c r="AY2024" t="str">
        <f t="shared" si="914"/>
        <v/>
      </c>
      <c r="AZ2024" t="str">
        <f t="shared" si="915"/>
        <v/>
      </c>
    </row>
    <row r="2025" spans="1:52" s="178" customFormat="1" x14ac:dyDescent="0.25">
      <c r="A2025" s="610" t="s">
        <v>3049</v>
      </c>
      <c r="B2025" s="30" t="s">
        <v>5548</v>
      </c>
      <c r="C2025" s="30" t="s">
        <v>1304</v>
      </c>
      <c r="D2025" s="30" t="s">
        <v>7161</v>
      </c>
      <c r="E2025" s="30" t="s">
        <v>674</v>
      </c>
      <c r="F2025" s="454">
        <f t="shared" si="922"/>
        <v>21.46</v>
      </c>
      <c r="G2025" s="529">
        <v>21.46</v>
      </c>
      <c r="H2025" s="487">
        <f t="shared" si="923"/>
        <v>17.170000000000002</v>
      </c>
      <c r="I2025" s="706"/>
      <c r="J2025" s="669" t="s">
        <v>5805</v>
      </c>
      <c r="K2025" s="15"/>
      <c r="L2025"/>
      <c r="M2025" s="49">
        <f t="shared" si="924"/>
        <v>21.46</v>
      </c>
      <c r="N2025" s="41">
        <v>9.4600000000000009</v>
      </c>
      <c r="O2025" s="186"/>
      <c r="P2025" s="177"/>
      <c r="Q2025" s="178" t="s">
        <v>1017</v>
      </c>
      <c r="S2025" s="178" t="s">
        <v>4180</v>
      </c>
      <c r="T2025" s="178" t="s">
        <v>4180</v>
      </c>
      <c r="U2025" s="179"/>
      <c r="W2025" s="180"/>
      <c r="X2025" s="180"/>
      <c r="Y2025" s="178" t="s">
        <v>1017</v>
      </c>
      <c r="Z2025" s="180"/>
      <c r="AA2025" s="184"/>
      <c r="AC2025" s="180"/>
      <c r="AD2025" s="182"/>
      <c r="AE2025" s="200" t="s">
        <v>1017</v>
      </c>
      <c r="AF2025" s="180"/>
      <c r="AG2025" s="201"/>
      <c r="AH2025" s="212" t="str">
        <f t="shared" si="928"/>
        <v/>
      </c>
      <c r="AI2025" s="214" t="str">
        <f t="shared" si="916"/>
        <v/>
      </c>
      <c r="AJ2025" s="214" t="str">
        <f t="shared" si="917"/>
        <v/>
      </c>
      <c r="AK2025" s="214" t="str">
        <f t="shared" si="918"/>
        <v/>
      </c>
      <c r="AL2025" s="214" t="str">
        <f t="shared" si="919"/>
        <v/>
      </c>
      <c r="AM2025" s="214" t="str">
        <f t="shared" si="920"/>
        <v/>
      </c>
      <c r="AN2025" s="213" t="str">
        <f t="shared" si="903"/>
        <v/>
      </c>
      <c r="AO2025" s="213" t="str">
        <f t="shared" si="904"/>
        <v/>
      </c>
      <c r="AP2025" s="213" t="str">
        <f t="shared" si="905"/>
        <v/>
      </c>
      <c r="AQ2025" s="215" t="str">
        <f t="shared" si="906"/>
        <v/>
      </c>
      <c r="AR2025" s="216" t="str">
        <f t="shared" si="907"/>
        <v>BiK82GbK09--07</v>
      </c>
      <c r="AS2025" s="215" t="str">
        <f t="shared" si="908"/>
        <v/>
      </c>
      <c r="AT2025">
        <f t="shared" si="909"/>
        <v>14</v>
      </c>
      <c r="AU2025" s="216" t="str">
        <f t="shared" si="910"/>
        <v>0,15-0,5 MW, Bonusregeln G, b und K erstmals 2009</v>
      </c>
      <c r="AV2025" s="215" t="str">
        <f t="shared" si="911"/>
        <v/>
      </c>
      <c r="AW2025" s="216" t="str">
        <f t="shared" si="912"/>
        <v>Anteil KWK, erstmals 2009</v>
      </c>
      <c r="AX2025" s="215" t="str">
        <f t="shared" si="913"/>
        <v/>
      </c>
      <c r="AY2025" t="str">
        <f t="shared" si="914"/>
        <v/>
      </c>
      <c r="AZ2025" t="str">
        <f t="shared" si="915"/>
        <v/>
      </c>
    </row>
    <row r="2026" spans="1:52" s="178" customFormat="1" x14ac:dyDescent="0.25">
      <c r="A2026" s="610" t="s">
        <v>3142</v>
      </c>
      <c r="B2026" s="30" t="s">
        <v>5548</v>
      </c>
      <c r="C2026" s="30" t="s">
        <v>1304</v>
      </c>
      <c r="D2026" s="30" t="s">
        <v>7162</v>
      </c>
      <c r="E2026" s="30" t="s">
        <v>3567</v>
      </c>
      <c r="F2026" s="454">
        <f t="shared" si="922"/>
        <v>21.43</v>
      </c>
      <c r="G2026" s="529">
        <v>21.43</v>
      </c>
      <c r="H2026" s="487">
        <f t="shared" si="923"/>
        <v>17.14</v>
      </c>
      <c r="I2026" s="706"/>
      <c r="J2026" s="669" t="s">
        <v>5805</v>
      </c>
      <c r="K2026" s="15"/>
      <c r="L2026"/>
      <c r="M2026" s="49">
        <f t="shared" si="924"/>
        <v>21.43</v>
      </c>
      <c r="N2026" s="41">
        <v>9.4600000000000009</v>
      </c>
      <c r="O2026" s="186"/>
      <c r="P2026" s="177"/>
      <c r="R2026" s="178" t="s">
        <v>1017</v>
      </c>
      <c r="S2026" s="178" t="s">
        <v>4180</v>
      </c>
      <c r="T2026" s="178" t="s">
        <v>4180</v>
      </c>
      <c r="U2026" s="179"/>
      <c r="W2026" s="180"/>
      <c r="X2026" s="180"/>
      <c r="Y2026" s="178" t="s">
        <v>1017</v>
      </c>
      <c r="Z2026" s="180"/>
      <c r="AA2026" s="184"/>
      <c r="AC2026" s="180"/>
      <c r="AD2026" s="182"/>
      <c r="AE2026" s="200" t="s">
        <v>1017</v>
      </c>
      <c r="AF2026" s="180"/>
      <c r="AG2026" s="201"/>
      <c r="AH2026" s="212" t="str">
        <f t="shared" si="928"/>
        <v>2010</v>
      </c>
      <c r="AI2026" s="214" t="str">
        <f t="shared" si="916"/>
        <v/>
      </c>
      <c r="AJ2026" s="214" t="str">
        <f t="shared" si="917"/>
        <v/>
      </c>
      <c r="AK2026" s="214" t="str">
        <f t="shared" si="918"/>
        <v/>
      </c>
      <c r="AL2026" s="214" t="str">
        <f t="shared" si="919"/>
        <v/>
      </c>
      <c r="AM2026" s="214" t="str">
        <f t="shared" si="920"/>
        <v/>
      </c>
      <c r="AN2026" s="213" t="str">
        <f t="shared" si="903"/>
        <v>2010</v>
      </c>
      <c r="AO2026" s="213" t="str">
        <f t="shared" si="904"/>
        <v>2010</v>
      </c>
      <c r="AP2026" s="213" t="str">
        <f t="shared" si="905"/>
        <v>2010</v>
      </c>
      <c r="AQ2026" s="215" t="str">
        <f t="shared" si="906"/>
        <v/>
      </c>
      <c r="AR2026" s="216" t="str">
        <f t="shared" si="907"/>
        <v>BiK82GbK10--07</v>
      </c>
      <c r="AS2026" s="215" t="str">
        <f t="shared" si="908"/>
        <v/>
      </c>
      <c r="AT2026">
        <f t="shared" si="909"/>
        <v>14</v>
      </c>
      <c r="AU2026" s="216" t="str">
        <f t="shared" si="910"/>
        <v>0,15-0,5 MW, Bonusregeln G, b und K erstmals 2010</v>
      </c>
      <c r="AV2026" s="215" t="str">
        <f t="shared" si="911"/>
        <v/>
      </c>
      <c r="AW2026" s="216" t="str">
        <f t="shared" si="912"/>
        <v>Anteil KWK, erstmals 2010</v>
      </c>
      <c r="AX2026" s="215" t="str">
        <f t="shared" si="913"/>
        <v/>
      </c>
      <c r="AY2026" t="str">
        <f t="shared" si="914"/>
        <v/>
      </c>
      <c r="AZ2026" t="str">
        <f t="shared" si="915"/>
        <v/>
      </c>
    </row>
    <row r="2027" spans="1:52" s="178" customFormat="1" x14ac:dyDescent="0.25">
      <c r="A2027" s="610" t="s">
        <v>3418</v>
      </c>
      <c r="B2027" s="30" t="s">
        <v>5548</v>
      </c>
      <c r="C2027" s="30" t="s">
        <v>1304</v>
      </c>
      <c r="D2027" s="30" t="s">
        <v>7163</v>
      </c>
      <c r="E2027" s="30" t="s">
        <v>3055</v>
      </c>
      <c r="F2027" s="454">
        <f t="shared" si="922"/>
        <v>21.4</v>
      </c>
      <c r="G2027" s="529">
        <v>21.4</v>
      </c>
      <c r="H2027" s="487">
        <f t="shared" si="923"/>
        <v>17.12</v>
      </c>
      <c r="I2027" s="706"/>
      <c r="J2027" s="669" t="s">
        <v>5805</v>
      </c>
      <c r="K2027" s="15"/>
      <c r="L2027"/>
      <c r="M2027" s="49">
        <f t="shared" si="924"/>
        <v>21.4</v>
      </c>
      <c r="N2027" s="41">
        <v>9.4600000000000009</v>
      </c>
      <c r="O2027" s="186"/>
      <c r="P2027" s="177"/>
      <c r="S2027" s="178" t="s">
        <v>1017</v>
      </c>
      <c r="T2027" s="178" t="s">
        <v>4180</v>
      </c>
      <c r="U2027" s="179"/>
      <c r="W2027" s="180"/>
      <c r="X2027" s="180"/>
      <c r="Y2027" s="178" t="s">
        <v>1017</v>
      </c>
      <c r="Z2027" s="180"/>
      <c r="AA2027" s="184"/>
      <c r="AC2027" s="180"/>
      <c r="AD2027" s="182"/>
      <c r="AE2027" s="200" t="s">
        <v>1017</v>
      </c>
      <c r="AF2027" s="180"/>
      <c r="AG2027" s="201"/>
      <c r="AH2027" s="212" t="str">
        <f t="shared" si="928"/>
        <v>2011</v>
      </c>
      <c r="AI2027" s="214" t="str">
        <f t="shared" si="916"/>
        <v/>
      </c>
      <c r="AJ2027" s="214" t="str">
        <f t="shared" si="917"/>
        <v/>
      </c>
      <c r="AK2027" s="214" t="str">
        <f t="shared" si="918"/>
        <v/>
      </c>
      <c r="AL2027" s="214" t="str">
        <f t="shared" si="919"/>
        <v/>
      </c>
      <c r="AM2027" s="214" t="str">
        <f t="shared" si="920"/>
        <v/>
      </c>
      <c r="AN2027" s="213" t="str">
        <f t="shared" si="903"/>
        <v>2011</v>
      </c>
      <c r="AO2027" s="213" t="str">
        <f t="shared" si="904"/>
        <v>2011</v>
      </c>
      <c r="AP2027" s="213" t="str">
        <f t="shared" si="905"/>
        <v>2011</v>
      </c>
      <c r="AQ2027" s="215" t="str">
        <f t="shared" si="906"/>
        <v/>
      </c>
      <c r="AR2027" s="216" t="str">
        <f t="shared" si="907"/>
        <v>BiK82GbK11--07</v>
      </c>
      <c r="AS2027" s="215" t="str">
        <f t="shared" si="908"/>
        <v/>
      </c>
      <c r="AT2027">
        <f t="shared" si="909"/>
        <v>14</v>
      </c>
      <c r="AU2027" s="216" t="str">
        <f t="shared" si="910"/>
        <v>0,15-0,5 MW, Bonusregeln G, b und K erstmals 2011</v>
      </c>
      <c r="AV2027" s="215" t="str">
        <f t="shared" si="911"/>
        <v/>
      </c>
      <c r="AW2027" s="216" t="str">
        <f t="shared" si="912"/>
        <v>Anteil KWK, erstmals 2011</v>
      </c>
      <c r="AX2027" s="215" t="str">
        <f t="shared" si="913"/>
        <v/>
      </c>
      <c r="AY2027" t="str">
        <f t="shared" si="914"/>
        <v>x</v>
      </c>
      <c r="AZ2027" t="str">
        <f t="shared" si="915"/>
        <v/>
      </c>
    </row>
    <row r="2028" spans="1:52" s="178" customFormat="1" x14ac:dyDescent="0.25">
      <c r="A2028" s="625" t="s">
        <v>1850</v>
      </c>
      <c r="B2028" s="219" t="s">
        <v>5548</v>
      </c>
      <c r="C2028" s="219" t="s">
        <v>1304</v>
      </c>
      <c r="D2028" s="219" t="s">
        <v>7164</v>
      </c>
      <c r="E2028" s="219" t="s">
        <v>1980</v>
      </c>
      <c r="F2028" s="455">
        <f t="shared" si="922"/>
        <v>21.37</v>
      </c>
      <c r="G2028" s="530">
        <v>21.37</v>
      </c>
      <c r="H2028" s="488">
        <f t="shared" si="923"/>
        <v>17.100000000000001</v>
      </c>
      <c r="I2028" s="707"/>
      <c r="J2028" s="669" t="s">
        <v>5805</v>
      </c>
      <c r="K2028" s="15"/>
      <c r="L2028"/>
      <c r="M2028" s="49">
        <f t="shared" si="924"/>
        <v>21.37</v>
      </c>
      <c r="N2028" s="41">
        <v>9.4600000000000009</v>
      </c>
      <c r="O2028" s="186"/>
      <c r="P2028" s="177"/>
      <c r="S2028" s="178" t="s">
        <v>4180</v>
      </c>
      <c r="T2028" s="178" t="s">
        <v>1017</v>
      </c>
      <c r="U2028" s="179"/>
      <c r="W2028" s="180"/>
      <c r="X2028" s="180"/>
      <c r="Y2028" s="178" t="s">
        <v>1017</v>
      </c>
      <c r="Z2028" s="180"/>
      <c r="AA2028" s="184"/>
      <c r="AC2028" s="180"/>
      <c r="AD2028" s="182"/>
      <c r="AE2028" s="200" t="s">
        <v>1017</v>
      </c>
      <c r="AF2028" s="180"/>
      <c r="AG2028" s="201"/>
      <c r="AH2028" s="217" t="s">
        <v>4179</v>
      </c>
      <c r="AI2028" s="214" t="str">
        <f t="shared" si="916"/>
        <v/>
      </c>
      <c r="AJ2028" s="214" t="str">
        <f t="shared" si="917"/>
        <v/>
      </c>
      <c r="AK2028" s="214" t="str">
        <f t="shared" si="918"/>
        <v/>
      </c>
      <c r="AL2028" s="214" t="str">
        <f t="shared" si="919"/>
        <v/>
      </c>
      <c r="AM2028" s="214" t="str">
        <f t="shared" si="920"/>
        <v/>
      </c>
      <c r="AN2028" s="213" t="str">
        <f t="shared" si="903"/>
        <v>2012</v>
      </c>
      <c r="AO2028" s="213" t="str">
        <f t="shared" si="904"/>
        <v>2012</v>
      </c>
      <c r="AP2028" s="213" t="str">
        <f t="shared" si="905"/>
        <v>2012</v>
      </c>
      <c r="AQ2028" s="215" t="str">
        <f t="shared" si="906"/>
        <v/>
      </c>
      <c r="AR2028" s="216" t="str">
        <f t="shared" si="907"/>
        <v>BiK82GbK12--07</v>
      </c>
      <c r="AS2028" s="215" t="str">
        <f t="shared" si="908"/>
        <v/>
      </c>
      <c r="AT2028">
        <f t="shared" si="909"/>
        <v>14</v>
      </c>
      <c r="AU2028" s="216" t="str">
        <f t="shared" si="910"/>
        <v>0,15-0,5 MW, Bonusregeln G, b und K erstmals 2012</v>
      </c>
      <c r="AV2028" s="215" t="str">
        <f t="shared" si="911"/>
        <v/>
      </c>
      <c r="AW2028" s="216" t="str">
        <f t="shared" si="912"/>
        <v>Anteil KWK, erstmals 2012</v>
      </c>
      <c r="AX2028" s="215" t="str">
        <f t="shared" si="913"/>
        <v/>
      </c>
      <c r="AY2028" t="str">
        <f t="shared" si="914"/>
        <v/>
      </c>
      <c r="AZ2028" t="str">
        <f t="shared" si="915"/>
        <v>x</v>
      </c>
    </row>
    <row r="2029" spans="1:52" s="178" customFormat="1" x14ac:dyDescent="0.25">
      <c r="A2029" s="610" t="s">
        <v>679</v>
      </c>
      <c r="B2029" s="30" t="s">
        <v>5548</v>
      </c>
      <c r="C2029" s="30" t="s">
        <v>1304</v>
      </c>
      <c r="D2029" s="30" t="s">
        <v>7165</v>
      </c>
      <c r="E2029" s="30" t="s">
        <v>4810</v>
      </c>
      <c r="F2029" s="454">
        <f t="shared" si="922"/>
        <v>19.46</v>
      </c>
      <c r="G2029" s="529">
        <v>19.46</v>
      </c>
      <c r="H2029" s="487">
        <f t="shared" si="923"/>
        <v>15.57</v>
      </c>
      <c r="I2029" s="706"/>
      <c r="J2029" s="669" t="s">
        <v>5805</v>
      </c>
      <c r="K2029" s="15"/>
      <c r="L2029"/>
      <c r="M2029" s="49">
        <f t="shared" si="924"/>
        <v>19.46</v>
      </c>
      <c r="N2029" s="41">
        <v>9.4600000000000009</v>
      </c>
      <c r="O2029" s="187"/>
      <c r="P2029" s="183"/>
      <c r="Q2029" s="184"/>
      <c r="R2029" s="184"/>
      <c r="S2029" s="184" t="s">
        <v>4180</v>
      </c>
      <c r="T2029" s="178" t="s">
        <v>4180</v>
      </c>
      <c r="U2029" s="185" t="s">
        <v>1017</v>
      </c>
      <c r="V2029" s="184"/>
      <c r="W2029" s="180"/>
      <c r="X2029" s="180"/>
      <c r="Y2029" s="184" t="s">
        <v>1017</v>
      </c>
      <c r="Z2029" s="180"/>
      <c r="AA2029" s="184"/>
      <c r="AB2029" s="184"/>
      <c r="AC2029" s="180"/>
      <c r="AD2029" s="182"/>
      <c r="AE2029" s="181" t="s">
        <v>1017</v>
      </c>
      <c r="AF2029" s="180"/>
      <c r="AG2029" s="201"/>
      <c r="AH2029" s="212" t="str">
        <f t="shared" ref="AH2029:AH2034" si="929">IF(ISERROR(SEARCH("K erstmals 201",D2029)),"",RIGHT(D2029,4))</f>
        <v/>
      </c>
      <c r="AI2029" s="214" t="str">
        <f t="shared" si="916"/>
        <v/>
      </c>
      <c r="AJ2029" s="214" t="str">
        <f t="shared" si="917"/>
        <v/>
      </c>
      <c r="AK2029" s="214" t="str">
        <f t="shared" si="918"/>
        <v/>
      </c>
      <c r="AL2029" s="214" t="str">
        <f t="shared" si="919"/>
        <v/>
      </c>
      <c r="AM2029" s="214" t="str">
        <f t="shared" si="920"/>
        <v/>
      </c>
      <c r="AN2029" s="213" t="str">
        <f t="shared" si="903"/>
        <v/>
      </c>
      <c r="AO2029" s="213" t="str">
        <f t="shared" si="904"/>
        <v/>
      </c>
      <c r="AP2029" s="213" t="str">
        <f t="shared" si="905"/>
        <v/>
      </c>
      <c r="AQ2029" s="215" t="str">
        <f t="shared" si="906"/>
        <v/>
      </c>
      <c r="AR2029" s="216" t="str">
        <f t="shared" si="907"/>
        <v>BiK82Gby----07</v>
      </c>
      <c r="AS2029" s="215" t="str">
        <f t="shared" si="908"/>
        <v/>
      </c>
      <c r="AT2029">
        <f t="shared" si="909"/>
        <v>14</v>
      </c>
      <c r="AU2029" s="216" t="str">
        <f t="shared" si="910"/>
        <v>0,15-0,5 MW, Bonusregeln G, y, b</v>
      </c>
      <c r="AV2029" s="215" t="str">
        <f t="shared" si="911"/>
        <v/>
      </c>
      <c r="AW2029" s="216" t="str">
        <f t="shared" si="912"/>
        <v>Anteil Nicht-KWK</v>
      </c>
      <c r="AX2029" s="215" t="str">
        <f t="shared" si="913"/>
        <v/>
      </c>
      <c r="AY2029" t="str">
        <f t="shared" si="914"/>
        <v/>
      </c>
      <c r="AZ2029" t="str">
        <f t="shared" si="915"/>
        <v/>
      </c>
    </row>
    <row r="2030" spans="1:52" s="178" customFormat="1" x14ac:dyDescent="0.25">
      <c r="A2030" s="610" t="s">
        <v>680</v>
      </c>
      <c r="B2030" s="30" t="s">
        <v>5548</v>
      </c>
      <c r="C2030" s="30" t="s">
        <v>1304</v>
      </c>
      <c r="D2030" s="30" t="s">
        <v>7166</v>
      </c>
      <c r="E2030" s="30" t="s">
        <v>4812</v>
      </c>
      <c r="F2030" s="454">
        <f t="shared" si="922"/>
        <v>21.46</v>
      </c>
      <c r="G2030" s="529">
        <v>21.46</v>
      </c>
      <c r="H2030" s="487">
        <f t="shared" si="923"/>
        <v>17.170000000000002</v>
      </c>
      <c r="I2030" s="706"/>
      <c r="J2030" s="669" t="s">
        <v>5805</v>
      </c>
      <c r="K2030" s="15"/>
      <c r="L2030"/>
      <c r="M2030" s="49">
        <f t="shared" si="924"/>
        <v>21.46</v>
      </c>
      <c r="N2030" s="41">
        <v>9.4600000000000009</v>
      </c>
      <c r="O2030" s="187" t="s">
        <v>1017</v>
      </c>
      <c r="P2030" s="183"/>
      <c r="Q2030" s="184"/>
      <c r="R2030" s="184"/>
      <c r="S2030" s="184" t="s">
        <v>4180</v>
      </c>
      <c r="T2030" s="178" t="s">
        <v>4180</v>
      </c>
      <c r="U2030" s="185" t="s">
        <v>1017</v>
      </c>
      <c r="V2030" s="184"/>
      <c r="W2030" s="180"/>
      <c r="X2030" s="180"/>
      <c r="Y2030" s="184" t="s">
        <v>1017</v>
      </c>
      <c r="Z2030" s="180"/>
      <c r="AA2030" s="184"/>
      <c r="AB2030" s="184"/>
      <c r="AC2030" s="180"/>
      <c r="AD2030" s="182"/>
      <c r="AE2030" s="181" t="s">
        <v>1017</v>
      </c>
      <c r="AF2030" s="180"/>
      <c r="AG2030" s="201"/>
      <c r="AH2030" s="212" t="str">
        <f t="shared" si="929"/>
        <v/>
      </c>
      <c r="AI2030" s="214" t="str">
        <f t="shared" si="916"/>
        <v/>
      </c>
      <c r="AJ2030" s="214" t="str">
        <f t="shared" si="917"/>
        <v/>
      </c>
      <c r="AK2030" s="214" t="str">
        <f t="shared" si="918"/>
        <v/>
      </c>
      <c r="AL2030" s="214" t="str">
        <f t="shared" si="919"/>
        <v/>
      </c>
      <c r="AM2030" s="214" t="str">
        <f t="shared" si="920"/>
        <v/>
      </c>
      <c r="AN2030" s="213" t="str">
        <f t="shared" si="903"/>
        <v/>
      </c>
      <c r="AO2030" s="213" t="str">
        <f t="shared" si="904"/>
        <v/>
      </c>
      <c r="AP2030" s="213" t="str">
        <f t="shared" si="905"/>
        <v/>
      </c>
      <c r="AQ2030" s="215" t="str">
        <f t="shared" si="906"/>
        <v/>
      </c>
      <c r="AR2030" s="216" t="str">
        <f t="shared" si="907"/>
        <v>BiK82GbKWKy-07</v>
      </c>
      <c r="AS2030" s="215" t="str">
        <f t="shared" si="908"/>
        <v/>
      </c>
      <c r="AT2030">
        <f t="shared" si="909"/>
        <v>14</v>
      </c>
      <c r="AU2030" s="216" t="str">
        <f t="shared" si="910"/>
        <v>0,15-0,5 MW, Bonusregeln G, y, b und KWK</v>
      </c>
      <c r="AV2030" s="215" t="str">
        <f t="shared" si="911"/>
        <v/>
      </c>
      <c r="AW2030" s="216" t="str">
        <f t="shared" si="912"/>
        <v>Anteil KWK</v>
      </c>
      <c r="AX2030" s="215" t="str">
        <f t="shared" si="913"/>
        <v/>
      </c>
      <c r="AY2030" t="str">
        <f t="shared" si="914"/>
        <v/>
      </c>
      <c r="AZ2030" t="str">
        <f t="shared" si="915"/>
        <v/>
      </c>
    </row>
    <row r="2031" spans="1:52" s="178" customFormat="1" x14ac:dyDescent="0.25">
      <c r="A2031" s="610" t="s">
        <v>681</v>
      </c>
      <c r="B2031" s="30" t="s">
        <v>5548</v>
      </c>
      <c r="C2031" s="30" t="s">
        <v>1304</v>
      </c>
      <c r="D2031" s="109" t="s">
        <v>7167</v>
      </c>
      <c r="E2031" s="30" t="s">
        <v>4331</v>
      </c>
      <c r="F2031" s="454">
        <f t="shared" si="922"/>
        <v>22.46</v>
      </c>
      <c r="G2031" s="529">
        <v>22.46</v>
      </c>
      <c r="H2031" s="487">
        <f t="shared" si="923"/>
        <v>17.97</v>
      </c>
      <c r="I2031" s="706"/>
      <c r="J2031" s="669" t="s">
        <v>5805</v>
      </c>
      <c r="K2031" s="15"/>
      <c r="L2031"/>
      <c r="M2031" s="49">
        <f t="shared" si="924"/>
        <v>22.46</v>
      </c>
      <c r="N2031" s="41">
        <v>9.4600000000000009</v>
      </c>
      <c r="O2031" s="187"/>
      <c r="P2031" s="184" t="s">
        <v>1017</v>
      </c>
      <c r="Q2031" s="184"/>
      <c r="R2031" s="184"/>
      <c r="S2031" s="184" t="s">
        <v>4180</v>
      </c>
      <c r="T2031" s="178" t="s">
        <v>4180</v>
      </c>
      <c r="U2031" s="185" t="s">
        <v>1017</v>
      </c>
      <c r="V2031" s="184"/>
      <c r="W2031" s="180"/>
      <c r="X2031" s="180"/>
      <c r="Y2031" s="184" t="s">
        <v>1017</v>
      </c>
      <c r="Z2031" s="180"/>
      <c r="AA2031" s="184"/>
      <c r="AB2031" s="184"/>
      <c r="AC2031" s="180"/>
      <c r="AD2031" s="182"/>
      <c r="AE2031" s="181" t="s">
        <v>1017</v>
      </c>
      <c r="AF2031" s="180"/>
      <c r="AG2031" s="201"/>
      <c r="AH2031" s="212" t="str">
        <f t="shared" si="929"/>
        <v/>
      </c>
      <c r="AI2031" s="214" t="str">
        <f t="shared" si="916"/>
        <v/>
      </c>
      <c r="AJ2031" s="214" t="str">
        <f t="shared" si="917"/>
        <v/>
      </c>
      <c r="AK2031" s="214" t="str">
        <f t="shared" si="918"/>
        <v/>
      </c>
      <c r="AL2031" s="214" t="str">
        <f t="shared" si="919"/>
        <v/>
      </c>
      <c r="AM2031" s="214" t="str">
        <f t="shared" si="920"/>
        <v/>
      </c>
      <c r="AN2031" s="213" t="str">
        <f t="shared" si="903"/>
        <v/>
      </c>
      <c r="AO2031" s="213" t="str">
        <f t="shared" si="904"/>
        <v/>
      </c>
      <c r="AP2031" s="213" t="str">
        <f t="shared" si="905"/>
        <v/>
      </c>
      <c r="AQ2031" s="215" t="str">
        <f t="shared" si="906"/>
        <v/>
      </c>
      <c r="AR2031" s="216" t="str">
        <f t="shared" si="907"/>
        <v>BiK82GbKA3y-07</v>
      </c>
      <c r="AS2031" s="215" t="str">
        <f t="shared" si="908"/>
        <v/>
      </c>
      <c r="AT2031">
        <f t="shared" si="909"/>
        <v>14</v>
      </c>
      <c r="AU2031" s="216" t="str">
        <f t="shared" si="910"/>
        <v>0,15-0,5 MW, Bonusregeln G, y, b und K wenn Anlage 3 erfüllt</v>
      </c>
      <c r="AV2031" s="215" t="str">
        <f t="shared" si="911"/>
        <v/>
      </c>
      <c r="AW2031" s="216" t="str">
        <f t="shared" si="912"/>
        <v>Anteil KWK gemäß Anlage 3</v>
      </c>
      <c r="AX2031" s="215" t="str">
        <f t="shared" si="913"/>
        <v/>
      </c>
      <c r="AY2031" t="str">
        <f t="shared" si="914"/>
        <v/>
      </c>
      <c r="AZ2031" t="str">
        <f t="shared" si="915"/>
        <v/>
      </c>
    </row>
    <row r="2032" spans="1:52" s="178" customFormat="1" x14ac:dyDescent="0.25">
      <c r="A2032" s="610" t="s">
        <v>682</v>
      </c>
      <c r="B2032" s="30" t="s">
        <v>5548</v>
      </c>
      <c r="C2032" s="30" t="s">
        <v>1304</v>
      </c>
      <c r="D2032" s="30" t="s">
        <v>7168</v>
      </c>
      <c r="E2032" s="30" t="s">
        <v>674</v>
      </c>
      <c r="F2032" s="454">
        <f t="shared" si="922"/>
        <v>22.46</v>
      </c>
      <c r="G2032" s="529">
        <v>22.46</v>
      </c>
      <c r="H2032" s="487">
        <f t="shared" si="923"/>
        <v>17.97</v>
      </c>
      <c r="I2032" s="706"/>
      <c r="J2032" s="669" t="s">
        <v>5805</v>
      </c>
      <c r="K2032" s="15"/>
      <c r="L2032"/>
      <c r="M2032" s="49">
        <f t="shared" si="924"/>
        <v>22.46</v>
      </c>
      <c r="N2032" s="41">
        <v>9.4600000000000009</v>
      </c>
      <c r="O2032" s="187"/>
      <c r="P2032" s="183"/>
      <c r="Q2032" s="184" t="s">
        <v>1017</v>
      </c>
      <c r="R2032" s="184"/>
      <c r="S2032" s="184" t="s">
        <v>4180</v>
      </c>
      <c r="T2032" s="178" t="s">
        <v>4180</v>
      </c>
      <c r="U2032" s="185" t="s">
        <v>1017</v>
      </c>
      <c r="V2032" s="184"/>
      <c r="W2032" s="180"/>
      <c r="X2032" s="180"/>
      <c r="Y2032" s="184" t="s">
        <v>1017</v>
      </c>
      <c r="Z2032" s="180"/>
      <c r="AA2032" s="184"/>
      <c r="AB2032" s="184"/>
      <c r="AC2032" s="180"/>
      <c r="AD2032" s="182"/>
      <c r="AE2032" s="181" t="s">
        <v>1017</v>
      </c>
      <c r="AF2032" s="180"/>
      <c r="AG2032" s="201"/>
      <c r="AH2032" s="212" t="str">
        <f t="shared" si="929"/>
        <v/>
      </c>
      <c r="AI2032" s="214" t="str">
        <f t="shared" si="916"/>
        <v/>
      </c>
      <c r="AJ2032" s="214" t="str">
        <f t="shared" si="917"/>
        <v/>
      </c>
      <c r="AK2032" s="214" t="str">
        <f t="shared" si="918"/>
        <v/>
      </c>
      <c r="AL2032" s="214" t="str">
        <f t="shared" si="919"/>
        <v/>
      </c>
      <c r="AM2032" s="214" t="str">
        <f t="shared" si="920"/>
        <v/>
      </c>
      <c r="AN2032" s="213" t="str">
        <f t="shared" si="903"/>
        <v/>
      </c>
      <c r="AO2032" s="213" t="str">
        <f t="shared" si="904"/>
        <v/>
      </c>
      <c r="AP2032" s="213" t="str">
        <f t="shared" si="905"/>
        <v/>
      </c>
      <c r="AQ2032" s="215" t="str">
        <f t="shared" si="906"/>
        <v/>
      </c>
      <c r="AR2032" s="216" t="str">
        <f t="shared" si="907"/>
        <v>BiK82GbK09y-07</v>
      </c>
      <c r="AS2032" s="215" t="str">
        <f t="shared" si="908"/>
        <v/>
      </c>
      <c r="AT2032">
        <f t="shared" si="909"/>
        <v>14</v>
      </c>
      <c r="AU2032" s="216" t="str">
        <f t="shared" si="910"/>
        <v>0,15-0,5 MW, Bonusregeln G, y, b und K erstmals 2009</v>
      </c>
      <c r="AV2032" s="215" t="str">
        <f t="shared" si="911"/>
        <v/>
      </c>
      <c r="AW2032" s="216" t="str">
        <f t="shared" si="912"/>
        <v>Anteil KWK, erstmals 2009</v>
      </c>
      <c r="AX2032" s="215" t="str">
        <f t="shared" si="913"/>
        <v/>
      </c>
      <c r="AY2032" t="str">
        <f t="shared" si="914"/>
        <v/>
      </c>
      <c r="AZ2032" t="str">
        <f t="shared" si="915"/>
        <v/>
      </c>
    </row>
    <row r="2033" spans="1:52" s="178" customFormat="1" x14ac:dyDescent="0.25">
      <c r="A2033" s="610" t="s">
        <v>3143</v>
      </c>
      <c r="B2033" s="30" t="s">
        <v>5548</v>
      </c>
      <c r="C2033" s="30" t="s">
        <v>1304</v>
      </c>
      <c r="D2033" s="30" t="s">
        <v>7169</v>
      </c>
      <c r="E2033" s="30" t="s">
        <v>3567</v>
      </c>
      <c r="F2033" s="454">
        <f t="shared" si="922"/>
        <v>22.43</v>
      </c>
      <c r="G2033" s="529">
        <v>22.43</v>
      </c>
      <c r="H2033" s="487">
        <f t="shared" si="923"/>
        <v>17.940000000000001</v>
      </c>
      <c r="I2033" s="706"/>
      <c r="J2033" s="669" t="s">
        <v>5805</v>
      </c>
      <c r="K2033" s="15"/>
      <c r="L2033"/>
      <c r="M2033" s="49">
        <f t="shared" si="924"/>
        <v>22.43</v>
      </c>
      <c r="N2033" s="41">
        <v>9.4600000000000009</v>
      </c>
      <c r="O2033" s="187"/>
      <c r="P2033" s="183"/>
      <c r="Q2033" s="184"/>
      <c r="R2033" s="184" t="s">
        <v>1017</v>
      </c>
      <c r="S2033" s="184" t="s">
        <v>4180</v>
      </c>
      <c r="T2033" s="178" t="s">
        <v>4180</v>
      </c>
      <c r="U2033" s="185" t="s">
        <v>1017</v>
      </c>
      <c r="V2033" s="184"/>
      <c r="W2033" s="180"/>
      <c r="X2033" s="180"/>
      <c r="Y2033" s="184" t="s">
        <v>1017</v>
      </c>
      <c r="Z2033" s="180"/>
      <c r="AA2033" s="184"/>
      <c r="AB2033" s="184"/>
      <c r="AC2033" s="180"/>
      <c r="AD2033" s="182"/>
      <c r="AE2033" s="181" t="s">
        <v>1017</v>
      </c>
      <c r="AF2033" s="180"/>
      <c r="AG2033" s="201"/>
      <c r="AH2033" s="212" t="str">
        <f t="shared" si="929"/>
        <v>2010</v>
      </c>
      <c r="AI2033" s="214" t="str">
        <f t="shared" si="916"/>
        <v/>
      </c>
      <c r="AJ2033" s="214" t="str">
        <f t="shared" si="917"/>
        <v/>
      </c>
      <c r="AK2033" s="214" t="str">
        <f t="shared" si="918"/>
        <v/>
      </c>
      <c r="AL2033" s="214" t="str">
        <f t="shared" si="919"/>
        <v/>
      </c>
      <c r="AM2033" s="214" t="str">
        <f t="shared" si="920"/>
        <v/>
      </c>
      <c r="AN2033" s="213" t="str">
        <f t="shared" si="903"/>
        <v>2010</v>
      </c>
      <c r="AO2033" s="213" t="str">
        <f t="shared" si="904"/>
        <v>2010</v>
      </c>
      <c r="AP2033" s="213" t="str">
        <f t="shared" si="905"/>
        <v>2010</v>
      </c>
      <c r="AQ2033" s="215" t="str">
        <f t="shared" si="906"/>
        <v/>
      </c>
      <c r="AR2033" s="216" t="str">
        <f t="shared" si="907"/>
        <v>BiK82GbK10y-07</v>
      </c>
      <c r="AS2033" s="215" t="str">
        <f t="shared" si="908"/>
        <v/>
      </c>
      <c r="AT2033">
        <f t="shared" si="909"/>
        <v>14</v>
      </c>
      <c r="AU2033" s="216" t="str">
        <f t="shared" si="910"/>
        <v>0,15-0,5 MW, Bonusregeln G, y, b und K erstmals 2010</v>
      </c>
      <c r="AV2033" s="215" t="str">
        <f t="shared" si="911"/>
        <v/>
      </c>
      <c r="AW2033" s="216" t="str">
        <f t="shared" si="912"/>
        <v>Anteil KWK, erstmals 2010</v>
      </c>
      <c r="AX2033" s="215" t="str">
        <f t="shared" si="913"/>
        <v/>
      </c>
      <c r="AY2033" t="str">
        <f t="shared" si="914"/>
        <v/>
      </c>
      <c r="AZ2033" t="str">
        <f t="shared" si="915"/>
        <v/>
      </c>
    </row>
    <row r="2034" spans="1:52" s="178" customFormat="1" x14ac:dyDescent="0.25">
      <c r="A2034" s="610" t="s">
        <v>3419</v>
      </c>
      <c r="B2034" s="30" t="s">
        <v>5548</v>
      </c>
      <c r="C2034" s="30" t="s">
        <v>1304</v>
      </c>
      <c r="D2034" s="30" t="s">
        <v>7170</v>
      </c>
      <c r="E2034" s="30" t="s">
        <v>3055</v>
      </c>
      <c r="F2034" s="454">
        <f t="shared" si="922"/>
        <v>22.4</v>
      </c>
      <c r="G2034" s="529">
        <v>22.4</v>
      </c>
      <c r="H2034" s="487">
        <f t="shared" si="923"/>
        <v>17.920000000000002</v>
      </c>
      <c r="I2034" s="706"/>
      <c r="J2034" s="669" t="s">
        <v>5805</v>
      </c>
      <c r="K2034" s="15"/>
      <c r="L2034"/>
      <c r="M2034" s="49">
        <f t="shared" si="924"/>
        <v>22.4</v>
      </c>
      <c r="N2034" s="41">
        <v>9.4600000000000009</v>
      </c>
      <c r="O2034" s="187"/>
      <c r="P2034" s="183"/>
      <c r="Q2034" s="184"/>
      <c r="S2034" s="184" t="s">
        <v>1017</v>
      </c>
      <c r="T2034" s="178" t="s">
        <v>4180</v>
      </c>
      <c r="U2034" s="185" t="s">
        <v>1017</v>
      </c>
      <c r="V2034" s="184"/>
      <c r="W2034" s="180"/>
      <c r="X2034" s="180"/>
      <c r="Y2034" s="184" t="s">
        <v>1017</v>
      </c>
      <c r="Z2034" s="180"/>
      <c r="AA2034" s="184"/>
      <c r="AB2034" s="184"/>
      <c r="AC2034" s="180"/>
      <c r="AD2034" s="182"/>
      <c r="AE2034" s="181" t="s">
        <v>1017</v>
      </c>
      <c r="AF2034" s="180"/>
      <c r="AG2034" s="201"/>
      <c r="AH2034" s="212" t="str">
        <f t="shared" si="929"/>
        <v>2011</v>
      </c>
      <c r="AI2034" s="214" t="str">
        <f t="shared" si="916"/>
        <v/>
      </c>
      <c r="AJ2034" s="214" t="str">
        <f t="shared" si="917"/>
        <v/>
      </c>
      <c r="AK2034" s="214" t="str">
        <f t="shared" si="918"/>
        <v/>
      </c>
      <c r="AL2034" s="214" t="str">
        <f t="shared" si="919"/>
        <v/>
      </c>
      <c r="AM2034" s="214" t="str">
        <f t="shared" si="920"/>
        <v/>
      </c>
      <c r="AN2034" s="213" t="str">
        <f t="shared" si="903"/>
        <v>2011</v>
      </c>
      <c r="AO2034" s="213" t="str">
        <f t="shared" si="904"/>
        <v>2011</v>
      </c>
      <c r="AP2034" s="213" t="str">
        <f t="shared" si="905"/>
        <v>2011</v>
      </c>
      <c r="AQ2034" s="215" t="str">
        <f t="shared" si="906"/>
        <v/>
      </c>
      <c r="AR2034" s="216" t="str">
        <f t="shared" si="907"/>
        <v>BiK82GbK11y-07</v>
      </c>
      <c r="AS2034" s="215" t="str">
        <f t="shared" si="908"/>
        <v/>
      </c>
      <c r="AT2034">
        <f t="shared" si="909"/>
        <v>14</v>
      </c>
      <c r="AU2034" s="216" t="str">
        <f t="shared" si="910"/>
        <v>0,15-0,5 MW, Bonusregeln G, y, b und K erstmals 2011</v>
      </c>
      <c r="AV2034" s="215" t="str">
        <f t="shared" si="911"/>
        <v/>
      </c>
      <c r="AW2034" s="216" t="str">
        <f t="shared" si="912"/>
        <v>Anteil KWK, erstmals 2011</v>
      </c>
      <c r="AX2034" s="215" t="str">
        <f t="shared" si="913"/>
        <v/>
      </c>
      <c r="AY2034" t="str">
        <f t="shared" si="914"/>
        <v>x</v>
      </c>
      <c r="AZ2034" t="str">
        <f t="shared" si="915"/>
        <v/>
      </c>
    </row>
    <row r="2035" spans="1:52" s="178" customFormat="1" x14ac:dyDescent="0.25">
      <c r="A2035" s="625" t="s">
        <v>1851</v>
      </c>
      <c r="B2035" s="219" t="s">
        <v>5548</v>
      </c>
      <c r="C2035" s="219" t="s">
        <v>1304</v>
      </c>
      <c r="D2035" s="219" t="s">
        <v>7171</v>
      </c>
      <c r="E2035" s="219" t="s">
        <v>1980</v>
      </c>
      <c r="F2035" s="455">
        <f t="shared" si="922"/>
        <v>22.37</v>
      </c>
      <c r="G2035" s="530">
        <v>22.37</v>
      </c>
      <c r="H2035" s="488">
        <f t="shared" si="923"/>
        <v>17.899999999999999</v>
      </c>
      <c r="I2035" s="707"/>
      <c r="J2035" s="669" t="s">
        <v>5805</v>
      </c>
      <c r="K2035" s="15"/>
      <c r="L2035"/>
      <c r="M2035" s="49">
        <f t="shared" si="924"/>
        <v>22.37</v>
      </c>
      <c r="N2035" s="41">
        <v>9.4600000000000009</v>
      </c>
      <c r="O2035" s="187"/>
      <c r="P2035" s="183"/>
      <c r="Q2035" s="184"/>
      <c r="S2035" s="184" t="s">
        <v>4180</v>
      </c>
      <c r="T2035" s="178" t="s">
        <v>1017</v>
      </c>
      <c r="U2035" s="185" t="s">
        <v>1017</v>
      </c>
      <c r="V2035" s="184"/>
      <c r="W2035" s="180"/>
      <c r="X2035" s="180"/>
      <c r="Y2035" s="184" t="s">
        <v>1017</v>
      </c>
      <c r="Z2035" s="180"/>
      <c r="AA2035" s="184"/>
      <c r="AB2035" s="184"/>
      <c r="AC2035" s="180"/>
      <c r="AD2035" s="182"/>
      <c r="AE2035" s="181" t="s">
        <v>1017</v>
      </c>
      <c r="AF2035" s="180"/>
      <c r="AG2035" s="201"/>
      <c r="AH2035" s="217" t="s">
        <v>4179</v>
      </c>
      <c r="AI2035" s="214" t="str">
        <f t="shared" si="916"/>
        <v/>
      </c>
      <c r="AJ2035" s="214" t="str">
        <f t="shared" si="917"/>
        <v/>
      </c>
      <c r="AK2035" s="214" t="str">
        <f t="shared" si="918"/>
        <v/>
      </c>
      <c r="AL2035" s="214" t="str">
        <f t="shared" si="919"/>
        <v/>
      </c>
      <c r="AM2035" s="214" t="str">
        <f t="shared" si="920"/>
        <v/>
      </c>
      <c r="AN2035" s="213" t="str">
        <f t="shared" si="903"/>
        <v>2012</v>
      </c>
      <c r="AO2035" s="213" t="str">
        <f t="shared" si="904"/>
        <v>2012</v>
      </c>
      <c r="AP2035" s="213" t="str">
        <f t="shared" si="905"/>
        <v>2012</v>
      </c>
      <c r="AQ2035" s="215" t="str">
        <f t="shared" si="906"/>
        <v/>
      </c>
      <c r="AR2035" s="216" t="str">
        <f t="shared" si="907"/>
        <v>BiK82GbK12y-07</v>
      </c>
      <c r="AS2035" s="215" t="str">
        <f t="shared" si="908"/>
        <v/>
      </c>
      <c r="AT2035">
        <f t="shared" si="909"/>
        <v>14</v>
      </c>
      <c r="AU2035" s="216" t="str">
        <f t="shared" si="910"/>
        <v>0,15-0,5 MW, Bonusregeln G, y, b und K erstmals 2012</v>
      </c>
      <c r="AV2035" s="215" t="str">
        <f t="shared" si="911"/>
        <v/>
      </c>
      <c r="AW2035" s="216" t="str">
        <f t="shared" si="912"/>
        <v>Anteil KWK, erstmals 2012</v>
      </c>
      <c r="AX2035" s="215" t="str">
        <f t="shared" si="913"/>
        <v/>
      </c>
      <c r="AY2035" t="str">
        <f t="shared" si="914"/>
        <v/>
      </c>
      <c r="AZ2035" t="str">
        <f t="shared" si="915"/>
        <v>x</v>
      </c>
    </row>
    <row r="2036" spans="1:52" s="178" customFormat="1" x14ac:dyDescent="0.25">
      <c r="A2036" s="610" t="s">
        <v>4721</v>
      </c>
      <c r="B2036" s="30" t="s">
        <v>5548</v>
      </c>
      <c r="C2036" s="30" t="s">
        <v>1304</v>
      </c>
      <c r="D2036" s="30" t="s">
        <v>7172</v>
      </c>
      <c r="E2036" s="30" t="s">
        <v>4810</v>
      </c>
      <c r="F2036" s="454">
        <f t="shared" si="922"/>
        <v>19.46</v>
      </c>
      <c r="G2036" s="529">
        <v>19.46</v>
      </c>
      <c r="H2036" s="487">
        <f t="shared" si="923"/>
        <v>15.57</v>
      </c>
      <c r="I2036" s="706"/>
      <c r="J2036" s="669" t="s">
        <v>5805</v>
      </c>
      <c r="K2036" s="15"/>
      <c r="L2036"/>
      <c r="M2036" s="49">
        <f t="shared" si="924"/>
        <v>19.46</v>
      </c>
      <c r="N2036" s="41">
        <v>9.4600000000000009</v>
      </c>
      <c r="O2036" s="186"/>
      <c r="P2036" s="177"/>
      <c r="S2036" s="178" t="s">
        <v>4180</v>
      </c>
      <c r="T2036" s="178" t="s">
        <v>4180</v>
      </c>
      <c r="U2036" s="179"/>
      <c r="W2036" s="180"/>
      <c r="X2036" s="180"/>
      <c r="Z2036" s="180"/>
      <c r="AA2036" s="184" t="s">
        <v>1017</v>
      </c>
      <c r="AC2036" s="180"/>
      <c r="AD2036" s="182"/>
      <c r="AE2036" s="181" t="s">
        <v>1017</v>
      </c>
      <c r="AF2036" s="180"/>
      <c r="AG2036" s="201"/>
      <c r="AH2036" s="212" t="str">
        <f t="shared" ref="AH2036:AH2041" si="930">IF(ISERROR(SEARCH("K erstmals 201",D2036)),"",RIGHT(D2036,4))</f>
        <v/>
      </c>
      <c r="AI2036" s="214" t="str">
        <f t="shared" si="916"/>
        <v/>
      </c>
      <c r="AJ2036" s="214" t="str">
        <f t="shared" si="917"/>
        <v/>
      </c>
      <c r="AK2036" s="214" t="str">
        <f t="shared" si="918"/>
        <v/>
      </c>
      <c r="AL2036" s="214" t="str">
        <f t="shared" si="919"/>
        <v/>
      </c>
      <c r="AM2036" s="214" t="str">
        <f t="shared" si="920"/>
        <v/>
      </c>
      <c r="AN2036" s="213" t="str">
        <f t="shared" si="903"/>
        <v/>
      </c>
      <c r="AO2036" s="213" t="str">
        <f t="shared" si="904"/>
        <v/>
      </c>
      <c r="AP2036" s="213" t="str">
        <f t="shared" si="905"/>
        <v/>
      </c>
      <c r="AQ2036" s="215" t="str">
        <f t="shared" si="906"/>
        <v/>
      </c>
      <c r="AR2036" s="216" t="str">
        <f t="shared" si="907"/>
        <v>BiK82M2b----07</v>
      </c>
      <c r="AS2036" s="215" t="str">
        <f t="shared" si="908"/>
        <v/>
      </c>
      <c r="AT2036">
        <f t="shared" si="909"/>
        <v>14</v>
      </c>
      <c r="AU2036" s="216" t="str">
        <f t="shared" si="910"/>
        <v>0,15-0,5 MW, Bonusregeln M2, b</v>
      </c>
      <c r="AV2036" s="215" t="str">
        <f t="shared" si="911"/>
        <v/>
      </c>
      <c r="AW2036" s="216" t="str">
        <f t="shared" si="912"/>
        <v>Anteil Nicht-KWK</v>
      </c>
      <c r="AX2036" s="215" t="str">
        <f t="shared" si="913"/>
        <v/>
      </c>
      <c r="AY2036" t="str">
        <f t="shared" si="914"/>
        <v/>
      </c>
      <c r="AZ2036" t="str">
        <f t="shared" si="915"/>
        <v/>
      </c>
    </row>
    <row r="2037" spans="1:52" s="178" customFormat="1" x14ac:dyDescent="0.25">
      <c r="A2037" s="610" t="s">
        <v>4722</v>
      </c>
      <c r="B2037" s="30" t="s">
        <v>5548</v>
      </c>
      <c r="C2037" s="30" t="s">
        <v>1304</v>
      </c>
      <c r="D2037" s="30" t="s">
        <v>7173</v>
      </c>
      <c r="E2037" s="30" t="s">
        <v>4812</v>
      </c>
      <c r="F2037" s="454">
        <f t="shared" si="922"/>
        <v>21.46</v>
      </c>
      <c r="G2037" s="529">
        <v>21.46</v>
      </c>
      <c r="H2037" s="487">
        <f t="shared" si="923"/>
        <v>17.170000000000002</v>
      </c>
      <c r="I2037" s="706"/>
      <c r="J2037" s="669" t="s">
        <v>5805</v>
      </c>
      <c r="K2037" s="15"/>
      <c r="L2037"/>
      <c r="M2037" s="49">
        <f t="shared" si="924"/>
        <v>21.46</v>
      </c>
      <c r="N2037" s="41">
        <v>9.4600000000000009</v>
      </c>
      <c r="O2037" s="186" t="s">
        <v>1017</v>
      </c>
      <c r="P2037" s="177"/>
      <c r="S2037" s="178" t="s">
        <v>4180</v>
      </c>
      <c r="T2037" s="178" t="s">
        <v>4180</v>
      </c>
      <c r="U2037" s="179"/>
      <c r="W2037" s="180"/>
      <c r="X2037" s="180"/>
      <c r="Z2037" s="180"/>
      <c r="AA2037" s="184" t="s">
        <v>1017</v>
      </c>
      <c r="AC2037" s="180"/>
      <c r="AD2037" s="182"/>
      <c r="AE2037" s="181" t="s">
        <v>1017</v>
      </c>
      <c r="AF2037" s="180"/>
      <c r="AG2037" s="201"/>
      <c r="AH2037" s="212" t="str">
        <f t="shared" si="930"/>
        <v/>
      </c>
      <c r="AI2037" s="214" t="str">
        <f t="shared" si="916"/>
        <v/>
      </c>
      <c r="AJ2037" s="214" t="str">
        <f t="shared" si="917"/>
        <v/>
      </c>
      <c r="AK2037" s="214" t="str">
        <f t="shared" si="918"/>
        <v/>
      </c>
      <c r="AL2037" s="214" t="str">
        <f t="shared" si="919"/>
        <v/>
      </c>
      <c r="AM2037" s="214" t="str">
        <f t="shared" si="920"/>
        <v/>
      </c>
      <c r="AN2037" s="213" t="str">
        <f t="shared" si="903"/>
        <v/>
      </c>
      <c r="AO2037" s="213" t="str">
        <f t="shared" si="904"/>
        <v/>
      </c>
      <c r="AP2037" s="213" t="str">
        <f t="shared" si="905"/>
        <v/>
      </c>
      <c r="AQ2037" s="215" t="str">
        <f t="shared" si="906"/>
        <v/>
      </c>
      <c r="AR2037" s="216" t="str">
        <f t="shared" si="907"/>
        <v>BiK82M2bKWK-07</v>
      </c>
      <c r="AS2037" s="215" t="str">
        <f t="shared" si="908"/>
        <v/>
      </c>
      <c r="AT2037">
        <f t="shared" si="909"/>
        <v>14</v>
      </c>
      <c r="AU2037" s="216" t="str">
        <f t="shared" si="910"/>
        <v>0,15-0,5 MW, Bonusregeln M2, b und KWK</v>
      </c>
      <c r="AV2037" s="215" t="str">
        <f t="shared" si="911"/>
        <v/>
      </c>
      <c r="AW2037" s="216" t="str">
        <f t="shared" si="912"/>
        <v>Anteil KWK</v>
      </c>
      <c r="AX2037" s="215" t="str">
        <f t="shared" si="913"/>
        <v/>
      </c>
      <c r="AY2037" t="str">
        <f t="shared" si="914"/>
        <v/>
      </c>
      <c r="AZ2037" t="str">
        <f t="shared" si="915"/>
        <v/>
      </c>
    </row>
    <row r="2038" spans="1:52" s="178" customFormat="1" x14ac:dyDescent="0.25">
      <c r="A2038" s="610" t="s">
        <v>4723</v>
      </c>
      <c r="B2038" s="30" t="s">
        <v>5548</v>
      </c>
      <c r="C2038" s="30" t="s">
        <v>1304</v>
      </c>
      <c r="D2038" s="30" t="s">
        <v>7174</v>
      </c>
      <c r="E2038" s="30" t="s">
        <v>4331</v>
      </c>
      <c r="F2038" s="454">
        <f t="shared" si="922"/>
        <v>22.46</v>
      </c>
      <c r="G2038" s="529">
        <v>22.46</v>
      </c>
      <c r="H2038" s="487">
        <f t="shared" si="923"/>
        <v>17.97</v>
      </c>
      <c r="I2038" s="706"/>
      <c r="J2038" s="669" t="s">
        <v>5805</v>
      </c>
      <c r="K2038" s="15"/>
      <c r="L2038"/>
      <c r="M2038" s="49">
        <f t="shared" si="924"/>
        <v>22.46</v>
      </c>
      <c r="N2038" s="41">
        <v>9.4600000000000009</v>
      </c>
      <c r="O2038" s="186"/>
      <c r="P2038" s="178" t="s">
        <v>1017</v>
      </c>
      <c r="S2038" s="178" t="s">
        <v>4180</v>
      </c>
      <c r="T2038" s="178" t="s">
        <v>4180</v>
      </c>
      <c r="U2038" s="179"/>
      <c r="W2038" s="180"/>
      <c r="X2038" s="180"/>
      <c r="Z2038" s="180"/>
      <c r="AA2038" s="184" t="s">
        <v>1017</v>
      </c>
      <c r="AC2038" s="180"/>
      <c r="AD2038" s="182"/>
      <c r="AE2038" s="181" t="s">
        <v>1017</v>
      </c>
      <c r="AF2038" s="180"/>
      <c r="AG2038" s="201"/>
      <c r="AH2038" s="212" t="str">
        <f t="shared" si="930"/>
        <v/>
      </c>
      <c r="AI2038" s="214" t="str">
        <f t="shared" si="916"/>
        <v/>
      </c>
      <c r="AJ2038" s="214" t="str">
        <f t="shared" si="917"/>
        <v/>
      </c>
      <c r="AK2038" s="214" t="str">
        <f t="shared" si="918"/>
        <v/>
      </c>
      <c r="AL2038" s="214" t="str">
        <f t="shared" si="919"/>
        <v/>
      </c>
      <c r="AM2038" s="214" t="str">
        <f t="shared" si="920"/>
        <v/>
      </c>
      <c r="AN2038" s="213" t="str">
        <f t="shared" si="903"/>
        <v/>
      </c>
      <c r="AO2038" s="213" t="str">
        <f t="shared" si="904"/>
        <v/>
      </c>
      <c r="AP2038" s="213" t="str">
        <f t="shared" si="905"/>
        <v/>
      </c>
      <c r="AQ2038" s="215" t="str">
        <f t="shared" si="906"/>
        <v/>
      </c>
      <c r="AR2038" s="216" t="str">
        <f t="shared" si="907"/>
        <v>BiK82M2bKA3-07</v>
      </c>
      <c r="AS2038" s="215" t="str">
        <f t="shared" si="908"/>
        <v/>
      </c>
      <c r="AT2038">
        <f t="shared" si="909"/>
        <v>14</v>
      </c>
      <c r="AU2038" s="216" t="str">
        <f t="shared" si="910"/>
        <v>0,15-0,5 MW, Bonusregeln M2, b und K wenn Anlage 3 erfüllt</v>
      </c>
      <c r="AV2038" s="215" t="str">
        <f t="shared" si="911"/>
        <v/>
      </c>
      <c r="AW2038" s="216" t="str">
        <f t="shared" si="912"/>
        <v>Anteil KWK gemäß Anlage 3</v>
      </c>
      <c r="AX2038" s="215" t="str">
        <f t="shared" si="913"/>
        <v/>
      </c>
      <c r="AY2038" t="str">
        <f t="shared" si="914"/>
        <v/>
      </c>
      <c r="AZ2038" t="str">
        <f t="shared" si="915"/>
        <v/>
      </c>
    </row>
    <row r="2039" spans="1:52" s="178" customFormat="1" x14ac:dyDescent="0.25">
      <c r="A2039" s="610" t="s">
        <v>4724</v>
      </c>
      <c r="B2039" s="30" t="s">
        <v>5548</v>
      </c>
      <c r="C2039" s="30" t="s">
        <v>1304</v>
      </c>
      <c r="D2039" s="30" t="s">
        <v>7175</v>
      </c>
      <c r="E2039" s="30" t="s">
        <v>674</v>
      </c>
      <c r="F2039" s="454">
        <f t="shared" si="922"/>
        <v>22.46</v>
      </c>
      <c r="G2039" s="529">
        <v>22.46</v>
      </c>
      <c r="H2039" s="487">
        <f t="shared" si="923"/>
        <v>17.97</v>
      </c>
      <c r="I2039" s="706"/>
      <c r="J2039" s="669" t="s">
        <v>5805</v>
      </c>
      <c r="K2039" s="15"/>
      <c r="L2039"/>
      <c r="M2039" s="49">
        <f t="shared" si="924"/>
        <v>22.46</v>
      </c>
      <c r="N2039" s="41">
        <v>9.4600000000000009</v>
      </c>
      <c r="O2039" s="186"/>
      <c r="P2039" s="177"/>
      <c r="Q2039" s="178" t="s">
        <v>1017</v>
      </c>
      <c r="S2039" s="178" t="s">
        <v>4180</v>
      </c>
      <c r="T2039" s="178" t="s">
        <v>4180</v>
      </c>
      <c r="U2039" s="179"/>
      <c r="W2039" s="180"/>
      <c r="X2039" s="180"/>
      <c r="Z2039" s="180"/>
      <c r="AA2039" s="184" t="s">
        <v>1017</v>
      </c>
      <c r="AC2039" s="180"/>
      <c r="AD2039" s="182"/>
      <c r="AE2039" s="181" t="s">
        <v>1017</v>
      </c>
      <c r="AF2039" s="180"/>
      <c r="AG2039" s="201"/>
      <c r="AH2039" s="212" t="str">
        <f t="shared" si="930"/>
        <v/>
      </c>
      <c r="AI2039" s="214" t="str">
        <f t="shared" si="916"/>
        <v/>
      </c>
      <c r="AJ2039" s="214" t="str">
        <f t="shared" si="917"/>
        <v/>
      </c>
      <c r="AK2039" s="214" t="str">
        <f t="shared" si="918"/>
        <v/>
      </c>
      <c r="AL2039" s="214" t="str">
        <f t="shared" si="919"/>
        <v/>
      </c>
      <c r="AM2039" s="214" t="str">
        <f t="shared" si="920"/>
        <v/>
      </c>
      <c r="AN2039" s="213" t="str">
        <f t="shared" si="903"/>
        <v/>
      </c>
      <c r="AO2039" s="213" t="str">
        <f t="shared" si="904"/>
        <v/>
      </c>
      <c r="AP2039" s="213" t="str">
        <f t="shared" si="905"/>
        <v/>
      </c>
      <c r="AQ2039" s="215" t="str">
        <f t="shared" si="906"/>
        <v/>
      </c>
      <c r="AR2039" s="216" t="str">
        <f t="shared" si="907"/>
        <v>BiK82M2bK09-07</v>
      </c>
      <c r="AS2039" s="215" t="str">
        <f t="shared" si="908"/>
        <v/>
      </c>
      <c r="AT2039">
        <f t="shared" si="909"/>
        <v>14</v>
      </c>
      <c r="AU2039" s="216" t="str">
        <f t="shared" si="910"/>
        <v>0,15-0,5 MW, Bonusregeln M2, b und K erstmals 2009</v>
      </c>
      <c r="AV2039" s="215" t="str">
        <f t="shared" si="911"/>
        <v/>
      </c>
      <c r="AW2039" s="216" t="str">
        <f t="shared" si="912"/>
        <v>Anteil KWK, erstmals 2009</v>
      </c>
      <c r="AX2039" s="215" t="str">
        <f t="shared" si="913"/>
        <v/>
      </c>
      <c r="AY2039" t="str">
        <f t="shared" si="914"/>
        <v/>
      </c>
      <c r="AZ2039" t="str">
        <f t="shared" si="915"/>
        <v/>
      </c>
    </row>
    <row r="2040" spans="1:52" s="178" customFormat="1" x14ac:dyDescent="0.25">
      <c r="A2040" s="610" t="s">
        <v>3144</v>
      </c>
      <c r="B2040" s="30" t="s">
        <v>5548</v>
      </c>
      <c r="C2040" s="30" t="s">
        <v>1304</v>
      </c>
      <c r="D2040" s="30" t="s">
        <v>7176</v>
      </c>
      <c r="E2040" s="30" t="s">
        <v>3567</v>
      </c>
      <c r="F2040" s="454">
        <f t="shared" si="922"/>
        <v>22.43</v>
      </c>
      <c r="G2040" s="529">
        <v>22.43</v>
      </c>
      <c r="H2040" s="487">
        <f t="shared" si="923"/>
        <v>17.940000000000001</v>
      </c>
      <c r="I2040" s="706"/>
      <c r="J2040" s="669" t="s">
        <v>5805</v>
      </c>
      <c r="K2040" s="15"/>
      <c r="L2040"/>
      <c r="M2040" s="49">
        <f t="shared" si="924"/>
        <v>22.43</v>
      </c>
      <c r="N2040" s="41">
        <v>9.4600000000000009</v>
      </c>
      <c r="O2040" s="186"/>
      <c r="P2040" s="177"/>
      <c r="R2040" s="178" t="s">
        <v>1017</v>
      </c>
      <c r="S2040" s="178" t="s">
        <v>4180</v>
      </c>
      <c r="T2040" s="178" t="s">
        <v>4180</v>
      </c>
      <c r="U2040" s="179"/>
      <c r="W2040" s="180"/>
      <c r="X2040" s="180"/>
      <c r="Z2040" s="180"/>
      <c r="AA2040" s="184" t="s">
        <v>1017</v>
      </c>
      <c r="AC2040" s="180"/>
      <c r="AD2040" s="182"/>
      <c r="AE2040" s="181" t="s">
        <v>1017</v>
      </c>
      <c r="AF2040" s="180"/>
      <c r="AG2040" s="201"/>
      <c r="AH2040" s="212" t="str">
        <f t="shared" si="930"/>
        <v>2010</v>
      </c>
      <c r="AI2040" s="214" t="str">
        <f t="shared" si="916"/>
        <v/>
      </c>
      <c r="AJ2040" s="214" t="str">
        <f t="shared" si="917"/>
        <v/>
      </c>
      <c r="AK2040" s="214" t="str">
        <f t="shared" si="918"/>
        <v/>
      </c>
      <c r="AL2040" s="214" t="str">
        <f t="shared" si="919"/>
        <v/>
      </c>
      <c r="AM2040" s="214" t="str">
        <f t="shared" si="920"/>
        <v/>
      </c>
      <c r="AN2040" s="213" t="str">
        <f t="shared" si="903"/>
        <v>2010</v>
      </c>
      <c r="AO2040" s="213" t="str">
        <f t="shared" si="904"/>
        <v>2010</v>
      </c>
      <c r="AP2040" s="213" t="str">
        <f t="shared" si="905"/>
        <v>2010</v>
      </c>
      <c r="AQ2040" s="215" t="str">
        <f t="shared" si="906"/>
        <v/>
      </c>
      <c r="AR2040" s="216" t="str">
        <f t="shared" si="907"/>
        <v>BiK82M2bK10-07</v>
      </c>
      <c r="AS2040" s="215" t="str">
        <f t="shared" si="908"/>
        <v/>
      </c>
      <c r="AT2040">
        <f t="shared" si="909"/>
        <v>14</v>
      </c>
      <c r="AU2040" s="216" t="str">
        <f t="shared" si="910"/>
        <v>0,15-0,5 MW, Bonusregeln M2, b und K erstmals 2010</v>
      </c>
      <c r="AV2040" s="215" t="str">
        <f t="shared" si="911"/>
        <v/>
      </c>
      <c r="AW2040" s="216" t="str">
        <f t="shared" si="912"/>
        <v>Anteil KWK, erstmals 2010</v>
      </c>
      <c r="AX2040" s="215" t="str">
        <f t="shared" si="913"/>
        <v/>
      </c>
      <c r="AY2040" t="str">
        <f t="shared" si="914"/>
        <v/>
      </c>
      <c r="AZ2040" t="str">
        <f t="shared" si="915"/>
        <v/>
      </c>
    </row>
    <row r="2041" spans="1:52" s="178" customFormat="1" x14ac:dyDescent="0.25">
      <c r="A2041" s="610" t="s">
        <v>3420</v>
      </c>
      <c r="B2041" s="30" t="s">
        <v>5548</v>
      </c>
      <c r="C2041" s="30" t="s">
        <v>1304</v>
      </c>
      <c r="D2041" s="30" t="s">
        <v>7177</v>
      </c>
      <c r="E2041" s="30" t="s">
        <v>3055</v>
      </c>
      <c r="F2041" s="454">
        <f t="shared" si="922"/>
        <v>22.4</v>
      </c>
      <c r="G2041" s="529">
        <v>22.4</v>
      </c>
      <c r="H2041" s="487">
        <f t="shared" si="923"/>
        <v>17.920000000000002</v>
      </c>
      <c r="I2041" s="706"/>
      <c r="J2041" s="669" t="s">
        <v>5805</v>
      </c>
      <c r="K2041" s="15"/>
      <c r="L2041"/>
      <c r="M2041" s="49">
        <f t="shared" si="924"/>
        <v>22.4</v>
      </c>
      <c r="N2041" s="41">
        <v>9.4600000000000009</v>
      </c>
      <c r="O2041" s="186"/>
      <c r="P2041" s="177"/>
      <c r="S2041" s="178" t="s">
        <v>1017</v>
      </c>
      <c r="T2041" s="178" t="s">
        <v>4180</v>
      </c>
      <c r="U2041" s="179"/>
      <c r="W2041" s="180"/>
      <c r="X2041" s="180"/>
      <c r="Z2041" s="180"/>
      <c r="AA2041" s="184" t="s">
        <v>1017</v>
      </c>
      <c r="AC2041" s="180"/>
      <c r="AD2041" s="182"/>
      <c r="AE2041" s="181" t="s">
        <v>1017</v>
      </c>
      <c r="AF2041" s="180"/>
      <c r="AG2041" s="201"/>
      <c r="AH2041" s="212" t="str">
        <f t="shared" si="930"/>
        <v>2011</v>
      </c>
      <c r="AI2041" s="214" t="str">
        <f t="shared" si="916"/>
        <v/>
      </c>
      <c r="AJ2041" s="214" t="str">
        <f t="shared" si="917"/>
        <v/>
      </c>
      <c r="AK2041" s="214" t="str">
        <f t="shared" si="918"/>
        <v/>
      </c>
      <c r="AL2041" s="214" t="str">
        <f t="shared" si="919"/>
        <v/>
      </c>
      <c r="AM2041" s="214" t="str">
        <f t="shared" si="920"/>
        <v/>
      </c>
      <c r="AN2041" s="213" t="str">
        <f t="shared" si="903"/>
        <v>2011</v>
      </c>
      <c r="AO2041" s="213" t="str">
        <f t="shared" si="904"/>
        <v>2011</v>
      </c>
      <c r="AP2041" s="213" t="str">
        <f t="shared" si="905"/>
        <v>2011</v>
      </c>
      <c r="AQ2041" s="215" t="str">
        <f t="shared" si="906"/>
        <v/>
      </c>
      <c r="AR2041" s="216" t="str">
        <f t="shared" si="907"/>
        <v>BiK82M2bK11-07</v>
      </c>
      <c r="AS2041" s="215" t="str">
        <f t="shared" si="908"/>
        <v/>
      </c>
      <c r="AT2041">
        <f t="shared" si="909"/>
        <v>14</v>
      </c>
      <c r="AU2041" s="216" t="str">
        <f t="shared" si="910"/>
        <v>0,15-0,5 MW, Bonusregeln M2, b und K erstmals 2011</v>
      </c>
      <c r="AV2041" s="215" t="str">
        <f t="shared" si="911"/>
        <v/>
      </c>
      <c r="AW2041" s="216" t="str">
        <f t="shared" si="912"/>
        <v>Anteil KWK, erstmals 2011</v>
      </c>
      <c r="AX2041" s="215" t="str">
        <f t="shared" si="913"/>
        <v/>
      </c>
      <c r="AY2041" t="str">
        <f t="shared" si="914"/>
        <v>x</v>
      </c>
      <c r="AZ2041" t="str">
        <f t="shared" si="915"/>
        <v/>
      </c>
    </row>
    <row r="2042" spans="1:52" s="178" customFormat="1" x14ac:dyDescent="0.25">
      <c r="A2042" s="625" t="s">
        <v>1852</v>
      </c>
      <c r="B2042" s="219" t="s">
        <v>5548</v>
      </c>
      <c r="C2042" s="219" t="s">
        <v>1304</v>
      </c>
      <c r="D2042" s="219" t="s">
        <v>7178</v>
      </c>
      <c r="E2042" s="219" t="s">
        <v>1980</v>
      </c>
      <c r="F2042" s="455">
        <f t="shared" si="922"/>
        <v>22.37</v>
      </c>
      <c r="G2042" s="530">
        <v>22.37</v>
      </c>
      <c r="H2042" s="488">
        <f t="shared" si="923"/>
        <v>17.899999999999999</v>
      </c>
      <c r="I2042" s="707"/>
      <c r="J2042" s="669" t="s">
        <v>5805</v>
      </c>
      <c r="K2042" s="15"/>
      <c r="L2042"/>
      <c r="M2042" s="49">
        <f t="shared" si="924"/>
        <v>22.37</v>
      </c>
      <c r="N2042" s="41">
        <v>9.4600000000000009</v>
      </c>
      <c r="O2042" s="186"/>
      <c r="P2042" s="177"/>
      <c r="S2042" s="178" t="s">
        <v>4180</v>
      </c>
      <c r="T2042" s="178" t="s">
        <v>1017</v>
      </c>
      <c r="U2042" s="179"/>
      <c r="W2042" s="180"/>
      <c r="X2042" s="180"/>
      <c r="Z2042" s="180"/>
      <c r="AA2042" s="184" t="s">
        <v>1017</v>
      </c>
      <c r="AC2042" s="180"/>
      <c r="AD2042" s="182"/>
      <c r="AE2042" s="181" t="s">
        <v>1017</v>
      </c>
      <c r="AF2042" s="180"/>
      <c r="AG2042" s="201"/>
      <c r="AH2042" s="217" t="s">
        <v>4179</v>
      </c>
      <c r="AI2042" s="214" t="str">
        <f t="shared" si="916"/>
        <v/>
      </c>
      <c r="AJ2042" s="214" t="str">
        <f t="shared" si="917"/>
        <v/>
      </c>
      <c r="AK2042" s="214" t="str">
        <f t="shared" si="918"/>
        <v/>
      </c>
      <c r="AL2042" s="214" t="str">
        <f t="shared" si="919"/>
        <v/>
      </c>
      <c r="AM2042" s="214" t="str">
        <f t="shared" si="920"/>
        <v/>
      </c>
      <c r="AN2042" s="213" t="str">
        <f t="shared" si="903"/>
        <v>2012</v>
      </c>
      <c r="AO2042" s="213" t="str">
        <f t="shared" si="904"/>
        <v>2012</v>
      </c>
      <c r="AP2042" s="213" t="str">
        <f t="shared" si="905"/>
        <v>2012</v>
      </c>
      <c r="AQ2042" s="215" t="str">
        <f t="shared" si="906"/>
        <v/>
      </c>
      <c r="AR2042" s="216" t="str">
        <f t="shared" si="907"/>
        <v>BiK82M2bK12-07</v>
      </c>
      <c r="AS2042" s="215" t="str">
        <f t="shared" si="908"/>
        <v/>
      </c>
      <c r="AT2042">
        <f t="shared" si="909"/>
        <v>14</v>
      </c>
      <c r="AU2042" s="216" t="str">
        <f t="shared" si="910"/>
        <v>0,15-0,5 MW, Bonusregeln M2, b und K erstmals 2012</v>
      </c>
      <c r="AV2042" s="215" t="str">
        <f t="shared" si="911"/>
        <v/>
      </c>
      <c r="AW2042" s="216" t="str">
        <f t="shared" si="912"/>
        <v>Anteil KWK, erstmals 2012</v>
      </c>
      <c r="AX2042" s="215" t="str">
        <f t="shared" si="913"/>
        <v/>
      </c>
      <c r="AY2042" t="str">
        <f t="shared" si="914"/>
        <v/>
      </c>
      <c r="AZ2042" t="str">
        <f t="shared" si="915"/>
        <v>x</v>
      </c>
    </row>
    <row r="2043" spans="1:52" s="178" customFormat="1" x14ac:dyDescent="0.25">
      <c r="A2043" s="610" t="s">
        <v>4725</v>
      </c>
      <c r="B2043" s="30" t="s">
        <v>5548</v>
      </c>
      <c r="C2043" s="30" t="s">
        <v>1304</v>
      </c>
      <c r="D2043" s="30" t="s">
        <v>7179</v>
      </c>
      <c r="E2043" s="30" t="s">
        <v>4810</v>
      </c>
      <c r="F2043" s="454">
        <f t="shared" si="922"/>
        <v>20.46</v>
      </c>
      <c r="G2043" s="529">
        <v>20.46</v>
      </c>
      <c r="H2043" s="487">
        <f t="shared" si="923"/>
        <v>16.37</v>
      </c>
      <c r="I2043" s="706"/>
      <c r="J2043" s="669" t="s">
        <v>5805</v>
      </c>
      <c r="K2043" s="15"/>
      <c r="L2043"/>
      <c r="M2043" s="49">
        <f t="shared" si="924"/>
        <v>20.46</v>
      </c>
      <c r="N2043" s="41">
        <v>9.4600000000000009</v>
      </c>
      <c r="O2043" s="187"/>
      <c r="P2043" s="183"/>
      <c r="Q2043" s="184"/>
      <c r="R2043" s="184"/>
      <c r="S2043" s="184" t="s">
        <v>4180</v>
      </c>
      <c r="T2043" s="178" t="s">
        <v>4180</v>
      </c>
      <c r="U2043" s="185" t="s">
        <v>1017</v>
      </c>
      <c r="V2043" s="184"/>
      <c r="W2043" s="180"/>
      <c r="X2043" s="180"/>
      <c r="Z2043" s="180"/>
      <c r="AA2043" s="184" t="s">
        <v>1017</v>
      </c>
      <c r="AB2043" s="184"/>
      <c r="AC2043" s="180"/>
      <c r="AD2043" s="182"/>
      <c r="AE2043" s="181" t="s">
        <v>1017</v>
      </c>
      <c r="AF2043" s="180"/>
      <c r="AG2043" s="201"/>
      <c r="AH2043" s="212" t="str">
        <f t="shared" ref="AH2043:AH2048" si="931">IF(ISERROR(SEARCH("K erstmals 201",D2043)),"",RIGHT(D2043,4))</f>
        <v/>
      </c>
      <c r="AI2043" s="214" t="str">
        <f t="shared" si="916"/>
        <v/>
      </c>
      <c r="AJ2043" s="214" t="str">
        <f t="shared" si="917"/>
        <v/>
      </c>
      <c r="AK2043" s="214" t="str">
        <f t="shared" si="918"/>
        <v/>
      </c>
      <c r="AL2043" s="214" t="str">
        <f t="shared" si="919"/>
        <v/>
      </c>
      <c r="AM2043" s="214" t="str">
        <f t="shared" si="920"/>
        <v/>
      </c>
      <c r="AN2043" s="213" t="str">
        <f t="shared" si="903"/>
        <v/>
      </c>
      <c r="AO2043" s="213" t="str">
        <f t="shared" si="904"/>
        <v/>
      </c>
      <c r="AP2043" s="213" t="str">
        <f t="shared" si="905"/>
        <v/>
      </c>
      <c r="AQ2043" s="215" t="str">
        <f t="shared" si="906"/>
        <v/>
      </c>
      <c r="AR2043" s="216" t="str">
        <f t="shared" si="907"/>
        <v>BiK82M2by---07</v>
      </c>
      <c r="AS2043" s="215" t="str">
        <f t="shared" si="908"/>
        <v/>
      </c>
      <c r="AT2043">
        <f t="shared" si="909"/>
        <v>14</v>
      </c>
      <c r="AU2043" s="216" t="str">
        <f t="shared" si="910"/>
        <v>0,15-0,5 MW, Bonusregeln M2, y, b</v>
      </c>
      <c r="AV2043" s="215" t="str">
        <f t="shared" si="911"/>
        <v/>
      </c>
      <c r="AW2043" s="216" t="str">
        <f t="shared" si="912"/>
        <v>Anteil Nicht-KWK</v>
      </c>
      <c r="AX2043" s="215" t="str">
        <f t="shared" si="913"/>
        <v/>
      </c>
      <c r="AY2043" t="str">
        <f t="shared" si="914"/>
        <v/>
      </c>
      <c r="AZ2043" t="str">
        <f t="shared" si="915"/>
        <v/>
      </c>
    </row>
    <row r="2044" spans="1:52" s="178" customFormat="1" x14ac:dyDescent="0.25">
      <c r="A2044" s="610" t="s">
        <v>4726</v>
      </c>
      <c r="B2044" s="30" t="s">
        <v>5548</v>
      </c>
      <c r="C2044" s="30" t="s">
        <v>1304</v>
      </c>
      <c r="D2044" s="30" t="s">
        <v>7180</v>
      </c>
      <c r="E2044" s="30" t="s">
        <v>4812</v>
      </c>
      <c r="F2044" s="454">
        <f t="shared" si="922"/>
        <v>22.46</v>
      </c>
      <c r="G2044" s="529">
        <v>22.46</v>
      </c>
      <c r="H2044" s="487">
        <f t="shared" si="923"/>
        <v>17.97</v>
      </c>
      <c r="I2044" s="706"/>
      <c r="J2044" s="669" t="s">
        <v>5805</v>
      </c>
      <c r="K2044" s="15"/>
      <c r="L2044"/>
      <c r="M2044" s="49">
        <f t="shared" si="924"/>
        <v>22.46</v>
      </c>
      <c r="N2044" s="41">
        <v>9.4600000000000009</v>
      </c>
      <c r="O2044" s="187" t="s">
        <v>1017</v>
      </c>
      <c r="P2044" s="183"/>
      <c r="Q2044" s="184"/>
      <c r="R2044" s="184"/>
      <c r="S2044" s="184" t="s">
        <v>4180</v>
      </c>
      <c r="T2044" s="178" t="s">
        <v>4180</v>
      </c>
      <c r="U2044" s="185" t="s">
        <v>1017</v>
      </c>
      <c r="V2044" s="184"/>
      <c r="W2044" s="180"/>
      <c r="X2044" s="180"/>
      <c r="Z2044" s="180"/>
      <c r="AA2044" s="184" t="s">
        <v>1017</v>
      </c>
      <c r="AB2044" s="184"/>
      <c r="AC2044" s="180"/>
      <c r="AD2044" s="182"/>
      <c r="AE2044" s="181" t="s">
        <v>1017</v>
      </c>
      <c r="AF2044" s="180"/>
      <c r="AG2044" s="201"/>
      <c r="AH2044" s="212" t="str">
        <f t="shared" si="931"/>
        <v/>
      </c>
      <c r="AI2044" s="214" t="str">
        <f t="shared" si="916"/>
        <v/>
      </c>
      <c r="AJ2044" s="214" t="str">
        <f t="shared" si="917"/>
        <v/>
      </c>
      <c r="AK2044" s="214" t="str">
        <f t="shared" si="918"/>
        <v/>
      </c>
      <c r="AL2044" s="214" t="str">
        <f t="shared" si="919"/>
        <v/>
      </c>
      <c r="AM2044" s="214" t="str">
        <f t="shared" si="920"/>
        <v/>
      </c>
      <c r="AN2044" s="213" t="str">
        <f t="shared" si="903"/>
        <v/>
      </c>
      <c r="AO2044" s="213" t="str">
        <f t="shared" si="904"/>
        <v/>
      </c>
      <c r="AP2044" s="213" t="str">
        <f t="shared" si="905"/>
        <v/>
      </c>
      <c r="AQ2044" s="215" t="str">
        <f t="shared" si="906"/>
        <v/>
      </c>
      <c r="AR2044" s="216" t="str">
        <f t="shared" si="907"/>
        <v>BiK82M2bKWKy07</v>
      </c>
      <c r="AS2044" s="215" t="str">
        <f t="shared" si="908"/>
        <v/>
      </c>
      <c r="AT2044">
        <f t="shared" si="909"/>
        <v>14</v>
      </c>
      <c r="AU2044" s="216" t="str">
        <f t="shared" si="910"/>
        <v>0,15-0,5 MW, Bonusregeln M2, y, b und KWK</v>
      </c>
      <c r="AV2044" s="215" t="str">
        <f t="shared" si="911"/>
        <v/>
      </c>
      <c r="AW2044" s="216" t="str">
        <f t="shared" si="912"/>
        <v>Anteil KWK</v>
      </c>
      <c r="AX2044" s="215" t="str">
        <f t="shared" si="913"/>
        <v/>
      </c>
      <c r="AY2044" t="str">
        <f t="shared" si="914"/>
        <v/>
      </c>
      <c r="AZ2044" t="str">
        <f t="shared" si="915"/>
        <v/>
      </c>
    </row>
    <row r="2045" spans="1:52" s="178" customFormat="1" x14ac:dyDescent="0.25">
      <c r="A2045" s="610" t="s">
        <v>4727</v>
      </c>
      <c r="B2045" s="30" t="s">
        <v>5548</v>
      </c>
      <c r="C2045" s="30" t="s">
        <v>1304</v>
      </c>
      <c r="D2045" s="109" t="s">
        <v>7181</v>
      </c>
      <c r="E2045" s="30" t="s">
        <v>4331</v>
      </c>
      <c r="F2045" s="454">
        <f t="shared" si="922"/>
        <v>23.46</v>
      </c>
      <c r="G2045" s="529">
        <v>23.46</v>
      </c>
      <c r="H2045" s="487">
        <f t="shared" si="923"/>
        <v>18.77</v>
      </c>
      <c r="I2045" s="706"/>
      <c r="J2045" s="669" t="s">
        <v>5805</v>
      </c>
      <c r="K2045" s="15"/>
      <c r="L2045"/>
      <c r="M2045" s="49">
        <f t="shared" si="924"/>
        <v>23.46</v>
      </c>
      <c r="N2045" s="41">
        <v>9.4600000000000009</v>
      </c>
      <c r="O2045" s="187"/>
      <c r="P2045" s="184" t="s">
        <v>1017</v>
      </c>
      <c r="Q2045" s="184"/>
      <c r="R2045" s="184"/>
      <c r="S2045" s="184" t="s">
        <v>4180</v>
      </c>
      <c r="T2045" s="178" t="s">
        <v>4180</v>
      </c>
      <c r="U2045" s="185" t="s">
        <v>1017</v>
      </c>
      <c r="V2045" s="184"/>
      <c r="W2045" s="180"/>
      <c r="X2045" s="180"/>
      <c r="Z2045" s="180"/>
      <c r="AA2045" s="184" t="s">
        <v>1017</v>
      </c>
      <c r="AB2045" s="184"/>
      <c r="AC2045" s="180"/>
      <c r="AD2045" s="182"/>
      <c r="AE2045" s="181" t="s">
        <v>1017</v>
      </c>
      <c r="AF2045" s="180"/>
      <c r="AG2045" s="201"/>
      <c r="AH2045" s="212" t="str">
        <f t="shared" si="931"/>
        <v/>
      </c>
      <c r="AI2045" s="214" t="str">
        <f t="shared" si="916"/>
        <v/>
      </c>
      <c r="AJ2045" s="214" t="str">
        <f t="shared" si="917"/>
        <v/>
      </c>
      <c r="AK2045" s="214" t="str">
        <f t="shared" si="918"/>
        <v/>
      </c>
      <c r="AL2045" s="214" t="str">
        <f t="shared" si="919"/>
        <v/>
      </c>
      <c r="AM2045" s="214" t="str">
        <f t="shared" si="920"/>
        <v/>
      </c>
      <c r="AN2045" s="213" t="str">
        <f t="shared" si="903"/>
        <v/>
      </c>
      <c r="AO2045" s="213" t="str">
        <f t="shared" si="904"/>
        <v/>
      </c>
      <c r="AP2045" s="213" t="str">
        <f t="shared" si="905"/>
        <v/>
      </c>
      <c r="AQ2045" s="215" t="str">
        <f t="shared" si="906"/>
        <v/>
      </c>
      <c r="AR2045" s="216" t="str">
        <f t="shared" si="907"/>
        <v>BiK82M2bKA3y07</v>
      </c>
      <c r="AS2045" s="215" t="str">
        <f t="shared" si="908"/>
        <v/>
      </c>
      <c r="AT2045">
        <f t="shared" si="909"/>
        <v>14</v>
      </c>
      <c r="AU2045" s="216" t="str">
        <f t="shared" si="910"/>
        <v>0,15-0,5 MW, Bonusregeln M2, y, b und K wenn Anlage 3 erfüllt</v>
      </c>
      <c r="AV2045" s="215" t="str">
        <f t="shared" si="911"/>
        <v/>
      </c>
      <c r="AW2045" s="216" t="str">
        <f t="shared" si="912"/>
        <v>Anteil KWK gemäß Anlage 3</v>
      </c>
      <c r="AX2045" s="215" t="str">
        <f t="shared" si="913"/>
        <v/>
      </c>
      <c r="AY2045" t="str">
        <f t="shared" si="914"/>
        <v/>
      </c>
      <c r="AZ2045" t="str">
        <f t="shared" si="915"/>
        <v/>
      </c>
    </row>
    <row r="2046" spans="1:52" s="178" customFormat="1" x14ac:dyDescent="0.25">
      <c r="A2046" s="610" t="s">
        <v>4728</v>
      </c>
      <c r="B2046" s="30" t="s">
        <v>5548</v>
      </c>
      <c r="C2046" s="30" t="s">
        <v>1304</v>
      </c>
      <c r="D2046" s="30" t="s">
        <v>7182</v>
      </c>
      <c r="E2046" s="30" t="s">
        <v>674</v>
      </c>
      <c r="F2046" s="454">
        <f t="shared" si="922"/>
        <v>23.46</v>
      </c>
      <c r="G2046" s="529">
        <v>23.46</v>
      </c>
      <c r="H2046" s="487">
        <f t="shared" si="923"/>
        <v>18.77</v>
      </c>
      <c r="I2046" s="706"/>
      <c r="J2046" s="669" t="s">
        <v>5805</v>
      </c>
      <c r="K2046" s="15"/>
      <c r="L2046"/>
      <c r="M2046" s="49">
        <f t="shared" si="924"/>
        <v>23.46</v>
      </c>
      <c r="N2046" s="41">
        <v>9.4600000000000009</v>
      </c>
      <c r="O2046" s="187"/>
      <c r="P2046" s="183"/>
      <c r="Q2046" s="184" t="s">
        <v>1017</v>
      </c>
      <c r="R2046" s="184"/>
      <c r="S2046" s="184" t="s">
        <v>4180</v>
      </c>
      <c r="T2046" s="178" t="s">
        <v>4180</v>
      </c>
      <c r="U2046" s="185" t="s">
        <v>1017</v>
      </c>
      <c r="V2046" s="184"/>
      <c r="W2046" s="180"/>
      <c r="X2046" s="180"/>
      <c r="Z2046" s="180"/>
      <c r="AA2046" s="184" t="s">
        <v>1017</v>
      </c>
      <c r="AB2046" s="184"/>
      <c r="AC2046" s="180"/>
      <c r="AD2046" s="182"/>
      <c r="AE2046" s="181" t="s">
        <v>1017</v>
      </c>
      <c r="AF2046" s="180"/>
      <c r="AG2046" s="201"/>
      <c r="AH2046" s="212" t="str">
        <f t="shared" si="931"/>
        <v/>
      </c>
      <c r="AI2046" s="214" t="str">
        <f t="shared" si="916"/>
        <v/>
      </c>
      <c r="AJ2046" s="214" t="str">
        <f t="shared" si="917"/>
        <v/>
      </c>
      <c r="AK2046" s="214" t="str">
        <f t="shared" si="918"/>
        <v/>
      </c>
      <c r="AL2046" s="214" t="str">
        <f t="shared" si="919"/>
        <v/>
      </c>
      <c r="AM2046" s="214" t="str">
        <f t="shared" si="920"/>
        <v/>
      </c>
      <c r="AN2046" s="213" t="str">
        <f t="shared" si="903"/>
        <v/>
      </c>
      <c r="AO2046" s="213" t="str">
        <f t="shared" si="904"/>
        <v/>
      </c>
      <c r="AP2046" s="213" t="str">
        <f t="shared" si="905"/>
        <v/>
      </c>
      <c r="AQ2046" s="215" t="str">
        <f t="shared" si="906"/>
        <v/>
      </c>
      <c r="AR2046" s="216" t="str">
        <f t="shared" si="907"/>
        <v>BiK82M2bK09y07</v>
      </c>
      <c r="AS2046" s="215" t="str">
        <f t="shared" si="908"/>
        <v/>
      </c>
      <c r="AT2046">
        <f t="shared" si="909"/>
        <v>14</v>
      </c>
      <c r="AU2046" s="216" t="str">
        <f t="shared" si="910"/>
        <v>0,15-0,5 MW, Bonusregeln M2, y, b und K erstmals 2009</v>
      </c>
      <c r="AV2046" s="215" t="str">
        <f t="shared" si="911"/>
        <v/>
      </c>
      <c r="AW2046" s="216" t="str">
        <f t="shared" si="912"/>
        <v>Anteil KWK, erstmals 2009</v>
      </c>
      <c r="AX2046" s="215" t="str">
        <f t="shared" si="913"/>
        <v/>
      </c>
      <c r="AY2046" t="str">
        <f t="shared" si="914"/>
        <v/>
      </c>
      <c r="AZ2046" t="str">
        <f t="shared" si="915"/>
        <v/>
      </c>
    </row>
    <row r="2047" spans="1:52" s="178" customFormat="1" x14ac:dyDescent="0.25">
      <c r="A2047" s="610" t="s">
        <v>3145</v>
      </c>
      <c r="B2047" s="30" t="s">
        <v>5548</v>
      </c>
      <c r="C2047" s="30" t="s">
        <v>1304</v>
      </c>
      <c r="D2047" s="30" t="s">
        <v>7183</v>
      </c>
      <c r="E2047" s="30" t="s">
        <v>3567</v>
      </c>
      <c r="F2047" s="454">
        <f t="shared" si="922"/>
        <v>23.43</v>
      </c>
      <c r="G2047" s="529">
        <v>23.43</v>
      </c>
      <c r="H2047" s="487">
        <f t="shared" si="923"/>
        <v>18.739999999999998</v>
      </c>
      <c r="I2047" s="706"/>
      <c r="J2047" s="669" t="s">
        <v>5805</v>
      </c>
      <c r="K2047" s="15"/>
      <c r="L2047"/>
      <c r="M2047" s="49">
        <f t="shared" si="924"/>
        <v>23.43</v>
      </c>
      <c r="N2047" s="41">
        <v>9.4600000000000009</v>
      </c>
      <c r="O2047" s="187"/>
      <c r="P2047" s="183"/>
      <c r="Q2047" s="184"/>
      <c r="R2047" s="184" t="s">
        <v>1017</v>
      </c>
      <c r="S2047" s="184" t="s">
        <v>4180</v>
      </c>
      <c r="T2047" s="178" t="s">
        <v>4180</v>
      </c>
      <c r="U2047" s="185" t="s">
        <v>1017</v>
      </c>
      <c r="V2047" s="184"/>
      <c r="W2047" s="180"/>
      <c r="X2047" s="180"/>
      <c r="Z2047" s="180"/>
      <c r="AA2047" s="184" t="s">
        <v>1017</v>
      </c>
      <c r="AB2047" s="184"/>
      <c r="AC2047" s="180"/>
      <c r="AD2047" s="182"/>
      <c r="AE2047" s="181" t="s">
        <v>1017</v>
      </c>
      <c r="AF2047" s="180"/>
      <c r="AG2047" s="201"/>
      <c r="AH2047" s="212" t="str">
        <f t="shared" si="931"/>
        <v>2010</v>
      </c>
      <c r="AI2047" s="214" t="str">
        <f t="shared" si="916"/>
        <v/>
      </c>
      <c r="AJ2047" s="214" t="str">
        <f t="shared" si="917"/>
        <v/>
      </c>
      <c r="AK2047" s="214" t="str">
        <f t="shared" si="918"/>
        <v/>
      </c>
      <c r="AL2047" s="214" t="str">
        <f t="shared" si="919"/>
        <v/>
      </c>
      <c r="AM2047" s="214" t="str">
        <f t="shared" si="920"/>
        <v/>
      </c>
      <c r="AN2047" s="213" t="str">
        <f t="shared" si="903"/>
        <v>2010</v>
      </c>
      <c r="AO2047" s="213" t="str">
        <f t="shared" si="904"/>
        <v>2010</v>
      </c>
      <c r="AP2047" s="213" t="str">
        <f t="shared" si="905"/>
        <v>2010</v>
      </c>
      <c r="AQ2047" s="215" t="str">
        <f t="shared" si="906"/>
        <v/>
      </c>
      <c r="AR2047" s="216" t="str">
        <f t="shared" si="907"/>
        <v>BiK82M2bK10y07</v>
      </c>
      <c r="AS2047" s="215" t="str">
        <f t="shared" si="908"/>
        <v/>
      </c>
      <c r="AT2047">
        <f t="shared" si="909"/>
        <v>14</v>
      </c>
      <c r="AU2047" s="216" t="str">
        <f t="shared" si="910"/>
        <v>0,15-0,5 MW, Bonusregeln M2, y, b und K erstmals 2010</v>
      </c>
      <c r="AV2047" s="215" t="str">
        <f t="shared" si="911"/>
        <v/>
      </c>
      <c r="AW2047" s="216" t="str">
        <f t="shared" si="912"/>
        <v>Anteil KWK, erstmals 2010</v>
      </c>
      <c r="AX2047" s="215" t="str">
        <f t="shared" si="913"/>
        <v/>
      </c>
      <c r="AY2047" t="str">
        <f t="shared" si="914"/>
        <v/>
      </c>
      <c r="AZ2047" t="str">
        <f t="shared" si="915"/>
        <v/>
      </c>
    </row>
    <row r="2048" spans="1:52" s="178" customFormat="1" x14ac:dyDescent="0.25">
      <c r="A2048" s="610" t="s">
        <v>3421</v>
      </c>
      <c r="B2048" s="30" t="s">
        <v>5548</v>
      </c>
      <c r="C2048" s="30" t="s">
        <v>1304</v>
      </c>
      <c r="D2048" s="30" t="s">
        <v>7184</v>
      </c>
      <c r="E2048" s="30" t="s">
        <v>3055</v>
      </c>
      <c r="F2048" s="454">
        <f t="shared" si="922"/>
        <v>23.4</v>
      </c>
      <c r="G2048" s="529">
        <v>23.4</v>
      </c>
      <c r="H2048" s="487">
        <f t="shared" si="923"/>
        <v>18.72</v>
      </c>
      <c r="I2048" s="706"/>
      <c r="J2048" s="669" t="s">
        <v>5805</v>
      </c>
      <c r="K2048" s="15"/>
      <c r="L2048"/>
      <c r="M2048" s="49">
        <f t="shared" si="924"/>
        <v>23.4</v>
      </c>
      <c r="N2048" s="41">
        <v>9.4600000000000009</v>
      </c>
      <c r="O2048" s="187"/>
      <c r="P2048" s="183"/>
      <c r="Q2048" s="184"/>
      <c r="S2048" s="184" t="s">
        <v>1017</v>
      </c>
      <c r="T2048" s="178" t="s">
        <v>4180</v>
      </c>
      <c r="U2048" s="185" t="s">
        <v>1017</v>
      </c>
      <c r="V2048" s="184"/>
      <c r="W2048" s="180"/>
      <c r="X2048" s="180"/>
      <c r="Z2048" s="180"/>
      <c r="AA2048" s="184" t="s">
        <v>1017</v>
      </c>
      <c r="AB2048" s="184"/>
      <c r="AC2048" s="180"/>
      <c r="AD2048" s="182"/>
      <c r="AE2048" s="181" t="s">
        <v>1017</v>
      </c>
      <c r="AF2048" s="180"/>
      <c r="AG2048" s="201"/>
      <c r="AH2048" s="212" t="str">
        <f t="shared" si="931"/>
        <v>2011</v>
      </c>
      <c r="AI2048" s="214" t="str">
        <f t="shared" si="916"/>
        <v/>
      </c>
      <c r="AJ2048" s="214" t="str">
        <f t="shared" si="917"/>
        <v/>
      </c>
      <c r="AK2048" s="214" t="str">
        <f t="shared" si="918"/>
        <v/>
      </c>
      <c r="AL2048" s="214" t="str">
        <f t="shared" si="919"/>
        <v/>
      </c>
      <c r="AM2048" s="214" t="str">
        <f t="shared" si="920"/>
        <v/>
      </c>
      <c r="AN2048" s="213" t="str">
        <f t="shared" si="903"/>
        <v>2011</v>
      </c>
      <c r="AO2048" s="213" t="str">
        <f t="shared" si="904"/>
        <v>2011</v>
      </c>
      <c r="AP2048" s="213" t="str">
        <f t="shared" si="905"/>
        <v>2011</v>
      </c>
      <c r="AQ2048" s="215" t="str">
        <f t="shared" si="906"/>
        <v/>
      </c>
      <c r="AR2048" s="216" t="str">
        <f t="shared" si="907"/>
        <v>BiK82M2bK11y07</v>
      </c>
      <c r="AS2048" s="215" t="str">
        <f t="shared" si="908"/>
        <v/>
      </c>
      <c r="AT2048">
        <f t="shared" si="909"/>
        <v>14</v>
      </c>
      <c r="AU2048" s="216" t="str">
        <f t="shared" si="910"/>
        <v>0,15-0,5 MW, Bonusregeln M2, y, b und K erstmals 2011</v>
      </c>
      <c r="AV2048" s="215" t="str">
        <f t="shared" si="911"/>
        <v/>
      </c>
      <c r="AW2048" s="216" t="str">
        <f t="shared" si="912"/>
        <v>Anteil KWK, erstmals 2011</v>
      </c>
      <c r="AX2048" s="215" t="str">
        <f t="shared" si="913"/>
        <v/>
      </c>
      <c r="AY2048" t="str">
        <f t="shared" si="914"/>
        <v>x</v>
      </c>
      <c r="AZ2048" t="str">
        <f t="shared" si="915"/>
        <v/>
      </c>
    </row>
    <row r="2049" spans="1:52" s="178" customFormat="1" x14ac:dyDescent="0.25">
      <c r="A2049" s="625" t="s">
        <v>1853</v>
      </c>
      <c r="B2049" s="219" t="s">
        <v>5548</v>
      </c>
      <c r="C2049" s="219" t="s">
        <v>1304</v>
      </c>
      <c r="D2049" s="219" t="s">
        <v>7185</v>
      </c>
      <c r="E2049" s="219" t="s">
        <v>1980</v>
      </c>
      <c r="F2049" s="455">
        <f t="shared" si="922"/>
        <v>23.37</v>
      </c>
      <c r="G2049" s="530">
        <v>23.37</v>
      </c>
      <c r="H2049" s="488">
        <f t="shared" si="923"/>
        <v>18.7</v>
      </c>
      <c r="I2049" s="707"/>
      <c r="J2049" s="669" t="s">
        <v>5805</v>
      </c>
      <c r="K2049" s="15"/>
      <c r="L2049"/>
      <c r="M2049" s="49">
        <f t="shared" si="924"/>
        <v>23.37</v>
      </c>
      <c r="N2049" s="41">
        <v>9.4600000000000009</v>
      </c>
      <c r="O2049" s="187"/>
      <c r="P2049" s="183"/>
      <c r="Q2049" s="184"/>
      <c r="S2049" s="184" t="s">
        <v>4180</v>
      </c>
      <c r="T2049" s="178" t="s">
        <v>1017</v>
      </c>
      <c r="U2049" s="185" t="s">
        <v>1017</v>
      </c>
      <c r="V2049" s="184"/>
      <c r="W2049" s="180"/>
      <c r="X2049" s="180"/>
      <c r="Z2049" s="180"/>
      <c r="AA2049" s="184" t="s">
        <v>1017</v>
      </c>
      <c r="AB2049" s="184"/>
      <c r="AC2049" s="180"/>
      <c r="AD2049" s="182"/>
      <c r="AE2049" s="181" t="s">
        <v>1017</v>
      </c>
      <c r="AF2049" s="180"/>
      <c r="AG2049" s="201"/>
      <c r="AH2049" s="217" t="s">
        <v>4179</v>
      </c>
      <c r="AI2049" s="214" t="str">
        <f t="shared" si="916"/>
        <v/>
      </c>
      <c r="AJ2049" s="214" t="str">
        <f t="shared" si="917"/>
        <v/>
      </c>
      <c r="AK2049" s="214" t="str">
        <f t="shared" si="918"/>
        <v/>
      </c>
      <c r="AL2049" s="214" t="str">
        <f t="shared" si="919"/>
        <v/>
      </c>
      <c r="AM2049" s="214" t="str">
        <f t="shared" si="920"/>
        <v/>
      </c>
      <c r="AN2049" s="213" t="str">
        <f t="shared" si="903"/>
        <v>2012</v>
      </c>
      <c r="AO2049" s="213" t="str">
        <f t="shared" si="904"/>
        <v>2012</v>
      </c>
      <c r="AP2049" s="213" t="str">
        <f t="shared" si="905"/>
        <v>2012</v>
      </c>
      <c r="AQ2049" s="215" t="str">
        <f t="shared" si="906"/>
        <v/>
      </c>
      <c r="AR2049" s="216" t="str">
        <f t="shared" si="907"/>
        <v>BiK82M2bK12y07</v>
      </c>
      <c r="AS2049" s="215" t="str">
        <f t="shared" si="908"/>
        <v/>
      </c>
      <c r="AT2049">
        <f t="shared" si="909"/>
        <v>14</v>
      </c>
      <c r="AU2049" s="216" t="str">
        <f t="shared" si="910"/>
        <v>0,15-0,5 MW, Bonusregeln M2, y, b und K erstmals 2012</v>
      </c>
      <c r="AV2049" s="215" t="str">
        <f t="shared" si="911"/>
        <v/>
      </c>
      <c r="AW2049" s="216" t="str">
        <f t="shared" si="912"/>
        <v>Anteil KWK, erstmals 2012</v>
      </c>
      <c r="AX2049" s="215" t="str">
        <f t="shared" si="913"/>
        <v/>
      </c>
      <c r="AY2049" t="str">
        <f t="shared" si="914"/>
        <v/>
      </c>
      <c r="AZ2049" t="str">
        <f t="shared" si="915"/>
        <v>x</v>
      </c>
    </row>
    <row r="2050" spans="1:52" s="178" customFormat="1" x14ac:dyDescent="0.25">
      <c r="A2050" s="610" t="s">
        <v>683</v>
      </c>
      <c r="B2050" s="30" t="s">
        <v>5548</v>
      </c>
      <c r="C2050" s="30" t="s">
        <v>1304</v>
      </c>
      <c r="D2050" s="30" t="s">
        <v>7186</v>
      </c>
      <c r="E2050" s="30" t="s">
        <v>4810</v>
      </c>
      <c r="F2050" s="454">
        <f t="shared" si="922"/>
        <v>20.46</v>
      </c>
      <c r="G2050" s="529">
        <v>20.46</v>
      </c>
      <c r="H2050" s="487">
        <f t="shared" si="923"/>
        <v>16.37</v>
      </c>
      <c r="I2050" s="706"/>
      <c r="J2050" s="669" t="s">
        <v>5805</v>
      </c>
      <c r="K2050" s="15"/>
      <c r="L2050"/>
      <c r="M2050" s="49">
        <f t="shared" si="924"/>
        <v>20.46</v>
      </c>
      <c r="N2050" s="41">
        <v>9.4600000000000009</v>
      </c>
      <c r="O2050" s="186"/>
      <c r="P2050" s="177"/>
      <c r="S2050" s="178" t="s">
        <v>4180</v>
      </c>
      <c r="T2050" s="178" t="s">
        <v>4180</v>
      </c>
      <c r="U2050" s="179"/>
      <c r="W2050" s="180"/>
      <c r="X2050" s="180"/>
      <c r="Z2050" s="180"/>
      <c r="AA2050" s="184"/>
      <c r="AB2050" s="178" t="s">
        <v>1017</v>
      </c>
      <c r="AC2050" s="180"/>
      <c r="AD2050" s="182"/>
      <c r="AE2050" s="181" t="s">
        <v>1017</v>
      </c>
      <c r="AF2050" s="180"/>
      <c r="AG2050" s="201"/>
      <c r="AH2050" s="212" t="str">
        <f t="shared" ref="AH2050:AH2055" si="932">IF(ISERROR(SEARCH("K erstmals 201",D2050)),"",RIGHT(D2050,4))</f>
        <v/>
      </c>
      <c r="AI2050" s="214" t="str">
        <f t="shared" si="916"/>
        <v/>
      </c>
      <c r="AJ2050" s="214" t="str">
        <f t="shared" si="917"/>
        <v/>
      </c>
      <c r="AK2050" s="214" t="str">
        <f t="shared" si="918"/>
        <v/>
      </c>
      <c r="AL2050" s="214" t="str">
        <f t="shared" si="919"/>
        <v/>
      </c>
      <c r="AM2050" s="214" t="str">
        <f t="shared" si="920"/>
        <v/>
      </c>
      <c r="AN2050" s="213" t="str">
        <f t="shared" si="903"/>
        <v/>
      </c>
      <c r="AO2050" s="213" t="str">
        <f t="shared" si="904"/>
        <v/>
      </c>
      <c r="AP2050" s="213" t="str">
        <f t="shared" si="905"/>
        <v/>
      </c>
      <c r="AQ2050" s="215" t="str">
        <f t="shared" si="906"/>
        <v/>
      </c>
      <c r="AR2050" s="216" t="str">
        <f t="shared" si="907"/>
        <v>BiK82Lb-----07</v>
      </c>
      <c r="AS2050" s="215" t="str">
        <f t="shared" si="908"/>
        <v/>
      </c>
      <c r="AT2050">
        <f t="shared" si="909"/>
        <v>14</v>
      </c>
      <c r="AU2050" s="216" t="str">
        <f t="shared" si="910"/>
        <v>0,15-0,5 MW, Bonusregeln L, b</v>
      </c>
      <c r="AV2050" s="215" t="str">
        <f t="shared" si="911"/>
        <v/>
      </c>
      <c r="AW2050" s="216" t="str">
        <f t="shared" si="912"/>
        <v>Anteil Nicht-KWK</v>
      </c>
      <c r="AX2050" s="215" t="str">
        <f t="shared" si="913"/>
        <v/>
      </c>
      <c r="AY2050" t="str">
        <f t="shared" si="914"/>
        <v/>
      </c>
      <c r="AZ2050" t="str">
        <f t="shared" si="915"/>
        <v/>
      </c>
    </row>
    <row r="2051" spans="1:52" s="178" customFormat="1" x14ac:dyDescent="0.25">
      <c r="A2051" s="610" t="s">
        <v>684</v>
      </c>
      <c r="B2051" s="30" t="s">
        <v>5548</v>
      </c>
      <c r="C2051" s="30" t="s">
        <v>1304</v>
      </c>
      <c r="D2051" s="30" t="s">
        <v>7187</v>
      </c>
      <c r="E2051" s="30" t="s">
        <v>4812</v>
      </c>
      <c r="F2051" s="454">
        <f t="shared" si="922"/>
        <v>22.46</v>
      </c>
      <c r="G2051" s="529">
        <v>22.46</v>
      </c>
      <c r="H2051" s="487">
        <f t="shared" si="923"/>
        <v>17.97</v>
      </c>
      <c r="I2051" s="706"/>
      <c r="J2051" s="669" t="s">
        <v>5805</v>
      </c>
      <c r="K2051" s="15"/>
      <c r="L2051"/>
      <c r="M2051" s="49">
        <f t="shared" si="924"/>
        <v>22.46</v>
      </c>
      <c r="N2051" s="41">
        <v>9.4600000000000009</v>
      </c>
      <c r="O2051" s="186" t="s">
        <v>1017</v>
      </c>
      <c r="P2051" s="177"/>
      <c r="S2051" s="178" t="s">
        <v>4180</v>
      </c>
      <c r="T2051" s="178" t="s">
        <v>4180</v>
      </c>
      <c r="U2051" s="179"/>
      <c r="W2051" s="180"/>
      <c r="X2051" s="180"/>
      <c r="Z2051" s="180"/>
      <c r="AA2051" s="184"/>
      <c r="AB2051" s="178" t="s">
        <v>1017</v>
      </c>
      <c r="AC2051" s="180"/>
      <c r="AD2051" s="182"/>
      <c r="AE2051" s="181" t="s">
        <v>1017</v>
      </c>
      <c r="AF2051" s="180"/>
      <c r="AG2051" s="201"/>
      <c r="AH2051" s="212" t="str">
        <f t="shared" si="932"/>
        <v/>
      </c>
      <c r="AI2051" s="214" t="str">
        <f t="shared" si="916"/>
        <v/>
      </c>
      <c r="AJ2051" s="214" t="str">
        <f t="shared" si="917"/>
        <v/>
      </c>
      <c r="AK2051" s="214" t="str">
        <f t="shared" si="918"/>
        <v/>
      </c>
      <c r="AL2051" s="214" t="str">
        <f t="shared" si="919"/>
        <v/>
      </c>
      <c r="AM2051" s="214" t="str">
        <f t="shared" si="920"/>
        <v/>
      </c>
      <c r="AN2051" s="213" t="str">
        <f t="shared" si="903"/>
        <v/>
      </c>
      <c r="AO2051" s="213" t="str">
        <f t="shared" si="904"/>
        <v/>
      </c>
      <c r="AP2051" s="213" t="str">
        <f t="shared" si="905"/>
        <v/>
      </c>
      <c r="AQ2051" s="215" t="str">
        <f t="shared" si="906"/>
        <v/>
      </c>
      <c r="AR2051" s="216" t="str">
        <f t="shared" si="907"/>
        <v>BiK82LbKWK--07</v>
      </c>
      <c r="AS2051" s="215" t="str">
        <f t="shared" si="908"/>
        <v/>
      </c>
      <c r="AT2051">
        <f t="shared" si="909"/>
        <v>14</v>
      </c>
      <c r="AU2051" s="216" t="str">
        <f t="shared" si="910"/>
        <v>0,15-0,5 MW, Bonusregeln L, b und KWK</v>
      </c>
      <c r="AV2051" s="215" t="str">
        <f t="shared" si="911"/>
        <v/>
      </c>
      <c r="AW2051" s="216" t="str">
        <f t="shared" si="912"/>
        <v>Anteil KWK</v>
      </c>
      <c r="AX2051" s="215" t="str">
        <f t="shared" si="913"/>
        <v/>
      </c>
      <c r="AY2051" t="str">
        <f t="shared" si="914"/>
        <v/>
      </c>
      <c r="AZ2051" t="str">
        <f t="shared" si="915"/>
        <v/>
      </c>
    </row>
    <row r="2052" spans="1:52" s="178" customFormat="1" x14ac:dyDescent="0.25">
      <c r="A2052" s="610" t="s">
        <v>685</v>
      </c>
      <c r="B2052" s="30" t="s">
        <v>5548</v>
      </c>
      <c r="C2052" s="30" t="s">
        <v>1304</v>
      </c>
      <c r="D2052" s="30" t="s">
        <v>7188</v>
      </c>
      <c r="E2052" s="30" t="s">
        <v>4331</v>
      </c>
      <c r="F2052" s="454">
        <f t="shared" si="922"/>
        <v>23.46</v>
      </c>
      <c r="G2052" s="529">
        <v>23.46</v>
      </c>
      <c r="H2052" s="487">
        <f t="shared" si="923"/>
        <v>18.77</v>
      </c>
      <c r="I2052" s="706"/>
      <c r="J2052" s="669" t="s">
        <v>5805</v>
      </c>
      <c r="K2052" s="15"/>
      <c r="L2052"/>
      <c r="M2052" s="49">
        <f t="shared" si="924"/>
        <v>23.46</v>
      </c>
      <c r="N2052" s="41">
        <v>9.4600000000000009</v>
      </c>
      <c r="O2052" s="186"/>
      <c r="P2052" s="178" t="s">
        <v>1017</v>
      </c>
      <c r="S2052" s="178" t="s">
        <v>4180</v>
      </c>
      <c r="T2052" s="178" t="s">
        <v>4180</v>
      </c>
      <c r="U2052" s="179"/>
      <c r="W2052" s="180"/>
      <c r="X2052" s="180"/>
      <c r="Z2052" s="180"/>
      <c r="AA2052" s="184"/>
      <c r="AB2052" s="178" t="s">
        <v>1017</v>
      </c>
      <c r="AC2052" s="180"/>
      <c r="AD2052" s="182"/>
      <c r="AE2052" s="181" t="s">
        <v>1017</v>
      </c>
      <c r="AF2052" s="180"/>
      <c r="AG2052" s="201"/>
      <c r="AH2052" s="212" t="str">
        <f t="shared" si="932"/>
        <v/>
      </c>
      <c r="AI2052" s="214" t="str">
        <f t="shared" si="916"/>
        <v/>
      </c>
      <c r="AJ2052" s="214" t="str">
        <f t="shared" si="917"/>
        <v/>
      </c>
      <c r="AK2052" s="214" t="str">
        <f t="shared" si="918"/>
        <v/>
      </c>
      <c r="AL2052" s="214" t="str">
        <f t="shared" si="919"/>
        <v/>
      </c>
      <c r="AM2052" s="214" t="str">
        <f t="shared" si="920"/>
        <v/>
      </c>
      <c r="AN2052" s="213" t="str">
        <f t="shared" si="903"/>
        <v/>
      </c>
      <c r="AO2052" s="213" t="str">
        <f t="shared" si="904"/>
        <v/>
      </c>
      <c r="AP2052" s="213" t="str">
        <f t="shared" si="905"/>
        <v/>
      </c>
      <c r="AQ2052" s="215" t="str">
        <f t="shared" si="906"/>
        <v/>
      </c>
      <c r="AR2052" s="216" t="str">
        <f t="shared" si="907"/>
        <v>BiK82LbKA3--07</v>
      </c>
      <c r="AS2052" s="215" t="str">
        <f t="shared" si="908"/>
        <v/>
      </c>
      <c r="AT2052">
        <f t="shared" si="909"/>
        <v>14</v>
      </c>
      <c r="AU2052" s="216" t="str">
        <f t="shared" si="910"/>
        <v>0,15-0,5 MW, Bonusregeln L, b und K wenn Anlage 3 erfüllt</v>
      </c>
      <c r="AV2052" s="215" t="str">
        <f t="shared" si="911"/>
        <v/>
      </c>
      <c r="AW2052" s="216" t="str">
        <f t="shared" si="912"/>
        <v>Anteil KWK gemäß Anlage 3</v>
      </c>
      <c r="AX2052" s="215" t="str">
        <f t="shared" si="913"/>
        <v/>
      </c>
      <c r="AY2052" t="str">
        <f t="shared" si="914"/>
        <v/>
      </c>
      <c r="AZ2052" t="str">
        <f t="shared" si="915"/>
        <v/>
      </c>
    </row>
    <row r="2053" spans="1:52" s="178" customFormat="1" x14ac:dyDescent="0.25">
      <c r="A2053" s="610" t="s">
        <v>686</v>
      </c>
      <c r="B2053" s="30" t="s">
        <v>5548</v>
      </c>
      <c r="C2053" s="30" t="s">
        <v>1304</v>
      </c>
      <c r="D2053" s="30" t="s">
        <v>7189</v>
      </c>
      <c r="E2053" s="30" t="s">
        <v>674</v>
      </c>
      <c r="F2053" s="454">
        <f t="shared" si="922"/>
        <v>23.46</v>
      </c>
      <c r="G2053" s="529">
        <v>23.46</v>
      </c>
      <c r="H2053" s="487">
        <f t="shared" si="923"/>
        <v>18.77</v>
      </c>
      <c r="I2053" s="706"/>
      <c r="J2053" s="669" t="s">
        <v>5805</v>
      </c>
      <c r="K2053" s="15"/>
      <c r="L2053"/>
      <c r="M2053" s="49">
        <f t="shared" si="924"/>
        <v>23.46</v>
      </c>
      <c r="N2053" s="41">
        <v>9.4600000000000009</v>
      </c>
      <c r="O2053" s="186"/>
      <c r="P2053" s="177"/>
      <c r="Q2053" s="178" t="s">
        <v>1017</v>
      </c>
      <c r="S2053" s="178" t="s">
        <v>4180</v>
      </c>
      <c r="T2053" s="178" t="s">
        <v>4180</v>
      </c>
      <c r="U2053" s="179"/>
      <c r="W2053" s="180"/>
      <c r="X2053" s="180"/>
      <c r="Z2053" s="180"/>
      <c r="AA2053" s="184"/>
      <c r="AB2053" s="178" t="s">
        <v>1017</v>
      </c>
      <c r="AC2053" s="180"/>
      <c r="AD2053" s="182"/>
      <c r="AE2053" s="181" t="s">
        <v>1017</v>
      </c>
      <c r="AF2053" s="180"/>
      <c r="AG2053" s="201"/>
      <c r="AH2053" s="212" t="str">
        <f t="shared" si="932"/>
        <v/>
      </c>
      <c r="AI2053" s="214" t="str">
        <f t="shared" si="916"/>
        <v/>
      </c>
      <c r="AJ2053" s="214" t="str">
        <f t="shared" si="917"/>
        <v/>
      </c>
      <c r="AK2053" s="214" t="str">
        <f t="shared" si="918"/>
        <v/>
      </c>
      <c r="AL2053" s="214" t="str">
        <f t="shared" si="919"/>
        <v/>
      </c>
      <c r="AM2053" s="214" t="str">
        <f t="shared" si="920"/>
        <v/>
      </c>
      <c r="AN2053" s="213" t="str">
        <f t="shared" si="903"/>
        <v/>
      </c>
      <c r="AO2053" s="213" t="str">
        <f t="shared" si="904"/>
        <v/>
      </c>
      <c r="AP2053" s="213" t="str">
        <f t="shared" si="905"/>
        <v/>
      </c>
      <c r="AQ2053" s="215" t="str">
        <f t="shared" si="906"/>
        <v/>
      </c>
      <c r="AR2053" s="216" t="str">
        <f t="shared" si="907"/>
        <v>BiK82LbK09--07</v>
      </c>
      <c r="AS2053" s="215" t="str">
        <f t="shared" si="908"/>
        <v/>
      </c>
      <c r="AT2053">
        <f t="shared" si="909"/>
        <v>14</v>
      </c>
      <c r="AU2053" s="216" t="str">
        <f t="shared" si="910"/>
        <v>0,15-0,5 MW, Bonusregeln L, b und K erstmals 2009</v>
      </c>
      <c r="AV2053" s="215" t="str">
        <f t="shared" si="911"/>
        <v/>
      </c>
      <c r="AW2053" s="216" t="str">
        <f t="shared" si="912"/>
        <v>Anteil KWK, erstmals 2009</v>
      </c>
      <c r="AX2053" s="215" t="str">
        <f t="shared" si="913"/>
        <v/>
      </c>
      <c r="AY2053" t="str">
        <f t="shared" si="914"/>
        <v/>
      </c>
      <c r="AZ2053" t="str">
        <f t="shared" si="915"/>
        <v/>
      </c>
    </row>
    <row r="2054" spans="1:52" s="178" customFormat="1" x14ac:dyDescent="0.25">
      <c r="A2054" s="610" t="s">
        <v>3146</v>
      </c>
      <c r="B2054" s="30" t="s">
        <v>5548</v>
      </c>
      <c r="C2054" s="30" t="s">
        <v>1304</v>
      </c>
      <c r="D2054" s="30" t="s">
        <v>7190</v>
      </c>
      <c r="E2054" s="30" t="s">
        <v>3567</v>
      </c>
      <c r="F2054" s="454">
        <f t="shared" si="922"/>
        <v>23.43</v>
      </c>
      <c r="G2054" s="529">
        <v>23.43</v>
      </c>
      <c r="H2054" s="487">
        <f t="shared" si="923"/>
        <v>18.739999999999998</v>
      </c>
      <c r="I2054" s="706"/>
      <c r="J2054" s="669" t="s">
        <v>5805</v>
      </c>
      <c r="K2054" s="15"/>
      <c r="L2054"/>
      <c r="M2054" s="49">
        <f t="shared" si="924"/>
        <v>23.43</v>
      </c>
      <c r="N2054" s="41">
        <v>9.4600000000000009</v>
      </c>
      <c r="O2054" s="186"/>
      <c r="P2054" s="177"/>
      <c r="R2054" s="178" t="s">
        <v>1017</v>
      </c>
      <c r="S2054" s="178" t="s">
        <v>4180</v>
      </c>
      <c r="T2054" s="178" t="s">
        <v>4180</v>
      </c>
      <c r="U2054" s="179"/>
      <c r="W2054" s="180"/>
      <c r="X2054" s="180"/>
      <c r="Z2054" s="180"/>
      <c r="AA2054" s="184"/>
      <c r="AB2054" s="178" t="s">
        <v>1017</v>
      </c>
      <c r="AC2054" s="180"/>
      <c r="AD2054" s="182"/>
      <c r="AE2054" s="181" t="s">
        <v>1017</v>
      </c>
      <c r="AF2054" s="180"/>
      <c r="AG2054" s="201"/>
      <c r="AH2054" s="212" t="str">
        <f t="shared" si="932"/>
        <v>2010</v>
      </c>
      <c r="AI2054" s="214" t="str">
        <f t="shared" si="916"/>
        <v/>
      </c>
      <c r="AJ2054" s="214" t="str">
        <f t="shared" si="917"/>
        <v/>
      </c>
      <c r="AK2054" s="214" t="str">
        <f t="shared" si="918"/>
        <v/>
      </c>
      <c r="AL2054" s="214" t="str">
        <f t="shared" si="919"/>
        <v/>
      </c>
      <c r="AM2054" s="214" t="str">
        <f t="shared" si="920"/>
        <v/>
      </c>
      <c r="AN2054" s="213" t="str">
        <f t="shared" ref="AN2054:AN2117" si="933">IF(ISERROR(SEARCH("K1",A2054)),"","20"&amp;MID(A2054,SEARCH("K1",A2054)+1,2))</f>
        <v>2010</v>
      </c>
      <c r="AO2054" s="213" t="str">
        <f t="shared" ref="AO2054:AO2117" si="934">IF(ISERROR(SEARCH("erstmals 201",E2054)),"",MID(E2054,SEARCH("erstmals ",E2054)+9,4))</f>
        <v>2010</v>
      </c>
      <c r="AP2054" s="213" t="str">
        <f t="shared" ref="AP2054:AP2117" si="935">IF(R2054="x","2010",IF(S2054="x","2011",IF(T2054="x","2012","")))</f>
        <v>2010</v>
      </c>
      <c r="AQ2054" s="215" t="str">
        <f t="shared" ref="AQ2054:AQ2117" si="936">IF(OR(AH2054&lt;&gt;AN2054,AH2054&lt;&gt;AO2054,AH2054&lt;&gt;AP2054),"DIFF","")</f>
        <v/>
      </c>
      <c r="AR2054" s="216" t="str">
        <f t="shared" ref="AR2054:AR2117" si="937">IF(A2054="","",IF(ISERROR(SEARCH("K1",A2054)),A2054,LEFT(A2054,SEARCH("K1",A2054)+1)&amp;RIGHT(AH2054,1)&amp;MID(A2054,SEARCH("K1",A2054)+3,14)))</f>
        <v>BiK82LbK10--07</v>
      </c>
      <c r="AS2054" s="215" t="str">
        <f t="shared" ref="AS2054:AS2117" si="938">IF(OR(A2054&lt;&gt;AR2054),"DIFF","")</f>
        <v/>
      </c>
      <c r="AT2054">
        <f t="shared" ref="AT2054:AT2117" si="939">LEN(AR2054)</f>
        <v>14</v>
      </c>
      <c r="AU2054" s="216" t="str">
        <f t="shared" ref="AU2054:AU2117" si="940">IF(D2054="","",IF(OR(A2054="",ISERROR(SEARCH("erstmals 201",D2054))),D2054,LEFT(D2054,SEARCH("erstmals 201",D2054)+8) &amp; AH2054 &amp; MID(D2054,SEARCH("erstmals 201",D2054)+13,255)))</f>
        <v>0,15-0,5 MW, Bonusregeln L, b und K erstmals 2010</v>
      </c>
      <c r="AV2054" s="215" t="str">
        <f t="shared" ref="AV2054:AV2117" si="941">IF(OR(D2054&lt;&gt;AU2054),"DIFF","")</f>
        <v/>
      </c>
      <c r="AW2054" s="216" t="str">
        <f t="shared" ref="AW2054:AW2117" si="942">IF(E2054="","",IF(OR(E2054="",ISERROR(SEARCH("erstmals 201",E2054))),E2054,LEFT(E2054,SEARCH("erstmals 201",E2054)+8) &amp; AH2054 &amp; MID(E2054,SEARCH("erstmals 201",E2054)+13,255)))</f>
        <v>Anteil KWK, erstmals 2010</v>
      </c>
      <c r="AX2054" s="215" t="str">
        <f t="shared" ref="AX2054:AX2117" si="943">IF(OR(E2054&lt;&gt;AW2054),"DIFF","")</f>
        <v/>
      </c>
      <c r="AY2054" t="str">
        <f t="shared" ref="AY2054:AY2117" si="944">IF(AH2054="2011","x",IF(AH2054="2012","","" &amp; S2054))</f>
        <v/>
      </c>
      <c r="AZ2054" t="str">
        <f t="shared" ref="AZ2054:AZ2117" si="945">IF(AH2054="2012","x",IF(AH2054="2011","","" &amp; T2054))</f>
        <v/>
      </c>
    </row>
    <row r="2055" spans="1:52" s="178" customFormat="1" x14ac:dyDescent="0.25">
      <c r="A2055" s="610" t="s">
        <v>3422</v>
      </c>
      <c r="B2055" s="30" t="s">
        <v>5548</v>
      </c>
      <c r="C2055" s="30" t="s">
        <v>1304</v>
      </c>
      <c r="D2055" s="30" t="s">
        <v>7191</v>
      </c>
      <c r="E2055" s="30" t="s">
        <v>3055</v>
      </c>
      <c r="F2055" s="454">
        <f t="shared" si="922"/>
        <v>23.4</v>
      </c>
      <c r="G2055" s="529">
        <v>23.4</v>
      </c>
      <c r="H2055" s="487">
        <f t="shared" si="923"/>
        <v>18.72</v>
      </c>
      <c r="I2055" s="706"/>
      <c r="J2055" s="669" t="s">
        <v>5805</v>
      </c>
      <c r="K2055" s="15"/>
      <c r="L2055"/>
      <c r="M2055" s="49">
        <f t="shared" si="924"/>
        <v>23.4</v>
      </c>
      <c r="N2055" s="41">
        <v>9.4600000000000009</v>
      </c>
      <c r="O2055" s="186"/>
      <c r="P2055" s="177"/>
      <c r="S2055" s="178" t="s">
        <v>1017</v>
      </c>
      <c r="T2055" s="178" t="s">
        <v>4180</v>
      </c>
      <c r="U2055" s="179"/>
      <c r="W2055" s="180"/>
      <c r="X2055" s="180"/>
      <c r="Z2055" s="180"/>
      <c r="AA2055" s="184"/>
      <c r="AB2055" s="178" t="s">
        <v>1017</v>
      </c>
      <c r="AC2055" s="180"/>
      <c r="AD2055" s="182"/>
      <c r="AE2055" s="181" t="s">
        <v>1017</v>
      </c>
      <c r="AF2055" s="180"/>
      <c r="AG2055" s="201"/>
      <c r="AH2055" s="212" t="str">
        <f t="shared" si="932"/>
        <v>2011</v>
      </c>
      <c r="AI2055" s="214" t="str">
        <f t="shared" si="916"/>
        <v/>
      </c>
      <c r="AJ2055" s="214" t="str">
        <f t="shared" si="917"/>
        <v/>
      </c>
      <c r="AK2055" s="214" t="str">
        <f t="shared" si="918"/>
        <v/>
      </c>
      <c r="AL2055" s="214" t="str">
        <f t="shared" si="919"/>
        <v/>
      </c>
      <c r="AM2055" s="214" t="str">
        <f t="shared" si="920"/>
        <v/>
      </c>
      <c r="AN2055" s="213" t="str">
        <f t="shared" si="933"/>
        <v>2011</v>
      </c>
      <c r="AO2055" s="213" t="str">
        <f t="shared" si="934"/>
        <v>2011</v>
      </c>
      <c r="AP2055" s="213" t="str">
        <f t="shared" si="935"/>
        <v>2011</v>
      </c>
      <c r="AQ2055" s="215" t="str">
        <f t="shared" si="936"/>
        <v/>
      </c>
      <c r="AR2055" s="216" t="str">
        <f t="shared" si="937"/>
        <v>BiK82LbK11--07</v>
      </c>
      <c r="AS2055" s="215" t="str">
        <f t="shared" si="938"/>
        <v/>
      </c>
      <c r="AT2055">
        <f t="shared" si="939"/>
        <v>14</v>
      </c>
      <c r="AU2055" s="216" t="str">
        <f t="shared" si="940"/>
        <v>0,15-0,5 MW, Bonusregeln L, b und K erstmals 2011</v>
      </c>
      <c r="AV2055" s="215" t="str">
        <f t="shared" si="941"/>
        <v/>
      </c>
      <c r="AW2055" s="216" t="str">
        <f t="shared" si="942"/>
        <v>Anteil KWK, erstmals 2011</v>
      </c>
      <c r="AX2055" s="215" t="str">
        <f t="shared" si="943"/>
        <v/>
      </c>
      <c r="AY2055" t="str">
        <f t="shared" si="944"/>
        <v>x</v>
      </c>
      <c r="AZ2055" t="str">
        <f t="shared" si="945"/>
        <v/>
      </c>
    </row>
    <row r="2056" spans="1:52" s="178" customFormat="1" x14ac:dyDescent="0.25">
      <c r="A2056" s="625" t="s">
        <v>1854</v>
      </c>
      <c r="B2056" s="219" t="s">
        <v>5548</v>
      </c>
      <c r="C2056" s="219" t="s">
        <v>1304</v>
      </c>
      <c r="D2056" s="219" t="s">
        <v>7192</v>
      </c>
      <c r="E2056" s="219" t="s">
        <v>1980</v>
      </c>
      <c r="F2056" s="455">
        <f t="shared" si="922"/>
        <v>23.37</v>
      </c>
      <c r="G2056" s="530">
        <v>23.37</v>
      </c>
      <c r="H2056" s="488">
        <f t="shared" si="923"/>
        <v>18.7</v>
      </c>
      <c r="I2056" s="707"/>
      <c r="J2056" s="669" t="s">
        <v>5805</v>
      </c>
      <c r="K2056" s="15"/>
      <c r="L2056"/>
      <c r="M2056" s="49">
        <f t="shared" si="924"/>
        <v>23.37</v>
      </c>
      <c r="N2056" s="41">
        <v>9.4600000000000009</v>
      </c>
      <c r="O2056" s="186"/>
      <c r="P2056" s="177"/>
      <c r="S2056" s="178" t="s">
        <v>4180</v>
      </c>
      <c r="T2056" s="178" t="s">
        <v>1017</v>
      </c>
      <c r="U2056" s="179"/>
      <c r="W2056" s="180"/>
      <c r="X2056" s="180"/>
      <c r="Z2056" s="180"/>
      <c r="AA2056" s="184"/>
      <c r="AB2056" s="178" t="s">
        <v>1017</v>
      </c>
      <c r="AC2056" s="180"/>
      <c r="AD2056" s="182"/>
      <c r="AE2056" s="181" t="s">
        <v>1017</v>
      </c>
      <c r="AF2056" s="180"/>
      <c r="AG2056" s="201"/>
      <c r="AH2056" s="217" t="s">
        <v>4179</v>
      </c>
      <c r="AI2056" s="214" t="str">
        <f t="shared" si="916"/>
        <v/>
      </c>
      <c r="AJ2056" s="214" t="str">
        <f t="shared" si="917"/>
        <v/>
      </c>
      <c r="AK2056" s="214" t="str">
        <f t="shared" si="918"/>
        <v/>
      </c>
      <c r="AL2056" s="214" t="str">
        <f t="shared" si="919"/>
        <v/>
      </c>
      <c r="AM2056" s="214" t="str">
        <f t="shared" si="920"/>
        <v/>
      </c>
      <c r="AN2056" s="213" t="str">
        <f t="shared" si="933"/>
        <v>2012</v>
      </c>
      <c r="AO2056" s="213" t="str">
        <f t="shared" si="934"/>
        <v>2012</v>
      </c>
      <c r="AP2056" s="213" t="str">
        <f t="shared" si="935"/>
        <v>2012</v>
      </c>
      <c r="AQ2056" s="215" t="str">
        <f t="shared" si="936"/>
        <v/>
      </c>
      <c r="AR2056" s="216" t="str">
        <f t="shared" si="937"/>
        <v>BiK82LbK12--07</v>
      </c>
      <c r="AS2056" s="215" t="str">
        <f t="shared" si="938"/>
        <v/>
      </c>
      <c r="AT2056">
        <f t="shared" si="939"/>
        <v>14</v>
      </c>
      <c r="AU2056" s="216" t="str">
        <f t="shared" si="940"/>
        <v>0,15-0,5 MW, Bonusregeln L, b und K erstmals 2012</v>
      </c>
      <c r="AV2056" s="215" t="str">
        <f t="shared" si="941"/>
        <v/>
      </c>
      <c r="AW2056" s="216" t="str">
        <f t="shared" si="942"/>
        <v>Anteil KWK, erstmals 2012</v>
      </c>
      <c r="AX2056" s="215" t="str">
        <f t="shared" si="943"/>
        <v/>
      </c>
      <c r="AY2056" t="str">
        <f t="shared" si="944"/>
        <v/>
      </c>
      <c r="AZ2056" t="str">
        <f t="shared" si="945"/>
        <v>x</v>
      </c>
    </row>
    <row r="2057" spans="1:52" x14ac:dyDescent="0.25">
      <c r="A2057" s="610" t="s">
        <v>687</v>
      </c>
      <c r="B2057" s="30" t="s">
        <v>5548</v>
      </c>
      <c r="C2057" s="30" t="s">
        <v>1304</v>
      </c>
      <c r="D2057" s="30" t="s">
        <v>7193</v>
      </c>
      <c r="E2057" s="30" t="s">
        <v>4810</v>
      </c>
      <c r="F2057" s="454">
        <f t="shared" si="922"/>
        <v>21.46</v>
      </c>
      <c r="G2057" s="529">
        <v>21.46</v>
      </c>
      <c r="H2057" s="487">
        <f t="shared" si="923"/>
        <v>17.170000000000002</v>
      </c>
      <c r="I2057" s="706"/>
      <c r="J2057" s="669" t="s">
        <v>5805</v>
      </c>
      <c r="K2057" s="15"/>
      <c r="M2057" s="49">
        <f t="shared" si="924"/>
        <v>21.46</v>
      </c>
      <c r="N2057" s="41">
        <v>9.4600000000000009</v>
      </c>
      <c r="O2057" s="187"/>
      <c r="P2057" s="183"/>
      <c r="Q2057" s="184"/>
      <c r="R2057" s="184"/>
      <c r="S2057" s="184" t="s">
        <v>4180</v>
      </c>
      <c r="T2057" t="s">
        <v>4180</v>
      </c>
      <c r="U2057" s="185" t="s">
        <v>1017</v>
      </c>
      <c r="V2057" s="184"/>
      <c r="W2057" s="180"/>
      <c r="X2057" s="180"/>
      <c r="Y2057" s="178"/>
      <c r="Z2057" s="180"/>
      <c r="AA2057" s="184"/>
      <c r="AB2057" s="184" t="s">
        <v>1017</v>
      </c>
      <c r="AC2057" s="180"/>
      <c r="AD2057" s="182"/>
      <c r="AE2057" s="181" t="s">
        <v>1017</v>
      </c>
      <c r="AF2057" s="180"/>
      <c r="AG2057" s="201"/>
      <c r="AH2057" s="212" t="str">
        <f t="shared" ref="AH2057:AH2062" si="946">IF(ISERROR(SEARCH("K erstmals 201",D2057)),"",RIGHT(D2057,4))</f>
        <v/>
      </c>
      <c r="AI2057" s="214" t="str">
        <f t="shared" ref="AI2057:AI2120" si="947">IF(AND($AH2057&lt;&gt;"",AH2057 =AH2056),"Gleich","")</f>
        <v/>
      </c>
      <c r="AJ2057" s="214" t="str">
        <f t="shared" ref="AJ2057:AJ2124" si="948">IF(AND($AH2057&lt;&gt;"",A2057 =A2056),"Gleich","")</f>
        <v/>
      </c>
      <c r="AK2057" s="214" t="str">
        <f t="shared" ref="AK2057:AK2124" si="949">IF(AND($AH2057&lt;&gt;"",D2057 =D2056),"Gleich","")</f>
        <v/>
      </c>
      <c r="AL2057" s="214" t="str">
        <f t="shared" ref="AL2057:AL2124" si="950">IF(AND($AH2057&lt;&gt;"",E2057 =E2056),"Gleich","")</f>
        <v/>
      </c>
      <c r="AM2057" s="214" t="str">
        <f t="shared" ref="AM2057:AM2124" si="951">IF(AND($AH2057&lt;&gt;"",F2057 =F2056),"Gleich","")</f>
        <v/>
      </c>
      <c r="AN2057" s="213" t="str">
        <f t="shared" si="933"/>
        <v/>
      </c>
      <c r="AO2057" s="213" t="str">
        <f t="shared" si="934"/>
        <v/>
      </c>
      <c r="AP2057" s="213" t="str">
        <f t="shared" si="935"/>
        <v/>
      </c>
      <c r="AQ2057" s="215" t="str">
        <f t="shared" si="936"/>
        <v/>
      </c>
      <c r="AR2057" s="216" t="str">
        <f t="shared" si="937"/>
        <v>BiK82Lby----07</v>
      </c>
      <c r="AS2057" s="215" t="str">
        <f t="shared" si="938"/>
        <v/>
      </c>
      <c r="AT2057">
        <f t="shared" si="939"/>
        <v>14</v>
      </c>
      <c r="AU2057" s="216" t="str">
        <f t="shared" si="940"/>
        <v>0,15-0,5 MW, Bonusregeln L, y, b</v>
      </c>
      <c r="AV2057" s="215" t="str">
        <f t="shared" si="941"/>
        <v/>
      </c>
      <c r="AW2057" s="216" t="str">
        <f t="shared" si="942"/>
        <v>Anteil Nicht-KWK</v>
      </c>
      <c r="AX2057" s="215" t="str">
        <f t="shared" si="943"/>
        <v/>
      </c>
      <c r="AY2057" t="str">
        <f t="shared" si="944"/>
        <v/>
      </c>
      <c r="AZ2057" t="str">
        <f t="shared" si="945"/>
        <v/>
      </c>
    </row>
    <row r="2058" spans="1:52" x14ac:dyDescent="0.25">
      <c r="A2058" s="610" t="s">
        <v>688</v>
      </c>
      <c r="B2058" s="30" t="s">
        <v>5548</v>
      </c>
      <c r="C2058" s="30" t="s">
        <v>1304</v>
      </c>
      <c r="D2058" s="30" t="s">
        <v>7194</v>
      </c>
      <c r="E2058" s="30" t="s">
        <v>4812</v>
      </c>
      <c r="F2058" s="454">
        <f t="shared" si="922"/>
        <v>23.46</v>
      </c>
      <c r="G2058" s="529">
        <v>23.46</v>
      </c>
      <c r="H2058" s="487">
        <f t="shared" si="923"/>
        <v>18.77</v>
      </c>
      <c r="I2058" s="706"/>
      <c r="J2058" s="669" t="s">
        <v>5805</v>
      </c>
      <c r="K2058" s="15"/>
      <c r="M2058" s="49">
        <f t="shared" si="924"/>
        <v>23.46</v>
      </c>
      <c r="N2058" s="41">
        <v>9.4600000000000009</v>
      </c>
      <c r="O2058" s="187" t="s">
        <v>1017</v>
      </c>
      <c r="P2058" s="183"/>
      <c r="Q2058" s="184"/>
      <c r="R2058" s="184"/>
      <c r="S2058" s="184" t="s">
        <v>4180</v>
      </c>
      <c r="T2058" t="s">
        <v>4180</v>
      </c>
      <c r="U2058" s="185" t="s">
        <v>1017</v>
      </c>
      <c r="V2058" s="184"/>
      <c r="W2058" s="180"/>
      <c r="X2058" s="180"/>
      <c r="Y2058" s="178"/>
      <c r="Z2058" s="180"/>
      <c r="AA2058" s="184"/>
      <c r="AB2058" s="184" t="s">
        <v>1017</v>
      </c>
      <c r="AC2058" s="180"/>
      <c r="AD2058" s="182"/>
      <c r="AE2058" s="181" t="s">
        <v>1017</v>
      </c>
      <c r="AF2058" s="180"/>
      <c r="AG2058" s="201"/>
      <c r="AH2058" s="212" t="str">
        <f t="shared" si="946"/>
        <v/>
      </c>
      <c r="AI2058" s="214" t="str">
        <f t="shared" si="947"/>
        <v/>
      </c>
      <c r="AJ2058" s="214" t="str">
        <f t="shared" si="948"/>
        <v/>
      </c>
      <c r="AK2058" s="214" t="str">
        <f t="shared" si="949"/>
        <v/>
      </c>
      <c r="AL2058" s="214" t="str">
        <f t="shared" si="950"/>
        <v/>
      </c>
      <c r="AM2058" s="214" t="str">
        <f t="shared" si="951"/>
        <v/>
      </c>
      <c r="AN2058" s="213" t="str">
        <f t="shared" si="933"/>
        <v/>
      </c>
      <c r="AO2058" s="213" t="str">
        <f t="shared" si="934"/>
        <v/>
      </c>
      <c r="AP2058" s="213" t="str">
        <f t="shared" si="935"/>
        <v/>
      </c>
      <c r="AQ2058" s="215" t="str">
        <f t="shared" si="936"/>
        <v/>
      </c>
      <c r="AR2058" s="216" t="str">
        <f t="shared" si="937"/>
        <v>BiK82LbKWKy-07</v>
      </c>
      <c r="AS2058" s="215" t="str">
        <f t="shared" si="938"/>
        <v/>
      </c>
      <c r="AT2058">
        <f t="shared" si="939"/>
        <v>14</v>
      </c>
      <c r="AU2058" s="216" t="str">
        <f t="shared" si="940"/>
        <v>0,15-0,5 MW, Bonusregeln L, y, b und KWK</v>
      </c>
      <c r="AV2058" s="215" t="str">
        <f t="shared" si="941"/>
        <v/>
      </c>
      <c r="AW2058" s="216" t="str">
        <f t="shared" si="942"/>
        <v>Anteil KWK</v>
      </c>
      <c r="AX2058" s="215" t="str">
        <f t="shared" si="943"/>
        <v/>
      </c>
      <c r="AY2058" t="str">
        <f t="shared" si="944"/>
        <v/>
      </c>
      <c r="AZ2058" t="str">
        <f t="shared" si="945"/>
        <v/>
      </c>
    </row>
    <row r="2059" spans="1:52" x14ac:dyDescent="0.25">
      <c r="A2059" s="610" t="s">
        <v>689</v>
      </c>
      <c r="B2059" s="30" t="s">
        <v>5548</v>
      </c>
      <c r="C2059" s="30" t="s">
        <v>1304</v>
      </c>
      <c r="D2059" s="109" t="s">
        <v>7195</v>
      </c>
      <c r="E2059" s="30" t="s">
        <v>4331</v>
      </c>
      <c r="F2059" s="454">
        <f t="shared" si="922"/>
        <v>24.46</v>
      </c>
      <c r="G2059" s="529">
        <v>24.46</v>
      </c>
      <c r="H2059" s="487">
        <f t="shared" si="923"/>
        <v>19.57</v>
      </c>
      <c r="I2059" s="706"/>
      <c r="J2059" s="669" t="s">
        <v>5805</v>
      </c>
      <c r="K2059" s="15"/>
      <c r="M2059" s="49">
        <f t="shared" si="924"/>
        <v>24.46</v>
      </c>
      <c r="N2059" s="41">
        <v>9.4600000000000009</v>
      </c>
      <c r="O2059" s="187"/>
      <c r="P2059" s="184" t="s">
        <v>1017</v>
      </c>
      <c r="Q2059" s="184"/>
      <c r="R2059" s="184"/>
      <c r="S2059" s="184" t="s">
        <v>4180</v>
      </c>
      <c r="T2059" t="s">
        <v>4180</v>
      </c>
      <c r="U2059" s="185" t="s">
        <v>1017</v>
      </c>
      <c r="V2059" s="184"/>
      <c r="W2059" s="180"/>
      <c r="X2059" s="180"/>
      <c r="Y2059" s="178"/>
      <c r="Z2059" s="180"/>
      <c r="AA2059" s="184"/>
      <c r="AB2059" s="184" t="s">
        <v>1017</v>
      </c>
      <c r="AC2059" s="180"/>
      <c r="AD2059" s="182"/>
      <c r="AE2059" s="181" t="s">
        <v>1017</v>
      </c>
      <c r="AF2059" s="180"/>
      <c r="AG2059" s="201"/>
      <c r="AH2059" s="212" t="str">
        <f t="shared" si="946"/>
        <v/>
      </c>
      <c r="AI2059" s="214" t="str">
        <f t="shared" si="947"/>
        <v/>
      </c>
      <c r="AJ2059" s="214" t="str">
        <f t="shared" si="948"/>
        <v/>
      </c>
      <c r="AK2059" s="214" t="str">
        <f t="shared" si="949"/>
        <v/>
      </c>
      <c r="AL2059" s="214" t="str">
        <f t="shared" si="950"/>
        <v/>
      </c>
      <c r="AM2059" s="214" t="str">
        <f t="shared" si="951"/>
        <v/>
      </c>
      <c r="AN2059" s="213" t="str">
        <f t="shared" si="933"/>
        <v/>
      </c>
      <c r="AO2059" s="213" t="str">
        <f t="shared" si="934"/>
        <v/>
      </c>
      <c r="AP2059" s="213" t="str">
        <f t="shared" si="935"/>
        <v/>
      </c>
      <c r="AQ2059" s="215" t="str">
        <f t="shared" si="936"/>
        <v/>
      </c>
      <c r="AR2059" s="216" t="str">
        <f t="shared" si="937"/>
        <v>BiK82LbKA3y-07</v>
      </c>
      <c r="AS2059" s="215" t="str">
        <f t="shared" si="938"/>
        <v/>
      </c>
      <c r="AT2059">
        <f t="shared" si="939"/>
        <v>14</v>
      </c>
      <c r="AU2059" s="216" t="str">
        <f t="shared" si="940"/>
        <v>0,15-0,5 MW, Bonusregeln L, y, b und K wenn Anlage 3 erfüllt</v>
      </c>
      <c r="AV2059" s="215" t="str">
        <f t="shared" si="941"/>
        <v/>
      </c>
      <c r="AW2059" s="216" t="str">
        <f t="shared" si="942"/>
        <v>Anteil KWK gemäß Anlage 3</v>
      </c>
      <c r="AX2059" s="215" t="str">
        <f t="shared" si="943"/>
        <v/>
      </c>
      <c r="AY2059" t="str">
        <f t="shared" si="944"/>
        <v/>
      </c>
      <c r="AZ2059" t="str">
        <f t="shared" si="945"/>
        <v/>
      </c>
    </row>
    <row r="2060" spans="1:52" x14ac:dyDescent="0.25">
      <c r="A2060" s="610" t="s">
        <v>690</v>
      </c>
      <c r="B2060" s="30" t="s">
        <v>5548</v>
      </c>
      <c r="C2060" s="30" t="s">
        <v>1304</v>
      </c>
      <c r="D2060" s="30" t="s">
        <v>7196</v>
      </c>
      <c r="E2060" s="30" t="s">
        <v>674</v>
      </c>
      <c r="F2060" s="454">
        <f t="shared" si="922"/>
        <v>24.46</v>
      </c>
      <c r="G2060" s="529">
        <v>24.46</v>
      </c>
      <c r="H2060" s="487">
        <f t="shared" si="923"/>
        <v>19.57</v>
      </c>
      <c r="I2060" s="706"/>
      <c r="J2060" s="669" t="s">
        <v>5805</v>
      </c>
      <c r="K2060" s="15"/>
      <c r="M2060" s="49">
        <f t="shared" si="924"/>
        <v>24.46</v>
      </c>
      <c r="N2060" s="41">
        <v>9.4600000000000009</v>
      </c>
      <c r="O2060" s="187"/>
      <c r="P2060" s="183"/>
      <c r="Q2060" s="184" t="s">
        <v>1017</v>
      </c>
      <c r="R2060" s="184"/>
      <c r="S2060" s="184" t="s">
        <v>4180</v>
      </c>
      <c r="T2060" t="s">
        <v>4180</v>
      </c>
      <c r="U2060" s="185" t="s">
        <v>1017</v>
      </c>
      <c r="V2060" s="184"/>
      <c r="W2060" s="180"/>
      <c r="X2060" s="180"/>
      <c r="Y2060" s="178"/>
      <c r="Z2060" s="180"/>
      <c r="AA2060" s="184"/>
      <c r="AB2060" s="184" t="s">
        <v>1017</v>
      </c>
      <c r="AC2060" s="180"/>
      <c r="AD2060" s="182"/>
      <c r="AE2060" s="181" t="s">
        <v>1017</v>
      </c>
      <c r="AF2060" s="180"/>
      <c r="AG2060" s="201"/>
      <c r="AH2060" s="212" t="str">
        <f t="shared" si="946"/>
        <v/>
      </c>
      <c r="AI2060" s="214" t="str">
        <f t="shared" si="947"/>
        <v/>
      </c>
      <c r="AJ2060" s="214" t="str">
        <f t="shared" si="948"/>
        <v/>
      </c>
      <c r="AK2060" s="214" t="str">
        <f t="shared" si="949"/>
        <v/>
      </c>
      <c r="AL2060" s="214" t="str">
        <f t="shared" si="950"/>
        <v/>
      </c>
      <c r="AM2060" s="214" t="str">
        <f t="shared" si="951"/>
        <v/>
      </c>
      <c r="AN2060" s="213" t="str">
        <f t="shared" si="933"/>
        <v/>
      </c>
      <c r="AO2060" s="213" t="str">
        <f t="shared" si="934"/>
        <v/>
      </c>
      <c r="AP2060" s="213" t="str">
        <f t="shared" si="935"/>
        <v/>
      </c>
      <c r="AQ2060" s="215" t="str">
        <f t="shared" si="936"/>
        <v/>
      </c>
      <c r="AR2060" s="216" t="str">
        <f t="shared" si="937"/>
        <v>BiK82LbK09y-07</v>
      </c>
      <c r="AS2060" s="215" t="str">
        <f t="shared" si="938"/>
        <v/>
      </c>
      <c r="AT2060">
        <f t="shared" si="939"/>
        <v>14</v>
      </c>
      <c r="AU2060" s="216" t="str">
        <f t="shared" si="940"/>
        <v>0,15-0,5 MW, Bonusregeln L, y, b und K erstmals 2009</v>
      </c>
      <c r="AV2060" s="215" t="str">
        <f t="shared" si="941"/>
        <v/>
      </c>
      <c r="AW2060" s="216" t="str">
        <f t="shared" si="942"/>
        <v>Anteil KWK, erstmals 2009</v>
      </c>
      <c r="AX2060" s="215" t="str">
        <f t="shared" si="943"/>
        <v/>
      </c>
      <c r="AY2060" t="str">
        <f t="shared" si="944"/>
        <v/>
      </c>
      <c r="AZ2060" t="str">
        <f t="shared" si="945"/>
        <v/>
      </c>
    </row>
    <row r="2061" spans="1:52" x14ac:dyDescent="0.25">
      <c r="A2061" s="610" t="s">
        <v>3147</v>
      </c>
      <c r="B2061" s="30" t="s">
        <v>5548</v>
      </c>
      <c r="C2061" s="30" t="s">
        <v>1304</v>
      </c>
      <c r="D2061" s="30" t="s">
        <v>7197</v>
      </c>
      <c r="E2061" s="30" t="s">
        <v>3567</v>
      </c>
      <c r="F2061" s="454">
        <f t="shared" si="922"/>
        <v>24.43</v>
      </c>
      <c r="G2061" s="529">
        <v>24.43</v>
      </c>
      <c r="H2061" s="487">
        <f t="shared" si="923"/>
        <v>19.54</v>
      </c>
      <c r="I2061" s="706"/>
      <c r="J2061" s="669" t="s">
        <v>5805</v>
      </c>
      <c r="K2061" s="15"/>
      <c r="M2061" s="49">
        <f t="shared" si="924"/>
        <v>24.43</v>
      </c>
      <c r="N2061" s="41">
        <v>9.4600000000000009</v>
      </c>
      <c r="O2061" s="187"/>
      <c r="P2061" s="183"/>
      <c r="Q2061" s="184"/>
      <c r="R2061" s="184" t="s">
        <v>1017</v>
      </c>
      <c r="S2061" s="184" t="s">
        <v>4180</v>
      </c>
      <c r="T2061" t="s">
        <v>4180</v>
      </c>
      <c r="U2061" s="185" t="s">
        <v>1017</v>
      </c>
      <c r="V2061" s="184"/>
      <c r="W2061" s="180"/>
      <c r="X2061" s="180"/>
      <c r="Y2061" s="178"/>
      <c r="Z2061" s="180"/>
      <c r="AA2061" s="184"/>
      <c r="AB2061" s="184" t="s">
        <v>1017</v>
      </c>
      <c r="AC2061" s="180"/>
      <c r="AD2061" s="182"/>
      <c r="AE2061" s="181" t="s">
        <v>1017</v>
      </c>
      <c r="AF2061" s="180"/>
      <c r="AG2061" s="201"/>
      <c r="AH2061" s="212" t="str">
        <f t="shared" si="946"/>
        <v>2010</v>
      </c>
      <c r="AI2061" s="214" t="str">
        <f t="shared" si="947"/>
        <v/>
      </c>
      <c r="AJ2061" s="214" t="str">
        <f t="shared" si="948"/>
        <v/>
      </c>
      <c r="AK2061" s="214" t="str">
        <f t="shared" si="949"/>
        <v/>
      </c>
      <c r="AL2061" s="214" t="str">
        <f t="shared" si="950"/>
        <v/>
      </c>
      <c r="AM2061" s="214" t="str">
        <f t="shared" si="951"/>
        <v/>
      </c>
      <c r="AN2061" s="213" t="str">
        <f t="shared" si="933"/>
        <v>2010</v>
      </c>
      <c r="AO2061" s="213" t="str">
        <f t="shared" si="934"/>
        <v>2010</v>
      </c>
      <c r="AP2061" s="213" t="str">
        <f t="shared" si="935"/>
        <v>2010</v>
      </c>
      <c r="AQ2061" s="215" t="str">
        <f t="shared" si="936"/>
        <v/>
      </c>
      <c r="AR2061" s="216" t="str">
        <f t="shared" si="937"/>
        <v>BiK82LbK10y-07</v>
      </c>
      <c r="AS2061" s="215" t="str">
        <f t="shared" si="938"/>
        <v/>
      </c>
      <c r="AT2061">
        <f t="shared" si="939"/>
        <v>14</v>
      </c>
      <c r="AU2061" s="216" t="str">
        <f t="shared" si="940"/>
        <v>0,15-0,5 MW, Bonusregeln L, y, b und K erstmals 2010</v>
      </c>
      <c r="AV2061" s="215" t="str">
        <f t="shared" si="941"/>
        <v/>
      </c>
      <c r="AW2061" s="216" t="str">
        <f t="shared" si="942"/>
        <v>Anteil KWK, erstmals 2010</v>
      </c>
      <c r="AX2061" s="215" t="str">
        <f t="shared" si="943"/>
        <v/>
      </c>
      <c r="AY2061" t="str">
        <f t="shared" si="944"/>
        <v/>
      </c>
      <c r="AZ2061" t="str">
        <f t="shared" si="945"/>
        <v/>
      </c>
    </row>
    <row r="2062" spans="1:52" x14ac:dyDescent="0.25">
      <c r="A2062" s="610" t="s">
        <v>3423</v>
      </c>
      <c r="B2062" s="30" t="s">
        <v>5548</v>
      </c>
      <c r="C2062" s="30" t="s">
        <v>1304</v>
      </c>
      <c r="D2062" s="30" t="s">
        <v>7198</v>
      </c>
      <c r="E2062" s="30" t="s">
        <v>3055</v>
      </c>
      <c r="F2062" s="454">
        <f t="shared" ref="F2062:F2124" si="952">M2062</f>
        <v>24.4</v>
      </c>
      <c r="G2062" s="529">
        <v>24.4</v>
      </c>
      <c r="H2062" s="487">
        <f t="shared" ref="H2062:H2125" si="953">IF(ISNUMBER(G2062),ROUND(0.8*G2062,2),"")</f>
        <v>19.52</v>
      </c>
      <c r="I2062" s="706"/>
      <c r="J2062" s="669" t="s">
        <v>5805</v>
      </c>
      <c r="K2062" s="15"/>
      <c r="M2062" s="49">
        <f t="shared" ref="M2062:M2124" si="954">N2062+SUMIF(O2062:AG2062,"x",O$1741:AG$1741)</f>
        <v>24.4</v>
      </c>
      <c r="N2062" s="41">
        <v>9.4600000000000009</v>
      </c>
      <c r="O2062" s="187"/>
      <c r="P2062" s="183"/>
      <c r="Q2062" s="184"/>
      <c r="R2062" s="178"/>
      <c r="S2062" s="184" t="s">
        <v>1017</v>
      </c>
      <c r="T2062" t="s">
        <v>4180</v>
      </c>
      <c r="U2062" s="185" t="s">
        <v>1017</v>
      </c>
      <c r="V2062" s="184"/>
      <c r="W2062" s="180"/>
      <c r="X2062" s="180"/>
      <c r="Y2062" s="178"/>
      <c r="Z2062" s="180"/>
      <c r="AA2062" s="184"/>
      <c r="AB2062" s="184" t="s">
        <v>1017</v>
      </c>
      <c r="AC2062" s="180"/>
      <c r="AD2062" s="182"/>
      <c r="AE2062" s="181" t="s">
        <v>1017</v>
      </c>
      <c r="AF2062" s="180"/>
      <c r="AG2062" s="201"/>
      <c r="AH2062" s="212" t="str">
        <f t="shared" si="946"/>
        <v>2011</v>
      </c>
      <c r="AI2062" s="214" t="str">
        <f t="shared" si="947"/>
        <v/>
      </c>
      <c r="AJ2062" s="214" t="str">
        <f t="shared" si="948"/>
        <v/>
      </c>
      <c r="AK2062" s="214" t="str">
        <f t="shared" si="949"/>
        <v/>
      </c>
      <c r="AL2062" s="214" t="str">
        <f t="shared" si="950"/>
        <v/>
      </c>
      <c r="AM2062" s="214" t="str">
        <f t="shared" si="951"/>
        <v/>
      </c>
      <c r="AN2062" s="213" t="str">
        <f t="shared" si="933"/>
        <v>2011</v>
      </c>
      <c r="AO2062" s="213" t="str">
        <f t="shared" si="934"/>
        <v>2011</v>
      </c>
      <c r="AP2062" s="213" t="str">
        <f t="shared" si="935"/>
        <v>2011</v>
      </c>
      <c r="AQ2062" s="215" t="str">
        <f t="shared" si="936"/>
        <v/>
      </c>
      <c r="AR2062" s="216" t="str">
        <f t="shared" si="937"/>
        <v>BiK82LbK11y-07</v>
      </c>
      <c r="AS2062" s="215" t="str">
        <f t="shared" si="938"/>
        <v/>
      </c>
      <c r="AT2062">
        <f t="shared" si="939"/>
        <v>14</v>
      </c>
      <c r="AU2062" s="216" t="str">
        <f t="shared" si="940"/>
        <v>0,15-0,5 MW, Bonusregeln L, y, b und K erstmals 2011</v>
      </c>
      <c r="AV2062" s="215" t="str">
        <f t="shared" si="941"/>
        <v/>
      </c>
      <c r="AW2062" s="216" t="str">
        <f t="shared" si="942"/>
        <v>Anteil KWK, erstmals 2011</v>
      </c>
      <c r="AX2062" s="215" t="str">
        <f t="shared" si="943"/>
        <v/>
      </c>
      <c r="AY2062" t="str">
        <f t="shared" si="944"/>
        <v>x</v>
      </c>
      <c r="AZ2062" t="str">
        <f t="shared" si="945"/>
        <v/>
      </c>
    </row>
    <row r="2063" spans="1:52" x14ac:dyDescent="0.25">
      <c r="A2063" s="625" t="s">
        <v>1855</v>
      </c>
      <c r="B2063" s="219" t="s">
        <v>5548</v>
      </c>
      <c r="C2063" s="219" t="s">
        <v>1304</v>
      </c>
      <c r="D2063" s="219" t="s">
        <v>7199</v>
      </c>
      <c r="E2063" s="219" t="s">
        <v>1980</v>
      </c>
      <c r="F2063" s="455">
        <f t="shared" si="952"/>
        <v>24.37</v>
      </c>
      <c r="G2063" s="530">
        <v>24.37</v>
      </c>
      <c r="H2063" s="488">
        <f t="shared" si="953"/>
        <v>19.5</v>
      </c>
      <c r="I2063" s="707"/>
      <c r="J2063" s="669" t="s">
        <v>5805</v>
      </c>
      <c r="K2063" s="15"/>
      <c r="M2063" s="49">
        <f t="shared" si="954"/>
        <v>24.37</v>
      </c>
      <c r="N2063" s="41">
        <v>9.4600000000000009</v>
      </c>
      <c r="O2063" s="187"/>
      <c r="P2063" s="183"/>
      <c r="Q2063" s="184"/>
      <c r="R2063" s="178"/>
      <c r="S2063" s="184" t="s">
        <v>4180</v>
      </c>
      <c r="T2063" t="s">
        <v>1017</v>
      </c>
      <c r="U2063" s="185" t="s">
        <v>1017</v>
      </c>
      <c r="V2063" s="184"/>
      <c r="W2063" s="180"/>
      <c r="X2063" s="180"/>
      <c r="Y2063" s="178"/>
      <c r="Z2063" s="180"/>
      <c r="AA2063" s="184"/>
      <c r="AB2063" s="184" t="s">
        <v>1017</v>
      </c>
      <c r="AC2063" s="180"/>
      <c r="AD2063" s="182"/>
      <c r="AE2063" s="181" t="s">
        <v>1017</v>
      </c>
      <c r="AF2063" s="180"/>
      <c r="AG2063" s="201"/>
      <c r="AH2063" s="217" t="s">
        <v>4179</v>
      </c>
      <c r="AI2063" s="214" t="str">
        <f t="shared" si="947"/>
        <v/>
      </c>
      <c r="AJ2063" s="214" t="str">
        <f t="shared" si="948"/>
        <v/>
      </c>
      <c r="AK2063" s="214" t="str">
        <f t="shared" si="949"/>
        <v/>
      </c>
      <c r="AL2063" s="214" t="str">
        <f t="shared" si="950"/>
        <v/>
      </c>
      <c r="AM2063" s="214" t="str">
        <f t="shared" si="951"/>
        <v/>
      </c>
      <c r="AN2063" s="213" t="str">
        <f t="shared" si="933"/>
        <v>2012</v>
      </c>
      <c r="AO2063" s="213" t="str">
        <f t="shared" si="934"/>
        <v>2012</v>
      </c>
      <c r="AP2063" s="213" t="str">
        <f t="shared" si="935"/>
        <v>2012</v>
      </c>
      <c r="AQ2063" s="215" t="str">
        <f t="shared" si="936"/>
        <v/>
      </c>
      <c r="AR2063" s="216" t="str">
        <f t="shared" si="937"/>
        <v>BiK82LbK12y-07</v>
      </c>
      <c r="AS2063" s="215" t="str">
        <f t="shared" si="938"/>
        <v/>
      </c>
      <c r="AT2063">
        <f t="shared" si="939"/>
        <v>14</v>
      </c>
      <c r="AU2063" s="216" t="str">
        <f t="shared" si="940"/>
        <v>0,15-0,5 MW, Bonusregeln L, y, b und K erstmals 2012</v>
      </c>
      <c r="AV2063" s="215" t="str">
        <f t="shared" si="941"/>
        <v/>
      </c>
      <c r="AW2063" s="216" t="str">
        <f t="shared" si="942"/>
        <v>Anteil KWK, erstmals 2012</v>
      </c>
      <c r="AX2063" s="215" t="str">
        <f t="shared" si="943"/>
        <v/>
      </c>
      <c r="AY2063" t="str">
        <f t="shared" si="944"/>
        <v/>
      </c>
      <c r="AZ2063" t="str">
        <f t="shared" si="945"/>
        <v>x</v>
      </c>
    </row>
    <row r="2064" spans="1:52" x14ac:dyDescent="0.25">
      <c r="A2064" s="610" t="s">
        <v>4428</v>
      </c>
      <c r="B2064" s="30" t="s">
        <v>5548</v>
      </c>
      <c r="C2064" s="30" t="s">
        <v>1304</v>
      </c>
      <c r="D2064" s="30" t="s">
        <v>7200</v>
      </c>
      <c r="E2064" s="30" t="s">
        <v>4810</v>
      </c>
      <c r="F2064" s="454">
        <f t="shared" si="952"/>
        <v>21.46</v>
      </c>
      <c r="G2064" s="529">
        <v>21.46</v>
      </c>
      <c r="H2064" s="487">
        <f t="shared" si="953"/>
        <v>17.170000000000002</v>
      </c>
      <c r="I2064" s="706"/>
      <c r="J2064" s="669" t="s">
        <v>5805</v>
      </c>
      <c r="K2064" s="15"/>
      <c r="M2064" s="49">
        <f t="shared" si="954"/>
        <v>21.46</v>
      </c>
      <c r="N2064" s="41">
        <v>9.4600000000000009</v>
      </c>
      <c r="O2064" s="186"/>
      <c r="P2064" s="177"/>
      <c r="Q2064" s="178"/>
      <c r="R2064" s="178"/>
      <c r="S2064" s="178" t="s">
        <v>4180</v>
      </c>
      <c r="T2064" t="s">
        <v>4180</v>
      </c>
      <c r="U2064" s="179"/>
      <c r="V2064" s="178"/>
      <c r="W2064" s="180"/>
      <c r="X2064" s="180"/>
      <c r="Y2064" s="178"/>
      <c r="Z2064" s="180"/>
      <c r="AA2064" s="184"/>
      <c r="AB2064" s="178"/>
      <c r="AC2064" s="180"/>
      <c r="AD2064" s="182" t="s">
        <v>1017</v>
      </c>
      <c r="AE2064" s="181" t="s">
        <v>1017</v>
      </c>
      <c r="AF2064" s="180"/>
      <c r="AG2064" s="201"/>
      <c r="AH2064" s="212" t="str">
        <f t="shared" ref="AH2064:AH2069" si="955">IF(ISERROR(SEARCH("K erstmals 201",D2064)),"",RIGHT(D2064,4))</f>
        <v/>
      </c>
      <c r="AI2064" s="214" t="str">
        <f t="shared" si="947"/>
        <v/>
      </c>
      <c r="AJ2064" s="214" t="str">
        <f t="shared" si="948"/>
        <v/>
      </c>
      <c r="AK2064" s="214" t="str">
        <f t="shared" si="949"/>
        <v/>
      </c>
      <c r="AL2064" s="214" t="str">
        <f t="shared" si="950"/>
        <v/>
      </c>
      <c r="AM2064" s="214" t="str">
        <f t="shared" si="951"/>
        <v/>
      </c>
      <c r="AN2064" s="213" t="str">
        <f t="shared" si="933"/>
        <v/>
      </c>
      <c r="AO2064" s="213" t="str">
        <f t="shared" si="934"/>
        <v/>
      </c>
      <c r="AP2064" s="213" t="str">
        <f t="shared" si="935"/>
        <v/>
      </c>
      <c r="AQ2064" s="215" t="str">
        <f t="shared" si="936"/>
        <v/>
      </c>
      <c r="AR2064" s="216" t="str">
        <f t="shared" si="937"/>
        <v>BiK82X2b----07</v>
      </c>
      <c r="AS2064" s="215" t="str">
        <f t="shared" si="938"/>
        <v/>
      </c>
      <c r="AT2064">
        <f t="shared" si="939"/>
        <v>14</v>
      </c>
      <c r="AU2064" s="216" t="str">
        <f t="shared" si="940"/>
        <v>0,15-0,5 MW, Bonusregeln X2, b</v>
      </c>
      <c r="AV2064" s="215" t="str">
        <f t="shared" si="941"/>
        <v/>
      </c>
      <c r="AW2064" s="216" t="str">
        <f t="shared" si="942"/>
        <v>Anteil Nicht-KWK</v>
      </c>
      <c r="AX2064" s="215" t="str">
        <f t="shared" si="943"/>
        <v/>
      </c>
      <c r="AY2064" t="str">
        <f t="shared" si="944"/>
        <v/>
      </c>
      <c r="AZ2064" t="str">
        <f t="shared" si="945"/>
        <v/>
      </c>
    </row>
    <row r="2065" spans="1:52" x14ac:dyDescent="0.25">
      <c r="A2065" s="610" t="s">
        <v>4429</v>
      </c>
      <c r="B2065" s="30" t="s">
        <v>5548</v>
      </c>
      <c r="C2065" s="30" t="s">
        <v>1304</v>
      </c>
      <c r="D2065" s="30" t="s">
        <v>7201</v>
      </c>
      <c r="E2065" s="30" t="s">
        <v>4812</v>
      </c>
      <c r="F2065" s="454">
        <f t="shared" si="952"/>
        <v>23.46</v>
      </c>
      <c r="G2065" s="529">
        <v>23.46</v>
      </c>
      <c r="H2065" s="487">
        <f t="shared" si="953"/>
        <v>18.77</v>
      </c>
      <c r="I2065" s="706"/>
      <c r="J2065" s="669" t="s">
        <v>5805</v>
      </c>
      <c r="K2065" s="15"/>
      <c r="M2065" s="49">
        <f t="shared" si="954"/>
        <v>23.46</v>
      </c>
      <c r="N2065" s="41">
        <v>9.4600000000000009</v>
      </c>
      <c r="O2065" s="186" t="s">
        <v>1017</v>
      </c>
      <c r="P2065" s="177"/>
      <c r="Q2065" s="178"/>
      <c r="R2065" s="178"/>
      <c r="S2065" s="178" t="s">
        <v>4180</v>
      </c>
      <c r="T2065" t="s">
        <v>4180</v>
      </c>
      <c r="U2065" s="179"/>
      <c r="V2065" s="178"/>
      <c r="W2065" s="180"/>
      <c r="X2065" s="180"/>
      <c r="Y2065" s="178"/>
      <c r="Z2065" s="180"/>
      <c r="AA2065" s="184"/>
      <c r="AB2065" s="178"/>
      <c r="AC2065" s="180"/>
      <c r="AD2065" s="182" t="s">
        <v>1017</v>
      </c>
      <c r="AE2065" s="181" t="s">
        <v>1017</v>
      </c>
      <c r="AF2065" s="180"/>
      <c r="AG2065" s="201"/>
      <c r="AH2065" s="212" t="str">
        <f t="shared" si="955"/>
        <v/>
      </c>
      <c r="AI2065" s="214" t="str">
        <f t="shared" si="947"/>
        <v/>
      </c>
      <c r="AJ2065" s="214" t="str">
        <f t="shared" si="948"/>
        <v/>
      </c>
      <c r="AK2065" s="214" t="str">
        <f t="shared" si="949"/>
        <v/>
      </c>
      <c r="AL2065" s="214" t="str">
        <f t="shared" si="950"/>
        <v/>
      </c>
      <c r="AM2065" s="214" t="str">
        <f t="shared" si="951"/>
        <v/>
      </c>
      <c r="AN2065" s="213" t="str">
        <f t="shared" si="933"/>
        <v/>
      </c>
      <c r="AO2065" s="213" t="str">
        <f t="shared" si="934"/>
        <v/>
      </c>
      <c r="AP2065" s="213" t="str">
        <f t="shared" si="935"/>
        <v/>
      </c>
      <c r="AQ2065" s="215" t="str">
        <f t="shared" si="936"/>
        <v/>
      </c>
      <c r="AR2065" s="216" t="str">
        <f t="shared" si="937"/>
        <v>BiK82X2bKWK-07</v>
      </c>
      <c r="AS2065" s="215" t="str">
        <f t="shared" si="938"/>
        <v/>
      </c>
      <c r="AT2065">
        <f t="shared" si="939"/>
        <v>14</v>
      </c>
      <c r="AU2065" s="216" t="str">
        <f t="shared" si="940"/>
        <v>0,15-0,5 MW, Bonusregeln X2, b und KWK</v>
      </c>
      <c r="AV2065" s="215" t="str">
        <f t="shared" si="941"/>
        <v/>
      </c>
      <c r="AW2065" s="216" t="str">
        <f t="shared" si="942"/>
        <v>Anteil KWK</v>
      </c>
      <c r="AX2065" s="215" t="str">
        <f t="shared" si="943"/>
        <v/>
      </c>
      <c r="AY2065" t="str">
        <f t="shared" si="944"/>
        <v/>
      </c>
      <c r="AZ2065" t="str">
        <f t="shared" si="945"/>
        <v/>
      </c>
    </row>
    <row r="2066" spans="1:52" x14ac:dyDescent="0.25">
      <c r="A2066" s="610" t="s">
        <v>4430</v>
      </c>
      <c r="B2066" s="30" t="s">
        <v>5548</v>
      </c>
      <c r="C2066" s="30" t="s">
        <v>1304</v>
      </c>
      <c r="D2066" s="30" t="s">
        <v>7202</v>
      </c>
      <c r="E2066" s="30" t="s">
        <v>4331</v>
      </c>
      <c r="F2066" s="454">
        <f t="shared" si="952"/>
        <v>24.46</v>
      </c>
      <c r="G2066" s="529">
        <v>24.46</v>
      </c>
      <c r="H2066" s="487">
        <f t="shared" si="953"/>
        <v>19.57</v>
      </c>
      <c r="I2066" s="706"/>
      <c r="J2066" s="669" t="s">
        <v>5805</v>
      </c>
      <c r="K2066" s="15"/>
      <c r="M2066" s="49">
        <f t="shared" si="954"/>
        <v>24.46</v>
      </c>
      <c r="N2066" s="41">
        <v>9.4600000000000009</v>
      </c>
      <c r="O2066" s="186"/>
      <c r="P2066" s="178" t="s">
        <v>1017</v>
      </c>
      <c r="Q2066" s="178"/>
      <c r="R2066" s="178"/>
      <c r="S2066" s="178" t="s">
        <v>4180</v>
      </c>
      <c r="T2066" t="s">
        <v>4180</v>
      </c>
      <c r="U2066" s="179"/>
      <c r="V2066" s="178"/>
      <c r="W2066" s="180"/>
      <c r="X2066" s="180"/>
      <c r="Y2066" s="178"/>
      <c r="Z2066" s="180"/>
      <c r="AA2066" s="184"/>
      <c r="AB2066" s="178"/>
      <c r="AC2066" s="180"/>
      <c r="AD2066" s="199" t="s">
        <v>1017</v>
      </c>
      <c r="AE2066" s="181" t="s">
        <v>1017</v>
      </c>
      <c r="AF2066" s="180"/>
      <c r="AG2066" s="201"/>
      <c r="AH2066" s="212" t="str">
        <f t="shared" si="955"/>
        <v/>
      </c>
      <c r="AI2066" s="214" t="str">
        <f t="shared" si="947"/>
        <v/>
      </c>
      <c r="AJ2066" s="214" t="str">
        <f t="shared" si="948"/>
        <v/>
      </c>
      <c r="AK2066" s="214" t="str">
        <f t="shared" si="949"/>
        <v/>
      </c>
      <c r="AL2066" s="214" t="str">
        <f t="shared" si="950"/>
        <v/>
      </c>
      <c r="AM2066" s="214" t="str">
        <f t="shared" si="951"/>
        <v/>
      </c>
      <c r="AN2066" s="213" t="str">
        <f t="shared" si="933"/>
        <v/>
      </c>
      <c r="AO2066" s="213" t="str">
        <f t="shared" si="934"/>
        <v/>
      </c>
      <c r="AP2066" s="213" t="str">
        <f t="shared" si="935"/>
        <v/>
      </c>
      <c r="AQ2066" s="215" t="str">
        <f t="shared" si="936"/>
        <v/>
      </c>
      <c r="AR2066" s="216" t="str">
        <f t="shared" si="937"/>
        <v>BiK82X2bKA3-07</v>
      </c>
      <c r="AS2066" s="215" t="str">
        <f t="shared" si="938"/>
        <v/>
      </c>
      <c r="AT2066">
        <f t="shared" si="939"/>
        <v>14</v>
      </c>
      <c r="AU2066" s="216" t="str">
        <f t="shared" si="940"/>
        <v>0,15-0,5 MW, Bonusregeln X2, b und K wenn Anlage 3 erfüllt</v>
      </c>
      <c r="AV2066" s="215" t="str">
        <f t="shared" si="941"/>
        <v/>
      </c>
      <c r="AW2066" s="216" t="str">
        <f t="shared" si="942"/>
        <v>Anteil KWK gemäß Anlage 3</v>
      </c>
      <c r="AX2066" s="215" t="str">
        <f t="shared" si="943"/>
        <v/>
      </c>
      <c r="AY2066" t="str">
        <f t="shared" si="944"/>
        <v/>
      </c>
      <c r="AZ2066" t="str">
        <f t="shared" si="945"/>
        <v/>
      </c>
    </row>
    <row r="2067" spans="1:52" x14ac:dyDescent="0.25">
      <c r="A2067" s="610" t="s">
        <v>4431</v>
      </c>
      <c r="B2067" s="30" t="s">
        <v>5548</v>
      </c>
      <c r="C2067" s="30" t="s">
        <v>1304</v>
      </c>
      <c r="D2067" s="30" t="s">
        <v>7203</v>
      </c>
      <c r="E2067" s="30" t="s">
        <v>674</v>
      </c>
      <c r="F2067" s="454">
        <f t="shared" si="952"/>
        <v>24.46</v>
      </c>
      <c r="G2067" s="529">
        <v>24.46</v>
      </c>
      <c r="H2067" s="487">
        <f t="shared" si="953"/>
        <v>19.57</v>
      </c>
      <c r="I2067" s="706"/>
      <c r="J2067" s="669" t="s">
        <v>5805</v>
      </c>
      <c r="K2067" s="15"/>
      <c r="M2067" s="49">
        <f t="shared" si="954"/>
        <v>24.46</v>
      </c>
      <c r="N2067" s="41">
        <v>9.4600000000000009</v>
      </c>
      <c r="O2067" s="186"/>
      <c r="P2067" s="177"/>
      <c r="Q2067" s="178" t="s">
        <v>1017</v>
      </c>
      <c r="R2067" s="178"/>
      <c r="S2067" s="178" t="s">
        <v>4180</v>
      </c>
      <c r="T2067" t="s">
        <v>4180</v>
      </c>
      <c r="U2067" s="179"/>
      <c r="V2067" s="178"/>
      <c r="W2067" s="180"/>
      <c r="X2067" s="180"/>
      <c r="Y2067" s="178"/>
      <c r="Z2067" s="180"/>
      <c r="AA2067" s="184"/>
      <c r="AB2067" s="178"/>
      <c r="AC2067" s="180"/>
      <c r="AD2067" s="199" t="s">
        <v>1017</v>
      </c>
      <c r="AE2067" s="181" t="s">
        <v>1017</v>
      </c>
      <c r="AF2067" s="180"/>
      <c r="AG2067" s="201"/>
      <c r="AH2067" s="212" t="str">
        <f t="shared" si="955"/>
        <v/>
      </c>
      <c r="AI2067" s="214" t="str">
        <f t="shared" si="947"/>
        <v/>
      </c>
      <c r="AJ2067" s="214" t="str">
        <f t="shared" si="948"/>
        <v/>
      </c>
      <c r="AK2067" s="214" t="str">
        <f t="shared" si="949"/>
        <v/>
      </c>
      <c r="AL2067" s="214" t="str">
        <f t="shared" si="950"/>
        <v/>
      </c>
      <c r="AM2067" s="214" t="str">
        <f t="shared" si="951"/>
        <v/>
      </c>
      <c r="AN2067" s="213" t="str">
        <f t="shared" si="933"/>
        <v/>
      </c>
      <c r="AO2067" s="213" t="str">
        <f t="shared" si="934"/>
        <v/>
      </c>
      <c r="AP2067" s="213" t="str">
        <f t="shared" si="935"/>
        <v/>
      </c>
      <c r="AQ2067" s="215" t="str">
        <f t="shared" si="936"/>
        <v/>
      </c>
      <c r="AR2067" s="216" t="str">
        <f t="shared" si="937"/>
        <v>BiK82X2bK09-07</v>
      </c>
      <c r="AS2067" s="215" t="str">
        <f t="shared" si="938"/>
        <v/>
      </c>
      <c r="AT2067">
        <f t="shared" si="939"/>
        <v>14</v>
      </c>
      <c r="AU2067" s="216" t="str">
        <f t="shared" si="940"/>
        <v>0,15-0,5 MW, Bonusregeln X2, b und K erstmals 2009</v>
      </c>
      <c r="AV2067" s="215" t="str">
        <f t="shared" si="941"/>
        <v/>
      </c>
      <c r="AW2067" s="216" t="str">
        <f t="shared" si="942"/>
        <v>Anteil KWK, erstmals 2009</v>
      </c>
      <c r="AX2067" s="215" t="str">
        <f t="shared" si="943"/>
        <v/>
      </c>
      <c r="AY2067" t="str">
        <f t="shared" si="944"/>
        <v/>
      </c>
      <c r="AZ2067" t="str">
        <f t="shared" si="945"/>
        <v/>
      </c>
    </row>
    <row r="2068" spans="1:52" x14ac:dyDescent="0.25">
      <c r="A2068" s="610" t="s">
        <v>3148</v>
      </c>
      <c r="B2068" s="30" t="s">
        <v>5548</v>
      </c>
      <c r="C2068" s="30" t="s">
        <v>1304</v>
      </c>
      <c r="D2068" s="30" t="s">
        <v>7204</v>
      </c>
      <c r="E2068" s="30" t="s">
        <v>3567</v>
      </c>
      <c r="F2068" s="454">
        <f t="shared" si="952"/>
        <v>24.43</v>
      </c>
      <c r="G2068" s="529">
        <v>24.43</v>
      </c>
      <c r="H2068" s="487">
        <f t="shared" si="953"/>
        <v>19.54</v>
      </c>
      <c r="I2068" s="706"/>
      <c r="J2068" s="669" t="s">
        <v>5805</v>
      </c>
      <c r="K2068" s="15"/>
      <c r="M2068" s="49">
        <f t="shared" si="954"/>
        <v>24.43</v>
      </c>
      <c r="N2068" s="41">
        <v>9.4600000000000009</v>
      </c>
      <c r="O2068" s="186"/>
      <c r="P2068" s="177"/>
      <c r="Q2068" s="178"/>
      <c r="R2068" s="178" t="s">
        <v>1017</v>
      </c>
      <c r="S2068" s="178" t="s">
        <v>4180</v>
      </c>
      <c r="T2068" t="s">
        <v>4180</v>
      </c>
      <c r="U2068" s="179"/>
      <c r="V2068" s="178"/>
      <c r="W2068" s="180"/>
      <c r="X2068" s="180"/>
      <c r="Y2068" s="178"/>
      <c r="Z2068" s="180"/>
      <c r="AA2068" s="184"/>
      <c r="AB2068" s="178"/>
      <c r="AC2068" s="180"/>
      <c r="AD2068" s="199" t="s">
        <v>1017</v>
      </c>
      <c r="AE2068" s="181" t="s">
        <v>1017</v>
      </c>
      <c r="AF2068" s="180"/>
      <c r="AG2068" s="201"/>
      <c r="AH2068" s="212" t="str">
        <f t="shared" si="955"/>
        <v>2010</v>
      </c>
      <c r="AI2068" s="214" t="str">
        <f t="shared" si="947"/>
        <v/>
      </c>
      <c r="AJ2068" s="214" t="str">
        <f t="shared" si="948"/>
        <v/>
      </c>
      <c r="AK2068" s="214" t="str">
        <f t="shared" si="949"/>
        <v/>
      </c>
      <c r="AL2068" s="214" t="str">
        <f t="shared" si="950"/>
        <v/>
      </c>
      <c r="AM2068" s="214" t="str">
        <f t="shared" si="951"/>
        <v/>
      </c>
      <c r="AN2068" s="213" t="str">
        <f t="shared" si="933"/>
        <v>2010</v>
      </c>
      <c r="AO2068" s="213" t="str">
        <f t="shared" si="934"/>
        <v>2010</v>
      </c>
      <c r="AP2068" s="213" t="str">
        <f t="shared" si="935"/>
        <v>2010</v>
      </c>
      <c r="AQ2068" s="215" t="str">
        <f t="shared" si="936"/>
        <v/>
      </c>
      <c r="AR2068" s="216" t="str">
        <f t="shared" si="937"/>
        <v>BiK82X2bK10-07</v>
      </c>
      <c r="AS2068" s="215" t="str">
        <f t="shared" si="938"/>
        <v/>
      </c>
      <c r="AT2068">
        <f t="shared" si="939"/>
        <v>14</v>
      </c>
      <c r="AU2068" s="216" t="str">
        <f t="shared" si="940"/>
        <v>0,15-0,5 MW, Bonusregeln X2, b und K erstmals 2010</v>
      </c>
      <c r="AV2068" s="215" t="str">
        <f t="shared" si="941"/>
        <v/>
      </c>
      <c r="AW2068" s="216" t="str">
        <f t="shared" si="942"/>
        <v>Anteil KWK, erstmals 2010</v>
      </c>
      <c r="AX2068" s="215" t="str">
        <f t="shared" si="943"/>
        <v/>
      </c>
      <c r="AY2068" t="str">
        <f t="shared" si="944"/>
        <v/>
      </c>
      <c r="AZ2068" t="str">
        <f t="shared" si="945"/>
        <v/>
      </c>
    </row>
    <row r="2069" spans="1:52" x14ac:dyDescent="0.25">
      <c r="A2069" s="610" t="s">
        <v>3424</v>
      </c>
      <c r="B2069" s="30" t="s">
        <v>5548</v>
      </c>
      <c r="C2069" s="30" t="s">
        <v>1304</v>
      </c>
      <c r="D2069" s="30" t="s">
        <v>7205</v>
      </c>
      <c r="E2069" s="30" t="s">
        <v>3055</v>
      </c>
      <c r="F2069" s="454">
        <f t="shared" si="952"/>
        <v>24.4</v>
      </c>
      <c r="G2069" s="529">
        <v>24.4</v>
      </c>
      <c r="H2069" s="487">
        <f t="shared" si="953"/>
        <v>19.52</v>
      </c>
      <c r="I2069" s="706"/>
      <c r="J2069" s="669" t="s">
        <v>5805</v>
      </c>
      <c r="K2069" s="15"/>
      <c r="M2069" s="49">
        <f t="shared" si="954"/>
        <v>24.4</v>
      </c>
      <c r="N2069" s="41">
        <v>9.4600000000000009</v>
      </c>
      <c r="O2069" s="186"/>
      <c r="P2069" s="177"/>
      <c r="Q2069" s="178"/>
      <c r="R2069" s="178"/>
      <c r="S2069" s="178" t="s">
        <v>1017</v>
      </c>
      <c r="T2069" t="s">
        <v>4180</v>
      </c>
      <c r="U2069" s="179"/>
      <c r="V2069" s="178"/>
      <c r="W2069" s="180"/>
      <c r="X2069" s="180"/>
      <c r="Y2069" s="178"/>
      <c r="Z2069" s="180"/>
      <c r="AA2069" s="184"/>
      <c r="AB2069" s="178"/>
      <c r="AC2069" s="180"/>
      <c r="AD2069" s="199" t="s">
        <v>1017</v>
      </c>
      <c r="AE2069" s="181" t="s">
        <v>1017</v>
      </c>
      <c r="AF2069" s="180"/>
      <c r="AG2069" s="201"/>
      <c r="AH2069" s="212" t="str">
        <f t="shared" si="955"/>
        <v>2011</v>
      </c>
      <c r="AI2069" s="214" t="str">
        <f t="shared" si="947"/>
        <v/>
      </c>
      <c r="AJ2069" s="214" t="str">
        <f t="shared" si="948"/>
        <v/>
      </c>
      <c r="AK2069" s="214" t="str">
        <f t="shared" si="949"/>
        <v/>
      </c>
      <c r="AL2069" s="214" t="str">
        <f t="shared" si="950"/>
        <v/>
      </c>
      <c r="AM2069" s="214" t="str">
        <f t="shared" si="951"/>
        <v/>
      </c>
      <c r="AN2069" s="213" t="str">
        <f t="shared" si="933"/>
        <v>2011</v>
      </c>
      <c r="AO2069" s="213" t="str">
        <f t="shared" si="934"/>
        <v>2011</v>
      </c>
      <c r="AP2069" s="213" t="str">
        <f t="shared" si="935"/>
        <v>2011</v>
      </c>
      <c r="AQ2069" s="215" t="str">
        <f t="shared" si="936"/>
        <v/>
      </c>
      <c r="AR2069" s="216" t="str">
        <f t="shared" si="937"/>
        <v>BiK82X2bK11-07</v>
      </c>
      <c r="AS2069" s="215" t="str">
        <f t="shared" si="938"/>
        <v/>
      </c>
      <c r="AT2069">
        <f t="shared" si="939"/>
        <v>14</v>
      </c>
      <c r="AU2069" s="216" t="str">
        <f t="shared" si="940"/>
        <v>0,15-0,5 MW, Bonusregeln X2, b und K erstmals 2011</v>
      </c>
      <c r="AV2069" s="215" t="str">
        <f t="shared" si="941"/>
        <v/>
      </c>
      <c r="AW2069" s="216" t="str">
        <f t="shared" si="942"/>
        <v>Anteil KWK, erstmals 2011</v>
      </c>
      <c r="AX2069" s="215" t="str">
        <f t="shared" si="943"/>
        <v/>
      </c>
      <c r="AY2069" t="str">
        <f t="shared" si="944"/>
        <v>x</v>
      </c>
      <c r="AZ2069" t="str">
        <f t="shared" si="945"/>
        <v/>
      </c>
    </row>
    <row r="2070" spans="1:52" x14ac:dyDescent="0.25">
      <c r="A2070" s="625" t="s">
        <v>1856</v>
      </c>
      <c r="B2070" s="219" t="s">
        <v>5548</v>
      </c>
      <c r="C2070" s="219" t="s">
        <v>1304</v>
      </c>
      <c r="D2070" s="219" t="s">
        <v>7206</v>
      </c>
      <c r="E2070" s="219" t="s">
        <v>1980</v>
      </c>
      <c r="F2070" s="455">
        <f t="shared" si="952"/>
        <v>24.37</v>
      </c>
      <c r="G2070" s="530">
        <v>24.37</v>
      </c>
      <c r="H2070" s="488">
        <f t="shared" si="953"/>
        <v>19.5</v>
      </c>
      <c r="I2070" s="707"/>
      <c r="J2070" s="669" t="s">
        <v>5805</v>
      </c>
      <c r="K2070" s="15"/>
      <c r="M2070" s="49">
        <f t="shared" si="954"/>
        <v>24.37</v>
      </c>
      <c r="N2070" s="41">
        <v>9.4600000000000009</v>
      </c>
      <c r="O2070" s="186"/>
      <c r="P2070" s="177"/>
      <c r="Q2070" s="178"/>
      <c r="R2070" s="178"/>
      <c r="S2070" s="178" t="s">
        <v>4180</v>
      </c>
      <c r="T2070" t="s">
        <v>1017</v>
      </c>
      <c r="U2070" s="179"/>
      <c r="V2070" s="178"/>
      <c r="W2070" s="180"/>
      <c r="X2070" s="180"/>
      <c r="Y2070" s="178"/>
      <c r="Z2070" s="180"/>
      <c r="AA2070" s="184"/>
      <c r="AB2070" s="178"/>
      <c r="AC2070" s="180"/>
      <c r="AD2070" s="199" t="s">
        <v>1017</v>
      </c>
      <c r="AE2070" s="181" t="s">
        <v>1017</v>
      </c>
      <c r="AF2070" s="180"/>
      <c r="AG2070" s="201"/>
      <c r="AH2070" s="217" t="s">
        <v>4179</v>
      </c>
      <c r="AI2070" s="214" t="str">
        <f t="shared" si="947"/>
        <v/>
      </c>
      <c r="AJ2070" s="214" t="str">
        <f t="shared" si="948"/>
        <v/>
      </c>
      <c r="AK2070" s="214" t="str">
        <f t="shared" si="949"/>
        <v/>
      </c>
      <c r="AL2070" s="214" t="str">
        <f t="shared" si="950"/>
        <v/>
      </c>
      <c r="AM2070" s="214" t="str">
        <f t="shared" si="951"/>
        <v/>
      </c>
      <c r="AN2070" s="213" t="str">
        <f t="shared" si="933"/>
        <v>2012</v>
      </c>
      <c r="AO2070" s="213" t="str">
        <f t="shared" si="934"/>
        <v>2012</v>
      </c>
      <c r="AP2070" s="213" t="str">
        <f t="shared" si="935"/>
        <v>2012</v>
      </c>
      <c r="AQ2070" s="215" t="str">
        <f t="shared" si="936"/>
        <v/>
      </c>
      <c r="AR2070" s="216" t="str">
        <f t="shared" si="937"/>
        <v>BiK82X2bK12-07</v>
      </c>
      <c r="AS2070" s="215" t="str">
        <f t="shared" si="938"/>
        <v/>
      </c>
      <c r="AT2070">
        <f t="shared" si="939"/>
        <v>14</v>
      </c>
      <c r="AU2070" s="216" t="str">
        <f t="shared" si="940"/>
        <v>0,15-0,5 MW, Bonusregeln X2, b und K erstmals 2012</v>
      </c>
      <c r="AV2070" s="215" t="str">
        <f t="shared" si="941"/>
        <v/>
      </c>
      <c r="AW2070" s="216" t="str">
        <f t="shared" si="942"/>
        <v>Anteil KWK, erstmals 2012</v>
      </c>
      <c r="AX2070" s="215" t="str">
        <f t="shared" si="943"/>
        <v/>
      </c>
      <c r="AY2070" t="str">
        <f t="shared" si="944"/>
        <v/>
      </c>
      <c r="AZ2070" t="str">
        <f t="shared" si="945"/>
        <v>x</v>
      </c>
    </row>
    <row r="2071" spans="1:52" x14ac:dyDescent="0.25">
      <c r="A2071" s="610" t="s">
        <v>4432</v>
      </c>
      <c r="B2071" s="30" t="s">
        <v>5548</v>
      </c>
      <c r="C2071" s="30" t="s">
        <v>1304</v>
      </c>
      <c r="D2071" s="30" t="s">
        <v>7207</v>
      </c>
      <c r="E2071" s="30" t="s">
        <v>4810</v>
      </c>
      <c r="F2071" s="454">
        <f t="shared" si="952"/>
        <v>22.46</v>
      </c>
      <c r="G2071" s="529">
        <v>22.46</v>
      </c>
      <c r="H2071" s="487">
        <f t="shared" si="953"/>
        <v>17.97</v>
      </c>
      <c r="I2071" s="706"/>
      <c r="J2071" s="669" t="s">
        <v>5805</v>
      </c>
      <c r="K2071" s="15"/>
      <c r="M2071" s="49">
        <f t="shared" si="954"/>
        <v>22.46</v>
      </c>
      <c r="N2071" s="41">
        <v>9.4600000000000009</v>
      </c>
      <c r="O2071" s="187"/>
      <c r="P2071" s="183"/>
      <c r="Q2071" s="184"/>
      <c r="R2071" s="184"/>
      <c r="S2071" s="184" t="s">
        <v>4180</v>
      </c>
      <c r="T2071" t="s">
        <v>4180</v>
      </c>
      <c r="U2071" s="185" t="s">
        <v>1017</v>
      </c>
      <c r="V2071" s="184"/>
      <c r="W2071" s="180"/>
      <c r="X2071" s="180"/>
      <c r="Y2071" s="178"/>
      <c r="Z2071" s="180"/>
      <c r="AA2071" s="184"/>
      <c r="AB2071" s="178"/>
      <c r="AC2071" s="180"/>
      <c r="AD2071" s="182" t="s">
        <v>1017</v>
      </c>
      <c r="AE2071" s="181" t="s">
        <v>1017</v>
      </c>
      <c r="AF2071" s="180"/>
      <c r="AG2071" s="201"/>
      <c r="AH2071" s="212" t="str">
        <f t="shared" ref="AH2071:AH2076" si="956">IF(ISERROR(SEARCH("K erstmals 201",D2071)),"",RIGHT(D2071,4))</f>
        <v/>
      </c>
      <c r="AI2071" s="214" t="str">
        <f t="shared" si="947"/>
        <v/>
      </c>
      <c r="AJ2071" s="214" t="str">
        <f t="shared" si="948"/>
        <v/>
      </c>
      <c r="AK2071" s="214" t="str">
        <f t="shared" si="949"/>
        <v/>
      </c>
      <c r="AL2071" s="214" t="str">
        <f t="shared" si="950"/>
        <v/>
      </c>
      <c r="AM2071" s="214" t="str">
        <f t="shared" si="951"/>
        <v/>
      </c>
      <c r="AN2071" s="213" t="str">
        <f t="shared" si="933"/>
        <v/>
      </c>
      <c r="AO2071" s="213" t="str">
        <f t="shared" si="934"/>
        <v/>
      </c>
      <c r="AP2071" s="213" t="str">
        <f t="shared" si="935"/>
        <v/>
      </c>
      <c r="AQ2071" s="215" t="str">
        <f t="shared" si="936"/>
        <v/>
      </c>
      <c r="AR2071" s="216" t="str">
        <f t="shared" si="937"/>
        <v>BiK82X2by---07</v>
      </c>
      <c r="AS2071" s="215" t="str">
        <f t="shared" si="938"/>
        <v/>
      </c>
      <c r="AT2071">
        <f t="shared" si="939"/>
        <v>14</v>
      </c>
      <c r="AU2071" s="216" t="str">
        <f t="shared" si="940"/>
        <v>0,15-0,5 MW, Bonusregeln X2, y, b</v>
      </c>
      <c r="AV2071" s="215" t="str">
        <f t="shared" si="941"/>
        <v/>
      </c>
      <c r="AW2071" s="216" t="str">
        <f t="shared" si="942"/>
        <v>Anteil Nicht-KWK</v>
      </c>
      <c r="AX2071" s="215" t="str">
        <f t="shared" si="943"/>
        <v/>
      </c>
      <c r="AY2071" t="str">
        <f t="shared" si="944"/>
        <v/>
      </c>
      <c r="AZ2071" t="str">
        <f t="shared" si="945"/>
        <v/>
      </c>
    </row>
    <row r="2072" spans="1:52" x14ac:dyDescent="0.25">
      <c r="A2072" s="610" t="s">
        <v>4433</v>
      </c>
      <c r="B2072" s="30" t="s">
        <v>5548</v>
      </c>
      <c r="C2072" s="30" t="s">
        <v>1304</v>
      </c>
      <c r="D2072" s="30" t="s">
        <v>7208</v>
      </c>
      <c r="E2072" s="30" t="s">
        <v>4812</v>
      </c>
      <c r="F2072" s="454">
        <f t="shared" si="952"/>
        <v>24.46</v>
      </c>
      <c r="G2072" s="529">
        <v>24.46</v>
      </c>
      <c r="H2072" s="487">
        <f t="shared" si="953"/>
        <v>19.57</v>
      </c>
      <c r="I2072" s="706"/>
      <c r="J2072" s="669" t="s">
        <v>5805</v>
      </c>
      <c r="K2072" s="15"/>
      <c r="M2072" s="49">
        <f t="shared" si="954"/>
        <v>24.46</v>
      </c>
      <c r="N2072" s="41">
        <v>9.4600000000000009</v>
      </c>
      <c r="O2072" s="187" t="s">
        <v>1017</v>
      </c>
      <c r="P2072" s="183"/>
      <c r="Q2072" s="184"/>
      <c r="R2072" s="184"/>
      <c r="S2072" s="184" t="s">
        <v>4180</v>
      </c>
      <c r="T2072" t="s">
        <v>4180</v>
      </c>
      <c r="U2072" s="185" t="s">
        <v>1017</v>
      </c>
      <c r="V2072" s="184"/>
      <c r="W2072" s="180"/>
      <c r="X2072" s="180"/>
      <c r="Y2072" s="178"/>
      <c r="Z2072" s="180"/>
      <c r="AA2072" s="184"/>
      <c r="AB2072" s="178"/>
      <c r="AC2072" s="180"/>
      <c r="AD2072" s="182" t="s">
        <v>1017</v>
      </c>
      <c r="AE2072" s="181" t="s">
        <v>1017</v>
      </c>
      <c r="AF2072" s="180"/>
      <c r="AG2072" s="201"/>
      <c r="AH2072" s="212" t="str">
        <f t="shared" si="956"/>
        <v/>
      </c>
      <c r="AI2072" s="214" t="str">
        <f t="shared" si="947"/>
        <v/>
      </c>
      <c r="AJ2072" s="214" t="str">
        <f t="shared" si="948"/>
        <v/>
      </c>
      <c r="AK2072" s="214" t="str">
        <f t="shared" si="949"/>
        <v/>
      </c>
      <c r="AL2072" s="214" t="str">
        <f t="shared" si="950"/>
        <v/>
      </c>
      <c r="AM2072" s="214" t="str">
        <f t="shared" si="951"/>
        <v/>
      </c>
      <c r="AN2072" s="213" t="str">
        <f t="shared" si="933"/>
        <v/>
      </c>
      <c r="AO2072" s="213" t="str">
        <f t="shared" si="934"/>
        <v/>
      </c>
      <c r="AP2072" s="213" t="str">
        <f t="shared" si="935"/>
        <v/>
      </c>
      <c r="AQ2072" s="215" t="str">
        <f t="shared" si="936"/>
        <v/>
      </c>
      <c r="AR2072" s="216" t="str">
        <f t="shared" si="937"/>
        <v>BiK82X2bKWKy07</v>
      </c>
      <c r="AS2072" s="215" t="str">
        <f t="shared" si="938"/>
        <v/>
      </c>
      <c r="AT2072">
        <f t="shared" si="939"/>
        <v>14</v>
      </c>
      <c r="AU2072" s="216" t="str">
        <f t="shared" si="940"/>
        <v>0,15-0,5 MW, Bonusregeln X2, y, b und KWK</v>
      </c>
      <c r="AV2072" s="215" t="str">
        <f t="shared" si="941"/>
        <v/>
      </c>
      <c r="AW2072" s="216" t="str">
        <f t="shared" si="942"/>
        <v>Anteil KWK</v>
      </c>
      <c r="AX2072" s="215" t="str">
        <f t="shared" si="943"/>
        <v/>
      </c>
      <c r="AY2072" t="str">
        <f t="shared" si="944"/>
        <v/>
      </c>
      <c r="AZ2072" t="str">
        <f t="shared" si="945"/>
        <v/>
      </c>
    </row>
    <row r="2073" spans="1:52" x14ac:dyDescent="0.25">
      <c r="A2073" s="610" t="s">
        <v>4434</v>
      </c>
      <c r="B2073" s="30" t="s">
        <v>5548</v>
      </c>
      <c r="C2073" s="30" t="s">
        <v>1304</v>
      </c>
      <c r="D2073" s="109" t="s">
        <v>7209</v>
      </c>
      <c r="E2073" s="30" t="s">
        <v>4331</v>
      </c>
      <c r="F2073" s="454">
        <f t="shared" si="952"/>
        <v>25.46</v>
      </c>
      <c r="G2073" s="529">
        <v>25.46</v>
      </c>
      <c r="H2073" s="487">
        <f t="shared" si="953"/>
        <v>20.37</v>
      </c>
      <c r="I2073" s="706"/>
      <c r="J2073" s="669" t="s">
        <v>5805</v>
      </c>
      <c r="K2073" s="15"/>
      <c r="M2073" s="49">
        <f t="shared" si="954"/>
        <v>25.46</v>
      </c>
      <c r="N2073" s="41">
        <v>9.4600000000000009</v>
      </c>
      <c r="O2073" s="187"/>
      <c r="P2073" s="184" t="s">
        <v>1017</v>
      </c>
      <c r="Q2073" s="184"/>
      <c r="R2073" s="184"/>
      <c r="S2073" s="184" t="s">
        <v>4180</v>
      </c>
      <c r="T2073" t="s">
        <v>4180</v>
      </c>
      <c r="U2073" s="185" t="s">
        <v>1017</v>
      </c>
      <c r="V2073" s="184"/>
      <c r="W2073" s="180"/>
      <c r="X2073" s="180"/>
      <c r="Y2073" s="178"/>
      <c r="Z2073" s="180"/>
      <c r="AA2073" s="184"/>
      <c r="AB2073" s="178"/>
      <c r="AC2073" s="180"/>
      <c r="AD2073" s="182" t="s">
        <v>1017</v>
      </c>
      <c r="AE2073" s="181" t="s">
        <v>1017</v>
      </c>
      <c r="AF2073" s="180"/>
      <c r="AG2073" s="201"/>
      <c r="AH2073" s="212" t="str">
        <f t="shared" si="956"/>
        <v/>
      </c>
      <c r="AI2073" s="214" t="str">
        <f t="shared" si="947"/>
        <v/>
      </c>
      <c r="AJ2073" s="214" t="str">
        <f t="shared" si="948"/>
        <v/>
      </c>
      <c r="AK2073" s="214" t="str">
        <f t="shared" si="949"/>
        <v/>
      </c>
      <c r="AL2073" s="214" t="str">
        <f t="shared" si="950"/>
        <v/>
      </c>
      <c r="AM2073" s="214" t="str">
        <f t="shared" si="951"/>
        <v/>
      </c>
      <c r="AN2073" s="213" t="str">
        <f t="shared" si="933"/>
        <v/>
      </c>
      <c r="AO2073" s="213" t="str">
        <f t="shared" si="934"/>
        <v/>
      </c>
      <c r="AP2073" s="213" t="str">
        <f t="shared" si="935"/>
        <v/>
      </c>
      <c r="AQ2073" s="215" t="str">
        <f t="shared" si="936"/>
        <v/>
      </c>
      <c r="AR2073" s="216" t="str">
        <f t="shared" si="937"/>
        <v>BiK82X2bKA3y07</v>
      </c>
      <c r="AS2073" s="215" t="str">
        <f t="shared" si="938"/>
        <v/>
      </c>
      <c r="AT2073">
        <f t="shared" si="939"/>
        <v>14</v>
      </c>
      <c r="AU2073" s="216" t="str">
        <f t="shared" si="940"/>
        <v>0,15-0,5 MW, Bonusregeln X2, y, b und K wenn Anlage 3 erfüllt</v>
      </c>
      <c r="AV2073" s="215" t="str">
        <f t="shared" si="941"/>
        <v/>
      </c>
      <c r="AW2073" s="216" t="str">
        <f t="shared" si="942"/>
        <v>Anteil KWK gemäß Anlage 3</v>
      </c>
      <c r="AX2073" s="215" t="str">
        <f t="shared" si="943"/>
        <v/>
      </c>
      <c r="AY2073" t="str">
        <f t="shared" si="944"/>
        <v/>
      </c>
      <c r="AZ2073" t="str">
        <f t="shared" si="945"/>
        <v/>
      </c>
    </row>
    <row r="2074" spans="1:52" x14ac:dyDescent="0.25">
      <c r="A2074" s="610" t="s">
        <v>4435</v>
      </c>
      <c r="B2074" s="30" t="s">
        <v>5548</v>
      </c>
      <c r="C2074" s="30" t="s">
        <v>1304</v>
      </c>
      <c r="D2074" s="30" t="s">
        <v>7210</v>
      </c>
      <c r="E2074" s="30" t="s">
        <v>674</v>
      </c>
      <c r="F2074" s="454">
        <f t="shared" si="952"/>
        <v>25.46</v>
      </c>
      <c r="G2074" s="529">
        <v>25.46</v>
      </c>
      <c r="H2074" s="487">
        <f t="shared" si="953"/>
        <v>20.37</v>
      </c>
      <c r="I2074" s="706"/>
      <c r="J2074" s="669" t="s">
        <v>5805</v>
      </c>
      <c r="K2074" s="15"/>
      <c r="M2074" s="49">
        <f t="shared" si="954"/>
        <v>25.46</v>
      </c>
      <c r="N2074" s="41">
        <v>9.4600000000000009</v>
      </c>
      <c r="O2074" s="187"/>
      <c r="P2074" s="183"/>
      <c r="Q2074" s="184" t="s">
        <v>1017</v>
      </c>
      <c r="R2074" s="184"/>
      <c r="S2074" s="184" t="s">
        <v>4180</v>
      </c>
      <c r="T2074" t="s">
        <v>4180</v>
      </c>
      <c r="U2074" s="185" t="s">
        <v>1017</v>
      </c>
      <c r="V2074" s="184"/>
      <c r="W2074" s="180"/>
      <c r="X2074" s="180"/>
      <c r="Y2074" s="178"/>
      <c r="Z2074" s="180"/>
      <c r="AA2074" s="184"/>
      <c r="AB2074" s="178"/>
      <c r="AC2074" s="180"/>
      <c r="AD2074" s="182" t="s">
        <v>1017</v>
      </c>
      <c r="AE2074" s="181" t="s">
        <v>1017</v>
      </c>
      <c r="AF2074" s="180"/>
      <c r="AG2074" s="201"/>
      <c r="AH2074" s="212" t="str">
        <f t="shared" si="956"/>
        <v/>
      </c>
      <c r="AI2074" s="214" t="str">
        <f t="shared" si="947"/>
        <v/>
      </c>
      <c r="AJ2074" s="214" t="str">
        <f t="shared" si="948"/>
        <v/>
      </c>
      <c r="AK2074" s="214" t="str">
        <f t="shared" si="949"/>
        <v/>
      </c>
      <c r="AL2074" s="214" t="str">
        <f t="shared" si="950"/>
        <v/>
      </c>
      <c r="AM2074" s="214" t="str">
        <f t="shared" si="951"/>
        <v/>
      </c>
      <c r="AN2074" s="213" t="str">
        <f t="shared" si="933"/>
        <v/>
      </c>
      <c r="AO2074" s="213" t="str">
        <f t="shared" si="934"/>
        <v/>
      </c>
      <c r="AP2074" s="213" t="str">
        <f t="shared" si="935"/>
        <v/>
      </c>
      <c r="AQ2074" s="215" t="str">
        <f t="shared" si="936"/>
        <v/>
      </c>
      <c r="AR2074" s="216" t="str">
        <f t="shared" si="937"/>
        <v>BiK82X2bK09y07</v>
      </c>
      <c r="AS2074" s="215" t="str">
        <f t="shared" si="938"/>
        <v/>
      </c>
      <c r="AT2074">
        <f t="shared" si="939"/>
        <v>14</v>
      </c>
      <c r="AU2074" s="216" t="str">
        <f t="shared" si="940"/>
        <v>0,15-0,5 MW, Bonusregeln X2, y, b und K erstmals 2009</v>
      </c>
      <c r="AV2074" s="215" t="str">
        <f t="shared" si="941"/>
        <v/>
      </c>
      <c r="AW2074" s="216" t="str">
        <f t="shared" si="942"/>
        <v>Anteil KWK, erstmals 2009</v>
      </c>
      <c r="AX2074" s="215" t="str">
        <f t="shared" si="943"/>
        <v/>
      </c>
      <c r="AY2074" t="str">
        <f t="shared" si="944"/>
        <v/>
      </c>
      <c r="AZ2074" t="str">
        <f t="shared" si="945"/>
        <v/>
      </c>
    </row>
    <row r="2075" spans="1:52" x14ac:dyDescent="0.25">
      <c r="A2075" s="610" t="s">
        <v>3149</v>
      </c>
      <c r="B2075" s="30" t="s">
        <v>5548</v>
      </c>
      <c r="C2075" s="30" t="s">
        <v>1304</v>
      </c>
      <c r="D2075" s="30" t="s">
        <v>7211</v>
      </c>
      <c r="E2075" s="30" t="s">
        <v>3567</v>
      </c>
      <c r="F2075" s="454">
        <f t="shared" si="952"/>
        <v>25.43</v>
      </c>
      <c r="G2075" s="529">
        <v>25.43</v>
      </c>
      <c r="H2075" s="487">
        <f t="shared" si="953"/>
        <v>20.34</v>
      </c>
      <c r="I2075" s="706"/>
      <c r="J2075" s="669" t="s">
        <v>5805</v>
      </c>
      <c r="K2075" s="15"/>
      <c r="M2075" s="49">
        <f t="shared" si="954"/>
        <v>25.43</v>
      </c>
      <c r="N2075" s="41">
        <v>9.4600000000000009</v>
      </c>
      <c r="O2075" s="187"/>
      <c r="P2075" s="183"/>
      <c r="Q2075" s="184"/>
      <c r="R2075" s="184" t="s">
        <v>1017</v>
      </c>
      <c r="S2075" s="184" t="s">
        <v>4180</v>
      </c>
      <c r="T2075" t="s">
        <v>4180</v>
      </c>
      <c r="U2075" s="185" t="s">
        <v>1017</v>
      </c>
      <c r="V2075" s="184"/>
      <c r="W2075" s="180"/>
      <c r="X2075" s="180"/>
      <c r="Y2075" s="178"/>
      <c r="Z2075" s="180"/>
      <c r="AA2075" s="184"/>
      <c r="AB2075" s="178"/>
      <c r="AC2075" s="180"/>
      <c r="AD2075" s="182" t="s">
        <v>1017</v>
      </c>
      <c r="AE2075" s="181" t="s">
        <v>1017</v>
      </c>
      <c r="AF2075" s="180"/>
      <c r="AG2075" s="201"/>
      <c r="AH2075" s="212" t="str">
        <f t="shared" si="956"/>
        <v>2010</v>
      </c>
      <c r="AI2075" s="214" t="str">
        <f t="shared" si="947"/>
        <v/>
      </c>
      <c r="AJ2075" s="214" t="str">
        <f t="shared" si="948"/>
        <v/>
      </c>
      <c r="AK2075" s="214" t="str">
        <f t="shared" si="949"/>
        <v/>
      </c>
      <c r="AL2075" s="214" t="str">
        <f t="shared" si="950"/>
        <v/>
      </c>
      <c r="AM2075" s="214" t="str">
        <f t="shared" si="951"/>
        <v/>
      </c>
      <c r="AN2075" s="213" t="str">
        <f t="shared" si="933"/>
        <v>2010</v>
      </c>
      <c r="AO2075" s="213" t="str">
        <f t="shared" si="934"/>
        <v>2010</v>
      </c>
      <c r="AP2075" s="213" t="str">
        <f t="shared" si="935"/>
        <v>2010</v>
      </c>
      <c r="AQ2075" s="215" t="str">
        <f t="shared" si="936"/>
        <v/>
      </c>
      <c r="AR2075" s="216" t="str">
        <f t="shared" si="937"/>
        <v>BiK82X2bK10y07</v>
      </c>
      <c r="AS2075" s="215" t="str">
        <f t="shared" si="938"/>
        <v/>
      </c>
      <c r="AT2075">
        <f t="shared" si="939"/>
        <v>14</v>
      </c>
      <c r="AU2075" s="216" t="str">
        <f t="shared" si="940"/>
        <v>0,15-0,5 MW, Bonusregeln X2, y, b und K erstmals 2010</v>
      </c>
      <c r="AV2075" s="215" t="str">
        <f t="shared" si="941"/>
        <v/>
      </c>
      <c r="AW2075" s="216" t="str">
        <f t="shared" si="942"/>
        <v>Anteil KWK, erstmals 2010</v>
      </c>
      <c r="AX2075" s="215" t="str">
        <f t="shared" si="943"/>
        <v/>
      </c>
      <c r="AY2075" t="str">
        <f t="shared" si="944"/>
        <v/>
      </c>
      <c r="AZ2075" t="str">
        <f t="shared" si="945"/>
        <v/>
      </c>
    </row>
    <row r="2076" spans="1:52" x14ac:dyDescent="0.25">
      <c r="A2076" s="610" t="s">
        <v>3425</v>
      </c>
      <c r="B2076" s="30" t="s">
        <v>5548</v>
      </c>
      <c r="C2076" s="30" t="s">
        <v>1304</v>
      </c>
      <c r="D2076" s="30" t="s">
        <v>7212</v>
      </c>
      <c r="E2076" s="30" t="s">
        <v>3055</v>
      </c>
      <c r="F2076" s="454">
        <f t="shared" si="952"/>
        <v>25.4</v>
      </c>
      <c r="G2076" s="529">
        <v>25.4</v>
      </c>
      <c r="H2076" s="487">
        <f t="shared" si="953"/>
        <v>20.32</v>
      </c>
      <c r="I2076" s="706"/>
      <c r="J2076" s="669" t="s">
        <v>5805</v>
      </c>
      <c r="K2076" s="15"/>
      <c r="M2076" s="49">
        <f t="shared" si="954"/>
        <v>25.4</v>
      </c>
      <c r="N2076" s="41">
        <v>9.4600000000000009</v>
      </c>
      <c r="O2076" s="187"/>
      <c r="P2076" s="183"/>
      <c r="Q2076" s="184"/>
      <c r="R2076" s="178"/>
      <c r="S2076" s="184" t="s">
        <v>1017</v>
      </c>
      <c r="T2076" t="s">
        <v>4180</v>
      </c>
      <c r="U2076" s="185" t="s">
        <v>1017</v>
      </c>
      <c r="V2076" s="184"/>
      <c r="W2076" s="180"/>
      <c r="X2076" s="180"/>
      <c r="Y2076" s="178"/>
      <c r="Z2076" s="180"/>
      <c r="AA2076" s="184"/>
      <c r="AB2076" s="178"/>
      <c r="AC2076" s="180"/>
      <c r="AD2076" s="182" t="s">
        <v>1017</v>
      </c>
      <c r="AE2076" s="181" t="s">
        <v>1017</v>
      </c>
      <c r="AF2076" s="180"/>
      <c r="AG2076" s="201"/>
      <c r="AH2076" s="212" t="str">
        <f t="shared" si="956"/>
        <v>2011</v>
      </c>
      <c r="AI2076" s="214" t="str">
        <f t="shared" si="947"/>
        <v/>
      </c>
      <c r="AJ2076" s="214" t="str">
        <f t="shared" si="948"/>
        <v/>
      </c>
      <c r="AK2076" s="214" t="str">
        <f t="shared" si="949"/>
        <v/>
      </c>
      <c r="AL2076" s="214" t="str">
        <f t="shared" si="950"/>
        <v/>
      </c>
      <c r="AM2076" s="214" t="str">
        <f t="shared" si="951"/>
        <v/>
      </c>
      <c r="AN2076" s="213" t="str">
        <f t="shared" si="933"/>
        <v>2011</v>
      </c>
      <c r="AO2076" s="213" t="str">
        <f t="shared" si="934"/>
        <v>2011</v>
      </c>
      <c r="AP2076" s="213" t="str">
        <f t="shared" si="935"/>
        <v>2011</v>
      </c>
      <c r="AQ2076" s="215" t="str">
        <f t="shared" si="936"/>
        <v/>
      </c>
      <c r="AR2076" s="216" t="str">
        <f t="shared" si="937"/>
        <v>BiK82X2bK11y07</v>
      </c>
      <c r="AS2076" s="215" t="str">
        <f t="shared" si="938"/>
        <v/>
      </c>
      <c r="AT2076">
        <f t="shared" si="939"/>
        <v>14</v>
      </c>
      <c r="AU2076" s="216" t="str">
        <f t="shared" si="940"/>
        <v>0,15-0,5 MW, Bonusregeln X2, y, b und K erstmals 2011</v>
      </c>
      <c r="AV2076" s="215" t="str">
        <f t="shared" si="941"/>
        <v/>
      </c>
      <c r="AW2076" s="216" t="str">
        <f t="shared" si="942"/>
        <v>Anteil KWK, erstmals 2011</v>
      </c>
      <c r="AX2076" s="215" t="str">
        <f t="shared" si="943"/>
        <v/>
      </c>
      <c r="AY2076" t="str">
        <f t="shared" si="944"/>
        <v>x</v>
      </c>
      <c r="AZ2076" t="str">
        <f t="shared" si="945"/>
        <v/>
      </c>
    </row>
    <row r="2077" spans="1:52" x14ac:dyDescent="0.25">
      <c r="A2077" s="625" t="s">
        <v>1857</v>
      </c>
      <c r="B2077" s="219" t="s">
        <v>5548</v>
      </c>
      <c r="C2077" s="219" t="s">
        <v>1304</v>
      </c>
      <c r="D2077" s="219" t="s">
        <v>7213</v>
      </c>
      <c r="E2077" s="219" t="s">
        <v>1980</v>
      </c>
      <c r="F2077" s="455">
        <f t="shared" si="952"/>
        <v>25.37</v>
      </c>
      <c r="G2077" s="530">
        <v>25.37</v>
      </c>
      <c r="H2077" s="488">
        <f t="shared" si="953"/>
        <v>20.3</v>
      </c>
      <c r="I2077" s="707"/>
      <c r="J2077" s="669" t="s">
        <v>5805</v>
      </c>
      <c r="K2077" s="15"/>
      <c r="M2077" s="49">
        <f t="shared" si="954"/>
        <v>25.37</v>
      </c>
      <c r="N2077" s="41">
        <v>9.4600000000000009</v>
      </c>
      <c r="O2077" s="187"/>
      <c r="P2077" s="183"/>
      <c r="Q2077" s="184"/>
      <c r="R2077" s="178"/>
      <c r="S2077" s="184" t="s">
        <v>4180</v>
      </c>
      <c r="T2077" t="s">
        <v>1017</v>
      </c>
      <c r="U2077" s="185" t="s">
        <v>1017</v>
      </c>
      <c r="V2077" s="184"/>
      <c r="W2077" s="180"/>
      <c r="X2077" s="180"/>
      <c r="Y2077" s="178"/>
      <c r="Z2077" s="180"/>
      <c r="AA2077" s="184"/>
      <c r="AB2077" s="178"/>
      <c r="AC2077" s="180"/>
      <c r="AD2077" s="182" t="s">
        <v>1017</v>
      </c>
      <c r="AE2077" s="181" t="s">
        <v>1017</v>
      </c>
      <c r="AF2077" s="180"/>
      <c r="AG2077" s="201"/>
      <c r="AH2077" s="217" t="s">
        <v>4179</v>
      </c>
      <c r="AI2077" s="214" t="str">
        <f t="shared" si="947"/>
        <v/>
      </c>
      <c r="AJ2077" s="214" t="str">
        <f t="shared" si="948"/>
        <v/>
      </c>
      <c r="AK2077" s="214" t="str">
        <f t="shared" si="949"/>
        <v/>
      </c>
      <c r="AL2077" s="214" t="str">
        <f t="shared" si="950"/>
        <v/>
      </c>
      <c r="AM2077" s="214" t="str">
        <f t="shared" si="951"/>
        <v/>
      </c>
      <c r="AN2077" s="213" t="str">
        <f t="shared" si="933"/>
        <v>2012</v>
      </c>
      <c r="AO2077" s="213" t="str">
        <f t="shared" si="934"/>
        <v>2012</v>
      </c>
      <c r="AP2077" s="213" t="str">
        <f t="shared" si="935"/>
        <v>2012</v>
      </c>
      <c r="AQ2077" s="215" t="str">
        <f t="shared" si="936"/>
        <v/>
      </c>
      <c r="AR2077" s="216" t="str">
        <f t="shared" si="937"/>
        <v>BiK82X2bK12y07</v>
      </c>
      <c r="AS2077" s="215" t="str">
        <f t="shared" si="938"/>
        <v/>
      </c>
      <c r="AT2077">
        <f t="shared" si="939"/>
        <v>14</v>
      </c>
      <c r="AU2077" s="216" t="str">
        <f t="shared" si="940"/>
        <v>0,15-0,5 MW, Bonusregeln X2, y, b und K erstmals 2012</v>
      </c>
      <c r="AV2077" s="215" t="str">
        <f t="shared" si="941"/>
        <v/>
      </c>
      <c r="AW2077" s="216" t="str">
        <f t="shared" si="942"/>
        <v>Anteil KWK, erstmals 2012</v>
      </c>
      <c r="AX2077" s="215" t="str">
        <f t="shared" si="943"/>
        <v/>
      </c>
      <c r="AY2077" t="str">
        <f t="shared" si="944"/>
        <v/>
      </c>
      <c r="AZ2077" t="str">
        <f t="shared" si="945"/>
        <v>x</v>
      </c>
    </row>
    <row r="2078" spans="1:52" x14ac:dyDescent="0.25">
      <c r="A2078" s="609" t="s">
        <v>549</v>
      </c>
      <c r="B2078" s="1" t="s">
        <v>5548</v>
      </c>
      <c r="C2078" s="2" t="s">
        <v>1304</v>
      </c>
      <c r="D2078" s="1" t="s">
        <v>5408</v>
      </c>
      <c r="E2078" s="1" t="s">
        <v>4810</v>
      </c>
      <c r="F2078" s="456">
        <f t="shared" si="952"/>
        <v>8.51</v>
      </c>
      <c r="G2078" s="531">
        <v>8.51</v>
      </c>
      <c r="H2078" s="489">
        <f t="shared" si="953"/>
        <v>6.81</v>
      </c>
      <c r="I2078" s="708"/>
      <c r="J2078" s="669" t="s">
        <v>5805</v>
      </c>
      <c r="K2078" s="15"/>
      <c r="M2078" s="49">
        <f t="shared" si="954"/>
        <v>8.51</v>
      </c>
      <c r="N2078" s="41">
        <v>8.51</v>
      </c>
      <c r="O2078" s="54"/>
      <c r="P2078" s="74"/>
      <c r="S2078" t="s">
        <v>4180</v>
      </c>
      <c r="T2078" t="s">
        <v>4180</v>
      </c>
      <c r="U2078" s="75"/>
      <c r="V2078" s="65"/>
      <c r="Y2078" s="65"/>
      <c r="Z2078" s="65"/>
      <c r="AA2078" s="65"/>
      <c r="AB2078" s="65"/>
      <c r="AC2078" s="65"/>
      <c r="AD2078" s="91"/>
      <c r="AE2078" s="124"/>
      <c r="AF2078" s="65"/>
      <c r="AG2078" s="91"/>
      <c r="AH2078" s="212" t="str">
        <f>IF(ISERROR(SEARCH("K erstmals 201",D2078)),"",RIGHT(D2078,4))</f>
        <v/>
      </c>
      <c r="AI2078" s="214" t="str">
        <f t="shared" si="947"/>
        <v/>
      </c>
      <c r="AJ2078" s="214" t="str">
        <f t="shared" si="948"/>
        <v/>
      </c>
      <c r="AK2078" s="214" t="str">
        <f t="shared" si="949"/>
        <v/>
      </c>
      <c r="AL2078" s="214" t="str">
        <f t="shared" si="950"/>
        <v/>
      </c>
      <c r="AM2078" s="214" t="str">
        <f t="shared" si="951"/>
        <v/>
      </c>
      <c r="AN2078" s="213" t="str">
        <f t="shared" si="933"/>
        <v/>
      </c>
      <c r="AO2078" s="213" t="str">
        <f t="shared" si="934"/>
        <v/>
      </c>
      <c r="AP2078" s="213" t="str">
        <f t="shared" si="935"/>
        <v/>
      </c>
      <c r="AQ2078" s="215" t="str">
        <f t="shared" si="936"/>
        <v/>
      </c>
      <c r="AR2078" s="216" t="str">
        <f t="shared" si="937"/>
        <v>BiK83-------07</v>
      </c>
      <c r="AS2078" s="215" t="str">
        <f t="shared" si="938"/>
        <v/>
      </c>
      <c r="AT2078">
        <f t="shared" si="939"/>
        <v>14</v>
      </c>
      <c r="AU2078" s="216" t="str">
        <f t="shared" si="940"/>
        <v>0,5-5 MW</v>
      </c>
      <c r="AV2078" s="215" t="str">
        <f t="shared" si="941"/>
        <v/>
      </c>
      <c r="AW2078" s="216" t="str">
        <f t="shared" si="942"/>
        <v>Anteil Nicht-KWK</v>
      </c>
      <c r="AX2078" s="215" t="str">
        <f t="shared" si="943"/>
        <v/>
      </c>
      <c r="AY2078" t="str">
        <f t="shared" si="944"/>
        <v/>
      </c>
      <c r="AZ2078" t="str">
        <f t="shared" si="945"/>
        <v/>
      </c>
    </row>
    <row r="2079" spans="1:52" x14ac:dyDescent="0.25">
      <c r="A2079" s="609" t="s">
        <v>550</v>
      </c>
      <c r="B2079" s="1" t="s">
        <v>5548</v>
      </c>
      <c r="C2079" s="2" t="s">
        <v>1304</v>
      </c>
      <c r="D2079" s="1" t="s">
        <v>6774</v>
      </c>
      <c r="E2079" s="1" t="s">
        <v>4812</v>
      </c>
      <c r="F2079" s="456">
        <f t="shared" si="952"/>
        <v>10.51</v>
      </c>
      <c r="G2079" s="531">
        <v>10.51</v>
      </c>
      <c r="H2079" s="489">
        <f t="shared" si="953"/>
        <v>8.41</v>
      </c>
      <c r="I2079" s="708"/>
      <c r="J2079" s="669" t="s">
        <v>5805</v>
      </c>
      <c r="K2079" s="15"/>
      <c r="M2079" s="49">
        <f t="shared" si="954"/>
        <v>10.51</v>
      </c>
      <c r="N2079" s="41">
        <v>8.51</v>
      </c>
      <c r="O2079" s="54" t="s">
        <v>1017</v>
      </c>
      <c r="P2079" s="74"/>
      <c r="S2079" t="s">
        <v>4180</v>
      </c>
      <c r="T2079" t="s">
        <v>4180</v>
      </c>
      <c r="U2079" s="75"/>
      <c r="V2079" s="65"/>
      <c r="Y2079" s="65"/>
      <c r="Z2079" s="65"/>
      <c r="AA2079" s="65"/>
      <c r="AB2079" s="65"/>
      <c r="AC2079" s="65"/>
      <c r="AD2079" s="91"/>
      <c r="AE2079" s="124"/>
      <c r="AF2079" s="65"/>
      <c r="AG2079" s="91"/>
      <c r="AH2079" s="212" t="str">
        <f>IF(ISERROR(SEARCH("K erstmals 201",D2079)),"",RIGHT(D2079,4))</f>
        <v/>
      </c>
      <c r="AI2079" s="214" t="str">
        <f t="shared" si="947"/>
        <v/>
      </c>
      <c r="AJ2079" s="214" t="str">
        <f t="shared" si="948"/>
        <v/>
      </c>
      <c r="AK2079" s="214" t="str">
        <f t="shared" si="949"/>
        <v/>
      </c>
      <c r="AL2079" s="214" t="str">
        <f t="shared" si="950"/>
        <v/>
      </c>
      <c r="AM2079" s="214" t="str">
        <f t="shared" si="951"/>
        <v/>
      </c>
      <c r="AN2079" s="213" t="str">
        <f t="shared" si="933"/>
        <v/>
      </c>
      <c r="AO2079" s="213" t="str">
        <f t="shared" si="934"/>
        <v/>
      </c>
      <c r="AP2079" s="213" t="str">
        <f t="shared" si="935"/>
        <v/>
      </c>
      <c r="AQ2079" s="215" t="str">
        <f t="shared" si="936"/>
        <v/>
      </c>
      <c r="AR2079" s="216" t="str">
        <f t="shared" si="937"/>
        <v>BiK83KWK----07</v>
      </c>
      <c r="AS2079" s="215" t="str">
        <f t="shared" si="938"/>
        <v/>
      </c>
      <c r="AT2079">
        <f t="shared" si="939"/>
        <v>14</v>
      </c>
      <c r="AU2079" s="216" t="str">
        <f t="shared" si="940"/>
        <v>0,5-5 MW, Bonusregel KWK</v>
      </c>
      <c r="AV2079" s="215" t="str">
        <f t="shared" si="941"/>
        <v/>
      </c>
      <c r="AW2079" s="216" t="str">
        <f t="shared" si="942"/>
        <v>Anteil KWK</v>
      </c>
      <c r="AX2079" s="215" t="str">
        <f t="shared" si="943"/>
        <v/>
      </c>
      <c r="AY2079" t="str">
        <f t="shared" si="944"/>
        <v/>
      </c>
      <c r="AZ2079" t="str">
        <f t="shared" si="945"/>
        <v/>
      </c>
    </row>
    <row r="2080" spans="1:52" x14ac:dyDescent="0.25">
      <c r="A2080" s="610" t="s">
        <v>894</v>
      </c>
      <c r="B2080" s="17" t="s">
        <v>5548</v>
      </c>
      <c r="C2080" s="17" t="s">
        <v>1304</v>
      </c>
      <c r="D2080" s="30" t="s">
        <v>6754</v>
      </c>
      <c r="E2080" s="17" t="s">
        <v>674</v>
      </c>
      <c r="F2080" s="454">
        <f t="shared" si="952"/>
        <v>11.51</v>
      </c>
      <c r="G2080" s="529">
        <v>11.51</v>
      </c>
      <c r="H2080" s="487">
        <f t="shared" si="953"/>
        <v>9.2100000000000009</v>
      </c>
      <c r="I2080" s="706"/>
      <c r="J2080" s="669" t="s">
        <v>5805</v>
      </c>
      <c r="K2080" s="15"/>
      <c r="M2080" s="49">
        <f t="shared" si="954"/>
        <v>11.51</v>
      </c>
      <c r="N2080" s="41">
        <v>8.51</v>
      </c>
      <c r="O2080" s="54"/>
      <c r="P2080" s="74"/>
      <c r="Q2080" t="s">
        <v>1017</v>
      </c>
      <c r="S2080" t="s">
        <v>4180</v>
      </c>
      <c r="T2080" t="s">
        <v>4180</v>
      </c>
      <c r="U2080" s="75"/>
      <c r="V2080" s="65"/>
      <c r="Y2080" s="65"/>
      <c r="Z2080" s="65"/>
      <c r="AA2080" s="65"/>
      <c r="AB2080" s="65"/>
      <c r="AC2080" s="65"/>
      <c r="AD2080" s="91"/>
      <c r="AE2080" s="124"/>
      <c r="AF2080" s="65"/>
      <c r="AG2080" s="91"/>
      <c r="AH2080" s="212" t="str">
        <f>IF(ISERROR(SEARCH("K erstmals 201",D2080)),"",RIGHT(D2080,4))</f>
        <v/>
      </c>
      <c r="AI2080" s="214" t="str">
        <f t="shared" si="947"/>
        <v/>
      </c>
      <c r="AJ2080" s="214" t="str">
        <f t="shared" si="948"/>
        <v/>
      </c>
      <c r="AK2080" s="214" t="str">
        <f t="shared" si="949"/>
        <v/>
      </c>
      <c r="AL2080" s="214" t="str">
        <f t="shared" si="950"/>
        <v/>
      </c>
      <c r="AM2080" s="214" t="str">
        <f t="shared" si="951"/>
        <v/>
      </c>
      <c r="AN2080" s="213" t="str">
        <f t="shared" si="933"/>
        <v/>
      </c>
      <c r="AO2080" s="213" t="str">
        <f t="shared" si="934"/>
        <v/>
      </c>
      <c r="AP2080" s="213" t="str">
        <f t="shared" si="935"/>
        <v/>
      </c>
      <c r="AQ2080" s="215" t="str">
        <f t="shared" si="936"/>
        <v/>
      </c>
      <c r="AR2080" s="216" t="str">
        <f t="shared" si="937"/>
        <v>BiK83K09----07</v>
      </c>
      <c r="AS2080" s="215" t="str">
        <f t="shared" si="938"/>
        <v/>
      </c>
      <c r="AT2080">
        <f t="shared" si="939"/>
        <v>14</v>
      </c>
      <c r="AU2080" s="216" t="str">
        <f t="shared" si="940"/>
        <v>0,5-5 MW, Bonusregel K erstmals 2009</v>
      </c>
      <c r="AV2080" s="215" t="str">
        <f t="shared" si="941"/>
        <v/>
      </c>
      <c r="AW2080" s="216" t="str">
        <f t="shared" si="942"/>
        <v>Anteil KWK, erstmals 2009</v>
      </c>
      <c r="AX2080" s="215" t="str">
        <f t="shared" si="943"/>
        <v/>
      </c>
      <c r="AY2080" t="str">
        <f t="shared" si="944"/>
        <v/>
      </c>
      <c r="AZ2080" t="str">
        <f t="shared" si="945"/>
        <v/>
      </c>
    </row>
    <row r="2081" spans="1:52" x14ac:dyDescent="0.25">
      <c r="A2081" s="610" t="s">
        <v>3150</v>
      </c>
      <c r="B2081" s="17" t="s">
        <v>5548</v>
      </c>
      <c r="C2081" s="17" t="s">
        <v>1304</v>
      </c>
      <c r="D2081" s="30" t="s">
        <v>6755</v>
      </c>
      <c r="E2081" s="30" t="s">
        <v>3567</v>
      </c>
      <c r="F2081" s="454">
        <f t="shared" si="952"/>
        <v>11.48</v>
      </c>
      <c r="G2081" s="529">
        <v>11.48</v>
      </c>
      <c r="H2081" s="487">
        <f t="shared" si="953"/>
        <v>9.18</v>
      </c>
      <c r="I2081" s="706"/>
      <c r="J2081" s="669" t="s">
        <v>5805</v>
      </c>
      <c r="K2081" s="15"/>
      <c r="M2081" s="49">
        <f t="shared" si="954"/>
        <v>11.48</v>
      </c>
      <c r="N2081" s="41">
        <v>8.51</v>
      </c>
      <c r="O2081" s="54"/>
      <c r="P2081" s="74"/>
      <c r="R2081" t="s">
        <v>1017</v>
      </c>
      <c r="S2081" t="s">
        <v>4180</v>
      </c>
      <c r="T2081" t="s">
        <v>4180</v>
      </c>
      <c r="U2081" s="75"/>
      <c r="V2081" s="65"/>
      <c r="Y2081" s="65"/>
      <c r="Z2081" s="65"/>
      <c r="AA2081" s="65"/>
      <c r="AB2081" s="65"/>
      <c r="AC2081" s="65"/>
      <c r="AD2081" s="91"/>
      <c r="AE2081" s="124"/>
      <c r="AF2081" s="65"/>
      <c r="AG2081" s="91"/>
      <c r="AH2081" s="212" t="str">
        <f>IF(ISERROR(SEARCH("K erstmals 201",D2081)),"",RIGHT(D2081,4))</f>
        <v>2010</v>
      </c>
      <c r="AI2081" s="214" t="str">
        <f t="shared" si="947"/>
        <v/>
      </c>
      <c r="AJ2081" s="214" t="str">
        <f t="shared" si="948"/>
        <v/>
      </c>
      <c r="AK2081" s="214" t="str">
        <f t="shared" si="949"/>
        <v/>
      </c>
      <c r="AL2081" s="214" t="str">
        <f t="shared" si="950"/>
        <v/>
      </c>
      <c r="AM2081" s="214" t="str">
        <f t="shared" si="951"/>
        <v/>
      </c>
      <c r="AN2081" s="213" t="str">
        <f t="shared" si="933"/>
        <v>2010</v>
      </c>
      <c r="AO2081" s="213" t="str">
        <f t="shared" si="934"/>
        <v>2010</v>
      </c>
      <c r="AP2081" s="213" t="str">
        <f t="shared" si="935"/>
        <v>2010</v>
      </c>
      <c r="AQ2081" s="215" t="str">
        <f t="shared" si="936"/>
        <v/>
      </c>
      <c r="AR2081" s="216" t="str">
        <f t="shared" si="937"/>
        <v>BiK83K10----07</v>
      </c>
      <c r="AS2081" s="215" t="str">
        <f t="shared" si="938"/>
        <v/>
      </c>
      <c r="AT2081">
        <f t="shared" si="939"/>
        <v>14</v>
      </c>
      <c r="AU2081" s="216" t="str">
        <f t="shared" si="940"/>
        <v>0,5-5 MW, Bonusregel K erstmals 2010</v>
      </c>
      <c r="AV2081" s="215" t="str">
        <f t="shared" si="941"/>
        <v/>
      </c>
      <c r="AW2081" s="216" t="str">
        <f t="shared" si="942"/>
        <v>Anteil KWK, erstmals 2010</v>
      </c>
      <c r="AX2081" s="215" t="str">
        <f t="shared" si="943"/>
        <v/>
      </c>
      <c r="AY2081" t="str">
        <f t="shared" si="944"/>
        <v/>
      </c>
      <c r="AZ2081" t="str">
        <f t="shared" si="945"/>
        <v/>
      </c>
    </row>
    <row r="2082" spans="1:52" x14ac:dyDescent="0.25">
      <c r="A2082" s="610" t="s">
        <v>3426</v>
      </c>
      <c r="B2082" s="17" t="s">
        <v>5548</v>
      </c>
      <c r="C2082" s="17" t="s">
        <v>1304</v>
      </c>
      <c r="D2082" s="30" t="s">
        <v>6756</v>
      </c>
      <c r="E2082" s="30" t="s">
        <v>3055</v>
      </c>
      <c r="F2082" s="454">
        <f t="shared" si="952"/>
        <v>11.45</v>
      </c>
      <c r="G2082" s="529">
        <v>11.45</v>
      </c>
      <c r="H2082" s="487">
        <f t="shared" si="953"/>
        <v>9.16</v>
      </c>
      <c r="I2082" s="706"/>
      <c r="J2082" s="669" t="s">
        <v>5805</v>
      </c>
      <c r="K2082" s="15"/>
      <c r="M2082" s="49">
        <f t="shared" si="954"/>
        <v>11.45</v>
      </c>
      <c r="N2082" s="41">
        <v>8.51</v>
      </c>
      <c r="O2082" s="54"/>
      <c r="P2082" s="74"/>
      <c r="S2082" t="s">
        <v>1017</v>
      </c>
      <c r="T2082" t="s">
        <v>4180</v>
      </c>
      <c r="U2082" s="75"/>
      <c r="V2082" s="65"/>
      <c r="Y2082" s="65"/>
      <c r="Z2082" s="65"/>
      <c r="AA2082" s="65"/>
      <c r="AB2082" s="65"/>
      <c r="AC2082" s="65"/>
      <c r="AD2082" s="91"/>
      <c r="AE2082" s="124"/>
      <c r="AF2082" s="65"/>
      <c r="AG2082" s="91"/>
      <c r="AH2082" s="212" t="str">
        <f>IF(ISERROR(SEARCH("K erstmals 201",D2082)),"",RIGHT(D2082,4))</f>
        <v>2011</v>
      </c>
      <c r="AI2082" s="214" t="str">
        <f t="shared" si="947"/>
        <v/>
      </c>
      <c r="AJ2082" s="214" t="str">
        <f t="shared" si="948"/>
        <v/>
      </c>
      <c r="AK2082" s="214" t="str">
        <f t="shared" si="949"/>
        <v/>
      </c>
      <c r="AL2082" s="214" t="str">
        <f t="shared" si="950"/>
        <v/>
      </c>
      <c r="AM2082" s="214" t="str">
        <f t="shared" si="951"/>
        <v/>
      </c>
      <c r="AN2082" s="213" t="str">
        <f t="shared" si="933"/>
        <v>2011</v>
      </c>
      <c r="AO2082" s="213" t="str">
        <f t="shared" si="934"/>
        <v>2011</v>
      </c>
      <c r="AP2082" s="213" t="str">
        <f t="shared" si="935"/>
        <v>2011</v>
      </c>
      <c r="AQ2082" s="215" t="str">
        <f t="shared" si="936"/>
        <v/>
      </c>
      <c r="AR2082" s="216" t="str">
        <f t="shared" si="937"/>
        <v>BiK83K11----07</v>
      </c>
      <c r="AS2082" s="215" t="str">
        <f t="shared" si="938"/>
        <v/>
      </c>
      <c r="AT2082">
        <f t="shared" si="939"/>
        <v>14</v>
      </c>
      <c r="AU2082" s="216" t="str">
        <f t="shared" si="940"/>
        <v>0,5-5 MW, Bonusregel K erstmals 2011</v>
      </c>
      <c r="AV2082" s="215" t="str">
        <f t="shared" si="941"/>
        <v/>
      </c>
      <c r="AW2082" s="216" t="str">
        <f t="shared" si="942"/>
        <v>Anteil KWK, erstmals 2011</v>
      </c>
      <c r="AX2082" s="215" t="str">
        <f t="shared" si="943"/>
        <v/>
      </c>
      <c r="AY2082" t="str">
        <f t="shared" si="944"/>
        <v>x</v>
      </c>
      <c r="AZ2082" t="str">
        <f t="shared" si="945"/>
        <v/>
      </c>
    </row>
    <row r="2083" spans="1:52" x14ac:dyDescent="0.25">
      <c r="A2083" s="625" t="s">
        <v>1858</v>
      </c>
      <c r="B2083" s="221" t="s">
        <v>5548</v>
      </c>
      <c r="C2083" s="221" t="s">
        <v>1304</v>
      </c>
      <c r="D2083" s="219" t="s">
        <v>6757</v>
      </c>
      <c r="E2083" s="219" t="s">
        <v>1980</v>
      </c>
      <c r="F2083" s="455">
        <f t="shared" si="952"/>
        <v>11.42</v>
      </c>
      <c r="G2083" s="530">
        <v>11.42</v>
      </c>
      <c r="H2083" s="488">
        <f t="shared" si="953"/>
        <v>9.14</v>
      </c>
      <c r="I2083" s="707"/>
      <c r="J2083" s="669" t="s">
        <v>5805</v>
      </c>
      <c r="K2083" s="15"/>
      <c r="M2083" s="49">
        <f t="shared" si="954"/>
        <v>11.42</v>
      </c>
      <c r="N2083" s="41">
        <v>8.51</v>
      </c>
      <c r="O2083" s="54"/>
      <c r="P2083" s="74"/>
      <c r="S2083" t="s">
        <v>4180</v>
      </c>
      <c r="T2083" t="s">
        <v>1017</v>
      </c>
      <c r="U2083" s="75"/>
      <c r="V2083" s="65"/>
      <c r="Y2083" s="65"/>
      <c r="Z2083" s="65"/>
      <c r="AA2083" s="65"/>
      <c r="AB2083" s="65"/>
      <c r="AC2083" s="65"/>
      <c r="AD2083" s="91"/>
      <c r="AE2083" s="124"/>
      <c r="AF2083" s="65"/>
      <c r="AG2083" s="91"/>
      <c r="AH2083" s="217" t="s">
        <v>4179</v>
      </c>
      <c r="AI2083" s="214" t="str">
        <f t="shared" si="947"/>
        <v/>
      </c>
      <c r="AJ2083" s="214" t="str">
        <f t="shared" si="948"/>
        <v/>
      </c>
      <c r="AK2083" s="214" t="str">
        <f t="shared" si="949"/>
        <v/>
      </c>
      <c r="AL2083" s="214" t="str">
        <f t="shared" si="950"/>
        <v/>
      </c>
      <c r="AM2083" s="214" t="str">
        <f t="shared" si="951"/>
        <v/>
      </c>
      <c r="AN2083" s="213" t="str">
        <f t="shared" si="933"/>
        <v>2012</v>
      </c>
      <c r="AO2083" s="213" t="str">
        <f t="shared" si="934"/>
        <v>2012</v>
      </c>
      <c r="AP2083" s="213" t="str">
        <f t="shared" si="935"/>
        <v>2012</v>
      </c>
      <c r="AQ2083" s="215" t="str">
        <f t="shared" si="936"/>
        <v/>
      </c>
      <c r="AR2083" s="216" t="str">
        <f t="shared" si="937"/>
        <v>BiK83K12----07</v>
      </c>
      <c r="AS2083" s="215" t="str">
        <f t="shared" si="938"/>
        <v/>
      </c>
      <c r="AT2083">
        <f t="shared" si="939"/>
        <v>14</v>
      </c>
      <c r="AU2083" s="216" t="str">
        <f t="shared" si="940"/>
        <v>0,5-5 MW, Bonusregel K erstmals 2012</v>
      </c>
      <c r="AV2083" s="215" t="str">
        <f t="shared" si="941"/>
        <v/>
      </c>
      <c r="AW2083" s="216" t="str">
        <f t="shared" si="942"/>
        <v>Anteil KWK, erstmals 2012</v>
      </c>
      <c r="AX2083" s="215" t="str">
        <f t="shared" si="943"/>
        <v/>
      </c>
      <c r="AY2083" t="str">
        <f t="shared" si="944"/>
        <v/>
      </c>
      <c r="AZ2083" t="str">
        <f t="shared" si="945"/>
        <v>x</v>
      </c>
    </row>
    <row r="2084" spans="1:52" x14ac:dyDescent="0.25">
      <c r="A2084" s="609" t="s">
        <v>551</v>
      </c>
      <c r="B2084" s="1" t="s">
        <v>5548</v>
      </c>
      <c r="C2084" s="2" t="s">
        <v>1304</v>
      </c>
      <c r="D2084" s="1" t="s">
        <v>598</v>
      </c>
      <c r="E2084" s="1" t="s">
        <v>4810</v>
      </c>
      <c r="F2084" s="456">
        <f t="shared" si="952"/>
        <v>12.51</v>
      </c>
      <c r="G2084" s="531">
        <v>12.51</v>
      </c>
      <c r="H2084" s="489">
        <f t="shared" si="953"/>
        <v>10.01</v>
      </c>
      <c r="I2084" s="708"/>
      <c r="J2084" s="669" t="s">
        <v>5805</v>
      </c>
      <c r="K2084" s="15"/>
      <c r="M2084" s="49">
        <f t="shared" si="954"/>
        <v>12.51</v>
      </c>
      <c r="N2084" s="41">
        <v>8.51</v>
      </c>
      <c r="O2084" s="54"/>
      <c r="P2084" s="74"/>
      <c r="S2084" t="s">
        <v>4180</v>
      </c>
      <c r="T2084" t="s">
        <v>4180</v>
      </c>
      <c r="U2084" s="75"/>
      <c r="V2084" s="65"/>
      <c r="W2084" t="s">
        <v>1017</v>
      </c>
      <c r="Y2084" s="65"/>
      <c r="Z2084" s="65"/>
      <c r="AA2084" s="65"/>
      <c r="AB2084" s="65"/>
      <c r="AC2084" s="65"/>
      <c r="AD2084" s="91"/>
      <c r="AE2084" s="124"/>
      <c r="AF2084" s="65"/>
      <c r="AG2084" s="91"/>
      <c r="AH2084" s="212" t="str">
        <f t="shared" ref="AH2084:AH2094" si="957">IF(ISERROR(SEARCH("K erstmals 201",D2084)),"",RIGHT(D2084,4))</f>
        <v/>
      </c>
      <c r="AI2084" s="214" t="str">
        <f t="shared" si="947"/>
        <v/>
      </c>
      <c r="AJ2084" s="214" t="str">
        <f t="shared" si="948"/>
        <v/>
      </c>
      <c r="AK2084" s="214" t="str">
        <f t="shared" si="949"/>
        <v/>
      </c>
      <c r="AL2084" s="214" t="str">
        <f t="shared" si="950"/>
        <v/>
      </c>
      <c r="AM2084" s="214" t="str">
        <f t="shared" si="951"/>
        <v/>
      </c>
      <c r="AN2084" s="213" t="str">
        <f t="shared" si="933"/>
        <v/>
      </c>
      <c r="AO2084" s="213" t="str">
        <f t="shared" si="934"/>
        <v/>
      </c>
      <c r="AP2084" s="213" t="str">
        <f t="shared" si="935"/>
        <v/>
      </c>
      <c r="AQ2084" s="215" t="str">
        <f t="shared" si="936"/>
        <v/>
      </c>
      <c r="AR2084" s="216" t="str">
        <f t="shared" si="937"/>
        <v>BiK83a2-----07</v>
      </c>
      <c r="AS2084" s="215" t="str">
        <f t="shared" si="938"/>
        <v/>
      </c>
      <c r="AT2084">
        <f t="shared" si="939"/>
        <v>14</v>
      </c>
      <c r="AU2084" s="216" t="str">
        <f t="shared" si="940"/>
        <v>0,5-5 MW, Bonusregel a2</v>
      </c>
      <c r="AV2084" s="215" t="str">
        <f t="shared" si="941"/>
        <v/>
      </c>
      <c r="AW2084" s="216" t="str">
        <f t="shared" si="942"/>
        <v>Anteil Nicht-KWK</v>
      </c>
      <c r="AX2084" s="215" t="str">
        <f t="shared" si="943"/>
        <v/>
      </c>
      <c r="AY2084" t="str">
        <f t="shared" si="944"/>
        <v/>
      </c>
      <c r="AZ2084" t="str">
        <f t="shared" si="945"/>
        <v/>
      </c>
    </row>
    <row r="2085" spans="1:52" x14ac:dyDescent="0.25">
      <c r="A2085" s="609" t="s">
        <v>552</v>
      </c>
      <c r="B2085" s="1" t="s">
        <v>5548</v>
      </c>
      <c r="C2085" s="2" t="s">
        <v>1304</v>
      </c>
      <c r="D2085" s="1" t="s">
        <v>6775</v>
      </c>
      <c r="E2085" s="1" t="s">
        <v>4812</v>
      </c>
      <c r="F2085" s="456">
        <f t="shared" si="952"/>
        <v>14.51</v>
      </c>
      <c r="G2085" s="531">
        <v>14.51</v>
      </c>
      <c r="H2085" s="489">
        <f t="shared" si="953"/>
        <v>11.61</v>
      </c>
      <c r="I2085" s="708"/>
      <c r="J2085" s="669" t="s">
        <v>5805</v>
      </c>
      <c r="K2085" s="15"/>
      <c r="M2085" s="49">
        <f t="shared" si="954"/>
        <v>14.51</v>
      </c>
      <c r="N2085" s="41">
        <v>8.51</v>
      </c>
      <c r="O2085" s="54" t="s">
        <v>1017</v>
      </c>
      <c r="P2085" s="74"/>
      <c r="S2085" t="s">
        <v>4180</v>
      </c>
      <c r="T2085" t="s">
        <v>4180</v>
      </c>
      <c r="U2085" s="75"/>
      <c r="V2085" s="65"/>
      <c r="W2085" t="s">
        <v>1017</v>
      </c>
      <c r="Y2085" s="65"/>
      <c r="Z2085" s="65"/>
      <c r="AA2085" s="65"/>
      <c r="AB2085" s="65"/>
      <c r="AC2085" s="65"/>
      <c r="AD2085" s="91"/>
      <c r="AE2085" s="124"/>
      <c r="AF2085" s="65"/>
      <c r="AG2085" s="91"/>
      <c r="AH2085" s="212" t="str">
        <f t="shared" si="957"/>
        <v/>
      </c>
      <c r="AI2085" s="214" t="str">
        <f t="shared" si="947"/>
        <v/>
      </c>
      <c r="AJ2085" s="214" t="str">
        <f t="shared" si="948"/>
        <v/>
      </c>
      <c r="AK2085" s="214" t="str">
        <f t="shared" si="949"/>
        <v/>
      </c>
      <c r="AL2085" s="214" t="str">
        <f t="shared" si="950"/>
        <v/>
      </c>
      <c r="AM2085" s="214" t="str">
        <f t="shared" si="951"/>
        <v/>
      </c>
      <c r="AN2085" s="213" t="str">
        <f t="shared" si="933"/>
        <v/>
      </c>
      <c r="AO2085" s="213" t="str">
        <f t="shared" si="934"/>
        <v/>
      </c>
      <c r="AP2085" s="213" t="str">
        <f t="shared" si="935"/>
        <v/>
      </c>
      <c r="AQ2085" s="215" t="str">
        <f t="shared" si="936"/>
        <v/>
      </c>
      <c r="AR2085" s="216" t="str">
        <f t="shared" si="937"/>
        <v>BiK83a2KWK--07</v>
      </c>
      <c r="AS2085" s="215" t="str">
        <f t="shared" si="938"/>
        <v/>
      </c>
      <c r="AT2085">
        <f t="shared" si="939"/>
        <v>14</v>
      </c>
      <c r="AU2085" s="216" t="str">
        <f t="shared" si="940"/>
        <v>0,5-5 MW, Bonusregel a2 und KWK</v>
      </c>
      <c r="AV2085" s="215" t="str">
        <f t="shared" si="941"/>
        <v/>
      </c>
      <c r="AW2085" s="216" t="str">
        <f t="shared" si="942"/>
        <v>Anteil KWK</v>
      </c>
      <c r="AX2085" s="215" t="str">
        <f t="shared" si="943"/>
        <v/>
      </c>
      <c r="AY2085" t="str">
        <f t="shared" si="944"/>
        <v/>
      </c>
      <c r="AZ2085" t="str">
        <f t="shared" si="945"/>
        <v/>
      </c>
    </row>
    <row r="2086" spans="1:52" x14ac:dyDescent="0.25">
      <c r="A2086" s="610" t="s">
        <v>895</v>
      </c>
      <c r="B2086" s="17" t="s">
        <v>5548</v>
      </c>
      <c r="C2086" s="17" t="s">
        <v>1304</v>
      </c>
      <c r="D2086" s="30" t="s">
        <v>6776</v>
      </c>
      <c r="E2086" s="17" t="s">
        <v>674</v>
      </c>
      <c r="F2086" s="454">
        <f t="shared" si="952"/>
        <v>15.51</v>
      </c>
      <c r="G2086" s="529">
        <v>15.51</v>
      </c>
      <c r="H2086" s="487">
        <f t="shared" si="953"/>
        <v>12.41</v>
      </c>
      <c r="I2086" s="706"/>
      <c r="J2086" s="669" t="s">
        <v>5805</v>
      </c>
      <c r="K2086" s="15"/>
      <c r="M2086" s="49">
        <f t="shared" si="954"/>
        <v>15.51</v>
      </c>
      <c r="N2086" s="41">
        <v>8.51</v>
      </c>
      <c r="O2086" s="54"/>
      <c r="P2086" s="74"/>
      <c r="Q2086" t="s">
        <v>1017</v>
      </c>
      <c r="S2086" t="s">
        <v>4180</v>
      </c>
      <c r="T2086" t="s">
        <v>4180</v>
      </c>
      <c r="U2086" s="75"/>
      <c r="V2086" s="65"/>
      <c r="W2086" t="s">
        <v>1017</v>
      </c>
      <c r="Y2086" s="65"/>
      <c r="Z2086" s="65"/>
      <c r="AA2086" s="65"/>
      <c r="AB2086" s="65"/>
      <c r="AC2086" s="65"/>
      <c r="AD2086" s="91"/>
      <c r="AE2086" s="124"/>
      <c r="AF2086" s="65"/>
      <c r="AG2086" s="91"/>
      <c r="AH2086" s="212" t="str">
        <f t="shared" si="957"/>
        <v/>
      </c>
      <c r="AI2086" s="214" t="str">
        <f t="shared" si="947"/>
        <v/>
      </c>
      <c r="AJ2086" s="214" t="str">
        <f t="shared" si="948"/>
        <v/>
      </c>
      <c r="AK2086" s="214" t="str">
        <f t="shared" si="949"/>
        <v/>
      </c>
      <c r="AL2086" s="214" t="str">
        <f t="shared" si="950"/>
        <v/>
      </c>
      <c r="AM2086" s="214" t="str">
        <f t="shared" si="951"/>
        <v/>
      </c>
      <c r="AN2086" s="213" t="str">
        <f t="shared" si="933"/>
        <v/>
      </c>
      <c r="AO2086" s="213" t="str">
        <f t="shared" si="934"/>
        <v/>
      </c>
      <c r="AP2086" s="213" t="str">
        <f t="shared" si="935"/>
        <v/>
      </c>
      <c r="AQ2086" s="215" t="str">
        <f t="shared" si="936"/>
        <v/>
      </c>
      <c r="AR2086" s="216" t="str">
        <f t="shared" si="937"/>
        <v>BiK83a2K09--07</v>
      </c>
      <c r="AS2086" s="215" t="str">
        <f t="shared" si="938"/>
        <v/>
      </c>
      <c r="AT2086">
        <f t="shared" si="939"/>
        <v>14</v>
      </c>
      <c r="AU2086" s="216" t="str">
        <f t="shared" si="940"/>
        <v>0,5-5 MW, Bonusregeln a2 und K erstmals 2009</v>
      </c>
      <c r="AV2086" s="215" t="str">
        <f t="shared" si="941"/>
        <v/>
      </c>
      <c r="AW2086" s="216" t="str">
        <f t="shared" si="942"/>
        <v>Anteil KWK, erstmals 2009</v>
      </c>
      <c r="AX2086" s="215" t="str">
        <f t="shared" si="943"/>
        <v/>
      </c>
      <c r="AY2086" t="str">
        <f t="shared" si="944"/>
        <v/>
      </c>
      <c r="AZ2086" t="str">
        <f t="shared" si="945"/>
        <v/>
      </c>
    </row>
    <row r="2087" spans="1:52" x14ac:dyDescent="0.25">
      <c r="A2087" s="610" t="s">
        <v>3151</v>
      </c>
      <c r="B2087" s="17" t="s">
        <v>5548</v>
      </c>
      <c r="C2087" s="17" t="s">
        <v>1304</v>
      </c>
      <c r="D2087" s="30" t="s">
        <v>6777</v>
      </c>
      <c r="E2087" s="30" t="s">
        <v>3567</v>
      </c>
      <c r="F2087" s="454">
        <f t="shared" si="952"/>
        <v>15.48</v>
      </c>
      <c r="G2087" s="529">
        <v>15.48</v>
      </c>
      <c r="H2087" s="487">
        <f t="shared" si="953"/>
        <v>12.38</v>
      </c>
      <c r="I2087" s="706"/>
      <c r="J2087" s="669" t="s">
        <v>5805</v>
      </c>
      <c r="K2087" s="15"/>
      <c r="M2087" s="49">
        <f t="shared" si="954"/>
        <v>15.48</v>
      </c>
      <c r="N2087" s="41">
        <v>8.51</v>
      </c>
      <c r="O2087" s="54"/>
      <c r="P2087" s="74"/>
      <c r="R2087" t="s">
        <v>1017</v>
      </c>
      <c r="S2087" t="s">
        <v>4180</v>
      </c>
      <c r="T2087" t="s">
        <v>4180</v>
      </c>
      <c r="U2087" s="75"/>
      <c r="V2087" s="65"/>
      <c r="W2087" t="s">
        <v>1017</v>
      </c>
      <c r="Y2087" s="65"/>
      <c r="Z2087" s="65"/>
      <c r="AA2087" s="65"/>
      <c r="AB2087" s="65"/>
      <c r="AC2087" s="65"/>
      <c r="AD2087" s="91"/>
      <c r="AE2087" s="124"/>
      <c r="AF2087" s="65"/>
      <c r="AG2087" s="91"/>
      <c r="AH2087" s="212" t="str">
        <f t="shared" si="957"/>
        <v>2010</v>
      </c>
      <c r="AI2087" s="214" t="str">
        <f t="shared" si="947"/>
        <v/>
      </c>
      <c r="AJ2087" s="214" t="str">
        <f t="shared" si="948"/>
        <v/>
      </c>
      <c r="AK2087" s="214" t="str">
        <f t="shared" si="949"/>
        <v/>
      </c>
      <c r="AL2087" s="214" t="str">
        <f t="shared" si="950"/>
        <v/>
      </c>
      <c r="AM2087" s="214" t="str">
        <f t="shared" si="951"/>
        <v/>
      </c>
      <c r="AN2087" s="213" t="str">
        <f t="shared" si="933"/>
        <v>2010</v>
      </c>
      <c r="AO2087" s="213" t="str">
        <f t="shared" si="934"/>
        <v>2010</v>
      </c>
      <c r="AP2087" s="213" t="str">
        <f t="shared" si="935"/>
        <v>2010</v>
      </c>
      <c r="AQ2087" s="215" t="str">
        <f t="shared" si="936"/>
        <v/>
      </c>
      <c r="AR2087" s="216" t="str">
        <f t="shared" si="937"/>
        <v>BiK83a2K10--07</v>
      </c>
      <c r="AS2087" s="215" t="str">
        <f t="shared" si="938"/>
        <v/>
      </c>
      <c r="AT2087">
        <f t="shared" si="939"/>
        <v>14</v>
      </c>
      <c r="AU2087" s="216" t="str">
        <f t="shared" si="940"/>
        <v>0,5-5 MW, Bonusregeln a2 und K erstmals 2010</v>
      </c>
      <c r="AV2087" s="215" t="str">
        <f t="shared" si="941"/>
        <v/>
      </c>
      <c r="AW2087" s="216" t="str">
        <f t="shared" si="942"/>
        <v>Anteil KWK, erstmals 2010</v>
      </c>
      <c r="AX2087" s="215" t="str">
        <f t="shared" si="943"/>
        <v/>
      </c>
      <c r="AY2087" t="str">
        <f t="shared" si="944"/>
        <v/>
      </c>
      <c r="AZ2087" t="str">
        <f t="shared" si="945"/>
        <v/>
      </c>
    </row>
    <row r="2088" spans="1:52" x14ac:dyDescent="0.25">
      <c r="A2088" s="610" t="s">
        <v>3427</v>
      </c>
      <c r="B2088" s="17" t="s">
        <v>5548</v>
      </c>
      <c r="C2088" s="17" t="s">
        <v>1304</v>
      </c>
      <c r="D2088" s="30" t="s">
        <v>6778</v>
      </c>
      <c r="E2088" s="30" t="s">
        <v>3055</v>
      </c>
      <c r="F2088" s="454">
        <f t="shared" si="952"/>
        <v>15.45</v>
      </c>
      <c r="G2088" s="529">
        <v>15.45</v>
      </c>
      <c r="H2088" s="487">
        <f t="shared" si="953"/>
        <v>12.36</v>
      </c>
      <c r="I2088" s="706"/>
      <c r="J2088" s="669" t="s">
        <v>5805</v>
      </c>
      <c r="K2088" s="15"/>
      <c r="M2088" s="49">
        <f t="shared" si="954"/>
        <v>15.45</v>
      </c>
      <c r="N2088" s="41">
        <v>8.51</v>
      </c>
      <c r="O2088" s="54"/>
      <c r="P2088" s="74"/>
      <c r="S2088" t="s">
        <v>1017</v>
      </c>
      <c r="T2088" t="s">
        <v>4180</v>
      </c>
      <c r="U2088" s="75"/>
      <c r="V2088" s="65"/>
      <c r="W2088" t="s">
        <v>1017</v>
      </c>
      <c r="Y2088" s="65"/>
      <c r="Z2088" s="65"/>
      <c r="AA2088" s="65"/>
      <c r="AB2088" s="65"/>
      <c r="AC2088" s="65"/>
      <c r="AD2088" s="91"/>
      <c r="AE2088" s="124"/>
      <c r="AF2088" s="65"/>
      <c r="AG2088" s="91"/>
      <c r="AH2088" s="212" t="str">
        <f t="shared" si="957"/>
        <v>2011</v>
      </c>
      <c r="AI2088" s="214" t="str">
        <f t="shared" si="947"/>
        <v/>
      </c>
      <c r="AJ2088" s="214" t="str">
        <f t="shared" si="948"/>
        <v/>
      </c>
      <c r="AK2088" s="214" t="str">
        <f t="shared" si="949"/>
        <v/>
      </c>
      <c r="AL2088" s="214" t="str">
        <f t="shared" si="950"/>
        <v/>
      </c>
      <c r="AM2088" s="214" t="str">
        <f t="shared" si="951"/>
        <v/>
      </c>
      <c r="AN2088" s="213" t="str">
        <f t="shared" si="933"/>
        <v>2011</v>
      </c>
      <c r="AO2088" s="213" t="str">
        <f t="shared" si="934"/>
        <v>2011</v>
      </c>
      <c r="AP2088" s="213" t="str">
        <f t="shared" si="935"/>
        <v>2011</v>
      </c>
      <c r="AQ2088" s="215" t="str">
        <f t="shared" si="936"/>
        <v/>
      </c>
      <c r="AR2088" s="216" t="str">
        <f t="shared" si="937"/>
        <v>BiK83a2K11--07</v>
      </c>
      <c r="AS2088" s="215" t="str">
        <f t="shared" si="938"/>
        <v/>
      </c>
      <c r="AT2088">
        <f t="shared" si="939"/>
        <v>14</v>
      </c>
      <c r="AU2088" s="216" t="str">
        <f t="shared" si="940"/>
        <v>0,5-5 MW, Bonusregeln a2 und K erstmals 2011</v>
      </c>
      <c r="AV2088" s="215" t="str">
        <f t="shared" si="941"/>
        <v/>
      </c>
      <c r="AW2088" s="216" t="str">
        <f t="shared" si="942"/>
        <v>Anteil KWK, erstmals 2011</v>
      </c>
      <c r="AX2088" s="215" t="str">
        <f t="shared" si="943"/>
        <v/>
      </c>
      <c r="AY2088" t="str">
        <f t="shared" si="944"/>
        <v>x</v>
      </c>
      <c r="AZ2088" t="str">
        <f t="shared" si="945"/>
        <v/>
      </c>
    </row>
    <row r="2089" spans="1:52" x14ac:dyDescent="0.25">
      <c r="A2089" s="625" t="s">
        <v>1859</v>
      </c>
      <c r="B2089" s="221" t="s">
        <v>5548</v>
      </c>
      <c r="C2089" s="221" t="s">
        <v>1304</v>
      </c>
      <c r="D2089" s="219" t="s">
        <v>6779</v>
      </c>
      <c r="E2089" s="219" t="s">
        <v>1980</v>
      </c>
      <c r="F2089" s="455">
        <f t="shared" si="952"/>
        <v>15.42</v>
      </c>
      <c r="G2089" s="530">
        <v>15.42</v>
      </c>
      <c r="H2089" s="488">
        <f t="shared" si="953"/>
        <v>12.34</v>
      </c>
      <c r="I2089" s="707"/>
      <c r="J2089" s="669" t="s">
        <v>5805</v>
      </c>
      <c r="K2089" s="15"/>
      <c r="M2089" s="49">
        <f t="shared" si="954"/>
        <v>15.42</v>
      </c>
      <c r="N2089" s="41">
        <v>8.51</v>
      </c>
      <c r="O2089" s="54"/>
      <c r="P2089" s="74"/>
      <c r="S2089" t="s">
        <v>4180</v>
      </c>
      <c r="T2089" t="s">
        <v>1017</v>
      </c>
      <c r="U2089" s="75"/>
      <c r="V2089" s="65"/>
      <c r="W2089" t="s">
        <v>1017</v>
      </c>
      <c r="Y2089" s="65"/>
      <c r="Z2089" s="65"/>
      <c r="AA2089" s="65"/>
      <c r="AB2089" s="65"/>
      <c r="AC2089" s="65"/>
      <c r="AD2089" s="91"/>
      <c r="AE2089" s="124"/>
      <c r="AF2089" s="65"/>
      <c r="AG2089" s="91"/>
      <c r="AH2089" s="212" t="str">
        <f t="shared" si="957"/>
        <v>2012</v>
      </c>
      <c r="AI2089" s="214" t="str">
        <f t="shared" si="947"/>
        <v/>
      </c>
      <c r="AJ2089" s="214" t="str">
        <f t="shared" si="948"/>
        <v/>
      </c>
      <c r="AK2089" s="214" t="str">
        <f t="shared" si="949"/>
        <v/>
      </c>
      <c r="AL2089" s="214" t="str">
        <f t="shared" si="950"/>
        <v/>
      </c>
      <c r="AM2089" s="214" t="str">
        <f t="shared" si="951"/>
        <v/>
      </c>
      <c r="AN2089" s="213" t="str">
        <f t="shared" si="933"/>
        <v>2012</v>
      </c>
      <c r="AO2089" s="213" t="str">
        <f t="shared" si="934"/>
        <v>2012</v>
      </c>
      <c r="AP2089" s="213" t="str">
        <f t="shared" si="935"/>
        <v>2012</v>
      </c>
      <c r="AQ2089" s="215" t="str">
        <f t="shared" si="936"/>
        <v/>
      </c>
      <c r="AR2089" s="216" t="str">
        <f t="shared" si="937"/>
        <v>BiK83a2K12--07</v>
      </c>
      <c r="AS2089" s="215" t="str">
        <f t="shared" si="938"/>
        <v/>
      </c>
      <c r="AT2089">
        <f t="shared" si="939"/>
        <v>14</v>
      </c>
      <c r="AU2089" s="216" t="str">
        <f t="shared" si="940"/>
        <v>0,5-5 MW, Bonusregeln a2 und K erstmals 2012</v>
      </c>
      <c r="AV2089" s="215" t="str">
        <f t="shared" si="941"/>
        <v/>
      </c>
      <c r="AW2089" s="216" t="str">
        <f t="shared" si="942"/>
        <v>Anteil KWK, erstmals 2012</v>
      </c>
      <c r="AX2089" s="215" t="str">
        <f t="shared" si="943"/>
        <v/>
      </c>
      <c r="AY2089" t="str">
        <f t="shared" si="944"/>
        <v/>
      </c>
      <c r="AZ2089" t="str">
        <f t="shared" si="945"/>
        <v>x</v>
      </c>
    </row>
    <row r="2090" spans="1:52" s="12" customFormat="1" x14ac:dyDescent="0.25">
      <c r="A2090" s="609" t="s">
        <v>553</v>
      </c>
      <c r="B2090" s="1" t="s">
        <v>5548</v>
      </c>
      <c r="C2090" s="2" t="s">
        <v>1304</v>
      </c>
      <c r="D2090" s="1" t="s">
        <v>6762</v>
      </c>
      <c r="E2090" s="1" t="s">
        <v>4810</v>
      </c>
      <c r="F2090" s="456">
        <f t="shared" si="952"/>
        <v>11.01</v>
      </c>
      <c r="G2090" s="531">
        <v>11.01</v>
      </c>
      <c r="H2090" s="489">
        <f t="shared" si="953"/>
        <v>8.81</v>
      </c>
      <c r="I2090" s="708"/>
      <c r="J2090" s="669" t="s">
        <v>5805</v>
      </c>
      <c r="K2090" s="15"/>
      <c r="L2090"/>
      <c r="M2090" s="49">
        <f t="shared" si="954"/>
        <v>11.01</v>
      </c>
      <c r="N2090" s="41">
        <v>8.51</v>
      </c>
      <c r="O2090" s="54"/>
      <c r="P2090" s="74"/>
      <c r="Q2090"/>
      <c r="R2090"/>
      <c r="S2090" t="s">
        <v>4180</v>
      </c>
      <c r="T2090" s="12" t="s">
        <v>4180</v>
      </c>
      <c r="U2090" s="75"/>
      <c r="V2090" s="65"/>
      <c r="W2090"/>
      <c r="X2090" t="s">
        <v>1017</v>
      </c>
      <c r="Y2090" s="65"/>
      <c r="Z2090" s="65"/>
      <c r="AA2090" s="65"/>
      <c r="AB2090" s="65"/>
      <c r="AC2090" s="65"/>
      <c r="AD2090" s="91"/>
      <c r="AE2090" s="124"/>
      <c r="AF2090" s="65"/>
      <c r="AG2090" s="91"/>
      <c r="AH2090" s="212" t="str">
        <f t="shared" si="957"/>
        <v/>
      </c>
      <c r="AI2090" s="214" t="str">
        <f t="shared" si="947"/>
        <v/>
      </c>
      <c r="AJ2090" s="214" t="str">
        <f t="shared" si="948"/>
        <v/>
      </c>
      <c r="AK2090" s="214" t="str">
        <f t="shared" si="949"/>
        <v/>
      </c>
      <c r="AL2090" s="214" t="str">
        <f t="shared" si="950"/>
        <v/>
      </c>
      <c r="AM2090" s="214" t="str">
        <f t="shared" si="951"/>
        <v/>
      </c>
      <c r="AN2090" s="213" t="str">
        <f t="shared" si="933"/>
        <v/>
      </c>
      <c r="AO2090" s="213" t="str">
        <f t="shared" si="934"/>
        <v/>
      </c>
      <c r="AP2090" s="213" t="str">
        <f t="shared" si="935"/>
        <v/>
      </c>
      <c r="AQ2090" s="215" t="str">
        <f t="shared" si="936"/>
        <v/>
      </c>
      <c r="AR2090" s="216" t="str">
        <f t="shared" si="937"/>
        <v>BiK83a3-----07</v>
      </c>
      <c r="AS2090" s="215" t="str">
        <f t="shared" si="938"/>
        <v/>
      </c>
      <c r="AT2090">
        <f t="shared" si="939"/>
        <v>14</v>
      </c>
      <c r="AU2090" s="216" t="str">
        <f t="shared" si="940"/>
        <v>0,5-5 MW, Bonusregel a3</v>
      </c>
      <c r="AV2090" s="215" t="str">
        <f t="shared" si="941"/>
        <v/>
      </c>
      <c r="AW2090" s="216" t="str">
        <f t="shared" si="942"/>
        <v>Anteil Nicht-KWK</v>
      </c>
      <c r="AX2090" s="215" t="str">
        <f t="shared" si="943"/>
        <v/>
      </c>
      <c r="AY2090" t="str">
        <f t="shared" si="944"/>
        <v/>
      </c>
      <c r="AZ2090" t="str">
        <f t="shared" si="945"/>
        <v/>
      </c>
    </row>
    <row r="2091" spans="1:52" s="12" customFormat="1" x14ac:dyDescent="0.25">
      <c r="A2091" s="609" t="s">
        <v>554</v>
      </c>
      <c r="B2091" s="1" t="s">
        <v>5548</v>
      </c>
      <c r="C2091" s="2" t="s">
        <v>1304</v>
      </c>
      <c r="D2091" s="1" t="s">
        <v>6780</v>
      </c>
      <c r="E2091" s="1" t="s">
        <v>4812</v>
      </c>
      <c r="F2091" s="456">
        <f t="shared" si="952"/>
        <v>13.01</v>
      </c>
      <c r="G2091" s="531">
        <v>13.01</v>
      </c>
      <c r="H2091" s="489">
        <f t="shared" si="953"/>
        <v>10.41</v>
      </c>
      <c r="I2091" s="708"/>
      <c r="J2091" s="669" t="s">
        <v>5805</v>
      </c>
      <c r="K2091" s="15"/>
      <c r="L2091"/>
      <c r="M2091" s="49">
        <f t="shared" si="954"/>
        <v>13.01</v>
      </c>
      <c r="N2091" s="41">
        <v>8.51</v>
      </c>
      <c r="O2091" s="54" t="s">
        <v>1017</v>
      </c>
      <c r="P2091" s="74"/>
      <c r="Q2091"/>
      <c r="R2091"/>
      <c r="S2091" t="s">
        <v>4180</v>
      </c>
      <c r="T2091" s="12" t="s">
        <v>4180</v>
      </c>
      <c r="U2091" s="75"/>
      <c r="V2091" s="65"/>
      <c r="W2091"/>
      <c r="X2091" t="s">
        <v>1017</v>
      </c>
      <c r="Y2091" s="65"/>
      <c r="Z2091" s="65"/>
      <c r="AA2091" s="65"/>
      <c r="AB2091" s="65"/>
      <c r="AC2091" s="65"/>
      <c r="AD2091" s="91"/>
      <c r="AE2091" s="124"/>
      <c r="AF2091" s="65"/>
      <c r="AG2091" s="91"/>
      <c r="AH2091" s="212" t="str">
        <f t="shared" si="957"/>
        <v/>
      </c>
      <c r="AI2091" s="214" t="str">
        <f t="shared" si="947"/>
        <v/>
      </c>
      <c r="AJ2091" s="214" t="str">
        <f t="shared" si="948"/>
        <v/>
      </c>
      <c r="AK2091" s="214" t="str">
        <f t="shared" si="949"/>
        <v/>
      </c>
      <c r="AL2091" s="214" t="str">
        <f t="shared" si="950"/>
        <v/>
      </c>
      <c r="AM2091" s="214" t="str">
        <f t="shared" si="951"/>
        <v/>
      </c>
      <c r="AN2091" s="213" t="str">
        <f t="shared" si="933"/>
        <v/>
      </c>
      <c r="AO2091" s="213" t="str">
        <f t="shared" si="934"/>
        <v/>
      </c>
      <c r="AP2091" s="213" t="str">
        <f t="shared" si="935"/>
        <v/>
      </c>
      <c r="AQ2091" s="215" t="str">
        <f t="shared" si="936"/>
        <v/>
      </c>
      <c r="AR2091" s="216" t="str">
        <f t="shared" si="937"/>
        <v>BiK83a3KWK--07</v>
      </c>
      <c r="AS2091" s="215" t="str">
        <f t="shared" si="938"/>
        <v/>
      </c>
      <c r="AT2091">
        <f t="shared" si="939"/>
        <v>14</v>
      </c>
      <c r="AU2091" s="216" t="str">
        <f t="shared" si="940"/>
        <v>0,5-5 MW, Bonusregel a3 und KWK</v>
      </c>
      <c r="AV2091" s="215" t="str">
        <f t="shared" si="941"/>
        <v/>
      </c>
      <c r="AW2091" s="216" t="str">
        <f t="shared" si="942"/>
        <v>Anteil KWK</v>
      </c>
      <c r="AX2091" s="215" t="str">
        <f t="shared" si="943"/>
        <v/>
      </c>
      <c r="AY2091" t="str">
        <f t="shared" si="944"/>
        <v/>
      </c>
      <c r="AZ2091" t="str">
        <f t="shared" si="945"/>
        <v/>
      </c>
    </row>
    <row r="2092" spans="1:52" s="12" customFormat="1" x14ac:dyDescent="0.25">
      <c r="A2092" s="610" t="s">
        <v>896</v>
      </c>
      <c r="B2092" s="17" t="s">
        <v>5548</v>
      </c>
      <c r="C2092" s="17" t="s">
        <v>1304</v>
      </c>
      <c r="D2092" s="30" t="s">
        <v>6781</v>
      </c>
      <c r="E2092" s="17" t="s">
        <v>674</v>
      </c>
      <c r="F2092" s="454">
        <f t="shared" si="952"/>
        <v>14.01</v>
      </c>
      <c r="G2092" s="529">
        <v>14.01</v>
      </c>
      <c r="H2092" s="487">
        <f t="shared" si="953"/>
        <v>11.21</v>
      </c>
      <c r="I2092" s="706"/>
      <c r="J2092" s="669" t="s">
        <v>5805</v>
      </c>
      <c r="K2092" s="15"/>
      <c r="L2092"/>
      <c r="M2092" s="49">
        <f t="shared" si="954"/>
        <v>14.01</v>
      </c>
      <c r="N2092" s="41">
        <v>8.51</v>
      </c>
      <c r="O2092" s="54"/>
      <c r="P2092" s="74"/>
      <c r="Q2092" t="s">
        <v>1017</v>
      </c>
      <c r="R2092"/>
      <c r="S2092" t="s">
        <v>4180</v>
      </c>
      <c r="T2092" s="12" t="s">
        <v>4180</v>
      </c>
      <c r="U2092" s="75"/>
      <c r="V2092" s="65"/>
      <c r="W2092"/>
      <c r="X2092" t="s">
        <v>1017</v>
      </c>
      <c r="Y2092" s="65"/>
      <c r="Z2092" s="65"/>
      <c r="AA2092" s="65"/>
      <c r="AB2092" s="65"/>
      <c r="AC2092" s="65"/>
      <c r="AD2092" s="91"/>
      <c r="AE2092" s="124"/>
      <c r="AF2092" s="65"/>
      <c r="AG2092" s="91"/>
      <c r="AH2092" s="212" t="str">
        <f t="shared" si="957"/>
        <v/>
      </c>
      <c r="AI2092" s="214" t="str">
        <f t="shared" si="947"/>
        <v/>
      </c>
      <c r="AJ2092" s="214" t="str">
        <f t="shared" si="948"/>
        <v/>
      </c>
      <c r="AK2092" s="214" t="str">
        <f t="shared" si="949"/>
        <v/>
      </c>
      <c r="AL2092" s="214" t="str">
        <f t="shared" si="950"/>
        <v/>
      </c>
      <c r="AM2092" s="214" t="str">
        <f t="shared" si="951"/>
        <v/>
      </c>
      <c r="AN2092" s="213" t="str">
        <f t="shared" si="933"/>
        <v/>
      </c>
      <c r="AO2092" s="213" t="str">
        <f t="shared" si="934"/>
        <v/>
      </c>
      <c r="AP2092" s="213" t="str">
        <f t="shared" si="935"/>
        <v/>
      </c>
      <c r="AQ2092" s="215" t="str">
        <f t="shared" si="936"/>
        <v/>
      </c>
      <c r="AR2092" s="216" t="str">
        <f t="shared" si="937"/>
        <v>BiK83a3K09--07</v>
      </c>
      <c r="AS2092" s="215" t="str">
        <f t="shared" si="938"/>
        <v/>
      </c>
      <c r="AT2092">
        <f t="shared" si="939"/>
        <v>14</v>
      </c>
      <c r="AU2092" s="216" t="str">
        <f t="shared" si="940"/>
        <v>0,5-5 MW, Bonusregeln a3 und K erstmals 2009</v>
      </c>
      <c r="AV2092" s="215" t="str">
        <f t="shared" si="941"/>
        <v/>
      </c>
      <c r="AW2092" s="216" t="str">
        <f t="shared" si="942"/>
        <v>Anteil KWK, erstmals 2009</v>
      </c>
      <c r="AX2092" s="215" t="str">
        <f t="shared" si="943"/>
        <v/>
      </c>
      <c r="AY2092" t="str">
        <f t="shared" si="944"/>
        <v/>
      </c>
      <c r="AZ2092" t="str">
        <f t="shared" si="945"/>
        <v/>
      </c>
    </row>
    <row r="2093" spans="1:52" s="12" customFormat="1" x14ac:dyDescent="0.25">
      <c r="A2093" s="610" t="s">
        <v>3152</v>
      </c>
      <c r="B2093" s="17" t="s">
        <v>5548</v>
      </c>
      <c r="C2093" s="17" t="s">
        <v>1304</v>
      </c>
      <c r="D2093" s="30" t="s">
        <v>6782</v>
      </c>
      <c r="E2093" s="30" t="s">
        <v>3567</v>
      </c>
      <c r="F2093" s="454">
        <f t="shared" si="952"/>
        <v>13.98</v>
      </c>
      <c r="G2093" s="529">
        <v>13.98</v>
      </c>
      <c r="H2093" s="487">
        <f t="shared" si="953"/>
        <v>11.18</v>
      </c>
      <c r="I2093" s="706"/>
      <c r="J2093" s="669" t="s">
        <v>5805</v>
      </c>
      <c r="K2093" s="15"/>
      <c r="L2093"/>
      <c r="M2093" s="49">
        <f t="shared" si="954"/>
        <v>13.98</v>
      </c>
      <c r="N2093" s="41">
        <v>8.51</v>
      </c>
      <c r="O2093" s="54"/>
      <c r="P2093" s="74"/>
      <c r="Q2093"/>
      <c r="R2093" t="s">
        <v>1017</v>
      </c>
      <c r="S2093" t="s">
        <v>4180</v>
      </c>
      <c r="T2093" s="12" t="s">
        <v>4180</v>
      </c>
      <c r="U2093" s="75"/>
      <c r="V2093" s="65"/>
      <c r="W2093"/>
      <c r="X2093" t="s">
        <v>1017</v>
      </c>
      <c r="Y2093" s="65"/>
      <c r="Z2093" s="65"/>
      <c r="AA2093" s="65"/>
      <c r="AB2093" s="65"/>
      <c r="AC2093" s="65"/>
      <c r="AD2093" s="91"/>
      <c r="AE2093" s="124"/>
      <c r="AF2093" s="65"/>
      <c r="AG2093" s="91"/>
      <c r="AH2093" s="212" t="str">
        <f t="shared" si="957"/>
        <v>2010</v>
      </c>
      <c r="AI2093" s="214" t="str">
        <f t="shared" si="947"/>
        <v/>
      </c>
      <c r="AJ2093" s="214" t="str">
        <f t="shared" si="948"/>
        <v/>
      </c>
      <c r="AK2093" s="214" t="str">
        <f t="shared" si="949"/>
        <v/>
      </c>
      <c r="AL2093" s="214" t="str">
        <f t="shared" si="950"/>
        <v/>
      </c>
      <c r="AM2093" s="214" t="str">
        <f t="shared" si="951"/>
        <v/>
      </c>
      <c r="AN2093" s="213" t="str">
        <f t="shared" si="933"/>
        <v>2010</v>
      </c>
      <c r="AO2093" s="213" t="str">
        <f t="shared" si="934"/>
        <v>2010</v>
      </c>
      <c r="AP2093" s="213" t="str">
        <f t="shared" si="935"/>
        <v>2010</v>
      </c>
      <c r="AQ2093" s="215" t="str">
        <f t="shared" si="936"/>
        <v/>
      </c>
      <c r="AR2093" s="216" t="str">
        <f t="shared" si="937"/>
        <v>BiK83a3K10--07</v>
      </c>
      <c r="AS2093" s="215" t="str">
        <f t="shared" si="938"/>
        <v/>
      </c>
      <c r="AT2093">
        <f t="shared" si="939"/>
        <v>14</v>
      </c>
      <c r="AU2093" s="216" t="str">
        <f t="shared" si="940"/>
        <v>0,5-5 MW, Bonusregeln a3 und K erstmals 2010</v>
      </c>
      <c r="AV2093" s="215" t="str">
        <f t="shared" si="941"/>
        <v/>
      </c>
      <c r="AW2093" s="216" t="str">
        <f t="shared" si="942"/>
        <v>Anteil KWK, erstmals 2010</v>
      </c>
      <c r="AX2093" s="215" t="str">
        <f t="shared" si="943"/>
        <v/>
      </c>
      <c r="AY2093" t="str">
        <f t="shared" si="944"/>
        <v/>
      </c>
      <c r="AZ2093" t="str">
        <f t="shared" si="945"/>
        <v/>
      </c>
    </row>
    <row r="2094" spans="1:52" x14ac:dyDescent="0.25">
      <c r="A2094" s="612" t="s">
        <v>3428</v>
      </c>
      <c r="B2094" s="17" t="s">
        <v>5548</v>
      </c>
      <c r="C2094" s="17" t="s">
        <v>1304</v>
      </c>
      <c r="D2094" s="30" t="s">
        <v>6783</v>
      </c>
      <c r="E2094" s="30" t="s">
        <v>3055</v>
      </c>
      <c r="F2094" s="454">
        <f t="shared" si="952"/>
        <v>13.95</v>
      </c>
      <c r="G2094" s="529">
        <v>13.95</v>
      </c>
      <c r="H2094" s="487">
        <f t="shared" si="953"/>
        <v>11.16</v>
      </c>
      <c r="I2094" s="706"/>
      <c r="J2094" s="669" t="s">
        <v>5805</v>
      </c>
      <c r="K2094" s="15"/>
      <c r="M2094" s="49">
        <f t="shared" si="954"/>
        <v>13.95</v>
      </c>
      <c r="N2094" s="41">
        <v>8.51</v>
      </c>
      <c r="O2094" s="54"/>
      <c r="P2094" s="74"/>
      <c r="S2094" t="s">
        <v>1017</v>
      </c>
      <c r="T2094" t="s">
        <v>4180</v>
      </c>
      <c r="U2094" s="75"/>
      <c r="V2094" s="65"/>
      <c r="X2094" t="s">
        <v>1017</v>
      </c>
      <c r="Y2094" s="65"/>
      <c r="Z2094" s="65"/>
      <c r="AA2094" s="65"/>
      <c r="AB2094" s="65"/>
      <c r="AC2094" s="65"/>
      <c r="AD2094" s="65"/>
      <c r="AE2094" s="124"/>
      <c r="AF2094" s="65"/>
      <c r="AG2094" s="65"/>
      <c r="AH2094" s="212" t="str">
        <f t="shared" si="957"/>
        <v>2011</v>
      </c>
      <c r="AI2094" s="214" t="str">
        <f t="shared" si="947"/>
        <v/>
      </c>
      <c r="AJ2094" s="214" t="str">
        <f t="shared" si="948"/>
        <v/>
      </c>
      <c r="AK2094" s="214" t="str">
        <f t="shared" si="949"/>
        <v/>
      </c>
      <c r="AL2094" s="214" t="str">
        <f t="shared" si="950"/>
        <v/>
      </c>
      <c r="AM2094" s="214" t="str">
        <f t="shared" si="951"/>
        <v/>
      </c>
      <c r="AN2094" s="213" t="str">
        <f t="shared" si="933"/>
        <v>2011</v>
      </c>
      <c r="AO2094" s="213" t="str">
        <f t="shared" si="934"/>
        <v>2011</v>
      </c>
      <c r="AP2094" s="213" t="str">
        <f t="shared" si="935"/>
        <v>2011</v>
      </c>
      <c r="AQ2094" s="215" t="str">
        <f t="shared" si="936"/>
        <v/>
      </c>
      <c r="AR2094" s="216" t="str">
        <f t="shared" si="937"/>
        <v>BiK83a3K11--07</v>
      </c>
      <c r="AS2094" s="215" t="str">
        <f t="shared" si="938"/>
        <v/>
      </c>
      <c r="AT2094">
        <f t="shared" si="939"/>
        <v>14</v>
      </c>
      <c r="AU2094" s="216" t="str">
        <f t="shared" si="940"/>
        <v>0,5-5 MW, Bonusregeln a3 und K erstmals 2011</v>
      </c>
      <c r="AV2094" s="215" t="str">
        <f t="shared" si="941"/>
        <v/>
      </c>
      <c r="AW2094" s="216" t="str">
        <f t="shared" si="942"/>
        <v>Anteil KWK, erstmals 2011</v>
      </c>
      <c r="AX2094" s="215" t="str">
        <f t="shared" si="943"/>
        <v/>
      </c>
      <c r="AY2094" t="str">
        <f t="shared" si="944"/>
        <v>x</v>
      </c>
      <c r="AZ2094" t="str">
        <f t="shared" si="945"/>
        <v/>
      </c>
    </row>
    <row r="2095" spans="1:52" x14ac:dyDescent="0.25">
      <c r="A2095" s="626" t="s">
        <v>1860</v>
      </c>
      <c r="B2095" s="221" t="s">
        <v>5548</v>
      </c>
      <c r="C2095" s="221" t="s">
        <v>1304</v>
      </c>
      <c r="D2095" s="219" t="s">
        <v>6784</v>
      </c>
      <c r="E2095" s="219" t="s">
        <v>1980</v>
      </c>
      <c r="F2095" s="455">
        <f t="shared" si="952"/>
        <v>13.92</v>
      </c>
      <c r="G2095" s="530">
        <v>13.92</v>
      </c>
      <c r="H2095" s="488">
        <f t="shared" si="953"/>
        <v>11.14</v>
      </c>
      <c r="I2095" s="707"/>
      <c r="J2095" s="669" t="s">
        <v>5805</v>
      </c>
      <c r="K2095" s="15"/>
      <c r="M2095" s="49">
        <f t="shared" si="954"/>
        <v>13.92</v>
      </c>
      <c r="N2095" s="41">
        <v>8.51</v>
      </c>
      <c r="O2095" s="54"/>
      <c r="P2095" s="74"/>
      <c r="S2095" t="s">
        <v>4180</v>
      </c>
      <c r="T2095" t="s">
        <v>1017</v>
      </c>
      <c r="U2095" s="75"/>
      <c r="V2095" s="65"/>
      <c r="X2095" t="s">
        <v>1017</v>
      </c>
      <c r="Y2095" s="65"/>
      <c r="Z2095" s="65"/>
      <c r="AA2095" s="65"/>
      <c r="AB2095" s="65"/>
      <c r="AC2095" s="65"/>
      <c r="AD2095" s="65"/>
      <c r="AE2095" s="124"/>
      <c r="AF2095" s="65"/>
      <c r="AG2095" s="65"/>
      <c r="AH2095" s="217" t="s">
        <v>4179</v>
      </c>
      <c r="AI2095" s="214" t="str">
        <f t="shared" si="947"/>
        <v/>
      </c>
      <c r="AJ2095" s="214" t="str">
        <f t="shared" si="948"/>
        <v/>
      </c>
      <c r="AK2095" s="214" t="str">
        <f t="shared" si="949"/>
        <v/>
      </c>
      <c r="AL2095" s="214" t="str">
        <f t="shared" si="950"/>
        <v/>
      </c>
      <c r="AM2095" s="214" t="str">
        <f t="shared" si="951"/>
        <v/>
      </c>
      <c r="AN2095" s="213" t="str">
        <f t="shared" si="933"/>
        <v>2012</v>
      </c>
      <c r="AO2095" s="213" t="str">
        <f t="shared" si="934"/>
        <v>2012</v>
      </c>
      <c r="AP2095" s="213" t="str">
        <f t="shared" si="935"/>
        <v>2012</v>
      </c>
      <c r="AQ2095" s="215" t="str">
        <f t="shared" si="936"/>
        <v/>
      </c>
      <c r="AR2095" s="216" t="str">
        <f t="shared" si="937"/>
        <v>BiK83a3K12--07</v>
      </c>
      <c r="AS2095" s="215" t="str">
        <f t="shared" si="938"/>
        <v/>
      </c>
      <c r="AT2095">
        <f t="shared" si="939"/>
        <v>14</v>
      </c>
      <c r="AU2095" s="216" t="str">
        <f t="shared" si="940"/>
        <v>0,5-5 MW, Bonusregeln a3 und K erstmals 2012</v>
      </c>
      <c r="AV2095" s="215" t="str">
        <f t="shared" si="941"/>
        <v/>
      </c>
      <c r="AW2095" s="216" t="str">
        <f t="shared" si="942"/>
        <v>Anteil KWK, erstmals 2012</v>
      </c>
      <c r="AX2095" s="215" t="str">
        <f t="shared" si="943"/>
        <v/>
      </c>
      <c r="AY2095" t="str">
        <f t="shared" si="944"/>
        <v/>
      </c>
      <c r="AZ2095" t="str">
        <f t="shared" si="945"/>
        <v>x</v>
      </c>
    </row>
    <row r="2096" spans="1:52" x14ac:dyDescent="0.25">
      <c r="A2096" s="628" t="s">
        <v>555</v>
      </c>
      <c r="B2096" s="1" t="s">
        <v>5548</v>
      </c>
      <c r="C2096" s="2" t="s">
        <v>1304</v>
      </c>
      <c r="D2096" s="1" t="s">
        <v>6785</v>
      </c>
      <c r="E2096" s="36" t="s">
        <v>4810</v>
      </c>
      <c r="F2096" s="456">
        <f t="shared" si="952"/>
        <v>10.51</v>
      </c>
      <c r="G2096" s="531">
        <v>10.51</v>
      </c>
      <c r="H2096" s="489">
        <f t="shared" si="953"/>
        <v>8.41</v>
      </c>
      <c r="I2096" s="708"/>
      <c r="J2096" s="669" t="s">
        <v>5805</v>
      </c>
      <c r="K2096" s="15"/>
      <c r="M2096" s="49">
        <f t="shared" si="954"/>
        <v>10.51</v>
      </c>
      <c r="N2096" s="41">
        <v>8.51</v>
      </c>
      <c r="O2096" s="54"/>
      <c r="P2096" s="74"/>
      <c r="S2096" t="s">
        <v>4180</v>
      </c>
      <c r="T2096" t="s">
        <v>4180</v>
      </c>
      <c r="U2096" s="75"/>
      <c r="V2096" s="65"/>
      <c r="Y2096" s="65"/>
      <c r="Z2096" s="65"/>
      <c r="AA2096" s="65"/>
      <c r="AB2096" s="65"/>
      <c r="AC2096" s="65"/>
      <c r="AD2096" s="65"/>
      <c r="AE2096" s="124" t="s">
        <v>1017</v>
      </c>
      <c r="AF2096" s="65"/>
      <c r="AG2096" s="91"/>
      <c r="AH2096" s="212" t="str">
        <f>IF(ISERROR(SEARCH("K erstmals 201",D2096)),"",RIGHT(D2096,4))</f>
        <v/>
      </c>
      <c r="AI2096" s="214" t="str">
        <f t="shared" si="947"/>
        <v/>
      </c>
      <c r="AJ2096" s="214" t="str">
        <f t="shared" si="948"/>
        <v/>
      </c>
      <c r="AK2096" s="214" t="str">
        <f t="shared" si="949"/>
        <v/>
      </c>
      <c r="AL2096" s="214" t="str">
        <f t="shared" si="950"/>
        <v/>
      </c>
      <c r="AM2096" s="214" t="str">
        <f t="shared" si="951"/>
        <v/>
      </c>
      <c r="AN2096" s="213" t="str">
        <f t="shared" si="933"/>
        <v/>
      </c>
      <c r="AO2096" s="213" t="str">
        <f t="shared" si="934"/>
        <v/>
      </c>
      <c r="AP2096" s="213" t="str">
        <f t="shared" si="935"/>
        <v/>
      </c>
      <c r="AQ2096" s="215" t="str">
        <f t="shared" si="936"/>
        <v/>
      </c>
      <c r="AR2096" s="216" t="str">
        <f t="shared" si="937"/>
        <v>BiK83b------07</v>
      </c>
      <c r="AS2096" s="215" t="str">
        <f t="shared" si="938"/>
        <v/>
      </c>
      <c r="AT2096">
        <f t="shared" si="939"/>
        <v>14</v>
      </c>
      <c r="AU2096" s="216" t="str">
        <f t="shared" si="940"/>
        <v>0,5-5 MW, Bonusregel b</v>
      </c>
      <c r="AV2096" s="215" t="str">
        <f t="shared" si="941"/>
        <v/>
      </c>
      <c r="AW2096" s="216" t="str">
        <f t="shared" si="942"/>
        <v>Anteil Nicht-KWK</v>
      </c>
      <c r="AX2096" s="215" t="str">
        <f t="shared" si="943"/>
        <v/>
      </c>
      <c r="AY2096" t="str">
        <f t="shared" si="944"/>
        <v/>
      </c>
      <c r="AZ2096" t="str">
        <f t="shared" si="945"/>
        <v/>
      </c>
    </row>
    <row r="2097" spans="1:52" x14ac:dyDescent="0.25">
      <c r="A2097" s="628" t="s">
        <v>556</v>
      </c>
      <c r="B2097" s="1" t="s">
        <v>5548</v>
      </c>
      <c r="C2097" s="2" t="s">
        <v>1304</v>
      </c>
      <c r="D2097" s="1" t="s">
        <v>6786</v>
      </c>
      <c r="E2097" s="1" t="s">
        <v>4812</v>
      </c>
      <c r="F2097" s="456">
        <f t="shared" si="952"/>
        <v>12.51</v>
      </c>
      <c r="G2097" s="531">
        <v>12.51</v>
      </c>
      <c r="H2097" s="489">
        <f t="shared" si="953"/>
        <v>10.01</v>
      </c>
      <c r="I2097" s="708"/>
      <c r="J2097" s="669" t="s">
        <v>5805</v>
      </c>
      <c r="K2097" s="15"/>
      <c r="M2097" s="49">
        <f t="shared" si="954"/>
        <v>12.51</v>
      </c>
      <c r="N2097" s="41">
        <v>8.51</v>
      </c>
      <c r="O2097" s="54" t="s">
        <v>1017</v>
      </c>
      <c r="P2097" s="74"/>
      <c r="S2097" t="s">
        <v>4180</v>
      </c>
      <c r="T2097" t="s">
        <v>4180</v>
      </c>
      <c r="U2097" s="75"/>
      <c r="V2097" s="65"/>
      <c r="Y2097" s="65"/>
      <c r="Z2097" s="65"/>
      <c r="AA2097" s="65"/>
      <c r="AB2097" s="65"/>
      <c r="AC2097" s="65"/>
      <c r="AD2097" s="91"/>
      <c r="AE2097" s="124" t="s">
        <v>1017</v>
      </c>
      <c r="AF2097" s="65"/>
      <c r="AG2097" s="91"/>
      <c r="AH2097" s="212" t="str">
        <f>IF(ISERROR(SEARCH("K erstmals 201",D2097)),"",RIGHT(D2097,4))</f>
        <v/>
      </c>
      <c r="AI2097" s="214" t="str">
        <f t="shared" si="947"/>
        <v/>
      </c>
      <c r="AJ2097" s="214" t="str">
        <f t="shared" si="948"/>
        <v/>
      </c>
      <c r="AK2097" s="214" t="str">
        <f t="shared" si="949"/>
        <v/>
      </c>
      <c r="AL2097" s="214" t="str">
        <f t="shared" si="950"/>
        <v/>
      </c>
      <c r="AM2097" s="214" t="str">
        <f t="shared" si="951"/>
        <v/>
      </c>
      <c r="AN2097" s="213" t="str">
        <f t="shared" si="933"/>
        <v/>
      </c>
      <c r="AO2097" s="213" t="str">
        <f t="shared" si="934"/>
        <v/>
      </c>
      <c r="AP2097" s="213" t="str">
        <f t="shared" si="935"/>
        <v/>
      </c>
      <c r="AQ2097" s="215" t="str">
        <f t="shared" si="936"/>
        <v/>
      </c>
      <c r="AR2097" s="216" t="str">
        <f t="shared" si="937"/>
        <v>BiK83bKWK---07</v>
      </c>
      <c r="AS2097" s="215" t="str">
        <f t="shared" si="938"/>
        <v/>
      </c>
      <c r="AT2097">
        <f t="shared" si="939"/>
        <v>14</v>
      </c>
      <c r="AU2097" s="216" t="str">
        <f t="shared" si="940"/>
        <v>0,5-5 MW, Bonusregel b und KWK</v>
      </c>
      <c r="AV2097" s="215" t="str">
        <f t="shared" si="941"/>
        <v/>
      </c>
      <c r="AW2097" s="216" t="str">
        <f t="shared" si="942"/>
        <v>Anteil KWK</v>
      </c>
      <c r="AX2097" s="215" t="str">
        <f t="shared" si="943"/>
        <v/>
      </c>
      <c r="AY2097" t="str">
        <f t="shared" si="944"/>
        <v/>
      </c>
      <c r="AZ2097" t="str">
        <f t="shared" si="945"/>
        <v/>
      </c>
    </row>
    <row r="2098" spans="1:52" x14ac:dyDescent="0.25">
      <c r="A2098" s="612" t="s">
        <v>897</v>
      </c>
      <c r="B2098" s="17" t="s">
        <v>5548</v>
      </c>
      <c r="C2098" s="17" t="s">
        <v>1304</v>
      </c>
      <c r="D2098" s="30" t="s">
        <v>6787</v>
      </c>
      <c r="E2098" s="17" t="s">
        <v>674</v>
      </c>
      <c r="F2098" s="454">
        <f t="shared" si="952"/>
        <v>13.51</v>
      </c>
      <c r="G2098" s="529">
        <v>13.51</v>
      </c>
      <c r="H2098" s="487">
        <f t="shared" si="953"/>
        <v>10.81</v>
      </c>
      <c r="I2098" s="706"/>
      <c r="J2098" s="669" t="s">
        <v>5805</v>
      </c>
      <c r="K2098" s="15"/>
      <c r="M2098" s="49">
        <f t="shared" si="954"/>
        <v>13.51</v>
      </c>
      <c r="N2098" s="41">
        <v>8.51</v>
      </c>
      <c r="O2098" s="54"/>
      <c r="P2098" s="74"/>
      <c r="Q2098" t="s">
        <v>1017</v>
      </c>
      <c r="S2098" t="s">
        <v>4180</v>
      </c>
      <c r="T2098" t="s">
        <v>4180</v>
      </c>
      <c r="U2098" s="75"/>
      <c r="V2098" s="65"/>
      <c r="Y2098" s="65"/>
      <c r="Z2098" s="65"/>
      <c r="AA2098" s="65"/>
      <c r="AB2098" s="65"/>
      <c r="AC2098" s="65"/>
      <c r="AD2098" s="91"/>
      <c r="AE2098" s="124" t="s">
        <v>1017</v>
      </c>
      <c r="AF2098" s="65"/>
      <c r="AG2098" s="91"/>
      <c r="AH2098" s="212" t="str">
        <f>IF(ISERROR(SEARCH("K erstmals 201",D2098)),"",RIGHT(D2098,4))</f>
        <v/>
      </c>
      <c r="AI2098" s="214" t="str">
        <f t="shared" si="947"/>
        <v/>
      </c>
      <c r="AJ2098" s="214" t="str">
        <f t="shared" si="948"/>
        <v/>
      </c>
      <c r="AK2098" s="214" t="str">
        <f t="shared" si="949"/>
        <v/>
      </c>
      <c r="AL2098" s="214" t="str">
        <f t="shared" si="950"/>
        <v/>
      </c>
      <c r="AM2098" s="214" t="str">
        <f t="shared" si="951"/>
        <v/>
      </c>
      <c r="AN2098" s="213" t="str">
        <f t="shared" si="933"/>
        <v/>
      </c>
      <c r="AO2098" s="213" t="str">
        <f t="shared" si="934"/>
        <v/>
      </c>
      <c r="AP2098" s="213" t="str">
        <f t="shared" si="935"/>
        <v/>
      </c>
      <c r="AQ2098" s="215" t="str">
        <f t="shared" si="936"/>
        <v/>
      </c>
      <c r="AR2098" s="216" t="str">
        <f t="shared" si="937"/>
        <v>BiK83bK09---07</v>
      </c>
      <c r="AS2098" s="215" t="str">
        <f t="shared" si="938"/>
        <v/>
      </c>
      <c r="AT2098">
        <f t="shared" si="939"/>
        <v>14</v>
      </c>
      <c r="AU2098" s="216" t="str">
        <f t="shared" si="940"/>
        <v>0,5-5 MW, Bonusregel b und K erstmals 2009</v>
      </c>
      <c r="AV2098" s="215" t="str">
        <f t="shared" si="941"/>
        <v/>
      </c>
      <c r="AW2098" s="216" t="str">
        <f t="shared" si="942"/>
        <v>Anteil KWK, erstmals 2009</v>
      </c>
      <c r="AX2098" s="215" t="str">
        <f t="shared" si="943"/>
        <v/>
      </c>
      <c r="AY2098" t="str">
        <f t="shared" si="944"/>
        <v/>
      </c>
      <c r="AZ2098" t="str">
        <f t="shared" si="945"/>
        <v/>
      </c>
    </row>
    <row r="2099" spans="1:52" x14ac:dyDescent="0.25">
      <c r="A2099" s="610" t="s">
        <v>3153</v>
      </c>
      <c r="B2099" s="17" t="s">
        <v>5548</v>
      </c>
      <c r="C2099" s="17" t="s">
        <v>1304</v>
      </c>
      <c r="D2099" s="30" t="s">
        <v>6788</v>
      </c>
      <c r="E2099" s="30" t="s">
        <v>3567</v>
      </c>
      <c r="F2099" s="454">
        <f t="shared" si="952"/>
        <v>13.48</v>
      </c>
      <c r="G2099" s="529">
        <v>13.48</v>
      </c>
      <c r="H2099" s="487">
        <f t="shared" si="953"/>
        <v>10.78</v>
      </c>
      <c r="I2099" s="706"/>
      <c r="J2099" s="669" t="s">
        <v>5805</v>
      </c>
      <c r="K2099" s="15"/>
      <c r="M2099" s="49">
        <f t="shared" si="954"/>
        <v>13.48</v>
      </c>
      <c r="N2099" s="41">
        <v>8.51</v>
      </c>
      <c r="O2099" s="54"/>
      <c r="P2099" s="74"/>
      <c r="R2099" t="s">
        <v>1017</v>
      </c>
      <c r="S2099" t="s">
        <v>4180</v>
      </c>
      <c r="T2099" t="s">
        <v>4180</v>
      </c>
      <c r="U2099" s="75"/>
      <c r="V2099" s="65"/>
      <c r="Y2099" s="65"/>
      <c r="Z2099" s="65"/>
      <c r="AA2099" s="65"/>
      <c r="AB2099" s="65"/>
      <c r="AC2099" s="65"/>
      <c r="AD2099" s="91"/>
      <c r="AE2099" s="124" t="s">
        <v>1017</v>
      </c>
      <c r="AF2099" s="65"/>
      <c r="AG2099" s="91"/>
      <c r="AH2099" s="212" t="str">
        <f>IF(ISERROR(SEARCH("K erstmals 201",D2099)),"",RIGHT(D2099,4))</f>
        <v>2010</v>
      </c>
      <c r="AI2099" s="214" t="str">
        <f t="shared" si="947"/>
        <v/>
      </c>
      <c r="AJ2099" s="214" t="str">
        <f t="shared" si="948"/>
        <v/>
      </c>
      <c r="AK2099" s="214" t="str">
        <f t="shared" si="949"/>
        <v/>
      </c>
      <c r="AL2099" s="214" t="str">
        <f t="shared" si="950"/>
        <v/>
      </c>
      <c r="AM2099" s="214" t="str">
        <f t="shared" si="951"/>
        <v/>
      </c>
      <c r="AN2099" s="213" t="str">
        <f t="shared" si="933"/>
        <v>2010</v>
      </c>
      <c r="AO2099" s="213" t="str">
        <f t="shared" si="934"/>
        <v>2010</v>
      </c>
      <c r="AP2099" s="213" t="str">
        <f t="shared" si="935"/>
        <v>2010</v>
      </c>
      <c r="AQ2099" s="215" t="str">
        <f t="shared" si="936"/>
        <v/>
      </c>
      <c r="AR2099" s="216" t="str">
        <f t="shared" si="937"/>
        <v>BiK83bK10---07</v>
      </c>
      <c r="AS2099" s="215" t="str">
        <f t="shared" si="938"/>
        <v/>
      </c>
      <c r="AT2099">
        <f t="shared" si="939"/>
        <v>14</v>
      </c>
      <c r="AU2099" s="216" t="str">
        <f t="shared" si="940"/>
        <v>0,5-5 MW, Bonusregel b und K erstmals 2010</v>
      </c>
      <c r="AV2099" s="215" t="str">
        <f t="shared" si="941"/>
        <v/>
      </c>
      <c r="AW2099" s="216" t="str">
        <f t="shared" si="942"/>
        <v>Anteil KWK, erstmals 2010</v>
      </c>
      <c r="AX2099" s="215" t="str">
        <f t="shared" si="943"/>
        <v/>
      </c>
      <c r="AY2099" t="str">
        <f t="shared" si="944"/>
        <v/>
      </c>
      <c r="AZ2099" t="str">
        <f t="shared" si="945"/>
        <v/>
      </c>
    </row>
    <row r="2100" spans="1:52" x14ac:dyDescent="0.25">
      <c r="A2100" s="610" t="s">
        <v>3429</v>
      </c>
      <c r="B2100" s="17" t="s">
        <v>5548</v>
      </c>
      <c r="C2100" s="17" t="s">
        <v>1304</v>
      </c>
      <c r="D2100" s="30" t="s">
        <v>6789</v>
      </c>
      <c r="E2100" s="30" t="s">
        <v>3055</v>
      </c>
      <c r="F2100" s="454">
        <f t="shared" si="952"/>
        <v>13.45</v>
      </c>
      <c r="G2100" s="529">
        <v>13.45</v>
      </c>
      <c r="H2100" s="487">
        <f t="shared" si="953"/>
        <v>10.76</v>
      </c>
      <c r="I2100" s="706"/>
      <c r="J2100" s="669" t="s">
        <v>5805</v>
      </c>
      <c r="K2100" s="15"/>
      <c r="M2100" s="49">
        <f t="shared" si="954"/>
        <v>13.45</v>
      </c>
      <c r="N2100" s="41">
        <v>8.51</v>
      </c>
      <c r="O2100" s="54"/>
      <c r="P2100" s="74"/>
      <c r="S2100" t="s">
        <v>1017</v>
      </c>
      <c r="T2100" t="s">
        <v>4180</v>
      </c>
      <c r="U2100" s="75"/>
      <c r="V2100" s="65"/>
      <c r="Y2100" s="65"/>
      <c r="Z2100" s="65"/>
      <c r="AA2100" s="65"/>
      <c r="AB2100" s="65"/>
      <c r="AC2100" s="65"/>
      <c r="AD2100" s="91"/>
      <c r="AE2100" s="124" t="s">
        <v>1017</v>
      </c>
      <c r="AF2100" s="65"/>
      <c r="AG2100" s="91"/>
      <c r="AH2100" s="212" t="str">
        <f>IF(ISERROR(SEARCH("K erstmals 201",D2100)),"",RIGHT(D2100,4))</f>
        <v>2011</v>
      </c>
      <c r="AI2100" s="214" t="str">
        <f t="shared" si="947"/>
        <v/>
      </c>
      <c r="AJ2100" s="214" t="str">
        <f t="shared" si="948"/>
        <v/>
      </c>
      <c r="AK2100" s="214" t="str">
        <f t="shared" si="949"/>
        <v/>
      </c>
      <c r="AL2100" s="214" t="str">
        <f t="shared" si="950"/>
        <v/>
      </c>
      <c r="AM2100" s="214" t="str">
        <f t="shared" si="951"/>
        <v/>
      </c>
      <c r="AN2100" s="213" t="str">
        <f t="shared" si="933"/>
        <v>2011</v>
      </c>
      <c r="AO2100" s="213" t="str">
        <f t="shared" si="934"/>
        <v>2011</v>
      </c>
      <c r="AP2100" s="213" t="str">
        <f t="shared" si="935"/>
        <v>2011</v>
      </c>
      <c r="AQ2100" s="215" t="str">
        <f t="shared" si="936"/>
        <v/>
      </c>
      <c r="AR2100" s="216" t="str">
        <f t="shared" si="937"/>
        <v>BiK83bK11---07</v>
      </c>
      <c r="AS2100" s="215" t="str">
        <f t="shared" si="938"/>
        <v/>
      </c>
      <c r="AT2100">
        <f t="shared" si="939"/>
        <v>14</v>
      </c>
      <c r="AU2100" s="216" t="str">
        <f t="shared" si="940"/>
        <v>0,5-5 MW, Bonusregel b und K erstmals 2011</v>
      </c>
      <c r="AV2100" s="215" t="str">
        <f t="shared" si="941"/>
        <v/>
      </c>
      <c r="AW2100" s="216" t="str">
        <f t="shared" si="942"/>
        <v>Anteil KWK, erstmals 2011</v>
      </c>
      <c r="AX2100" s="215" t="str">
        <f t="shared" si="943"/>
        <v/>
      </c>
      <c r="AY2100" t="str">
        <f t="shared" si="944"/>
        <v>x</v>
      </c>
      <c r="AZ2100" t="str">
        <f t="shared" si="945"/>
        <v/>
      </c>
    </row>
    <row r="2101" spans="1:52" x14ac:dyDescent="0.25">
      <c r="A2101" s="625" t="s">
        <v>1861</v>
      </c>
      <c r="B2101" s="221" t="s">
        <v>5548</v>
      </c>
      <c r="C2101" s="221" t="s">
        <v>1304</v>
      </c>
      <c r="D2101" s="219" t="s">
        <v>6790</v>
      </c>
      <c r="E2101" s="219" t="s">
        <v>1980</v>
      </c>
      <c r="F2101" s="455">
        <f t="shared" si="952"/>
        <v>13.42</v>
      </c>
      <c r="G2101" s="530">
        <v>13.42</v>
      </c>
      <c r="H2101" s="488">
        <f t="shared" si="953"/>
        <v>10.74</v>
      </c>
      <c r="I2101" s="707"/>
      <c r="J2101" s="669" t="s">
        <v>5805</v>
      </c>
      <c r="K2101" s="15"/>
      <c r="M2101" s="49">
        <f t="shared" si="954"/>
        <v>13.42</v>
      </c>
      <c r="N2101" s="41">
        <v>8.51</v>
      </c>
      <c r="O2101" s="54"/>
      <c r="P2101" s="74"/>
      <c r="S2101" t="s">
        <v>4180</v>
      </c>
      <c r="T2101" t="s">
        <v>1017</v>
      </c>
      <c r="U2101" s="75"/>
      <c r="V2101" s="65"/>
      <c r="Y2101" s="65"/>
      <c r="Z2101" s="65"/>
      <c r="AA2101" s="65"/>
      <c r="AB2101" s="65"/>
      <c r="AC2101" s="65"/>
      <c r="AD2101" s="91"/>
      <c r="AE2101" s="124" t="s">
        <v>1017</v>
      </c>
      <c r="AF2101" s="65"/>
      <c r="AG2101" s="91"/>
      <c r="AH2101" s="217" t="s">
        <v>4179</v>
      </c>
      <c r="AI2101" s="214" t="str">
        <f t="shared" si="947"/>
        <v/>
      </c>
      <c r="AJ2101" s="214" t="str">
        <f t="shared" si="948"/>
        <v/>
      </c>
      <c r="AK2101" s="214" t="str">
        <f t="shared" si="949"/>
        <v/>
      </c>
      <c r="AL2101" s="214" t="str">
        <f t="shared" si="950"/>
        <v/>
      </c>
      <c r="AM2101" s="214" t="str">
        <f t="shared" si="951"/>
        <v/>
      </c>
      <c r="AN2101" s="213" t="str">
        <f t="shared" si="933"/>
        <v>2012</v>
      </c>
      <c r="AO2101" s="213" t="str">
        <f t="shared" si="934"/>
        <v>2012</v>
      </c>
      <c r="AP2101" s="213" t="str">
        <f t="shared" si="935"/>
        <v>2012</v>
      </c>
      <c r="AQ2101" s="215" t="str">
        <f t="shared" si="936"/>
        <v/>
      </c>
      <c r="AR2101" s="216" t="str">
        <f t="shared" si="937"/>
        <v>BiK83bK12---07</v>
      </c>
      <c r="AS2101" s="215" t="str">
        <f t="shared" si="938"/>
        <v/>
      </c>
      <c r="AT2101">
        <f t="shared" si="939"/>
        <v>14</v>
      </c>
      <c r="AU2101" s="216" t="str">
        <f t="shared" si="940"/>
        <v>0,5-5 MW, Bonusregel b und K erstmals 2012</v>
      </c>
      <c r="AV2101" s="215" t="str">
        <f t="shared" si="941"/>
        <v/>
      </c>
      <c r="AW2101" s="216" t="str">
        <f t="shared" si="942"/>
        <v>Anteil KWK, erstmals 2012</v>
      </c>
      <c r="AX2101" s="215" t="str">
        <f t="shared" si="943"/>
        <v/>
      </c>
      <c r="AY2101" t="str">
        <f t="shared" si="944"/>
        <v/>
      </c>
      <c r="AZ2101" t="str">
        <f t="shared" si="945"/>
        <v>x</v>
      </c>
    </row>
    <row r="2102" spans="1:52" s="178" customFormat="1" x14ac:dyDescent="0.25">
      <c r="A2102" s="609" t="s">
        <v>557</v>
      </c>
      <c r="B2102" s="1" t="s">
        <v>5548</v>
      </c>
      <c r="C2102" s="2" t="s">
        <v>1304</v>
      </c>
      <c r="D2102" s="1" t="s">
        <v>6791</v>
      </c>
      <c r="E2102" s="1" t="s">
        <v>4810</v>
      </c>
      <c r="F2102" s="456">
        <f t="shared" si="952"/>
        <v>14.51</v>
      </c>
      <c r="G2102" s="531">
        <v>14.51</v>
      </c>
      <c r="H2102" s="489">
        <f t="shared" si="953"/>
        <v>11.61</v>
      </c>
      <c r="I2102" s="708"/>
      <c r="J2102" s="669" t="s">
        <v>5805</v>
      </c>
      <c r="K2102" s="15"/>
      <c r="L2102"/>
      <c r="M2102" s="49">
        <f t="shared" si="954"/>
        <v>14.51</v>
      </c>
      <c r="N2102" s="41">
        <v>8.51</v>
      </c>
      <c r="O2102" s="54"/>
      <c r="P2102" s="74"/>
      <c r="Q2102"/>
      <c r="R2102"/>
      <c r="S2102" t="s">
        <v>4180</v>
      </c>
      <c r="T2102" s="178" t="s">
        <v>4180</v>
      </c>
      <c r="U2102" s="75"/>
      <c r="V2102" s="65"/>
      <c r="W2102" t="s">
        <v>1017</v>
      </c>
      <c r="X2102"/>
      <c r="Y2102" s="65"/>
      <c r="Z2102" s="65"/>
      <c r="AA2102" s="65"/>
      <c r="AB2102" s="65"/>
      <c r="AC2102" s="65"/>
      <c r="AD2102" s="91"/>
      <c r="AE2102" s="124" t="s">
        <v>1017</v>
      </c>
      <c r="AF2102" s="65"/>
      <c r="AG2102" s="65"/>
      <c r="AH2102" s="212" t="str">
        <f>IF(ISERROR(SEARCH("K erstmals 201",D2102)),"",RIGHT(D2102,4))</f>
        <v/>
      </c>
      <c r="AI2102" s="214" t="str">
        <f t="shared" si="947"/>
        <v/>
      </c>
      <c r="AJ2102" s="214" t="str">
        <f t="shared" si="948"/>
        <v/>
      </c>
      <c r="AK2102" s="214" t="str">
        <f t="shared" si="949"/>
        <v/>
      </c>
      <c r="AL2102" s="214" t="str">
        <f t="shared" si="950"/>
        <v/>
      </c>
      <c r="AM2102" s="214" t="str">
        <f t="shared" si="951"/>
        <v/>
      </c>
      <c r="AN2102" s="213" t="str">
        <f t="shared" si="933"/>
        <v/>
      </c>
      <c r="AO2102" s="213" t="str">
        <f t="shared" si="934"/>
        <v/>
      </c>
      <c r="AP2102" s="213" t="str">
        <f t="shared" si="935"/>
        <v/>
      </c>
      <c r="AQ2102" s="215" t="str">
        <f t="shared" si="936"/>
        <v/>
      </c>
      <c r="AR2102" s="216" t="str">
        <f t="shared" si="937"/>
        <v>BiK83a2b----07</v>
      </c>
      <c r="AS2102" s="215" t="str">
        <f t="shared" si="938"/>
        <v/>
      </c>
      <c r="AT2102">
        <f t="shared" si="939"/>
        <v>14</v>
      </c>
      <c r="AU2102" s="216" t="str">
        <f t="shared" si="940"/>
        <v>0,5-5 MW, Bonusregeln a2 und b</v>
      </c>
      <c r="AV2102" s="215" t="str">
        <f t="shared" si="941"/>
        <v/>
      </c>
      <c r="AW2102" s="216" t="str">
        <f t="shared" si="942"/>
        <v>Anteil Nicht-KWK</v>
      </c>
      <c r="AX2102" s="215" t="str">
        <f t="shared" si="943"/>
        <v/>
      </c>
      <c r="AY2102" t="str">
        <f t="shared" si="944"/>
        <v/>
      </c>
      <c r="AZ2102" t="str">
        <f t="shared" si="945"/>
        <v/>
      </c>
    </row>
    <row r="2103" spans="1:52" s="178" customFormat="1" x14ac:dyDescent="0.25">
      <c r="A2103" s="609" t="s">
        <v>3665</v>
      </c>
      <c r="B2103" s="1" t="s">
        <v>5548</v>
      </c>
      <c r="C2103" s="2" t="s">
        <v>1304</v>
      </c>
      <c r="D2103" s="1" t="s">
        <v>6792</v>
      </c>
      <c r="E2103" s="1" t="s">
        <v>4812</v>
      </c>
      <c r="F2103" s="456">
        <f t="shared" si="952"/>
        <v>16.509999999999998</v>
      </c>
      <c r="G2103" s="531">
        <v>16.509999999999998</v>
      </c>
      <c r="H2103" s="489">
        <f t="shared" si="953"/>
        <v>13.21</v>
      </c>
      <c r="I2103" s="708"/>
      <c r="J2103" s="669" t="s">
        <v>5805</v>
      </c>
      <c r="K2103" s="15"/>
      <c r="L2103"/>
      <c r="M2103" s="49">
        <f t="shared" si="954"/>
        <v>16.509999999999998</v>
      </c>
      <c r="N2103" s="41">
        <v>8.51</v>
      </c>
      <c r="O2103" s="54" t="s">
        <v>1017</v>
      </c>
      <c r="P2103" s="74"/>
      <c r="Q2103"/>
      <c r="R2103"/>
      <c r="S2103" t="s">
        <v>4180</v>
      </c>
      <c r="T2103" s="178" t="s">
        <v>4180</v>
      </c>
      <c r="U2103" s="75"/>
      <c r="V2103" s="65"/>
      <c r="W2103" t="s">
        <v>1017</v>
      </c>
      <c r="X2103"/>
      <c r="Y2103" s="65"/>
      <c r="Z2103" s="65"/>
      <c r="AA2103" s="65"/>
      <c r="AB2103" s="65"/>
      <c r="AC2103" s="65"/>
      <c r="AD2103" s="91"/>
      <c r="AE2103" s="124" t="s">
        <v>1017</v>
      </c>
      <c r="AF2103" s="65"/>
      <c r="AG2103" s="65"/>
      <c r="AH2103" s="212" t="str">
        <f>IF(ISERROR(SEARCH("K erstmals 201",D2103)),"",RIGHT(D2103,4))</f>
        <v/>
      </c>
      <c r="AI2103" s="214" t="str">
        <f t="shared" si="947"/>
        <v/>
      </c>
      <c r="AJ2103" s="214" t="str">
        <f t="shared" si="948"/>
        <v/>
      </c>
      <c r="AK2103" s="214" t="str">
        <f t="shared" si="949"/>
        <v/>
      </c>
      <c r="AL2103" s="214" t="str">
        <f t="shared" si="950"/>
        <v/>
      </c>
      <c r="AM2103" s="214" t="str">
        <f t="shared" si="951"/>
        <v/>
      </c>
      <c r="AN2103" s="213" t="str">
        <f t="shared" si="933"/>
        <v/>
      </c>
      <c r="AO2103" s="213" t="str">
        <f t="shared" si="934"/>
        <v/>
      </c>
      <c r="AP2103" s="213" t="str">
        <f t="shared" si="935"/>
        <v/>
      </c>
      <c r="AQ2103" s="215" t="str">
        <f t="shared" si="936"/>
        <v/>
      </c>
      <c r="AR2103" s="216" t="str">
        <f t="shared" si="937"/>
        <v>BiK83a2bKWK-07</v>
      </c>
      <c r="AS2103" s="215" t="str">
        <f t="shared" si="938"/>
        <v/>
      </c>
      <c r="AT2103">
        <f t="shared" si="939"/>
        <v>14</v>
      </c>
      <c r="AU2103" s="216" t="str">
        <f t="shared" si="940"/>
        <v>0,5-5 MW, Bonusregeln a2, b und KWK</v>
      </c>
      <c r="AV2103" s="215" t="str">
        <f t="shared" si="941"/>
        <v/>
      </c>
      <c r="AW2103" s="216" t="str">
        <f t="shared" si="942"/>
        <v>Anteil KWK</v>
      </c>
      <c r="AX2103" s="215" t="str">
        <f t="shared" si="943"/>
        <v/>
      </c>
      <c r="AY2103" t="str">
        <f t="shared" si="944"/>
        <v/>
      </c>
      <c r="AZ2103" t="str">
        <f t="shared" si="945"/>
        <v/>
      </c>
    </row>
    <row r="2104" spans="1:52" s="178" customFormat="1" x14ac:dyDescent="0.25">
      <c r="A2104" s="610" t="s">
        <v>898</v>
      </c>
      <c r="B2104" s="17" t="s">
        <v>5548</v>
      </c>
      <c r="C2104" s="17" t="s">
        <v>1304</v>
      </c>
      <c r="D2104" s="30" t="s">
        <v>6793</v>
      </c>
      <c r="E2104" s="17" t="s">
        <v>674</v>
      </c>
      <c r="F2104" s="454">
        <f t="shared" si="952"/>
        <v>17.509999999999998</v>
      </c>
      <c r="G2104" s="529">
        <v>17.509999999999998</v>
      </c>
      <c r="H2104" s="487">
        <f t="shared" si="953"/>
        <v>14.01</v>
      </c>
      <c r="I2104" s="706"/>
      <c r="J2104" s="669" t="s">
        <v>5805</v>
      </c>
      <c r="K2104" s="15"/>
      <c r="L2104"/>
      <c r="M2104" s="49">
        <f t="shared" si="954"/>
        <v>17.509999999999998</v>
      </c>
      <c r="N2104" s="41">
        <v>8.51</v>
      </c>
      <c r="O2104" s="54"/>
      <c r="P2104" s="74"/>
      <c r="Q2104" t="s">
        <v>1017</v>
      </c>
      <c r="R2104"/>
      <c r="S2104" t="s">
        <v>4180</v>
      </c>
      <c r="T2104" s="178" t="s">
        <v>4180</v>
      </c>
      <c r="U2104" s="75"/>
      <c r="V2104" s="65"/>
      <c r="W2104" t="s">
        <v>1017</v>
      </c>
      <c r="X2104"/>
      <c r="Y2104" s="65"/>
      <c r="Z2104" s="65"/>
      <c r="AA2104" s="65"/>
      <c r="AB2104" s="65"/>
      <c r="AC2104" s="65"/>
      <c r="AD2104" s="91"/>
      <c r="AE2104" s="124" t="s">
        <v>1017</v>
      </c>
      <c r="AF2104" s="65"/>
      <c r="AG2104" s="91"/>
      <c r="AH2104" s="212" t="str">
        <f>IF(ISERROR(SEARCH("K erstmals 201",D2104)),"",RIGHT(D2104,4))</f>
        <v/>
      </c>
      <c r="AI2104" s="214" t="str">
        <f t="shared" si="947"/>
        <v/>
      </c>
      <c r="AJ2104" s="214" t="str">
        <f t="shared" si="948"/>
        <v/>
      </c>
      <c r="AK2104" s="214" t="str">
        <f t="shared" si="949"/>
        <v/>
      </c>
      <c r="AL2104" s="214" t="str">
        <f t="shared" si="950"/>
        <v/>
      </c>
      <c r="AM2104" s="214" t="str">
        <f t="shared" si="951"/>
        <v/>
      </c>
      <c r="AN2104" s="213" t="str">
        <f t="shared" si="933"/>
        <v/>
      </c>
      <c r="AO2104" s="213" t="str">
        <f t="shared" si="934"/>
        <v/>
      </c>
      <c r="AP2104" s="213" t="str">
        <f t="shared" si="935"/>
        <v/>
      </c>
      <c r="AQ2104" s="215" t="str">
        <f t="shared" si="936"/>
        <v/>
      </c>
      <c r="AR2104" s="216" t="str">
        <f t="shared" si="937"/>
        <v>BiK83a2bK09-07</v>
      </c>
      <c r="AS2104" s="215" t="str">
        <f t="shared" si="938"/>
        <v/>
      </c>
      <c r="AT2104">
        <f t="shared" si="939"/>
        <v>14</v>
      </c>
      <c r="AU2104" s="216" t="str">
        <f t="shared" si="940"/>
        <v>0,5-5 MW, Bonusregeln a2, b und K erstmals 2009</v>
      </c>
      <c r="AV2104" s="215" t="str">
        <f t="shared" si="941"/>
        <v/>
      </c>
      <c r="AW2104" s="216" t="str">
        <f t="shared" si="942"/>
        <v>Anteil KWK, erstmals 2009</v>
      </c>
      <c r="AX2104" s="215" t="str">
        <f t="shared" si="943"/>
        <v/>
      </c>
      <c r="AY2104" t="str">
        <f t="shared" si="944"/>
        <v/>
      </c>
      <c r="AZ2104" t="str">
        <f t="shared" si="945"/>
        <v/>
      </c>
    </row>
    <row r="2105" spans="1:52" s="178" customFormat="1" x14ac:dyDescent="0.25">
      <c r="A2105" s="610" t="s">
        <v>3154</v>
      </c>
      <c r="B2105" s="17" t="s">
        <v>5548</v>
      </c>
      <c r="C2105" s="17" t="s">
        <v>1304</v>
      </c>
      <c r="D2105" s="30" t="s">
        <v>6794</v>
      </c>
      <c r="E2105" s="30" t="s">
        <v>3567</v>
      </c>
      <c r="F2105" s="454">
        <f t="shared" si="952"/>
        <v>17.48</v>
      </c>
      <c r="G2105" s="529">
        <v>17.48</v>
      </c>
      <c r="H2105" s="487">
        <f t="shared" si="953"/>
        <v>13.98</v>
      </c>
      <c r="I2105" s="706"/>
      <c r="J2105" s="669" t="s">
        <v>5805</v>
      </c>
      <c r="K2105" s="15"/>
      <c r="L2105"/>
      <c r="M2105" s="49">
        <f t="shared" si="954"/>
        <v>17.48</v>
      </c>
      <c r="N2105" s="41">
        <v>8.51</v>
      </c>
      <c r="O2105" s="54"/>
      <c r="P2105" s="74"/>
      <c r="Q2105"/>
      <c r="R2105" t="s">
        <v>1017</v>
      </c>
      <c r="S2105" t="s">
        <v>4180</v>
      </c>
      <c r="T2105" s="178" t="s">
        <v>4180</v>
      </c>
      <c r="U2105" s="75"/>
      <c r="V2105" s="65"/>
      <c r="W2105" t="s">
        <v>1017</v>
      </c>
      <c r="X2105"/>
      <c r="Y2105" s="65"/>
      <c r="Z2105" s="65"/>
      <c r="AA2105" s="65"/>
      <c r="AB2105" s="65"/>
      <c r="AC2105" s="65"/>
      <c r="AD2105" s="91"/>
      <c r="AE2105" s="124" t="s">
        <v>1017</v>
      </c>
      <c r="AF2105" s="65"/>
      <c r="AG2105" s="91"/>
      <c r="AH2105" s="212" t="str">
        <f>IF(ISERROR(SEARCH("K erstmals 201",D2105)),"",RIGHT(D2105,4))</f>
        <v>2010</v>
      </c>
      <c r="AI2105" s="214" t="str">
        <f t="shared" si="947"/>
        <v/>
      </c>
      <c r="AJ2105" s="214" t="str">
        <f t="shared" si="948"/>
        <v/>
      </c>
      <c r="AK2105" s="214" t="str">
        <f t="shared" si="949"/>
        <v/>
      </c>
      <c r="AL2105" s="214" t="str">
        <f t="shared" si="950"/>
        <v/>
      </c>
      <c r="AM2105" s="214" t="str">
        <f t="shared" si="951"/>
        <v/>
      </c>
      <c r="AN2105" s="213" t="str">
        <f t="shared" si="933"/>
        <v>2010</v>
      </c>
      <c r="AO2105" s="213" t="str">
        <f t="shared" si="934"/>
        <v>2010</v>
      </c>
      <c r="AP2105" s="213" t="str">
        <f t="shared" si="935"/>
        <v>2010</v>
      </c>
      <c r="AQ2105" s="215" t="str">
        <f t="shared" si="936"/>
        <v/>
      </c>
      <c r="AR2105" s="216" t="str">
        <f t="shared" si="937"/>
        <v>BiK83a2bK10-07</v>
      </c>
      <c r="AS2105" s="215" t="str">
        <f t="shared" si="938"/>
        <v/>
      </c>
      <c r="AT2105">
        <f t="shared" si="939"/>
        <v>14</v>
      </c>
      <c r="AU2105" s="216" t="str">
        <f t="shared" si="940"/>
        <v>0,5-5 MW, Bonusregeln a2, b und K erstmals 2010</v>
      </c>
      <c r="AV2105" s="215" t="str">
        <f t="shared" si="941"/>
        <v/>
      </c>
      <c r="AW2105" s="216" t="str">
        <f t="shared" si="942"/>
        <v>Anteil KWK, erstmals 2010</v>
      </c>
      <c r="AX2105" s="215" t="str">
        <f t="shared" si="943"/>
        <v/>
      </c>
      <c r="AY2105" t="str">
        <f t="shared" si="944"/>
        <v/>
      </c>
      <c r="AZ2105" t="str">
        <f t="shared" si="945"/>
        <v/>
      </c>
    </row>
    <row r="2106" spans="1:52" s="178" customFormat="1" x14ac:dyDescent="0.25">
      <c r="A2106" s="610" t="s">
        <v>3430</v>
      </c>
      <c r="B2106" s="17" t="s">
        <v>5548</v>
      </c>
      <c r="C2106" s="17" t="s">
        <v>1304</v>
      </c>
      <c r="D2106" s="30" t="s">
        <v>6795</v>
      </c>
      <c r="E2106" s="30" t="s">
        <v>3055</v>
      </c>
      <c r="F2106" s="454">
        <f t="shared" si="952"/>
        <v>17.45</v>
      </c>
      <c r="G2106" s="529">
        <v>17.45</v>
      </c>
      <c r="H2106" s="487">
        <f t="shared" si="953"/>
        <v>13.96</v>
      </c>
      <c r="I2106" s="706"/>
      <c r="J2106" s="669" t="s">
        <v>5805</v>
      </c>
      <c r="K2106" s="15"/>
      <c r="L2106"/>
      <c r="M2106" s="49">
        <f t="shared" si="954"/>
        <v>17.45</v>
      </c>
      <c r="N2106" s="41">
        <v>8.51</v>
      </c>
      <c r="O2106" s="54"/>
      <c r="P2106" s="74"/>
      <c r="Q2106"/>
      <c r="R2106"/>
      <c r="S2106" t="s">
        <v>1017</v>
      </c>
      <c r="T2106" s="178" t="s">
        <v>4180</v>
      </c>
      <c r="U2106" s="75"/>
      <c r="V2106" s="65"/>
      <c r="W2106" t="s">
        <v>1017</v>
      </c>
      <c r="X2106"/>
      <c r="Y2106" s="65"/>
      <c r="Z2106" s="65"/>
      <c r="AA2106" s="65"/>
      <c r="AB2106" s="65"/>
      <c r="AC2106" s="65"/>
      <c r="AD2106" s="91"/>
      <c r="AE2106" s="124" t="s">
        <v>1017</v>
      </c>
      <c r="AF2106" s="65"/>
      <c r="AG2106" s="91"/>
      <c r="AH2106" s="212" t="str">
        <f>IF(ISERROR(SEARCH("K erstmals 201",D2106)),"",RIGHT(D2106,4))</f>
        <v>2011</v>
      </c>
      <c r="AI2106" s="214" t="str">
        <f t="shared" si="947"/>
        <v/>
      </c>
      <c r="AJ2106" s="214" t="str">
        <f t="shared" si="948"/>
        <v/>
      </c>
      <c r="AK2106" s="214" t="str">
        <f t="shared" si="949"/>
        <v/>
      </c>
      <c r="AL2106" s="214" t="str">
        <f t="shared" si="950"/>
        <v/>
      </c>
      <c r="AM2106" s="214" t="str">
        <f t="shared" si="951"/>
        <v/>
      </c>
      <c r="AN2106" s="213" t="str">
        <f t="shared" si="933"/>
        <v>2011</v>
      </c>
      <c r="AO2106" s="213" t="str">
        <f t="shared" si="934"/>
        <v>2011</v>
      </c>
      <c r="AP2106" s="213" t="str">
        <f t="shared" si="935"/>
        <v>2011</v>
      </c>
      <c r="AQ2106" s="215" t="str">
        <f t="shared" si="936"/>
        <v/>
      </c>
      <c r="AR2106" s="216" t="str">
        <f t="shared" si="937"/>
        <v>BiK83a2bK11-07</v>
      </c>
      <c r="AS2106" s="215" t="str">
        <f t="shared" si="938"/>
        <v/>
      </c>
      <c r="AT2106">
        <f t="shared" si="939"/>
        <v>14</v>
      </c>
      <c r="AU2106" s="216" t="str">
        <f t="shared" si="940"/>
        <v>0,5-5 MW, Bonusregeln a2, b und K erstmals 2011</v>
      </c>
      <c r="AV2106" s="215" t="str">
        <f t="shared" si="941"/>
        <v/>
      </c>
      <c r="AW2106" s="216" t="str">
        <f t="shared" si="942"/>
        <v>Anteil KWK, erstmals 2011</v>
      </c>
      <c r="AX2106" s="215" t="str">
        <f t="shared" si="943"/>
        <v/>
      </c>
      <c r="AY2106" t="str">
        <f t="shared" si="944"/>
        <v>x</v>
      </c>
      <c r="AZ2106" t="str">
        <f t="shared" si="945"/>
        <v/>
      </c>
    </row>
    <row r="2107" spans="1:52" s="178" customFormat="1" x14ac:dyDescent="0.25">
      <c r="A2107" s="625" t="s">
        <v>1862</v>
      </c>
      <c r="B2107" s="221" t="s">
        <v>5548</v>
      </c>
      <c r="C2107" s="221" t="s">
        <v>1304</v>
      </c>
      <c r="D2107" s="219" t="s">
        <v>6796</v>
      </c>
      <c r="E2107" s="219" t="s">
        <v>1980</v>
      </c>
      <c r="F2107" s="455">
        <f t="shared" si="952"/>
        <v>17.420000000000002</v>
      </c>
      <c r="G2107" s="530">
        <v>17.420000000000002</v>
      </c>
      <c r="H2107" s="488">
        <f t="shared" si="953"/>
        <v>13.94</v>
      </c>
      <c r="I2107" s="707"/>
      <c r="J2107" s="669" t="s">
        <v>5805</v>
      </c>
      <c r="K2107" s="15"/>
      <c r="L2107"/>
      <c r="M2107" s="49">
        <f t="shared" si="954"/>
        <v>17.420000000000002</v>
      </c>
      <c r="N2107" s="41">
        <v>8.51</v>
      </c>
      <c r="O2107" s="54"/>
      <c r="P2107" s="74"/>
      <c r="Q2107"/>
      <c r="R2107"/>
      <c r="S2107" t="s">
        <v>4180</v>
      </c>
      <c r="T2107" s="178" t="s">
        <v>1017</v>
      </c>
      <c r="U2107" s="75"/>
      <c r="V2107" s="65"/>
      <c r="W2107" t="s">
        <v>1017</v>
      </c>
      <c r="X2107"/>
      <c r="Y2107" s="65"/>
      <c r="Z2107" s="65"/>
      <c r="AA2107" s="65"/>
      <c r="AB2107" s="65"/>
      <c r="AC2107" s="65"/>
      <c r="AD2107" s="91"/>
      <c r="AE2107" s="124" t="s">
        <v>1017</v>
      </c>
      <c r="AF2107" s="65"/>
      <c r="AG2107" s="91"/>
      <c r="AH2107" s="217" t="s">
        <v>4179</v>
      </c>
      <c r="AI2107" s="214" t="str">
        <f t="shared" si="947"/>
        <v/>
      </c>
      <c r="AJ2107" s="214" t="str">
        <f t="shared" si="948"/>
        <v/>
      </c>
      <c r="AK2107" s="214" t="str">
        <f t="shared" si="949"/>
        <v/>
      </c>
      <c r="AL2107" s="214" t="str">
        <f t="shared" si="950"/>
        <v/>
      </c>
      <c r="AM2107" s="214" t="str">
        <f t="shared" si="951"/>
        <v/>
      </c>
      <c r="AN2107" s="213" t="str">
        <f t="shared" si="933"/>
        <v>2012</v>
      </c>
      <c r="AO2107" s="213" t="str">
        <f t="shared" si="934"/>
        <v>2012</v>
      </c>
      <c r="AP2107" s="213" t="str">
        <f t="shared" si="935"/>
        <v>2012</v>
      </c>
      <c r="AQ2107" s="215" t="str">
        <f t="shared" si="936"/>
        <v/>
      </c>
      <c r="AR2107" s="216" t="str">
        <f t="shared" si="937"/>
        <v>BiK83a2bK12-07</v>
      </c>
      <c r="AS2107" s="215" t="str">
        <f t="shared" si="938"/>
        <v/>
      </c>
      <c r="AT2107">
        <f t="shared" si="939"/>
        <v>14</v>
      </c>
      <c r="AU2107" s="216" t="str">
        <f t="shared" si="940"/>
        <v>0,5-5 MW, Bonusregeln a2, b und K erstmals 2012</v>
      </c>
      <c r="AV2107" s="215" t="str">
        <f t="shared" si="941"/>
        <v/>
      </c>
      <c r="AW2107" s="216" t="str">
        <f t="shared" si="942"/>
        <v>Anteil KWK, erstmals 2012</v>
      </c>
      <c r="AX2107" s="215" t="str">
        <f t="shared" si="943"/>
        <v/>
      </c>
      <c r="AY2107" t="str">
        <f t="shared" si="944"/>
        <v/>
      </c>
      <c r="AZ2107" t="str">
        <f t="shared" si="945"/>
        <v>x</v>
      </c>
    </row>
    <row r="2108" spans="1:52" s="178" customFormat="1" x14ac:dyDescent="0.25">
      <c r="A2108" s="609" t="s">
        <v>3666</v>
      </c>
      <c r="B2108" s="1" t="s">
        <v>5548</v>
      </c>
      <c r="C2108" s="2" t="s">
        <v>1304</v>
      </c>
      <c r="D2108" s="1" t="s">
        <v>6797</v>
      </c>
      <c r="E2108" s="1" t="s">
        <v>4810</v>
      </c>
      <c r="F2108" s="456">
        <f t="shared" si="952"/>
        <v>13.01</v>
      </c>
      <c r="G2108" s="531">
        <v>13.01</v>
      </c>
      <c r="H2108" s="489">
        <f t="shared" si="953"/>
        <v>10.41</v>
      </c>
      <c r="I2108" s="708"/>
      <c r="J2108" s="669" t="s">
        <v>5805</v>
      </c>
      <c r="K2108" s="15"/>
      <c r="L2108"/>
      <c r="M2108" s="49">
        <f t="shared" si="954"/>
        <v>13.01</v>
      </c>
      <c r="N2108" s="41">
        <v>8.51</v>
      </c>
      <c r="O2108" s="54"/>
      <c r="P2108" s="74"/>
      <c r="Q2108"/>
      <c r="R2108"/>
      <c r="S2108" t="s">
        <v>4180</v>
      </c>
      <c r="T2108" s="178" t="s">
        <v>4180</v>
      </c>
      <c r="U2108" s="75"/>
      <c r="V2108" s="65"/>
      <c r="W2108"/>
      <c r="X2108" t="s">
        <v>1017</v>
      </c>
      <c r="Y2108" s="65"/>
      <c r="Z2108" s="65"/>
      <c r="AA2108" s="65"/>
      <c r="AB2108" s="65"/>
      <c r="AC2108" s="65"/>
      <c r="AD2108" s="91"/>
      <c r="AE2108" s="124" t="s">
        <v>1017</v>
      </c>
      <c r="AF2108" s="65"/>
      <c r="AG2108" s="91"/>
      <c r="AH2108" s="212" t="str">
        <f>IF(ISERROR(SEARCH("K erstmals 201",D2108)),"",RIGHT(D2108,4))</f>
        <v/>
      </c>
      <c r="AI2108" s="214" t="str">
        <f t="shared" si="947"/>
        <v/>
      </c>
      <c r="AJ2108" s="214" t="str">
        <f t="shared" si="948"/>
        <v/>
      </c>
      <c r="AK2108" s="214" t="str">
        <f t="shared" si="949"/>
        <v/>
      </c>
      <c r="AL2108" s="214" t="str">
        <f t="shared" si="950"/>
        <v/>
      </c>
      <c r="AM2108" s="214" t="str">
        <f t="shared" si="951"/>
        <v/>
      </c>
      <c r="AN2108" s="213" t="str">
        <f t="shared" si="933"/>
        <v/>
      </c>
      <c r="AO2108" s="213" t="str">
        <f t="shared" si="934"/>
        <v/>
      </c>
      <c r="AP2108" s="213" t="str">
        <f t="shared" si="935"/>
        <v/>
      </c>
      <c r="AQ2108" s="215" t="str">
        <f t="shared" si="936"/>
        <v/>
      </c>
      <c r="AR2108" s="216" t="str">
        <f t="shared" si="937"/>
        <v>BiK83a3b----07</v>
      </c>
      <c r="AS2108" s="215" t="str">
        <f t="shared" si="938"/>
        <v/>
      </c>
      <c r="AT2108">
        <f t="shared" si="939"/>
        <v>14</v>
      </c>
      <c r="AU2108" s="216" t="str">
        <f t="shared" si="940"/>
        <v>0,5-5 MW, Bonusregeln a3 und b</v>
      </c>
      <c r="AV2108" s="215" t="str">
        <f t="shared" si="941"/>
        <v/>
      </c>
      <c r="AW2108" s="216" t="str">
        <f t="shared" si="942"/>
        <v>Anteil Nicht-KWK</v>
      </c>
      <c r="AX2108" s="215" t="str">
        <f t="shared" si="943"/>
        <v/>
      </c>
      <c r="AY2108" t="str">
        <f t="shared" si="944"/>
        <v/>
      </c>
      <c r="AZ2108" t="str">
        <f t="shared" si="945"/>
        <v/>
      </c>
    </row>
    <row r="2109" spans="1:52" s="178" customFormat="1" x14ac:dyDescent="0.25">
      <c r="A2109" s="609" t="s">
        <v>3667</v>
      </c>
      <c r="B2109" s="1" t="s">
        <v>5548</v>
      </c>
      <c r="C2109" s="2" t="s">
        <v>1304</v>
      </c>
      <c r="D2109" s="1" t="s">
        <v>6798</v>
      </c>
      <c r="E2109" s="1" t="s">
        <v>4812</v>
      </c>
      <c r="F2109" s="456">
        <f t="shared" si="952"/>
        <v>15.01</v>
      </c>
      <c r="G2109" s="531">
        <v>15.01</v>
      </c>
      <c r="H2109" s="489">
        <f t="shared" si="953"/>
        <v>12.01</v>
      </c>
      <c r="I2109" s="708"/>
      <c r="J2109" s="669" t="s">
        <v>5805</v>
      </c>
      <c r="K2109" s="15"/>
      <c r="L2109"/>
      <c r="M2109" s="49">
        <f t="shared" si="954"/>
        <v>15.01</v>
      </c>
      <c r="N2109" s="41">
        <v>8.51</v>
      </c>
      <c r="O2109" s="54" t="s">
        <v>1017</v>
      </c>
      <c r="P2109" s="74"/>
      <c r="Q2109"/>
      <c r="R2109"/>
      <c r="S2109" t="s">
        <v>4180</v>
      </c>
      <c r="T2109" s="178" t="s">
        <v>4180</v>
      </c>
      <c r="U2109" s="75"/>
      <c r="V2109" s="65"/>
      <c r="W2109"/>
      <c r="X2109" t="s">
        <v>1017</v>
      </c>
      <c r="Y2109" s="65"/>
      <c r="Z2109" s="65"/>
      <c r="AA2109" s="65"/>
      <c r="AB2109" s="65"/>
      <c r="AC2109" s="65"/>
      <c r="AD2109" s="91"/>
      <c r="AE2109" s="124" t="s">
        <v>1017</v>
      </c>
      <c r="AF2109" s="65"/>
      <c r="AG2109" s="91"/>
      <c r="AH2109" s="212" t="str">
        <f>IF(ISERROR(SEARCH("K erstmals 201",D2109)),"",RIGHT(D2109,4))</f>
        <v/>
      </c>
      <c r="AI2109" s="214" t="str">
        <f t="shared" si="947"/>
        <v/>
      </c>
      <c r="AJ2109" s="214" t="str">
        <f t="shared" si="948"/>
        <v/>
      </c>
      <c r="AK2109" s="214" t="str">
        <f t="shared" si="949"/>
        <v/>
      </c>
      <c r="AL2109" s="214" t="str">
        <f t="shared" si="950"/>
        <v/>
      </c>
      <c r="AM2109" s="214" t="str">
        <f t="shared" si="951"/>
        <v/>
      </c>
      <c r="AN2109" s="213" t="str">
        <f t="shared" si="933"/>
        <v/>
      </c>
      <c r="AO2109" s="213" t="str">
        <f t="shared" si="934"/>
        <v/>
      </c>
      <c r="AP2109" s="213" t="str">
        <f t="shared" si="935"/>
        <v/>
      </c>
      <c r="AQ2109" s="215" t="str">
        <f t="shared" si="936"/>
        <v/>
      </c>
      <c r="AR2109" s="216" t="str">
        <f t="shared" si="937"/>
        <v>BiK83a3bKWK-07</v>
      </c>
      <c r="AS2109" s="215" t="str">
        <f t="shared" si="938"/>
        <v/>
      </c>
      <c r="AT2109">
        <f t="shared" si="939"/>
        <v>14</v>
      </c>
      <c r="AU2109" s="216" t="str">
        <f t="shared" si="940"/>
        <v>0,5-5 MW, Bonusregeln a3, b und KWK</v>
      </c>
      <c r="AV2109" s="215" t="str">
        <f t="shared" si="941"/>
        <v/>
      </c>
      <c r="AW2109" s="216" t="str">
        <f t="shared" si="942"/>
        <v>Anteil KWK</v>
      </c>
      <c r="AX2109" s="215" t="str">
        <f t="shared" si="943"/>
        <v/>
      </c>
      <c r="AY2109" t="str">
        <f t="shared" si="944"/>
        <v/>
      </c>
      <c r="AZ2109" t="str">
        <f t="shared" si="945"/>
        <v/>
      </c>
    </row>
    <row r="2110" spans="1:52" s="178" customFormat="1" x14ac:dyDescent="0.25">
      <c r="A2110" s="610" t="s">
        <v>899</v>
      </c>
      <c r="B2110" s="17" t="s">
        <v>5548</v>
      </c>
      <c r="C2110" s="17" t="s">
        <v>1304</v>
      </c>
      <c r="D2110" s="30" t="s">
        <v>6799</v>
      </c>
      <c r="E2110" s="17" t="s">
        <v>674</v>
      </c>
      <c r="F2110" s="454">
        <f t="shared" si="952"/>
        <v>16.009999999999998</v>
      </c>
      <c r="G2110" s="529">
        <v>16.009999999999998</v>
      </c>
      <c r="H2110" s="487">
        <f t="shared" si="953"/>
        <v>12.81</v>
      </c>
      <c r="I2110" s="706"/>
      <c r="J2110" s="669" t="s">
        <v>5805</v>
      </c>
      <c r="K2110" s="15"/>
      <c r="L2110"/>
      <c r="M2110" s="49">
        <f t="shared" si="954"/>
        <v>16.009999999999998</v>
      </c>
      <c r="N2110" s="41">
        <v>8.51</v>
      </c>
      <c r="O2110" s="54"/>
      <c r="P2110" s="74"/>
      <c r="Q2110" t="s">
        <v>1017</v>
      </c>
      <c r="R2110"/>
      <c r="S2110" t="s">
        <v>4180</v>
      </c>
      <c r="T2110" s="178" t="s">
        <v>4180</v>
      </c>
      <c r="U2110" s="75"/>
      <c r="V2110" s="65"/>
      <c r="W2110"/>
      <c r="X2110" t="s">
        <v>1017</v>
      </c>
      <c r="Y2110" s="65"/>
      <c r="Z2110" s="65"/>
      <c r="AA2110" s="65"/>
      <c r="AB2110" s="65"/>
      <c r="AC2110" s="65"/>
      <c r="AD2110" s="91"/>
      <c r="AE2110" s="124" t="s">
        <v>1017</v>
      </c>
      <c r="AF2110" s="65"/>
      <c r="AG2110" s="91"/>
      <c r="AH2110" s="212" t="str">
        <f>IF(ISERROR(SEARCH("K erstmals 201",D2110)),"",RIGHT(D2110,4))</f>
        <v/>
      </c>
      <c r="AI2110" s="214" t="str">
        <f t="shared" si="947"/>
        <v/>
      </c>
      <c r="AJ2110" s="214" t="str">
        <f t="shared" si="948"/>
        <v/>
      </c>
      <c r="AK2110" s="214" t="str">
        <f t="shared" si="949"/>
        <v/>
      </c>
      <c r="AL2110" s="214" t="str">
        <f t="shared" si="950"/>
        <v/>
      </c>
      <c r="AM2110" s="214" t="str">
        <f t="shared" si="951"/>
        <v/>
      </c>
      <c r="AN2110" s="213" t="str">
        <f t="shared" si="933"/>
        <v/>
      </c>
      <c r="AO2110" s="213" t="str">
        <f t="shared" si="934"/>
        <v/>
      </c>
      <c r="AP2110" s="213" t="str">
        <f t="shared" si="935"/>
        <v/>
      </c>
      <c r="AQ2110" s="215" t="str">
        <f t="shared" si="936"/>
        <v/>
      </c>
      <c r="AR2110" s="216" t="str">
        <f t="shared" si="937"/>
        <v>BiK83a3bK09-07</v>
      </c>
      <c r="AS2110" s="215" t="str">
        <f t="shared" si="938"/>
        <v/>
      </c>
      <c r="AT2110">
        <f t="shared" si="939"/>
        <v>14</v>
      </c>
      <c r="AU2110" s="216" t="str">
        <f t="shared" si="940"/>
        <v>0,5-5 MW, Bonusregeln a3, b und K erstmals 2009</v>
      </c>
      <c r="AV2110" s="215" t="str">
        <f t="shared" si="941"/>
        <v/>
      </c>
      <c r="AW2110" s="216" t="str">
        <f t="shared" si="942"/>
        <v>Anteil KWK, erstmals 2009</v>
      </c>
      <c r="AX2110" s="215" t="str">
        <f t="shared" si="943"/>
        <v/>
      </c>
      <c r="AY2110" t="str">
        <f t="shared" si="944"/>
        <v/>
      </c>
      <c r="AZ2110" t="str">
        <f t="shared" si="945"/>
        <v/>
      </c>
    </row>
    <row r="2111" spans="1:52" x14ac:dyDescent="0.25">
      <c r="A2111" s="610" t="s">
        <v>3155</v>
      </c>
      <c r="B2111" s="17" t="s">
        <v>5548</v>
      </c>
      <c r="C2111" s="17" t="s">
        <v>1304</v>
      </c>
      <c r="D2111" s="30" t="s">
        <v>6800</v>
      </c>
      <c r="E2111" s="30" t="s">
        <v>3567</v>
      </c>
      <c r="F2111" s="454">
        <f t="shared" si="952"/>
        <v>15.98</v>
      </c>
      <c r="G2111" s="529">
        <v>15.98</v>
      </c>
      <c r="H2111" s="487">
        <f t="shared" si="953"/>
        <v>12.78</v>
      </c>
      <c r="I2111" s="706"/>
      <c r="J2111" s="669" t="s">
        <v>5805</v>
      </c>
      <c r="K2111" s="15"/>
      <c r="M2111" s="49">
        <f t="shared" si="954"/>
        <v>15.98</v>
      </c>
      <c r="N2111" s="41">
        <v>8.51</v>
      </c>
      <c r="O2111" s="54"/>
      <c r="P2111" s="74"/>
      <c r="R2111" t="s">
        <v>1017</v>
      </c>
      <c r="S2111" t="s">
        <v>4180</v>
      </c>
      <c r="T2111" t="s">
        <v>4180</v>
      </c>
      <c r="U2111" s="75"/>
      <c r="V2111" s="65"/>
      <c r="X2111" t="s">
        <v>1017</v>
      </c>
      <c r="Y2111" s="65"/>
      <c r="Z2111" s="65"/>
      <c r="AA2111" s="65"/>
      <c r="AB2111" s="65"/>
      <c r="AC2111" s="65"/>
      <c r="AD2111" s="91"/>
      <c r="AE2111" s="124" t="s">
        <v>1017</v>
      </c>
      <c r="AF2111" s="65"/>
      <c r="AG2111" s="91"/>
      <c r="AH2111" s="212" t="str">
        <f>IF(ISERROR(SEARCH("K erstmals 201",D2111)),"",RIGHT(D2111,4))</f>
        <v>2010</v>
      </c>
      <c r="AI2111" s="214" t="str">
        <f t="shared" si="947"/>
        <v/>
      </c>
      <c r="AJ2111" s="214" t="str">
        <f t="shared" si="948"/>
        <v/>
      </c>
      <c r="AK2111" s="214" t="str">
        <f t="shared" si="949"/>
        <v/>
      </c>
      <c r="AL2111" s="214" t="str">
        <f t="shared" si="950"/>
        <v/>
      </c>
      <c r="AM2111" s="214" t="str">
        <f t="shared" si="951"/>
        <v/>
      </c>
      <c r="AN2111" s="213" t="str">
        <f t="shared" si="933"/>
        <v>2010</v>
      </c>
      <c r="AO2111" s="213" t="str">
        <f t="shared" si="934"/>
        <v>2010</v>
      </c>
      <c r="AP2111" s="213" t="str">
        <f t="shared" si="935"/>
        <v>2010</v>
      </c>
      <c r="AQ2111" s="215" t="str">
        <f t="shared" si="936"/>
        <v/>
      </c>
      <c r="AR2111" s="216" t="str">
        <f t="shared" si="937"/>
        <v>BiK83a3bK10-07</v>
      </c>
      <c r="AS2111" s="215" t="str">
        <f t="shared" si="938"/>
        <v/>
      </c>
      <c r="AT2111">
        <f t="shared" si="939"/>
        <v>14</v>
      </c>
      <c r="AU2111" s="216" t="str">
        <f t="shared" si="940"/>
        <v>0,5-5 MW, Bonusregeln a3, b und K erstmals 2010</v>
      </c>
      <c r="AV2111" s="215" t="str">
        <f t="shared" si="941"/>
        <v/>
      </c>
      <c r="AW2111" s="216" t="str">
        <f t="shared" si="942"/>
        <v>Anteil KWK, erstmals 2010</v>
      </c>
      <c r="AX2111" s="215" t="str">
        <f t="shared" si="943"/>
        <v/>
      </c>
      <c r="AY2111" t="str">
        <f t="shared" si="944"/>
        <v/>
      </c>
      <c r="AZ2111" t="str">
        <f t="shared" si="945"/>
        <v/>
      </c>
    </row>
    <row r="2112" spans="1:52" x14ac:dyDescent="0.25">
      <c r="A2112" s="610" t="s">
        <v>3431</v>
      </c>
      <c r="B2112" s="17" t="s">
        <v>5548</v>
      </c>
      <c r="C2112" s="17" t="s">
        <v>1304</v>
      </c>
      <c r="D2112" s="30" t="s">
        <v>6801</v>
      </c>
      <c r="E2112" s="30" t="s">
        <v>3055</v>
      </c>
      <c r="F2112" s="454">
        <f t="shared" si="952"/>
        <v>15.95</v>
      </c>
      <c r="G2112" s="529">
        <v>15.95</v>
      </c>
      <c r="H2112" s="487">
        <f t="shared" si="953"/>
        <v>12.76</v>
      </c>
      <c r="I2112" s="706"/>
      <c r="J2112" s="669" t="s">
        <v>5805</v>
      </c>
      <c r="K2112" s="15"/>
      <c r="M2112" s="49">
        <f t="shared" si="954"/>
        <v>15.95</v>
      </c>
      <c r="N2112" s="41">
        <v>8.51</v>
      </c>
      <c r="O2112" s="54"/>
      <c r="P2112" s="74"/>
      <c r="S2112" t="s">
        <v>1017</v>
      </c>
      <c r="T2112" t="s">
        <v>4180</v>
      </c>
      <c r="U2112" s="75"/>
      <c r="V2112" s="65"/>
      <c r="X2112" t="s">
        <v>1017</v>
      </c>
      <c r="Y2112" s="65"/>
      <c r="Z2112" s="65"/>
      <c r="AA2112" s="65"/>
      <c r="AB2112" s="65"/>
      <c r="AC2112" s="65"/>
      <c r="AD2112" s="91"/>
      <c r="AE2112" s="124" t="s">
        <v>1017</v>
      </c>
      <c r="AF2112" s="65"/>
      <c r="AG2112" s="91"/>
      <c r="AH2112" s="212" t="str">
        <f>IF(ISERROR(SEARCH("K erstmals 201",D2112)),"",RIGHT(D2112,4))</f>
        <v>2011</v>
      </c>
      <c r="AI2112" s="214" t="str">
        <f t="shared" si="947"/>
        <v/>
      </c>
      <c r="AJ2112" s="214" t="str">
        <f t="shared" si="948"/>
        <v/>
      </c>
      <c r="AK2112" s="214" t="str">
        <f t="shared" si="949"/>
        <v/>
      </c>
      <c r="AL2112" s="214" t="str">
        <f t="shared" si="950"/>
        <v/>
      </c>
      <c r="AM2112" s="214" t="str">
        <f t="shared" si="951"/>
        <v/>
      </c>
      <c r="AN2112" s="213" t="str">
        <f t="shared" si="933"/>
        <v>2011</v>
      </c>
      <c r="AO2112" s="213" t="str">
        <f t="shared" si="934"/>
        <v>2011</v>
      </c>
      <c r="AP2112" s="213" t="str">
        <f t="shared" si="935"/>
        <v>2011</v>
      </c>
      <c r="AQ2112" s="215" t="str">
        <f t="shared" si="936"/>
        <v/>
      </c>
      <c r="AR2112" s="216" t="str">
        <f t="shared" si="937"/>
        <v>BiK83a3bK11-07</v>
      </c>
      <c r="AS2112" s="215" t="str">
        <f t="shared" si="938"/>
        <v/>
      </c>
      <c r="AT2112">
        <f t="shared" si="939"/>
        <v>14</v>
      </c>
      <c r="AU2112" s="216" t="str">
        <f t="shared" si="940"/>
        <v>0,5-5 MW, Bonusregeln a3, b und K erstmals 2011</v>
      </c>
      <c r="AV2112" s="215" t="str">
        <f t="shared" si="941"/>
        <v/>
      </c>
      <c r="AW2112" s="216" t="str">
        <f t="shared" si="942"/>
        <v>Anteil KWK, erstmals 2011</v>
      </c>
      <c r="AX2112" s="215" t="str">
        <f t="shared" si="943"/>
        <v/>
      </c>
      <c r="AY2112" t="str">
        <f t="shared" si="944"/>
        <v>x</v>
      </c>
      <c r="AZ2112" t="str">
        <f t="shared" si="945"/>
        <v/>
      </c>
    </row>
    <row r="2113" spans="1:52" x14ac:dyDescent="0.25">
      <c r="A2113" s="625" t="s">
        <v>1863</v>
      </c>
      <c r="B2113" s="221" t="s">
        <v>5548</v>
      </c>
      <c r="C2113" s="221" t="s">
        <v>1304</v>
      </c>
      <c r="D2113" s="219" t="s">
        <v>6802</v>
      </c>
      <c r="E2113" s="219" t="s">
        <v>1980</v>
      </c>
      <c r="F2113" s="455">
        <f t="shared" si="952"/>
        <v>15.92</v>
      </c>
      <c r="G2113" s="530">
        <v>15.92</v>
      </c>
      <c r="H2113" s="488">
        <f t="shared" si="953"/>
        <v>12.74</v>
      </c>
      <c r="I2113" s="707"/>
      <c r="J2113" s="669" t="s">
        <v>5805</v>
      </c>
      <c r="K2113" s="15"/>
      <c r="M2113" s="49">
        <f t="shared" si="954"/>
        <v>15.92</v>
      </c>
      <c r="N2113" s="41">
        <v>8.51</v>
      </c>
      <c r="O2113" s="54"/>
      <c r="P2113" s="74"/>
      <c r="S2113" t="s">
        <v>4180</v>
      </c>
      <c r="T2113" t="s">
        <v>1017</v>
      </c>
      <c r="U2113" s="75"/>
      <c r="V2113" s="65"/>
      <c r="X2113" t="s">
        <v>1017</v>
      </c>
      <c r="Y2113" s="65"/>
      <c r="Z2113" s="65"/>
      <c r="AA2113" s="65"/>
      <c r="AB2113" s="65"/>
      <c r="AC2113" s="65"/>
      <c r="AD2113" s="91"/>
      <c r="AE2113" s="124" t="s">
        <v>1017</v>
      </c>
      <c r="AF2113" s="65"/>
      <c r="AG2113" s="91"/>
      <c r="AH2113" s="217" t="s">
        <v>4179</v>
      </c>
      <c r="AI2113" s="214" t="str">
        <f t="shared" si="947"/>
        <v/>
      </c>
      <c r="AJ2113" s="214" t="str">
        <f t="shared" si="948"/>
        <v/>
      </c>
      <c r="AK2113" s="214" t="str">
        <f t="shared" si="949"/>
        <v/>
      </c>
      <c r="AL2113" s="214" t="str">
        <f t="shared" si="950"/>
        <v/>
      </c>
      <c r="AM2113" s="214" t="str">
        <f t="shared" si="951"/>
        <v/>
      </c>
      <c r="AN2113" s="213" t="str">
        <f t="shared" si="933"/>
        <v>2012</v>
      </c>
      <c r="AO2113" s="213" t="str">
        <f t="shared" si="934"/>
        <v>2012</v>
      </c>
      <c r="AP2113" s="213" t="str">
        <f t="shared" si="935"/>
        <v>2012</v>
      </c>
      <c r="AQ2113" s="215" t="str">
        <f t="shared" si="936"/>
        <v/>
      </c>
      <c r="AR2113" s="216" t="str">
        <f t="shared" si="937"/>
        <v>BiK83a3bK12-07</v>
      </c>
      <c r="AS2113" s="215" t="str">
        <f t="shared" si="938"/>
        <v/>
      </c>
      <c r="AT2113">
        <f t="shared" si="939"/>
        <v>14</v>
      </c>
      <c r="AU2113" s="216" t="str">
        <f t="shared" si="940"/>
        <v>0,5-5 MW, Bonusregeln a3, b und K erstmals 2012</v>
      </c>
      <c r="AV2113" s="215" t="str">
        <f t="shared" si="941"/>
        <v/>
      </c>
      <c r="AW2113" s="216" t="str">
        <f t="shared" si="942"/>
        <v>Anteil KWK, erstmals 2012</v>
      </c>
      <c r="AX2113" s="215" t="str">
        <f t="shared" si="943"/>
        <v/>
      </c>
      <c r="AY2113" t="str">
        <f t="shared" si="944"/>
        <v/>
      </c>
      <c r="AZ2113" t="str">
        <f t="shared" si="945"/>
        <v>x</v>
      </c>
    </row>
    <row r="2114" spans="1:52" x14ac:dyDescent="0.25">
      <c r="A2114" s="609" t="s">
        <v>3668</v>
      </c>
      <c r="B2114" s="1" t="s">
        <v>5548</v>
      </c>
      <c r="C2114" s="2" t="s">
        <v>1304</v>
      </c>
      <c r="D2114" s="1" t="s">
        <v>1776</v>
      </c>
      <c r="E2114" s="1" t="s">
        <v>4810</v>
      </c>
      <c r="F2114" s="456">
        <f t="shared" si="952"/>
        <v>8.0299999999999994</v>
      </c>
      <c r="G2114" s="531">
        <v>8.0299999999999994</v>
      </c>
      <c r="H2114" s="489">
        <f t="shared" si="953"/>
        <v>6.42</v>
      </c>
      <c r="I2114" s="708"/>
      <c r="J2114" s="669" t="s">
        <v>5805</v>
      </c>
      <c r="K2114" s="15"/>
      <c r="M2114" s="49">
        <f t="shared" si="954"/>
        <v>8.0299999999999994</v>
      </c>
      <c r="N2114" s="41">
        <v>8.0299999999999994</v>
      </c>
      <c r="O2114" s="54"/>
      <c r="P2114" s="74"/>
      <c r="S2114" t="s">
        <v>4180</v>
      </c>
      <c r="T2114" t="s">
        <v>4180</v>
      </c>
      <c r="U2114" s="75"/>
      <c r="V2114" s="65"/>
      <c r="W2114" s="65"/>
      <c r="X2114" s="65"/>
      <c r="Y2114" s="65"/>
      <c r="Z2114" s="65"/>
      <c r="AA2114" s="65"/>
      <c r="AB2114" s="65"/>
      <c r="AC2114" s="65"/>
      <c r="AD2114" s="91"/>
      <c r="AE2114" s="196"/>
      <c r="AF2114" s="65"/>
      <c r="AG2114" s="91"/>
      <c r="AH2114" s="212" t="str">
        <f>IF(ISERROR(SEARCH("K erstmals 201",D2114)),"",RIGHT(D2114,4))</f>
        <v/>
      </c>
      <c r="AI2114" s="214" t="str">
        <f t="shared" si="947"/>
        <v/>
      </c>
      <c r="AJ2114" s="214" t="str">
        <f t="shared" si="948"/>
        <v/>
      </c>
      <c r="AK2114" s="214" t="str">
        <f t="shared" si="949"/>
        <v/>
      </c>
      <c r="AL2114" s="214" t="str">
        <f t="shared" si="950"/>
        <v/>
      </c>
      <c r="AM2114" s="214" t="str">
        <f t="shared" si="951"/>
        <v/>
      </c>
      <c r="AN2114" s="213" t="str">
        <f t="shared" si="933"/>
        <v/>
      </c>
      <c r="AO2114" s="213" t="str">
        <f t="shared" si="934"/>
        <v/>
      </c>
      <c r="AP2114" s="213" t="str">
        <f t="shared" si="935"/>
        <v/>
      </c>
      <c r="AQ2114" s="215" t="str">
        <f t="shared" si="936"/>
        <v/>
      </c>
      <c r="AR2114" s="216" t="str">
        <f t="shared" si="937"/>
        <v>BiK84-------07</v>
      </c>
      <c r="AS2114" s="215" t="str">
        <f t="shared" si="938"/>
        <v/>
      </c>
      <c r="AT2114">
        <f t="shared" si="939"/>
        <v>14</v>
      </c>
      <c r="AU2114" s="216" t="str">
        <f t="shared" si="940"/>
        <v>5-20 MW</v>
      </c>
      <c r="AV2114" s="215" t="str">
        <f t="shared" si="941"/>
        <v/>
      </c>
      <c r="AW2114" s="216" t="str">
        <f t="shared" si="942"/>
        <v>Anteil Nicht-KWK</v>
      </c>
      <c r="AX2114" s="215" t="str">
        <f t="shared" si="943"/>
        <v/>
      </c>
      <c r="AY2114" t="str">
        <f t="shared" si="944"/>
        <v/>
      </c>
      <c r="AZ2114" t="str">
        <f t="shared" si="945"/>
        <v/>
      </c>
    </row>
    <row r="2115" spans="1:52" x14ac:dyDescent="0.25">
      <c r="A2115" s="609" t="s">
        <v>3669</v>
      </c>
      <c r="B2115" s="1" t="s">
        <v>5548</v>
      </c>
      <c r="C2115" s="2" t="s">
        <v>1304</v>
      </c>
      <c r="D2115" s="1" t="s">
        <v>7367</v>
      </c>
      <c r="E2115" s="1" t="s">
        <v>4812</v>
      </c>
      <c r="F2115" s="456">
        <f t="shared" si="952"/>
        <v>10.029999999999999</v>
      </c>
      <c r="G2115" s="531">
        <v>10.029999999999999</v>
      </c>
      <c r="H2115" s="489">
        <f t="shared" si="953"/>
        <v>8.02</v>
      </c>
      <c r="I2115" s="708"/>
      <c r="J2115" s="669" t="s">
        <v>5805</v>
      </c>
      <c r="K2115" s="15"/>
      <c r="M2115" s="49">
        <f t="shared" si="954"/>
        <v>10.029999999999999</v>
      </c>
      <c r="N2115" s="41">
        <v>8.0299999999999994</v>
      </c>
      <c r="O2115" s="54" t="s">
        <v>1017</v>
      </c>
      <c r="P2115" s="74"/>
      <c r="S2115" t="s">
        <v>4180</v>
      </c>
      <c r="T2115" t="s">
        <v>4180</v>
      </c>
      <c r="U2115" s="75"/>
      <c r="V2115" s="65"/>
      <c r="W2115" s="65"/>
      <c r="X2115" s="65"/>
      <c r="Y2115" s="65"/>
      <c r="Z2115" s="65"/>
      <c r="AA2115" s="65"/>
      <c r="AB2115" s="65"/>
      <c r="AC2115" s="65"/>
      <c r="AD2115" s="91"/>
      <c r="AE2115" s="196"/>
      <c r="AF2115" s="65"/>
      <c r="AG2115" s="65"/>
      <c r="AH2115" s="212" t="str">
        <f>IF(ISERROR(SEARCH("K erstmals 201",D2115)),"",RIGHT(D2115,4))</f>
        <v/>
      </c>
      <c r="AI2115" s="214" t="str">
        <f t="shared" si="947"/>
        <v/>
      </c>
      <c r="AJ2115" s="214" t="str">
        <f t="shared" si="948"/>
        <v/>
      </c>
      <c r="AK2115" s="214" t="str">
        <f t="shared" si="949"/>
        <v/>
      </c>
      <c r="AL2115" s="214" t="str">
        <f t="shared" si="950"/>
        <v/>
      </c>
      <c r="AM2115" s="214" t="str">
        <f t="shared" si="951"/>
        <v/>
      </c>
      <c r="AN2115" s="213" t="str">
        <f t="shared" si="933"/>
        <v/>
      </c>
      <c r="AO2115" s="213" t="str">
        <f t="shared" si="934"/>
        <v/>
      </c>
      <c r="AP2115" s="213" t="str">
        <f t="shared" si="935"/>
        <v/>
      </c>
      <c r="AQ2115" s="215" t="str">
        <f t="shared" si="936"/>
        <v/>
      </c>
      <c r="AR2115" s="216" t="str">
        <f t="shared" si="937"/>
        <v>BiK84KWK----07</v>
      </c>
      <c r="AS2115" s="215" t="str">
        <f t="shared" si="938"/>
        <v/>
      </c>
      <c r="AT2115">
        <f t="shared" si="939"/>
        <v>14</v>
      </c>
      <c r="AU2115" s="216" t="str">
        <f t="shared" si="940"/>
        <v>5-20 MW, Bonusregel KWK</v>
      </c>
      <c r="AV2115" s="215" t="str">
        <f t="shared" si="941"/>
        <v/>
      </c>
      <c r="AW2115" s="216" t="str">
        <f t="shared" si="942"/>
        <v>Anteil KWK</v>
      </c>
      <c r="AX2115" s="215" t="str">
        <f t="shared" si="943"/>
        <v/>
      </c>
      <c r="AY2115" t="str">
        <f t="shared" si="944"/>
        <v/>
      </c>
      <c r="AZ2115" t="str">
        <f t="shared" si="945"/>
        <v/>
      </c>
    </row>
    <row r="2116" spans="1:52" s="178" customFormat="1" x14ac:dyDescent="0.25">
      <c r="A2116" s="610" t="s">
        <v>900</v>
      </c>
      <c r="B2116" s="17" t="s">
        <v>5548</v>
      </c>
      <c r="C2116" s="17" t="s">
        <v>1304</v>
      </c>
      <c r="D2116" s="30" t="s">
        <v>7363</v>
      </c>
      <c r="E2116" s="17" t="s">
        <v>674</v>
      </c>
      <c r="F2116" s="454">
        <f t="shared" si="952"/>
        <v>11.03</v>
      </c>
      <c r="G2116" s="529">
        <v>11.03</v>
      </c>
      <c r="H2116" s="487">
        <f t="shared" si="953"/>
        <v>8.82</v>
      </c>
      <c r="I2116" s="706"/>
      <c r="J2116" s="669" t="s">
        <v>5805</v>
      </c>
      <c r="K2116" s="15"/>
      <c r="L2116"/>
      <c r="M2116" s="49">
        <f t="shared" si="954"/>
        <v>11.03</v>
      </c>
      <c r="N2116" s="41">
        <v>8.0299999999999994</v>
      </c>
      <c r="O2116" s="54"/>
      <c r="P2116" s="74"/>
      <c r="Q2116" t="s">
        <v>1017</v>
      </c>
      <c r="R2116"/>
      <c r="S2116" t="s">
        <v>4180</v>
      </c>
      <c r="T2116" s="178" t="s">
        <v>4180</v>
      </c>
      <c r="U2116" s="75"/>
      <c r="V2116" s="65"/>
      <c r="W2116" s="65"/>
      <c r="X2116" s="65"/>
      <c r="Y2116" s="65"/>
      <c r="Z2116" s="65"/>
      <c r="AA2116" s="65"/>
      <c r="AB2116" s="65"/>
      <c r="AC2116" s="65"/>
      <c r="AD2116" s="91"/>
      <c r="AE2116" s="196"/>
      <c r="AF2116" s="65"/>
      <c r="AG2116" s="91"/>
      <c r="AH2116" s="212" t="str">
        <f>IF(ISERROR(SEARCH("K erstmals 201",D2116)),"",RIGHT(D2116,4))</f>
        <v/>
      </c>
      <c r="AI2116" s="214" t="str">
        <f t="shared" si="947"/>
        <v/>
      </c>
      <c r="AJ2116" s="214" t="str">
        <f t="shared" si="948"/>
        <v/>
      </c>
      <c r="AK2116" s="214" t="str">
        <f t="shared" si="949"/>
        <v/>
      </c>
      <c r="AL2116" s="214" t="str">
        <f t="shared" si="950"/>
        <v/>
      </c>
      <c r="AM2116" s="214" t="str">
        <f t="shared" si="951"/>
        <v/>
      </c>
      <c r="AN2116" s="213" t="str">
        <f t="shared" si="933"/>
        <v/>
      </c>
      <c r="AO2116" s="213" t="str">
        <f t="shared" si="934"/>
        <v/>
      </c>
      <c r="AP2116" s="213" t="str">
        <f t="shared" si="935"/>
        <v/>
      </c>
      <c r="AQ2116" s="215" t="str">
        <f t="shared" si="936"/>
        <v/>
      </c>
      <c r="AR2116" s="216" t="str">
        <f t="shared" si="937"/>
        <v>BiK84K09----07</v>
      </c>
      <c r="AS2116" s="215" t="str">
        <f t="shared" si="938"/>
        <v/>
      </c>
      <c r="AT2116">
        <f t="shared" si="939"/>
        <v>14</v>
      </c>
      <c r="AU2116" s="216" t="str">
        <f t="shared" si="940"/>
        <v>5-20 MW, Bonusregel K erstmals 2009</v>
      </c>
      <c r="AV2116" s="215" t="str">
        <f t="shared" si="941"/>
        <v/>
      </c>
      <c r="AW2116" s="216" t="str">
        <f t="shared" si="942"/>
        <v>Anteil KWK, erstmals 2009</v>
      </c>
      <c r="AX2116" s="215" t="str">
        <f t="shared" si="943"/>
        <v/>
      </c>
      <c r="AY2116" t="str">
        <f t="shared" si="944"/>
        <v/>
      </c>
      <c r="AZ2116" t="str">
        <f t="shared" si="945"/>
        <v/>
      </c>
    </row>
    <row r="2117" spans="1:52" s="178" customFormat="1" x14ac:dyDescent="0.25">
      <c r="A2117" s="610" t="s">
        <v>3156</v>
      </c>
      <c r="B2117" s="17" t="s">
        <v>5548</v>
      </c>
      <c r="C2117" s="17" t="s">
        <v>1304</v>
      </c>
      <c r="D2117" s="30" t="s">
        <v>7364</v>
      </c>
      <c r="E2117" s="30" t="s">
        <v>3567</v>
      </c>
      <c r="F2117" s="454">
        <f t="shared" si="952"/>
        <v>11</v>
      </c>
      <c r="G2117" s="529">
        <v>11</v>
      </c>
      <c r="H2117" s="487">
        <f t="shared" si="953"/>
        <v>8.8000000000000007</v>
      </c>
      <c r="I2117" s="706"/>
      <c r="J2117" s="669" t="s">
        <v>5805</v>
      </c>
      <c r="K2117" s="15"/>
      <c r="L2117"/>
      <c r="M2117" s="49">
        <f t="shared" si="954"/>
        <v>11</v>
      </c>
      <c r="N2117" s="41">
        <v>8.0299999999999994</v>
      </c>
      <c r="O2117" s="54"/>
      <c r="P2117" s="74"/>
      <c r="Q2117"/>
      <c r="R2117" t="s">
        <v>1017</v>
      </c>
      <c r="S2117" t="s">
        <v>4180</v>
      </c>
      <c r="T2117" s="178" t="s">
        <v>4180</v>
      </c>
      <c r="U2117" s="75"/>
      <c r="V2117" s="65"/>
      <c r="W2117" s="65"/>
      <c r="X2117" s="65"/>
      <c r="Y2117" s="65"/>
      <c r="Z2117" s="65"/>
      <c r="AA2117" s="65"/>
      <c r="AB2117" s="65"/>
      <c r="AC2117" s="65"/>
      <c r="AD2117" s="91"/>
      <c r="AE2117" s="196"/>
      <c r="AF2117" s="65"/>
      <c r="AG2117" s="91"/>
      <c r="AH2117" s="212" t="str">
        <f>IF(ISERROR(SEARCH("K erstmals 201",D2117)),"",RIGHT(D2117,4))</f>
        <v>2010</v>
      </c>
      <c r="AI2117" s="214" t="str">
        <f t="shared" si="947"/>
        <v/>
      </c>
      <c r="AJ2117" s="214" t="str">
        <f t="shared" si="948"/>
        <v/>
      </c>
      <c r="AK2117" s="214" t="str">
        <f t="shared" si="949"/>
        <v/>
      </c>
      <c r="AL2117" s="214" t="str">
        <f t="shared" si="950"/>
        <v/>
      </c>
      <c r="AM2117" s="214" t="str">
        <f t="shared" si="951"/>
        <v/>
      </c>
      <c r="AN2117" s="213" t="str">
        <f t="shared" si="933"/>
        <v>2010</v>
      </c>
      <c r="AO2117" s="213" t="str">
        <f t="shared" si="934"/>
        <v>2010</v>
      </c>
      <c r="AP2117" s="213" t="str">
        <f t="shared" si="935"/>
        <v>2010</v>
      </c>
      <c r="AQ2117" s="215" t="str">
        <f t="shared" si="936"/>
        <v/>
      </c>
      <c r="AR2117" s="216" t="str">
        <f t="shared" si="937"/>
        <v>BiK84K10----07</v>
      </c>
      <c r="AS2117" s="215" t="str">
        <f t="shared" si="938"/>
        <v/>
      </c>
      <c r="AT2117">
        <f t="shared" si="939"/>
        <v>14</v>
      </c>
      <c r="AU2117" s="216" t="str">
        <f t="shared" si="940"/>
        <v>5-20 MW, Bonusregel K erstmals 2010</v>
      </c>
      <c r="AV2117" s="215" t="str">
        <f t="shared" si="941"/>
        <v/>
      </c>
      <c r="AW2117" s="216" t="str">
        <f t="shared" si="942"/>
        <v>Anteil KWK, erstmals 2010</v>
      </c>
      <c r="AX2117" s="215" t="str">
        <f t="shared" si="943"/>
        <v/>
      </c>
      <c r="AY2117" t="str">
        <f t="shared" si="944"/>
        <v/>
      </c>
      <c r="AZ2117" t="str">
        <f t="shared" si="945"/>
        <v/>
      </c>
    </row>
    <row r="2118" spans="1:52" s="178" customFormat="1" x14ac:dyDescent="0.25">
      <c r="A2118" s="610" t="s">
        <v>3432</v>
      </c>
      <c r="B2118" s="17" t="s">
        <v>5548</v>
      </c>
      <c r="C2118" s="17" t="s">
        <v>1304</v>
      </c>
      <c r="D2118" s="30" t="s">
        <v>7365</v>
      </c>
      <c r="E2118" s="30" t="s">
        <v>3055</v>
      </c>
      <c r="F2118" s="454">
        <f t="shared" si="952"/>
        <v>10.969999999999999</v>
      </c>
      <c r="G2118" s="529">
        <v>10.969999999999999</v>
      </c>
      <c r="H2118" s="487">
        <f t="shared" si="953"/>
        <v>8.7799999999999994</v>
      </c>
      <c r="I2118" s="706"/>
      <c r="J2118" s="669" t="s">
        <v>5805</v>
      </c>
      <c r="K2118" s="15"/>
      <c r="L2118"/>
      <c r="M2118" s="49">
        <f t="shared" si="954"/>
        <v>10.969999999999999</v>
      </c>
      <c r="N2118" s="41">
        <v>8.0299999999999994</v>
      </c>
      <c r="O2118" s="54"/>
      <c r="P2118" s="74"/>
      <c r="Q2118"/>
      <c r="R2118"/>
      <c r="S2118" t="s">
        <v>1017</v>
      </c>
      <c r="T2118" s="178" t="s">
        <v>4180</v>
      </c>
      <c r="U2118" s="75"/>
      <c r="V2118" s="65"/>
      <c r="W2118" s="65"/>
      <c r="X2118" s="65"/>
      <c r="Y2118" s="65"/>
      <c r="Z2118" s="65"/>
      <c r="AA2118" s="65"/>
      <c r="AB2118" s="65"/>
      <c r="AC2118" s="65"/>
      <c r="AD2118" s="91"/>
      <c r="AE2118" s="196"/>
      <c r="AF2118" s="65"/>
      <c r="AG2118" s="91"/>
      <c r="AH2118" s="212" t="str">
        <f>IF(ISERROR(SEARCH("K erstmals 201",D2118)),"",RIGHT(D2118,4))</f>
        <v>2011</v>
      </c>
      <c r="AI2118" s="214" t="str">
        <f t="shared" si="947"/>
        <v/>
      </c>
      <c r="AJ2118" s="214" t="str">
        <f t="shared" si="948"/>
        <v/>
      </c>
      <c r="AK2118" s="214" t="str">
        <f t="shared" si="949"/>
        <v/>
      </c>
      <c r="AL2118" s="214" t="str">
        <f t="shared" si="950"/>
        <v/>
      </c>
      <c r="AM2118" s="214" t="str">
        <f t="shared" si="951"/>
        <v/>
      </c>
      <c r="AN2118" s="213" t="str">
        <f t="shared" ref="AN2118:AN2125" si="958">IF(ISERROR(SEARCH("K1",A2118)),"","20"&amp;MID(A2118,SEARCH("K1",A2118)+1,2))</f>
        <v>2011</v>
      </c>
      <c r="AO2118" s="213" t="str">
        <f t="shared" ref="AO2118:AO2125" si="959">IF(ISERROR(SEARCH("erstmals 201",E2118)),"",MID(E2118,SEARCH("erstmals ",E2118)+9,4))</f>
        <v>2011</v>
      </c>
      <c r="AP2118" s="213" t="str">
        <f t="shared" ref="AP2118:AP2125" si="960">IF(R2118="x","2010",IF(S2118="x","2011",IF(T2118="x","2012","")))</f>
        <v>2011</v>
      </c>
      <c r="AQ2118" s="215" t="str">
        <f t="shared" ref="AQ2118:AQ2125" si="961">IF(OR(AH2118&lt;&gt;AN2118,AH2118&lt;&gt;AO2118,AH2118&lt;&gt;AP2118),"DIFF","")</f>
        <v/>
      </c>
      <c r="AR2118" s="216" t="str">
        <f t="shared" ref="AR2118:AR2125" si="962">IF(A2118="","",IF(ISERROR(SEARCH("K1",A2118)),A2118,LEFT(A2118,SEARCH("K1",A2118)+1)&amp;RIGHT(AH2118,1)&amp;MID(A2118,SEARCH("K1",A2118)+3,14)))</f>
        <v>BiK84K11----07</v>
      </c>
      <c r="AS2118" s="215" t="str">
        <f t="shared" ref="AS2118:AS2125" si="963">IF(OR(A2118&lt;&gt;AR2118),"DIFF","")</f>
        <v/>
      </c>
      <c r="AT2118">
        <f t="shared" ref="AT2118:AT2125" si="964">LEN(AR2118)</f>
        <v>14</v>
      </c>
      <c r="AU2118" s="216" t="str">
        <f t="shared" ref="AU2118:AU2125" si="965">IF(D2118="","",IF(OR(A2118="",ISERROR(SEARCH("erstmals 201",D2118))),D2118,LEFT(D2118,SEARCH("erstmals 201",D2118)+8) &amp; AH2118 &amp; MID(D2118,SEARCH("erstmals 201",D2118)+13,255)))</f>
        <v>5-20 MW, Bonusregel K erstmals 2011</v>
      </c>
      <c r="AV2118" s="215" t="str">
        <f t="shared" ref="AV2118:AV2125" si="966">IF(OR(D2118&lt;&gt;AU2118),"DIFF","")</f>
        <v/>
      </c>
      <c r="AW2118" s="216" t="str">
        <f t="shared" ref="AW2118:AW2125" si="967">IF(E2118="","",IF(OR(E2118="",ISERROR(SEARCH("erstmals 201",E2118))),E2118,LEFT(E2118,SEARCH("erstmals 201",E2118)+8) &amp; AH2118 &amp; MID(E2118,SEARCH("erstmals 201",E2118)+13,255)))</f>
        <v>Anteil KWK, erstmals 2011</v>
      </c>
      <c r="AX2118" s="215" t="str">
        <f t="shared" ref="AX2118:AX2125" si="968">IF(OR(E2118&lt;&gt;AW2118),"DIFF","")</f>
        <v/>
      </c>
      <c r="AY2118" t="str">
        <f t="shared" ref="AY2118:AY2125" si="969">IF(AH2118="2011","x",IF(AH2118="2012","","" &amp; S2118))</f>
        <v>x</v>
      </c>
      <c r="AZ2118" t="str">
        <f t="shared" ref="AZ2118:AZ2125" si="970">IF(AH2118="2012","x",IF(AH2118="2011","","" &amp; T2118))</f>
        <v/>
      </c>
    </row>
    <row r="2119" spans="1:52" s="178" customFormat="1" x14ac:dyDescent="0.25">
      <c r="A2119" s="625" t="s">
        <v>1864</v>
      </c>
      <c r="B2119" s="221" t="s">
        <v>5548</v>
      </c>
      <c r="C2119" s="221" t="s">
        <v>1304</v>
      </c>
      <c r="D2119" s="219" t="s">
        <v>7366</v>
      </c>
      <c r="E2119" s="219" t="s">
        <v>1980</v>
      </c>
      <c r="F2119" s="455">
        <f t="shared" si="952"/>
        <v>10.94</v>
      </c>
      <c r="G2119" s="530">
        <v>10.94</v>
      </c>
      <c r="H2119" s="488">
        <f t="shared" si="953"/>
        <v>8.75</v>
      </c>
      <c r="I2119" s="707"/>
      <c r="J2119" s="669" t="s">
        <v>5805</v>
      </c>
      <c r="K2119" s="15"/>
      <c r="L2119"/>
      <c r="M2119" s="49">
        <f t="shared" si="954"/>
        <v>10.94</v>
      </c>
      <c r="N2119" s="41">
        <v>8.0299999999999994</v>
      </c>
      <c r="O2119" s="54"/>
      <c r="P2119" s="74"/>
      <c r="Q2119"/>
      <c r="R2119"/>
      <c r="S2119" t="s">
        <v>4180</v>
      </c>
      <c r="T2119" s="178" t="s">
        <v>1017</v>
      </c>
      <c r="U2119" s="75"/>
      <c r="V2119" s="65"/>
      <c r="W2119" s="65"/>
      <c r="X2119" s="65"/>
      <c r="Y2119" s="65"/>
      <c r="Z2119" s="65"/>
      <c r="AA2119" s="65"/>
      <c r="AB2119" s="65"/>
      <c r="AC2119" s="65"/>
      <c r="AD2119" s="91"/>
      <c r="AE2119" s="196"/>
      <c r="AF2119" s="65"/>
      <c r="AG2119" s="91"/>
      <c r="AH2119" s="217" t="s">
        <v>4179</v>
      </c>
      <c r="AI2119" s="214" t="str">
        <f t="shared" si="947"/>
        <v/>
      </c>
      <c r="AJ2119" s="214" t="str">
        <f t="shared" si="948"/>
        <v/>
      </c>
      <c r="AK2119" s="214" t="str">
        <f t="shared" si="949"/>
        <v/>
      </c>
      <c r="AL2119" s="214" t="str">
        <f t="shared" si="950"/>
        <v/>
      </c>
      <c r="AM2119" s="214" t="str">
        <f t="shared" si="951"/>
        <v/>
      </c>
      <c r="AN2119" s="213" t="str">
        <f t="shared" si="958"/>
        <v>2012</v>
      </c>
      <c r="AO2119" s="213" t="str">
        <f t="shared" si="959"/>
        <v>2012</v>
      </c>
      <c r="AP2119" s="213" t="str">
        <f t="shared" si="960"/>
        <v>2012</v>
      </c>
      <c r="AQ2119" s="215" t="str">
        <f t="shared" si="961"/>
        <v/>
      </c>
      <c r="AR2119" s="216" t="str">
        <f t="shared" si="962"/>
        <v>BiK84K12----07</v>
      </c>
      <c r="AS2119" s="215" t="str">
        <f t="shared" si="963"/>
        <v/>
      </c>
      <c r="AT2119">
        <f t="shared" si="964"/>
        <v>14</v>
      </c>
      <c r="AU2119" s="216" t="str">
        <f t="shared" si="965"/>
        <v>5-20 MW, Bonusregel K erstmals 2012</v>
      </c>
      <c r="AV2119" s="215" t="str">
        <f t="shared" si="966"/>
        <v/>
      </c>
      <c r="AW2119" s="216" t="str">
        <f t="shared" si="967"/>
        <v>Anteil KWK, erstmals 2012</v>
      </c>
      <c r="AX2119" s="215" t="str">
        <f t="shared" si="968"/>
        <v/>
      </c>
      <c r="AY2119" t="str">
        <f t="shared" si="969"/>
        <v/>
      </c>
      <c r="AZ2119" t="str">
        <f t="shared" si="970"/>
        <v>x</v>
      </c>
    </row>
    <row r="2120" spans="1:52" s="178" customFormat="1" x14ac:dyDescent="0.25">
      <c r="A2120" s="608" t="s">
        <v>3670</v>
      </c>
      <c r="B2120" s="1" t="s">
        <v>5548</v>
      </c>
      <c r="C2120" s="22" t="s">
        <v>1304</v>
      </c>
      <c r="D2120" s="34" t="s">
        <v>7391</v>
      </c>
      <c r="E2120" s="2" t="s">
        <v>4180</v>
      </c>
      <c r="F2120" s="456">
        <f t="shared" si="952"/>
        <v>3.72</v>
      </c>
      <c r="G2120" s="531">
        <v>3.72</v>
      </c>
      <c r="H2120" s="489">
        <f t="shared" si="953"/>
        <v>2.98</v>
      </c>
      <c r="I2120" s="708"/>
      <c r="J2120" s="669" t="s">
        <v>5805</v>
      </c>
      <c r="K2120" s="15"/>
      <c r="L2120"/>
      <c r="M2120" s="49">
        <f t="shared" si="954"/>
        <v>3.72</v>
      </c>
      <c r="N2120" s="41">
        <v>3.72</v>
      </c>
      <c r="O2120" s="54"/>
      <c r="P2120" s="74"/>
      <c r="Q2120" s="12"/>
      <c r="R2120" s="12"/>
      <c r="S2120" s="12" t="s">
        <v>4180</v>
      </c>
      <c r="T2120" s="178" t="s">
        <v>4180</v>
      </c>
      <c r="U2120" s="75"/>
      <c r="V2120" s="65"/>
      <c r="W2120" s="65"/>
      <c r="X2120" s="65"/>
      <c r="Y2120" s="65"/>
      <c r="Z2120" s="65"/>
      <c r="AA2120" s="65"/>
      <c r="AB2120" s="65"/>
      <c r="AC2120" s="65"/>
      <c r="AD2120" s="91"/>
      <c r="AE2120" s="196"/>
      <c r="AF2120" s="65"/>
      <c r="AG2120" s="91"/>
      <c r="AH2120" s="212" t="str">
        <f>IF(ISERROR(SEARCH("K erstmals 201",D2120)),"",RIGHT(D2120,4))</f>
        <v/>
      </c>
      <c r="AI2120" s="214" t="str">
        <f t="shared" si="947"/>
        <v/>
      </c>
      <c r="AJ2120" s="214" t="str">
        <f t="shared" si="948"/>
        <v/>
      </c>
      <c r="AK2120" s="214" t="str">
        <f t="shared" si="949"/>
        <v/>
      </c>
      <c r="AL2120" s="214" t="str">
        <f t="shared" si="950"/>
        <v/>
      </c>
      <c r="AM2120" s="214" t="str">
        <f t="shared" si="951"/>
        <v/>
      </c>
      <c r="AN2120" s="213" t="str">
        <f t="shared" si="958"/>
        <v/>
      </c>
      <c r="AO2120" s="213" t="str">
        <f t="shared" si="959"/>
        <v/>
      </c>
      <c r="AP2120" s="213" t="str">
        <f t="shared" si="960"/>
        <v/>
      </c>
      <c r="AQ2120" s="215" t="str">
        <f t="shared" si="961"/>
        <v/>
      </c>
      <c r="AR2120" s="216" t="str">
        <f t="shared" si="962"/>
        <v>BiK85-------07</v>
      </c>
      <c r="AS2120" s="215" t="str">
        <f t="shared" si="963"/>
        <v/>
      </c>
      <c r="AT2120">
        <f t="shared" si="964"/>
        <v>14</v>
      </c>
      <c r="AU2120" s="216" t="str">
        <f t="shared" si="965"/>
        <v>&lt; 20 MW, Altholz</v>
      </c>
      <c r="AV2120" s="215" t="str">
        <f t="shared" si="966"/>
        <v/>
      </c>
      <c r="AW2120" s="216" t="str">
        <f t="shared" si="967"/>
        <v/>
      </c>
      <c r="AX2120" s="215" t="str">
        <f t="shared" si="968"/>
        <v/>
      </c>
      <c r="AY2120" t="str">
        <f t="shared" si="969"/>
        <v/>
      </c>
      <c r="AZ2120" t="str">
        <f t="shared" si="970"/>
        <v/>
      </c>
    </row>
    <row r="2121" spans="1:52" s="178" customFormat="1" x14ac:dyDescent="0.25">
      <c r="A2121" s="610" t="s">
        <v>901</v>
      </c>
      <c r="B2121" s="17" t="s">
        <v>5548</v>
      </c>
      <c r="C2121" s="21" t="s">
        <v>1304</v>
      </c>
      <c r="D2121" s="21" t="s">
        <v>7392</v>
      </c>
      <c r="E2121" s="17" t="s">
        <v>674</v>
      </c>
      <c r="F2121" s="454">
        <f t="shared" si="952"/>
        <v>6.7200000000000006</v>
      </c>
      <c r="G2121" s="529">
        <v>6.7200000000000006</v>
      </c>
      <c r="H2121" s="487">
        <f t="shared" si="953"/>
        <v>5.38</v>
      </c>
      <c r="I2121" s="706"/>
      <c r="J2121" s="669" t="s">
        <v>5805</v>
      </c>
      <c r="K2121" s="15"/>
      <c r="L2121"/>
      <c r="M2121" s="49">
        <f t="shared" si="954"/>
        <v>6.7200000000000006</v>
      </c>
      <c r="N2121" s="41">
        <v>3.72</v>
      </c>
      <c r="O2121" s="54"/>
      <c r="P2121" s="74"/>
      <c r="Q2121" s="12" t="s">
        <v>1017</v>
      </c>
      <c r="R2121" s="12"/>
      <c r="S2121" s="12" t="s">
        <v>4180</v>
      </c>
      <c r="T2121" s="178" t="s">
        <v>4180</v>
      </c>
      <c r="U2121" s="75"/>
      <c r="V2121" s="65"/>
      <c r="W2121" s="65"/>
      <c r="X2121" s="65"/>
      <c r="Y2121" s="65"/>
      <c r="Z2121" s="65"/>
      <c r="AA2121" s="65"/>
      <c r="AB2121" s="65"/>
      <c r="AC2121" s="65"/>
      <c r="AD2121" s="91"/>
      <c r="AE2121" s="196"/>
      <c r="AF2121" s="65"/>
      <c r="AG2121" s="91"/>
      <c r="AH2121" s="212" t="str">
        <f>IF(ISERROR(SEARCH("K erstmals 201",D2121)),"",RIGHT(D2121,4))</f>
        <v/>
      </c>
      <c r="AI2121" s="214" t="str">
        <f t="shared" ref="AI2121:AI2124" si="971">IF(AND($AH2121&lt;&gt;"",AH2121 =AH2120),"Gleich","")</f>
        <v/>
      </c>
      <c r="AJ2121" s="214" t="str">
        <f t="shared" si="948"/>
        <v/>
      </c>
      <c r="AK2121" s="214" t="str">
        <f t="shared" si="949"/>
        <v/>
      </c>
      <c r="AL2121" s="214" t="str">
        <f t="shared" si="950"/>
        <v/>
      </c>
      <c r="AM2121" s="214" t="str">
        <f t="shared" si="951"/>
        <v/>
      </c>
      <c r="AN2121" s="213" t="str">
        <f t="shared" si="958"/>
        <v/>
      </c>
      <c r="AO2121" s="213" t="str">
        <f t="shared" si="959"/>
        <v/>
      </c>
      <c r="AP2121" s="213" t="str">
        <f t="shared" si="960"/>
        <v/>
      </c>
      <c r="AQ2121" s="215" t="str">
        <f t="shared" si="961"/>
        <v/>
      </c>
      <c r="AR2121" s="216" t="str">
        <f t="shared" si="962"/>
        <v>BiK85K09----07</v>
      </c>
      <c r="AS2121" s="215" t="str">
        <f t="shared" si="963"/>
        <v/>
      </c>
      <c r="AT2121">
        <f t="shared" si="964"/>
        <v>14</v>
      </c>
      <c r="AU2121" s="216" t="str">
        <f t="shared" si="965"/>
        <v>&lt; 20 MW, Altholz, Bonusregel K erstmals 2009</v>
      </c>
      <c r="AV2121" s="215" t="str">
        <f t="shared" si="966"/>
        <v/>
      </c>
      <c r="AW2121" s="216" t="str">
        <f t="shared" si="967"/>
        <v>Anteil KWK, erstmals 2009</v>
      </c>
      <c r="AX2121" s="215" t="str">
        <f t="shared" si="968"/>
        <v/>
      </c>
      <c r="AY2121" t="str">
        <f t="shared" si="969"/>
        <v/>
      </c>
      <c r="AZ2121" t="str">
        <f t="shared" si="970"/>
        <v/>
      </c>
    </row>
    <row r="2122" spans="1:52" s="178" customFormat="1" x14ac:dyDescent="0.25">
      <c r="A2122" s="610" t="s">
        <v>3157</v>
      </c>
      <c r="B2122" s="17" t="s">
        <v>5548</v>
      </c>
      <c r="C2122" s="21" t="s">
        <v>1304</v>
      </c>
      <c r="D2122" s="21" t="s">
        <v>7388</v>
      </c>
      <c r="E2122" s="30" t="s">
        <v>3567</v>
      </c>
      <c r="F2122" s="454">
        <f t="shared" si="952"/>
        <v>6.69</v>
      </c>
      <c r="G2122" s="529">
        <v>6.69</v>
      </c>
      <c r="H2122" s="487">
        <f t="shared" si="953"/>
        <v>5.35</v>
      </c>
      <c r="I2122" s="706"/>
      <c r="J2122" s="669" t="s">
        <v>5805</v>
      </c>
      <c r="K2122" s="15"/>
      <c r="L2122"/>
      <c r="M2122" s="49">
        <f t="shared" si="954"/>
        <v>6.69</v>
      </c>
      <c r="N2122" s="41">
        <v>3.72</v>
      </c>
      <c r="O2122" s="54"/>
      <c r="P2122" s="74"/>
      <c r="Q2122" s="12"/>
      <c r="R2122" s="12" t="s">
        <v>1017</v>
      </c>
      <c r="S2122" s="12" t="s">
        <v>4180</v>
      </c>
      <c r="T2122" s="178" t="s">
        <v>4180</v>
      </c>
      <c r="U2122" s="75"/>
      <c r="V2122" s="65"/>
      <c r="W2122" s="65"/>
      <c r="X2122" s="65"/>
      <c r="Y2122" s="65"/>
      <c r="Z2122" s="65"/>
      <c r="AA2122" s="65"/>
      <c r="AB2122" s="65"/>
      <c r="AC2122" s="65"/>
      <c r="AD2122" s="91"/>
      <c r="AE2122" s="196"/>
      <c r="AF2122" s="65"/>
      <c r="AG2122" s="91"/>
      <c r="AH2122" s="212" t="str">
        <f>IF(ISERROR(SEARCH("K erstmals 201",D2122)),"",RIGHT(D2122,4))</f>
        <v>2010</v>
      </c>
      <c r="AI2122" s="214" t="str">
        <f t="shared" si="971"/>
        <v/>
      </c>
      <c r="AJ2122" s="214" t="str">
        <f t="shared" si="948"/>
        <v/>
      </c>
      <c r="AK2122" s="214" t="str">
        <f t="shared" si="949"/>
        <v/>
      </c>
      <c r="AL2122" s="214" t="str">
        <f t="shared" si="950"/>
        <v/>
      </c>
      <c r="AM2122" s="214" t="str">
        <f t="shared" si="951"/>
        <v/>
      </c>
      <c r="AN2122" s="213" t="str">
        <f t="shared" si="958"/>
        <v>2010</v>
      </c>
      <c r="AO2122" s="213" t="str">
        <f t="shared" si="959"/>
        <v>2010</v>
      </c>
      <c r="AP2122" s="213" t="str">
        <f t="shared" si="960"/>
        <v>2010</v>
      </c>
      <c r="AQ2122" s="215" t="str">
        <f t="shared" si="961"/>
        <v/>
      </c>
      <c r="AR2122" s="216" t="str">
        <f t="shared" si="962"/>
        <v>BiK85K10----07</v>
      </c>
      <c r="AS2122" s="215" t="str">
        <f t="shared" si="963"/>
        <v/>
      </c>
      <c r="AT2122">
        <f t="shared" si="964"/>
        <v>14</v>
      </c>
      <c r="AU2122" s="216" t="str">
        <f t="shared" si="965"/>
        <v>&lt; 20 MW, Altholz, Bonusregel K erstmals 2010</v>
      </c>
      <c r="AV2122" s="215" t="str">
        <f t="shared" si="966"/>
        <v/>
      </c>
      <c r="AW2122" s="216" t="str">
        <f t="shared" si="967"/>
        <v>Anteil KWK, erstmals 2010</v>
      </c>
      <c r="AX2122" s="215" t="str">
        <f t="shared" si="968"/>
        <v/>
      </c>
      <c r="AY2122" t="str">
        <f t="shared" si="969"/>
        <v/>
      </c>
      <c r="AZ2122" t="str">
        <f t="shared" si="970"/>
        <v/>
      </c>
    </row>
    <row r="2123" spans="1:52" s="178" customFormat="1" x14ac:dyDescent="0.25">
      <c r="A2123" s="610" t="s">
        <v>3433</v>
      </c>
      <c r="B2123" s="17" t="s">
        <v>5548</v>
      </c>
      <c r="C2123" s="21" t="s">
        <v>1304</v>
      </c>
      <c r="D2123" s="21" t="s">
        <v>7389</v>
      </c>
      <c r="E2123" s="30" t="s">
        <v>3055</v>
      </c>
      <c r="F2123" s="454">
        <f t="shared" si="952"/>
        <v>6.66</v>
      </c>
      <c r="G2123" s="529">
        <v>6.66</v>
      </c>
      <c r="H2123" s="487">
        <f t="shared" si="953"/>
        <v>5.33</v>
      </c>
      <c r="I2123" s="706"/>
      <c r="J2123" s="669" t="s">
        <v>5805</v>
      </c>
      <c r="K2123" s="15"/>
      <c r="L2123"/>
      <c r="M2123" s="49">
        <f t="shared" si="954"/>
        <v>6.66</v>
      </c>
      <c r="N2123" s="41">
        <v>3.72</v>
      </c>
      <c r="O2123" s="54"/>
      <c r="P2123" s="74"/>
      <c r="Q2123" s="12"/>
      <c r="R2123" s="12"/>
      <c r="S2123" s="12" t="s">
        <v>1017</v>
      </c>
      <c r="T2123" s="178" t="s">
        <v>4180</v>
      </c>
      <c r="U2123" s="75"/>
      <c r="V2123" s="65"/>
      <c r="W2123" s="65"/>
      <c r="X2123" s="65"/>
      <c r="Y2123" s="65"/>
      <c r="Z2123" s="65"/>
      <c r="AA2123" s="65"/>
      <c r="AB2123" s="65"/>
      <c r="AC2123" s="65"/>
      <c r="AD2123" s="91"/>
      <c r="AE2123" s="196"/>
      <c r="AF2123" s="65"/>
      <c r="AG2123" s="91"/>
      <c r="AH2123" s="212" t="str">
        <f>IF(ISERROR(SEARCH("K erstmals 201",D2123)),"",RIGHT(D2123,4))</f>
        <v>2011</v>
      </c>
      <c r="AI2123" s="214" t="str">
        <f t="shared" si="971"/>
        <v/>
      </c>
      <c r="AJ2123" s="214" t="str">
        <f t="shared" si="948"/>
        <v/>
      </c>
      <c r="AK2123" s="214" t="str">
        <f t="shared" si="949"/>
        <v/>
      </c>
      <c r="AL2123" s="214" t="str">
        <f t="shared" si="950"/>
        <v/>
      </c>
      <c r="AM2123" s="214" t="str">
        <f t="shared" si="951"/>
        <v/>
      </c>
      <c r="AN2123" s="213" t="str">
        <f t="shared" si="958"/>
        <v>2011</v>
      </c>
      <c r="AO2123" s="213" t="str">
        <f t="shared" si="959"/>
        <v>2011</v>
      </c>
      <c r="AP2123" s="213" t="str">
        <f t="shared" si="960"/>
        <v>2011</v>
      </c>
      <c r="AQ2123" s="215" t="str">
        <f t="shared" si="961"/>
        <v/>
      </c>
      <c r="AR2123" s="216" t="str">
        <f t="shared" si="962"/>
        <v>BiK85K11----07</v>
      </c>
      <c r="AS2123" s="215" t="str">
        <f t="shared" si="963"/>
        <v/>
      </c>
      <c r="AT2123">
        <f t="shared" si="964"/>
        <v>14</v>
      </c>
      <c r="AU2123" s="216" t="str">
        <f t="shared" si="965"/>
        <v>&lt; 20 MW, Altholz, Bonusregel K erstmals 2011</v>
      </c>
      <c r="AV2123" s="215" t="str">
        <f t="shared" si="966"/>
        <v/>
      </c>
      <c r="AW2123" s="216" t="str">
        <f t="shared" si="967"/>
        <v>Anteil KWK, erstmals 2011</v>
      </c>
      <c r="AX2123" s="215" t="str">
        <f t="shared" si="968"/>
        <v/>
      </c>
      <c r="AY2123" t="str">
        <f t="shared" si="969"/>
        <v>x</v>
      </c>
      <c r="AZ2123" t="str">
        <f t="shared" si="970"/>
        <v/>
      </c>
    </row>
    <row r="2124" spans="1:52" s="178" customFormat="1" x14ac:dyDescent="0.25">
      <c r="A2124" s="625" t="s">
        <v>1865</v>
      </c>
      <c r="B2124" s="221" t="s">
        <v>5548</v>
      </c>
      <c r="C2124" s="220" t="s">
        <v>1304</v>
      </c>
      <c r="D2124" s="220" t="s">
        <v>7390</v>
      </c>
      <c r="E2124" s="219" t="s">
        <v>1980</v>
      </c>
      <c r="F2124" s="455">
        <f t="shared" si="952"/>
        <v>6.6300000000000008</v>
      </c>
      <c r="G2124" s="530">
        <v>6.6300000000000008</v>
      </c>
      <c r="H2124" s="488">
        <f t="shared" si="953"/>
        <v>5.3</v>
      </c>
      <c r="I2124" s="707"/>
      <c r="J2124" s="669" t="s">
        <v>5805</v>
      </c>
      <c r="K2124" s="15"/>
      <c r="L2124"/>
      <c r="M2124" s="49">
        <f t="shared" si="954"/>
        <v>6.6300000000000008</v>
      </c>
      <c r="N2124" s="41">
        <v>3.72</v>
      </c>
      <c r="O2124" s="54"/>
      <c r="P2124" s="74"/>
      <c r="Q2124" s="12"/>
      <c r="R2124" s="12"/>
      <c r="S2124" s="12" t="s">
        <v>4180</v>
      </c>
      <c r="T2124" s="178" t="s">
        <v>1017</v>
      </c>
      <c r="U2124" s="75"/>
      <c r="V2124" s="65"/>
      <c r="W2124" s="65"/>
      <c r="X2124" s="65"/>
      <c r="Y2124" s="65"/>
      <c r="Z2124" s="65"/>
      <c r="AA2124" s="65"/>
      <c r="AB2124" s="65"/>
      <c r="AC2124" s="65"/>
      <c r="AD2124" s="91"/>
      <c r="AE2124" s="196"/>
      <c r="AF2124" s="65"/>
      <c r="AG2124" s="91"/>
      <c r="AH2124" s="217" t="s">
        <v>4179</v>
      </c>
      <c r="AI2124" s="214" t="str">
        <f t="shared" si="971"/>
        <v/>
      </c>
      <c r="AJ2124" s="214" t="str">
        <f t="shared" si="948"/>
        <v/>
      </c>
      <c r="AK2124" s="214" t="str">
        <f t="shared" si="949"/>
        <v/>
      </c>
      <c r="AL2124" s="214" t="str">
        <f t="shared" si="950"/>
        <v/>
      </c>
      <c r="AM2124" s="214" t="str">
        <f t="shared" si="951"/>
        <v/>
      </c>
      <c r="AN2124" s="213" t="str">
        <f t="shared" si="958"/>
        <v>2012</v>
      </c>
      <c r="AO2124" s="213" t="str">
        <f t="shared" si="959"/>
        <v>2012</v>
      </c>
      <c r="AP2124" s="213" t="str">
        <f t="shared" si="960"/>
        <v>2012</v>
      </c>
      <c r="AQ2124" s="215" t="str">
        <f t="shared" si="961"/>
        <v/>
      </c>
      <c r="AR2124" s="216" t="str">
        <f t="shared" si="962"/>
        <v>BiK85K12----07</v>
      </c>
      <c r="AS2124" s="215" t="str">
        <f t="shared" si="963"/>
        <v/>
      </c>
      <c r="AT2124">
        <f t="shared" si="964"/>
        <v>14</v>
      </c>
      <c r="AU2124" s="216" t="str">
        <f t="shared" si="965"/>
        <v>&lt; 20 MW, Altholz, Bonusregel K erstmals 2012</v>
      </c>
      <c r="AV2124" s="215" t="str">
        <f t="shared" si="966"/>
        <v/>
      </c>
      <c r="AW2124" s="216" t="str">
        <f t="shared" si="967"/>
        <v>Anteil KWK, erstmals 2012</v>
      </c>
      <c r="AX2124" s="215" t="str">
        <f t="shared" si="968"/>
        <v/>
      </c>
      <c r="AY2124" t="str">
        <f t="shared" si="969"/>
        <v/>
      </c>
      <c r="AZ2124" t="str">
        <f t="shared" si="970"/>
        <v>x</v>
      </c>
    </row>
    <row r="2125" spans="1:52" s="178" customFormat="1" x14ac:dyDescent="0.25">
      <c r="A2125" s="609"/>
      <c r="B2125" s="1"/>
      <c r="C2125" s="1"/>
      <c r="D2125" s="1" t="s">
        <v>4180</v>
      </c>
      <c r="E2125" s="1" t="s">
        <v>4180</v>
      </c>
      <c r="F2125" s="457"/>
      <c r="G2125" s="533"/>
      <c r="H2125" s="491" t="str">
        <f t="shared" si="953"/>
        <v/>
      </c>
      <c r="I2125" s="710"/>
      <c r="J2125" s="669" t="s">
        <v>4180</v>
      </c>
      <c r="K2125" s="15"/>
      <c r="L2125"/>
      <c r="M2125"/>
      <c r="N2125"/>
      <c r="O2125" s="124"/>
      <c r="P2125"/>
      <c r="Q2125"/>
      <c r="R2125"/>
      <c r="S2125" t="s">
        <v>4180</v>
      </c>
      <c r="T2125" s="178" t="s">
        <v>4180</v>
      </c>
      <c r="U2125" s="55"/>
      <c r="V2125"/>
      <c r="W2125"/>
      <c r="X2125"/>
      <c r="Y2125"/>
      <c r="Z2125"/>
      <c r="AA2125"/>
      <c r="AB2125"/>
      <c r="AC2125"/>
      <c r="AD2125" s="92"/>
      <c r="AE2125" s="124"/>
      <c r="AF2125"/>
      <c r="AG2125"/>
      <c r="AH2125" s="212" t="str">
        <f>IF(ISERROR(SEARCH("K erstmals 201",D2125)),"",RIGHT(D2125,4))</f>
        <v/>
      </c>
      <c r="AI2125" s="214" t="str">
        <f>IF(AND($AH2125&lt;&gt;"",AH2125 =AH2120),"Gleich","")</f>
        <v/>
      </c>
      <c r="AJ2125" s="214" t="str">
        <f>IF(AND($AH2125&lt;&gt;"",A2125 =A2120),"Gleich","")</f>
        <v/>
      </c>
      <c r="AK2125" s="214" t="str">
        <f>IF(AND($AH2125&lt;&gt;"",D2125 =D2120),"Gleich","")</f>
        <v/>
      </c>
      <c r="AL2125" s="214" t="str">
        <f>IF(AND($AH2125&lt;&gt;"",E2125 =E2120),"Gleich","")</f>
        <v/>
      </c>
      <c r="AM2125" s="214" t="str">
        <f>IF(AND($AH2125&lt;&gt;"",F2125 =F2120),"Gleich","")</f>
        <v/>
      </c>
      <c r="AN2125" s="213" t="str">
        <f t="shared" si="958"/>
        <v/>
      </c>
      <c r="AO2125" s="213" t="str">
        <f t="shared" si="959"/>
        <v/>
      </c>
      <c r="AP2125" s="213" t="str">
        <f t="shared" si="960"/>
        <v/>
      </c>
      <c r="AQ2125" s="215" t="str">
        <f t="shared" si="961"/>
        <v/>
      </c>
      <c r="AR2125" s="216" t="str">
        <f t="shared" si="962"/>
        <v/>
      </c>
      <c r="AS2125" s="215" t="str">
        <f t="shared" si="963"/>
        <v/>
      </c>
      <c r="AT2125">
        <f t="shared" si="964"/>
        <v>0</v>
      </c>
      <c r="AU2125" s="216" t="str">
        <f t="shared" si="965"/>
        <v/>
      </c>
      <c r="AV2125" s="215" t="str">
        <f t="shared" si="966"/>
        <v/>
      </c>
      <c r="AW2125" s="216" t="str">
        <f t="shared" si="967"/>
        <v/>
      </c>
      <c r="AX2125" s="215" t="str">
        <f t="shared" si="968"/>
        <v/>
      </c>
      <c r="AY2125" t="str">
        <f t="shared" si="969"/>
        <v/>
      </c>
      <c r="AZ2125" t="str">
        <f t="shared" si="970"/>
        <v/>
      </c>
    </row>
    <row r="2126" spans="1:52" x14ac:dyDescent="0.25">
      <c r="A2126" s="615" t="s">
        <v>658</v>
      </c>
      <c r="B2126" s="373" t="s">
        <v>5548</v>
      </c>
      <c r="C2126" s="373" t="s">
        <v>1304</v>
      </c>
      <c r="D2126" s="373" t="s">
        <v>6992</v>
      </c>
      <c r="E2126" s="373" t="s">
        <v>2827</v>
      </c>
      <c r="F2126" s="459">
        <f t="shared" ref="F2126:F2132" si="972">M2126</f>
        <v>25.55</v>
      </c>
      <c r="G2126" s="535">
        <f t="shared" ref="G2126:G2164" si="973">F2126</f>
        <v>25.55</v>
      </c>
      <c r="H2126" s="493">
        <f t="shared" ref="H2126:H2164" si="974">IF(ISNUMBER(G2126),ROUND(0.8*G2126,2),"")</f>
        <v>20.440000000000001</v>
      </c>
      <c r="I2126" s="711"/>
      <c r="J2126" s="669" t="s">
        <v>5805</v>
      </c>
      <c r="K2126" s="15"/>
      <c r="M2126" s="49">
        <f t="shared" ref="M2126:M2164" si="975">N2126+SUMIF(U2126:AG2126,"x",U$1741:AG$1741)+T2126</f>
        <v>25.55</v>
      </c>
      <c r="N2126" s="41">
        <v>11.67</v>
      </c>
      <c r="O2126" s="391"/>
      <c r="P2126" s="392" t="s">
        <v>2828</v>
      </c>
      <c r="Q2126" s="392"/>
      <c r="R2126" s="392">
        <v>2013</v>
      </c>
      <c r="S2126" s="392"/>
      <c r="T2126" s="324">
        <v>2.88</v>
      </c>
      <c r="U2126" s="179"/>
      <c r="V2126" s="37"/>
      <c r="W2126" s="422"/>
      <c r="X2126" s="422"/>
      <c r="Y2126" s="37"/>
      <c r="Z2126" s="37" t="s">
        <v>1017</v>
      </c>
      <c r="AA2126" s="422"/>
      <c r="AB2126" s="37"/>
      <c r="AC2126" s="37"/>
      <c r="AD2126" s="423"/>
      <c r="AE2126" s="200"/>
      <c r="AF2126" s="180"/>
      <c r="AG2126" s="201"/>
      <c r="AH2126" s="217"/>
      <c r="AI2126" s="214"/>
      <c r="AJ2126" s="214"/>
      <c r="AK2126" s="214"/>
      <c r="AL2126" s="214"/>
      <c r="AM2126" s="214"/>
      <c r="AN2126" s="213"/>
      <c r="AO2126" s="213"/>
      <c r="AP2126" s="213"/>
      <c r="AQ2126" s="215"/>
      <c r="AR2126" s="216"/>
      <c r="AS2126" s="215"/>
      <c r="AU2126" s="216"/>
      <c r="AV2126" s="215"/>
      <c r="AW2126" s="216"/>
      <c r="AX2126" s="215"/>
    </row>
    <row r="2127" spans="1:52" x14ac:dyDescent="0.25">
      <c r="A2127" s="615" t="s">
        <v>659</v>
      </c>
      <c r="B2127" s="373" t="s">
        <v>5548</v>
      </c>
      <c r="C2127" s="373" t="s">
        <v>1304</v>
      </c>
      <c r="D2127" s="373" t="s">
        <v>6859</v>
      </c>
      <c r="E2127" s="373" t="s">
        <v>2827</v>
      </c>
      <c r="F2127" s="459">
        <f t="shared" si="972"/>
        <v>26.55</v>
      </c>
      <c r="G2127" s="535">
        <f t="shared" si="973"/>
        <v>26.55</v>
      </c>
      <c r="H2127" s="493">
        <f t="shared" si="974"/>
        <v>21.24</v>
      </c>
      <c r="I2127" s="711"/>
      <c r="J2127" s="669" t="s">
        <v>5805</v>
      </c>
      <c r="K2127" s="15"/>
      <c r="M2127" s="49">
        <f t="shared" si="975"/>
        <v>26.55</v>
      </c>
      <c r="N2127" s="41">
        <v>11.67</v>
      </c>
      <c r="O2127" s="391"/>
      <c r="P2127" s="392" t="s">
        <v>2828</v>
      </c>
      <c r="Q2127" s="392"/>
      <c r="R2127" s="392">
        <v>2013</v>
      </c>
      <c r="S2127" s="392"/>
      <c r="T2127" s="324">
        <v>2.88</v>
      </c>
      <c r="U2127" s="185" t="s">
        <v>1017</v>
      </c>
      <c r="V2127" s="421"/>
      <c r="W2127" s="422"/>
      <c r="X2127" s="422"/>
      <c r="Y2127" s="37"/>
      <c r="Z2127" s="421" t="s">
        <v>1017</v>
      </c>
      <c r="AA2127" s="422"/>
      <c r="AB2127" s="421"/>
      <c r="AC2127" s="421"/>
      <c r="AD2127" s="423"/>
      <c r="AE2127" s="181"/>
      <c r="AF2127" s="180"/>
      <c r="AG2127" s="201"/>
      <c r="AH2127" s="217"/>
      <c r="AI2127" s="214"/>
      <c r="AJ2127" s="214"/>
      <c r="AK2127" s="214"/>
      <c r="AL2127" s="214"/>
      <c r="AM2127" s="214"/>
      <c r="AN2127" s="213"/>
      <c r="AO2127" s="213"/>
      <c r="AP2127" s="213"/>
      <c r="AQ2127" s="215"/>
      <c r="AR2127" s="216"/>
      <c r="AS2127" s="215"/>
      <c r="AU2127" s="216"/>
      <c r="AV2127" s="215"/>
      <c r="AW2127" s="216"/>
      <c r="AX2127" s="215"/>
    </row>
    <row r="2128" spans="1:52" s="178" customFormat="1" x14ac:dyDescent="0.25">
      <c r="A2128" s="615" t="s">
        <v>5627</v>
      </c>
      <c r="B2128" s="373" t="s">
        <v>5548</v>
      </c>
      <c r="C2128" s="373" t="s">
        <v>1304</v>
      </c>
      <c r="D2128" s="373" t="s">
        <v>6993</v>
      </c>
      <c r="E2128" s="373" t="s">
        <v>2827</v>
      </c>
      <c r="F2128" s="459">
        <f t="shared" si="972"/>
        <v>28.55</v>
      </c>
      <c r="G2128" s="535">
        <f t="shared" si="973"/>
        <v>28.55</v>
      </c>
      <c r="H2128" s="493">
        <f t="shared" si="974"/>
        <v>22.84</v>
      </c>
      <c r="I2128" s="711"/>
      <c r="J2128" s="669" t="s">
        <v>5805</v>
      </c>
      <c r="K2128" s="15"/>
      <c r="L2128"/>
      <c r="M2128" s="49">
        <f t="shared" si="975"/>
        <v>28.55</v>
      </c>
      <c r="N2128" s="41">
        <v>11.67</v>
      </c>
      <c r="O2128" s="391"/>
      <c r="P2128" s="392" t="s">
        <v>2828</v>
      </c>
      <c r="Q2128" s="392"/>
      <c r="R2128" s="392">
        <v>2013</v>
      </c>
      <c r="S2128" s="392"/>
      <c r="T2128" s="324">
        <v>2.88</v>
      </c>
      <c r="U2128" s="185" t="s">
        <v>1017</v>
      </c>
      <c r="V2128" s="184"/>
      <c r="W2128" s="180"/>
      <c r="X2128" s="180"/>
      <c r="Z2128" s="184" t="s">
        <v>1017</v>
      </c>
      <c r="AA2128" s="180"/>
      <c r="AB2128" s="184"/>
      <c r="AC2128" s="184"/>
      <c r="AD2128" s="201"/>
      <c r="AE2128" s="181" t="s">
        <v>1017</v>
      </c>
      <c r="AF2128" s="180"/>
      <c r="AG2128" s="201"/>
      <c r="AH2128" s="217" t="s">
        <v>4179</v>
      </c>
      <c r="AI2128" s="214" t="str">
        <f>IF(AND($AH2128&lt;&gt;"",AH2128 =AH2127),"Gleich","")</f>
        <v/>
      </c>
      <c r="AJ2128" s="214" t="str">
        <f>IF(AND($AH2128&lt;&gt;"",A2128 =A2127),"Gleich","")</f>
        <v/>
      </c>
      <c r="AK2128" s="214" t="str">
        <f>IF(AND($AH2128&lt;&gt;"",D2128 =D2127),"Gleich","")</f>
        <v/>
      </c>
      <c r="AL2128" s="214" t="str">
        <f>IF(AND($AH2128&lt;&gt;"",E2128 =E2127),"Gleich","")</f>
        <v>Gleich</v>
      </c>
      <c r="AM2128" s="214" t="str">
        <f>IF(AND($AH2128&lt;&gt;"",F2128 =F2127),"Gleich","")</f>
        <v/>
      </c>
      <c r="AN2128" s="213" t="str">
        <f>IF(ISERROR(SEARCH("K1",A2128)),"","20"&amp;MID(A2128,SEARCH("K1",A2128)+1,2))</f>
        <v>2013</v>
      </c>
      <c r="AO2128" s="213" t="str">
        <f>IF(ISERROR(SEARCH("erstmals 201",E2128)),"",MID(E2128,SEARCH("erstmals ",E2128)+9,4))</f>
        <v>2013</v>
      </c>
      <c r="AP2128" s="213" t="str">
        <f>IF(R2128="x","2010",IF(S2128="x","2011",IF(T2128="x","2012","")))</f>
        <v/>
      </c>
      <c r="AQ2128" s="215" t="str">
        <f>IF(OR(AH2128&lt;&gt;AN2128,AH2128&lt;&gt;AO2128,AH2128&lt;&gt;AP2128),"DIFF","")</f>
        <v>DIFF</v>
      </c>
      <c r="AR2128" s="216" t="str">
        <f>IF(A2128="","",IF(ISERROR(SEARCH("K1",A2128)),A2128,LEFT(A2128,SEARCH("K1",A2128)+1)&amp;RIGHT(AH2128,1)&amp;MID(A2128,SEARCH("K1",A2128)+3,14)))</f>
        <v>BiK81M1bK12y07</v>
      </c>
      <c r="AS2128" s="215" t="str">
        <f>IF(OR(A2128&lt;&gt;AR2128),"DIFF","")</f>
        <v>DIFF</v>
      </c>
      <c r="AT2128">
        <f>LEN(AR2128)</f>
        <v>14</v>
      </c>
      <c r="AU2128" s="216" t="str">
        <f>IF(D2128="","",IF(OR(A2128="",ISERROR(SEARCH("erstmals 201",D2128))),D2128,LEFT(D2128,SEARCH("erstmals 201",D2128)+8) &amp; AH2128 &amp; MID(D2128,SEARCH("erstmals 201",D2128)+13,255)))</f>
        <v>0-0,15 MW, Bonusregeln M1, y, b und K erstmals 2012</v>
      </c>
      <c r="AV2128" s="215" t="str">
        <f>IF(OR(D2128&lt;&gt;AU2128),"DIFF","")</f>
        <v>DIFF</v>
      </c>
      <c r="AW2128" s="216" t="str">
        <f>IF(E2128="","",IF(OR(E2128="",ISERROR(SEARCH("erstmals 201",E2128))),E2128,LEFT(E2128,SEARCH("erstmals 201",E2128)+8) &amp; AH2128 &amp; MID(E2128,SEARCH("erstmals 201",E2128)+13,255)))</f>
        <v>Anteil KWK, erstmals 2012</v>
      </c>
      <c r="AX2128" s="215" t="str">
        <f>IF(OR(E2128&lt;&gt;AW2128),"DIFF","")</f>
        <v>DIFF</v>
      </c>
      <c r="AY2128" t="str">
        <f>IF(AH2128="2011","x",IF(AH2128="2012","","" &amp; S2128))</f>
        <v/>
      </c>
      <c r="AZ2128" t="str">
        <f>IF(AH2128="2012","x",IF(AH2128="2011","","" &amp; T2128))</f>
        <v>x</v>
      </c>
    </row>
    <row r="2129" spans="1:52" s="178" customFormat="1" x14ac:dyDescent="0.25">
      <c r="A2129" s="615" t="s">
        <v>660</v>
      </c>
      <c r="B2129" s="373" t="s">
        <v>5548</v>
      </c>
      <c r="C2129" s="373" t="s">
        <v>1304</v>
      </c>
      <c r="D2129" s="373" t="s">
        <v>7215</v>
      </c>
      <c r="E2129" s="373" t="s">
        <v>2827</v>
      </c>
      <c r="F2129" s="459">
        <f t="shared" si="972"/>
        <v>20.34</v>
      </c>
      <c r="G2129" s="535">
        <f t="shared" si="973"/>
        <v>20.34</v>
      </c>
      <c r="H2129" s="493">
        <f t="shared" si="974"/>
        <v>16.27</v>
      </c>
      <c r="I2129" s="711"/>
      <c r="J2129" s="669" t="s">
        <v>5805</v>
      </c>
      <c r="K2129" s="15"/>
      <c r="L2129"/>
      <c r="M2129" s="49">
        <f t="shared" si="975"/>
        <v>20.34</v>
      </c>
      <c r="N2129" s="41">
        <v>9.4600000000000009</v>
      </c>
      <c r="O2129" s="391"/>
      <c r="P2129" s="392" t="s">
        <v>2828</v>
      </c>
      <c r="Q2129" s="392"/>
      <c r="R2129" s="392">
        <v>2013</v>
      </c>
      <c r="S2129" s="392"/>
      <c r="T2129" s="324">
        <v>2.88</v>
      </c>
      <c r="U2129" s="179"/>
      <c r="V2129" s="37"/>
      <c r="W2129" s="422"/>
      <c r="X2129" s="422"/>
      <c r="Y2129" s="37"/>
      <c r="Z2129" s="422"/>
      <c r="AA2129" s="37" t="s">
        <v>1017</v>
      </c>
      <c r="AB2129" s="37"/>
      <c r="AC2129" s="422"/>
      <c r="AD2129" s="425"/>
      <c r="AE2129" s="200"/>
      <c r="AF2129" s="180"/>
      <c r="AG2129" s="201"/>
      <c r="AH2129" s="217"/>
      <c r="AI2129" s="214"/>
      <c r="AJ2129" s="214"/>
      <c r="AK2129" s="214"/>
      <c r="AL2129" s="214"/>
      <c r="AM2129" s="214"/>
      <c r="AN2129" s="213"/>
      <c r="AO2129" s="213"/>
      <c r="AP2129" s="213"/>
      <c r="AQ2129" s="215"/>
      <c r="AR2129" s="216"/>
      <c r="AS2129" s="215"/>
      <c r="AT2129"/>
      <c r="AU2129" s="216"/>
      <c r="AV2129" s="215"/>
      <c r="AW2129" s="216"/>
      <c r="AX2129" s="215"/>
      <c r="AY2129"/>
      <c r="AZ2129"/>
    </row>
    <row r="2130" spans="1:52" s="178" customFormat="1" x14ac:dyDescent="0.25">
      <c r="A2130" s="615" t="s">
        <v>661</v>
      </c>
      <c r="B2130" s="373" t="s">
        <v>5548</v>
      </c>
      <c r="C2130" s="373" t="s">
        <v>1304</v>
      </c>
      <c r="D2130" s="373" t="s">
        <v>7083</v>
      </c>
      <c r="E2130" s="373" t="s">
        <v>2827</v>
      </c>
      <c r="F2130" s="459">
        <f t="shared" si="972"/>
        <v>21.34</v>
      </c>
      <c r="G2130" s="535">
        <f t="shared" si="973"/>
        <v>21.34</v>
      </c>
      <c r="H2130" s="493">
        <f t="shared" si="974"/>
        <v>17.07</v>
      </c>
      <c r="I2130" s="711"/>
      <c r="J2130" s="669" t="s">
        <v>5805</v>
      </c>
      <c r="K2130" s="15"/>
      <c r="L2130"/>
      <c r="M2130" s="49">
        <f t="shared" si="975"/>
        <v>21.34</v>
      </c>
      <c r="N2130" s="41">
        <v>9.4600000000000009</v>
      </c>
      <c r="O2130" s="391"/>
      <c r="P2130" s="392" t="s">
        <v>2828</v>
      </c>
      <c r="Q2130" s="392"/>
      <c r="R2130" s="392">
        <v>2013</v>
      </c>
      <c r="S2130" s="392"/>
      <c r="T2130" s="324">
        <v>2.88</v>
      </c>
      <c r="U2130" s="185" t="s">
        <v>1017</v>
      </c>
      <c r="V2130" s="421"/>
      <c r="W2130" s="422"/>
      <c r="X2130" s="422"/>
      <c r="Y2130" s="37"/>
      <c r="Z2130" s="422"/>
      <c r="AA2130" s="421" t="s">
        <v>1017</v>
      </c>
      <c r="AB2130" s="421"/>
      <c r="AC2130" s="422"/>
      <c r="AD2130" s="425"/>
      <c r="AE2130" s="181"/>
      <c r="AF2130" s="180"/>
      <c r="AG2130" s="201"/>
      <c r="AH2130" s="217"/>
      <c r="AI2130" s="214"/>
      <c r="AJ2130" s="214"/>
      <c r="AK2130" s="214"/>
      <c r="AL2130" s="214"/>
      <c r="AM2130" s="214"/>
      <c r="AN2130" s="213"/>
      <c r="AO2130" s="213"/>
      <c r="AP2130" s="213"/>
      <c r="AQ2130" s="215"/>
      <c r="AR2130" s="216"/>
      <c r="AS2130" s="215"/>
      <c r="AT2130"/>
      <c r="AU2130" s="216"/>
      <c r="AV2130" s="215"/>
      <c r="AW2130" s="216"/>
      <c r="AX2130" s="215"/>
      <c r="AY2130"/>
      <c r="AZ2130"/>
    </row>
    <row r="2131" spans="1:52" s="178" customFormat="1" x14ac:dyDescent="0.25">
      <c r="A2131" s="615" t="s">
        <v>5628</v>
      </c>
      <c r="B2131" s="373" t="s">
        <v>5548</v>
      </c>
      <c r="C2131" s="373" t="s">
        <v>1304</v>
      </c>
      <c r="D2131" s="373" t="s">
        <v>7216</v>
      </c>
      <c r="E2131" s="373" t="s">
        <v>2827</v>
      </c>
      <c r="F2131" s="459">
        <f t="shared" si="972"/>
        <v>23.34</v>
      </c>
      <c r="G2131" s="535">
        <f t="shared" si="973"/>
        <v>23.34</v>
      </c>
      <c r="H2131" s="493">
        <f t="shared" si="974"/>
        <v>18.670000000000002</v>
      </c>
      <c r="I2131" s="711"/>
      <c r="J2131" s="669" t="s">
        <v>5805</v>
      </c>
      <c r="K2131" s="15"/>
      <c r="L2131"/>
      <c r="M2131" s="49">
        <f t="shared" si="975"/>
        <v>23.34</v>
      </c>
      <c r="N2131" s="41">
        <v>9.4600000000000009</v>
      </c>
      <c r="O2131" s="391"/>
      <c r="P2131" s="392" t="s">
        <v>2828</v>
      </c>
      <c r="Q2131" s="392"/>
      <c r="R2131" s="392">
        <v>2013</v>
      </c>
      <c r="S2131" s="392"/>
      <c r="T2131" s="324">
        <v>2.88</v>
      </c>
      <c r="U2131" s="185" t="s">
        <v>1017</v>
      </c>
      <c r="V2131" s="184"/>
      <c r="W2131" s="180"/>
      <c r="X2131" s="180"/>
      <c r="Z2131" s="180"/>
      <c r="AA2131" s="184" t="s">
        <v>1017</v>
      </c>
      <c r="AB2131" s="184"/>
      <c r="AC2131" s="180"/>
      <c r="AD2131" s="182"/>
      <c r="AE2131" s="181" t="s">
        <v>1017</v>
      </c>
      <c r="AF2131" s="180"/>
      <c r="AG2131" s="201"/>
      <c r="AH2131" s="217" t="s">
        <v>4179</v>
      </c>
      <c r="AI2131" s="214" t="str">
        <f>IF(AND($AH2131&lt;&gt;"",AH2131 =AH2130),"Gleich","")</f>
        <v/>
      </c>
      <c r="AJ2131" s="214" t="str">
        <f>IF(AND($AH2131&lt;&gt;"",A2131 =A2130),"Gleich","")</f>
        <v/>
      </c>
      <c r="AK2131" s="214" t="str">
        <f>IF(AND($AH2131&lt;&gt;"",D2131 =D2130),"Gleich","")</f>
        <v/>
      </c>
      <c r="AL2131" s="214" t="str">
        <f>IF(AND($AH2131&lt;&gt;"",E2131 =E2130),"Gleich","")</f>
        <v>Gleich</v>
      </c>
      <c r="AM2131" s="214" t="str">
        <f>IF(AND($AH2131&lt;&gt;"",F2131 =F2130),"Gleich","")</f>
        <v/>
      </c>
      <c r="AN2131" s="213" t="str">
        <f>IF(ISERROR(SEARCH("K1",A2131)),"","20"&amp;MID(A2131,SEARCH("K1",A2131)+1,2))</f>
        <v>2013</v>
      </c>
      <c r="AO2131" s="213" t="str">
        <f>IF(ISERROR(SEARCH("erstmals 201",E2131)),"",MID(E2131,SEARCH("erstmals ",E2131)+9,4))</f>
        <v>2013</v>
      </c>
      <c r="AP2131" s="213" t="str">
        <f t="shared" ref="AP2131:AP2140" si="976">IF(R2131="x","2010",IF(S2131="x","2011",IF(T2131="x","2012","")))</f>
        <v/>
      </c>
      <c r="AQ2131" s="215" t="str">
        <f>IF(OR(AH2131&lt;&gt;AN2131,AH2131&lt;&gt;AO2131,AH2131&lt;&gt;AP2131),"DIFF","")</f>
        <v>DIFF</v>
      </c>
      <c r="AR2131" s="216" t="str">
        <f>IF(A2131="","",IF(ISERROR(SEARCH("K1",A2131)),A2131,LEFT(A2131,SEARCH("K1",A2131)+1)&amp;RIGHT(AH2131,1)&amp;MID(A2131,SEARCH("K1",A2131)+3,14)))</f>
        <v>BiK82M2bK12y07</v>
      </c>
      <c r="AS2131" s="215" t="str">
        <f>IF(OR(A2131&lt;&gt;AR2131),"DIFF","")</f>
        <v>DIFF</v>
      </c>
      <c r="AT2131">
        <f>LEN(AR2131)</f>
        <v>14</v>
      </c>
      <c r="AU2131" s="216" t="str">
        <f>IF(D2131="","",IF(OR(A2131="",ISERROR(SEARCH("erstmals 201",D2131))),D2131,LEFT(D2131,SEARCH("erstmals 201",D2131)+8) &amp; AH2131 &amp; MID(D2131,SEARCH("erstmals 201",D2131)+13,255)))</f>
        <v>0,15-0,5 MW, Bonusregeln M2, y, b und K erstmals 2012</v>
      </c>
      <c r="AV2131" s="215" t="str">
        <f>IF(OR(D2131&lt;&gt;AU2131),"DIFF","")</f>
        <v>DIFF</v>
      </c>
      <c r="AW2131" s="216" t="str">
        <f>IF(E2131="","",IF(OR(E2131="",ISERROR(SEARCH("erstmals 201",E2131))),E2131,LEFT(E2131,SEARCH("erstmals 201",E2131)+8) &amp; AH2131 &amp; MID(E2131,SEARCH("erstmals 201",E2131)+13,255)))</f>
        <v>Anteil KWK, erstmals 2012</v>
      </c>
      <c r="AX2131" s="215" t="str">
        <f>IF(OR(E2131&lt;&gt;AW2131),"DIFF","")</f>
        <v>DIFF</v>
      </c>
      <c r="AY2131" t="str">
        <f>IF(AH2131="2011","x",IF(AH2131="2012","","" &amp; S2131))</f>
        <v/>
      </c>
      <c r="AZ2131" t="str">
        <f>IF(AH2131="2012","x",IF(AH2131="2011","","" &amp; T2131))</f>
        <v>x</v>
      </c>
    </row>
    <row r="2132" spans="1:52" x14ac:dyDescent="0.25">
      <c r="A2132" s="615" t="s">
        <v>662</v>
      </c>
      <c r="B2132" s="373" t="s">
        <v>5548</v>
      </c>
      <c r="C2132" s="373" t="s">
        <v>1304</v>
      </c>
      <c r="D2132" s="373" t="s">
        <v>6805</v>
      </c>
      <c r="E2132" s="373" t="s">
        <v>2827</v>
      </c>
      <c r="F2132" s="459">
        <f t="shared" si="972"/>
        <v>15.39</v>
      </c>
      <c r="G2132" s="535">
        <f t="shared" si="973"/>
        <v>15.39</v>
      </c>
      <c r="H2132" s="493">
        <f t="shared" si="974"/>
        <v>12.31</v>
      </c>
      <c r="I2132" s="711"/>
      <c r="J2132" s="669" t="s">
        <v>5805</v>
      </c>
      <c r="K2132" s="15"/>
      <c r="M2132" s="49">
        <f t="shared" si="975"/>
        <v>15.39</v>
      </c>
      <c r="N2132" s="41">
        <v>8.51</v>
      </c>
      <c r="O2132" s="391"/>
      <c r="P2132" s="392" t="s">
        <v>2828</v>
      </c>
      <c r="Q2132" s="392"/>
      <c r="R2132" s="392">
        <v>2013</v>
      </c>
      <c r="S2132" s="392"/>
      <c r="T2132" s="324">
        <v>2.88</v>
      </c>
      <c r="U2132" s="75"/>
      <c r="V2132" s="422"/>
      <c r="W2132" s="37" t="s">
        <v>1017</v>
      </c>
      <c r="X2132" s="37"/>
      <c r="Y2132" s="422"/>
      <c r="Z2132" s="422"/>
      <c r="AA2132" s="422"/>
      <c r="AB2132" s="422"/>
      <c r="AC2132" s="422"/>
      <c r="AD2132" s="423"/>
      <c r="AE2132" s="124"/>
      <c r="AF2132" s="65"/>
      <c r="AG2132" s="91"/>
      <c r="AH2132" s="212"/>
      <c r="AI2132" s="214"/>
      <c r="AJ2132" s="214"/>
      <c r="AK2132" s="214"/>
      <c r="AL2132" s="214"/>
      <c r="AM2132" s="214"/>
      <c r="AN2132" s="213"/>
      <c r="AO2132" s="213"/>
      <c r="AP2132" s="213" t="str">
        <f t="shared" si="976"/>
        <v/>
      </c>
      <c r="AQ2132" s="215"/>
      <c r="AR2132" s="216"/>
      <c r="AS2132" s="215"/>
      <c r="AU2132" s="216"/>
      <c r="AV2132" s="215"/>
      <c r="AW2132" s="216"/>
      <c r="AX2132" s="215"/>
    </row>
    <row r="2133" spans="1:52" s="774" customFormat="1" x14ac:dyDescent="0.25">
      <c r="A2133" s="615" t="s">
        <v>6491</v>
      </c>
      <c r="B2133" s="373" t="s">
        <v>5548</v>
      </c>
      <c r="C2133" s="373" t="s">
        <v>1304</v>
      </c>
      <c r="D2133" s="375" t="s">
        <v>6803</v>
      </c>
      <c r="E2133" s="373" t="s">
        <v>2827</v>
      </c>
      <c r="F2133" s="459">
        <v>17.39</v>
      </c>
      <c r="G2133" s="535">
        <f t="shared" si="973"/>
        <v>17.39</v>
      </c>
      <c r="H2133" s="493">
        <f t="shared" si="974"/>
        <v>13.91</v>
      </c>
      <c r="I2133" s="711"/>
      <c r="J2133" s="669">
        <v>43593</v>
      </c>
      <c r="K2133" s="769"/>
      <c r="M2133" s="49">
        <f t="shared" si="975"/>
        <v>17.39</v>
      </c>
      <c r="N2133" s="41">
        <v>8.51</v>
      </c>
      <c r="O2133" s="391"/>
      <c r="P2133" s="392" t="s">
        <v>2828</v>
      </c>
      <c r="Q2133" s="392"/>
      <c r="R2133" s="392">
        <v>2013</v>
      </c>
      <c r="S2133" s="392"/>
      <c r="T2133" s="324">
        <v>2.88</v>
      </c>
      <c r="U2133" s="776"/>
      <c r="V2133" s="422"/>
      <c r="W2133" s="37" t="s">
        <v>1017</v>
      </c>
      <c r="X2133" s="37"/>
      <c r="Y2133" s="422"/>
      <c r="Z2133" s="422"/>
      <c r="AA2133" s="422"/>
      <c r="AB2133" s="422"/>
      <c r="AC2133" s="422"/>
      <c r="AD2133" s="423"/>
      <c r="AE2133" s="778" t="s">
        <v>1017</v>
      </c>
      <c r="AF2133" s="775"/>
      <c r="AG2133" s="777"/>
      <c r="AH2133" s="767"/>
      <c r="AI2133" s="771"/>
      <c r="AJ2133" s="771"/>
      <c r="AK2133" s="771"/>
      <c r="AL2133" s="771"/>
      <c r="AM2133" s="771"/>
      <c r="AN2133" s="770"/>
      <c r="AO2133" s="770"/>
      <c r="AP2133" s="770" t="str">
        <f t="shared" si="976"/>
        <v/>
      </c>
      <c r="AQ2133" s="772"/>
      <c r="AR2133" s="216"/>
      <c r="AS2133" s="772"/>
      <c r="AU2133" s="216"/>
      <c r="AV2133" s="772"/>
      <c r="AW2133" s="216"/>
      <c r="AX2133" s="772"/>
    </row>
    <row r="2134" spans="1:52" x14ac:dyDescent="0.25">
      <c r="A2134" s="615" t="s">
        <v>5623</v>
      </c>
      <c r="B2134" s="373" t="s">
        <v>5548</v>
      </c>
      <c r="C2134" s="373" t="s">
        <v>1304</v>
      </c>
      <c r="D2134" s="373" t="s">
        <v>7021</v>
      </c>
      <c r="E2134" s="373" t="s">
        <v>5625</v>
      </c>
      <c r="F2134" s="459">
        <f t="shared" ref="F2134:F2164" si="977">M2134</f>
        <v>25.490000000000002</v>
      </c>
      <c r="G2134" s="535">
        <f t="shared" si="973"/>
        <v>25.490000000000002</v>
      </c>
      <c r="H2134" s="493">
        <f t="shared" si="974"/>
        <v>20.39</v>
      </c>
      <c r="I2134" s="711"/>
      <c r="J2134" s="669" t="s">
        <v>5805</v>
      </c>
      <c r="K2134" s="15"/>
      <c r="M2134" s="49">
        <f t="shared" si="975"/>
        <v>25.490000000000002</v>
      </c>
      <c r="N2134" s="41">
        <v>11.67</v>
      </c>
      <c r="O2134" s="391"/>
      <c r="P2134" s="392" t="s">
        <v>2828</v>
      </c>
      <c r="Q2134" s="392"/>
      <c r="R2134" s="392">
        <v>2015</v>
      </c>
      <c r="S2134" s="392"/>
      <c r="T2134" s="324">
        <v>2.82</v>
      </c>
      <c r="U2134" s="179"/>
      <c r="V2134" s="178"/>
      <c r="W2134" s="180"/>
      <c r="X2134" s="180"/>
      <c r="Y2134" s="178"/>
      <c r="Z2134" s="178" t="s">
        <v>1017</v>
      </c>
      <c r="AA2134" s="180"/>
      <c r="AB2134" s="178"/>
      <c r="AC2134" s="178"/>
      <c r="AD2134" s="201"/>
      <c r="AE2134" s="200"/>
      <c r="AF2134" s="180"/>
      <c r="AG2134" s="201"/>
      <c r="AH2134" s="217" t="s">
        <v>4179</v>
      </c>
      <c r="AI2134" s="214" t="str">
        <f>IF(AND($AH2134&lt;&gt;"",AH2134 =AH2132),"Gleich","")</f>
        <v/>
      </c>
      <c r="AJ2134" s="214" t="str">
        <f>IF(AND($AH2134&lt;&gt;"",A2134 =A2132),"Gleich","")</f>
        <v/>
      </c>
      <c r="AK2134" s="214" t="str">
        <f>IF(AND($AH2134&lt;&gt;"",D2134 =D2132),"Gleich","")</f>
        <v/>
      </c>
      <c r="AL2134" s="214" t="str">
        <f>IF(AND($AH2134&lt;&gt;"",E2134 =E2132),"Gleich","")</f>
        <v/>
      </c>
      <c r="AM2134" s="214" t="str">
        <f>IF(AND($AH2134&lt;&gt;"",F2134 =F2132),"Gleich","")</f>
        <v/>
      </c>
      <c r="AN2134" s="213" t="str">
        <f t="shared" ref="AN2134:AN2140" si="978">IF(ISERROR(SEARCH("K1",A2134)),"","20"&amp;MID(A2134,SEARCH("K1",A2134)+1,2))</f>
        <v>2015</v>
      </c>
      <c r="AO2134" s="213" t="str">
        <f t="shared" ref="AO2134:AO2140" si="979">IF(ISERROR(SEARCH("erstmals 201",E2134)),"",MID(E2134,SEARCH("erstmals ",E2134)+9,4))</f>
        <v>2015</v>
      </c>
      <c r="AP2134" s="213" t="str">
        <f t="shared" si="976"/>
        <v/>
      </c>
      <c r="AQ2134" s="215" t="str">
        <f t="shared" ref="AQ2134:AQ2140" si="980">IF(OR(AH2134&lt;&gt;AN2134,AH2134&lt;&gt;AO2134,AH2134&lt;&gt;AP2134),"DIFF","")</f>
        <v>DIFF</v>
      </c>
      <c r="AR2134" s="216" t="str">
        <f t="shared" ref="AR2134:AR2140" si="981">IF(A2134="","",IF(ISERROR(SEARCH("K1",A2134)),A2134,LEFT(A2134,SEARCH("K1",A2134)+1)&amp;RIGHT(AH2134,1)&amp;MID(A2134,SEARCH("K1",A2134)+3,14)))</f>
        <v>BiK81M1K12--07</v>
      </c>
      <c r="AS2134" s="215" t="str">
        <f t="shared" ref="AS2134:AS2140" si="982">IF(OR(A2134&lt;&gt;AR2134),"DIFF","")</f>
        <v>DIFF</v>
      </c>
      <c r="AT2134">
        <f t="shared" ref="AT2134:AT2140" si="983">LEN(AR2134)</f>
        <v>14</v>
      </c>
      <c r="AU2134" s="216" t="str">
        <f t="shared" ref="AU2134:AU2140" si="984">IF(D2134="","",IF(OR(A2134="",ISERROR(SEARCH("erstmals 201",D2134))),D2134,LEFT(D2134,SEARCH("erstmals 201",D2134)+8) &amp; AH2134 &amp; MID(D2134,SEARCH("erstmals 201",D2134)+13,255)))</f>
        <v>0-0,15 MW, Bonusregeln M1, K erstmals 2012</v>
      </c>
      <c r="AV2134" s="215" t="str">
        <f t="shared" ref="AV2134:AV2140" si="985">IF(OR(D2134&lt;&gt;AU2134),"DIFF","")</f>
        <v>DIFF</v>
      </c>
      <c r="AW2134" s="216" t="str">
        <f t="shared" ref="AW2134:AW2140" si="986">IF(E2134="","",IF(OR(E2134="",ISERROR(SEARCH("erstmals 201",E2134))),E2134,LEFT(E2134,SEARCH("erstmals 201",E2134)+8) &amp; AH2134 &amp; MID(E2134,SEARCH("erstmals 201",E2134)+13,255)))</f>
        <v>Anteil KWK, erstmals 2012</v>
      </c>
      <c r="AX2134" s="215" t="str">
        <f t="shared" ref="AX2134:AX2140" si="987">IF(OR(E2134&lt;&gt;AW2134),"DIFF","")</f>
        <v>DIFF</v>
      </c>
      <c r="AY2134" t="str">
        <f t="shared" ref="AY2134:AY2140" si="988">IF(AH2134="2011","x",IF(AH2134="2012","","" &amp; S2134))</f>
        <v/>
      </c>
      <c r="AZ2134" t="str">
        <f t="shared" ref="AZ2134:AZ2140" si="989">IF(AH2134="2012","x",IF(AH2134="2011","","" &amp; T2134))</f>
        <v>x</v>
      </c>
    </row>
    <row r="2135" spans="1:52" x14ac:dyDescent="0.25">
      <c r="A2135" s="615" t="s">
        <v>5790</v>
      </c>
      <c r="B2135" s="373" t="s">
        <v>5548</v>
      </c>
      <c r="C2135" s="373" t="s">
        <v>1304</v>
      </c>
      <c r="D2135" s="373" t="s">
        <v>6863</v>
      </c>
      <c r="E2135" s="373" t="s">
        <v>5625</v>
      </c>
      <c r="F2135" s="459">
        <f t="shared" si="977"/>
        <v>26.490000000000002</v>
      </c>
      <c r="G2135" s="535">
        <f t="shared" si="973"/>
        <v>26.490000000000002</v>
      </c>
      <c r="H2135" s="493">
        <f t="shared" si="974"/>
        <v>21.19</v>
      </c>
      <c r="I2135" s="711"/>
      <c r="J2135" s="669" t="s">
        <v>5805</v>
      </c>
      <c r="K2135" s="15"/>
      <c r="M2135" s="49">
        <f t="shared" si="975"/>
        <v>26.490000000000002</v>
      </c>
      <c r="N2135" s="41">
        <v>11.67</v>
      </c>
      <c r="O2135" s="391"/>
      <c r="P2135" s="392" t="s">
        <v>2828</v>
      </c>
      <c r="Q2135" s="392"/>
      <c r="R2135" s="392">
        <v>2015</v>
      </c>
      <c r="S2135" s="392"/>
      <c r="T2135" s="324">
        <v>2.82</v>
      </c>
      <c r="U2135" s="185" t="s">
        <v>1017</v>
      </c>
      <c r="V2135" s="184"/>
      <c r="W2135" s="180"/>
      <c r="X2135" s="180"/>
      <c r="Y2135" s="178"/>
      <c r="Z2135" s="184" t="s">
        <v>1017</v>
      </c>
      <c r="AA2135" s="180"/>
      <c r="AB2135" s="184"/>
      <c r="AC2135" s="184"/>
      <c r="AD2135" s="201"/>
      <c r="AE2135" s="181"/>
      <c r="AF2135" s="180"/>
      <c r="AG2135" s="201"/>
      <c r="AH2135" s="217" t="s">
        <v>4179</v>
      </c>
      <c r="AI2135" s="214" t="str">
        <f>IF(AND($AH2135&lt;&gt;"",AH2135 =AH2134),"Gleich","")</f>
        <v>Gleich</v>
      </c>
      <c r="AJ2135" s="214" t="str">
        <f>IF(AND($AH2135&lt;&gt;"",A2135 =A2134),"Gleich","")</f>
        <v/>
      </c>
      <c r="AK2135" s="214" t="str">
        <f>IF(AND($AH2135&lt;&gt;"",D2135 =D2134),"Gleich","")</f>
        <v/>
      </c>
      <c r="AL2135" s="214" t="str">
        <f>IF(AND($AH2135&lt;&gt;"",E2135 =E2134),"Gleich","")</f>
        <v>Gleich</v>
      </c>
      <c r="AM2135" s="214" t="str">
        <f>IF(AND($AH2135&lt;&gt;"",F2135 =F2134),"Gleich","")</f>
        <v/>
      </c>
      <c r="AN2135" s="213" t="str">
        <f t="shared" si="978"/>
        <v>2015</v>
      </c>
      <c r="AO2135" s="213" t="str">
        <f t="shared" si="979"/>
        <v>2015</v>
      </c>
      <c r="AP2135" s="213" t="str">
        <f t="shared" si="976"/>
        <v/>
      </c>
      <c r="AQ2135" s="215" t="str">
        <f t="shared" si="980"/>
        <v>DIFF</v>
      </c>
      <c r="AR2135" s="216" t="str">
        <f t="shared" si="981"/>
        <v>BiK81M1K12y-07</v>
      </c>
      <c r="AS2135" s="215" t="str">
        <f t="shared" si="982"/>
        <v>DIFF</v>
      </c>
      <c r="AT2135">
        <f t="shared" si="983"/>
        <v>14</v>
      </c>
      <c r="AU2135" s="216" t="str">
        <f t="shared" si="984"/>
        <v>0-0,15 MW, Bonusregeln M1, y und K erstmals 2012</v>
      </c>
      <c r="AV2135" s="215" t="str">
        <f t="shared" si="985"/>
        <v>DIFF</v>
      </c>
      <c r="AW2135" s="216" t="str">
        <f t="shared" si="986"/>
        <v>Anteil KWK, erstmals 2012</v>
      </c>
      <c r="AX2135" s="215" t="str">
        <f t="shared" si="987"/>
        <v>DIFF</v>
      </c>
      <c r="AY2135" t="str">
        <f t="shared" si="988"/>
        <v/>
      </c>
      <c r="AZ2135" t="str">
        <f t="shared" si="989"/>
        <v>x</v>
      </c>
    </row>
    <row r="2136" spans="1:52" s="178" customFormat="1" x14ac:dyDescent="0.25">
      <c r="A2136" s="615" t="s">
        <v>5791</v>
      </c>
      <c r="B2136" s="373" t="s">
        <v>5548</v>
      </c>
      <c r="C2136" s="373" t="s">
        <v>1304</v>
      </c>
      <c r="D2136" s="373" t="s">
        <v>7002</v>
      </c>
      <c r="E2136" s="373" t="s">
        <v>5625</v>
      </c>
      <c r="F2136" s="459">
        <f t="shared" si="977"/>
        <v>28.490000000000002</v>
      </c>
      <c r="G2136" s="535">
        <f t="shared" si="973"/>
        <v>28.490000000000002</v>
      </c>
      <c r="H2136" s="493">
        <f t="shared" si="974"/>
        <v>22.79</v>
      </c>
      <c r="I2136" s="711"/>
      <c r="J2136" s="669" t="s">
        <v>5805</v>
      </c>
      <c r="K2136" s="15"/>
      <c r="L2136"/>
      <c r="M2136" s="49">
        <f t="shared" si="975"/>
        <v>28.490000000000002</v>
      </c>
      <c r="N2136" s="41">
        <v>11.67</v>
      </c>
      <c r="O2136" s="391"/>
      <c r="P2136" s="392" t="s">
        <v>2828</v>
      </c>
      <c r="Q2136" s="392"/>
      <c r="R2136" s="392">
        <v>2015</v>
      </c>
      <c r="S2136" s="392"/>
      <c r="T2136" s="324">
        <v>2.82</v>
      </c>
      <c r="U2136" s="185" t="s">
        <v>1017</v>
      </c>
      <c r="V2136" s="184"/>
      <c r="W2136" s="180"/>
      <c r="X2136" s="180"/>
      <c r="Z2136" s="184" t="s">
        <v>1017</v>
      </c>
      <c r="AA2136" s="180"/>
      <c r="AB2136" s="184"/>
      <c r="AC2136" s="184"/>
      <c r="AD2136" s="201"/>
      <c r="AE2136" s="181" t="s">
        <v>1017</v>
      </c>
      <c r="AF2136" s="180"/>
      <c r="AG2136" s="201"/>
      <c r="AH2136" s="217" t="s">
        <v>4179</v>
      </c>
      <c r="AI2136" s="214" t="str">
        <f>IF(AND($AH2136&lt;&gt;"",AH2136 =AH2134),"Gleich","")</f>
        <v>Gleich</v>
      </c>
      <c r="AJ2136" s="214" t="str">
        <f>IF(AND($AH2136&lt;&gt;"",A2136 =A2134),"Gleich","")</f>
        <v/>
      </c>
      <c r="AK2136" s="214" t="str">
        <f>IF(AND($AH2136&lt;&gt;"",D2136 =D2134),"Gleich","")</f>
        <v/>
      </c>
      <c r="AL2136" s="214" t="str">
        <f>IF(AND($AH2136&lt;&gt;"",E2136 =E2134),"Gleich","")</f>
        <v>Gleich</v>
      </c>
      <c r="AM2136" s="214" t="str">
        <f>IF(AND($AH2136&lt;&gt;"",F2136 =F2134),"Gleich","")</f>
        <v/>
      </c>
      <c r="AN2136" s="213" t="str">
        <f t="shared" si="978"/>
        <v>2015</v>
      </c>
      <c r="AO2136" s="213" t="str">
        <f t="shared" si="979"/>
        <v>2015</v>
      </c>
      <c r="AP2136" s="213" t="str">
        <f t="shared" si="976"/>
        <v/>
      </c>
      <c r="AQ2136" s="215" t="str">
        <f t="shared" si="980"/>
        <v>DIFF</v>
      </c>
      <c r="AR2136" s="216" t="str">
        <f t="shared" si="981"/>
        <v>BiK81M1bK12y07</v>
      </c>
      <c r="AS2136" s="215" t="str">
        <f t="shared" si="982"/>
        <v>DIFF</v>
      </c>
      <c r="AT2136">
        <f t="shared" si="983"/>
        <v>14</v>
      </c>
      <c r="AU2136" s="216" t="str">
        <f t="shared" si="984"/>
        <v>0-0,15 MW, Bonusregeln M1, y, b und K erstmals 2012</v>
      </c>
      <c r="AV2136" s="215" t="str">
        <f t="shared" si="985"/>
        <v>DIFF</v>
      </c>
      <c r="AW2136" s="216" t="str">
        <f t="shared" si="986"/>
        <v>Anteil KWK, erstmals 2012</v>
      </c>
      <c r="AX2136" s="215" t="str">
        <f t="shared" si="987"/>
        <v>DIFF</v>
      </c>
      <c r="AY2136" t="str">
        <f t="shared" si="988"/>
        <v/>
      </c>
      <c r="AZ2136" t="str">
        <f t="shared" si="989"/>
        <v>x</v>
      </c>
    </row>
    <row r="2137" spans="1:52" s="178" customFormat="1" x14ac:dyDescent="0.25">
      <c r="A2137" s="615" t="s">
        <v>5624</v>
      </c>
      <c r="B2137" s="373" t="s">
        <v>5548</v>
      </c>
      <c r="C2137" s="373" t="s">
        <v>1304</v>
      </c>
      <c r="D2137" s="373" t="s">
        <v>7240</v>
      </c>
      <c r="E2137" s="373" t="s">
        <v>5625</v>
      </c>
      <c r="F2137" s="459">
        <f t="shared" si="977"/>
        <v>20.28</v>
      </c>
      <c r="G2137" s="535">
        <f t="shared" si="973"/>
        <v>20.28</v>
      </c>
      <c r="H2137" s="493">
        <f t="shared" si="974"/>
        <v>16.22</v>
      </c>
      <c r="I2137" s="711"/>
      <c r="J2137" s="669" t="s">
        <v>5805</v>
      </c>
      <c r="K2137" s="15"/>
      <c r="L2137"/>
      <c r="M2137" s="49">
        <f t="shared" si="975"/>
        <v>20.28</v>
      </c>
      <c r="N2137" s="41">
        <v>9.4600000000000009</v>
      </c>
      <c r="O2137" s="391"/>
      <c r="P2137" s="392" t="s">
        <v>2828</v>
      </c>
      <c r="Q2137" s="392"/>
      <c r="R2137" s="392">
        <v>2015</v>
      </c>
      <c r="S2137" s="392"/>
      <c r="T2137" s="324">
        <v>2.82</v>
      </c>
      <c r="U2137" s="179"/>
      <c r="W2137" s="180"/>
      <c r="X2137" s="180"/>
      <c r="Z2137" s="180"/>
      <c r="AA2137" s="178" t="s">
        <v>1017</v>
      </c>
      <c r="AC2137" s="180"/>
      <c r="AD2137" s="182"/>
      <c r="AE2137" s="200"/>
      <c r="AF2137" s="180"/>
      <c r="AG2137" s="201"/>
      <c r="AH2137" s="217" t="s">
        <v>4179</v>
      </c>
      <c r="AI2137" s="214" t="str">
        <f>IF(AND($AH2137&lt;&gt;"",AH2137 =AH2134),"Gleich","")</f>
        <v>Gleich</v>
      </c>
      <c r="AJ2137" s="214" t="str">
        <f>IF(AND($AH2137&lt;&gt;"",A2137 =A2134),"Gleich","")</f>
        <v/>
      </c>
      <c r="AK2137" s="214" t="str">
        <f>IF(AND($AH2137&lt;&gt;"",D2137 =D2134),"Gleich","")</f>
        <v/>
      </c>
      <c r="AL2137" s="214" t="str">
        <f>IF(AND($AH2137&lt;&gt;"",E2137 =E2134),"Gleich","")</f>
        <v>Gleich</v>
      </c>
      <c r="AM2137" s="214" t="str">
        <f>IF(AND($AH2137&lt;&gt;"",F2137 =F2134),"Gleich","")</f>
        <v/>
      </c>
      <c r="AN2137" s="213" t="str">
        <f t="shared" si="978"/>
        <v>2015</v>
      </c>
      <c r="AO2137" s="213" t="str">
        <f t="shared" si="979"/>
        <v>2015</v>
      </c>
      <c r="AP2137" s="213" t="str">
        <f t="shared" si="976"/>
        <v/>
      </c>
      <c r="AQ2137" s="215" t="str">
        <f t="shared" si="980"/>
        <v>DIFF</v>
      </c>
      <c r="AR2137" s="216" t="str">
        <f t="shared" si="981"/>
        <v>BiK82M2K12--07</v>
      </c>
      <c r="AS2137" s="215" t="str">
        <f t="shared" si="982"/>
        <v>DIFF</v>
      </c>
      <c r="AT2137">
        <f t="shared" si="983"/>
        <v>14</v>
      </c>
      <c r="AU2137" s="216" t="str">
        <f t="shared" si="984"/>
        <v>0,15-0,5 MW, Bonusregeln M2, K erstmals 2012</v>
      </c>
      <c r="AV2137" s="215" t="str">
        <f t="shared" si="985"/>
        <v>DIFF</v>
      </c>
      <c r="AW2137" s="216" t="str">
        <f t="shared" si="986"/>
        <v>Anteil KWK, erstmals 2012</v>
      </c>
      <c r="AX2137" s="215" t="str">
        <f t="shared" si="987"/>
        <v>DIFF</v>
      </c>
      <c r="AY2137" t="str">
        <f t="shared" si="988"/>
        <v/>
      </c>
      <c r="AZ2137" t="str">
        <f t="shared" si="989"/>
        <v>x</v>
      </c>
    </row>
    <row r="2138" spans="1:52" s="178" customFormat="1" x14ac:dyDescent="0.25">
      <c r="A2138" s="615" t="s">
        <v>5792</v>
      </c>
      <c r="B2138" s="373" t="s">
        <v>5548</v>
      </c>
      <c r="C2138" s="373" t="s">
        <v>1304</v>
      </c>
      <c r="D2138" s="373" t="s">
        <v>7088</v>
      </c>
      <c r="E2138" s="373" t="s">
        <v>5625</v>
      </c>
      <c r="F2138" s="459">
        <f t="shared" si="977"/>
        <v>21.28</v>
      </c>
      <c r="G2138" s="535">
        <f t="shared" si="973"/>
        <v>21.28</v>
      </c>
      <c r="H2138" s="493">
        <f t="shared" si="974"/>
        <v>17.02</v>
      </c>
      <c r="I2138" s="711"/>
      <c r="J2138" s="669" t="s">
        <v>5805</v>
      </c>
      <c r="K2138" s="15"/>
      <c r="L2138"/>
      <c r="M2138" s="49">
        <f t="shared" si="975"/>
        <v>21.28</v>
      </c>
      <c r="N2138" s="41">
        <v>9.4600000000000009</v>
      </c>
      <c r="O2138" s="391"/>
      <c r="P2138" s="392" t="s">
        <v>2828</v>
      </c>
      <c r="Q2138" s="392"/>
      <c r="R2138" s="392">
        <v>2015</v>
      </c>
      <c r="S2138" s="392"/>
      <c r="T2138" s="324">
        <v>2.82</v>
      </c>
      <c r="U2138" s="185" t="s">
        <v>1017</v>
      </c>
      <c r="V2138" s="184"/>
      <c r="W2138" s="180"/>
      <c r="X2138" s="180"/>
      <c r="Z2138" s="180"/>
      <c r="AA2138" s="184" t="s">
        <v>1017</v>
      </c>
      <c r="AB2138" s="184"/>
      <c r="AC2138" s="180"/>
      <c r="AD2138" s="182"/>
      <c r="AE2138" s="181"/>
      <c r="AF2138" s="180"/>
      <c r="AG2138" s="201"/>
      <c r="AH2138" s="217" t="s">
        <v>4179</v>
      </c>
      <c r="AI2138" s="214" t="str">
        <f>IF(AND($AH2138&lt;&gt;"",AH2138 =AH2137),"Gleich","")</f>
        <v>Gleich</v>
      </c>
      <c r="AJ2138" s="214" t="str">
        <f>IF(AND($AH2138&lt;&gt;"",A2138 =A2137),"Gleich","")</f>
        <v/>
      </c>
      <c r="AK2138" s="214" t="str">
        <f>IF(AND($AH2138&lt;&gt;"",D2138 =D2137),"Gleich","")</f>
        <v/>
      </c>
      <c r="AL2138" s="214" t="str">
        <f>IF(AND($AH2138&lt;&gt;"",E2138 =E2137),"Gleich","")</f>
        <v>Gleich</v>
      </c>
      <c r="AM2138" s="214" t="str">
        <f>IF(AND($AH2138&lt;&gt;"",F2138 =F2137),"Gleich","")</f>
        <v/>
      </c>
      <c r="AN2138" s="213" t="str">
        <f t="shared" si="978"/>
        <v>2015</v>
      </c>
      <c r="AO2138" s="213" t="str">
        <f t="shared" si="979"/>
        <v>2015</v>
      </c>
      <c r="AP2138" s="213" t="str">
        <f t="shared" si="976"/>
        <v/>
      </c>
      <c r="AQ2138" s="215" t="str">
        <f t="shared" si="980"/>
        <v>DIFF</v>
      </c>
      <c r="AR2138" s="216" t="str">
        <f t="shared" si="981"/>
        <v>BiK82M2K12y-07</v>
      </c>
      <c r="AS2138" s="215" t="str">
        <f t="shared" si="982"/>
        <v>DIFF</v>
      </c>
      <c r="AT2138">
        <f t="shared" si="983"/>
        <v>14</v>
      </c>
      <c r="AU2138" s="216" t="str">
        <f t="shared" si="984"/>
        <v>0,15-0,5 MW, Bonusregeln M2, y und K erstmals 2012</v>
      </c>
      <c r="AV2138" s="215" t="str">
        <f t="shared" si="985"/>
        <v>DIFF</v>
      </c>
      <c r="AW2138" s="216" t="str">
        <f t="shared" si="986"/>
        <v>Anteil KWK, erstmals 2012</v>
      </c>
      <c r="AX2138" s="215" t="str">
        <f t="shared" si="987"/>
        <v>DIFF</v>
      </c>
      <c r="AY2138" t="str">
        <f t="shared" si="988"/>
        <v/>
      </c>
      <c r="AZ2138" t="str">
        <f t="shared" si="989"/>
        <v>x</v>
      </c>
    </row>
    <row r="2139" spans="1:52" s="178" customFormat="1" x14ac:dyDescent="0.25">
      <c r="A2139" s="615" t="s">
        <v>5793</v>
      </c>
      <c r="B2139" s="373" t="s">
        <v>5548</v>
      </c>
      <c r="C2139" s="373" t="s">
        <v>1304</v>
      </c>
      <c r="D2139" s="373" t="s">
        <v>7221</v>
      </c>
      <c r="E2139" s="373" t="s">
        <v>5625</v>
      </c>
      <c r="F2139" s="459">
        <f t="shared" si="977"/>
        <v>23.28</v>
      </c>
      <c r="G2139" s="535">
        <f t="shared" si="973"/>
        <v>23.28</v>
      </c>
      <c r="H2139" s="493">
        <f t="shared" si="974"/>
        <v>18.62</v>
      </c>
      <c r="I2139" s="711"/>
      <c r="J2139" s="669" t="s">
        <v>5805</v>
      </c>
      <c r="K2139" s="15"/>
      <c r="L2139"/>
      <c r="M2139" s="49">
        <f t="shared" si="975"/>
        <v>23.28</v>
      </c>
      <c r="N2139" s="41">
        <v>9.4600000000000009</v>
      </c>
      <c r="O2139" s="391"/>
      <c r="P2139" s="392" t="s">
        <v>2828</v>
      </c>
      <c r="Q2139" s="392"/>
      <c r="R2139" s="392">
        <v>2015</v>
      </c>
      <c r="S2139" s="392"/>
      <c r="T2139" s="324">
        <v>2.82</v>
      </c>
      <c r="U2139" s="185" t="s">
        <v>1017</v>
      </c>
      <c r="V2139" s="184"/>
      <c r="W2139" s="180"/>
      <c r="X2139" s="180"/>
      <c r="Z2139" s="180"/>
      <c r="AA2139" s="184" t="s">
        <v>1017</v>
      </c>
      <c r="AB2139" s="184"/>
      <c r="AC2139" s="180"/>
      <c r="AD2139" s="182"/>
      <c r="AE2139" s="181" t="s">
        <v>1017</v>
      </c>
      <c r="AF2139" s="180"/>
      <c r="AG2139" s="201"/>
      <c r="AH2139" s="217" t="s">
        <v>4179</v>
      </c>
      <c r="AI2139" s="214" t="str">
        <f>IF(AND($AH2139&lt;&gt;"",AH2139 =AH2137),"Gleich","")</f>
        <v>Gleich</v>
      </c>
      <c r="AJ2139" s="214" t="str">
        <f>IF(AND($AH2139&lt;&gt;"",A2139 =A2137),"Gleich","")</f>
        <v/>
      </c>
      <c r="AK2139" s="214" t="str">
        <f>IF(AND($AH2139&lt;&gt;"",D2139 =D2137),"Gleich","")</f>
        <v/>
      </c>
      <c r="AL2139" s="214" t="str">
        <f>IF(AND($AH2139&lt;&gt;"",E2139 =E2137),"Gleich","")</f>
        <v>Gleich</v>
      </c>
      <c r="AM2139" s="214" t="str">
        <f>IF(AND($AH2139&lt;&gt;"",F2139 =F2137),"Gleich","")</f>
        <v/>
      </c>
      <c r="AN2139" s="213" t="str">
        <f t="shared" si="978"/>
        <v>2015</v>
      </c>
      <c r="AO2139" s="213" t="str">
        <f t="shared" si="979"/>
        <v>2015</v>
      </c>
      <c r="AP2139" s="213" t="str">
        <f t="shared" si="976"/>
        <v/>
      </c>
      <c r="AQ2139" s="215" t="str">
        <f t="shared" si="980"/>
        <v>DIFF</v>
      </c>
      <c r="AR2139" s="216" t="str">
        <f t="shared" si="981"/>
        <v>BiK82M2bK12y07</v>
      </c>
      <c r="AS2139" s="215" t="str">
        <f t="shared" si="982"/>
        <v>DIFF</v>
      </c>
      <c r="AT2139">
        <f t="shared" si="983"/>
        <v>14</v>
      </c>
      <c r="AU2139" s="216" t="str">
        <f t="shared" si="984"/>
        <v>0,15-0,5 MW, Bonusregeln M2, y, b und K erstmals 2012</v>
      </c>
      <c r="AV2139" s="215" t="str">
        <f t="shared" si="985"/>
        <v>DIFF</v>
      </c>
      <c r="AW2139" s="216" t="str">
        <f t="shared" si="986"/>
        <v>Anteil KWK, erstmals 2012</v>
      </c>
      <c r="AX2139" s="215" t="str">
        <f t="shared" si="987"/>
        <v>DIFF</v>
      </c>
      <c r="AY2139" t="str">
        <f t="shared" si="988"/>
        <v/>
      </c>
      <c r="AZ2139" t="str">
        <f t="shared" si="989"/>
        <v>x</v>
      </c>
    </row>
    <row r="2140" spans="1:52" s="178" customFormat="1" x14ac:dyDescent="0.25">
      <c r="A2140" s="615" t="s">
        <v>6162</v>
      </c>
      <c r="B2140" s="375" t="s">
        <v>5548</v>
      </c>
      <c r="C2140" s="375" t="s">
        <v>1304</v>
      </c>
      <c r="D2140" s="375" t="s">
        <v>7022</v>
      </c>
      <c r="E2140" s="375" t="s">
        <v>5807</v>
      </c>
      <c r="F2140" s="459">
        <f t="shared" si="977"/>
        <v>26.470000000000002</v>
      </c>
      <c r="G2140" s="535">
        <f t="shared" si="973"/>
        <v>26.470000000000002</v>
      </c>
      <c r="H2140" s="493">
        <f t="shared" si="974"/>
        <v>21.18</v>
      </c>
      <c r="I2140" s="711"/>
      <c r="J2140" s="669">
        <v>42830</v>
      </c>
      <c r="K2140" s="15"/>
      <c r="L2140"/>
      <c r="M2140" s="49">
        <f t="shared" si="975"/>
        <v>26.470000000000002</v>
      </c>
      <c r="N2140" s="41">
        <v>11.67</v>
      </c>
      <c r="O2140" s="391"/>
      <c r="P2140" s="392" t="s">
        <v>2828</v>
      </c>
      <c r="Q2140" s="392"/>
      <c r="R2140" s="392">
        <v>2016</v>
      </c>
      <c r="S2140" s="392"/>
      <c r="T2140" s="674">
        <v>2.8</v>
      </c>
      <c r="U2140" s="185" t="s">
        <v>1017</v>
      </c>
      <c r="V2140" s="421"/>
      <c r="W2140" s="422"/>
      <c r="X2140" s="422"/>
      <c r="Y2140" s="37"/>
      <c r="Z2140" s="421" t="s">
        <v>1017</v>
      </c>
      <c r="AA2140" s="422"/>
      <c r="AB2140" s="421"/>
      <c r="AC2140" s="421"/>
      <c r="AD2140" s="423"/>
      <c r="AE2140" s="181"/>
      <c r="AF2140" s="180"/>
      <c r="AG2140" s="201"/>
      <c r="AH2140" s="217" t="s">
        <v>4179</v>
      </c>
      <c r="AI2140" s="214" t="str">
        <f>IF(AND($AH2140&lt;&gt;"",AH2140 =AH2151),"Gleich","")</f>
        <v/>
      </c>
      <c r="AJ2140" s="214" t="str">
        <f>IF(AND($AH2140&lt;&gt;"",A2140 =A2151),"Gleich","")</f>
        <v/>
      </c>
      <c r="AK2140" s="214" t="str">
        <f>IF(AND($AH2140&lt;&gt;"",D2140 =D2151),"Gleich","")</f>
        <v/>
      </c>
      <c r="AL2140" s="214" t="str">
        <f>IF(AND($AH2140&lt;&gt;"",E2140 =E2151),"Gleich","")</f>
        <v/>
      </c>
      <c r="AM2140" s="214" t="str">
        <f>IF(AND($AH2140&lt;&gt;"",F2140 =F2151),"Gleich","")</f>
        <v/>
      </c>
      <c r="AN2140" s="213" t="str">
        <f t="shared" si="978"/>
        <v>2016</v>
      </c>
      <c r="AO2140" s="213" t="str">
        <f t="shared" si="979"/>
        <v>2016</v>
      </c>
      <c r="AP2140" s="213" t="str">
        <f t="shared" si="976"/>
        <v/>
      </c>
      <c r="AQ2140" s="215" t="str">
        <f t="shared" si="980"/>
        <v>DIFF</v>
      </c>
      <c r="AR2140" s="216" t="str">
        <f t="shared" si="981"/>
        <v>BiK81M1K12y-07</v>
      </c>
      <c r="AS2140" s="215" t="str">
        <f t="shared" si="982"/>
        <v>DIFF</v>
      </c>
      <c r="AT2140">
        <f t="shared" si="983"/>
        <v>14</v>
      </c>
      <c r="AU2140" s="216" t="str">
        <f t="shared" si="984"/>
        <v>0-0,15 MW, Bonusregeln M1, y und K erstmals 2012</v>
      </c>
      <c r="AV2140" s="215" t="str">
        <f t="shared" si="985"/>
        <v>DIFF</v>
      </c>
      <c r="AW2140" s="216" t="str">
        <f t="shared" si="986"/>
        <v>Anteil KWK, erstmals 2012</v>
      </c>
      <c r="AX2140" s="215" t="str">
        <f t="shared" si="987"/>
        <v>DIFF</v>
      </c>
      <c r="AY2140" t="str">
        <f t="shared" si="988"/>
        <v/>
      </c>
      <c r="AZ2140" t="str">
        <f t="shared" si="989"/>
        <v>x</v>
      </c>
    </row>
    <row r="2141" spans="1:52" s="768" customFormat="1" x14ac:dyDescent="0.25">
      <c r="A2141" s="615" t="s">
        <v>6350</v>
      </c>
      <c r="B2141" s="375" t="s">
        <v>5548</v>
      </c>
      <c r="C2141" s="375" t="s">
        <v>1304</v>
      </c>
      <c r="D2141" s="375" t="s">
        <v>7004</v>
      </c>
      <c r="E2141" s="375" t="s">
        <v>5807</v>
      </c>
      <c r="F2141" s="459">
        <f t="shared" si="977"/>
        <v>28.470000000000002</v>
      </c>
      <c r="G2141" s="535">
        <f t="shared" si="973"/>
        <v>28.470000000000002</v>
      </c>
      <c r="H2141" s="493">
        <f t="shared" si="974"/>
        <v>22.78</v>
      </c>
      <c r="I2141" s="711"/>
      <c r="J2141" s="669">
        <v>43222</v>
      </c>
      <c r="K2141" s="769"/>
      <c r="M2141" s="49">
        <f t="shared" si="975"/>
        <v>28.470000000000002</v>
      </c>
      <c r="N2141" s="41">
        <v>11.67</v>
      </c>
      <c r="O2141" s="391"/>
      <c r="P2141" s="392" t="s">
        <v>2828</v>
      </c>
      <c r="Q2141" s="392"/>
      <c r="R2141" s="392">
        <v>2016</v>
      </c>
      <c r="S2141" s="392"/>
      <c r="T2141" s="674">
        <v>2.8</v>
      </c>
      <c r="U2141" s="185" t="s">
        <v>1017</v>
      </c>
      <c r="V2141" s="184"/>
      <c r="W2141" s="180"/>
      <c r="X2141" s="180"/>
      <c r="Y2141" s="178"/>
      <c r="Z2141" s="184" t="s">
        <v>1017</v>
      </c>
      <c r="AA2141" s="180"/>
      <c r="AB2141" s="184"/>
      <c r="AC2141" s="184"/>
      <c r="AD2141" s="201"/>
      <c r="AE2141" s="181" t="s">
        <v>1017</v>
      </c>
      <c r="AF2141" s="180"/>
      <c r="AG2141" s="201"/>
      <c r="AH2141" s="773"/>
      <c r="AI2141" s="771"/>
      <c r="AJ2141" s="771"/>
      <c r="AK2141" s="771"/>
      <c r="AL2141" s="771"/>
      <c r="AM2141" s="771"/>
      <c r="AN2141" s="770"/>
      <c r="AO2141" s="770"/>
      <c r="AP2141" s="770"/>
      <c r="AQ2141" s="772"/>
      <c r="AR2141" s="216"/>
      <c r="AS2141" s="772"/>
      <c r="AU2141" s="216"/>
      <c r="AV2141" s="772"/>
      <c r="AW2141" s="216"/>
      <c r="AX2141" s="772"/>
    </row>
    <row r="2142" spans="1:52" s="178" customFormat="1" x14ac:dyDescent="0.25">
      <c r="A2142" s="615" t="s">
        <v>6163</v>
      </c>
      <c r="B2142" s="375" t="s">
        <v>5548</v>
      </c>
      <c r="C2142" s="375" t="s">
        <v>1304</v>
      </c>
      <c r="D2142" s="375" t="s">
        <v>7241</v>
      </c>
      <c r="E2142" s="375" t="s">
        <v>5807</v>
      </c>
      <c r="F2142" s="459">
        <f t="shared" si="977"/>
        <v>21.26</v>
      </c>
      <c r="G2142" s="535">
        <f t="shared" si="973"/>
        <v>21.26</v>
      </c>
      <c r="H2142" s="493">
        <f t="shared" si="974"/>
        <v>17.010000000000002</v>
      </c>
      <c r="I2142" s="711"/>
      <c r="J2142" s="669">
        <v>42830</v>
      </c>
      <c r="K2142" s="15"/>
      <c r="L2142"/>
      <c r="M2142" s="49">
        <f t="shared" si="975"/>
        <v>21.26</v>
      </c>
      <c r="N2142" s="41">
        <v>9.4600000000000009</v>
      </c>
      <c r="O2142" s="391"/>
      <c r="P2142" s="392" t="s">
        <v>2828</v>
      </c>
      <c r="Q2142" s="392"/>
      <c r="R2142" s="392">
        <v>2016</v>
      </c>
      <c r="S2142" s="392"/>
      <c r="T2142" s="674">
        <v>2.8</v>
      </c>
      <c r="U2142" s="185" t="s">
        <v>1017</v>
      </c>
      <c r="V2142" s="421"/>
      <c r="W2142" s="422"/>
      <c r="X2142" s="422"/>
      <c r="Y2142" s="37"/>
      <c r="Z2142" s="422"/>
      <c r="AA2142" s="421" t="s">
        <v>1017</v>
      </c>
      <c r="AB2142" s="421"/>
      <c r="AC2142" s="422"/>
      <c r="AD2142" s="425"/>
      <c r="AE2142" s="181"/>
      <c r="AF2142" s="180"/>
      <c r="AG2142" s="201"/>
      <c r="AH2142" s="217" t="s">
        <v>4179</v>
      </c>
      <c r="AI2142" s="214" t="str">
        <f>IF(AND($AH2142&lt;&gt;"",AH2142 =AH2151),"Gleich","")</f>
        <v/>
      </c>
      <c r="AJ2142" s="214" t="str">
        <f>IF(AND($AH2142&lt;&gt;"",A2142 =A2151),"Gleich","")</f>
        <v/>
      </c>
      <c r="AK2142" s="214" t="str">
        <f>IF(AND($AH2142&lt;&gt;"",D2142 =D2151),"Gleich","")</f>
        <v/>
      </c>
      <c r="AL2142" s="214" t="str">
        <f>IF(AND($AH2142&lt;&gt;"",E2142 =E2151),"Gleich","")</f>
        <v/>
      </c>
      <c r="AM2142" s="214" t="str">
        <f>IF(AND($AH2142&lt;&gt;"",F2142 =F2151),"Gleich","")</f>
        <v/>
      </c>
      <c r="AN2142" s="213" t="str">
        <f>IF(ISERROR(SEARCH("K1",A2142)),"","20"&amp;MID(A2142,SEARCH("K1",A2142)+1,2))</f>
        <v>2016</v>
      </c>
      <c r="AO2142" s="213" t="str">
        <f>IF(ISERROR(SEARCH("erstmals 201",E2142)),"",MID(E2142,SEARCH("erstmals ",E2142)+9,4))</f>
        <v>2016</v>
      </c>
      <c r="AP2142" s="213" t="str">
        <f>IF(R2142="x","2010",IF(S2142="x","2011",IF(T2142="x","2012","")))</f>
        <v/>
      </c>
      <c r="AQ2142" s="215" t="str">
        <f>IF(OR(AH2142&lt;&gt;AN2142,AH2142&lt;&gt;AO2142,AH2142&lt;&gt;AP2142),"DIFF","")</f>
        <v>DIFF</v>
      </c>
      <c r="AR2142" s="216" t="str">
        <f>IF(A2142="","",IF(ISERROR(SEARCH("K1",A2142)),A2142,LEFT(A2142,SEARCH("K1",A2142)+1)&amp;RIGHT(AH2142,1)&amp;MID(A2142,SEARCH("K1",A2142)+3,14)))</f>
        <v>BiK82M2K12y-07</v>
      </c>
      <c r="AS2142" s="215" t="str">
        <f>IF(OR(A2142&lt;&gt;AR2142),"DIFF","")</f>
        <v>DIFF</v>
      </c>
      <c r="AT2142">
        <f>LEN(AR2142)</f>
        <v>14</v>
      </c>
      <c r="AU2142" s="216" t="str">
        <f>IF(D2142="","",IF(OR(A2142="",ISERROR(SEARCH("erstmals 201",D2142))),D2142,LEFT(D2142,SEARCH("erstmals 201",D2142)+8) &amp; AH2142 &amp; MID(D2142,SEARCH("erstmals 201",D2142)+13,255)))</f>
        <v>0,15-0,5 MW, Bonusregeln M2, y und K erstmals 2012</v>
      </c>
      <c r="AV2142" s="215" t="str">
        <f>IF(OR(D2142&lt;&gt;AU2142),"DIFF","")</f>
        <v>DIFF</v>
      </c>
      <c r="AW2142" s="216" t="str">
        <f>IF(E2142="","",IF(OR(E2142="",ISERROR(SEARCH("erstmals 201",E2142))),E2142,LEFT(E2142,SEARCH("erstmals 201",E2142)+8) &amp; AH2142 &amp; MID(E2142,SEARCH("erstmals 201",E2142)+13,255)))</f>
        <v>Anteil KWK, erstmals 2012</v>
      </c>
      <c r="AX2142" s="215" t="str">
        <f>IF(OR(E2142&lt;&gt;AW2142),"DIFF","")</f>
        <v>DIFF</v>
      </c>
      <c r="AY2142" t="str">
        <f>IF(AH2142="2011","x",IF(AH2142="2012","","" &amp; S2142))</f>
        <v/>
      </c>
      <c r="AZ2142" t="str">
        <f>IF(AH2142="2012","x",IF(AH2142="2011","","" &amp; T2142))</f>
        <v>x</v>
      </c>
    </row>
    <row r="2143" spans="1:52" s="768" customFormat="1" x14ac:dyDescent="0.25">
      <c r="A2143" s="615" t="s">
        <v>6351</v>
      </c>
      <c r="B2143" s="375" t="s">
        <v>5548</v>
      </c>
      <c r="C2143" s="375" t="s">
        <v>1304</v>
      </c>
      <c r="D2143" s="375" t="s">
        <v>7223</v>
      </c>
      <c r="E2143" s="375" t="s">
        <v>5807</v>
      </c>
      <c r="F2143" s="459">
        <f t="shared" si="977"/>
        <v>23.26</v>
      </c>
      <c r="G2143" s="535">
        <f t="shared" si="973"/>
        <v>23.26</v>
      </c>
      <c r="H2143" s="493">
        <f t="shared" si="974"/>
        <v>18.61</v>
      </c>
      <c r="I2143" s="711"/>
      <c r="J2143" s="669">
        <v>43222</v>
      </c>
      <c r="K2143" s="769"/>
      <c r="M2143" s="49">
        <f t="shared" si="975"/>
        <v>23.26</v>
      </c>
      <c r="N2143" s="41">
        <v>9.4600000000000009</v>
      </c>
      <c r="O2143" s="391"/>
      <c r="P2143" s="392" t="s">
        <v>2828</v>
      </c>
      <c r="Q2143" s="392"/>
      <c r="R2143" s="392">
        <v>2016</v>
      </c>
      <c r="S2143" s="392"/>
      <c r="T2143" s="674">
        <v>2.8</v>
      </c>
      <c r="U2143" s="185" t="s">
        <v>1017</v>
      </c>
      <c r="V2143" s="184"/>
      <c r="W2143" s="180"/>
      <c r="X2143" s="180"/>
      <c r="Y2143" s="178"/>
      <c r="Z2143" s="180"/>
      <c r="AA2143" s="184" t="s">
        <v>1017</v>
      </c>
      <c r="AB2143" s="184"/>
      <c r="AC2143" s="180"/>
      <c r="AD2143" s="182"/>
      <c r="AE2143" s="181" t="s">
        <v>1017</v>
      </c>
      <c r="AF2143" s="180"/>
      <c r="AG2143" s="201"/>
      <c r="AH2143" s="773"/>
      <c r="AI2143" s="771"/>
      <c r="AJ2143" s="771"/>
      <c r="AK2143" s="771"/>
      <c r="AL2143" s="771"/>
      <c r="AM2143" s="771"/>
      <c r="AN2143" s="770"/>
      <c r="AO2143" s="770"/>
      <c r="AP2143" s="770"/>
      <c r="AQ2143" s="772"/>
      <c r="AR2143" s="216"/>
      <c r="AS2143" s="772"/>
      <c r="AU2143" s="216"/>
      <c r="AV2143" s="772"/>
      <c r="AW2143" s="216"/>
      <c r="AX2143" s="772"/>
    </row>
    <row r="2144" spans="1:52" s="768" customFormat="1" x14ac:dyDescent="0.25">
      <c r="A2144" s="615" t="s">
        <v>6352</v>
      </c>
      <c r="B2144" s="375" t="s">
        <v>5548</v>
      </c>
      <c r="C2144" s="375" t="s">
        <v>1304</v>
      </c>
      <c r="D2144" s="375" t="s">
        <v>7394</v>
      </c>
      <c r="E2144" s="375" t="s">
        <v>5807</v>
      </c>
      <c r="F2144" s="459">
        <f t="shared" si="977"/>
        <v>17.309999999999999</v>
      </c>
      <c r="G2144" s="535">
        <f t="shared" si="973"/>
        <v>17.309999999999999</v>
      </c>
      <c r="H2144" s="493">
        <f t="shared" si="974"/>
        <v>13.85</v>
      </c>
      <c r="I2144" s="711"/>
      <c r="J2144" s="669">
        <v>43222</v>
      </c>
      <c r="K2144" s="769"/>
      <c r="M2144" s="49">
        <f t="shared" si="975"/>
        <v>17.309999999999999</v>
      </c>
      <c r="N2144" s="41">
        <v>8.51</v>
      </c>
      <c r="O2144" s="391"/>
      <c r="P2144" s="392" t="s">
        <v>2828</v>
      </c>
      <c r="Q2144" s="392"/>
      <c r="R2144" s="392">
        <v>2016</v>
      </c>
      <c r="S2144" s="392"/>
      <c r="T2144" s="674">
        <v>2.8</v>
      </c>
      <c r="U2144" s="776"/>
      <c r="V2144" s="775"/>
      <c r="W2144" s="774" t="s">
        <v>1017</v>
      </c>
      <c r="X2144" s="774"/>
      <c r="Y2144" s="775"/>
      <c r="Z2144" s="775"/>
      <c r="AA2144" s="775"/>
      <c r="AB2144" s="775"/>
      <c r="AC2144" s="775"/>
      <c r="AD2144" s="777"/>
      <c r="AE2144" s="778" t="s">
        <v>1017</v>
      </c>
      <c r="AF2144" s="775"/>
      <c r="AG2144" s="777"/>
      <c r="AH2144" s="773"/>
      <c r="AI2144" s="771"/>
      <c r="AJ2144" s="771"/>
      <c r="AK2144" s="771"/>
      <c r="AL2144" s="771"/>
      <c r="AM2144" s="771"/>
      <c r="AN2144" s="770"/>
      <c r="AO2144" s="770"/>
      <c r="AP2144" s="770"/>
      <c r="AQ2144" s="772"/>
      <c r="AR2144" s="216"/>
      <c r="AS2144" s="772"/>
      <c r="AU2144" s="216"/>
      <c r="AV2144" s="772"/>
      <c r="AW2144" s="216"/>
      <c r="AX2144" s="772"/>
    </row>
    <row r="2145" spans="1:50" s="774" customFormat="1" x14ac:dyDescent="0.25">
      <c r="A2145" s="615" t="s">
        <v>7524</v>
      </c>
      <c r="B2145" s="375" t="s">
        <v>5548</v>
      </c>
      <c r="C2145" s="375" t="s">
        <v>1304</v>
      </c>
      <c r="D2145" s="375" t="s">
        <v>7511</v>
      </c>
      <c r="E2145" s="375" t="s">
        <v>6158</v>
      </c>
      <c r="F2145" s="459">
        <f t="shared" si="977"/>
        <v>15.44</v>
      </c>
      <c r="G2145" s="544">
        <f t="shared" si="973"/>
        <v>15.44</v>
      </c>
      <c r="H2145" s="500">
        <f t="shared" si="974"/>
        <v>12.35</v>
      </c>
      <c r="I2145" s="711"/>
      <c r="J2145" s="669">
        <v>44260</v>
      </c>
      <c r="K2145" s="769"/>
      <c r="M2145" s="49">
        <f t="shared" si="975"/>
        <v>15.44</v>
      </c>
      <c r="N2145" s="41">
        <v>11.67</v>
      </c>
      <c r="O2145" s="391"/>
      <c r="P2145" s="392" t="s">
        <v>2828</v>
      </c>
      <c r="Q2145" s="392"/>
      <c r="R2145" s="392">
        <v>2017</v>
      </c>
      <c r="S2145" s="392"/>
      <c r="T2145" s="674">
        <f>ROUND($Q$1741*0.99^($R2145-$Q$1738),2)</f>
        <v>2.77</v>
      </c>
      <c r="U2145" s="179" t="s">
        <v>1017</v>
      </c>
      <c r="W2145" s="422"/>
      <c r="X2145" s="422"/>
      <c r="Y2145" s="37"/>
      <c r="Z2145" s="37"/>
      <c r="AA2145" s="422"/>
      <c r="AB2145" s="37"/>
      <c r="AC2145" s="37"/>
      <c r="AD2145" s="423"/>
      <c r="AE2145" s="200"/>
      <c r="AF2145" s="180"/>
      <c r="AG2145" s="201"/>
      <c r="AH2145" s="773"/>
      <c r="AI2145" s="771"/>
      <c r="AJ2145" s="771"/>
      <c r="AK2145" s="771"/>
      <c r="AL2145" s="771"/>
      <c r="AM2145" s="771"/>
      <c r="AN2145" s="770"/>
      <c r="AO2145" s="770"/>
      <c r="AP2145" s="770"/>
      <c r="AQ2145" s="772"/>
      <c r="AR2145" s="216"/>
      <c r="AS2145" s="772"/>
      <c r="AU2145" s="216"/>
      <c r="AV2145" s="772"/>
      <c r="AW2145" s="216"/>
      <c r="AX2145" s="772"/>
    </row>
    <row r="2146" spans="1:50" x14ac:dyDescent="0.25">
      <c r="A2146" s="615" t="s">
        <v>6157</v>
      </c>
      <c r="B2146" s="375" t="s">
        <v>5548</v>
      </c>
      <c r="C2146" s="375" t="s">
        <v>1304</v>
      </c>
      <c r="D2146" s="375" t="s">
        <v>7023</v>
      </c>
      <c r="E2146" s="375" t="s">
        <v>6158</v>
      </c>
      <c r="F2146" s="459">
        <f t="shared" si="977"/>
        <v>20.440000000000001</v>
      </c>
      <c r="G2146" s="544">
        <f t="shared" si="973"/>
        <v>20.440000000000001</v>
      </c>
      <c r="H2146" s="500">
        <f t="shared" si="974"/>
        <v>16.350000000000001</v>
      </c>
      <c r="I2146" s="711"/>
      <c r="J2146" s="669">
        <v>42802</v>
      </c>
      <c r="K2146" s="15"/>
      <c r="M2146" s="49">
        <f t="shared" si="975"/>
        <v>20.440000000000001</v>
      </c>
      <c r="N2146" s="41">
        <v>11.67</v>
      </c>
      <c r="O2146" s="391"/>
      <c r="P2146" s="392" t="s">
        <v>2828</v>
      </c>
      <c r="Q2146" s="392"/>
      <c r="R2146" s="392">
        <v>2017</v>
      </c>
      <c r="S2146" s="392"/>
      <c r="T2146" s="674">
        <f>ROUND($Q$1741*0.99^($R$2146-$Q$1738),2)</f>
        <v>2.77</v>
      </c>
      <c r="U2146" s="179"/>
      <c r="V2146" t="s">
        <v>1017</v>
      </c>
      <c r="W2146" s="422"/>
      <c r="X2146" s="422"/>
      <c r="Y2146" s="37"/>
      <c r="Z2146" s="37"/>
      <c r="AA2146" s="422"/>
      <c r="AB2146" s="37"/>
      <c r="AC2146" s="37"/>
      <c r="AD2146" s="423"/>
      <c r="AE2146" s="200"/>
      <c r="AF2146" s="180"/>
      <c r="AG2146" s="201"/>
      <c r="AH2146" s="217"/>
      <c r="AI2146" s="214"/>
      <c r="AJ2146" s="214"/>
      <c r="AK2146" s="214"/>
      <c r="AL2146" s="214"/>
      <c r="AM2146" s="214"/>
      <c r="AN2146" s="213"/>
      <c r="AO2146" s="213"/>
      <c r="AP2146" s="213"/>
      <c r="AQ2146" s="215"/>
      <c r="AR2146" s="216"/>
      <c r="AS2146" s="215"/>
      <c r="AU2146" s="216"/>
      <c r="AV2146" s="215"/>
      <c r="AW2146" s="216"/>
      <c r="AX2146" s="215"/>
    </row>
    <row r="2147" spans="1:50" x14ac:dyDescent="0.25">
      <c r="A2147" s="615" t="s">
        <v>6347</v>
      </c>
      <c r="B2147" s="375" t="s">
        <v>5548</v>
      </c>
      <c r="C2147" s="375" t="s">
        <v>1304</v>
      </c>
      <c r="D2147" s="375" t="s">
        <v>6864</v>
      </c>
      <c r="E2147" s="375" t="s">
        <v>6158</v>
      </c>
      <c r="F2147" s="459">
        <f t="shared" si="977"/>
        <v>25.44</v>
      </c>
      <c r="G2147" s="544">
        <f t="shared" si="973"/>
        <v>25.44</v>
      </c>
      <c r="H2147" s="764">
        <f t="shared" si="974"/>
        <v>20.350000000000001</v>
      </c>
      <c r="I2147" s="711"/>
      <c r="J2147" s="669">
        <v>43222</v>
      </c>
      <c r="K2147" s="15"/>
      <c r="M2147" s="387">
        <f t="shared" si="975"/>
        <v>25.44</v>
      </c>
      <c r="N2147" s="41">
        <v>11.67</v>
      </c>
      <c r="O2147" s="391"/>
      <c r="P2147" s="392" t="s">
        <v>2828</v>
      </c>
      <c r="Q2147" s="392"/>
      <c r="R2147" s="392">
        <v>2017</v>
      </c>
      <c r="S2147" s="392"/>
      <c r="T2147" s="674">
        <f>ROUND($Q$1741*0.99^($R$2153-$Q$1738),2)</f>
        <v>2.77</v>
      </c>
      <c r="U2147" s="179"/>
      <c r="W2147" s="422"/>
      <c r="X2147" s="422"/>
      <c r="Y2147" s="37"/>
      <c r="Z2147" s="37" t="s">
        <v>1017</v>
      </c>
      <c r="AA2147" s="422"/>
      <c r="AB2147" s="37"/>
      <c r="AC2147" s="37"/>
      <c r="AD2147" s="423"/>
      <c r="AE2147" s="200"/>
      <c r="AF2147" s="180"/>
      <c r="AG2147" s="201"/>
      <c r="AH2147" s="217"/>
      <c r="AI2147" s="214"/>
      <c r="AJ2147" s="214"/>
      <c r="AK2147" s="214"/>
      <c r="AL2147" s="214"/>
      <c r="AM2147" s="214"/>
      <c r="AN2147" s="213"/>
      <c r="AO2147" s="213"/>
      <c r="AP2147" s="213"/>
      <c r="AQ2147" s="215"/>
      <c r="AR2147" s="216"/>
      <c r="AS2147" s="215"/>
      <c r="AU2147" s="216"/>
      <c r="AV2147" s="215"/>
      <c r="AW2147" s="216"/>
      <c r="AX2147" s="215"/>
    </row>
    <row r="2148" spans="1:50" x14ac:dyDescent="0.25">
      <c r="A2148" s="615" t="s">
        <v>6337</v>
      </c>
      <c r="B2148" s="375" t="s">
        <v>5548</v>
      </c>
      <c r="C2148" s="375" t="s">
        <v>1304</v>
      </c>
      <c r="D2148" s="375" t="s">
        <v>6867</v>
      </c>
      <c r="E2148" s="375" t="s">
        <v>6158</v>
      </c>
      <c r="F2148" s="459">
        <f t="shared" si="977"/>
        <v>26.44</v>
      </c>
      <c r="G2148" s="544">
        <f t="shared" si="973"/>
        <v>26.44</v>
      </c>
      <c r="H2148" s="500">
        <f t="shared" si="974"/>
        <v>21.15</v>
      </c>
      <c r="I2148" s="711"/>
      <c r="J2148" s="669">
        <v>43222</v>
      </c>
      <c r="K2148" s="15"/>
      <c r="M2148" s="49">
        <f t="shared" si="975"/>
        <v>26.44</v>
      </c>
      <c r="N2148" s="41">
        <v>11.67</v>
      </c>
      <c r="O2148" s="391"/>
      <c r="P2148" s="392" t="s">
        <v>2828</v>
      </c>
      <c r="Q2148" s="392"/>
      <c r="R2148" s="392">
        <v>2017</v>
      </c>
      <c r="S2148" s="392"/>
      <c r="T2148" s="674">
        <f>ROUND($Q$1741*0.99^($R$2148-$Q$1738),2)</f>
        <v>2.77</v>
      </c>
      <c r="U2148" s="179" t="s">
        <v>1017</v>
      </c>
      <c r="W2148" s="422"/>
      <c r="X2148" s="422"/>
      <c r="Y2148" s="37"/>
      <c r="Z2148" s="37" t="s">
        <v>1017</v>
      </c>
      <c r="AA2148" s="422"/>
      <c r="AB2148" s="37"/>
      <c r="AC2148" s="37"/>
      <c r="AD2148" s="423"/>
      <c r="AE2148" s="200"/>
      <c r="AF2148" s="180"/>
      <c r="AG2148" s="201"/>
      <c r="AH2148" s="217"/>
      <c r="AI2148" s="214"/>
      <c r="AJ2148" s="214"/>
      <c r="AK2148" s="214"/>
      <c r="AL2148" s="214"/>
      <c r="AM2148" s="214"/>
      <c r="AN2148" s="213"/>
      <c r="AO2148" s="213"/>
      <c r="AP2148" s="213"/>
      <c r="AQ2148" s="215"/>
      <c r="AR2148" s="216"/>
      <c r="AS2148" s="215"/>
      <c r="AU2148" s="216"/>
      <c r="AV2148" s="215"/>
      <c r="AW2148" s="216"/>
      <c r="AX2148" s="215"/>
    </row>
    <row r="2149" spans="1:50" x14ac:dyDescent="0.25">
      <c r="A2149" s="615" t="s">
        <v>6348</v>
      </c>
      <c r="B2149" s="375" t="s">
        <v>5548</v>
      </c>
      <c r="C2149" s="375" t="s">
        <v>1304</v>
      </c>
      <c r="D2149" s="375" t="s">
        <v>7024</v>
      </c>
      <c r="E2149" s="375" t="s">
        <v>6158</v>
      </c>
      <c r="F2149" s="459">
        <f t="shared" si="977"/>
        <v>23.44</v>
      </c>
      <c r="G2149" s="544">
        <f t="shared" si="973"/>
        <v>23.44</v>
      </c>
      <c r="H2149" s="500">
        <f t="shared" si="974"/>
        <v>18.75</v>
      </c>
      <c r="I2149" s="711"/>
      <c r="J2149" s="669">
        <v>43222</v>
      </c>
      <c r="K2149" s="15"/>
      <c r="M2149" s="49">
        <f t="shared" si="975"/>
        <v>23.44</v>
      </c>
      <c r="N2149" s="41">
        <v>11.67</v>
      </c>
      <c r="O2149" s="391"/>
      <c r="P2149" s="392" t="s">
        <v>2828</v>
      </c>
      <c r="Q2149" s="392"/>
      <c r="R2149" s="392">
        <v>2017</v>
      </c>
      <c r="S2149" s="392"/>
      <c r="T2149" s="674">
        <f>ROUND($Q$1741*0.99^($R$2146-$Q$1738),2)</f>
        <v>2.77</v>
      </c>
      <c r="U2149" s="179"/>
      <c r="V2149" s="178"/>
      <c r="W2149" s="180"/>
      <c r="X2149" s="180"/>
      <c r="Y2149" s="178" t="s">
        <v>1017</v>
      </c>
      <c r="Z2149" s="178"/>
      <c r="AA2149" s="180"/>
      <c r="AB2149" s="178"/>
      <c r="AC2149" s="178"/>
      <c r="AD2149" s="201"/>
      <c r="AE2149" s="200" t="s">
        <v>1017</v>
      </c>
      <c r="AF2149" s="180"/>
      <c r="AG2149" s="201"/>
      <c r="AH2149" s="217"/>
      <c r="AI2149" s="214"/>
      <c r="AJ2149" s="214"/>
      <c r="AK2149" s="214"/>
      <c r="AL2149" s="214"/>
      <c r="AM2149" s="214"/>
      <c r="AN2149" s="213"/>
      <c r="AO2149" s="213"/>
      <c r="AP2149" s="213"/>
      <c r="AQ2149" s="215"/>
      <c r="AR2149" s="216"/>
      <c r="AS2149" s="215"/>
      <c r="AU2149" s="216"/>
      <c r="AV2149" s="215"/>
      <c r="AW2149" s="216"/>
      <c r="AX2149" s="215"/>
    </row>
    <row r="2150" spans="1:50" s="774" customFormat="1" x14ac:dyDescent="0.25">
      <c r="A2150" s="615" t="s">
        <v>7525</v>
      </c>
      <c r="B2150" s="375" t="s">
        <v>5548</v>
      </c>
      <c r="C2150" s="375" t="s">
        <v>1304</v>
      </c>
      <c r="D2150" s="375" t="s">
        <v>7517</v>
      </c>
      <c r="E2150" s="375" t="s">
        <v>6158</v>
      </c>
      <c r="F2150" s="459">
        <f t="shared" si="977"/>
        <v>13.23</v>
      </c>
      <c r="G2150" s="544">
        <f t="shared" si="973"/>
        <v>13.23</v>
      </c>
      <c r="H2150" s="500">
        <f t="shared" si="974"/>
        <v>10.58</v>
      </c>
      <c r="I2150" s="711"/>
      <c r="J2150" s="669">
        <v>44260</v>
      </c>
      <c r="K2150" s="769"/>
      <c r="M2150" s="49">
        <f t="shared" si="975"/>
        <v>13.23</v>
      </c>
      <c r="N2150" s="41">
        <v>9.4600000000000009</v>
      </c>
      <c r="O2150" s="391"/>
      <c r="P2150" s="392" t="s">
        <v>2828</v>
      </c>
      <c r="Q2150" s="392"/>
      <c r="R2150" s="392">
        <v>2017</v>
      </c>
      <c r="S2150" s="392"/>
      <c r="T2150" s="674">
        <f>ROUND($Q$1741*0.99^($R2150-$Q$1738),2)</f>
        <v>2.77</v>
      </c>
      <c r="U2150" s="179" t="s">
        <v>1017</v>
      </c>
      <c r="W2150" s="422"/>
      <c r="X2150" s="422"/>
      <c r="Y2150" s="37"/>
      <c r="Z2150" s="422"/>
      <c r="AA2150" s="425"/>
      <c r="AB2150" s="37"/>
      <c r="AC2150" s="422"/>
      <c r="AD2150" s="425"/>
      <c r="AE2150" s="200"/>
      <c r="AF2150" s="180"/>
      <c r="AG2150" s="201"/>
      <c r="AH2150" s="773"/>
      <c r="AI2150" s="771"/>
      <c r="AJ2150" s="771"/>
      <c r="AK2150" s="771"/>
      <c r="AL2150" s="771"/>
      <c r="AM2150" s="771"/>
      <c r="AN2150" s="770"/>
      <c r="AO2150" s="770"/>
      <c r="AP2150" s="770"/>
      <c r="AQ2150" s="772"/>
      <c r="AR2150" s="216"/>
      <c r="AS2150" s="772"/>
      <c r="AU2150" s="216"/>
      <c r="AV2150" s="772"/>
      <c r="AW2150" s="216"/>
      <c r="AX2150" s="772"/>
    </row>
    <row r="2151" spans="1:50" x14ac:dyDescent="0.25">
      <c r="A2151" s="615" t="s">
        <v>6159</v>
      </c>
      <c r="B2151" s="375" t="s">
        <v>5548</v>
      </c>
      <c r="C2151" s="375" t="s">
        <v>1304</v>
      </c>
      <c r="D2151" s="375" t="s">
        <v>7242</v>
      </c>
      <c r="E2151" s="375" t="s">
        <v>6158</v>
      </c>
      <c r="F2151" s="459">
        <f t="shared" si="977"/>
        <v>18.23</v>
      </c>
      <c r="G2151" s="544">
        <f t="shared" si="973"/>
        <v>18.23</v>
      </c>
      <c r="H2151" s="500">
        <f t="shared" si="974"/>
        <v>14.58</v>
      </c>
      <c r="I2151" s="711"/>
      <c r="J2151" s="669">
        <v>42802</v>
      </c>
      <c r="K2151" s="15"/>
      <c r="M2151" s="49">
        <f t="shared" si="975"/>
        <v>18.23</v>
      </c>
      <c r="N2151" s="41">
        <v>9.4600000000000009</v>
      </c>
      <c r="O2151" s="391"/>
      <c r="P2151" s="392" t="s">
        <v>2828</v>
      </c>
      <c r="Q2151" s="392"/>
      <c r="R2151" s="392">
        <v>2017</v>
      </c>
      <c r="S2151" s="392"/>
      <c r="T2151" s="674">
        <f>ROUND($Q$1741*0.99^($R$2151-$Q$1738),2)</f>
        <v>2.77</v>
      </c>
      <c r="U2151" s="179"/>
      <c r="V2151" t="s">
        <v>1017</v>
      </c>
      <c r="W2151" s="422"/>
      <c r="X2151" s="422"/>
      <c r="Y2151" s="37"/>
      <c r="Z2151" s="422"/>
      <c r="AA2151" s="425"/>
      <c r="AB2151" s="37"/>
      <c r="AC2151" s="422"/>
      <c r="AD2151" s="425"/>
      <c r="AE2151" s="200"/>
      <c r="AF2151" s="180"/>
      <c r="AG2151" s="201"/>
      <c r="AH2151" s="217"/>
      <c r="AI2151" s="214"/>
      <c r="AJ2151" s="214"/>
      <c r="AK2151" s="214"/>
      <c r="AL2151" s="214"/>
      <c r="AM2151" s="214"/>
      <c r="AN2151" s="213"/>
      <c r="AO2151" s="213"/>
      <c r="AP2151" s="213"/>
      <c r="AQ2151" s="215"/>
      <c r="AR2151" s="216"/>
      <c r="AS2151" s="215"/>
      <c r="AU2151" s="216"/>
      <c r="AV2151" s="215"/>
      <c r="AW2151" s="216"/>
      <c r="AX2151" s="215"/>
    </row>
    <row r="2152" spans="1:50" x14ac:dyDescent="0.25">
      <c r="A2152" s="615" t="s">
        <v>6346</v>
      </c>
      <c r="B2152" s="375" t="s">
        <v>5548</v>
      </c>
      <c r="C2152" s="375" t="s">
        <v>1304</v>
      </c>
      <c r="D2152" s="375" t="s">
        <v>7243</v>
      </c>
      <c r="E2152" s="375" t="s">
        <v>6158</v>
      </c>
      <c r="F2152" s="459">
        <f t="shared" si="977"/>
        <v>20.23</v>
      </c>
      <c r="G2152" s="544">
        <f t="shared" si="973"/>
        <v>20.23</v>
      </c>
      <c r="H2152" s="764">
        <f t="shared" si="974"/>
        <v>16.18</v>
      </c>
      <c r="I2152" s="711"/>
      <c r="J2152" s="669">
        <v>43222</v>
      </c>
      <c r="K2152" s="15"/>
      <c r="M2152" s="387">
        <f t="shared" si="975"/>
        <v>20.23</v>
      </c>
      <c r="N2152" s="41">
        <v>9.4600000000000009</v>
      </c>
      <c r="O2152" s="391"/>
      <c r="P2152" s="392" t="s">
        <v>2828</v>
      </c>
      <c r="Q2152" s="392"/>
      <c r="R2152" s="392">
        <v>2017</v>
      </c>
      <c r="S2152" s="392"/>
      <c r="T2152" s="674">
        <f>ROUND($Q$1741*0.99^($R$2153-$Q$1738),2)</f>
        <v>2.77</v>
      </c>
      <c r="U2152" s="179"/>
      <c r="W2152" s="422"/>
      <c r="X2152" s="422"/>
      <c r="Y2152" s="37"/>
      <c r="Z2152" s="762"/>
      <c r="AA2152" s="421" t="s">
        <v>1017</v>
      </c>
      <c r="AB2152" s="37"/>
      <c r="AC2152" s="762"/>
      <c r="AD2152" s="425"/>
      <c r="AE2152" s="200"/>
      <c r="AF2152" s="180"/>
      <c r="AG2152" s="201"/>
      <c r="AH2152" s="217"/>
      <c r="AI2152" s="214"/>
      <c r="AJ2152" s="214"/>
      <c r="AK2152" s="214"/>
      <c r="AL2152" s="214"/>
      <c r="AM2152" s="214"/>
      <c r="AN2152" s="213"/>
      <c r="AO2152" s="213"/>
      <c r="AP2152" s="213"/>
      <c r="AQ2152" s="215"/>
      <c r="AR2152" s="216"/>
      <c r="AS2152" s="215"/>
      <c r="AU2152" s="216"/>
      <c r="AV2152" s="215"/>
      <c r="AW2152" s="216"/>
      <c r="AX2152" s="215"/>
    </row>
    <row r="2153" spans="1:50" x14ac:dyDescent="0.25">
      <c r="A2153" s="615" t="s">
        <v>6339</v>
      </c>
      <c r="B2153" s="375" t="s">
        <v>5548</v>
      </c>
      <c r="C2153" s="375" t="s">
        <v>1304</v>
      </c>
      <c r="D2153" s="375" t="s">
        <v>7090</v>
      </c>
      <c r="E2153" s="375" t="s">
        <v>6158</v>
      </c>
      <c r="F2153" s="459">
        <f t="shared" si="977"/>
        <v>21.23</v>
      </c>
      <c r="G2153" s="544">
        <f t="shared" si="973"/>
        <v>21.23</v>
      </c>
      <c r="H2153" s="500">
        <f t="shared" si="974"/>
        <v>16.98</v>
      </c>
      <c r="I2153" s="711"/>
      <c r="J2153" s="669">
        <v>43222</v>
      </c>
      <c r="K2153" s="15"/>
      <c r="M2153" s="49">
        <f t="shared" si="975"/>
        <v>21.23</v>
      </c>
      <c r="N2153" s="41">
        <v>9.4600000000000009</v>
      </c>
      <c r="O2153" s="391"/>
      <c r="P2153" s="392" t="s">
        <v>2828</v>
      </c>
      <c r="Q2153" s="392"/>
      <c r="R2153" s="392">
        <v>2017</v>
      </c>
      <c r="S2153" s="392"/>
      <c r="T2153" s="674">
        <f>ROUND($Q$1741*0.99^($R$2153-$Q$1738),2)</f>
        <v>2.77</v>
      </c>
      <c r="U2153" s="179" t="s">
        <v>1017</v>
      </c>
      <c r="W2153" s="422"/>
      <c r="X2153" s="422"/>
      <c r="Y2153" s="37"/>
      <c r="Z2153" s="762"/>
      <c r="AA2153" s="421" t="s">
        <v>1017</v>
      </c>
      <c r="AB2153" s="37"/>
      <c r="AC2153" s="762"/>
      <c r="AD2153" s="425"/>
      <c r="AE2153" s="200"/>
      <c r="AF2153" s="180"/>
      <c r="AG2153" s="201"/>
      <c r="AH2153" s="217"/>
      <c r="AI2153" s="214"/>
      <c r="AJ2153" s="214"/>
      <c r="AK2153" s="214"/>
      <c r="AL2153" s="214"/>
      <c r="AM2153" s="214"/>
      <c r="AN2153" s="213"/>
      <c r="AO2153" s="213"/>
      <c r="AP2153" s="213"/>
      <c r="AQ2153" s="215"/>
      <c r="AR2153" s="216"/>
      <c r="AS2153" s="215"/>
      <c r="AU2153" s="216"/>
      <c r="AV2153" s="215"/>
      <c r="AW2153" s="216"/>
      <c r="AX2153" s="215"/>
    </row>
    <row r="2154" spans="1:50" x14ac:dyDescent="0.25">
      <c r="A2154" s="615" t="s">
        <v>6338</v>
      </c>
      <c r="B2154" s="375" t="s">
        <v>5548</v>
      </c>
      <c r="C2154" s="375" t="s">
        <v>1304</v>
      </c>
      <c r="D2154" s="375" t="s">
        <v>6808</v>
      </c>
      <c r="E2154" s="375" t="s">
        <v>6158</v>
      </c>
      <c r="F2154" s="459">
        <f t="shared" si="977"/>
        <v>15.28</v>
      </c>
      <c r="G2154" s="544">
        <f t="shared" si="973"/>
        <v>15.28</v>
      </c>
      <c r="H2154" s="500">
        <f t="shared" si="974"/>
        <v>12.22</v>
      </c>
      <c r="I2154" s="711"/>
      <c r="J2154" s="669">
        <v>43222</v>
      </c>
      <c r="K2154" s="15"/>
      <c r="M2154" s="49">
        <f t="shared" si="975"/>
        <v>15.28</v>
      </c>
      <c r="N2154" s="41">
        <v>8.51</v>
      </c>
      <c r="O2154" s="391"/>
      <c r="P2154" s="392" t="s">
        <v>2828</v>
      </c>
      <c r="Q2154" s="392"/>
      <c r="R2154" s="392">
        <v>2017</v>
      </c>
      <c r="S2154" s="392"/>
      <c r="T2154" s="674">
        <f t="shared" ref="T2154:T2164" si="990">ROUND($Q$1741*0.99^($R2154-$Q$1738),2)</f>
        <v>2.77</v>
      </c>
      <c r="U2154" s="761"/>
      <c r="V2154" s="685"/>
      <c r="W2154" s="421" t="s">
        <v>1017</v>
      </c>
      <c r="X2154" s="421"/>
      <c r="Y2154" s="762"/>
      <c r="Z2154" s="762"/>
      <c r="AA2154" s="762"/>
      <c r="AB2154" s="762"/>
      <c r="AC2154" s="762"/>
      <c r="AD2154" s="763"/>
      <c r="AE2154" s="200"/>
      <c r="AF2154" s="180"/>
      <c r="AG2154" s="201"/>
      <c r="AH2154" s="217"/>
      <c r="AI2154" s="214"/>
      <c r="AJ2154" s="214"/>
      <c r="AK2154" s="214"/>
      <c r="AL2154" s="214"/>
      <c r="AM2154" s="214"/>
      <c r="AN2154" s="213"/>
      <c r="AO2154" s="213"/>
      <c r="AP2154" s="213"/>
      <c r="AQ2154" s="215"/>
      <c r="AR2154" s="216"/>
      <c r="AS2154" s="215"/>
      <c r="AU2154" s="216"/>
      <c r="AV2154" s="215"/>
      <c r="AW2154" s="216"/>
      <c r="AX2154" s="215"/>
    </row>
    <row r="2155" spans="1:50" s="774" customFormat="1" x14ac:dyDescent="0.25">
      <c r="A2155" s="615" t="s">
        <v>6468</v>
      </c>
      <c r="B2155" s="375" t="s">
        <v>5548</v>
      </c>
      <c r="C2155" s="375" t="s">
        <v>1304</v>
      </c>
      <c r="D2155" s="375" t="s">
        <v>7025</v>
      </c>
      <c r="E2155" s="375" t="s">
        <v>6469</v>
      </c>
      <c r="F2155" s="459">
        <f t="shared" si="977"/>
        <v>22.410000000000004</v>
      </c>
      <c r="G2155" s="544">
        <f t="shared" si="973"/>
        <v>22.410000000000004</v>
      </c>
      <c r="H2155" s="764">
        <f t="shared" si="974"/>
        <v>17.93</v>
      </c>
      <c r="I2155" s="711"/>
      <c r="J2155" s="669">
        <v>43404</v>
      </c>
      <c r="K2155" s="769"/>
      <c r="M2155" s="387">
        <f t="shared" si="975"/>
        <v>22.410000000000004</v>
      </c>
      <c r="N2155" s="41">
        <v>11.67</v>
      </c>
      <c r="O2155" s="391"/>
      <c r="P2155" s="392" t="s">
        <v>2828</v>
      </c>
      <c r="Q2155" s="392"/>
      <c r="R2155" s="392">
        <v>2018</v>
      </c>
      <c r="S2155" s="392"/>
      <c r="T2155" s="674">
        <f t="shared" si="990"/>
        <v>2.74</v>
      </c>
      <c r="U2155" s="765"/>
      <c r="V2155" s="774" t="s">
        <v>1017</v>
      </c>
      <c r="W2155" s="775"/>
      <c r="X2155" s="775"/>
      <c r="Z2155" s="184"/>
      <c r="AA2155" s="180"/>
      <c r="AB2155" s="184"/>
      <c r="AC2155" s="184"/>
      <c r="AD2155" s="201"/>
      <c r="AE2155" s="778" t="s">
        <v>1017</v>
      </c>
      <c r="AF2155" s="775"/>
      <c r="AG2155" s="777"/>
      <c r="AH2155" s="773"/>
      <c r="AI2155" s="771"/>
      <c r="AJ2155" s="771"/>
      <c r="AK2155" s="771"/>
      <c r="AL2155" s="771"/>
      <c r="AM2155" s="771"/>
      <c r="AN2155" s="770"/>
      <c r="AO2155" s="770"/>
      <c r="AP2155" s="770"/>
      <c r="AQ2155" s="772"/>
      <c r="AR2155" s="216"/>
      <c r="AS2155" s="772"/>
      <c r="AU2155" s="216"/>
      <c r="AV2155" s="772"/>
      <c r="AW2155" s="216"/>
      <c r="AX2155" s="772"/>
    </row>
    <row r="2156" spans="1:50" s="774" customFormat="1" x14ac:dyDescent="0.25">
      <c r="A2156" s="615" t="s">
        <v>6470</v>
      </c>
      <c r="B2156" s="375" t="s">
        <v>5548</v>
      </c>
      <c r="C2156" s="375" t="s">
        <v>1304</v>
      </c>
      <c r="D2156" s="375" t="s">
        <v>7244</v>
      </c>
      <c r="E2156" s="375" t="s">
        <v>6469</v>
      </c>
      <c r="F2156" s="459">
        <f t="shared" si="977"/>
        <v>20.200000000000003</v>
      </c>
      <c r="G2156" s="544">
        <f t="shared" si="973"/>
        <v>20.200000000000003</v>
      </c>
      <c r="H2156" s="764">
        <f t="shared" si="974"/>
        <v>16.16</v>
      </c>
      <c r="I2156" s="711"/>
      <c r="J2156" s="669">
        <v>43404</v>
      </c>
      <c r="K2156" s="769"/>
      <c r="M2156" s="387">
        <f t="shared" si="975"/>
        <v>20.200000000000003</v>
      </c>
      <c r="N2156" s="41">
        <v>9.4600000000000009</v>
      </c>
      <c r="O2156" s="391"/>
      <c r="P2156" s="392" t="s">
        <v>2828</v>
      </c>
      <c r="Q2156" s="392"/>
      <c r="R2156" s="392">
        <v>2018</v>
      </c>
      <c r="S2156" s="392"/>
      <c r="T2156" s="674">
        <f t="shared" si="990"/>
        <v>2.74</v>
      </c>
      <c r="U2156" s="765"/>
      <c r="V2156" s="774" t="s">
        <v>1017</v>
      </c>
      <c r="W2156" s="775"/>
      <c r="X2156" s="775"/>
      <c r="Z2156" s="180"/>
      <c r="AA2156" s="184"/>
      <c r="AB2156" s="184"/>
      <c r="AC2156" s="180"/>
      <c r="AD2156" s="182"/>
      <c r="AE2156" s="778" t="s">
        <v>1017</v>
      </c>
      <c r="AF2156" s="775"/>
      <c r="AG2156" s="777"/>
      <c r="AH2156" s="773"/>
      <c r="AI2156" s="771"/>
      <c r="AJ2156" s="771"/>
      <c r="AK2156" s="771"/>
      <c r="AL2156" s="771"/>
      <c r="AM2156" s="771"/>
      <c r="AN2156" s="770"/>
      <c r="AO2156" s="770"/>
      <c r="AP2156" s="770"/>
      <c r="AQ2156" s="772"/>
      <c r="AR2156" s="216"/>
      <c r="AS2156" s="772"/>
      <c r="AU2156" s="216"/>
      <c r="AV2156" s="772"/>
      <c r="AW2156" s="216"/>
      <c r="AX2156" s="772"/>
    </row>
    <row r="2157" spans="1:50" s="774" customFormat="1" x14ac:dyDescent="0.25">
      <c r="A2157" s="615" t="s">
        <v>6602</v>
      </c>
      <c r="B2157" s="375" t="s">
        <v>5548</v>
      </c>
      <c r="C2157" s="375" t="s">
        <v>1304</v>
      </c>
      <c r="D2157" s="375" t="s">
        <v>7026</v>
      </c>
      <c r="E2157" s="375" t="s">
        <v>6603</v>
      </c>
      <c r="F2157" s="459">
        <f t="shared" si="977"/>
        <v>24.380000000000003</v>
      </c>
      <c r="G2157" s="544">
        <f t="shared" si="973"/>
        <v>24.380000000000003</v>
      </c>
      <c r="H2157" s="764">
        <f t="shared" si="974"/>
        <v>19.5</v>
      </c>
      <c r="I2157" s="711"/>
      <c r="J2157" s="669">
        <v>43873</v>
      </c>
      <c r="K2157" s="769"/>
      <c r="M2157" s="387">
        <f t="shared" si="975"/>
        <v>24.380000000000003</v>
      </c>
      <c r="N2157" s="41">
        <v>11.67</v>
      </c>
      <c r="O2157" s="391"/>
      <c r="P2157" s="392" t="s">
        <v>2828</v>
      </c>
      <c r="Q2157" s="392"/>
      <c r="R2157" s="392">
        <v>2019</v>
      </c>
      <c r="S2157" s="392"/>
      <c r="T2157" s="674">
        <f t="shared" si="990"/>
        <v>2.71</v>
      </c>
      <c r="U2157" s="185" t="s">
        <v>1017</v>
      </c>
      <c r="V2157" s="184"/>
      <c r="W2157" s="180"/>
      <c r="X2157" s="180"/>
      <c r="Y2157" s="184" t="s">
        <v>1017</v>
      </c>
      <c r="Z2157" s="184"/>
      <c r="AA2157" s="180"/>
      <c r="AB2157" s="184"/>
      <c r="AC2157" s="184"/>
      <c r="AD2157" s="201"/>
      <c r="AE2157" s="181" t="s">
        <v>1017</v>
      </c>
      <c r="AF2157" s="180"/>
      <c r="AG2157" s="201"/>
      <c r="AH2157" s="773"/>
      <c r="AI2157" s="771"/>
      <c r="AJ2157" s="771"/>
      <c r="AK2157" s="771"/>
      <c r="AL2157" s="771"/>
      <c r="AM2157" s="771"/>
      <c r="AN2157" s="770"/>
      <c r="AO2157" s="770"/>
      <c r="AP2157" s="770"/>
      <c r="AQ2157" s="772"/>
      <c r="AR2157" s="216"/>
      <c r="AS2157" s="772"/>
      <c r="AU2157" s="216"/>
      <c r="AV2157" s="772"/>
      <c r="AW2157" s="216"/>
      <c r="AX2157" s="772"/>
    </row>
    <row r="2158" spans="1:50" s="774" customFormat="1" x14ac:dyDescent="0.25">
      <c r="A2158" s="615" t="s">
        <v>6604</v>
      </c>
      <c r="B2158" s="375" t="s">
        <v>5548</v>
      </c>
      <c r="C2158" s="375" t="s">
        <v>1304</v>
      </c>
      <c r="D2158" s="375" t="s">
        <v>7245</v>
      </c>
      <c r="E2158" s="375" t="s">
        <v>6603</v>
      </c>
      <c r="F2158" s="459">
        <f t="shared" si="977"/>
        <v>22.17</v>
      </c>
      <c r="G2158" s="544">
        <f t="shared" si="973"/>
        <v>22.17</v>
      </c>
      <c r="H2158" s="764">
        <f t="shared" si="974"/>
        <v>17.739999999999998</v>
      </c>
      <c r="I2158" s="711"/>
      <c r="J2158" s="669">
        <v>43873</v>
      </c>
      <c r="K2158" s="769"/>
      <c r="M2158" s="387">
        <f t="shared" si="975"/>
        <v>22.17</v>
      </c>
      <c r="N2158" s="41">
        <v>9.4600000000000009</v>
      </c>
      <c r="O2158" s="391"/>
      <c r="P2158" s="392" t="s">
        <v>2828</v>
      </c>
      <c r="Q2158" s="392"/>
      <c r="R2158" s="392">
        <v>2019</v>
      </c>
      <c r="S2158" s="392"/>
      <c r="T2158" s="674">
        <f t="shared" si="990"/>
        <v>2.71</v>
      </c>
      <c r="U2158" s="185" t="s">
        <v>1017</v>
      </c>
      <c r="V2158" s="184"/>
      <c r="W2158" s="180"/>
      <c r="X2158" s="180"/>
      <c r="Y2158" s="184" t="s">
        <v>1017</v>
      </c>
      <c r="Z2158" s="180"/>
      <c r="AA2158" s="184"/>
      <c r="AB2158" s="184"/>
      <c r="AC2158" s="180"/>
      <c r="AD2158" s="182"/>
      <c r="AE2158" s="181" t="s">
        <v>1017</v>
      </c>
      <c r="AF2158" s="180"/>
      <c r="AG2158" s="201"/>
      <c r="AH2158" s="773"/>
      <c r="AI2158" s="771"/>
      <c r="AJ2158" s="771"/>
      <c r="AK2158" s="771"/>
      <c r="AL2158" s="771"/>
      <c r="AM2158" s="771"/>
      <c r="AN2158" s="770"/>
      <c r="AO2158" s="770"/>
      <c r="AP2158" s="770"/>
      <c r="AQ2158" s="772"/>
      <c r="AR2158" s="216"/>
      <c r="AS2158" s="772"/>
      <c r="AU2158" s="216"/>
      <c r="AV2158" s="772"/>
      <c r="AW2158" s="216"/>
      <c r="AX2158" s="772"/>
    </row>
    <row r="2159" spans="1:50" s="774" customFormat="1" x14ac:dyDescent="0.25">
      <c r="A2159" s="615" t="s">
        <v>6605</v>
      </c>
      <c r="B2159" s="375" t="s">
        <v>5548</v>
      </c>
      <c r="C2159" s="375" t="s">
        <v>1304</v>
      </c>
      <c r="D2159" s="375" t="s">
        <v>7395</v>
      </c>
      <c r="E2159" s="375" t="s">
        <v>6603</v>
      </c>
      <c r="F2159" s="459">
        <f t="shared" si="977"/>
        <v>17.22</v>
      </c>
      <c r="G2159" s="544">
        <f t="shared" si="973"/>
        <v>17.22</v>
      </c>
      <c r="H2159" s="764">
        <f t="shared" si="974"/>
        <v>13.78</v>
      </c>
      <c r="I2159" s="711"/>
      <c r="J2159" s="669">
        <v>43873</v>
      </c>
      <c r="K2159" s="769"/>
      <c r="M2159" s="387">
        <f t="shared" si="975"/>
        <v>17.22</v>
      </c>
      <c r="N2159" s="41">
        <v>8.51</v>
      </c>
      <c r="O2159" s="391"/>
      <c r="P2159" s="392" t="s">
        <v>2828</v>
      </c>
      <c r="Q2159" s="392"/>
      <c r="R2159" s="392">
        <v>2019</v>
      </c>
      <c r="S2159" s="392"/>
      <c r="T2159" s="674">
        <f t="shared" si="990"/>
        <v>2.71</v>
      </c>
      <c r="U2159" s="776"/>
      <c r="V2159" s="422"/>
      <c r="W2159" s="37" t="s">
        <v>1017</v>
      </c>
      <c r="X2159" s="37"/>
      <c r="Y2159" s="422"/>
      <c r="Z2159" s="422"/>
      <c r="AA2159" s="422"/>
      <c r="AB2159" s="422"/>
      <c r="AC2159" s="422"/>
      <c r="AD2159" s="423"/>
      <c r="AE2159" s="778" t="s">
        <v>1017</v>
      </c>
      <c r="AF2159" s="775"/>
      <c r="AG2159" s="777"/>
      <c r="AH2159" s="773"/>
      <c r="AI2159" s="771"/>
      <c r="AJ2159" s="771"/>
      <c r="AK2159" s="771"/>
      <c r="AL2159" s="771"/>
      <c r="AM2159" s="771"/>
      <c r="AN2159" s="770"/>
      <c r="AO2159" s="770"/>
      <c r="AP2159" s="770"/>
      <c r="AQ2159" s="772"/>
      <c r="AR2159" s="216"/>
      <c r="AS2159" s="772"/>
      <c r="AU2159" s="216"/>
      <c r="AV2159" s="772"/>
      <c r="AW2159" s="216"/>
      <c r="AX2159" s="772"/>
    </row>
    <row r="2160" spans="1:50" s="774" customFormat="1" x14ac:dyDescent="0.25">
      <c r="A2160" s="615" t="s">
        <v>7491</v>
      </c>
      <c r="B2160" s="375" t="s">
        <v>5548</v>
      </c>
      <c r="C2160" s="375" t="s">
        <v>1304</v>
      </c>
      <c r="D2160" s="375" t="s">
        <v>7495</v>
      </c>
      <c r="E2160" s="375" t="s">
        <v>6615</v>
      </c>
      <c r="F2160" s="459">
        <f t="shared" si="977"/>
        <v>27.360000000000003</v>
      </c>
      <c r="G2160" s="544">
        <f t="shared" si="973"/>
        <v>27.360000000000003</v>
      </c>
      <c r="H2160" s="764">
        <f t="shared" si="974"/>
        <v>21.89</v>
      </c>
      <c r="I2160" s="711"/>
      <c r="J2160" s="669">
        <v>44260</v>
      </c>
      <c r="K2160" s="769"/>
      <c r="M2160" s="387">
        <f t="shared" si="975"/>
        <v>27.360000000000003</v>
      </c>
      <c r="N2160" s="41">
        <v>11.67</v>
      </c>
      <c r="O2160" s="391"/>
      <c r="P2160" s="392" t="s">
        <v>2828</v>
      </c>
      <c r="Q2160" s="392"/>
      <c r="R2160" s="392">
        <v>2020</v>
      </c>
      <c r="S2160" s="392" t="s">
        <v>4180</v>
      </c>
      <c r="T2160" s="674">
        <f t="shared" si="990"/>
        <v>2.69</v>
      </c>
      <c r="U2160" s="58"/>
      <c r="V2160" s="421"/>
      <c r="W2160" s="180"/>
      <c r="X2160" s="180"/>
      <c r="Y2160" s="421"/>
      <c r="Z2160" s="421" t="s">
        <v>1017</v>
      </c>
      <c r="AA2160" s="422"/>
      <c r="AB2160" s="421"/>
      <c r="AC2160" s="421"/>
      <c r="AD2160" s="423"/>
      <c r="AE2160" s="778" t="s">
        <v>1017</v>
      </c>
      <c r="AF2160" s="775"/>
      <c r="AG2160" s="777"/>
      <c r="AH2160" s="773"/>
      <c r="AI2160" s="771"/>
      <c r="AJ2160" s="771"/>
      <c r="AK2160" s="771"/>
      <c r="AL2160" s="771"/>
      <c r="AM2160" s="771"/>
      <c r="AN2160" s="770"/>
      <c r="AO2160" s="770"/>
      <c r="AP2160" s="770"/>
      <c r="AQ2160" s="772"/>
      <c r="AR2160" s="216"/>
      <c r="AS2160" s="772"/>
      <c r="AU2160" s="216"/>
      <c r="AV2160" s="772"/>
      <c r="AW2160" s="216"/>
      <c r="AX2160" s="772"/>
    </row>
    <row r="2161" spans="1:52" s="774" customFormat="1" x14ac:dyDescent="0.25">
      <c r="A2161" s="615" t="s">
        <v>7490</v>
      </c>
      <c r="B2161" s="375" t="s">
        <v>5548</v>
      </c>
      <c r="C2161" s="375" t="s">
        <v>1304</v>
      </c>
      <c r="D2161" s="375" t="s">
        <v>7496</v>
      </c>
      <c r="E2161" s="375" t="s">
        <v>6615</v>
      </c>
      <c r="F2161" s="459">
        <f t="shared" si="977"/>
        <v>28.360000000000003</v>
      </c>
      <c r="G2161" s="544">
        <f t="shared" si="973"/>
        <v>28.360000000000003</v>
      </c>
      <c r="H2161" s="764">
        <f t="shared" si="974"/>
        <v>22.69</v>
      </c>
      <c r="I2161" s="711"/>
      <c r="J2161" s="669">
        <v>44260</v>
      </c>
      <c r="K2161" s="769"/>
      <c r="M2161" s="387">
        <f t="shared" si="975"/>
        <v>28.360000000000003</v>
      </c>
      <c r="N2161" s="41">
        <v>11.67</v>
      </c>
      <c r="O2161" s="391"/>
      <c r="P2161" s="392" t="s">
        <v>2828</v>
      </c>
      <c r="Q2161" s="392"/>
      <c r="R2161" s="392">
        <v>2020</v>
      </c>
      <c r="S2161" s="392" t="s">
        <v>4180</v>
      </c>
      <c r="T2161" s="674">
        <f t="shared" si="990"/>
        <v>2.69</v>
      </c>
      <c r="U2161" s="58" t="s">
        <v>1017</v>
      </c>
      <c r="V2161" s="421"/>
      <c r="W2161" s="180"/>
      <c r="X2161" s="180"/>
      <c r="Y2161" s="421"/>
      <c r="Z2161" s="421" t="s">
        <v>1017</v>
      </c>
      <c r="AA2161" s="422"/>
      <c r="AB2161" s="421"/>
      <c r="AC2161" s="421"/>
      <c r="AD2161" s="423"/>
      <c r="AE2161" s="778" t="s">
        <v>1017</v>
      </c>
      <c r="AF2161" s="775"/>
      <c r="AG2161" s="777"/>
      <c r="AH2161" s="773"/>
      <c r="AI2161" s="771"/>
      <c r="AJ2161" s="771"/>
      <c r="AK2161" s="771"/>
      <c r="AL2161" s="771"/>
      <c r="AM2161" s="771"/>
      <c r="AN2161" s="770"/>
      <c r="AO2161" s="770"/>
      <c r="AP2161" s="770"/>
      <c r="AQ2161" s="772"/>
      <c r="AR2161" s="216"/>
      <c r="AS2161" s="772"/>
      <c r="AU2161" s="216"/>
      <c r="AV2161" s="772"/>
      <c r="AW2161" s="216"/>
      <c r="AX2161" s="772"/>
    </row>
    <row r="2162" spans="1:52" s="774" customFormat="1" x14ac:dyDescent="0.25">
      <c r="A2162" s="615" t="s">
        <v>7492</v>
      </c>
      <c r="B2162" s="375" t="s">
        <v>5548</v>
      </c>
      <c r="C2162" s="375" t="s">
        <v>1304</v>
      </c>
      <c r="D2162" s="375" t="s">
        <v>7497</v>
      </c>
      <c r="E2162" s="375" t="s">
        <v>6615</v>
      </c>
      <c r="F2162" s="459">
        <f t="shared" si="977"/>
        <v>22.150000000000002</v>
      </c>
      <c r="G2162" s="544">
        <f t="shared" si="973"/>
        <v>22.150000000000002</v>
      </c>
      <c r="H2162" s="764">
        <f t="shared" si="974"/>
        <v>17.72</v>
      </c>
      <c r="I2162" s="711"/>
      <c r="J2162" s="669">
        <v>44260</v>
      </c>
      <c r="K2162" s="769"/>
      <c r="M2162" s="387">
        <f t="shared" si="975"/>
        <v>22.150000000000002</v>
      </c>
      <c r="N2162" s="41">
        <v>9.4600000000000009</v>
      </c>
      <c r="O2162" s="391"/>
      <c r="P2162" s="392" t="s">
        <v>2828</v>
      </c>
      <c r="Q2162" s="392"/>
      <c r="R2162" s="392">
        <v>2020</v>
      </c>
      <c r="S2162" s="392" t="s">
        <v>4180</v>
      </c>
      <c r="T2162" s="674">
        <f t="shared" si="990"/>
        <v>2.69</v>
      </c>
      <c r="U2162" s="58"/>
      <c r="V2162" s="421"/>
      <c r="W2162" s="180"/>
      <c r="X2162" s="180"/>
      <c r="Y2162" s="421"/>
      <c r="Z2162" s="180"/>
      <c r="AA2162" s="421" t="s">
        <v>1017</v>
      </c>
      <c r="AB2162" s="421"/>
      <c r="AC2162" s="180"/>
      <c r="AD2162" s="425"/>
      <c r="AE2162" s="778" t="s">
        <v>1017</v>
      </c>
      <c r="AF2162" s="775"/>
      <c r="AG2162" s="777"/>
      <c r="AH2162" s="773"/>
      <c r="AI2162" s="771"/>
      <c r="AJ2162" s="771"/>
      <c r="AK2162" s="771"/>
      <c r="AL2162" s="771"/>
      <c r="AM2162" s="771"/>
      <c r="AN2162" s="770"/>
      <c r="AO2162" s="770"/>
      <c r="AP2162" s="770"/>
      <c r="AQ2162" s="772"/>
      <c r="AR2162" s="216"/>
      <c r="AS2162" s="772"/>
      <c r="AU2162" s="216"/>
      <c r="AV2162" s="772"/>
      <c r="AW2162" s="216"/>
      <c r="AX2162" s="772"/>
    </row>
    <row r="2163" spans="1:52" s="774" customFormat="1" x14ac:dyDescent="0.25">
      <c r="A2163" s="615" t="s">
        <v>7493</v>
      </c>
      <c r="B2163" s="375" t="s">
        <v>5548</v>
      </c>
      <c r="C2163" s="375" t="s">
        <v>1304</v>
      </c>
      <c r="D2163" s="375" t="s">
        <v>7498</v>
      </c>
      <c r="E2163" s="375" t="s">
        <v>6615</v>
      </c>
      <c r="F2163" s="459">
        <f t="shared" si="977"/>
        <v>23.150000000000002</v>
      </c>
      <c r="G2163" s="544">
        <f t="shared" si="973"/>
        <v>23.150000000000002</v>
      </c>
      <c r="H2163" s="764">
        <f t="shared" si="974"/>
        <v>18.52</v>
      </c>
      <c r="I2163" s="711"/>
      <c r="J2163" s="669">
        <v>44260</v>
      </c>
      <c r="K2163" s="769"/>
      <c r="M2163" s="387">
        <f t="shared" si="975"/>
        <v>23.150000000000002</v>
      </c>
      <c r="N2163" s="41">
        <v>9.4600000000000009</v>
      </c>
      <c r="O2163" s="391"/>
      <c r="P2163" s="392" t="s">
        <v>2828</v>
      </c>
      <c r="Q2163" s="392"/>
      <c r="R2163" s="392">
        <v>2020</v>
      </c>
      <c r="S2163" s="392" t="s">
        <v>4180</v>
      </c>
      <c r="T2163" s="674">
        <f t="shared" si="990"/>
        <v>2.69</v>
      </c>
      <c r="U2163" s="58" t="s">
        <v>1017</v>
      </c>
      <c r="V2163" s="421"/>
      <c r="W2163" s="180"/>
      <c r="X2163" s="180"/>
      <c r="Y2163" s="421"/>
      <c r="Z2163" s="180"/>
      <c r="AA2163" s="421" t="s">
        <v>1017</v>
      </c>
      <c r="AB2163" s="421"/>
      <c r="AC2163" s="180"/>
      <c r="AD2163" s="425"/>
      <c r="AE2163" s="778" t="s">
        <v>1017</v>
      </c>
      <c r="AF2163" s="775"/>
      <c r="AG2163" s="777"/>
      <c r="AH2163" s="773"/>
      <c r="AI2163" s="771"/>
      <c r="AJ2163" s="771"/>
      <c r="AK2163" s="771"/>
      <c r="AL2163" s="771"/>
      <c r="AM2163" s="771"/>
      <c r="AN2163" s="770"/>
      <c r="AO2163" s="770"/>
      <c r="AP2163" s="770"/>
      <c r="AQ2163" s="772"/>
      <c r="AR2163" s="216"/>
      <c r="AS2163" s="772"/>
      <c r="AU2163" s="216"/>
      <c r="AV2163" s="772"/>
      <c r="AW2163" s="216"/>
      <c r="AX2163" s="772"/>
    </row>
    <row r="2164" spans="1:52" s="774" customFormat="1" x14ac:dyDescent="0.25">
      <c r="A2164" s="615" t="s">
        <v>7494</v>
      </c>
      <c r="B2164" s="375" t="s">
        <v>5548</v>
      </c>
      <c r="C2164" s="375" t="s">
        <v>1304</v>
      </c>
      <c r="D2164" s="375" t="s">
        <v>7499</v>
      </c>
      <c r="E2164" s="375" t="s">
        <v>6615</v>
      </c>
      <c r="F2164" s="459">
        <f t="shared" si="977"/>
        <v>17.2</v>
      </c>
      <c r="G2164" s="544">
        <f t="shared" si="973"/>
        <v>17.2</v>
      </c>
      <c r="H2164" s="764">
        <f t="shared" si="974"/>
        <v>13.76</v>
      </c>
      <c r="I2164" s="711"/>
      <c r="J2164" s="669">
        <v>44260</v>
      </c>
      <c r="K2164" s="769"/>
      <c r="M2164" s="387">
        <f t="shared" si="975"/>
        <v>17.2</v>
      </c>
      <c r="N2164" s="41">
        <v>8.51</v>
      </c>
      <c r="O2164" s="391"/>
      <c r="P2164" s="392" t="s">
        <v>2828</v>
      </c>
      <c r="Q2164" s="392"/>
      <c r="R2164" s="392">
        <v>2020</v>
      </c>
      <c r="S2164" s="392" t="s">
        <v>4180</v>
      </c>
      <c r="T2164" s="674">
        <f t="shared" si="990"/>
        <v>2.69</v>
      </c>
      <c r="U2164" s="776"/>
      <c r="V2164" s="422"/>
      <c r="W2164" s="421" t="s">
        <v>1017</v>
      </c>
      <c r="X2164" s="421"/>
      <c r="Y2164" s="422"/>
      <c r="Z2164" s="422"/>
      <c r="AA2164" s="422"/>
      <c r="AB2164" s="422"/>
      <c r="AC2164" s="422"/>
      <c r="AD2164" s="423"/>
      <c r="AE2164" s="778" t="s">
        <v>1017</v>
      </c>
      <c r="AF2164" s="775"/>
      <c r="AG2164" s="777"/>
      <c r="AH2164" s="773"/>
      <c r="AI2164" s="771"/>
      <c r="AJ2164" s="771"/>
      <c r="AK2164" s="771"/>
      <c r="AL2164" s="771"/>
      <c r="AM2164" s="771"/>
      <c r="AN2164" s="770"/>
      <c r="AO2164" s="770"/>
      <c r="AP2164" s="770"/>
      <c r="AQ2164" s="772"/>
      <c r="AR2164" s="216"/>
      <c r="AS2164" s="772"/>
      <c r="AU2164" s="216"/>
      <c r="AV2164" s="772"/>
      <c r="AW2164" s="216"/>
      <c r="AX2164" s="772"/>
    </row>
    <row r="2165" spans="1:52" s="178" customFormat="1" x14ac:dyDescent="0.25">
      <c r="A2165" s="608"/>
      <c r="B2165" s="2"/>
      <c r="C2165" s="22"/>
      <c r="D2165" s="22" t="s">
        <v>4180</v>
      </c>
      <c r="E2165" s="34" t="s">
        <v>4180</v>
      </c>
      <c r="F2165" s="456"/>
      <c r="G2165" s="531"/>
      <c r="H2165" s="489"/>
      <c r="I2165" s="708"/>
      <c r="J2165" s="669" t="s">
        <v>4180</v>
      </c>
      <c r="K2165" s="15"/>
      <c r="L2165"/>
      <c r="M2165" s="29"/>
      <c r="N2165" s="29"/>
      <c r="O2165" s="54"/>
      <c r="P2165" s="23"/>
      <c r="Q2165" s="12"/>
      <c r="R2165" s="12"/>
      <c r="S2165" s="12" t="s">
        <v>4180</v>
      </c>
      <c r="T2165" s="178" t="s">
        <v>4180</v>
      </c>
      <c r="U2165" s="58"/>
      <c r="V2165" s="12"/>
      <c r="W2165" s="12"/>
      <c r="X2165" s="12"/>
      <c r="Y2165" s="12"/>
      <c r="Z2165" s="12"/>
      <c r="AA2165" s="12"/>
      <c r="AB2165" s="12"/>
      <c r="AC2165" s="12"/>
      <c r="AD2165" s="27"/>
      <c r="AE2165" s="94"/>
      <c r="AF2165" s="12"/>
      <c r="AG2165" s="12"/>
      <c r="AH2165" s="212" t="str">
        <f t="shared" ref="AH2165:AH2176" si="991">IF(ISERROR(SEARCH("K erstmals 201",D2165)),"",RIGHT(D2165,4))</f>
        <v/>
      </c>
      <c r="AI2165" s="214" t="str">
        <f>IF(AND($AH2165&lt;&gt;"",AH2165 =AH2124),"Gleich","")</f>
        <v/>
      </c>
      <c r="AJ2165" s="214" t="str">
        <f>IF(AND($AH2165&lt;&gt;"",A2165 =A2124),"Gleich","")</f>
        <v/>
      </c>
      <c r="AK2165" s="214" t="str">
        <f>IF(AND($AH2165&lt;&gt;"",D2165 =D2124),"Gleich","")</f>
        <v/>
      </c>
      <c r="AL2165" s="214" t="str">
        <f>IF(AND($AH2165&lt;&gt;"",E2165 =E2124),"Gleich","")</f>
        <v/>
      </c>
      <c r="AM2165" s="214" t="str">
        <f>IF(AND($AH2165&lt;&gt;"",F2165 =F2124),"Gleich","")</f>
        <v/>
      </c>
      <c r="AN2165" s="213" t="str">
        <f t="shared" ref="AN2165:AN2228" si="992">IF(ISERROR(SEARCH("K1",A2165)),"","20"&amp;MID(A2165,SEARCH("K1",A2165)+1,2))</f>
        <v/>
      </c>
      <c r="AO2165" s="213" t="str">
        <f t="shared" ref="AO2165:AO2228" si="993">IF(ISERROR(SEARCH("erstmals 201",E2165)),"",MID(E2165,SEARCH("erstmals ",E2165)+9,4))</f>
        <v/>
      </c>
      <c r="AP2165" s="213" t="str">
        <f t="shared" ref="AP2165:AP2228" si="994">IF(R2165="x","2010",IF(S2165="x","2011",IF(T2165="x","2012","")))</f>
        <v/>
      </c>
      <c r="AQ2165" s="215" t="str">
        <f t="shared" ref="AQ2165:AQ2228" si="995">IF(OR(AH2165&lt;&gt;AN2165,AH2165&lt;&gt;AO2165,AH2165&lt;&gt;AP2165),"DIFF","")</f>
        <v/>
      </c>
      <c r="AR2165" s="216" t="str">
        <f t="shared" ref="AR2165:AR2228" si="996">IF(A2165="","",IF(ISERROR(SEARCH("K1",A2165)),A2165,LEFT(A2165,SEARCH("K1",A2165)+1)&amp;RIGHT(AH2165,1)&amp;MID(A2165,SEARCH("K1",A2165)+3,14)))</f>
        <v/>
      </c>
      <c r="AS2165" s="215" t="str">
        <f t="shared" ref="AS2165:AS2228" si="997">IF(OR(A2165&lt;&gt;AR2165),"DIFF","")</f>
        <v/>
      </c>
      <c r="AT2165">
        <f t="shared" ref="AT2165:AT2228" si="998">LEN(AR2165)</f>
        <v>0</v>
      </c>
      <c r="AU2165" s="216" t="str">
        <f t="shared" ref="AU2165:AU2228" si="999">IF(D2165="","",IF(OR(A2165="",ISERROR(SEARCH("erstmals 201",D2165))),D2165,LEFT(D2165,SEARCH("erstmals 201",D2165)+8) &amp; AH2165 &amp; MID(D2165,SEARCH("erstmals 201",D2165)+13,255)))</f>
        <v/>
      </c>
      <c r="AV2165" s="215" t="str">
        <f t="shared" ref="AV2165:AV2228" si="1000">IF(OR(D2165&lt;&gt;AU2165),"DIFF","")</f>
        <v/>
      </c>
      <c r="AW2165" s="216" t="str">
        <f t="shared" ref="AW2165:AW2228" si="1001">IF(E2165="","",IF(OR(E2165="",ISERROR(SEARCH("erstmals 201",E2165))),E2165,LEFT(E2165,SEARCH("erstmals 201",E2165)+8) &amp; AH2165 &amp; MID(E2165,SEARCH("erstmals 201",E2165)+13,255)))</f>
        <v/>
      </c>
      <c r="AX2165" s="215" t="str">
        <f t="shared" ref="AX2165:AX2228" si="1002">IF(OR(E2165&lt;&gt;AW2165),"DIFF","")</f>
        <v/>
      </c>
      <c r="AY2165" t="str">
        <f t="shared" ref="AY2165:AY2228" si="1003">IF(AH2165="2011","x",IF(AH2165="2012","","" &amp; S2165))</f>
        <v/>
      </c>
      <c r="AZ2165" t="str">
        <f t="shared" ref="AZ2165:AZ2228" si="1004">IF(AH2165="2012","x",IF(AH2165="2011","","" &amp; T2165))</f>
        <v/>
      </c>
    </row>
    <row r="2166" spans="1:52" ht="15.75" x14ac:dyDescent="0.25">
      <c r="A2166" s="609" t="s">
        <v>4180</v>
      </c>
      <c r="B2166" s="1"/>
      <c r="C2166" s="1"/>
      <c r="D2166" s="2" t="s">
        <v>4180</v>
      </c>
      <c r="E2166" s="1" t="s">
        <v>4180</v>
      </c>
      <c r="F2166" s="457"/>
      <c r="G2166" s="532"/>
      <c r="H2166" s="490"/>
      <c r="I2166" s="709"/>
      <c r="J2166" s="669" t="s">
        <v>4180</v>
      </c>
      <c r="K2166" s="15"/>
      <c r="M2166" s="68" t="s">
        <v>2912</v>
      </c>
      <c r="N2166" s="39"/>
      <c r="O2166" s="61"/>
      <c r="P2166" s="29"/>
      <c r="U2166" s="55"/>
      <c r="AD2166" s="92"/>
      <c r="AE2166" s="124"/>
      <c r="AH2166" s="212" t="str">
        <f t="shared" si="991"/>
        <v/>
      </c>
      <c r="AI2166" s="214" t="str">
        <f t="shared" ref="AI2166:AI2229" si="1005">IF(AND($AH2166&lt;&gt;"",AH2166 =AH2165),"Gleich","")</f>
        <v/>
      </c>
      <c r="AJ2166" s="214" t="str">
        <f t="shared" ref="AJ2166:AJ2229" si="1006">IF(AND($AH2166&lt;&gt;"",A2166 =A2165),"Gleich","")</f>
        <v/>
      </c>
      <c r="AK2166" s="214" t="str">
        <f t="shared" ref="AK2166:AK2229" si="1007">IF(AND($AH2166&lt;&gt;"",D2166 =D2165),"Gleich","")</f>
        <v/>
      </c>
      <c r="AL2166" s="214" t="str">
        <f t="shared" ref="AL2166:AL2229" si="1008">IF(AND($AH2166&lt;&gt;"",E2166 =E2165),"Gleich","")</f>
        <v/>
      </c>
      <c r="AM2166" s="214" t="str">
        <f t="shared" ref="AM2166:AM2229" si="1009">IF(AND($AH2166&lt;&gt;"",F2166 =F2165),"Gleich","")</f>
        <v/>
      </c>
      <c r="AN2166" s="213" t="str">
        <f t="shared" si="992"/>
        <v/>
      </c>
      <c r="AO2166" s="213" t="str">
        <f t="shared" si="993"/>
        <v/>
      </c>
      <c r="AP2166" s="213" t="str">
        <f t="shared" si="994"/>
        <v/>
      </c>
      <c r="AQ2166" s="215" t="str">
        <f t="shared" si="995"/>
        <v/>
      </c>
      <c r="AR2166" s="216" t="str">
        <f t="shared" si="996"/>
        <v/>
      </c>
      <c r="AS2166" s="215" t="str">
        <f t="shared" si="997"/>
        <v/>
      </c>
      <c r="AT2166">
        <f t="shared" si="998"/>
        <v>0</v>
      </c>
      <c r="AU2166" s="216" t="str">
        <f t="shared" si="999"/>
        <v/>
      </c>
      <c r="AV2166" s="215" t="str">
        <f t="shared" si="1000"/>
        <v/>
      </c>
      <c r="AW2166" s="216" t="str">
        <f t="shared" si="1001"/>
        <v/>
      </c>
      <c r="AX2166" s="215" t="str">
        <f t="shared" si="1002"/>
        <v/>
      </c>
      <c r="AY2166" t="str">
        <f t="shared" si="1003"/>
        <v/>
      </c>
      <c r="AZ2166" t="str">
        <f t="shared" si="1004"/>
        <v/>
      </c>
    </row>
    <row r="2167" spans="1:52" x14ac:dyDescent="0.25">
      <c r="A2167" s="609" t="s">
        <v>4180</v>
      </c>
      <c r="B2167" s="1"/>
      <c r="C2167" s="1"/>
      <c r="D2167" s="2" t="s">
        <v>4180</v>
      </c>
      <c r="E2167" s="1" t="s">
        <v>4180</v>
      </c>
      <c r="F2167" s="457"/>
      <c r="G2167" s="532"/>
      <c r="H2167" s="490"/>
      <c r="I2167" s="709"/>
      <c r="J2167" s="669" t="s">
        <v>4180</v>
      </c>
      <c r="K2167" s="15"/>
      <c r="N2167" s="35"/>
      <c r="O2167" s="43" t="s">
        <v>2659</v>
      </c>
      <c r="P2167" s="29"/>
      <c r="Q2167" s="12">
        <v>2009</v>
      </c>
      <c r="R2167" s="12">
        <v>2010</v>
      </c>
      <c r="S2167" s="12">
        <v>2011</v>
      </c>
      <c r="T2167" s="12">
        <v>2012</v>
      </c>
      <c r="U2167" s="55"/>
      <c r="V2167" s="35" t="s">
        <v>778</v>
      </c>
      <c r="AD2167" s="92"/>
      <c r="AE2167" s="43" t="s">
        <v>827</v>
      </c>
      <c r="AG2167" s="92"/>
      <c r="AH2167" s="212" t="str">
        <f t="shared" si="991"/>
        <v/>
      </c>
      <c r="AI2167" s="214" t="str">
        <f t="shared" si="1005"/>
        <v/>
      </c>
      <c r="AJ2167" s="214" t="str">
        <f t="shared" si="1006"/>
        <v/>
      </c>
      <c r="AK2167" s="214" t="str">
        <f t="shared" si="1007"/>
        <v/>
      </c>
      <c r="AL2167" s="214" t="str">
        <f t="shared" si="1008"/>
        <v/>
      </c>
      <c r="AM2167" s="214" t="str">
        <f t="shared" si="1009"/>
        <v/>
      </c>
      <c r="AN2167" s="213" t="str">
        <f t="shared" si="992"/>
        <v/>
      </c>
      <c r="AO2167" s="213" t="str">
        <f t="shared" si="993"/>
        <v/>
      </c>
      <c r="AP2167" s="213" t="str">
        <f t="shared" si="994"/>
        <v/>
      </c>
      <c r="AQ2167" s="215" t="str">
        <f t="shared" si="995"/>
        <v/>
      </c>
      <c r="AR2167" s="216" t="str">
        <f t="shared" si="996"/>
        <v/>
      </c>
      <c r="AS2167" s="215" t="str">
        <f t="shared" si="997"/>
        <v/>
      </c>
      <c r="AT2167">
        <f t="shared" si="998"/>
        <v>0</v>
      </c>
      <c r="AU2167" s="216" t="str">
        <f t="shared" si="999"/>
        <v/>
      </c>
      <c r="AV2167" s="215" t="str">
        <f t="shared" si="1000"/>
        <v/>
      </c>
      <c r="AW2167" s="216" t="str">
        <f t="shared" si="1001"/>
        <v/>
      </c>
      <c r="AX2167" s="215" t="str">
        <f t="shared" si="1002"/>
        <v/>
      </c>
      <c r="AY2167" t="str">
        <f t="shared" si="1003"/>
        <v>2011</v>
      </c>
      <c r="AZ2167" t="str">
        <f t="shared" si="1004"/>
        <v>2012</v>
      </c>
    </row>
    <row r="2168" spans="1:52" ht="90.75" x14ac:dyDescent="0.25">
      <c r="A2168" s="609" t="s">
        <v>4180</v>
      </c>
      <c r="B2168" s="1"/>
      <c r="C2168" s="1"/>
      <c r="D2168" s="2" t="s">
        <v>4180</v>
      </c>
      <c r="E2168" s="1" t="s">
        <v>4180</v>
      </c>
      <c r="F2168" s="457"/>
      <c r="G2168" s="532"/>
      <c r="H2168" s="490"/>
      <c r="I2168" s="709"/>
      <c r="J2168" s="669" t="s">
        <v>4180</v>
      </c>
      <c r="K2168" s="15"/>
      <c r="M2168" s="48" t="s">
        <v>2914</v>
      </c>
      <c r="N2168" s="42" t="s">
        <v>2913</v>
      </c>
      <c r="O2168" s="44" t="s">
        <v>825</v>
      </c>
      <c r="P2168" s="42" t="s">
        <v>3008</v>
      </c>
      <c r="Q2168" s="42" t="s">
        <v>1013</v>
      </c>
      <c r="R2168" s="42" t="s">
        <v>1264</v>
      </c>
      <c r="S2168" s="42" t="s">
        <v>1482</v>
      </c>
      <c r="T2168" s="42" t="s">
        <v>4161</v>
      </c>
      <c r="U2168" s="80" t="s">
        <v>771</v>
      </c>
      <c r="V2168" s="42" t="s">
        <v>1021</v>
      </c>
      <c r="W2168" s="42" t="s">
        <v>1029</v>
      </c>
      <c r="X2168" s="42" t="s">
        <v>786</v>
      </c>
      <c r="Y2168" s="79" t="s">
        <v>4884</v>
      </c>
      <c r="Z2168" s="79" t="s">
        <v>5520</v>
      </c>
      <c r="AA2168" s="79" t="s">
        <v>5521</v>
      </c>
      <c r="AB2168" s="79" t="s">
        <v>5522</v>
      </c>
      <c r="AC2168" s="79" t="s">
        <v>4853</v>
      </c>
      <c r="AD2168" s="79" t="s">
        <v>770</v>
      </c>
      <c r="AE2168" s="44" t="s">
        <v>824</v>
      </c>
      <c r="AF2168" s="63"/>
      <c r="AG2168" s="63"/>
      <c r="AH2168" s="212" t="str">
        <f t="shared" si="991"/>
        <v/>
      </c>
      <c r="AI2168" s="214" t="str">
        <f t="shared" si="1005"/>
        <v/>
      </c>
      <c r="AJ2168" s="214" t="str">
        <f t="shared" si="1006"/>
        <v/>
      </c>
      <c r="AK2168" s="214" t="str">
        <f t="shared" si="1007"/>
        <v/>
      </c>
      <c r="AL2168" s="214" t="str">
        <f t="shared" si="1008"/>
        <v/>
      </c>
      <c r="AM2168" s="214" t="str">
        <f t="shared" si="1009"/>
        <v/>
      </c>
      <c r="AN2168" s="213" t="str">
        <f t="shared" si="992"/>
        <v/>
      </c>
      <c r="AO2168" s="213" t="str">
        <f t="shared" si="993"/>
        <v/>
      </c>
      <c r="AP2168" s="213" t="str">
        <f t="shared" si="994"/>
        <v/>
      </c>
      <c r="AQ2168" s="215" t="str">
        <f t="shared" si="995"/>
        <v/>
      </c>
      <c r="AR2168" s="216" t="str">
        <f t="shared" si="996"/>
        <v/>
      </c>
      <c r="AS2168" s="215" t="str">
        <f t="shared" si="997"/>
        <v/>
      </c>
      <c r="AT2168">
        <f t="shared" si="998"/>
        <v>0</v>
      </c>
      <c r="AU2168" s="216" t="str">
        <f t="shared" si="999"/>
        <v/>
      </c>
      <c r="AV2168" s="215" t="str">
        <f t="shared" si="1000"/>
        <v/>
      </c>
      <c r="AW2168" s="216" t="str">
        <f t="shared" si="1001"/>
        <v/>
      </c>
      <c r="AX2168" s="215" t="str">
        <f t="shared" si="1002"/>
        <v/>
      </c>
      <c r="AY2168" t="str">
        <f t="shared" si="1003"/>
        <v>erstmals KWK in 2011</v>
      </c>
      <c r="AZ2168" t="str">
        <f t="shared" si="1004"/>
        <v>erstmals KWK in 2012</v>
      </c>
    </row>
    <row r="2169" spans="1:52" ht="34.5" x14ac:dyDescent="0.25">
      <c r="A2169" s="609" t="s">
        <v>4180</v>
      </c>
      <c r="B2169" s="1"/>
      <c r="C2169" s="1"/>
      <c r="D2169" s="2" t="s">
        <v>4180</v>
      </c>
      <c r="E2169" s="1" t="s">
        <v>4180</v>
      </c>
      <c r="F2169" s="457"/>
      <c r="G2169" s="532"/>
      <c r="H2169" s="490"/>
      <c r="I2169" s="709"/>
      <c r="J2169" s="669" t="s">
        <v>4180</v>
      </c>
      <c r="K2169" s="15"/>
      <c r="M2169" s="46"/>
      <c r="N2169" s="42"/>
      <c r="O2169" s="44" t="s">
        <v>1014</v>
      </c>
      <c r="P2169" s="42" t="s">
        <v>1015</v>
      </c>
      <c r="Q2169" s="42" t="s">
        <v>1016</v>
      </c>
      <c r="R2169" s="42" t="s">
        <v>1265</v>
      </c>
      <c r="S2169" s="42" t="s">
        <v>3490</v>
      </c>
      <c r="T2169" s="118" t="s">
        <v>4162</v>
      </c>
      <c r="U2169" s="56" t="s">
        <v>1018</v>
      </c>
      <c r="V2169" s="42" t="s">
        <v>1019</v>
      </c>
      <c r="W2169" s="42" t="s">
        <v>1020</v>
      </c>
      <c r="X2169" s="42" t="s">
        <v>4069</v>
      </c>
      <c r="Y2169" s="42" t="s">
        <v>1023</v>
      </c>
      <c r="Z2169" s="42" t="s">
        <v>1024</v>
      </c>
      <c r="AA2169" s="42" t="s">
        <v>1025</v>
      </c>
      <c r="AB2169" s="42" t="s">
        <v>1026</v>
      </c>
      <c r="AC2169" s="42" t="s">
        <v>1028</v>
      </c>
      <c r="AD2169" s="42" t="s">
        <v>1027</v>
      </c>
      <c r="AE2169" s="44" t="s">
        <v>826</v>
      </c>
      <c r="AF2169" s="63"/>
      <c r="AG2169" s="63"/>
      <c r="AH2169" s="212" t="str">
        <f t="shared" si="991"/>
        <v/>
      </c>
      <c r="AI2169" s="214" t="str">
        <f t="shared" si="1005"/>
        <v/>
      </c>
      <c r="AJ2169" s="214" t="str">
        <f t="shared" si="1006"/>
        <v/>
      </c>
      <c r="AK2169" s="214" t="str">
        <f t="shared" si="1007"/>
        <v/>
      </c>
      <c r="AL2169" s="214" t="str">
        <f t="shared" si="1008"/>
        <v/>
      </c>
      <c r="AM2169" s="214" t="str">
        <f t="shared" si="1009"/>
        <v/>
      </c>
      <c r="AN2169" s="213" t="str">
        <f t="shared" si="992"/>
        <v/>
      </c>
      <c r="AO2169" s="213" t="str">
        <f t="shared" si="993"/>
        <v/>
      </c>
      <c r="AP2169" s="213" t="str">
        <f t="shared" si="994"/>
        <v/>
      </c>
      <c r="AQ2169" s="215" t="str">
        <f t="shared" si="995"/>
        <v/>
      </c>
      <c r="AR2169" s="216" t="str">
        <f t="shared" si="996"/>
        <v/>
      </c>
      <c r="AS2169" s="215" t="str">
        <f t="shared" si="997"/>
        <v/>
      </c>
      <c r="AT2169">
        <f t="shared" si="998"/>
        <v>0</v>
      </c>
      <c r="AU2169" s="216" t="str">
        <f t="shared" si="999"/>
        <v/>
      </c>
      <c r="AV2169" s="215" t="str">
        <f t="shared" si="1000"/>
        <v/>
      </c>
      <c r="AW2169" s="216" t="str">
        <f t="shared" si="1001"/>
        <v/>
      </c>
      <c r="AX2169" s="215" t="str">
        <f t="shared" si="1002"/>
        <v/>
      </c>
      <c r="AY2169" t="str">
        <f t="shared" si="1003"/>
        <v>"K11"</v>
      </c>
      <c r="AZ2169" t="str">
        <f t="shared" si="1004"/>
        <v>"K12"</v>
      </c>
    </row>
    <row r="2170" spans="1:52" x14ac:dyDescent="0.25">
      <c r="A2170" s="609" t="s">
        <v>4180</v>
      </c>
      <c r="B2170" s="1"/>
      <c r="C2170" s="1"/>
      <c r="D2170" s="2" t="s">
        <v>4180</v>
      </c>
      <c r="E2170" s="1" t="s">
        <v>4180</v>
      </c>
      <c r="F2170" s="457"/>
      <c r="G2170" s="532"/>
      <c r="H2170" s="490"/>
      <c r="I2170" s="709"/>
      <c r="J2170" s="669" t="s">
        <v>4180</v>
      </c>
      <c r="K2170" s="15"/>
      <c r="M2170" s="92"/>
      <c r="N2170" s="41"/>
      <c r="O2170" s="93">
        <v>2</v>
      </c>
      <c r="P2170" s="41">
        <v>3</v>
      </c>
      <c r="Q2170" s="41">
        <v>3</v>
      </c>
      <c r="R2170" s="41">
        <f>ROUND($Q2170*0.99^(R2167-$Q2167),2)</f>
        <v>2.97</v>
      </c>
      <c r="S2170" s="41">
        <f>ROUND($Q2170*0.99^(S2167-$Q2167),2)</f>
        <v>2.94</v>
      </c>
      <c r="T2170" s="41">
        <f>ROUND($Q2170*0.99^(T2167-$Q2167),2)</f>
        <v>2.91</v>
      </c>
      <c r="U2170" s="198">
        <v>1</v>
      </c>
      <c r="V2170" s="41">
        <v>6</v>
      </c>
      <c r="W2170" s="41">
        <v>4</v>
      </c>
      <c r="X2170" s="41">
        <v>2.5</v>
      </c>
      <c r="Y2170" s="41">
        <v>7</v>
      </c>
      <c r="Z2170" s="41">
        <v>11</v>
      </c>
      <c r="AA2170" s="41">
        <v>8</v>
      </c>
      <c r="AB2170" s="41">
        <v>9</v>
      </c>
      <c r="AC2170" s="41">
        <v>13</v>
      </c>
      <c r="AD2170" s="41">
        <v>10</v>
      </c>
      <c r="AE2170" s="93">
        <v>2</v>
      </c>
      <c r="AF2170" s="202"/>
      <c r="AG2170" s="202"/>
      <c r="AH2170" s="212" t="str">
        <f t="shared" si="991"/>
        <v/>
      </c>
      <c r="AI2170" s="214" t="str">
        <f t="shared" si="1005"/>
        <v/>
      </c>
      <c r="AJ2170" s="214" t="str">
        <f t="shared" si="1006"/>
        <v/>
      </c>
      <c r="AK2170" s="214" t="str">
        <f t="shared" si="1007"/>
        <v/>
      </c>
      <c r="AL2170" s="214" t="str">
        <f t="shared" si="1008"/>
        <v/>
      </c>
      <c r="AM2170" s="214" t="str">
        <f t="shared" si="1009"/>
        <v/>
      </c>
      <c r="AN2170" s="213" t="str">
        <f t="shared" si="992"/>
        <v/>
      </c>
      <c r="AO2170" s="213" t="str">
        <f t="shared" si="993"/>
        <v/>
      </c>
      <c r="AP2170" s="213" t="str">
        <f t="shared" si="994"/>
        <v/>
      </c>
      <c r="AQ2170" s="215" t="str">
        <f t="shared" si="995"/>
        <v/>
      </c>
      <c r="AR2170" s="216" t="str">
        <f t="shared" si="996"/>
        <v/>
      </c>
      <c r="AS2170" s="215" t="str">
        <f t="shared" si="997"/>
        <v/>
      </c>
      <c r="AT2170">
        <f t="shared" si="998"/>
        <v>0</v>
      </c>
      <c r="AU2170" s="216" t="str">
        <f t="shared" si="999"/>
        <v/>
      </c>
      <c r="AV2170" s="215" t="str">
        <f t="shared" si="1000"/>
        <v/>
      </c>
      <c r="AW2170" s="216" t="str">
        <f t="shared" si="1001"/>
        <v/>
      </c>
      <c r="AX2170" s="215" t="str">
        <f t="shared" si="1002"/>
        <v/>
      </c>
      <c r="AY2170" t="str">
        <f t="shared" si="1003"/>
        <v>2,94</v>
      </c>
      <c r="AZ2170" t="str">
        <f t="shared" si="1004"/>
        <v>2,91</v>
      </c>
    </row>
    <row r="2171" spans="1:52" x14ac:dyDescent="0.25">
      <c r="A2171" s="627" t="s">
        <v>3671</v>
      </c>
      <c r="B2171" s="31" t="s">
        <v>5548</v>
      </c>
      <c r="C2171" s="31" t="s">
        <v>5540</v>
      </c>
      <c r="D2171" s="31" t="s">
        <v>1780</v>
      </c>
      <c r="E2171" s="31" t="s">
        <v>4810</v>
      </c>
      <c r="F2171" s="460">
        <f t="shared" ref="F2171:F2234" si="1010">M2171</f>
        <v>11.67</v>
      </c>
      <c r="G2171" s="536">
        <v>11.67</v>
      </c>
      <c r="H2171" s="494">
        <f t="shared" ref="H2171:H2234" si="1011">IF(ISNUMBER(G2171),ROUND(0.8*G2171,2),"")</f>
        <v>9.34</v>
      </c>
      <c r="I2171" s="713"/>
      <c r="J2171" s="669" t="s">
        <v>5805</v>
      </c>
      <c r="K2171" s="15"/>
      <c r="M2171" s="49">
        <f t="shared" ref="M2171:M2234" si="1012">N2171+SUMIF(O2171:AG2171,"x",O$2170:AG$2170)</f>
        <v>11.67</v>
      </c>
      <c r="N2171" s="41">
        <v>11.67</v>
      </c>
      <c r="O2171" s="54"/>
      <c r="P2171" s="15"/>
      <c r="S2171" t="s">
        <v>4180</v>
      </c>
      <c r="T2171" t="s">
        <v>4180</v>
      </c>
      <c r="U2171" s="55"/>
      <c r="W2171" s="65"/>
      <c r="X2171" s="65"/>
      <c r="AA2171" s="65"/>
      <c r="AD2171" s="91"/>
      <c r="AE2171" s="124"/>
      <c r="AF2171" s="65"/>
      <c r="AG2171" s="91"/>
      <c r="AH2171" s="212" t="str">
        <f t="shared" si="991"/>
        <v/>
      </c>
      <c r="AI2171" s="214" t="str">
        <f t="shared" si="1005"/>
        <v/>
      </c>
      <c r="AJ2171" s="214" t="str">
        <f t="shared" si="1006"/>
        <v/>
      </c>
      <c r="AK2171" s="214" t="str">
        <f t="shared" si="1007"/>
        <v/>
      </c>
      <c r="AL2171" s="214" t="str">
        <f t="shared" si="1008"/>
        <v/>
      </c>
      <c r="AM2171" s="214" t="str">
        <f t="shared" si="1009"/>
        <v/>
      </c>
      <c r="AN2171" s="213" t="str">
        <f t="shared" si="992"/>
        <v/>
      </c>
      <c r="AO2171" s="213" t="str">
        <f t="shared" si="993"/>
        <v/>
      </c>
      <c r="AP2171" s="213" t="str">
        <f t="shared" si="994"/>
        <v/>
      </c>
      <c r="AQ2171" s="215" t="str">
        <f t="shared" si="995"/>
        <v/>
      </c>
      <c r="AR2171" s="216" t="str">
        <f t="shared" si="996"/>
        <v>BiK81-------08</v>
      </c>
      <c r="AS2171" s="215" t="str">
        <f t="shared" si="997"/>
        <v/>
      </c>
      <c r="AT2171">
        <f t="shared" si="998"/>
        <v>14</v>
      </c>
      <c r="AU2171" s="216" t="str">
        <f t="shared" si="999"/>
        <v>0-0,15 MW</v>
      </c>
      <c r="AV2171" s="215" t="str">
        <f t="shared" si="1000"/>
        <v/>
      </c>
      <c r="AW2171" s="216" t="str">
        <f t="shared" si="1001"/>
        <v>Anteil Nicht-KWK</v>
      </c>
      <c r="AX2171" s="215" t="str">
        <f t="shared" si="1002"/>
        <v/>
      </c>
      <c r="AY2171" t="str">
        <f t="shared" si="1003"/>
        <v/>
      </c>
      <c r="AZ2171" t="str">
        <f t="shared" si="1004"/>
        <v/>
      </c>
    </row>
    <row r="2172" spans="1:52" x14ac:dyDescent="0.25">
      <c r="A2172" s="627" t="s">
        <v>3672</v>
      </c>
      <c r="B2172" s="31" t="s">
        <v>5548</v>
      </c>
      <c r="C2172" s="31" t="s">
        <v>5540</v>
      </c>
      <c r="D2172" s="32" t="s">
        <v>6868</v>
      </c>
      <c r="E2172" s="31" t="s">
        <v>4812</v>
      </c>
      <c r="F2172" s="460">
        <f t="shared" si="1010"/>
        <v>13.67</v>
      </c>
      <c r="G2172" s="536">
        <v>13.67</v>
      </c>
      <c r="H2172" s="494">
        <f t="shared" si="1011"/>
        <v>10.94</v>
      </c>
      <c r="I2172" s="713"/>
      <c r="J2172" s="669" t="s">
        <v>5805</v>
      </c>
      <c r="K2172" s="15"/>
      <c r="M2172" s="49">
        <f t="shared" si="1012"/>
        <v>13.67</v>
      </c>
      <c r="N2172" s="41">
        <v>11.67</v>
      </c>
      <c r="O2172" s="54" t="s">
        <v>1017</v>
      </c>
      <c r="P2172" s="15"/>
      <c r="S2172" t="s">
        <v>4180</v>
      </c>
      <c r="T2172" t="s">
        <v>4180</v>
      </c>
      <c r="U2172" s="55"/>
      <c r="W2172" s="65"/>
      <c r="X2172" s="65"/>
      <c r="AA2172" s="65"/>
      <c r="AD2172" s="91"/>
      <c r="AE2172" s="124"/>
      <c r="AF2172" s="65"/>
      <c r="AG2172" s="91"/>
      <c r="AH2172" s="212" t="str">
        <f t="shared" si="991"/>
        <v/>
      </c>
      <c r="AI2172" s="214" t="str">
        <f t="shared" si="1005"/>
        <v/>
      </c>
      <c r="AJ2172" s="214" t="str">
        <f t="shared" si="1006"/>
        <v/>
      </c>
      <c r="AK2172" s="214" t="str">
        <f t="shared" si="1007"/>
        <v/>
      </c>
      <c r="AL2172" s="214" t="str">
        <f t="shared" si="1008"/>
        <v/>
      </c>
      <c r="AM2172" s="214" t="str">
        <f t="shared" si="1009"/>
        <v/>
      </c>
      <c r="AN2172" s="213" t="str">
        <f t="shared" si="992"/>
        <v/>
      </c>
      <c r="AO2172" s="213" t="str">
        <f t="shared" si="993"/>
        <v/>
      </c>
      <c r="AP2172" s="213" t="str">
        <f t="shared" si="994"/>
        <v/>
      </c>
      <c r="AQ2172" s="215" t="str">
        <f t="shared" si="995"/>
        <v/>
      </c>
      <c r="AR2172" s="216" t="str">
        <f t="shared" si="996"/>
        <v>BiK81KWK----08</v>
      </c>
      <c r="AS2172" s="215" t="str">
        <f t="shared" si="997"/>
        <v/>
      </c>
      <c r="AT2172">
        <f t="shared" si="998"/>
        <v>14</v>
      </c>
      <c r="AU2172" s="216" t="str">
        <f t="shared" si="999"/>
        <v>0-0,15 MW, Bonusregel KWK</v>
      </c>
      <c r="AV2172" s="215" t="str">
        <f t="shared" si="1000"/>
        <v/>
      </c>
      <c r="AW2172" s="216" t="str">
        <f t="shared" si="1001"/>
        <v>Anteil KWK</v>
      </c>
      <c r="AX2172" s="215" t="str">
        <f t="shared" si="1002"/>
        <v/>
      </c>
      <c r="AY2172" t="str">
        <f t="shared" si="1003"/>
        <v/>
      </c>
      <c r="AZ2172" t="str">
        <f t="shared" si="1004"/>
        <v/>
      </c>
    </row>
    <row r="2173" spans="1:52" x14ac:dyDescent="0.25">
      <c r="A2173" s="610" t="s">
        <v>4366</v>
      </c>
      <c r="B2173" s="17" t="s">
        <v>5548</v>
      </c>
      <c r="C2173" s="30" t="s">
        <v>5540</v>
      </c>
      <c r="D2173" s="30" t="s">
        <v>6869</v>
      </c>
      <c r="E2173" s="30" t="s">
        <v>4331</v>
      </c>
      <c r="F2173" s="454">
        <f t="shared" si="1010"/>
        <v>14.67</v>
      </c>
      <c r="G2173" s="529">
        <v>14.67</v>
      </c>
      <c r="H2173" s="487">
        <f t="shared" si="1011"/>
        <v>11.74</v>
      </c>
      <c r="I2173" s="706"/>
      <c r="J2173" s="669" t="s">
        <v>5805</v>
      </c>
      <c r="K2173" s="15"/>
      <c r="M2173" s="49">
        <f t="shared" si="1012"/>
        <v>14.67</v>
      </c>
      <c r="N2173" s="41">
        <v>11.67</v>
      </c>
      <c r="O2173" s="54"/>
      <c r="P2173" t="s">
        <v>1017</v>
      </c>
      <c r="S2173" t="s">
        <v>4180</v>
      </c>
      <c r="T2173" t="s">
        <v>4180</v>
      </c>
      <c r="U2173" s="55"/>
      <c r="W2173" s="65"/>
      <c r="X2173" s="65"/>
      <c r="AA2173" s="65"/>
      <c r="AD2173" s="91"/>
      <c r="AE2173" s="124"/>
      <c r="AF2173" s="65"/>
      <c r="AG2173" s="91"/>
      <c r="AH2173" s="212" t="str">
        <f t="shared" si="991"/>
        <v/>
      </c>
      <c r="AI2173" s="214" t="str">
        <f t="shared" si="1005"/>
        <v/>
      </c>
      <c r="AJ2173" s="214" t="str">
        <f t="shared" si="1006"/>
        <v/>
      </c>
      <c r="AK2173" s="214" t="str">
        <f t="shared" si="1007"/>
        <v/>
      </c>
      <c r="AL2173" s="214" t="str">
        <f t="shared" si="1008"/>
        <v/>
      </c>
      <c r="AM2173" s="214" t="str">
        <f t="shared" si="1009"/>
        <v/>
      </c>
      <c r="AN2173" s="213" t="str">
        <f t="shared" si="992"/>
        <v/>
      </c>
      <c r="AO2173" s="213" t="str">
        <f t="shared" si="993"/>
        <v/>
      </c>
      <c r="AP2173" s="213" t="str">
        <f t="shared" si="994"/>
        <v/>
      </c>
      <c r="AQ2173" s="215" t="str">
        <f t="shared" si="995"/>
        <v/>
      </c>
      <c r="AR2173" s="216" t="str">
        <f t="shared" si="996"/>
        <v>BiK81KA3----08</v>
      </c>
      <c r="AS2173" s="215" t="str">
        <f t="shared" si="997"/>
        <v/>
      </c>
      <c r="AT2173">
        <f t="shared" si="998"/>
        <v>14</v>
      </c>
      <c r="AU2173" s="216" t="str">
        <f t="shared" si="999"/>
        <v>0-0,15 MW, Bonusregel K wenn Anlage 3 erfüllt</v>
      </c>
      <c r="AV2173" s="215" t="str">
        <f t="shared" si="1000"/>
        <v/>
      </c>
      <c r="AW2173" s="216" t="str">
        <f t="shared" si="1001"/>
        <v>Anteil KWK gemäß Anlage 3</v>
      </c>
      <c r="AX2173" s="215" t="str">
        <f t="shared" si="1002"/>
        <v/>
      </c>
      <c r="AY2173" t="str">
        <f t="shared" si="1003"/>
        <v/>
      </c>
      <c r="AZ2173" t="str">
        <f t="shared" si="1004"/>
        <v/>
      </c>
    </row>
    <row r="2174" spans="1:52" x14ac:dyDescent="0.25">
      <c r="A2174" s="610" t="s">
        <v>902</v>
      </c>
      <c r="B2174" s="17" t="s">
        <v>5548</v>
      </c>
      <c r="C2174" s="17" t="s">
        <v>5540</v>
      </c>
      <c r="D2174" s="30" t="s">
        <v>6870</v>
      </c>
      <c r="E2174" s="17" t="s">
        <v>674</v>
      </c>
      <c r="F2174" s="454">
        <f t="shared" si="1010"/>
        <v>14.67</v>
      </c>
      <c r="G2174" s="529">
        <v>14.67</v>
      </c>
      <c r="H2174" s="487">
        <f t="shared" si="1011"/>
        <v>11.74</v>
      </c>
      <c r="I2174" s="706"/>
      <c r="J2174" s="669" t="s">
        <v>5805</v>
      </c>
      <c r="K2174" s="15"/>
      <c r="M2174" s="49">
        <f t="shared" si="1012"/>
        <v>14.67</v>
      </c>
      <c r="N2174" s="41">
        <v>11.67</v>
      </c>
      <c r="O2174" s="54"/>
      <c r="P2174" s="15"/>
      <c r="Q2174" t="s">
        <v>1017</v>
      </c>
      <c r="S2174" t="s">
        <v>4180</v>
      </c>
      <c r="T2174" t="s">
        <v>4180</v>
      </c>
      <c r="U2174" s="55"/>
      <c r="W2174" s="65"/>
      <c r="X2174" s="65"/>
      <c r="AA2174" s="65"/>
      <c r="AD2174" s="91"/>
      <c r="AE2174" s="124"/>
      <c r="AF2174" s="65"/>
      <c r="AG2174" s="91"/>
      <c r="AH2174" s="212" t="str">
        <f t="shared" si="991"/>
        <v/>
      </c>
      <c r="AI2174" s="214" t="str">
        <f t="shared" si="1005"/>
        <v/>
      </c>
      <c r="AJ2174" s="214" t="str">
        <f t="shared" si="1006"/>
        <v/>
      </c>
      <c r="AK2174" s="214" t="str">
        <f t="shared" si="1007"/>
        <v/>
      </c>
      <c r="AL2174" s="214" t="str">
        <f t="shared" si="1008"/>
        <v/>
      </c>
      <c r="AM2174" s="214" t="str">
        <f t="shared" si="1009"/>
        <v/>
      </c>
      <c r="AN2174" s="213" t="str">
        <f t="shared" si="992"/>
        <v/>
      </c>
      <c r="AO2174" s="213" t="str">
        <f t="shared" si="993"/>
        <v/>
      </c>
      <c r="AP2174" s="213" t="str">
        <f t="shared" si="994"/>
        <v/>
      </c>
      <c r="AQ2174" s="215" t="str">
        <f t="shared" si="995"/>
        <v/>
      </c>
      <c r="AR2174" s="216" t="str">
        <f t="shared" si="996"/>
        <v>BiK81K09----08</v>
      </c>
      <c r="AS2174" s="215" t="str">
        <f t="shared" si="997"/>
        <v/>
      </c>
      <c r="AT2174">
        <f t="shared" si="998"/>
        <v>14</v>
      </c>
      <c r="AU2174" s="216" t="str">
        <f t="shared" si="999"/>
        <v>0-0,15 MW, Bonusregel K erstmals 2009</v>
      </c>
      <c r="AV2174" s="215" t="str">
        <f t="shared" si="1000"/>
        <v/>
      </c>
      <c r="AW2174" s="216" t="str">
        <f t="shared" si="1001"/>
        <v>Anteil KWK, erstmals 2009</v>
      </c>
      <c r="AX2174" s="215" t="str">
        <f t="shared" si="1002"/>
        <v/>
      </c>
      <c r="AY2174" t="str">
        <f t="shared" si="1003"/>
        <v/>
      </c>
      <c r="AZ2174" t="str">
        <f t="shared" si="1004"/>
        <v/>
      </c>
    </row>
    <row r="2175" spans="1:52" s="178" customFormat="1" x14ac:dyDescent="0.25">
      <c r="A2175" s="610" t="s">
        <v>3158</v>
      </c>
      <c r="B2175" s="17" t="s">
        <v>5548</v>
      </c>
      <c r="C2175" s="17" t="s">
        <v>5540</v>
      </c>
      <c r="D2175" s="30" t="s">
        <v>6871</v>
      </c>
      <c r="E2175" s="30" t="s">
        <v>3567</v>
      </c>
      <c r="F2175" s="454">
        <f t="shared" si="1010"/>
        <v>14.64</v>
      </c>
      <c r="G2175" s="529">
        <v>14.64</v>
      </c>
      <c r="H2175" s="487">
        <f t="shared" si="1011"/>
        <v>11.71</v>
      </c>
      <c r="I2175" s="706"/>
      <c r="J2175" s="669" t="s">
        <v>5805</v>
      </c>
      <c r="K2175" s="15"/>
      <c r="L2175"/>
      <c r="M2175" s="49">
        <f t="shared" si="1012"/>
        <v>14.64</v>
      </c>
      <c r="N2175" s="41">
        <v>11.67</v>
      </c>
      <c r="O2175" s="54"/>
      <c r="P2175" s="15"/>
      <c r="Q2175"/>
      <c r="R2175" t="s">
        <v>1017</v>
      </c>
      <c r="S2175" t="s">
        <v>4180</v>
      </c>
      <c r="T2175" s="178" t="s">
        <v>4180</v>
      </c>
      <c r="U2175" s="55"/>
      <c r="V2175"/>
      <c r="W2175" s="65"/>
      <c r="X2175" s="65"/>
      <c r="Y2175"/>
      <c r="Z2175"/>
      <c r="AA2175" s="65"/>
      <c r="AB2175"/>
      <c r="AC2175"/>
      <c r="AD2175" s="91"/>
      <c r="AE2175" s="124"/>
      <c r="AF2175" s="65"/>
      <c r="AG2175" s="91"/>
      <c r="AH2175" s="212" t="str">
        <f t="shared" si="991"/>
        <v>2010</v>
      </c>
      <c r="AI2175" s="214" t="str">
        <f t="shared" si="1005"/>
        <v/>
      </c>
      <c r="AJ2175" s="214" t="str">
        <f t="shared" si="1006"/>
        <v/>
      </c>
      <c r="AK2175" s="214" t="str">
        <f t="shared" si="1007"/>
        <v/>
      </c>
      <c r="AL2175" s="214" t="str">
        <f t="shared" si="1008"/>
        <v/>
      </c>
      <c r="AM2175" s="214" t="str">
        <f t="shared" si="1009"/>
        <v/>
      </c>
      <c r="AN2175" s="213" t="str">
        <f t="shared" si="992"/>
        <v>2010</v>
      </c>
      <c r="AO2175" s="213" t="str">
        <f t="shared" si="993"/>
        <v>2010</v>
      </c>
      <c r="AP2175" s="213" t="str">
        <f t="shared" si="994"/>
        <v>2010</v>
      </c>
      <c r="AQ2175" s="215" t="str">
        <f t="shared" si="995"/>
        <v/>
      </c>
      <c r="AR2175" s="216" t="str">
        <f t="shared" si="996"/>
        <v>BiK81K10----08</v>
      </c>
      <c r="AS2175" s="215" t="str">
        <f t="shared" si="997"/>
        <v/>
      </c>
      <c r="AT2175">
        <f t="shared" si="998"/>
        <v>14</v>
      </c>
      <c r="AU2175" s="216" t="str">
        <f t="shared" si="999"/>
        <v>0-0,15 MW, Bonusregel K erstmals 2010</v>
      </c>
      <c r="AV2175" s="215" t="str">
        <f t="shared" si="1000"/>
        <v/>
      </c>
      <c r="AW2175" s="216" t="str">
        <f t="shared" si="1001"/>
        <v>Anteil KWK, erstmals 2010</v>
      </c>
      <c r="AX2175" s="215" t="str">
        <f t="shared" si="1002"/>
        <v/>
      </c>
      <c r="AY2175" t="str">
        <f t="shared" si="1003"/>
        <v/>
      </c>
      <c r="AZ2175" t="str">
        <f t="shared" si="1004"/>
        <v/>
      </c>
    </row>
    <row r="2176" spans="1:52" s="178" customFormat="1" x14ac:dyDescent="0.25">
      <c r="A2176" s="610" t="s">
        <v>3434</v>
      </c>
      <c r="B2176" s="17" t="s">
        <v>5548</v>
      </c>
      <c r="C2176" s="17" t="s">
        <v>5540</v>
      </c>
      <c r="D2176" s="30" t="s">
        <v>6872</v>
      </c>
      <c r="E2176" s="30" t="s">
        <v>3055</v>
      </c>
      <c r="F2176" s="454">
        <f t="shared" si="1010"/>
        <v>14.61</v>
      </c>
      <c r="G2176" s="529">
        <v>14.61</v>
      </c>
      <c r="H2176" s="487">
        <f t="shared" si="1011"/>
        <v>11.69</v>
      </c>
      <c r="I2176" s="706"/>
      <c r="J2176" s="669" t="s">
        <v>5805</v>
      </c>
      <c r="K2176" s="15"/>
      <c r="L2176"/>
      <c r="M2176" s="49">
        <f t="shared" si="1012"/>
        <v>14.61</v>
      </c>
      <c r="N2176" s="41">
        <v>11.67</v>
      </c>
      <c r="O2176" s="54"/>
      <c r="P2176" s="15"/>
      <c r="Q2176"/>
      <c r="R2176"/>
      <c r="S2176" t="s">
        <v>1017</v>
      </c>
      <c r="T2176" s="178" t="s">
        <v>4180</v>
      </c>
      <c r="U2176" s="55"/>
      <c r="V2176"/>
      <c r="W2176" s="65"/>
      <c r="X2176" s="65"/>
      <c r="Y2176"/>
      <c r="Z2176"/>
      <c r="AA2176" s="65"/>
      <c r="AB2176"/>
      <c r="AC2176"/>
      <c r="AD2176" s="91"/>
      <c r="AE2176" s="124"/>
      <c r="AF2176" s="65"/>
      <c r="AG2176" s="65"/>
      <c r="AH2176" s="212" t="str">
        <f t="shared" si="991"/>
        <v>2011</v>
      </c>
      <c r="AI2176" s="214" t="str">
        <f t="shared" si="1005"/>
        <v/>
      </c>
      <c r="AJ2176" s="214" t="str">
        <f t="shared" si="1006"/>
        <v/>
      </c>
      <c r="AK2176" s="214" t="str">
        <f t="shared" si="1007"/>
        <v/>
      </c>
      <c r="AL2176" s="214" t="str">
        <f t="shared" si="1008"/>
        <v/>
      </c>
      <c r="AM2176" s="214" t="str">
        <f t="shared" si="1009"/>
        <v/>
      </c>
      <c r="AN2176" s="213" t="str">
        <f t="shared" si="992"/>
        <v>2011</v>
      </c>
      <c r="AO2176" s="213" t="str">
        <f t="shared" si="993"/>
        <v>2011</v>
      </c>
      <c r="AP2176" s="213" t="str">
        <f t="shared" si="994"/>
        <v>2011</v>
      </c>
      <c r="AQ2176" s="215" t="str">
        <f t="shared" si="995"/>
        <v/>
      </c>
      <c r="AR2176" s="216" t="str">
        <f t="shared" si="996"/>
        <v>BiK81K11----08</v>
      </c>
      <c r="AS2176" s="215" t="str">
        <f t="shared" si="997"/>
        <v/>
      </c>
      <c r="AT2176">
        <f t="shared" si="998"/>
        <v>14</v>
      </c>
      <c r="AU2176" s="216" t="str">
        <f t="shared" si="999"/>
        <v>0-0,15 MW, Bonusregel K erstmals 2011</v>
      </c>
      <c r="AV2176" s="215" t="str">
        <f t="shared" si="1000"/>
        <v/>
      </c>
      <c r="AW2176" s="216" t="str">
        <f t="shared" si="1001"/>
        <v>Anteil KWK, erstmals 2011</v>
      </c>
      <c r="AX2176" s="215" t="str">
        <f t="shared" si="1002"/>
        <v/>
      </c>
      <c r="AY2176" t="str">
        <f t="shared" si="1003"/>
        <v>x</v>
      </c>
      <c r="AZ2176" t="str">
        <f t="shared" si="1004"/>
        <v/>
      </c>
    </row>
    <row r="2177" spans="1:52" s="178" customFormat="1" x14ac:dyDescent="0.25">
      <c r="A2177" s="625" t="s">
        <v>1866</v>
      </c>
      <c r="B2177" s="221" t="s">
        <v>5548</v>
      </c>
      <c r="C2177" s="221" t="s">
        <v>5540</v>
      </c>
      <c r="D2177" s="219" t="s">
        <v>6873</v>
      </c>
      <c r="E2177" s="219" t="s">
        <v>1980</v>
      </c>
      <c r="F2177" s="455">
        <f t="shared" si="1010"/>
        <v>14.58</v>
      </c>
      <c r="G2177" s="530">
        <v>14.58</v>
      </c>
      <c r="H2177" s="488">
        <f t="shared" si="1011"/>
        <v>11.66</v>
      </c>
      <c r="I2177" s="707"/>
      <c r="J2177" s="669" t="s">
        <v>5805</v>
      </c>
      <c r="K2177" s="15"/>
      <c r="L2177"/>
      <c r="M2177" s="49">
        <f t="shared" si="1012"/>
        <v>14.58</v>
      </c>
      <c r="N2177" s="41">
        <v>11.67</v>
      </c>
      <c r="O2177" s="54"/>
      <c r="P2177" s="15"/>
      <c r="Q2177"/>
      <c r="R2177"/>
      <c r="S2177" t="s">
        <v>4180</v>
      </c>
      <c r="T2177" s="178" t="s">
        <v>1017</v>
      </c>
      <c r="U2177" s="55"/>
      <c r="V2177"/>
      <c r="W2177" s="65"/>
      <c r="X2177" s="65"/>
      <c r="Y2177"/>
      <c r="Z2177"/>
      <c r="AA2177" s="65"/>
      <c r="AB2177"/>
      <c r="AC2177"/>
      <c r="AD2177" s="91"/>
      <c r="AE2177" s="124"/>
      <c r="AF2177" s="65"/>
      <c r="AG2177" s="65"/>
      <c r="AH2177" s="217" t="s">
        <v>4179</v>
      </c>
      <c r="AI2177" s="214" t="str">
        <f t="shared" si="1005"/>
        <v/>
      </c>
      <c r="AJ2177" s="214" t="str">
        <f t="shared" si="1006"/>
        <v/>
      </c>
      <c r="AK2177" s="214" t="str">
        <f t="shared" si="1007"/>
        <v/>
      </c>
      <c r="AL2177" s="214" t="str">
        <f t="shared" si="1008"/>
        <v/>
      </c>
      <c r="AM2177" s="214" t="str">
        <f t="shared" si="1009"/>
        <v/>
      </c>
      <c r="AN2177" s="213" t="str">
        <f t="shared" si="992"/>
        <v>2012</v>
      </c>
      <c r="AO2177" s="213" t="str">
        <f t="shared" si="993"/>
        <v>2012</v>
      </c>
      <c r="AP2177" s="213" t="str">
        <f t="shared" si="994"/>
        <v>2012</v>
      </c>
      <c r="AQ2177" s="215" t="str">
        <f t="shared" si="995"/>
        <v/>
      </c>
      <c r="AR2177" s="216" t="str">
        <f t="shared" si="996"/>
        <v>BiK81K12----08</v>
      </c>
      <c r="AS2177" s="215" t="str">
        <f t="shared" si="997"/>
        <v/>
      </c>
      <c r="AT2177">
        <f t="shared" si="998"/>
        <v>14</v>
      </c>
      <c r="AU2177" s="216" t="str">
        <f t="shared" si="999"/>
        <v>0-0,15 MW, Bonusregel K erstmals 2012</v>
      </c>
      <c r="AV2177" s="215" t="str">
        <f t="shared" si="1000"/>
        <v/>
      </c>
      <c r="AW2177" s="216" t="str">
        <f t="shared" si="1001"/>
        <v>Anteil KWK, erstmals 2012</v>
      </c>
      <c r="AX2177" s="215" t="str">
        <f t="shared" si="1002"/>
        <v/>
      </c>
      <c r="AY2177" t="str">
        <f t="shared" si="1003"/>
        <v/>
      </c>
      <c r="AZ2177" t="str">
        <f t="shared" si="1004"/>
        <v>x</v>
      </c>
    </row>
    <row r="2178" spans="1:52" s="178" customFormat="1" x14ac:dyDescent="0.25">
      <c r="A2178" s="610" t="s">
        <v>582</v>
      </c>
      <c r="B2178" s="17" t="s">
        <v>5548</v>
      </c>
      <c r="C2178" s="17" t="s">
        <v>5540</v>
      </c>
      <c r="D2178" s="30" t="s">
        <v>6874</v>
      </c>
      <c r="E2178" s="17" t="s">
        <v>4810</v>
      </c>
      <c r="F2178" s="454">
        <f t="shared" si="1010"/>
        <v>12.67</v>
      </c>
      <c r="G2178" s="529">
        <v>12.67</v>
      </c>
      <c r="H2178" s="487">
        <f t="shared" si="1011"/>
        <v>10.14</v>
      </c>
      <c r="I2178" s="706"/>
      <c r="J2178" s="669" t="s">
        <v>5805</v>
      </c>
      <c r="K2178" s="15"/>
      <c r="L2178"/>
      <c r="M2178" s="49">
        <f t="shared" si="1012"/>
        <v>12.67</v>
      </c>
      <c r="N2178" s="41">
        <v>11.67</v>
      </c>
      <c r="O2178" s="54"/>
      <c r="P2178" s="15"/>
      <c r="Q2178"/>
      <c r="R2178"/>
      <c r="S2178" t="s">
        <v>4180</v>
      </c>
      <c r="T2178" s="178" t="s">
        <v>4180</v>
      </c>
      <c r="U2178" s="55" t="s">
        <v>1017</v>
      </c>
      <c r="V2178"/>
      <c r="W2178" s="65"/>
      <c r="X2178" s="65"/>
      <c r="Y2178"/>
      <c r="Z2178"/>
      <c r="AA2178" s="65"/>
      <c r="AB2178"/>
      <c r="AC2178"/>
      <c r="AD2178" s="91"/>
      <c r="AE2178" s="124"/>
      <c r="AF2178" s="65"/>
      <c r="AG2178" s="91"/>
      <c r="AH2178" s="212" t="str">
        <f t="shared" ref="AH2178:AH2183" si="1013">IF(ISERROR(SEARCH("K erstmals 201",D2178)),"",RIGHT(D2178,4))</f>
        <v/>
      </c>
      <c r="AI2178" s="214" t="str">
        <f t="shared" si="1005"/>
        <v/>
      </c>
      <c r="AJ2178" s="214" t="str">
        <f t="shared" si="1006"/>
        <v/>
      </c>
      <c r="AK2178" s="214" t="str">
        <f t="shared" si="1007"/>
        <v/>
      </c>
      <c r="AL2178" s="214" t="str">
        <f t="shared" si="1008"/>
        <v/>
      </c>
      <c r="AM2178" s="214" t="str">
        <f t="shared" si="1009"/>
        <v/>
      </c>
      <c r="AN2178" s="213" t="str">
        <f t="shared" si="992"/>
        <v/>
      </c>
      <c r="AO2178" s="213" t="str">
        <f t="shared" si="993"/>
        <v/>
      </c>
      <c r="AP2178" s="213" t="str">
        <f t="shared" si="994"/>
        <v/>
      </c>
      <c r="AQ2178" s="215" t="str">
        <f t="shared" si="995"/>
        <v/>
      </c>
      <c r="AR2178" s="216" t="str">
        <f t="shared" si="996"/>
        <v>BiK81y------08</v>
      </c>
      <c r="AS2178" s="215" t="str">
        <f t="shared" si="997"/>
        <v/>
      </c>
      <c r="AT2178">
        <f t="shared" si="998"/>
        <v>14</v>
      </c>
      <c r="AU2178" s="216" t="str">
        <f t="shared" si="999"/>
        <v>0-0,15 MW, Bonusregel y</v>
      </c>
      <c r="AV2178" s="215" t="str">
        <f t="shared" si="1000"/>
        <v/>
      </c>
      <c r="AW2178" s="216" t="str">
        <f t="shared" si="1001"/>
        <v>Anteil Nicht-KWK</v>
      </c>
      <c r="AX2178" s="215" t="str">
        <f t="shared" si="1002"/>
        <v/>
      </c>
      <c r="AY2178" t="str">
        <f t="shared" si="1003"/>
        <v/>
      </c>
      <c r="AZ2178" t="str">
        <f t="shared" si="1004"/>
        <v/>
      </c>
    </row>
    <row r="2179" spans="1:52" s="178" customFormat="1" x14ac:dyDescent="0.25">
      <c r="A2179" s="610" t="s">
        <v>583</v>
      </c>
      <c r="B2179" s="17" t="s">
        <v>5548</v>
      </c>
      <c r="C2179" s="17" t="s">
        <v>5540</v>
      </c>
      <c r="D2179" s="21" t="s">
        <v>7027</v>
      </c>
      <c r="E2179" s="17" t="s">
        <v>4812</v>
      </c>
      <c r="F2179" s="454">
        <f t="shared" si="1010"/>
        <v>14.67</v>
      </c>
      <c r="G2179" s="529">
        <v>14.67</v>
      </c>
      <c r="H2179" s="487">
        <f t="shared" si="1011"/>
        <v>11.74</v>
      </c>
      <c r="I2179" s="706"/>
      <c r="J2179" s="669" t="s">
        <v>5805</v>
      </c>
      <c r="K2179" s="15"/>
      <c r="L2179"/>
      <c r="M2179" s="49">
        <f t="shared" si="1012"/>
        <v>14.67</v>
      </c>
      <c r="N2179" s="41">
        <v>11.67</v>
      </c>
      <c r="O2179" s="54" t="s">
        <v>1017</v>
      </c>
      <c r="P2179" s="15"/>
      <c r="Q2179"/>
      <c r="R2179"/>
      <c r="S2179" t="s">
        <v>4180</v>
      </c>
      <c r="T2179" s="178" t="s">
        <v>4180</v>
      </c>
      <c r="U2179" s="55" t="s">
        <v>1017</v>
      </c>
      <c r="V2179"/>
      <c r="W2179" s="65"/>
      <c r="X2179" s="65"/>
      <c r="Y2179"/>
      <c r="Z2179"/>
      <c r="AA2179" s="65"/>
      <c r="AB2179"/>
      <c r="AC2179"/>
      <c r="AD2179" s="91"/>
      <c r="AE2179" s="124"/>
      <c r="AF2179" s="65"/>
      <c r="AG2179" s="91"/>
      <c r="AH2179" s="212" t="str">
        <f t="shared" si="1013"/>
        <v/>
      </c>
      <c r="AI2179" s="214" t="str">
        <f t="shared" si="1005"/>
        <v/>
      </c>
      <c r="AJ2179" s="214" t="str">
        <f t="shared" si="1006"/>
        <v/>
      </c>
      <c r="AK2179" s="214" t="str">
        <f t="shared" si="1007"/>
        <v/>
      </c>
      <c r="AL2179" s="214" t="str">
        <f t="shared" si="1008"/>
        <v/>
      </c>
      <c r="AM2179" s="214" t="str">
        <f t="shared" si="1009"/>
        <v/>
      </c>
      <c r="AN2179" s="213" t="str">
        <f t="shared" si="992"/>
        <v/>
      </c>
      <c r="AO2179" s="213" t="str">
        <f t="shared" si="993"/>
        <v/>
      </c>
      <c r="AP2179" s="213" t="str">
        <f t="shared" si="994"/>
        <v/>
      </c>
      <c r="AQ2179" s="215" t="str">
        <f t="shared" si="995"/>
        <v/>
      </c>
      <c r="AR2179" s="216" t="str">
        <f t="shared" si="996"/>
        <v>BiK81KWKy---08</v>
      </c>
      <c r="AS2179" s="215" t="str">
        <f t="shared" si="997"/>
        <v/>
      </c>
      <c r="AT2179">
        <f t="shared" si="998"/>
        <v>14</v>
      </c>
      <c r="AU2179" s="216" t="str">
        <f t="shared" si="999"/>
        <v>0-0,15 MW, Bonusregeln y, KWK</v>
      </c>
      <c r="AV2179" s="215" t="str">
        <f t="shared" si="1000"/>
        <v/>
      </c>
      <c r="AW2179" s="216" t="str">
        <f t="shared" si="1001"/>
        <v>Anteil KWK</v>
      </c>
      <c r="AX2179" s="215" t="str">
        <f t="shared" si="1002"/>
        <v/>
      </c>
      <c r="AY2179" t="str">
        <f t="shared" si="1003"/>
        <v/>
      </c>
      <c r="AZ2179" t="str">
        <f t="shared" si="1004"/>
        <v/>
      </c>
    </row>
    <row r="2180" spans="1:52" s="178" customFormat="1" x14ac:dyDescent="0.25">
      <c r="A2180" s="610" t="s">
        <v>584</v>
      </c>
      <c r="B2180" s="17" t="s">
        <v>5548</v>
      </c>
      <c r="C2180" s="30" t="s">
        <v>5540</v>
      </c>
      <c r="D2180" s="30" t="s">
        <v>7028</v>
      </c>
      <c r="E2180" s="30" t="s">
        <v>4331</v>
      </c>
      <c r="F2180" s="454">
        <f t="shared" si="1010"/>
        <v>15.67</v>
      </c>
      <c r="G2180" s="529">
        <v>15.67</v>
      </c>
      <c r="H2180" s="487">
        <f t="shared" si="1011"/>
        <v>12.54</v>
      </c>
      <c r="I2180" s="706"/>
      <c r="J2180" s="669" t="s">
        <v>5805</v>
      </c>
      <c r="K2180" s="15"/>
      <c r="L2180"/>
      <c r="M2180" s="49">
        <f t="shared" si="1012"/>
        <v>15.67</v>
      </c>
      <c r="N2180" s="41">
        <v>11.67</v>
      </c>
      <c r="O2180" s="54"/>
      <c r="P2180" t="s">
        <v>1017</v>
      </c>
      <c r="Q2180"/>
      <c r="R2180"/>
      <c r="S2180" t="s">
        <v>4180</v>
      </c>
      <c r="T2180" s="178" t="s">
        <v>4180</v>
      </c>
      <c r="U2180" s="55" t="s">
        <v>1017</v>
      </c>
      <c r="V2180"/>
      <c r="W2180" s="65"/>
      <c r="X2180" s="65"/>
      <c r="Y2180"/>
      <c r="Z2180"/>
      <c r="AA2180" s="65"/>
      <c r="AB2180"/>
      <c r="AC2180"/>
      <c r="AD2180" s="91"/>
      <c r="AE2180" s="124"/>
      <c r="AF2180" s="65"/>
      <c r="AG2180" s="91"/>
      <c r="AH2180" s="212" t="str">
        <f t="shared" si="1013"/>
        <v/>
      </c>
      <c r="AI2180" s="214" t="str">
        <f t="shared" si="1005"/>
        <v/>
      </c>
      <c r="AJ2180" s="214" t="str">
        <f t="shared" si="1006"/>
        <v/>
      </c>
      <c r="AK2180" s="214" t="str">
        <f t="shared" si="1007"/>
        <v/>
      </c>
      <c r="AL2180" s="214" t="str">
        <f t="shared" si="1008"/>
        <v/>
      </c>
      <c r="AM2180" s="214" t="str">
        <f t="shared" si="1009"/>
        <v/>
      </c>
      <c r="AN2180" s="213" t="str">
        <f t="shared" si="992"/>
        <v/>
      </c>
      <c r="AO2180" s="213" t="str">
        <f t="shared" si="993"/>
        <v/>
      </c>
      <c r="AP2180" s="213" t="str">
        <f t="shared" si="994"/>
        <v/>
      </c>
      <c r="AQ2180" s="215" t="str">
        <f t="shared" si="995"/>
        <v/>
      </c>
      <c r="AR2180" s="216" t="str">
        <f t="shared" si="996"/>
        <v>BiK81KA3y---08</v>
      </c>
      <c r="AS2180" s="215" t="str">
        <f t="shared" si="997"/>
        <v/>
      </c>
      <c r="AT2180">
        <f t="shared" si="998"/>
        <v>14</v>
      </c>
      <c r="AU2180" s="216" t="str">
        <f t="shared" si="999"/>
        <v>0-0,15 MW, Bonusregeln y, K wenn Anlage 3 erfüllt</v>
      </c>
      <c r="AV2180" s="215" t="str">
        <f t="shared" si="1000"/>
        <v/>
      </c>
      <c r="AW2180" s="216" t="str">
        <f t="shared" si="1001"/>
        <v>Anteil KWK gemäß Anlage 3</v>
      </c>
      <c r="AX2180" s="215" t="str">
        <f t="shared" si="1002"/>
        <v/>
      </c>
      <c r="AY2180" t="str">
        <f t="shared" si="1003"/>
        <v/>
      </c>
      <c r="AZ2180" t="str">
        <f t="shared" si="1004"/>
        <v/>
      </c>
    </row>
    <row r="2181" spans="1:52" s="178" customFormat="1" x14ac:dyDescent="0.25">
      <c r="A2181" s="610" t="s">
        <v>585</v>
      </c>
      <c r="B2181" s="17" t="s">
        <v>5548</v>
      </c>
      <c r="C2181" s="17" t="s">
        <v>5540</v>
      </c>
      <c r="D2181" s="30" t="s">
        <v>7029</v>
      </c>
      <c r="E2181" s="17" t="s">
        <v>674</v>
      </c>
      <c r="F2181" s="454">
        <f t="shared" si="1010"/>
        <v>15.67</v>
      </c>
      <c r="G2181" s="529">
        <v>15.67</v>
      </c>
      <c r="H2181" s="487">
        <f t="shared" si="1011"/>
        <v>12.54</v>
      </c>
      <c r="I2181" s="706"/>
      <c r="J2181" s="669" t="s">
        <v>5805</v>
      </c>
      <c r="K2181" s="15"/>
      <c r="L2181"/>
      <c r="M2181" s="49">
        <f t="shared" si="1012"/>
        <v>15.67</v>
      </c>
      <c r="N2181" s="41">
        <v>11.67</v>
      </c>
      <c r="O2181" s="54"/>
      <c r="P2181" s="15"/>
      <c r="Q2181" t="s">
        <v>1017</v>
      </c>
      <c r="R2181"/>
      <c r="S2181" t="s">
        <v>4180</v>
      </c>
      <c r="T2181" s="178" t="s">
        <v>4180</v>
      </c>
      <c r="U2181" s="55" t="s">
        <v>1017</v>
      </c>
      <c r="V2181"/>
      <c r="W2181" s="65"/>
      <c r="X2181" s="65"/>
      <c r="Y2181"/>
      <c r="Z2181"/>
      <c r="AA2181" s="65"/>
      <c r="AB2181"/>
      <c r="AC2181"/>
      <c r="AD2181" s="91"/>
      <c r="AE2181" s="124"/>
      <c r="AF2181" s="65"/>
      <c r="AG2181" s="91"/>
      <c r="AH2181" s="212" t="str">
        <f t="shared" si="1013"/>
        <v/>
      </c>
      <c r="AI2181" s="214" t="str">
        <f t="shared" si="1005"/>
        <v/>
      </c>
      <c r="AJ2181" s="214" t="str">
        <f t="shared" si="1006"/>
        <v/>
      </c>
      <c r="AK2181" s="214" t="str">
        <f t="shared" si="1007"/>
        <v/>
      </c>
      <c r="AL2181" s="214" t="str">
        <f t="shared" si="1008"/>
        <v/>
      </c>
      <c r="AM2181" s="214" t="str">
        <f t="shared" si="1009"/>
        <v/>
      </c>
      <c r="AN2181" s="213" t="str">
        <f t="shared" si="992"/>
        <v/>
      </c>
      <c r="AO2181" s="213" t="str">
        <f t="shared" si="993"/>
        <v/>
      </c>
      <c r="AP2181" s="213" t="str">
        <f t="shared" si="994"/>
        <v/>
      </c>
      <c r="AQ2181" s="215" t="str">
        <f t="shared" si="995"/>
        <v/>
      </c>
      <c r="AR2181" s="216" t="str">
        <f t="shared" si="996"/>
        <v>BiK81K09y---08</v>
      </c>
      <c r="AS2181" s="215" t="str">
        <f t="shared" si="997"/>
        <v/>
      </c>
      <c r="AT2181">
        <f t="shared" si="998"/>
        <v>14</v>
      </c>
      <c r="AU2181" s="216" t="str">
        <f t="shared" si="999"/>
        <v>0-0,15 MW, Bonusregeln y, K erstmals 2009</v>
      </c>
      <c r="AV2181" s="215" t="str">
        <f t="shared" si="1000"/>
        <v/>
      </c>
      <c r="AW2181" s="216" t="str">
        <f t="shared" si="1001"/>
        <v>Anteil KWK, erstmals 2009</v>
      </c>
      <c r="AX2181" s="215" t="str">
        <f t="shared" si="1002"/>
        <v/>
      </c>
      <c r="AY2181" t="str">
        <f t="shared" si="1003"/>
        <v/>
      </c>
      <c r="AZ2181" t="str">
        <f t="shared" si="1004"/>
        <v/>
      </c>
    </row>
    <row r="2182" spans="1:52" s="178" customFormat="1" x14ac:dyDescent="0.25">
      <c r="A2182" s="610" t="s">
        <v>3159</v>
      </c>
      <c r="B2182" s="17" t="s">
        <v>5548</v>
      </c>
      <c r="C2182" s="17" t="s">
        <v>5540</v>
      </c>
      <c r="D2182" s="30" t="s">
        <v>7030</v>
      </c>
      <c r="E2182" s="30" t="s">
        <v>3567</v>
      </c>
      <c r="F2182" s="454">
        <f t="shared" si="1010"/>
        <v>15.64</v>
      </c>
      <c r="G2182" s="529">
        <v>15.64</v>
      </c>
      <c r="H2182" s="487">
        <f t="shared" si="1011"/>
        <v>12.51</v>
      </c>
      <c r="I2182" s="706"/>
      <c r="J2182" s="669" t="s">
        <v>5805</v>
      </c>
      <c r="K2182" s="15"/>
      <c r="L2182"/>
      <c r="M2182" s="49">
        <f t="shared" si="1012"/>
        <v>15.64</v>
      </c>
      <c r="N2182" s="41">
        <v>11.67</v>
      </c>
      <c r="O2182" s="54"/>
      <c r="P2182" s="15"/>
      <c r="Q2182"/>
      <c r="R2182" t="s">
        <v>1017</v>
      </c>
      <c r="S2182" t="s">
        <v>4180</v>
      </c>
      <c r="T2182" s="178" t="s">
        <v>4180</v>
      </c>
      <c r="U2182" s="55" t="s">
        <v>1017</v>
      </c>
      <c r="V2182"/>
      <c r="W2182" s="65"/>
      <c r="X2182" s="65"/>
      <c r="Y2182"/>
      <c r="Z2182"/>
      <c r="AA2182" s="65"/>
      <c r="AB2182"/>
      <c r="AC2182"/>
      <c r="AD2182" s="91"/>
      <c r="AE2182" s="124"/>
      <c r="AF2182" s="65"/>
      <c r="AG2182" s="91"/>
      <c r="AH2182" s="212" t="str">
        <f t="shared" si="1013"/>
        <v>2010</v>
      </c>
      <c r="AI2182" s="214" t="str">
        <f t="shared" si="1005"/>
        <v/>
      </c>
      <c r="AJ2182" s="214" t="str">
        <f t="shared" si="1006"/>
        <v/>
      </c>
      <c r="AK2182" s="214" t="str">
        <f t="shared" si="1007"/>
        <v/>
      </c>
      <c r="AL2182" s="214" t="str">
        <f t="shared" si="1008"/>
        <v/>
      </c>
      <c r="AM2182" s="214" t="str">
        <f t="shared" si="1009"/>
        <v/>
      </c>
      <c r="AN2182" s="213" t="str">
        <f t="shared" si="992"/>
        <v>2010</v>
      </c>
      <c r="AO2182" s="213" t="str">
        <f t="shared" si="993"/>
        <v>2010</v>
      </c>
      <c r="AP2182" s="213" t="str">
        <f t="shared" si="994"/>
        <v>2010</v>
      </c>
      <c r="AQ2182" s="215" t="str">
        <f t="shared" si="995"/>
        <v/>
      </c>
      <c r="AR2182" s="216" t="str">
        <f t="shared" si="996"/>
        <v>BiK81K10y---08</v>
      </c>
      <c r="AS2182" s="215" t="str">
        <f t="shared" si="997"/>
        <v/>
      </c>
      <c r="AT2182">
        <f t="shared" si="998"/>
        <v>14</v>
      </c>
      <c r="AU2182" s="216" t="str">
        <f t="shared" si="999"/>
        <v>0-0,15 MW, Bonusregeln y, K erstmals 2010</v>
      </c>
      <c r="AV2182" s="215" t="str">
        <f t="shared" si="1000"/>
        <v/>
      </c>
      <c r="AW2182" s="216" t="str">
        <f t="shared" si="1001"/>
        <v>Anteil KWK, erstmals 2010</v>
      </c>
      <c r="AX2182" s="215" t="str">
        <f t="shared" si="1002"/>
        <v/>
      </c>
      <c r="AY2182" t="str">
        <f t="shared" si="1003"/>
        <v/>
      </c>
      <c r="AZ2182" t="str">
        <f t="shared" si="1004"/>
        <v/>
      </c>
    </row>
    <row r="2183" spans="1:52" s="178" customFormat="1" x14ac:dyDescent="0.25">
      <c r="A2183" s="610" t="s">
        <v>3435</v>
      </c>
      <c r="B2183" s="17" t="s">
        <v>5548</v>
      </c>
      <c r="C2183" s="17" t="s">
        <v>5540</v>
      </c>
      <c r="D2183" s="30" t="s">
        <v>7031</v>
      </c>
      <c r="E2183" s="30" t="s">
        <v>3055</v>
      </c>
      <c r="F2183" s="454">
        <f t="shared" si="1010"/>
        <v>15.61</v>
      </c>
      <c r="G2183" s="529">
        <v>15.61</v>
      </c>
      <c r="H2183" s="487">
        <f t="shared" si="1011"/>
        <v>12.49</v>
      </c>
      <c r="I2183" s="706"/>
      <c r="J2183" s="669" t="s">
        <v>5805</v>
      </c>
      <c r="K2183" s="15"/>
      <c r="L2183"/>
      <c r="M2183" s="49">
        <f t="shared" si="1012"/>
        <v>15.61</v>
      </c>
      <c r="N2183" s="41">
        <v>11.67</v>
      </c>
      <c r="O2183" s="54"/>
      <c r="P2183" s="15"/>
      <c r="Q2183"/>
      <c r="R2183"/>
      <c r="S2183" t="s">
        <v>1017</v>
      </c>
      <c r="T2183" s="178" t="s">
        <v>4180</v>
      </c>
      <c r="U2183" s="55" t="s">
        <v>1017</v>
      </c>
      <c r="V2183"/>
      <c r="W2183" s="65"/>
      <c r="X2183" s="65"/>
      <c r="Y2183"/>
      <c r="Z2183"/>
      <c r="AA2183" s="65"/>
      <c r="AB2183"/>
      <c r="AC2183"/>
      <c r="AD2183" s="91"/>
      <c r="AE2183" s="124"/>
      <c r="AF2183" s="65"/>
      <c r="AG2183" s="91"/>
      <c r="AH2183" s="212" t="str">
        <f t="shared" si="1013"/>
        <v>2011</v>
      </c>
      <c r="AI2183" s="214" t="str">
        <f t="shared" si="1005"/>
        <v/>
      </c>
      <c r="AJ2183" s="214" t="str">
        <f t="shared" si="1006"/>
        <v/>
      </c>
      <c r="AK2183" s="214" t="str">
        <f t="shared" si="1007"/>
        <v/>
      </c>
      <c r="AL2183" s="214" t="str">
        <f t="shared" si="1008"/>
        <v/>
      </c>
      <c r="AM2183" s="214" t="str">
        <f t="shared" si="1009"/>
        <v/>
      </c>
      <c r="AN2183" s="213" t="str">
        <f t="shared" si="992"/>
        <v>2011</v>
      </c>
      <c r="AO2183" s="213" t="str">
        <f t="shared" si="993"/>
        <v>2011</v>
      </c>
      <c r="AP2183" s="213" t="str">
        <f t="shared" si="994"/>
        <v>2011</v>
      </c>
      <c r="AQ2183" s="215" t="str">
        <f t="shared" si="995"/>
        <v/>
      </c>
      <c r="AR2183" s="216" t="str">
        <f t="shared" si="996"/>
        <v>BiK81K11y---08</v>
      </c>
      <c r="AS2183" s="215" t="str">
        <f t="shared" si="997"/>
        <v/>
      </c>
      <c r="AT2183">
        <f t="shared" si="998"/>
        <v>14</v>
      </c>
      <c r="AU2183" s="216" t="str">
        <f t="shared" si="999"/>
        <v>0-0,15 MW, Bonusregeln y, K erstmals 2011</v>
      </c>
      <c r="AV2183" s="215" t="str">
        <f t="shared" si="1000"/>
        <v/>
      </c>
      <c r="AW2183" s="216" t="str">
        <f t="shared" si="1001"/>
        <v>Anteil KWK, erstmals 2011</v>
      </c>
      <c r="AX2183" s="215" t="str">
        <f t="shared" si="1002"/>
        <v/>
      </c>
      <c r="AY2183" t="str">
        <f t="shared" si="1003"/>
        <v>x</v>
      </c>
      <c r="AZ2183" t="str">
        <f t="shared" si="1004"/>
        <v/>
      </c>
    </row>
    <row r="2184" spans="1:52" s="178" customFormat="1" x14ac:dyDescent="0.25">
      <c r="A2184" s="625" t="s">
        <v>1867</v>
      </c>
      <c r="B2184" s="221" t="s">
        <v>5548</v>
      </c>
      <c r="C2184" s="221" t="s">
        <v>5540</v>
      </c>
      <c r="D2184" s="219" t="s">
        <v>7032</v>
      </c>
      <c r="E2184" s="219" t="s">
        <v>1980</v>
      </c>
      <c r="F2184" s="455">
        <f t="shared" si="1010"/>
        <v>15.58</v>
      </c>
      <c r="G2184" s="530">
        <v>15.58</v>
      </c>
      <c r="H2184" s="488">
        <f t="shared" si="1011"/>
        <v>12.46</v>
      </c>
      <c r="I2184" s="707"/>
      <c r="J2184" s="669" t="s">
        <v>5805</v>
      </c>
      <c r="K2184" s="15"/>
      <c r="L2184"/>
      <c r="M2184" s="49">
        <f t="shared" si="1012"/>
        <v>15.58</v>
      </c>
      <c r="N2184" s="41">
        <v>11.67</v>
      </c>
      <c r="O2184" s="54"/>
      <c r="P2184" s="15"/>
      <c r="Q2184"/>
      <c r="R2184"/>
      <c r="S2184" t="s">
        <v>4180</v>
      </c>
      <c r="T2184" s="178" t="s">
        <v>1017</v>
      </c>
      <c r="U2184" s="55" t="s">
        <v>1017</v>
      </c>
      <c r="V2184"/>
      <c r="W2184" s="65"/>
      <c r="X2184" s="65"/>
      <c r="Y2184"/>
      <c r="Z2184"/>
      <c r="AA2184" s="65"/>
      <c r="AB2184"/>
      <c r="AC2184"/>
      <c r="AD2184" s="91"/>
      <c r="AE2184" s="124"/>
      <c r="AF2184" s="65"/>
      <c r="AG2184" s="91"/>
      <c r="AH2184" s="217" t="s">
        <v>4179</v>
      </c>
      <c r="AI2184" s="214" t="str">
        <f t="shared" si="1005"/>
        <v/>
      </c>
      <c r="AJ2184" s="214" t="str">
        <f t="shared" si="1006"/>
        <v/>
      </c>
      <c r="AK2184" s="214" t="str">
        <f t="shared" si="1007"/>
        <v/>
      </c>
      <c r="AL2184" s="214" t="str">
        <f t="shared" si="1008"/>
        <v/>
      </c>
      <c r="AM2184" s="214" t="str">
        <f t="shared" si="1009"/>
        <v/>
      </c>
      <c r="AN2184" s="213" t="str">
        <f t="shared" si="992"/>
        <v>2012</v>
      </c>
      <c r="AO2184" s="213" t="str">
        <f t="shared" si="993"/>
        <v>2012</v>
      </c>
      <c r="AP2184" s="213" t="str">
        <f t="shared" si="994"/>
        <v>2012</v>
      </c>
      <c r="AQ2184" s="215" t="str">
        <f t="shared" si="995"/>
        <v/>
      </c>
      <c r="AR2184" s="216" t="str">
        <f t="shared" si="996"/>
        <v>BiK81K12y---08</v>
      </c>
      <c r="AS2184" s="215" t="str">
        <f t="shared" si="997"/>
        <v/>
      </c>
      <c r="AT2184">
        <f t="shared" si="998"/>
        <v>14</v>
      </c>
      <c r="AU2184" s="216" t="str">
        <f t="shared" si="999"/>
        <v>0-0,15 MW, Bonusregeln y, K erstmals 2012</v>
      </c>
      <c r="AV2184" s="215" t="str">
        <f t="shared" si="1000"/>
        <v/>
      </c>
      <c r="AW2184" s="216" t="str">
        <f t="shared" si="1001"/>
        <v>Anteil KWK, erstmals 2012</v>
      </c>
      <c r="AX2184" s="215" t="str">
        <f t="shared" si="1002"/>
        <v/>
      </c>
      <c r="AY2184" t="str">
        <f t="shared" si="1003"/>
        <v/>
      </c>
      <c r="AZ2184" t="str">
        <f t="shared" si="1004"/>
        <v>x</v>
      </c>
    </row>
    <row r="2185" spans="1:52" x14ac:dyDescent="0.25">
      <c r="A2185" s="618" t="s">
        <v>3673</v>
      </c>
      <c r="B2185" s="31" t="s">
        <v>5548</v>
      </c>
      <c r="C2185" s="31" t="s">
        <v>5540</v>
      </c>
      <c r="D2185" s="31" t="s">
        <v>6881</v>
      </c>
      <c r="E2185" s="31" t="s">
        <v>4810</v>
      </c>
      <c r="F2185" s="460">
        <f t="shared" si="1010"/>
        <v>17.670000000000002</v>
      </c>
      <c r="G2185" s="536">
        <v>17.670000000000002</v>
      </c>
      <c r="H2185" s="494">
        <f t="shared" si="1011"/>
        <v>14.14</v>
      </c>
      <c r="I2185" s="713"/>
      <c r="J2185" s="669" t="s">
        <v>5805</v>
      </c>
      <c r="K2185" s="15"/>
      <c r="M2185" s="49">
        <f t="shared" si="1012"/>
        <v>17.670000000000002</v>
      </c>
      <c r="N2185" s="41">
        <v>11.67</v>
      </c>
      <c r="O2185" s="54"/>
      <c r="P2185" s="15"/>
      <c r="S2185" t="s">
        <v>4180</v>
      </c>
      <c r="T2185" t="s">
        <v>4180</v>
      </c>
      <c r="U2185" s="55"/>
      <c r="V2185" t="s">
        <v>1017</v>
      </c>
      <c r="W2185" s="65"/>
      <c r="X2185" s="65"/>
      <c r="AA2185" s="65"/>
      <c r="AD2185" s="91"/>
      <c r="AE2185" s="124"/>
      <c r="AF2185" s="65"/>
      <c r="AG2185" s="91"/>
      <c r="AH2185" s="212" t="str">
        <f t="shared" ref="AH2185:AH2190" si="1014">IF(ISERROR(SEARCH("K erstmals 201",D2185)),"",RIGHT(D2185,4))</f>
        <v/>
      </c>
      <c r="AI2185" s="214" t="str">
        <f t="shared" si="1005"/>
        <v/>
      </c>
      <c r="AJ2185" s="214" t="str">
        <f t="shared" si="1006"/>
        <v/>
      </c>
      <c r="AK2185" s="214" t="str">
        <f t="shared" si="1007"/>
        <v/>
      </c>
      <c r="AL2185" s="214" t="str">
        <f t="shared" si="1008"/>
        <v/>
      </c>
      <c r="AM2185" s="214" t="str">
        <f t="shared" si="1009"/>
        <v/>
      </c>
      <c r="AN2185" s="213" t="str">
        <f t="shared" si="992"/>
        <v/>
      </c>
      <c r="AO2185" s="213" t="str">
        <f t="shared" si="993"/>
        <v/>
      </c>
      <c r="AP2185" s="213" t="str">
        <f t="shared" si="994"/>
        <v/>
      </c>
      <c r="AQ2185" s="215" t="str">
        <f t="shared" si="995"/>
        <v/>
      </c>
      <c r="AR2185" s="216" t="str">
        <f t="shared" si="996"/>
        <v>BiK81a1-----08</v>
      </c>
      <c r="AS2185" s="215" t="str">
        <f t="shared" si="997"/>
        <v/>
      </c>
      <c r="AT2185">
        <f t="shared" si="998"/>
        <v>14</v>
      </c>
      <c r="AU2185" s="216" t="str">
        <f t="shared" si="999"/>
        <v>0-0,15 MW, Bonusregel a1</v>
      </c>
      <c r="AV2185" s="215" t="str">
        <f t="shared" si="1000"/>
        <v/>
      </c>
      <c r="AW2185" s="216" t="str">
        <f t="shared" si="1001"/>
        <v>Anteil Nicht-KWK</v>
      </c>
      <c r="AX2185" s="215" t="str">
        <f t="shared" si="1002"/>
        <v/>
      </c>
      <c r="AY2185" t="str">
        <f t="shared" si="1003"/>
        <v/>
      </c>
      <c r="AZ2185" t="str">
        <f t="shared" si="1004"/>
        <v/>
      </c>
    </row>
    <row r="2186" spans="1:52" x14ac:dyDescent="0.25">
      <c r="A2186" s="618" t="s">
        <v>3674</v>
      </c>
      <c r="B2186" s="31" t="s">
        <v>5548</v>
      </c>
      <c r="C2186" s="31" t="s">
        <v>5540</v>
      </c>
      <c r="D2186" s="33" t="s">
        <v>6882</v>
      </c>
      <c r="E2186" s="31" t="s">
        <v>4812</v>
      </c>
      <c r="F2186" s="460">
        <f t="shared" si="1010"/>
        <v>19.670000000000002</v>
      </c>
      <c r="G2186" s="536">
        <v>19.670000000000002</v>
      </c>
      <c r="H2186" s="494">
        <f t="shared" si="1011"/>
        <v>15.74</v>
      </c>
      <c r="I2186" s="713"/>
      <c r="J2186" s="669" t="s">
        <v>5805</v>
      </c>
      <c r="K2186" s="15"/>
      <c r="M2186" s="49">
        <f t="shared" si="1012"/>
        <v>19.670000000000002</v>
      </c>
      <c r="N2186" s="41">
        <v>11.67</v>
      </c>
      <c r="O2186" s="54" t="s">
        <v>1017</v>
      </c>
      <c r="P2186" s="15"/>
      <c r="S2186" t="s">
        <v>4180</v>
      </c>
      <c r="T2186" t="s">
        <v>4180</v>
      </c>
      <c r="U2186" s="55"/>
      <c r="V2186" t="s">
        <v>1017</v>
      </c>
      <c r="W2186" s="65"/>
      <c r="X2186" s="65"/>
      <c r="AA2186" s="65"/>
      <c r="AD2186" s="91"/>
      <c r="AE2186" s="124"/>
      <c r="AF2186" s="65"/>
      <c r="AG2186" s="65"/>
      <c r="AH2186" s="212" t="str">
        <f t="shared" si="1014"/>
        <v/>
      </c>
      <c r="AI2186" s="214" t="str">
        <f t="shared" si="1005"/>
        <v/>
      </c>
      <c r="AJ2186" s="214" t="str">
        <f t="shared" si="1006"/>
        <v/>
      </c>
      <c r="AK2186" s="214" t="str">
        <f t="shared" si="1007"/>
        <v/>
      </c>
      <c r="AL2186" s="214" t="str">
        <f t="shared" si="1008"/>
        <v/>
      </c>
      <c r="AM2186" s="214" t="str">
        <f t="shared" si="1009"/>
        <v/>
      </c>
      <c r="AN2186" s="213" t="str">
        <f t="shared" si="992"/>
        <v/>
      </c>
      <c r="AO2186" s="213" t="str">
        <f t="shared" si="993"/>
        <v/>
      </c>
      <c r="AP2186" s="213" t="str">
        <f t="shared" si="994"/>
        <v/>
      </c>
      <c r="AQ2186" s="215" t="str">
        <f t="shared" si="995"/>
        <v/>
      </c>
      <c r="AR2186" s="216" t="str">
        <f t="shared" si="996"/>
        <v>BiK81a1KWK--08</v>
      </c>
      <c r="AS2186" s="215" t="str">
        <f t="shared" si="997"/>
        <v/>
      </c>
      <c r="AT2186">
        <f t="shared" si="998"/>
        <v>14</v>
      </c>
      <c r="AU2186" s="216" t="str">
        <f t="shared" si="999"/>
        <v>0-0,15 MW, Bonusregeln a1 und KWK</v>
      </c>
      <c r="AV2186" s="215" t="str">
        <f t="shared" si="1000"/>
        <v/>
      </c>
      <c r="AW2186" s="216" t="str">
        <f t="shared" si="1001"/>
        <v>Anteil KWK</v>
      </c>
      <c r="AX2186" s="215" t="str">
        <f t="shared" si="1002"/>
        <v/>
      </c>
      <c r="AY2186" t="str">
        <f t="shared" si="1003"/>
        <v/>
      </c>
      <c r="AZ2186" t="str">
        <f t="shared" si="1004"/>
        <v/>
      </c>
    </row>
    <row r="2187" spans="1:52" x14ac:dyDescent="0.25">
      <c r="A2187" s="610" t="s">
        <v>2336</v>
      </c>
      <c r="B2187" s="17" t="s">
        <v>5548</v>
      </c>
      <c r="C2187" s="30" t="s">
        <v>5540</v>
      </c>
      <c r="D2187" s="30" t="s">
        <v>6883</v>
      </c>
      <c r="E2187" s="30" t="s">
        <v>4331</v>
      </c>
      <c r="F2187" s="454">
        <f t="shared" si="1010"/>
        <v>20.67</v>
      </c>
      <c r="G2187" s="529">
        <v>20.67</v>
      </c>
      <c r="H2187" s="487">
        <f t="shared" si="1011"/>
        <v>16.54</v>
      </c>
      <c r="I2187" s="706"/>
      <c r="J2187" s="669" t="s">
        <v>5805</v>
      </c>
      <c r="K2187" s="15"/>
      <c r="M2187" s="49">
        <f t="shared" si="1012"/>
        <v>20.67</v>
      </c>
      <c r="N2187" s="41">
        <v>11.67</v>
      </c>
      <c r="O2187" s="54"/>
      <c r="P2187" t="s">
        <v>1017</v>
      </c>
      <c r="S2187" t="s">
        <v>4180</v>
      </c>
      <c r="T2187" t="s">
        <v>4180</v>
      </c>
      <c r="U2187" s="55"/>
      <c r="V2187" t="s">
        <v>1017</v>
      </c>
      <c r="W2187" s="65"/>
      <c r="X2187" s="65"/>
      <c r="AA2187" s="65"/>
      <c r="AD2187" s="91"/>
      <c r="AE2187" s="124"/>
      <c r="AF2187" s="65"/>
      <c r="AG2187" s="91"/>
      <c r="AH2187" s="212" t="str">
        <f t="shared" si="1014"/>
        <v/>
      </c>
      <c r="AI2187" s="214" t="str">
        <f t="shared" si="1005"/>
        <v/>
      </c>
      <c r="AJ2187" s="214" t="str">
        <f t="shared" si="1006"/>
        <v/>
      </c>
      <c r="AK2187" s="214" t="str">
        <f t="shared" si="1007"/>
        <v/>
      </c>
      <c r="AL2187" s="214" t="str">
        <f t="shared" si="1008"/>
        <v/>
      </c>
      <c r="AM2187" s="214" t="str">
        <f t="shared" si="1009"/>
        <v/>
      </c>
      <c r="AN2187" s="213" t="str">
        <f t="shared" si="992"/>
        <v/>
      </c>
      <c r="AO2187" s="213" t="str">
        <f t="shared" si="993"/>
        <v/>
      </c>
      <c r="AP2187" s="213" t="str">
        <f t="shared" si="994"/>
        <v/>
      </c>
      <c r="AQ2187" s="215" t="str">
        <f t="shared" si="995"/>
        <v/>
      </c>
      <c r="AR2187" s="216" t="str">
        <f t="shared" si="996"/>
        <v>BiK81a1KA3--08</v>
      </c>
      <c r="AS2187" s="215" t="str">
        <f t="shared" si="997"/>
        <v/>
      </c>
      <c r="AT2187">
        <f t="shared" si="998"/>
        <v>14</v>
      </c>
      <c r="AU2187" s="216" t="str">
        <f t="shared" si="999"/>
        <v>0-0,15 MW, Bonusregeln a1 und K wenn Anlage 3 erfüllt</v>
      </c>
      <c r="AV2187" s="215" t="str">
        <f t="shared" si="1000"/>
        <v/>
      </c>
      <c r="AW2187" s="216" t="str">
        <f t="shared" si="1001"/>
        <v>Anteil KWK gemäß Anlage 3</v>
      </c>
      <c r="AX2187" s="215" t="str">
        <f t="shared" si="1002"/>
        <v/>
      </c>
      <c r="AY2187" t="str">
        <f t="shared" si="1003"/>
        <v/>
      </c>
      <c r="AZ2187" t="str">
        <f t="shared" si="1004"/>
        <v/>
      </c>
    </row>
    <row r="2188" spans="1:52" x14ac:dyDescent="0.25">
      <c r="A2188" s="610" t="s">
        <v>903</v>
      </c>
      <c r="B2188" s="17" t="s">
        <v>5548</v>
      </c>
      <c r="C2188" s="17" t="s">
        <v>5540</v>
      </c>
      <c r="D2188" s="30" t="s">
        <v>6995</v>
      </c>
      <c r="E2188" s="17" t="s">
        <v>674</v>
      </c>
      <c r="F2188" s="454">
        <f t="shared" si="1010"/>
        <v>20.67</v>
      </c>
      <c r="G2188" s="529">
        <v>20.67</v>
      </c>
      <c r="H2188" s="487">
        <f t="shared" si="1011"/>
        <v>16.54</v>
      </c>
      <c r="I2188" s="706"/>
      <c r="J2188" s="669" t="s">
        <v>5805</v>
      </c>
      <c r="K2188" s="15"/>
      <c r="M2188" s="49">
        <f t="shared" si="1012"/>
        <v>20.67</v>
      </c>
      <c r="N2188" s="41">
        <v>11.67</v>
      </c>
      <c r="O2188" s="54"/>
      <c r="P2188" s="15"/>
      <c r="Q2188" t="s">
        <v>1017</v>
      </c>
      <c r="S2188" t="s">
        <v>4180</v>
      </c>
      <c r="T2188" t="s">
        <v>4180</v>
      </c>
      <c r="U2188" s="55"/>
      <c r="V2188" t="s">
        <v>1017</v>
      </c>
      <c r="W2188" s="65"/>
      <c r="X2188" s="65"/>
      <c r="AA2188" s="65"/>
      <c r="AD2188" s="91"/>
      <c r="AE2188" s="124"/>
      <c r="AF2188" s="65"/>
      <c r="AG2188" s="91"/>
      <c r="AH2188" s="212" t="str">
        <f t="shared" si="1014"/>
        <v/>
      </c>
      <c r="AI2188" s="214" t="str">
        <f t="shared" si="1005"/>
        <v/>
      </c>
      <c r="AJ2188" s="214" t="str">
        <f t="shared" si="1006"/>
        <v/>
      </c>
      <c r="AK2188" s="214" t="str">
        <f t="shared" si="1007"/>
        <v/>
      </c>
      <c r="AL2188" s="214" t="str">
        <f t="shared" si="1008"/>
        <v/>
      </c>
      <c r="AM2188" s="214" t="str">
        <f t="shared" si="1009"/>
        <v/>
      </c>
      <c r="AN2188" s="213" t="str">
        <f t="shared" si="992"/>
        <v/>
      </c>
      <c r="AO2188" s="213" t="str">
        <f t="shared" si="993"/>
        <v/>
      </c>
      <c r="AP2188" s="213" t="str">
        <f t="shared" si="994"/>
        <v/>
      </c>
      <c r="AQ2188" s="215" t="str">
        <f t="shared" si="995"/>
        <v/>
      </c>
      <c r="AR2188" s="216" t="str">
        <f t="shared" si="996"/>
        <v>BiK81a1K09--08</v>
      </c>
      <c r="AS2188" s="215" t="str">
        <f t="shared" si="997"/>
        <v/>
      </c>
      <c r="AT2188">
        <f t="shared" si="998"/>
        <v>14</v>
      </c>
      <c r="AU2188" s="216" t="str">
        <f t="shared" si="999"/>
        <v>0-0,15 MW, Bonusregeln a1 und K erstmals 2009</v>
      </c>
      <c r="AV2188" s="215" t="str">
        <f t="shared" si="1000"/>
        <v/>
      </c>
      <c r="AW2188" s="216" t="str">
        <f t="shared" si="1001"/>
        <v>Anteil KWK, erstmals 2009</v>
      </c>
      <c r="AX2188" s="215" t="str">
        <f t="shared" si="1002"/>
        <v/>
      </c>
      <c r="AY2188" t="str">
        <f t="shared" si="1003"/>
        <v/>
      </c>
      <c r="AZ2188" t="str">
        <f t="shared" si="1004"/>
        <v/>
      </c>
    </row>
    <row r="2189" spans="1:52" s="178" customFormat="1" x14ac:dyDescent="0.25">
      <c r="A2189" s="610" t="s">
        <v>3160</v>
      </c>
      <c r="B2189" s="17" t="s">
        <v>5548</v>
      </c>
      <c r="C2189" s="17" t="s">
        <v>5540</v>
      </c>
      <c r="D2189" s="30" t="s">
        <v>6996</v>
      </c>
      <c r="E2189" s="30" t="s">
        <v>3567</v>
      </c>
      <c r="F2189" s="454">
        <f t="shared" si="1010"/>
        <v>20.64</v>
      </c>
      <c r="G2189" s="529">
        <v>20.64</v>
      </c>
      <c r="H2189" s="487">
        <f t="shared" si="1011"/>
        <v>16.510000000000002</v>
      </c>
      <c r="I2189" s="706"/>
      <c r="J2189" s="669" t="s">
        <v>5805</v>
      </c>
      <c r="K2189" s="15"/>
      <c r="L2189"/>
      <c r="M2189" s="49">
        <f t="shared" si="1012"/>
        <v>20.64</v>
      </c>
      <c r="N2189" s="41">
        <v>11.67</v>
      </c>
      <c r="O2189" s="54"/>
      <c r="P2189" s="15"/>
      <c r="Q2189"/>
      <c r="R2189" t="s">
        <v>1017</v>
      </c>
      <c r="S2189" t="s">
        <v>4180</v>
      </c>
      <c r="T2189" s="178" t="s">
        <v>4180</v>
      </c>
      <c r="U2189" s="55"/>
      <c r="V2189" t="s">
        <v>1017</v>
      </c>
      <c r="W2189" s="65"/>
      <c r="X2189" s="65"/>
      <c r="Y2189"/>
      <c r="Z2189"/>
      <c r="AA2189" s="65"/>
      <c r="AB2189"/>
      <c r="AC2189"/>
      <c r="AD2189" s="91"/>
      <c r="AE2189" s="124"/>
      <c r="AF2189" s="65"/>
      <c r="AG2189" s="91"/>
      <c r="AH2189" s="212" t="str">
        <f t="shared" si="1014"/>
        <v>2010</v>
      </c>
      <c r="AI2189" s="214" t="str">
        <f t="shared" si="1005"/>
        <v/>
      </c>
      <c r="AJ2189" s="214" t="str">
        <f t="shared" si="1006"/>
        <v/>
      </c>
      <c r="AK2189" s="214" t="str">
        <f t="shared" si="1007"/>
        <v/>
      </c>
      <c r="AL2189" s="214" t="str">
        <f t="shared" si="1008"/>
        <v/>
      </c>
      <c r="AM2189" s="214" t="str">
        <f t="shared" si="1009"/>
        <v/>
      </c>
      <c r="AN2189" s="213" t="str">
        <f t="shared" si="992"/>
        <v>2010</v>
      </c>
      <c r="AO2189" s="213" t="str">
        <f t="shared" si="993"/>
        <v>2010</v>
      </c>
      <c r="AP2189" s="213" t="str">
        <f t="shared" si="994"/>
        <v>2010</v>
      </c>
      <c r="AQ2189" s="215" t="str">
        <f t="shared" si="995"/>
        <v/>
      </c>
      <c r="AR2189" s="216" t="str">
        <f t="shared" si="996"/>
        <v>BiK81a1K10--08</v>
      </c>
      <c r="AS2189" s="215" t="str">
        <f t="shared" si="997"/>
        <v/>
      </c>
      <c r="AT2189">
        <f t="shared" si="998"/>
        <v>14</v>
      </c>
      <c r="AU2189" s="216" t="str">
        <f t="shared" si="999"/>
        <v>0-0,15 MW, Bonusregeln a1 und K erstmals 2010</v>
      </c>
      <c r="AV2189" s="215" t="str">
        <f t="shared" si="1000"/>
        <v/>
      </c>
      <c r="AW2189" s="216" t="str">
        <f t="shared" si="1001"/>
        <v>Anteil KWK, erstmals 2010</v>
      </c>
      <c r="AX2189" s="215" t="str">
        <f t="shared" si="1002"/>
        <v/>
      </c>
      <c r="AY2189" t="str">
        <f t="shared" si="1003"/>
        <v/>
      </c>
      <c r="AZ2189" t="str">
        <f t="shared" si="1004"/>
        <v/>
      </c>
    </row>
    <row r="2190" spans="1:52" s="178" customFormat="1" x14ac:dyDescent="0.25">
      <c r="A2190" s="610" t="s">
        <v>3436</v>
      </c>
      <c r="B2190" s="17" t="s">
        <v>5548</v>
      </c>
      <c r="C2190" s="17" t="s">
        <v>5540</v>
      </c>
      <c r="D2190" s="30" t="s">
        <v>6997</v>
      </c>
      <c r="E2190" s="30" t="s">
        <v>3055</v>
      </c>
      <c r="F2190" s="454">
        <f t="shared" si="1010"/>
        <v>20.61</v>
      </c>
      <c r="G2190" s="529">
        <v>20.61</v>
      </c>
      <c r="H2190" s="487">
        <f t="shared" si="1011"/>
        <v>16.489999999999998</v>
      </c>
      <c r="I2190" s="706"/>
      <c r="J2190" s="669" t="s">
        <v>5805</v>
      </c>
      <c r="K2190" s="15"/>
      <c r="L2190"/>
      <c r="M2190" s="49">
        <f t="shared" si="1012"/>
        <v>20.61</v>
      </c>
      <c r="N2190" s="41">
        <v>11.67</v>
      </c>
      <c r="O2190" s="54"/>
      <c r="P2190" s="15"/>
      <c r="Q2190"/>
      <c r="R2190"/>
      <c r="S2190" t="s">
        <v>1017</v>
      </c>
      <c r="T2190" s="178" t="s">
        <v>4180</v>
      </c>
      <c r="U2190" s="55"/>
      <c r="V2190" t="s">
        <v>1017</v>
      </c>
      <c r="W2190" s="65"/>
      <c r="X2190" s="65"/>
      <c r="Y2190"/>
      <c r="Z2190"/>
      <c r="AA2190" s="65"/>
      <c r="AB2190"/>
      <c r="AC2190"/>
      <c r="AD2190" s="91"/>
      <c r="AE2190" s="124"/>
      <c r="AF2190" s="65"/>
      <c r="AG2190" s="91"/>
      <c r="AH2190" s="212" t="str">
        <f t="shared" si="1014"/>
        <v>2011</v>
      </c>
      <c r="AI2190" s="214" t="str">
        <f t="shared" si="1005"/>
        <v/>
      </c>
      <c r="AJ2190" s="214" t="str">
        <f t="shared" si="1006"/>
        <v/>
      </c>
      <c r="AK2190" s="214" t="str">
        <f t="shared" si="1007"/>
        <v/>
      </c>
      <c r="AL2190" s="214" t="str">
        <f t="shared" si="1008"/>
        <v/>
      </c>
      <c r="AM2190" s="214" t="str">
        <f t="shared" si="1009"/>
        <v/>
      </c>
      <c r="AN2190" s="213" t="str">
        <f t="shared" si="992"/>
        <v>2011</v>
      </c>
      <c r="AO2190" s="213" t="str">
        <f t="shared" si="993"/>
        <v>2011</v>
      </c>
      <c r="AP2190" s="213" t="str">
        <f t="shared" si="994"/>
        <v>2011</v>
      </c>
      <c r="AQ2190" s="215" t="str">
        <f t="shared" si="995"/>
        <v/>
      </c>
      <c r="AR2190" s="216" t="str">
        <f t="shared" si="996"/>
        <v>BiK81a1K11--08</v>
      </c>
      <c r="AS2190" s="215" t="str">
        <f t="shared" si="997"/>
        <v/>
      </c>
      <c r="AT2190">
        <f t="shared" si="998"/>
        <v>14</v>
      </c>
      <c r="AU2190" s="216" t="str">
        <f t="shared" si="999"/>
        <v>0-0,15 MW, Bonusregeln a1 und K erstmals 2011</v>
      </c>
      <c r="AV2190" s="215" t="str">
        <f t="shared" si="1000"/>
        <v/>
      </c>
      <c r="AW2190" s="216" t="str">
        <f t="shared" si="1001"/>
        <v>Anteil KWK, erstmals 2011</v>
      </c>
      <c r="AX2190" s="215" t="str">
        <f t="shared" si="1002"/>
        <v/>
      </c>
      <c r="AY2190" t="str">
        <f t="shared" si="1003"/>
        <v>x</v>
      </c>
      <c r="AZ2190" t="str">
        <f t="shared" si="1004"/>
        <v/>
      </c>
    </row>
    <row r="2191" spans="1:52" s="178" customFormat="1" x14ac:dyDescent="0.25">
      <c r="A2191" s="625" t="s">
        <v>1868</v>
      </c>
      <c r="B2191" s="221" t="s">
        <v>5548</v>
      </c>
      <c r="C2191" s="221" t="s">
        <v>5540</v>
      </c>
      <c r="D2191" s="219" t="s">
        <v>6998</v>
      </c>
      <c r="E2191" s="219" t="s">
        <v>1980</v>
      </c>
      <c r="F2191" s="455">
        <f t="shared" si="1010"/>
        <v>20.58</v>
      </c>
      <c r="G2191" s="530">
        <v>20.58</v>
      </c>
      <c r="H2191" s="488">
        <f t="shared" si="1011"/>
        <v>16.46</v>
      </c>
      <c r="I2191" s="707"/>
      <c r="J2191" s="669" t="s">
        <v>5805</v>
      </c>
      <c r="K2191" s="15"/>
      <c r="L2191"/>
      <c r="M2191" s="49">
        <f t="shared" si="1012"/>
        <v>20.58</v>
      </c>
      <c r="N2191" s="41">
        <v>11.67</v>
      </c>
      <c r="O2191" s="54"/>
      <c r="P2191" s="15"/>
      <c r="Q2191"/>
      <c r="R2191"/>
      <c r="S2191" t="s">
        <v>4180</v>
      </c>
      <c r="T2191" s="178" t="s">
        <v>1017</v>
      </c>
      <c r="U2191" s="55"/>
      <c r="V2191" t="s">
        <v>1017</v>
      </c>
      <c r="W2191" s="65"/>
      <c r="X2191" s="65"/>
      <c r="Y2191"/>
      <c r="Z2191"/>
      <c r="AA2191" s="65"/>
      <c r="AB2191"/>
      <c r="AC2191"/>
      <c r="AD2191" s="91"/>
      <c r="AE2191" s="124"/>
      <c r="AF2191" s="65"/>
      <c r="AG2191" s="91"/>
      <c r="AH2191" s="217" t="s">
        <v>4179</v>
      </c>
      <c r="AI2191" s="214" t="str">
        <f t="shared" si="1005"/>
        <v/>
      </c>
      <c r="AJ2191" s="214" t="str">
        <f t="shared" si="1006"/>
        <v/>
      </c>
      <c r="AK2191" s="214" t="str">
        <f t="shared" si="1007"/>
        <v/>
      </c>
      <c r="AL2191" s="214" t="str">
        <f t="shared" si="1008"/>
        <v/>
      </c>
      <c r="AM2191" s="214" t="str">
        <f t="shared" si="1009"/>
        <v/>
      </c>
      <c r="AN2191" s="213" t="str">
        <f t="shared" si="992"/>
        <v>2012</v>
      </c>
      <c r="AO2191" s="213" t="str">
        <f t="shared" si="993"/>
        <v>2012</v>
      </c>
      <c r="AP2191" s="213" t="str">
        <f t="shared" si="994"/>
        <v>2012</v>
      </c>
      <c r="AQ2191" s="215" t="str">
        <f t="shared" si="995"/>
        <v/>
      </c>
      <c r="AR2191" s="216" t="str">
        <f t="shared" si="996"/>
        <v>BiK81a1K12--08</v>
      </c>
      <c r="AS2191" s="215" t="str">
        <f t="shared" si="997"/>
        <v/>
      </c>
      <c r="AT2191">
        <f t="shared" si="998"/>
        <v>14</v>
      </c>
      <c r="AU2191" s="216" t="str">
        <f t="shared" si="999"/>
        <v>0-0,15 MW, Bonusregeln a1 und K erstmals 2012</v>
      </c>
      <c r="AV2191" s="215" t="str">
        <f t="shared" si="1000"/>
        <v/>
      </c>
      <c r="AW2191" s="216" t="str">
        <f t="shared" si="1001"/>
        <v>Anteil KWK, erstmals 2012</v>
      </c>
      <c r="AX2191" s="215" t="str">
        <f t="shared" si="1002"/>
        <v/>
      </c>
      <c r="AY2191" t="str">
        <f t="shared" si="1003"/>
        <v/>
      </c>
      <c r="AZ2191" t="str">
        <f t="shared" si="1004"/>
        <v>x</v>
      </c>
    </row>
    <row r="2192" spans="1:52" s="178" customFormat="1" x14ac:dyDescent="0.25">
      <c r="A2192" s="610" t="s">
        <v>586</v>
      </c>
      <c r="B2192" s="17" t="s">
        <v>5548</v>
      </c>
      <c r="C2192" s="17" t="s">
        <v>5540</v>
      </c>
      <c r="D2192" s="30" t="s">
        <v>6888</v>
      </c>
      <c r="E2192" s="17" t="s">
        <v>4810</v>
      </c>
      <c r="F2192" s="454">
        <f t="shared" si="1010"/>
        <v>18.670000000000002</v>
      </c>
      <c r="G2192" s="529">
        <v>18.670000000000002</v>
      </c>
      <c r="H2192" s="487">
        <f t="shared" si="1011"/>
        <v>14.94</v>
      </c>
      <c r="I2192" s="706"/>
      <c r="J2192" s="669" t="s">
        <v>5805</v>
      </c>
      <c r="K2192" s="15"/>
      <c r="L2192"/>
      <c r="M2192" s="49">
        <f t="shared" si="1012"/>
        <v>18.670000000000002</v>
      </c>
      <c r="N2192" s="41">
        <v>11.67</v>
      </c>
      <c r="O2192" s="54"/>
      <c r="P2192" s="15"/>
      <c r="Q2192"/>
      <c r="R2192"/>
      <c r="S2192" t="s">
        <v>4180</v>
      </c>
      <c r="T2192" s="178" t="s">
        <v>4180</v>
      </c>
      <c r="U2192" s="55" t="s">
        <v>1017</v>
      </c>
      <c r="V2192" t="s">
        <v>1017</v>
      </c>
      <c r="W2192" s="65"/>
      <c r="X2192" s="65"/>
      <c r="Y2192"/>
      <c r="Z2192"/>
      <c r="AA2192" s="65"/>
      <c r="AB2192"/>
      <c r="AC2192"/>
      <c r="AD2192" s="91"/>
      <c r="AE2192" s="124"/>
      <c r="AF2192" s="65"/>
      <c r="AG2192" s="91"/>
      <c r="AH2192" s="212" t="str">
        <f t="shared" ref="AH2192:AH2197" si="1015">IF(ISERROR(SEARCH("K erstmals 201",D2192)),"",RIGHT(D2192,4))</f>
        <v/>
      </c>
      <c r="AI2192" s="214" t="str">
        <f t="shared" si="1005"/>
        <v/>
      </c>
      <c r="AJ2192" s="214" t="str">
        <f t="shared" si="1006"/>
        <v/>
      </c>
      <c r="AK2192" s="214" t="str">
        <f t="shared" si="1007"/>
        <v/>
      </c>
      <c r="AL2192" s="214" t="str">
        <f t="shared" si="1008"/>
        <v/>
      </c>
      <c r="AM2192" s="214" t="str">
        <f t="shared" si="1009"/>
        <v/>
      </c>
      <c r="AN2192" s="213" t="str">
        <f t="shared" si="992"/>
        <v/>
      </c>
      <c r="AO2192" s="213" t="str">
        <f t="shared" si="993"/>
        <v/>
      </c>
      <c r="AP2192" s="213" t="str">
        <f t="shared" si="994"/>
        <v/>
      </c>
      <c r="AQ2192" s="215" t="str">
        <f t="shared" si="995"/>
        <v/>
      </c>
      <c r="AR2192" s="216" t="str">
        <f t="shared" si="996"/>
        <v>BiK81a1y----08</v>
      </c>
      <c r="AS2192" s="215" t="str">
        <f t="shared" si="997"/>
        <v/>
      </c>
      <c r="AT2192">
        <f t="shared" si="998"/>
        <v>14</v>
      </c>
      <c r="AU2192" s="216" t="str">
        <f t="shared" si="999"/>
        <v>0-0,15 MW, Bonusregeln a1, y</v>
      </c>
      <c r="AV2192" s="215" t="str">
        <f t="shared" si="1000"/>
        <v/>
      </c>
      <c r="AW2192" s="216" t="str">
        <f t="shared" si="1001"/>
        <v>Anteil Nicht-KWK</v>
      </c>
      <c r="AX2192" s="215" t="str">
        <f t="shared" si="1002"/>
        <v/>
      </c>
      <c r="AY2192" t="str">
        <f t="shared" si="1003"/>
        <v/>
      </c>
      <c r="AZ2192" t="str">
        <f t="shared" si="1004"/>
        <v/>
      </c>
    </row>
    <row r="2193" spans="1:52" s="178" customFormat="1" x14ac:dyDescent="0.25">
      <c r="A2193" s="610" t="s">
        <v>587</v>
      </c>
      <c r="B2193" s="17" t="s">
        <v>5548</v>
      </c>
      <c r="C2193" s="17" t="s">
        <v>5540</v>
      </c>
      <c r="D2193" s="30" t="s">
        <v>6889</v>
      </c>
      <c r="E2193" s="17" t="s">
        <v>4812</v>
      </c>
      <c r="F2193" s="454">
        <f t="shared" si="1010"/>
        <v>20.67</v>
      </c>
      <c r="G2193" s="529">
        <v>20.67</v>
      </c>
      <c r="H2193" s="487">
        <f t="shared" si="1011"/>
        <v>16.54</v>
      </c>
      <c r="I2193" s="706"/>
      <c r="J2193" s="669" t="s">
        <v>5805</v>
      </c>
      <c r="K2193" s="15"/>
      <c r="L2193"/>
      <c r="M2193" s="49">
        <f t="shared" si="1012"/>
        <v>20.67</v>
      </c>
      <c r="N2193" s="41">
        <v>11.67</v>
      </c>
      <c r="O2193" s="54" t="s">
        <v>1017</v>
      </c>
      <c r="P2193" s="15"/>
      <c r="Q2193"/>
      <c r="R2193"/>
      <c r="S2193" t="s">
        <v>4180</v>
      </c>
      <c r="T2193" s="178" t="s">
        <v>4180</v>
      </c>
      <c r="U2193" s="55" t="s">
        <v>1017</v>
      </c>
      <c r="V2193" t="s">
        <v>1017</v>
      </c>
      <c r="W2193" s="65"/>
      <c r="X2193" s="65"/>
      <c r="Y2193"/>
      <c r="Z2193"/>
      <c r="AA2193" s="65"/>
      <c r="AB2193"/>
      <c r="AC2193"/>
      <c r="AD2193" s="91"/>
      <c r="AE2193" s="124"/>
      <c r="AF2193" s="65"/>
      <c r="AG2193" s="91"/>
      <c r="AH2193" s="212" t="str">
        <f t="shared" si="1015"/>
        <v/>
      </c>
      <c r="AI2193" s="214" t="str">
        <f t="shared" si="1005"/>
        <v/>
      </c>
      <c r="AJ2193" s="214" t="str">
        <f t="shared" si="1006"/>
        <v/>
      </c>
      <c r="AK2193" s="214" t="str">
        <f t="shared" si="1007"/>
        <v/>
      </c>
      <c r="AL2193" s="214" t="str">
        <f t="shared" si="1008"/>
        <v/>
      </c>
      <c r="AM2193" s="214" t="str">
        <f t="shared" si="1009"/>
        <v/>
      </c>
      <c r="AN2193" s="213" t="str">
        <f t="shared" si="992"/>
        <v/>
      </c>
      <c r="AO2193" s="213" t="str">
        <f t="shared" si="993"/>
        <v/>
      </c>
      <c r="AP2193" s="213" t="str">
        <f t="shared" si="994"/>
        <v/>
      </c>
      <c r="AQ2193" s="215" t="str">
        <f t="shared" si="995"/>
        <v/>
      </c>
      <c r="AR2193" s="216" t="str">
        <f t="shared" si="996"/>
        <v>BiK81a1KWKy-08</v>
      </c>
      <c r="AS2193" s="215" t="str">
        <f t="shared" si="997"/>
        <v/>
      </c>
      <c r="AT2193">
        <f t="shared" si="998"/>
        <v>14</v>
      </c>
      <c r="AU2193" s="216" t="str">
        <f t="shared" si="999"/>
        <v>0-0,15 MW, Bonusregeln a1, y und KWK</v>
      </c>
      <c r="AV2193" s="215" t="str">
        <f t="shared" si="1000"/>
        <v/>
      </c>
      <c r="AW2193" s="216" t="str">
        <f t="shared" si="1001"/>
        <v>Anteil KWK</v>
      </c>
      <c r="AX2193" s="215" t="str">
        <f t="shared" si="1002"/>
        <v/>
      </c>
      <c r="AY2193" t="str">
        <f t="shared" si="1003"/>
        <v/>
      </c>
      <c r="AZ2193" t="str">
        <f t="shared" si="1004"/>
        <v/>
      </c>
    </row>
    <row r="2194" spans="1:52" s="178" customFormat="1" x14ac:dyDescent="0.25">
      <c r="A2194" s="610" t="s">
        <v>588</v>
      </c>
      <c r="B2194" s="17" t="s">
        <v>5548</v>
      </c>
      <c r="C2194" s="30" t="s">
        <v>5540</v>
      </c>
      <c r="D2194" s="30" t="s">
        <v>6890</v>
      </c>
      <c r="E2194" s="30" t="s">
        <v>4331</v>
      </c>
      <c r="F2194" s="454">
        <f t="shared" si="1010"/>
        <v>21.67</v>
      </c>
      <c r="G2194" s="529">
        <v>21.67</v>
      </c>
      <c r="H2194" s="487">
        <f t="shared" si="1011"/>
        <v>17.34</v>
      </c>
      <c r="I2194" s="706"/>
      <c r="J2194" s="669" t="s">
        <v>5805</v>
      </c>
      <c r="K2194" s="15"/>
      <c r="L2194"/>
      <c r="M2194" s="49">
        <f t="shared" si="1012"/>
        <v>21.67</v>
      </c>
      <c r="N2194" s="41">
        <v>11.67</v>
      </c>
      <c r="O2194" s="54"/>
      <c r="P2194" t="s">
        <v>1017</v>
      </c>
      <c r="Q2194"/>
      <c r="R2194"/>
      <c r="S2194" t="s">
        <v>4180</v>
      </c>
      <c r="T2194" s="178" t="s">
        <v>4180</v>
      </c>
      <c r="U2194" s="55" t="s">
        <v>1017</v>
      </c>
      <c r="V2194" t="s">
        <v>1017</v>
      </c>
      <c r="W2194" s="65"/>
      <c r="X2194" s="65"/>
      <c r="Y2194"/>
      <c r="Z2194"/>
      <c r="AA2194" s="65"/>
      <c r="AB2194"/>
      <c r="AC2194"/>
      <c r="AD2194" s="91"/>
      <c r="AE2194" s="124"/>
      <c r="AF2194" s="65"/>
      <c r="AG2194" s="91"/>
      <c r="AH2194" s="212" t="str">
        <f t="shared" si="1015"/>
        <v/>
      </c>
      <c r="AI2194" s="214" t="str">
        <f t="shared" si="1005"/>
        <v/>
      </c>
      <c r="AJ2194" s="214" t="str">
        <f t="shared" si="1006"/>
        <v/>
      </c>
      <c r="AK2194" s="214" t="str">
        <f t="shared" si="1007"/>
        <v/>
      </c>
      <c r="AL2194" s="214" t="str">
        <f t="shared" si="1008"/>
        <v/>
      </c>
      <c r="AM2194" s="214" t="str">
        <f t="shared" si="1009"/>
        <v/>
      </c>
      <c r="AN2194" s="213" t="str">
        <f t="shared" si="992"/>
        <v/>
      </c>
      <c r="AO2194" s="213" t="str">
        <f t="shared" si="993"/>
        <v/>
      </c>
      <c r="AP2194" s="213" t="str">
        <f t="shared" si="994"/>
        <v/>
      </c>
      <c r="AQ2194" s="215" t="str">
        <f t="shared" si="995"/>
        <v/>
      </c>
      <c r="AR2194" s="216" t="str">
        <f t="shared" si="996"/>
        <v>BiK81a1KA3y-08</v>
      </c>
      <c r="AS2194" s="215" t="str">
        <f t="shared" si="997"/>
        <v/>
      </c>
      <c r="AT2194">
        <f t="shared" si="998"/>
        <v>14</v>
      </c>
      <c r="AU2194" s="216" t="str">
        <f t="shared" si="999"/>
        <v>0-0,15 MW, Bonusregeln a1, y und K wenn Anlage 3 erfüllt</v>
      </c>
      <c r="AV2194" s="215" t="str">
        <f t="shared" si="1000"/>
        <v/>
      </c>
      <c r="AW2194" s="216" t="str">
        <f t="shared" si="1001"/>
        <v>Anteil KWK gemäß Anlage 3</v>
      </c>
      <c r="AX2194" s="215" t="str">
        <f t="shared" si="1002"/>
        <v/>
      </c>
      <c r="AY2194" t="str">
        <f t="shared" si="1003"/>
        <v/>
      </c>
      <c r="AZ2194" t="str">
        <f t="shared" si="1004"/>
        <v/>
      </c>
    </row>
    <row r="2195" spans="1:52" s="178" customFormat="1" x14ac:dyDescent="0.25">
      <c r="A2195" s="610" t="s">
        <v>589</v>
      </c>
      <c r="B2195" s="17" t="s">
        <v>5548</v>
      </c>
      <c r="C2195" s="17" t="s">
        <v>5540</v>
      </c>
      <c r="D2195" s="30" t="s">
        <v>6891</v>
      </c>
      <c r="E2195" s="17" t="s">
        <v>674</v>
      </c>
      <c r="F2195" s="454">
        <f t="shared" si="1010"/>
        <v>21.67</v>
      </c>
      <c r="G2195" s="529">
        <v>21.67</v>
      </c>
      <c r="H2195" s="487">
        <f t="shared" si="1011"/>
        <v>17.34</v>
      </c>
      <c r="I2195" s="706"/>
      <c r="J2195" s="669" t="s">
        <v>5805</v>
      </c>
      <c r="K2195" s="15"/>
      <c r="L2195"/>
      <c r="M2195" s="49">
        <f t="shared" si="1012"/>
        <v>21.67</v>
      </c>
      <c r="N2195" s="41">
        <v>11.67</v>
      </c>
      <c r="O2195" s="54"/>
      <c r="P2195" s="15"/>
      <c r="Q2195" t="s">
        <v>1017</v>
      </c>
      <c r="R2195"/>
      <c r="S2195" t="s">
        <v>4180</v>
      </c>
      <c r="T2195" s="178" t="s">
        <v>4180</v>
      </c>
      <c r="U2195" s="55" t="s">
        <v>1017</v>
      </c>
      <c r="V2195" t="s">
        <v>1017</v>
      </c>
      <c r="W2195" s="65"/>
      <c r="X2195" s="65"/>
      <c r="Y2195"/>
      <c r="Z2195"/>
      <c r="AA2195" s="65"/>
      <c r="AB2195"/>
      <c r="AC2195"/>
      <c r="AD2195" s="91"/>
      <c r="AE2195" s="124"/>
      <c r="AF2195" s="65"/>
      <c r="AG2195" s="91"/>
      <c r="AH2195" s="212" t="str">
        <f t="shared" si="1015"/>
        <v/>
      </c>
      <c r="AI2195" s="214" t="str">
        <f t="shared" si="1005"/>
        <v/>
      </c>
      <c r="AJ2195" s="214" t="str">
        <f t="shared" si="1006"/>
        <v/>
      </c>
      <c r="AK2195" s="214" t="str">
        <f t="shared" si="1007"/>
        <v/>
      </c>
      <c r="AL2195" s="214" t="str">
        <f t="shared" si="1008"/>
        <v/>
      </c>
      <c r="AM2195" s="214" t="str">
        <f t="shared" si="1009"/>
        <v/>
      </c>
      <c r="AN2195" s="213" t="str">
        <f t="shared" si="992"/>
        <v/>
      </c>
      <c r="AO2195" s="213" t="str">
        <f t="shared" si="993"/>
        <v/>
      </c>
      <c r="AP2195" s="213" t="str">
        <f t="shared" si="994"/>
        <v/>
      </c>
      <c r="AQ2195" s="215" t="str">
        <f t="shared" si="995"/>
        <v/>
      </c>
      <c r="AR2195" s="216" t="str">
        <f t="shared" si="996"/>
        <v>BiK81a1K09y-08</v>
      </c>
      <c r="AS2195" s="215" t="str">
        <f t="shared" si="997"/>
        <v/>
      </c>
      <c r="AT2195">
        <f t="shared" si="998"/>
        <v>14</v>
      </c>
      <c r="AU2195" s="216" t="str">
        <f t="shared" si="999"/>
        <v>0-0,15 MW, Bonusregeln a1, y und K erstmals 2009</v>
      </c>
      <c r="AV2195" s="215" t="str">
        <f t="shared" si="1000"/>
        <v/>
      </c>
      <c r="AW2195" s="216" t="str">
        <f t="shared" si="1001"/>
        <v>Anteil KWK, erstmals 2009</v>
      </c>
      <c r="AX2195" s="215" t="str">
        <f t="shared" si="1002"/>
        <v/>
      </c>
      <c r="AY2195" t="str">
        <f t="shared" si="1003"/>
        <v/>
      </c>
      <c r="AZ2195" t="str">
        <f t="shared" si="1004"/>
        <v/>
      </c>
    </row>
    <row r="2196" spans="1:52" s="178" customFormat="1" x14ac:dyDescent="0.25">
      <c r="A2196" s="610" t="s">
        <v>3161</v>
      </c>
      <c r="B2196" s="17" t="s">
        <v>5548</v>
      </c>
      <c r="C2196" s="17" t="s">
        <v>5540</v>
      </c>
      <c r="D2196" s="30" t="s">
        <v>6892</v>
      </c>
      <c r="E2196" s="30" t="s">
        <v>3567</v>
      </c>
      <c r="F2196" s="454">
        <f t="shared" si="1010"/>
        <v>21.64</v>
      </c>
      <c r="G2196" s="529">
        <v>21.64</v>
      </c>
      <c r="H2196" s="487">
        <f t="shared" si="1011"/>
        <v>17.309999999999999</v>
      </c>
      <c r="I2196" s="706"/>
      <c r="J2196" s="669" t="s">
        <v>5805</v>
      </c>
      <c r="K2196" s="15"/>
      <c r="L2196"/>
      <c r="M2196" s="49">
        <f t="shared" si="1012"/>
        <v>21.64</v>
      </c>
      <c r="N2196" s="41">
        <v>11.67</v>
      </c>
      <c r="O2196" s="54"/>
      <c r="P2196" s="15"/>
      <c r="Q2196"/>
      <c r="R2196" t="s">
        <v>1017</v>
      </c>
      <c r="S2196" t="s">
        <v>4180</v>
      </c>
      <c r="T2196" s="178" t="s">
        <v>4180</v>
      </c>
      <c r="U2196" s="55" t="s">
        <v>1017</v>
      </c>
      <c r="V2196" t="s">
        <v>1017</v>
      </c>
      <c r="W2196" s="65"/>
      <c r="X2196" s="65"/>
      <c r="Y2196"/>
      <c r="Z2196"/>
      <c r="AA2196" s="65"/>
      <c r="AB2196"/>
      <c r="AC2196"/>
      <c r="AD2196" s="91"/>
      <c r="AE2196" s="124"/>
      <c r="AF2196" s="65"/>
      <c r="AG2196" s="91"/>
      <c r="AH2196" s="212" t="str">
        <f t="shared" si="1015"/>
        <v>2010</v>
      </c>
      <c r="AI2196" s="214" t="str">
        <f t="shared" si="1005"/>
        <v/>
      </c>
      <c r="AJ2196" s="214" t="str">
        <f t="shared" si="1006"/>
        <v/>
      </c>
      <c r="AK2196" s="214" t="str">
        <f t="shared" si="1007"/>
        <v/>
      </c>
      <c r="AL2196" s="214" t="str">
        <f t="shared" si="1008"/>
        <v/>
      </c>
      <c r="AM2196" s="214" t="str">
        <f t="shared" si="1009"/>
        <v/>
      </c>
      <c r="AN2196" s="213" t="str">
        <f t="shared" si="992"/>
        <v>2010</v>
      </c>
      <c r="AO2196" s="213" t="str">
        <f t="shared" si="993"/>
        <v>2010</v>
      </c>
      <c r="AP2196" s="213" t="str">
        <f t="shared" si="994"/>
        <v>2010</v>
      </c>
      <c r="AQ2196" s="215" t="str">
        <f t="shared" si="995"/>
        <v/>
      </c>
      <c r="AR2196" s="216" t="str">
        <f t="shared" si="996"/>
        <v>BiK81a1K10y-08</v>
      </c>
      <c r="AS2196" s="215" t="str">
        <f t="shared" si="997"/>
        <v/>
      </c>
      <c r="AT2196">
        <f t="shared" si="998"/>
        <v>14</v>
      </c>
      <c r="AU2196" s="216" t="str">
        <f t="shared" si="999"/>
        <v>0-0,15 MW, Bonusregeln a1, y und K erstmals 2010</v>
      </c>
      <c r="AV2196" s="215" t="str">
        <f t="shared" si="1000"/>
        <v/>
      </c>
      <c r="AW2196" s="216" t="str">
        <f t="shared" si="1001"/>
        <v>Anteil KWK, erstmals 2010</v>
      </c>
      <c r="AX2196" s="215" t="str">
        <f t="shared" si="1002"/>
        <v/>
      </c>
      <c r="AY2196" t="str">
        <f t="shared" si="1003"/>
        <v/>
      </c>
      <c r="AZ2196" t="str">
        <f t="shared" si="1004"/>
        <v/>
      </c>
    </row>
    <row r="2197" spans="1:52" s="178" customFormat="1" x14ac:dyDescent="0.25">
      <c r="A2197" s="610" t="s">
        <v>3437</v>
      </c>
      <c r="B2197" s="17" t="s">
        <v>5548</v>
      </c>
      <c r="C2197" s="17" t="s">
        <v>5540</v>
      </c>
      <c r="D2197" s="30" t="s">
        <v>6893</v>
      </c>
      <c r="E2197" s="30" t="s">
        <v>3055</v>
      </c>
      <c r="F2197" s="454">
        <f t="shared" si="1010"/>
        <v>21.61</v>
      </c>
      <c r="G2197" s="529">
        <v>21.61</v>
      </c>
      <c r="H2197" s="487">
        <f t="shared" si="1011"/>
        <v>17.29</v>
      </c>
      <c r="I2197" s="706"/>
      <c r="J2197" s="669" t="s">
        <v>5805</v>
      </c>
      <c r="K2197" s="15"/>
      <c r="L2197"/>
      <c r="M2197" s="49">
        <f t="shared" si="1012"/>
        <v>21.61</v>
      </c>
      <c r="N2197" s="41">
        <v>11.67</v>
      </c>
      <c r="O2197" s="54"/>
      <c r="P2197" s="15"/>
      <c r="Q2197"/>
      <c r="R2197"/>
      <c r="S2197" t="s">
        <v>1017</v>
      </c>
      <c r="T2197" s="178" t="s">
        <v>4180</v>
      </c>
      <c r="U2197" s="55" t="s">
        <v>1017</v>
      </c>
      <c r="V2197" t="s">
        <v>1017</v>
      </c>
      <c r="W2197" s="65"/>
      <c r="X2197" s="65"/>
      <c r="Y2197"/>
      <c r="Z2197"/>
      <c r="AA2197" s="65"/>
      <c r="AB2197"/>
      <c r="AC2197"/>
      <c r="AD2197" s="91"/>
      <c r="AE2197" s="124"/>
      <c r="AF2197" s="65"/>
      <c r="AG2197" s="91"/>
      <c r="AH2197" s="212" t="str">
        <f t="shared" si="1015"/>
        <v>2011</v>
      </c>
      <c r="AI2197" s="214" t="str">
        <f t="shared" si="1005"/>
        <v/>
      </c>
      <c r="AJ2197" s="214" t="str">
        <f t="shared" si="1006"/>
        <v/>
      </c>
      <c r="AK2197" s="214" t="str">
        <f t="shared" si="1007"/>
        <v/>
      </c>
      <c r="AL2197" s="214" t="str">
        <f t="shared" si="1008"/>
        <v/>
      </c>
      <c r="AM2197" s="214" t="str">
        <f t="shared" si="1009"/>
        <v/>
      </c>
      <c r="AN2197" s="213" t="str">
        <f t="shared" si="992"/>
        <v>2011</v>
      </c>
      <c r="AO2197" s="213" t="str">
        <f t="shared" si="993"/>
        <v>2011</v>
      </c>
      <c r="AP2197" s="213" t="str">
        <f t="shared" si="994"/>
        <v>2011</v>
      </c>
      <c r="AQ2197" s="215" t="str">
        <f t="shared" si="995"/>
        <v/>
      </c>
      <c r="AR2197" s="216" t="str">
        <f t="shared" si="996"/>
        <v>BiK81a1K11y-08</v>
      </c>
      <c r="AS2197" s="215" t="str">
        <f t="shared" si="997"/>
        <v/>
      </c>
      <c r="AT2197">
        <f t="shared" si="998"/>
        <v>14</v>
      </c>
      <c r="AU2197" s="216" t="str">
        <f t="shared" si="999"/>
        <v>0-0,15 MW, Bonusregeln a1, y und K erstmals 2011</v>
      </c>
      <c r="AV2197" s="215" t="str">
        <f t="shared" si="1000"/>
        <v/>
      </c>
      <c r="AW2197" s="216" t="str">
        <f t="shared" si="1001"/>
        <v>Anteil KWK, erstmals 2011</v>
      </c>
      <c r="AX2197" s="215" t="str">
        <f t="shared" si="1002"/>
        <v/>
      </c>
      <c r="AY2197" t="str">
        <f t="shared" si="1003"/>
        <v>x</v>
      </c>
      <c r="AZ2197" t="str">
        <f t="shared" si="1004"/>
        <v/>
      </c>
    </row>
    <row r="2198" spans="1:52" s="178" customFormat="1" x14ac:dyDescent="0.25">
      <c r="A2198" s="625" t="s">
        <v>1869</v>
      </c>
      <c r="B2198" s="221" t="s">
        <v>5548</v>
      </c>
      <c r="C2198" s="221" t="s">
        <v>5540</v>
      </c>
      <c r="D2198" s="219" t="s">
        <v>6894</v>
      </c>
      <c r="E2198" s="219" t="s">
        <v>1980</v>
      </c>
      <c r="F2198" s="455">
        <f t="shared" si="1010"/>
        <v>21.58</v>
      </c>
      <c r="G2198" s="530">
        <v>21.58</v>
      </c>
      <c r="H2198" s="488">
        <f t="shared" si="1011"/>
        <v>17.260000000000002</v>
      </c>
      <c r="I2198" s="707"/>
      <c r="J2198" s="669" t="s">
        <v>5805</v>
      </c>
      <c r="K2198" s="15"/>
      <c r="L2198"/>
      <c r="M2198" s="49">
        <f t="shared" si="1012"/>
        <v>21.58</v>
      </c>
      <c r="N2198" s="41">
        <v>11.67</v>
      </c>
      <c r="O2198" s="54"/>
      <c r="P2198" s="15"/>
      <c r="Q2198"/>
      <c r="R2198"/>
      <c r="S2198" t="s">
        <v>4180</v>
      </c>
      <c r="T2198" s="178" t="s">
        <v>1017</v>
      </c>
      <c r="U2198" s="55" t="s">
        <v>1017</v>
      </c>
      <c r="V2198" t="s">
        <v>1017</v>
      </c>
      <c r="W2198" s="65"/>
      <c r="X2198" s="65"/>
      <c r="Y2198"/>
      <c r="Z2198"/>
      <c r="AA2198" s="65"/>
      <c r="AB2198"/>
      <c r="AC2198"/>
      <c r="AD2198" s="91"/>
      <c r="AE2198" s="124"/>
      <c r="AF2198" s="65"/>
      <c r="AG2198" s="91"/>
      <c r="AH2198" s="217" t="s">
        <v>4179</v>
      </c>
      <c r="AI2198" s="214" t="str">
        <f t="shared" si="1005"/>
        <v/>
      </c>
      <c r="AJ2198" s="214" t="str">
        <f t="shared" si="1006"/>
        <v/>
      </c>
      <c r="AK2198" s="214" t="str">
        <f t="shared" si="1007"/>
        <v/>
      </c>
      <c r="AL2198" s="214" t="str">
        <f t="shared" si="1008"/>
        <v/>
      </c>
      <c r="AM2198" s="214" t="str">
        <f t="shared" si="1009"/>
        <v/>
      </c>
      <c r="AN2198" s="213" t="str">
        <f t="shared" si="992"/>
        <v>2012</v>
      </c>
      <c r="AO2198" s="213" t="str">
        <f t="shared" si="993"/>
        <v>2012</v>
      </c>
      <c r="AP2198" s="213" t="str">
        <f t="shared" si="994"/>
        <v>2012</v>
      </c>
      <c r="AQ2198" s="215" t="str">
        <f t="shared" si="995"/>
        <v/>
      </c>
      <c r="AR2198" s="216" t="str">
        <f t="shared" si="996"/>
        <v>BiK81a1K12y-08</v>
      </c>
      <c r="AS2198" s="215" t="str">
        <f t="shared" si="997"/>
        <v/>
      </c>
      <c r="AT2198">
        <f t="shared" si="998"/>
        <v>14</v>
      </c>
      <c r="AU2198" s="216" t="str">
        <f t="shared" si="999"/>
        <v>0-0,15 MW, Bonusregeln a1, y und K erstmals 2012</v>
      </c>
      <c r="AV2198" s="215" t="str">
        <f t="shared" si="1000"/>
        <v/>
      </c>
      <c r="AW2198" s="216" t="str">
        <f t="shared" si="1001"/>
        <v>Anteil KWK, erstmals 2012</v>
      </c>
      <c r="AX2198" s="215" t="str">
        <f t="shared" si="1002"/>
        <v/>
      </c>
      <c r="AY2198" t="str">
        <f t="shared" si="1003"/>
        <v/>
      </c>
      <c r="AZ2198" t="str">
        <f t="shared" si="1004"/>
        <v>x</v>
      </c>
    </row>
    <row r="2199" spans="1:52" x14ac:dyDescent="0.25">
      <c r="A2199" s="610" t="s">
        <v>966</v>
      </c>
      <c r="B2199" s="30" t="s">
        <v>5548</v>
      </c>
      <c r="C2199" s="30" t="s">
        <v>5540</v>
      </c>
      <c r="D2199" s="30" t="s">
        <v>6810</v>
      </c>
      <c r="E2199" s="30" t="s">
        <v>4810</v>
      </c>
      <c r="F2199" s="454">
        <f t="shared" si="1010"/>
        <v>18.670000000000002</v>
      </c>
      <c r="G2199" s="529">
        <v>18.670000000000002</v>
      </c>
      <c r="H2199" s="487">
        <f t="shared" si="1011"/>
        <v>14.94</v>
      </c>
      <c r="I2199" s="706"/>
      <c r="J2199" s="669" t="s">
        <v>5805</v>
      </c>
      <c r="K2199" s="15"/>
      <c r="M2199" s="49">
        <f t="shared" si="1012"/>
        <v>18.670000000000002</v>
      </c>
      <c r="N2199" s="41">
        <v>11.67</v>
      </c>
      <c r="O2199" s="186"/>
      <c r="P2199" s="177"/>
      <c r="Q2199" s="178"/>
      <c r="R2199" s="178"/>
      <c r="S2199" s="178" t="s">
        <v>4180</v>
      </c>
      <c r="T2199" t="s">
        <v>4180</v>
      </c>
      <c r="U2199" s="179"/>
      <c r="V2199" s="178"/>
      <c r="W2199" s="180"/>
      <c r="X2199" s="180"/>
      <c r="Y2199" s="178" t="s">
        <v>1017</v>
      </c>
      <c r="Z2199" s="178"/>
      <c r="AA2199" s="180"/>
      <c r="AB2199" s="178"/>
      <c r="AC2199" s="178"/>
      <c r="AD2199" s="201"/>
      <c r="AE2199" s="200"/>
      <c r="AF2199" s="180"/>
      <c r="AG2199" s="201"/>
      <c r="AH2199" s="212" t="str">
        <f t="shared" ref="AH2199:AH2204" si="1016">IF(ISERROR(SEARCH("K erstmals 201",D2199)),"",RIGHT(D2199,4))</f>
        <v/>
      </c>
      <c r="AI2199" s="214" t="str">
        <f t="shared" si="1005"/>
        <v/>
      </c>
      <c r="AJ2199" s="214" t="str">
        <f t="shared" si="1006"/>
        <v/>
      </c>
      <c r="AK2199" s="214" t="str">
        <f t="shared" si="1007"/>
        <v/>
      </c>
      <c r="AL2199" s="214" t="str">
        <f t="shared" si="1008"/>
        <v/>
      </c>
      <c r="AM2199" s="214" t="str">
        <f t="shared" si="1009"/>
        <v/>
      </c>
      <c r="AN2199" s="213" t="str">
        <f t="shared" si="992"/>
        <v/>
      </c>
      <c r="AO2199" s="213" t="str">
        <f t="shared" si="993"/>
        <v/>
      </c>
      <c r="AP2199" s="213" t="str">
        <f t="shared" si="994"/>
        <v/>
      </c>
      <c r="AQ2199" s="215" t="str">
        <f t="shared" si="995"/>
        <v/>
      </c>
      <c r="AR2199" s="216" t="str">
        <f t="shared" si="996"/>
        <v>BiK81G------08</v>
      </c>
      <c r="AS2199" s="215" t="str">
        <f t="shared" si="997"/>
        <v/>
      </c>
      <c r="AT2199">
        <f t="shared" si="998"/>
        <v>14</v>
      </c>
      <c r="AU2199" s="216" t="str">
        <f t="shared" si="999"/>
        <v>0-0,15 MW, Bonusregel G</v>
      </c>
      <c r="AV2199" s="215" t="str">
        <f t="shared" si="1000"/>
        <v/>
      </c>
      <c r="AW2199" s="216" t="str">
        <f t="shared" si="1001"/>
        <v>Anteil Nicht-KWK</v>
      </c>
      <c r="AX2199" s="215" t="str">
        <f t="shared" si="1002"/>
        <v/>
      </c>
      <c r="AY2199" t="str">
        <f t="shared" si="1003"/>
        <v/>
      </c>
      <c r="AZ2199" t="str">
        <f t="shared" si="1004"/>
        <v/>
      </c>
    </row>
    <row r="2200" spans="1:52" x14ac:dyDescent="0.25">
      <c r="A2200" s="610" t="s">
        <v>967</v>
      </c>
      <c r="B2200" s="30" t="s">
        <v>5548</v>
      </c>
      <c r="C2200" s="30" t="s">
        <v>5540</v>
      </c>
      <c r="D2200" s="30" t="s">
        <v>6895</v>
      </c>
      <c r="E2200" s="30" t="s">
        <v>4812</v>
      </c>
      <c r="F2200" s="454">
        <f t="shared" si="1010"/>
        <v>20.67</v>
      </c>
      <c r="G2200" s="529">
        <v>20.67</v>
      </c>
      <c r="H2200" s="487">
        <f t="shared" si="1011"/>
        <v>16.54</v>
      </c>
      <c r="I2200" s="706"/>
      <c r="J2200" s="669" t="s">
        <v>5805</v>
      </c>
      <c r="K2200" s="15"/>
      <c r="M2200" s="49">
        <f t="shared" si="1012"/>
        <v>20.67</v>
      </c>
      <c r="N2200" s="41">
        <v>11.67</v>
      </c>
      <c r="O2200" s="186" t="s">
        <v>1017</v>
      </c>
      <c r="P2200" s="177"/>
      <c r="Q2200" s="178"/>
      <c r="R2200" s="178"/>
      <c r="S2200" s="178" t="s">
        <v>4180</v>
      </c>
      <c r="T2200" t="s">
        <v>4180</v>
      </c>
      <c r="U2200" s="179"/>
      <c r="V2200" s="178"/>
      <c r="W2200" s="180"/>
      <c r="X2200" s="180"/>
      <c r="Y2200" s="178" t="s">
        <v>1017</v>
      </c>
      <c r="Z2200" s="178"/>
      <c r="AA2200" s="180"/>
      <c r="AB2200" s="178"/>
      <c r="AC2200" s="178"/>
      <c r="AD2200" s="201"/>
      <c r="AE2200" s="200"/>
      <c r="AF2200" s="180"/>
      <c r="AG2200" s="201"/>
      <c r="AH2200" s="212" t="str">
        <f t="shared" si="1016"/>
        <v/>
      </c>
      <c r="AI2200" s="214" t="str">
        <f t="shared" si="1005"/>
        <v/>
      </c>
      <c r="AJ2200" s="214" t="str">
        <f t="shared" si="1006"/>
        <v/>
      </c>
      <c r="AK2200" s="214" t="str">
        <f t="shared" si="1007"/>
        <v/>
      </c>
      <c r="AL2200" s="214" t="str">
        <f t="shared" si="1008"/>
        <v/>
      </c>
      <c r="AM2200" s="214" t="str">
        <f t="shared" si="1009"/>
        <v/>
      </c>
      <c r="AN2200" s="213" t="str">
        <f t="shared" si="992"/>
        <v/>
      </c>
      <c r="AO2200" s="213" t="str">
        <f t="shared" si="993"/>
        <v/>
      </c>
      <c r="AP2200" s="213" t="str">
        <f t="shared" si="994"/>
        <v/>
      </c>
      <c r="AQ2200" s="215" t="str">
        <f t="shared" si="995"/>
        <v/>
      </c>
      <c r="AR2200" s="216" t="str">
        <f t="shared" si="996"/>
        <v>BiK81GKWK---08</v>
      </c>
      <c r="AS2200" s="215" t="str">
        <f t="shared" si="997"/>
        <v/>
      </c>
      <c r="AT2200">
        <f t="shared" si="998"/>
        <v>14</v>
      </c>
      <c r="AU2200" s="216" t="str">
        <f t="shared" si="999"/>
        <v>0-0,15 MW, Bonusregeln G und KWK</v>
      </c>
      <c r="AV2200" s="215" t="str">
        <f t="shared" si="1000"/>
        <v/>
      </c>
      <c r="AW2200" s="216" t="str">
        <f t="shared" si="1001"/>
        <v>Anteil KWK</v>
      </c>
      <c r="AX2200" s="215" t="str">
        <f t="shared" si="1002"/>
        <v/>
      </c>
      <c r="AY2200" t="str">
        <f t="shared" si="1003"/>
        <v/>
      </c>
      <c r="AZ2200" t="str">
        <f t="shared" si="1004"/>
        <v/>
      </c>
    </row>
    <row r="2201" spans="1:52" x14ac:dyDescent="0.25">
      <c r="A2201" s="610" t="s">
        <v>968</v>
      </c>
      <c r="B2201" s="30" t="s">
        <v>5548</v>
      </c>
      <c r="C2201" s="30" t="s">
        <v>5540</v>
      </c>
      <c r="D2201" s="30" t="s">
        <v>6811</v>
      </c>
      <c r="E2201" s="30" t="s">
        <v>4331</v>
      </c>
      <c r="F2201" s="454">
        <f t="shared" si="1010"/>
        <v>21.67</v>
      </c>
      <c r="G2201" s="529">
        <v>21.67</v>
      </c>
      <c r="H2201" s="487">
        <f t="shared" si="1011"/>
        <v>17.34</v>
      </c>
      <c r="I2201" s="706"/>
      <c r="J2201" s="669" t="s">
        <v>5805</v>
      </c>
      <c r="K2201" s="15"/>
      <c r="M2201" s="49">
        <f t="shared" si="1012"/>
        <v>21.67</v>
      </c>
      <c r="N2201" s="41">
        <v>11.67</v>
      </c>
      <c r="O2201" s="186"/>
      <c r="P2201" s="178" t="s">
        <v>1017</v>
      </c>
      <c r="Q2201" s="178"/>
      <c r="R2201" s="178"/>
      <c r="S2201" s="178" t="s">
        <v>4180</v>
      </c>
      <c r="T2201" t="s">
        <v>4180</v>
      </c>
      <c r="U2201" s="179"/>
      <c r="V2201" s="178"/>
      <c r="W2201" s="180"/>
      <c r="X2201" s="180"/>
      <c r="Y2201" s="178" t="s">
        <v>1017</v>
      </c>
      <c r="Z2201" s="178"/>
      <c r="AA2201" s="180"/>
      <c r="AB2201" s="178"/>
      <c r="AC2201" s="178"/>
      <c r="AD2201" s="201"/>
      <c r="AE2201" s="200"/>
      <c r="AF2201" s="180"/>
      <c r="AG2201" s="201"/>
      <c r="AH2201" s="212" t="str">
        <f t="shared" si="1016"/>
        <v/>
      </c>
      <c r="AI2201" s="214" t="str">
        <f t="shared" si="1005"/>
        <v/>
      </c>
      <c r="AJ2201" s="214" t="str">
        <f t="shared" si="1006"/>
        <v/>
      </c>
      <c r="AK2201" s="214" t="str">
        <f t="shared" si="1007"/>
        <v/>
      </c>
      <c r="AL2201" s="214" t="str">
        <f t="shared" si="1008"/>
        <v/>
      </c>
      <c r="AM2201" s="214" t="str">
        <f t="shared" si="1009"/>
        <v/>
      </c>
      <c r="AN2201" s="213" t="str">
        <f t="shared" si="992"/>
        <v/>
      </c>
      <c r="AO2201" s="213" t="str">
        <f t="shared" si="993"/>
        <v/>
      </c>
      <c r="AP2201" s="213" t="str">
        <f t="shared" si="994"/>
        <v/>
      </c>
      <c r="AQ2201" s="215" t="str">
        <f t="shared" si="995"/>
        <v/>
      </c>
      <c r="AR2201" s="216" t="str">
        <f t="shared" si="996"/>
        <v>BiK81GKA3---08</v>
      </c>
      <c r="AS2201" s="215" t="str">
        <f t="shared" si="997"/>
        <v/>
      </c>
      <c r="AT2201">
        <f t="shared" si="998"/>
        <v>14</v>
      </c>
      <c r="AU2201" s="216" t="str">
        <f t="shared" si="999"/>
        <v>0-0,15 MW, Bonusregeln G und K wenn Anlage 3 erfüllt</v>
      </c>
      <c r="AV2201" s="215" t="str">
        <f t="shared" si="1000"/>
        <v/>
      </c>
      <c r="AW2201" s="216" t="str">
        <f t="shared" si="1001"/>
        <v>Anteil KWK gemäß Anlage 3</v>
      </c>
      <c r="AX2201" s="215" t="str">
        <f t="shared" si="1002"/>
        <v/>
      </c>
      <c r="AY2201" t="str">
        <f t="shared" si="1003"/>
        <v/>
      </c>
      <c r="AZ2201" t="str">
        <f t="shared" si="1004"/>
        <v/>
      </c>
    </row>
    <row r="2202" spans="1:52" x14ac:dyDescent="0.25">
      <c r="A2202" s="610" t="s">
        <v>969</v>
      </c>
      <c r="B2202" s="30" t="s">
        <v>5548</v>
      </c>
      <c r="C2202" s="30" t="s">
        <v>5540</v>
      </c>
      <c r="D2202" s="30" t="s">
        <v>6812</v>
      </c>
      <c r="E2202" s="30" t="s">
        <v>674</v>
      </c>
      <c r="F2202" s="454">
        <f t="shared" si="1010"/>
        <v>21.67</v>
      </c>
      <c r="G2202" s="529">
        <v>21.67</v>
      </c>
      <c r="H2202" s="487">
        <f t="shared" si="1011"/>
        <v>17.34</v>
      </c>
      <c r="I2202" s="706"/>
      <c r="J2202" s="669" t="s">
        <v>5805</v>
      </c>
      <c r="K2202" s="15"/>
      <c r="M2202" s="49">
        <f t="shared" si="1012"/>
        <v>21.67</v>
      </c>
      <c r="N2202" s="41">
        <v>11.67</v>
      </c>
      <c r="O2202" s="186"/>
      <c r="P2202" s="177"/>
      <c r="Q2202" s="178" t="s">
        <v>1017</v>
      </c>
      <c r="R2202" s="178"/>
      <c r="S2202" s="178" t="s">
        <v>4180</v>
      </c>
      <c r="T2202" t="s">
        <v>4180</v>
      </c>
      <c r="U2202" s="179"/>
      <c r="V2202" s="178"/>
      <c r="W2202" s="180"/>
      <c r="X2202" s="180"/>
      <c r="Y2202" s="178" t="s">
        <v>1017</v>
      </c>
      <c r="Z2202" s="178"/>
      <c r="AA2202" s="180"/>
      <c r="AB2202" s="178"/>
      <c r="AC2202" s="178"/>
      <c r="AD2202" s="201"/>
      <c r="AE2202" s="200"/>
      <c r="AF2202" s="180"/>
      <c r="AG2202" s="201"/>
      <c r="AH2202" s="212" t="str">
        <f t="shared" si="1016"/>
        <v/>
      </c>
      <c r="AI2202" s="214" t="str">
        <f t="shared" si="1005"/>
        <v/>
      </c>
      <c r="AJ2202" s="214" t="str">
        <f t="shared" si="1006"/>
        <v/>
      </c>
      <c r="AK2202" s="214" t="str">
        <f t="shared" si="1007"/>
        <v/>
      </c>
      <c r="AL2202" s="214" t="str">
        <f t="shared" si="1008"/>
        <v/>
      </c>
      <c r="AM2202" s="214" t="str">
        <f t="shared" si="1009"/>
        <v/>
      </c>
      <c r="AN2202" s="213" t="str">
        <f t="shared" si="992"/>
        <v/>
      </c>
      <c r="AO2202" s="213" t="str">
        <f t="shared" si="993"/>
        <v/>
      </c>
      <c r="AP2202" s="213" t="str">
        <f t="shared" si="994"/>
        <v/>
      </c>
      <c r="AQ2202" s="215" t="str">
        <f t="shared" si="995"/>
        <v/>
      </c>
      <c r="AR2202" s="216" t="str">
        <f t="shared" si="996"/>
        <v>BiK81GK09---08</v>
      </c>
      <c r="AS2202" s="215" t="str">
        <f t="shared" si="997"/>
        <v/>
      </c>
      <c r="AT2202">
        <f t="shared" si="998"/>
        <v>14</v>
      </c>
      <c r="AU2202" s="216" t="str">
        <f t="shared" si="999"/>
        <v>0-0,15 MW, Bonusregeln G und K erstmals 2009</v>
      </c>
      <c r="AV2202" s="215" t="str">
        <f t="shared" si="1000"/>
        <v/>
      </c>
      <c r="AW2202" s="216" t="str">
        <f t="shared" si="1001"/>
        <v>Anteil KWK, erstmals 2009</v>
      </c>
      <c r="AX2202" s="215" t="str">
        <f t="shared" si="1002"/>
        <v/>
      </c>
      <c r="AY2202" t="str">
        <f t="shared" si="1003"/>
        <v/>
      </c>
      <c r="AZ2202" t="str">
        <f t="shared" si="1004"/>
        <v/>
      </c>
    </row>
    <row r="2203" spans="1:52" x14ac:dyDescent="0.25">
      <c r="A2203" s="610" t="s">
        <v>3162</v>
      </c>
      <c r="B2203" s="30" t="s">
        <v>5548</v>
      </c>
      <c r="C2203" s="30" t="s">
        <v>5540</v>
      </c>
      <c r="D2203" s="30" t="s">
        <v>6813</v>
      </c>
      <c r="E2203" s="30" t="s">
        <v>3567</v>
      </c>
      <c r="F2203" s="454">
        <f t="shared" si="1010"/>
        <v>21.64</v>
      </c>
      <c r="G2203" s="529">
        <v>21.64</v>
      </c>
      <c r="H2203" s="487">
        <f t="shared" si="1011"/>
        <v>17.309999999999999</v>
      </c>
      <c r="I2203" s="706"/>
      <c r="J2203" s="669" t="s">
        <v>5805</v>
      </c>
      <c r="K2203" s="15"/>
      <c r="M2203" s="49">
        <f t="shared" si="1012"/>
        <v>21.64</v>
      </c>
      <c r="N2203" s="41">
        <v>11.67</v>
      </c>
      <c r="O2203" s="186"/>
      <c r="P2203" s="177"/>
      <c r="Q2203" s="178"/>
      <c r="R2203" s="178" t="s">
        <v>1017</v>
      </c>
      <c r="S2203" s="178" t="s">
        <v>4180</v>
      </c>
      <c r="T2203" t="s">
        <v>4180</v>
      </c>
      <c r="U2203" s="179"/>
      <c r="V2203" s="178"/>
      <c r="W2203" s="180"/>
      <c r="X2203" s="180"/>
      <c r="Y2203" s="178" t="s">
        <v>1017</v>
      </c>
      <c r="Z2203" s="178"/>
      <c r="AA2203" s="180"/>
      <c r="AB2203" s="178"/>
      <c r="AC2203" s="178"/>
      <c r="AD2203" s="201"/>
      <c r="AE2203" s="200"/>
      <c r="AF2203" s="180"/>
      <c r="AG2203" s="201"/>
      <c r="AH2203" s="212" t="str">
        <f t="shared" si="1016"/>
        <v>2010</v>
      </c>
      <c r="AI2203" s="214" t="str">
        <f t="shared" si="1005"/>
        <v/>
      </c>
      <c r="AJ2203" s="214" t="str">
        <f t="shared" si="1006"/>
        <v/>
      </c>
      <c r="AK2203" s="214" t="str">
        <f t="shared" si="1007"/>
        <v/>
      </c>
      <c r="AL2203" s="214" t="str">
        <f t="shared" si="1008"/>
        <v/>
      </c>
      <c r="AM2203" s="214" t="str">
        <f t="shared" si="1009"/>
        <v/>
      </c>
      <c r="AN2203" s="213" t="str">
        <f t="shared" si="992"/>
        <v>2010</v>
      </c>
      <c r="AO2203" s="213" t="str">
        <f t="shared" si="993"/>
        <v>2010</v>
      </c>
      <c r="AP2203" s="213" t="str">
        <f t="shared" si="994"/>
        <v>2010</v>
      </c>
      <c r="AQ2203" s="215" t="str">
        <f t="shared" si="995"/>
        <v/>
      </c>
      <c r="AR2203" s="216" t="str">
        <f t="shared" si="996"/>
        <v>BiK81GK10---08</v>
      </c>
      <c r="AS2203" s="215" t="str">
        <f t="shared" si="997"/>
        <v/>
      </c>
      <c r="AT2203">
        <f t="shared" si="998"/>
        <v>14</v>
      </c>
      <c r="AU2203" s="216" t="str">
        <f t="shared" si="999"/>
        <v>0-0,15 MW, Bonusregeln G und K erstmals 2010</v>
      </c>
      <c r="AV2203" s="215" t="str">
        <f t="shared" si="1000"/>
        <v/>
      </c>
      <c r="AW2203" s="216" t="str">
        <f t="shared" si="1001"/>
        <v>Anteil KWK, erstmals 2010</v>
      </c>
      <c r="AX2203" s="215" t="str">
        <f t="shared" si="1002"/>
        <v/>
      </c>
      <c r="AY2203" t="str">
        <f t="shared" si="1003"/>
        <v/>
      </c>
      <c r="AZ2203" t="str">
        <f t="shared" si="1004"/>
        <v/>
      </c>
    </row>
    <row r="2204" spans="1:52" x14ac:dyDescent="0.25">
      <c r="A2204" s="612" t="s">
        <v>3438</v>
      </c>
      <c r="B2204" s="30" t="s">
        <v>5548</v>
      </c>
      <c r="C2204" s="30" t="s">
        <v>5540</v>
      </c>
      <c r="D2204" s="30" t="s">
        <v>6814</v>
      </c>
      <c r="E2204" s="30" t="s">
        <v>3055</v>
      </c>
      <c r="F2204" s="454">
        <f t="shared" si="1010"/>
        <v>21.61</v>
      </c>
      <c r="G2204" s="529">
        <v>21.61</v>
      </c>
      <c r="H2204" s="487">
        <f t="shared" si="1011"/>
        <v>17.29</v>
      </c>
      <c r="I2204" s="706"/>
      <c r="J2204" s="669" t="s">
        <v>5805</v>
      </c>
      <c r="K2204" s="15"/>
      <c r="M2204" s="49">
        <f t="shared" si="1012"/>
        <v>21.61</v>
      </c>
      <c r="N2204" s="41">
        <v>11.67</v>
      </c>
      <c r="O2204" s="186"/>
      <c r="P2204" s="177"/>
      <c r="Q2204" s="178"/>
      <c r="R2204" s="178"/>
      <c r="S2204" s="178" t="s">
        <v>1017</v>
      </c>
      <c r="T2204" t="s">
        <v>4180</v>
      </c>
      <c r="U2204" s="179"/>
      <c r="V2204" s="178"/>
      <c r="W2204" s="180"/>
      <c r="X2204" s="180"/>
      <c r="Y2204" s="178" t="s">
        <v>1017</v>
      </c>
      <c r="Z2204" s="178"/>
      <c r="AA2204" s="180"/>
      <c r="AB2204" s="178"/>
      <c r="AC2204" s="178"/>
      <c r="AD2204" s="201"/>
      <c r="AE2204" s="200"/>
      <c r="AF2204" s="180"/>
      <c r="AG2204" s="201"/>
      <c r="AH2204" s="212" t="str">
        <f t="shared" si="1016"/>
        <v>2011</v>
      </c>
      <c r="AI2204" s="214" t="str">
        <f t="shared" si="1005"/>
        <v/>
      </c>
      <c r="AJ2204" s="214" t="str">
        <f t="shared" si="1006"/>
        <v/>
      </c>
      <c r="AK2204" s="214" t="str">
        <f t="shared" si="1007"/>
        <v/>
      </c>
      <c r="AL2204" s="214" t="str">
        <f t="shared" si="1008"/>
        <v/>
      </c>
      <c r="AM2204" s="214" t="str">
        <f t="shared" si="1009"/>
        <v/>
      </c>
      <c r="AN2204" s="213" t="str">
        <f t="shared" si="992"/>
        <v>2011</v>
      </c>
      <c r="AO2204" s="213" t="str">
        <f t="shared" si="993"/>
        <v>2011</v>
      </c>
      <c r="AP2204" s="213" t="str">
        <f t="shared" si="994"/>
        <v>2011</v>
      </c>
      <c r="AQ2204" s="215" t="str">
        <f t="shared" si="995"/>
        <v/>
      </c>
      <c r="AR2204" s="216" t="str">
        <f t="shared" si="996"/>
        <v>BiK81GK11---08</v>
      </c>
      <c r="AS2204" s="215" t="str">
        <f t="shared" si="997"/>
        <v/>
      </c>
      <c r="AT2204">
        <f t="shared" si="998"/>
        <v>14</v>
      </c>
      <c r="AU2204" s="216" t="str">
        <f t="shared" si="999"/>
        <v>0-0,15 MW, Bonusregeln G und K erstmals 2011</v>
      </c>
      <c r="AV2204" s="215" t="str">
        <f t="shared" si="1000"/>
        <v/>
      </c>
      <c r="AW2204" s="216" t="str">
        <f t="shared" si="1001"/>
        <v>Anteil KWK, erstmals 2011</v>
      </c>
      <c r="AX2204" s="215" t="str">
        <f t="shared" si="1002"/>
        <v/>
      </c>
      <c r="AY2204" t="str">
        <f t="shared" si="1003"/>
        <v>x</v>
      </c>
      <c r="AZ2204" t="str">
        <f t="shared" si="1004"/>
        <v/>
      </c>
    </row>
    <row r="2205" spans="1:52" x14ac:dyDescent="0.25">
      <c r="A2205" s="626" t="s">
        <v>1870</v>
      </c>
      <c r="B2205" s="219" t="s">
        <v>5548</v>
      </c>
      <c r="C2205" s="219" t="s">
        <v>5540</v>
      </c>
      <c r="D2205" s="219" t="s">
        <v>6815</v>
      </c>
      <c r="E2205" s="219" t="s">
        <v>1980</v>
      </c>
      <c r="F2205" s="455">
        <f t="shared" si="1010"/>
        <v>21.58</v>
      </c>
      <c r="G2205" s="530">
        <v>21.58</v>
      </c>
      <c r="H2205" s="488">
        <f t="shared" si="1011"/>
        <v>17.260000000000002</v>
      </c>
      <c r="I2205" s="707"/>
      <c r="J2205" s="669" t="s">
        <v>5805</v>
      </c>
      <c r="K2205" s="15"/>
      <c r="M2205" s="49">
        <f t="shared" si="1012"/>
        <v>21.58</v>
      </c>
      <c r="N2205" s="41">
        <v>11.67</v>
      </c>
      <c r="O2205" s="186"/>
      <c r="P2205" s="177"/>
      <c r="Q2205" s="178"/>
      <c r="R2205" s="178"/>
      <c r="S2205" s="178" t="s">
        <v>4180</v>
      </c>
      <c r="T2205" t="s">
        <v>1017</v>
      </c>
      <c r="U2205" s="179"/>
      <c r="V2205" s="178"/>
      <c r="W2205" s="180"/>
      <c r="X2205" s="180"/>
      <c r="Y2205" s="178" t="s">
        <v>1017</v>
      </c>
      <c r="Z2205" s="178"/>
      <c r="AA2205" s="180"/>
      <c r="AB2205" s="178"/>
      <c r="AC2205" s="178"/>
      <c r="AD2205" s="201"/>
      <c r="AE2205" s="200"/>
      <c r="AF2205" s="180"/>
      <c r="AG2205" s="201"/>
      <c r="AH2205" s="217" t="s">
        <v>4179</v>
      </c>
      <c r="AI2205" s="214" t="str">
        <f t="shared" si="1005"/>
        <v/>
      </c>
      <c r="AJ2205" s="214" t="str">
        <f t="shared" si="1006"/>
        <v/>
      </c>
      <c r="AK2205" s="214" t="str">
        <f t="shared" si="1007"/>
        <v/>
      </c>
      <c r="AL2205" s="214" t="str">
        <f t="shared" si="1008"/>
        <v/>
      </c>
      <c r="AM2205" s="214" t="str">
        <f t="shared" si="1009"/>
        <v/>
      </c>
      <c r="AN2205" s="213" t="str">
        <f t="shared" si="992"/>
        <v>2012</v>
      </c>
      <c r="AO2205" s="213" t="str">
        <f t="shared" si="993"/>
        <v>2012</v>
      </c>
      <c r="AP2205" s="213" t="str">
        <f t="shared" si="994"/>
        <v>2012</v>
      </c>
      <c r="AQ2205" s="215" t="str">
        <f t="shared" si="995"/>
        <v/>
      </c>
      <c r="AR2205" s="216" t="str">
        <f t="shared" si="996"/>
        <v>BiK81GK12---08</v>
      </c>
      <c r="AS2205" s="215" t="str">
        <f t="shared" si="997"/>
        <v/>
      </c>
      <c r="AT2205">
        <f t="shared" si="998"/>
        <v>14</v>
      </c>
      <c r="AU2205" s="216" t="str">
        <f t="shared" si="999"/>
        <v>0-0,15 MW, Bonusregeln G und K erstmals 2012</v>
      </c>
      <c r="AV2205" s="215" t="str">
        <f t="shared" si="1000"/>
        <v/>
      </c>
      <c r="AW2205" s="216" t="str">
        <f t="shared" si="1001"/>
        <v>Anteil KWK, erstmals 2012</v>
      </c>
      <c r="AX2205" s="215" t="str">
        <f t="shared" si="1002"/>
        <v/>
      </c>
      <c r="AY2205" t="str">
        <f t="shared" si="1003"/>
        <v/>
      </c>
      <c r="AZ2205" t="str">
        <f t="shared" si="1004"/>
        <v>x</v>
      </c>
    </row>
    <row r="2206" spans="1:52" x14ac:dyDescent="0.25">
      <c r="A2206" s="612" t="s">
        <v>2666</v>
      </c>
      <c r="B2206" s="30" t="s">
        <v>5548</v>
      </c>
      <c r="C2206" s="30" t="s">
        <v>5540</v>
      </c>
      <c r="D2206" s="30" t="s">
        <v>6866</v>
      </c>
      <c r="E2206" s="30" t="s">
        <v>4810</v>
      </c>
      <c r="F2206" s="454">
        <f t="shared" si="1010"/>
        <v>19.670000000000002</v>
      </c>
      <c r="G2206" s="529">
        <v>19.670000000000002</v>
      </c>
      <c r="H2206" s="487">
        <f t="shared" si="1011"/>
        <v>15.74</v>
      </c>
      <c r="I2206" s="706"/>
      <c r="J2206" s="669" t="s">
        <v>5805</v>
      </c>
      <c r="K2206" s="15"/>
      <c r="M2206" s="49">
        <f t="shared" si="1012"/>
        <v>19.670000000000002</v>
      </c>
      <c r="N2206" s="41">
        <v>11.67</v>
      </c>
      <c r="O2206" s="187"/>
      <c r="P2206" s="183"/>
      <c r="Q2206" s="184"/>
      <c r="R2206" s="184"/>
      <c r="S2206" s="184" t="s">
        <v>4180</v>
      </c>
      <c r="T2206" t="s">
        <v>4180</v>
      </c>
      <c r="U2206" s="185" t="s">
        <v>1017</v>
      </c>
      <c r="V2206" s="184"/>
      <c r="W2206" s="180"/>
      <c r="X2206" s="180"/>
      <c r="Y2206" s="184" t="s">
        <v>1017</v>
      </c>
      <c r="Z2206" s="184"/>
      <c r="AA2206" s="180"/>
      <c r="AB2206" s="184"/>
      <c r="AC2206" s="184"/>
      <c r="AD2206" s="201"/>
      <c r="AE2206" s="181"/>
      <c r="AF2206" s="180"/>
      <c r="AG2206" s="201"/>
      <c r="AH2206" s="212" t="str">
        <f t="shared" ref="AH2206:AH2211" si="1017">IF(ISERROR(SEARCH("K erstmals 201",D2206)),"",RIGHT(D2206,4))</f>
        <v/>
      </c>
      <c r="AI2206" s="214" t="str">
        <f t="shared" si="1005"/>
        <v/>
      </c>
      <c r="AJ2206" s="214" t="str">
        <f t="shared" si="1006"/>
        <v/>
      </c>
      <c r="AK2206" s="214" t="str">
        <f t="shared" si="1007"/>
        <v/>
      </c>
      <c r="AL2206" s="214" t="str">
        <f t="shared" si="1008"/>
        <v/>
      </c>
      <c r="AM2206" s="214" t="str">
        <f t="shared" si="1009"/>
        <v/>
      </c>
      <c r="AN2206" s="213" t="str">
        <f t="shared" si="992"/>
        <v/>
      </c>
      <c r="AO2206" s="213" t="str">
        <f t="shared" si="993"/>
        <v/>
      </c>
      <c r="AP2206" s="213" t="str">
        <f t="shared" si="994"/>
        <v/>
      </c>
      <c r="AQ2206" s="215" t="str">
        <f t="shared" si="995"/>
        <v/>
      </c>
      <c r="AR2206" s="216" t="str">
        <f t="shared" si="996"/>
        <v>BiK81Gy-----08</v>
      </c>
      <c r="AS2206" s="215" t="str">
        <f t="shared" si="997"/>
        <v/>
      </c>
      <c r="AT2206">
        <f t="shared" si="998"/>
        <v>14</v>
      </c>
      <c r="AU2206" s="216" t="str">
        <f t="shared" si="999"/>
        <v>0-0,15 MW, Bonusregeln G, y</v>
      </c>
      <c r="AV2206" s="215" t="str">
        <f t="shared" si="1000"/>
        <v/>
      </c>
      <c r="AW2206" s="216" t="str">
        <f t="shared" si="1001"/>
        <v>Anteil Nicht-KWK</v>
      </c>
      <c r="AX2206" s="215" t="str">
        <f t="shared" si="1002"/>
        <v/>
      </c>
      <c r="AY2206" t="str">
        <f t="shared" si="1003"/>
        <v/>
      </c>
      <c r="AZ2206" t="str">
        <f t="shared" si="1004"/>
        <v/>
      </c>
    </row>
    <row r="2207" spans="1:52" x14ac:dyDescent="0.25">
      <c r="A2207" s="610" t="s">
        <v>2667</v>
      </c>
      <c r="B2207" s="30" t="s">
        <v>5548</v>
      </c>
      <c r="C2207" s="30" t="s">
        <v>5540</v>
      </c>
      <c r="D2207" s="30" t="s">
        <v>6896</v>
      </c>
      <c r="E2207" s="30" t="s">
        <v>4812</v>
      </c>
      <c r="F2207" s="454">
        <f t="shared" si="1010"/>
        <v>21.67</v>
      </c>
      <c r="G2207" s="529">
        <v>21.67</v>
      </c>
      <c r="H2207" s="487">
        <f t="shared" si="1011"/>
        <v>17.34</v>
      </c>
      <c r="I2207" s="706"/>
      <c r="J2207" s="669" t="s">
        <v>5805</v>
      </c>
      <c r="K2207" s="15"/>
      <c r="M2207" s="49">
        <f t="shared" si="1012"/>
        <v>21.67</v>
      </c>
      <c r="N2207" s="41">
        <v>11.67</v>
      </c>
      <c r="O2207" s="187" t="s">
        <v>1017</v>
      </c>
      <c r="P2207" s="183"/>
      <c r="Q2207" s="184"/>
      <c r="R2207" s="184"/>
      <c r="S2207" s="184" t="s">
        <v>4180</v>
      </c>
      <c r="T2207" t="s">
        <v>4180</v>
      </c>
      <c r="U2207" s="185" t="s">
        <v>1017</v>
      </c>
      <c r="V2207" s="184"/>
      <c r="W2207" s="180"/>
      <c r="X2207" s="180"/>
      <c r="Y2207" s="184" t="s">
        <v>1017</v>
      </c>
      <c r="Z2207" s="184"/>
      <c r="AA2207" s="180"/>
      <c r="AB2207" s="184"/>
      <c r="AC2207" s="184"/>
      <c r="AD2207" s="201"/>
      <c r="AE2207" s="181"/>
      <c r="AF2207" s="180"/>
      <c r="AG2207" s="201"/>
      <c r="AH2207" s="212" t="str">
        <f t="shared" si="1017"/>
        <v/>
      </c>
      <c r="AI2207" s="214" t="str">
        <f t="shared" si="1005"/>
        <v/>
      </c>
      <c r="AJ2207" s="214" t="str">
        <f t="shared" si="1006"/>
        <v/>
      </c>
      <c r="AK2207" s="214" t="str">
        <f t="shared" si="1007"/>
        <v/>
      </c>
      <c r="AL2207" s="214" t="str">
        <f t="shared" si="1008"/>
        <v/>
      </c>
      <c r="AM2207" s="214" t="str">
        <f t="shared" si="1009"/>
        <v/>
      </c>
      <c r="AN2207" s="213" t="str">
        <f t="shared" si="992"/>
        <v/>
      </c>
      <c r="AO2207" s="213" t="str">
        <f t="shared" si="993"/>
        <v/>
      </c>
      <c r="AP2207" s="213" t="str">
        <f t="shared" si="994"/>
        <v/>
      </c>
      <c r="AQ2207" s="215" t="str">
        <f t="shared" si="995"/>
        <v/>
      </c>
      <c r="AR2207" s="216" t="str">
        <f t="shared" si="996"/>
        <v>BiK81GKWKy--08</v>
      </c>
      <c r="AS2207" s="215" t="str">
        <f t="shared" si="997"/>
        <v/>
      </c>
      <c r="AT2207">
        <f t="shared" si="998"/>
        <v>14</v>
      </c>
      <c r="AU2207" s="216" t="str">
        <f t="shared" si="999"/>
        <v>0-0,15 MW, Bonusregeln G, y und KWK</v>
      </c>
      <c r="AV2207" s="215" t="str">
        <f t="shared" si="1000"/>
        <v/>
      </c>
      <c r="AW2207" s="216" t="str">
        <f t="shared" si="1001"/>
        <v>Anteil KWK</v>
      </c>
      <c r="AX2207" s="215" t="str">
        <f t="shared" si="1002"/>
        <v/>
      </c>
      <c r="AY2207" t="str">
        <f t="shared" si="1003"/>
        <v/>
      </c>
      <c r="AZ2207" t="str">
        <f t="shared" si="1004"/>
        <v/>
      </c>
    </row>
    <row r="2208" spans="1:52" x14ac:dyDescent="0.25">
      <c r="A2208" s="610" t="s">
        <v>2668</v>
      </c>
      <c r="B2208" s="30" t="s">
        <v>5548</v>
      </c>
      <c r="C2208" s="30" t="s">
        <v>5540</v>
      </c>
      <c r="D2208" s="109" t="s">
        <v>6817</v>
      </c>
      <c r="E2208" s="30" t="s">
        <v>4331</v>
      </c>
      <c r="F2208" s="454">
        <f t="shared" si="1010"/>
        <v>22.67</v>
      </c>
      <c r="G2208" s="529">
        <v>22.67</v>
      </c>
      <c r="H2208" s="487">
        <f t="shared" si="1011"/>
        <v>18.14</v>
      </c>
      <c r="I2208" s="706"/>
      <c r="J2208" s="669" t="s">
        <v>5805</v>
      </c>
      <c r="K2208" s="15"/>
      <c r="M2208" s="49">
        <f t="shared" si="1012"/>
        <v>22.67</v>
      </c>
      <c r="N2208" s="41">
        <v>11.67</v>
      </c>
      <c r="O2208" s="187"/>
      <c r="P2208" s="184" t="s">
        <v>1017</v>
      </c>
      <c r="Q2208" s="184"/>
      <c r="R2208" s="184"/>
      <c r="S2208" s="184" t="s">
        <v>4180</v>
      </c>
      <c r="T2208" t="s">
        <v>4180</v>
      </c>
      <c r="U2208" s="185" t="s">
        <v>1017</v>
      </c>
      <c r="V2208" s="184"/>
      <c r="W2208" s="180"/>
      <c r="X2208" s="180"/>
      <c r="Y2208" s="184" t="s">
        <v>1017</v>
      </c>
      <c r="Z2208" s="184"/>
      <c r="AA2208" s="180"/>
      <c r="AB2208" s="184"/>
      <c r="AC2208" s="184"/>
      <c r="AD2208" s="201"/>
      <c r="AE2208" s="181"/>
      <c r="AF2208" s="180"/>
      <c r="AG2208" s="201"/>
      <c r="AH2208" s="212" t="str">
        <f t="shared" si="1017"/>
        <v/>
      </c>
      <c r="AI2208" s="214" t="str">
        <f t="shared" si="1005"/>
        <v/>
      </c>
      <c r="AJ2208" s="214" t="str">
        <f t="shared" si="1006"/>
        <v/>
      </c>
      <c r="AK2208" s="214" t="str">
        <f t="shared" si="1007"/>
        <v/>
      </c>
      <c r="AL2208" s="214" t="str">
        <f t="shared" si="1008"/>
        <v/>
      </c>
      <c r="AM2208" s="214" t="str">
        <f t="shared" si="1009"/>
        <v/>
      </c>
      <c r="AN2208" s="213" t="str">
        <f t="shared" si="992"/>
        <v/>
      </c>
      <c r="AO2208" s="213" t="str">
        <f t="shared" si="993"/>
        <v/>
      </c>
      <c r="AP2208" s="213" t="str">
        <f t="shared" si="994"/>
        <v/>
      </c>
      <c r="AQ2208" s="215" t="str">
        <f t="shared" si="995"/>
        <v/>
      </c>
      <c r="AR2208" s="216" t="str">
        <f t="shared" si="996"/>
        <v>BiK81GKA3y--08</v>
      </c>
      <c r="AS2208" s="215" t="str">
        <f t="shared" si="997"/>
        <v/>
      </c>
      <c r="AT2208">
        <f t="shared" si="998"/>
        <v>14</v>
      </c>
      <c r="AU2208" s="216" t="str">
        <f t="shared" si="999"/>
        <v>0-0,15 MW, Bonusregeln G, y und K wenn Anlage 3 erfüllt</v>
      </c>
      <c r="AV2208" s="215" t="str">
        <f t="shared" si="1000"/>
        <v/>
      </c>
      <c r="AW2208" s="216" t="str">
        <f t="shared" si="1001"/>
        <v>Anteil KWK gemäß Anlage 3</v>
      </c>
      <c r="AX2208" s="215" t="str">
        <f t="shared" si="1002"/>
        <v/>
      </c>
      <c r="AY2208" t="str">
        <f t="shared" si="1003"/>
        <v/>
      </c>
      <c r="AZ2208" t="str">
        <f t="shared" si="1004"/>
        <v/>
      </c>
    </row>
    <row r="2209" spans="1:52" s="178" customFormat="1" x14ac:dyDescent="0.25">
      <c r="A2209" s="610" t="s">
        <v>2669</v>
      </c>
      <c r="B2209" s="30" t="s">
        <v>5548</v>
      </c>
      <c r="C2209" s="30" t="s">
        <v>5540</v>
      </c>
      <c r="D2209" s="30" t="s">
        <v>6818</v>
      </c>
      <c r="E2209" s="30" t="s">
        <v>674</v>
      </c>
      <c r="F2209" s="454">
        <f t="shared" si="1010"/>
        <v>22.67</v>
      </c>
      <c r="G2209" s="529">
        <v>22.67</v>
      </c>
      <c r="H2209" s="487">
        <f t="shared" si="1011"/>
        <v>18.14</v>
      </c>
      <c r="I2209" s="706"/>
      <c r="J2209" s="669" t="s">
        <v>5805</v>
      </c>
      <c r="K2209" s="15"/>
      <c r="L2209"/>
      <c r="M2209" s="49">
        <f t="shared" si="1012"/>
        <v>22.67</v>
      </c>
      <c r="N2209" s="41">
        <v>11.67</v>
      </c>
      <c r="O2209" s="187"/>
      <c r="P2209" s="183"/>
      <c r="Q2209" s="184" t="s">
        <v>1017</v>
      </c>
      <c r="R2209" s="184"/>
      <c r="S2209" s="184" t="s">
        <v>4180</v>
      </c>
      <c r="T2209" s="178" t="s">
        <v>4180</v>
      </c>
      <c r="U2209" s="185" t="s">
        <v>1017</v>
      </c>
      <c r="V2209" s="184"/>
      <c r="W2209" s="180"/>
      <c r="X2209" s="180"/>
      <c r="Y2209" s="184" t="s">
        <v>1017</v>
      </c>
      <c r="Z2209" s="184"/>
      <c r="AA2209" s="180"/>
      <c r="AB2209" s="184"/>
      <c r="AC2209" s="184"/>
      <c r="AD2209" s="201"/>
      <c r="AE2209" s="181"/>
      <c r="AF2209" s="180"/>
      <c r="AG2209" s="201"/>
      <c r="AH2209" s="212" t="str">
        <f t="shared" si="1017"/>
        <v/>
      </c>
      <c r="AI2209" s="214" t="str">
        <f t="shared" si="1005"/>
        <v/>
      </c>
      <c r="AJ2209" s="214" t="str">
        <f t="shared" si="1006"/>
        <v/>
      </c>
      <c r="AK2209" s="214" t="str">
        <f t="shared" si="1007"/>
        <v/>
      </c>
      <c r="AL2209" s="214" t="str">
        <f t="shared" si="1008"/>
        <v/>
      </c>
      <c r="AM2209" s="214" t="str">
        <f t="shared" si="1009"/>
        <v/>
      </c>
      <c r="AN2209" s="213" t="str">
        <f t="shared" si="992"/>
        <v/>
      </c>
      <c r="AO2209" s="213" t="str">
        <f t="shared" si="993"/>
        <v/>
      </c>
      <c r="AP2209" s="213" t="str">
        <f t="shared" si="994"/>
        <v/>
      </c>
      <c r="AQ2209" s="215" t="str">
        <f t="shared" si="995"/>
        <v/>
      </c>
      <c r="AR2209" s="216" t="str">
        <f t="shared" si="996"/>
        <v>BiK81GK09y--08</v>
      </c>
      <c r="AS2209" s="215" t="str">
        <f t="shared" si="997"/>
        <v/>
      </c>
      <c r="AT2209">
        <f t="shared" si="998"/>
        <v>14</v>
      </c>
      <c r="AU2209" s="216" t="str">
        <f t="shared" si="999"/>
        <v>0-0,15 MW, Bonusregeln G, y und K erstmals 2009</v>
      </c>
      <c r="AV2209" s="215" t="str">
        <f t="shared" si="1000"/>
        <v/>
      </c>
      <c r="AW2209" s="216" t="str">
        <f t="shared" si="1001"/>
        <v>Anteil KWK, erstmals 2009</v>
      </c>
      <c r="AX2209" s="215" t="str">
        <f t="shared" si="1002"/>
        <v/>
      </c>
      <c r="AY2209" t="str">
        <f t="shared" si="1003"/>
        <v/>
      </c>
      <c r="AZ2209" t="str">
        <f t="shared" si="1004"/>
        <v/>
      </c>
    </row>
    <row r="2210" spans="1:52" s="178" customFormat="1" x14ac:dyDescent="0.25">
      <c r="A2210" s="610" t="s">
        <v>3163</v>
      </c>
      <c r="B2210" s="30" t="s">
        <v>5548</v>
      </c>
      <c r="C2210" s="30" t="s">
        <v>5540</v>
      </c>
      <c r="D2210" s="30" t="s">
        <v>6819</v>
      </c>
      <c r="E2210" s="30" t="s">
        <v>3567</v>
      </c>
      <c r="F2210" s="454">
        <f t="shared" si="1010"/>
        <v>22.64</v>
      </c>
      <c r="G2210" s="529">
        <v>22.64</v>
      </c>
      <c r="H2210" s="487">
        <f t="shared" si="1011"/>
        <v>18.11</v>
      </c>
      <c r="I2210" s="706"/>
      <c r="J2210" s="669" t="s">
        <v>5805</v>
      </c>
      <c r="K2210" s="15"/>
      <c r="L2210"/>
      <c r="M2210" s="49">
        <f t="shared" si="1012"/>
        <v>22.64</v>
      </c>
      <c r="N2210" s="41">
        <v>11.67</v>
      </c>
      <c r="O2210" s="187"/>
      <c r="P2210" s="183"/>
      <c r="Q2210" s="184"/>
      <c r="R2210" s="184" t="s">
        <v>1017</v>
      </c>
      <c r="S2210" s="184" t="s">
        <v>4180</v>
      </c>
      <c r="T2210" s="178" t="s">
        <v>4180</v>
      </c>
      <c r="U2210" s="185" t="s">
        <v>1017</v>
      </c>
      <c r="V2210" s="184"/>
      <c r="W2210" s="180"/>
      <c r="X2210" s="180"/>
      <c r="Y2210" s="184" t="s">
        <v>1017</v>
      </c>
      <c r="Z2210" s="184"/>
      <c r="AA2210" s="180"/>
      <c r="AB2210" s="184"/>
      <c r="AC2210" s="184"/>
      <c r="AD2210" s="201"/>
      <c r="AE2210" s="181"/>
      <c r="AF2210" s="180"/>
      <c r="AG2210" s="201"/>
      <c r="AH2210" s="212" t="str">
        <f t="shared" si="1017"/>
        <v>2010</v>
      </c>
      <c r="AI2210" s="214" t="str">
        <f t="shared" si="1005"/>
        <v/>
      </c>
      <c r="AJ2210" s="214" t="str">
        <f t="shared" si="1006"/>
        <v/>
      </c>
      <c r="AK2210" s="214" t="str">
        <f t="shared" si="1007"/>
        <v/>
      </c>
      <c r="AL2210" s="214" t="str">
        <f t="shared" si="1008"/>
        <v/>
      </c>
      <c r="AM2210" s="214" t="str">
        <f t="shared" si="1009"/>
        <v/>
      </c>
      <c r="AN2210" s="213" t="str">
        <f t="shared" si="992"/>
        <v>2010</v>
      </c>
      <c r="AO2210" s="213" t="str">
        <f t="shared" si="993"/>
        <v>2010</v>
      </c>
      <c r="AP2210" s="213" t="str">
        <f t="shared" si="994"/>
        <v>2010</v>
      </c>
      <c r="AQ2210" s="215" t="str">
        <f t="shared" si="995"/>
        <v/>
      </c>
      <c r="AR2210" s="216" t="str">
        <f t="shared" si="996"/>
        <v>BiK81GK10y--08</v>
      </c>
      <c r="AS2210" s="215" t="str">
        <f t="shared" si="997"/>
        <v/>
      </c>
      <c r="AT2210">
        <f t="shared" si="998"/>
        <v>14</v>
      </c>
      <c r="AU2210" s="216" t="str">
        <f t="shared" si="999"/>
        <v>0-0,15 MW, Bonusregeln G, y und K erstmals 2010</v>
      </c>
      <c r="AV2210" s="215" t="str">
        <f t="shared" si="1000"/>
        <v/>
      </c>
      <c r="AW2210" s="216" t="str">
        <f t="shared" si="1001"/>
        <v>Anteil KWK, erstmals 2010</v>
      </c>
      <c r="AX2210" s="215" t="str">
        <f t="shared" si="1002"/>
        <v/>
      </c>
      <c r="AY2210" t="str">
        <f t="shared" si="1003"/>
        <v/>
      </c>
      <c r="AZ2210" t="str">
        <f t="shared" si="1004"/>
        <v/>
      </c>
    </row>
    <row r="2211" spans="1:52" s="178" customFormat="1" x14ac:dyDescent="0.25">
      <c r="A2211" s="610" t="s">
        <v>3439</v>
      </c>
      <c r="B2211" s="30" t="s">
        <v>5548</v>
      </c>
      <c r="C2211" s="30" t="s">
        <v>5540</v>
      </c>
      <c r="D2211" s="30" t="s">
        <v>6820</v>
      </c>
      <c r="E2211" s="30" t="s">
        <v>3055</v>
      </c>
      <c r="F2211" s="454">
        <f t="shared" si="1010"/>
        <v>22.61</v>
      </c>
      <c r="G2211" s="529">
        <v>22.61</v>
      </c>
      <c r="H2211" s="487">
        <f t="shared" si="1011"/>
        <v>18.09</v>
      </c>
      <c r="I2211" s="706"/>
      <c r="J2211" s="669" t="s">
        <v>5805</v>
      </c>
      <c r="K2211" s="15"/>
      <c r="L2211"/>
      <c r="M2211" s="49">
        <f t="shared" si="1012"/>
        <v>22.61</v>
      </c>
      <c r="N2211" s="41">
        <v>11.67</v>
      </c>
      <c r="O2211" s="187"/>
      <c r="P2211" s="183"/>
      <c r="Q2211" s="184"/>
      <c r="S2211" s="184" t="s">
        <v>1017</v>
      </c>
      <c r="T2211" s="178" t="s">
        <v>4180</v>
      </c>
      <c r="U2211" s="185" t="s">
        <v>1017</v>
      </c>
      <c r="V2211" s="184"/>
      <c r="W2211" s="180"/>
      <c r="X2211" s="180"/>
      <c r="Y2211" s="184" t="s">
        <v>1017</v>
      </c>
      <c r="Z2211" s="184"/>
      <c r="AA2211" s="180"/>
      <c r="AB2211" s="184"/>
      <c r="AC2211" s="184"/>
      <c r="AD2211" s="201"/>
      <c r="AE2211" s="181"/>
      <c r="AF2211" s="180"/>
      <c r="AG2211" s="201"/>
      <c r="AH2211" s="212" t="str">
        <f t="shared" si="1017"/>
        <v>2011</v>
      </c>
      <c r="AI2211" s="214" t="str">
        <f t="shared" si="1005"/>
        <v/>
      </c>
      <c r="AJ2211" s="214" t="str">
        <f t="shared" si="1006"/>
        <v/>
      </c>
      <c r="AK2211" s="214" t="str">
        <f t="shared" si="1007"/>
        <v/>
      </c>
      <c r="AL2211" s="214" t="str">
        <f t="shared" si="1008"/>
        <v/>
      </c>
      <c r="AM2211" s="214" t="str">
        <f t="shared" si="1009"/>
        <v/>
      </c>
      <c r="AN2211" s="213" t="str">
        <f t="shared" si="992"/>
        <v>2011</v>
      </c>
      <c r="AO2211" s="213" t="str">
        <f t="shared" si="993"/>
        <v>2011</v>
      </c>
      <c r="AP2211" s="213" t="str">
        <f t="shared" si="994"/>
        <v>2011</v>
      </c>
      <c r="AQ2211" s="215" t="str">
        <f t="shared" si="995"/>
        <v/>
      </c>
      <c r="AR2211" s="216" t="str">
        <f t="shared" si="996"/>
        <v>BiK81GK11y--08</v>
      </c>
      <c r="AS2211" s="215" t="str">
        <f t="shared" si="997"/>
        <v/>
      </c>
      <c r="AT2211">
        <f t="shared" si="998"/>
        <v>14</v>
      </c>
      <c r="AU2211" s="216" t="str">
        <f t="shared" si="999"/>
        <v>0-0,15 MW, Bonusregeln G, y und K erstmals 2011</v>
      </c>
      <c r="AV2211" s="215" t="str">
        <f t="shared" si="1000"/>
        <v/>
      </c>
      <c r="AW2211" s="216" t="str">
        <f t="shared" si="1001"/>
        <v>Anteil KWK, erstmals 2011</v>
      </c>
      <c r="AX2211" s="215" t="str">
        <f t="shared" si="1002"/>
        <v/>
      </c>
      <c r="AY2211" t="str">
        <f t="shared" si="1003"/>
        <v>x</v>
      </c>
      <c r="AZ2211" t="str">
        <f t="shared" si="1004"/>
        <v/>
      </c>
    </row>
    <row r="2212" spans="1:52" s="178" customFormat="1" x14ac:dyDescent="0.25">
      <c r="A2212" s="625" t="s">
        <v>1871</v>
      </c>
      <c r="B2212" s="219" t="s">
        <v>5548</v>
      </c>
      <c r="C2212" s="219" t="s">
        <v>5540</v>
      </c>
      <c r="D2212" s="219" t="s">
        <v>6821</v>
      </c>
      <c r="E2212" s="219" t="s">
        <v>1980</v>
      </c>
      <c r="F2212" s="455">
        <f t="shared" si="1010"/>
        <v>22.58</v>
      </c>
      <c r="G2212" s="530">
        <v>22.58</v>
      </c>
      <c r="H2212" s="488">
        <f t="shared" si="1011"/>
        <v>18.059999999999999</v>
      </c>
      <c r="I2212" s="707"/>
      <c r="J2212" s="669" t="s">
        <v>5805</v>
      </c>
      <c r="K2212" s="15"/>
      <c r="L2212"/>
      <c r="M2212" s="49">
        <f t="shared" si="1012"/>
        <v>22.58</v>
      </c>
      <c r="N2212" s="41">
        <v>11.67</v>
      </c>
      <c r="O2212" s="187"/>
      <c r="P2212" s="183"/>
      <c r="Q2212" s="184"/>
      <c r="S2212" s="184" t="s">
        <v>4180</v>
      </c>
      <c r="T2212" s="178" t="s">
        <v>1017</v>
      </c>
      <c r="U2212" s="185" t="s">
        <v>1017</v>
      </c>
      <c r="V2212" s="184"/>
      <c r="W2212" s="180"/>
      <c r="X2212" s="180"/>
      <c r="Y2212" s="184" t="s">
        <v>1017</v>
      </c>
      <c r="Z2212" s="184"/>
      <c r="AA2212" s="180"/>
      <c r="AB2212" s="184"/>
      <c r="AC2212" s="184"/>
      <c r="AD2212" s="201"/>
      <c r="AE2212" s="181"/>
      <c r="AF2212" s="180"/>
      <c r="AG2212" s="201"/>
      <c r="AH2212" s="217" t="s">
        <v>4179</v>
      </c>
      <c r="AI2212" s="214" t="str">
        <f t="shared" si="1005"/>
        <v/>
      </c>
      <c r="AJ2212" s="214" t="str">
        <f t="shared" si="1006"/>
        <v/>
      </c>
      <c r="AK2212" s="214" t="str">
        <f t="shared" si="1007"/>
        <v/>
      </c>
      <c r="AL2212" s="214" t="str">
        <f t="shared" si="1008"/>
        <v/>
      </c>
      <c r="AM2212" s="214" t="str">
        <f t="shared" si="1009"/>
        <v/>
      </c>
      <c r="AN2212" s="213" t="str">
        <f t="shared" si="992"/>
        <v>2012</v>
      </c>
      <c r="AO2212" s="213" t="str">
        <f t="shared" si="993"/>
        <v>2012</v>
      </c>
      <c r="AP2212" s="213" t="str">
        <f t="shared" si="994"/>
        <v>2012</v>
      </c>
      <c r="AQ2212" s="215" t="str">
        <f t="shared" si="995"/>
        <v/>
      </c>
      <c r="AR2212" s="216" t="str">
        <f t="shared" si="996"/>
        <v>BiK81GK12y--08</v>
      </c>
      <c r="AS2212" s="215" t="str">
        <f t="shared" si="997"/>
        <v/>
      </c>
      <c r="AT2212">
        <f t="shared" si="998"/>
        <v>14</v>
      </c>
      <c r="AU2212" s="216" t="str">
        <f t="shared" si="999"/>
        <v>0-0,15 MW, Bonusregeln G, y und K erstmals 2012</v>
      </c>
      <c r="AV2212" s="215" t="str">
        <f t="shared" si="1000"/>
        <v/>
      </c>
      <c r="AW2212" s="216" t="str">
        <f t="shared" si="1001"/>
        <v>Anteil KWK, erstmals 2012</v>
      </c>
      <c r="AX2212" s="215" t="str">
        <f t="shared" si="1002"/>
        <v/>
      </c>
      <c r="AY2212" t="str">
        <f t="shared" si="1003"/>
        <v/>
      </c>
      <c r="AZ2212" t="str">
        <f t="shared" si="1004"/>
        <v>x</v>
      </c>
    </row>
    <row r="2213" spans="1:52" s="178" customFormat="1" x14ac:dyDescent="0.25">
      <c r="A2213" s="610" t="s">
        <v>2673</v>
      </c>
      <c r="B2213" s="30" t="s">
        <v>5548</v>
      </c>
      <c r="C2213" s="30" t="s">
        <v>5540</v>
      </c>
      <c r="D2213" s="30" t="s">
        <v>6822</v>
      </c>
      <c r="E2213" s="30" t="s">
        <v>4810</v>
      </c>
      <c r="F2213" s="454">
        <f t="shared" si="1010"/>
        <v>22.67</v>
      </c>
      <c r="G2213" s="529">
        <v>22.67</v>
      </c>
      <c r="H2213" s="487">
        <f t="shared" si="1011"/>
        <v>18.14</v>
      </c>
      <c r="I2213" s="706"/>
      <c r="J2213" s="669" t="s">
        <v>5805</v>
      </c>
      <c r="K2213" s="15"/>
      <c r="L2213"/>
      <c r="M2213" s="49">
        <f t="shared" si="1012"/>
        <v>22.67</v>
      </c>
      <c r="N2213" s="41">
        <v>11.67</v>
      </c>
      <c r="O2213" s="186"/>
      <c r="P2213" s="177"/>
      <c r="S2213" s="178" t="s">
        <v>4180</v>
      </c>
      <c r="T2213" s="178" t="s">
        <v>4180</v>
      </c>
      <c r="U2213" s="179"/>
      <c r="W2213" s="180"/>
      <c r="X2213" s="180"/>
      <c r="Z2213" s="178" t="s">
        <v>1017</v>
      </c>
      <c r="AA2213" s="180"/>
      <c r="AD2213" s="201"/>
      <c r="AE2213" s="200"/>
      <c r="AF2213" s="180"/>
      <c r="AG2213" s="201"/>
      <c r="AH2213" s="212" t="str">
        <f t="shared" ref="AH2213:AH2218" si="1018">IF(ISERROR(SEARCH("K erstmals 201",D2213)),"",RIGHT(D2213,4))</f>
        <v/>
      </c>
      <c r="AI2213" s="214" t="str">
        <f t="shared" si="1005"/>
        <v/>
      </c>
      <c r="AJ2213" s="214" t="str">
        <f t="shared" si="1006"/>
        <v/>
      </c>
      <c r="AK2213" s="214" t="str">
        <f t="shared" si="1007"/>
        <v/>
      </c>
      <c r="AL2213" s="214" t="str">
        <f t="shared" si="1008"/>
        <v/>
      </c>
      <c r="AM2213" s="214" t="str">
        <f t="shared" si="1009"/>
        <v/>
      </c>
      <c r="AN2213" s="213" t="str">
        <f t="shared" si="992"/>
        <v/>
      </c>
      <c r="AO2213" s="213" t="str">
        <f t="shared" si="993"/>
        <v/>
      </c>
      <c r="AP2213" s="213" t="str">
        <f t="shared" si="994"/>
        <v/>
      </c>
      <c r="AQ2213" s="215" t="str">
        <f t="shared" si="995"/>
        <v/>
      </c>
      <c r="AR2213" s="216" t="str">
        <f t="shared" si="996"/>
        <v>BiK81M1-----08</v>
      </c>
      <c r="AS2213" s="215" t="str">
        <f t="shared" si="997"/>
        <v/>
      </c>
      <c r="AT2213">
        <f t="shared" si="998"/>
        <v>14</v>
      </c>
      <c r="AU2213" s="216" t="str">
        <f t="shared" si="999"/>
        <v>0-0,15 MW, Bonusregel M1</v>
      </c>
      <c r="AV2213" s="215" t="str">
        <f t="shared" si="1000"/>
        <v/>
      </c>
      <c r="AW2213" s="216" t="str">
        <f t="shared" si="1001"/>
        <v>Anteil Nicht-KWK</v>
      </c>
      <c r="AX2213" s="215" t="str">
        <f t="shared" si="1002"/>
        <v/>
      </c>
      <c r="AY2213" t="str">
        <f t="shared" si="1003"/>
        <v/>
      </c>
      <c r="AZ2213" t="str">
        <f t="shared" si="1004"/>
        <v/>
      </c>
    </row>
    <row r="2214" spans="1:52" s="178" customFormat="1" x14ac:dyDescent="0.25">
      <c r="A2214" s="610" t="s">
        <v>2672</v>
      </c>
      <c r="B2214" s="30" t="s">
        <v>5548</v>
      </c>
      <c r="C2214" s="30" t="s">
        <v>5540</v>
      </c>
      <c r="D2214" s="30" t="s">
        <v>6897</v>
      </c>
      <c r="E2214" s="30" t="s">
        <v>4812</v>
      </c>
      <c r="F2214" s="454">
        <f t="shared" si="1010"/>
        <v>24.67</v>
      </c>
      <c r="G2214" s="529">
        <v>24.67</v>
      </c>
      <c r="H2214" s="487">
        <f t="shared" si="1011"/>
        <v>19.739999999999998</v>
      </c>
      <c r="I2214" s="706"/>
      <c r="J2214" s="669" t="s">
        <v>5805</v>
      </c>
      <c r="K2214" s="15"/>
      <c r="L2214"/>
      <c r="M2214" s="49">
        <f t="shared" si="1012"/>
        <v>24.67</v>
      </c>
      <c r="N2214" s="41">
        <v>11.67</v>
      </c>
      <c r="O2214" s="186" t="s">
        <v>1017</v>
      </c>
      <c r="P2214" s="177"/>
      <c r="S2214" s="178" t="s">
        <v>4180</v>
      </c>
      <c r="T2214" s="178" t="s">
        <v>4180</v>
      </c>
      <c r="U2214" s="179"/>
      <c r="W2214" s="180"/>
      <c r="X2214" s="180"/>
      <c r="Z2214" s="178" t="s">
        <v>1017</v>
      </c>
      <c r="AA2214" s="180"/>
      <c r="AD2214" s="201"/>
      <c r="AE2214" s="200"/>
      <c r="AF2214" s="180"/>
      <c r="AG2214" s="201"/>
      <c r="AH2214" s="212" t="str">
        <f t="shared" si="1018"/>
        <v/>
      </c>
      <c r="AI2214" s="214" t="str">
        <f t="shared" si="1005"/>
        <v/>
      </c>
      <c r="AJ2214" s="214" t="str">
        <f t="shared" si="1006"/>
        <v/>
      </c>
      <c r="AK2214" s="214" t="str">
        <f t="shared" si="1007"/>
        <v/>
      </c>
      <c r="AL2214" s="214" t="str">
        <f t="shared" si="1008"/>
        <v/>
      </c>
      <c r="AM2214" s="214" t="str">
        <f t="shared" si="1009"/>
        <v/>
      </c>
      <c r="AN2214" s="213" t="str">
        <f t="shared" si="992"/>
        <v/>
      </c>
      <c r="AO2214" s="213" t="str">
        <f t="shared" si="993"/>
        <v/>
      </c>
      <c r="AP2214" s="213" t="str">
        <f t="shared" si="994"/>
        <v/>
      </c>
      <c r="AQ2214" s="215" t="str">
        <f t="shared" si="995"/>
        <v/>
      </c>
      <c r="AR2214" s="216" t="str">
        <f t="shared" si="996"/>
        <v>BiK81M1KWK--08</v>
      </c>
      <c r="AS2214" s="215" t="str">
        <f t="shared" si="997"/>
        <v/>
      </c>
      <c r="AT2214">
        <f t="shared" si="998"/>
        <v>14</v>
      </c>
      <c r="AU2214" s="216" t="str">
        <f t="shared" si="999"/>
        <v>0-0,15 MW, Bonusregeln M1 und KWK</v>
      </c>
      <c r="AV2214" s="215" t="str">
        <f t="shared" si="1000"/>
        <v/>
      </c>
      <c r="AW2214" s="216" t="str">
        <f t="shared" si="1001"/>
        <v>Anteil KWK</v>
      </c>
      <c r="AX2214" s="215" t="str">
        <f t="shared" si="1002"/>
        <v/>
      </c>
      <c r="AY2214" t="str">
        <f t="shared" si="1003"/>
        <v/>
      </c>
      <c r="AZ2214" t="str">
        <f t="shared" si="1004"/>
        <v/>
      </c>
    </row>
    <row r="2215" spans="1:52" s="178" customFormat="1" x14ac:dyDescent="0.25">
      <c r="A2215" s="610" t="s">
        <v>2671</v>
      </c>
      <c r="B2215" s="30" t="s">
        <v>5548</v>
      </c>
      <c r="C2215" s="30" t="s">
        <v>5540</v>
      </c>
      <c r="D2215" s="30" t="s">
        <v>6823</v>
      </c>
      <c r="E2215" s="30" t="s">
        <v>4331</v>
      </c>
      <c r="F2215" s="454">
        <f t="shared" si="1010"/>
        <v>25.67</v>
      </c>
      <c r="G2215" s="529">
        <v>25.67</v>
      </c>
      <c r="H2215" s="487">
        <f t="shared" si="1011"/>
        <v>20.54</v>
      </c>
      <c r="I2215" s="706"/>
      <c r="J2215" s="669" t="s">
        <v>5805</v>
      </c>
      <c r="K2215" s="15"/>
      <c r="L2215"/>
      <c r="M2215" s="49">
        <f t="shared" si="1012"/>
        <v>25.67</v>
      </c>
      <c r="N2215" s="41">
        <v>11.67</v>
      </c>
      <c r="O2215" s="186"/>
      <c r="P2215" s="178" t="s">
        <v>1017</v>
      </c>
      <c r="S2215" s="178" t="s">
        <v>4180</v>
      </c>
      <c r="T2215" s="178" t="s">
        <v>4180</v>
      </c>
      <c r="U2215" s="179"/>
      <c r="W2215" s="180"/>
      <c r="X2215" s="180"/>
      <c r="Z2215" s="178" t="s">
        <v>1017</v>
      </c>
      <c r="AA2215" s="180"/>
      <c r="AD2215" s="201"/>
      <c r="AE2215" s="200"/>
      <c r="AF2215" s="180"/>
      <c r="AG2215" s="201"/>
      <c r="AH2215" s="212" t="str">
        <f t="shared" si="1018"/>
        <v/>
      </c>
      <c r="AI2215" s="214" t="str">
        <f t="shared" si="1005"/>
        <v/>
      </c>
      <c r="AJ2215" s="214" t="str">
        <f t="shared" si="1006"/>
        <v/>
      </c>
      <c r="AK2215" s="214" t="str">
        <f t="shared" si="1007"/>
        <v/>
      </c>
      <c r="AL2215" s="214" t="str">
        <f t="shared" si="1008"/>
        <v/>
      </c>
      <c r="AM2215" s="214" t="str">
        <f t="shared" si="1009"/>
        <v/>
      </c>
      <c r="AN2215" s="213" t="str">
        <f t="shared" si="992"/>
        <v/>
      </c>
      <c r="AO2215" s="213" t="str">
        <f t="shared" si="993"/>
        <v/>
      </c>
      <c r="AP2215" s="213" t="str">
        <f t="shared" si="994"/>
        <v/>
      </c>
      <c r="AQ2215" s="215" t="str">
        <f t="shared" si="995"/>
        <v/>
      </c>
      <c r="AR2215" s="216" t="str">
        <f t="shared" si="996"/>
        <v>BiK81M1KA3--08</v>
      </c>
      <c r="AS2215" s="215" t="str">
        <f t="shared" si="997"/>
        <v/>
      </c>
      <c r="AT2215">
        <f t="shared" si="998"/>
        <v>14</v>
      </c>
      <c r="AU2215" s="216" t="str">
        <f t="shared" si="999"/>
        <v>0-0,15 MW, Bonusregeln M1 und K wenn Anlage 3 erfüllt</v>
      </c>
      <c r="AV2215" s="215" t="str">
        <f t="shared" si="1000"/>
        <v/>
      </c>
      <c r="AW2215" s="216" t="str">
        <f t="shared" si="1001"/>
        <v>Anteil KWK gemäß Anlage 3</v>
      </c>
      <c r="AX2215" s="215" t="str">
        <f t="shared" si="1002"/>
        <v/>
      </c>
      <c r="AY2215" t="str">
        <f t="shared" si="1003"/>
        <v/>
      </c>
      <c r="AZ2215" t="str">
        <f t="shared" si="1004"/>
        <v/>
      </c>
    </row>
    <row r="2216" spans="1:52" s="178" customFormat="1" x14ac:dyDescent="0.25">
      <c r="A2216" s="610" t="s">
        <v>2670</v>
      </c>
      <c r="B2216" s="30" t="s">
        <v>5548</v>
      </c>
      <c r="C2216" s="30" t="s">
        <v>5540</v>
      </c>
      <c r="D2216" s="30" t="s">
        <v>6898</v>
      </c>
      <c r="E2216" s="30" t="s">
        <v>674</v>
      </c>
      <c r="F2216" s="454">
        <f t="shared" si="1010"/>
        <v>25.67</v>
      </c>
      <c r="G2216" s="529">
        <v>25.67</v>
      </c>
      <c r="H2216" s="487">
        <f t="shared" si="1011"/>
        <v>20.54</v>
      </c>
      <c r="I2216" s="706"/>
      <c r="J2216" s="669" t="s">
        <v>5805</v>
      </c>
      <c r="K2216" s="15"/>
      <c r="L2216"/>
      <c r="M2216" s="49">
        <f t="shared" si="1012"/>
        <v>25.67</v>
      </c>
      <c r="N2216" s="41">
        <v>11.67</v>
      </c>
      <c r="O2216" s="186"/>
      <c r="P2216" s="177"/>
      <c r="Q2216" s="178" t="s">
        <v>1017</v>
      </c>
      <c r="S2216" s="178" t="s">
        <v>4180</v>
      </c>
      <c r="T2216" s="178" t="s">
        <v>4180</v>
      </c>
      <c r="U2216" s="179"/>
      <c r="W2216" s="180"/>
      <c r="X2216" s="180"/>
      <c r="Z2216" s="178" t="s">
        <v>1017</v>
      </c>
      <c r="AA2216" s="180"/>
      <c r="AD2216" s="201"/>
      <c r="AE2216" s="200"/>
      <c r="AF2216" s="180"/>
      <c r="AG2216" s="180"/>
      <c r="AH2216" s="212" t="str">
        <f t="shared" si="1018"/>
        <v/>
      </c>
      <c r="AI2216" s="214" t="str">
        <f t="shared" si="1005"/>
        <v/>
      </c>
      <c r="AJ2216" s="214" t="str">
        <f t="shared" si="1006"/>
        <v/>
      </c>
      <c r="AK2216" s="214" t="str">
        <f t="shared" si="1007"/>
        <v/>
      </c>
      <c r="AL2216" s="214" t="str">
        <f t="shared" si="1008"/>
        <v/>
      </c>
      <c r="AM2216" s="214" t="str">
        <f t="shared" si="1009"/>
        <v/>
      </c>
      <c r="AN2216" s="213" t="str">
        <f t="shared" si="992"/>
        <v/>
      </c>
      <c r="AO2216" s="213" t="str">
        <f t="shared" si="993"/>
        <v/>
      </c>
      <c r="AP2216" s="213" t="str">
        <f t="shared" si="994"/>
        <v/>
      </c>
      <c r="AQ2216" s="215" t="str">
        <f t="shared" si="995"/>
        <v/>
      </c>
      <c r="AR2216" s="216" t="str">
        <f t="shared" si="996"/>
        <v>BiK81M1K09--08</v>
      </c>
      <c r="AS2216" s="215" t="str">
        <f t="shared" si="997"/>
        <v/>
      </c>
      <c r="AT2216">
        <f t="shared" si="998"/>
        <v>14</v>
      </c>
      <c r="AU2216" s="216" t="str">
        <f t="shared" si="999"/>
        <v>0-0,15 MW, Bonusregeln M1, K erstmals 2009</v>
      </c>
      <c r="AV2216" s="215" t="str">
        <f t="shared" si="1000"/>
        <v/>
      </c>
      <c r="AW2216" s="216" t="str">
        <f t="shared" si="1001"/>
        <v>Anteil KWK, erstmals 2009</v>
      </c>
      <c r="AX2216" s="215" t="str">
        <f t="shared" si="1002"/>
        <v/>
      </c>
      <c r="AY2216" t="str">
        <f t="shared" si="1003"/>
        <v/>
      </c>
      <c r="AZ2216" t="str">
        <f t="shared" si="1004"/>
        <v/>
      </c>
    </row>
    <row r="2217" spans="1:52" s="178" customFormat="1" x14ac:dyDescent="0.25">
      <c r="A2217" s="610" t="s">
        <v>3164</v>
      </c>
      <c r="B2217" s="30" t="s">
        <v>5548</v>
      </c>
      <c r="C2217" s="30" t="s">
        <v>5540</v>
      </c>
      <c r="D2217" s="30" t="s">
        <v>6899</v>
      </c>
      <c r="E2217" s="30" t="s">
        <v>3567</v>
      </c>
      <c r="F2217" s="454">
        <f t="shared" si="1010"/>
        <v>25.64</v>
      </c>
      <c r="G2217" s="529">
        <v>25.64</v>
      </c>
      <c r="H2217" s="487">
        <f t="shared" si="1011"/>
        <v>20.51</v>
      </c>
      <c r="I2217" s="706"/>
      <c r="J2217" s="669" t="s">
        <v>5805</v>
      </c>
      <c r="K2217" s="15"/>
      <c r="L2217"/>
      <c r="M2217" s="49">
        <f t="shared" si="1012"/>
        <v>25.64</v>
      </c>
      <c r="N2217" s="41">
        <v>11.67</v>
      </c>
      <c r="O2217" s="186"/>
      <c r="P2217" s="177"/>
      <c r="R2217" s="178" t="s">
        <v>1017</v>
      </c>
      <c r="S2217" s="178" t="s">
        <v>4180</v>
      </c>
      <c r="T2217" s="178" t="s">
        <v>4180</v>
      </c>
      <c r="U2217" s="179"/>
      <c r="W2217" s="180"/>
      <c r="X2217" s="180"/>
      <c r="Z2217" s="178" t="s">
        <v>1017</v>
      </c>
      <c r="AA2217" s="180"/>
      <c r="AD2217" s="201"/>
      <c r="AE2217" s="200"/>
      <c r="AF2217" s="180"/>
      <c r="AG2217" s="201"/>
      <c r="AH2217" s="212" t="str">
        <f t="shared" si="1018"/>
        <v>2010</v>
      </c>
      <c r="AI2217" s="214" t="str">
        <f t="shared" si="1005"/>
        <v/>
      </c>
      <c r="AJ2217" s="214" t="str">
        <f t="shared" si="1006"/>
        <v/>
      </c>
      <c r="AK2217" s="214" t="str">
        <f t="shared" si="1007"/>
        <v/>
      </c>
      <c r="AL2217" s="214" t="str">
        <f t="shared" si="1008"/>
        <v/>
      </c>
      <c r="AM2217" s="214" t="str">
        <f t="shared" si="1009"/>
        <v/>
      </c>
      <c r="AN2217" s="213" t="str">
        <f t="shared" si="992"/>
        <v>2010</v>
      </c>
      <c r="AO2217" s="213" t="str">
        <f t="shared" si="993"/>
        <v>2010</v>
      </c>
      <c r="AP2217" s="213" t="str">
        <f t="shared" si="994"/>
        <v>2010</v>
      </c>
      <c r="AQ2217" s="215" t="str">
        <f t="shared" si="995"/>
        <v/>
      </c>
      <c r="AR2217" s="216" t="str">
        <f t="shared" si="996"/>
        <v>BiK81M1K10--08</v>
      </c>
      <c r="AS2217" s="215" t="str">
        <f t="shared" si="997"/>
        <v/>
      </c>
      <c r="AT2217">
        <f t="shared" si="998"/>
        <v>14</v>
      </c>
      <c r="AU2217" s="216" t="str">
        <f t="shared" si="999"/>
        <v>0-0,15 MW, Bonusregeln M1, K erstmals 2010</v>
      </c>
      <c r="AV2217" s="215" t="str">
        <f t="shared" si="1000"/>
        <v/>
      </c>
      <c r="AW2217" s="216" t="str">
        <f t="shared" si="1001"/>
        <v>Anteil KWK, erstmals 2010</v>
      </c>
      <c r="AX2217" s="215" t="str">
        <f t="shared" si="1002"/>
        <v/>
      </c>
      <c r="AY2217" t="str">
        <f t="shared" si="1003"/>
        <v/>
      </c>
      <c r="AZ2217" t="str">
        <f t="shared" si="1004"/>
        <v/>
      </c>
    </row>
    <row r="2218" spans="1:52" x14ac:dyDescent="0.25">
      <c r="A2218" s="610" t="s">
        <v>3440</v>
      </c>
      <c r="B2218" s="30" t="s">
        <v>5548</v>
      </c>
      <c r="C2218" s="30" t="s">
        <v>5540</v>
      </c>
      <c r="D2218" s="30" t="s">
        <v>6900</v>
      </c>
      <c r="E2218" s="30" t="s">
        <v>3055</v>
      </c>
      <c r="F2218" s="454">
        <f t="shared" si="1010"/>
        <v>25.61</v>
      </c>
      <c r="G2218" s="529">
        <v>25.61</v>
      </c>
      <c r="H2218" s="487">
        <f t="shared" si="1011"/>
        <v>20.49</v>
      </c>
      <c r="I2218" s="706"/>
      <c r="J2218" s="669" t="s">
        <v>5805</v>
      </c>
      <c r="K2218" s="15"/>
      <c r="M2218" s="49">
        <f t="shared" si="1012"/>
        <v>25.61</v>
      </c>
      <c r="N2218" s="41">
        <v>11.67</v>
      </c>
      <c r="O2218" s="186"/>
      <c r="P2218" s="177"/>
      <c r="Q2218" s="178"/>
      <c r="R2218" s="178"/>
      <c r="S2218" s="178" t="s">
        <v>1017</v>
      </c>
      <c r="T2218" t="s">
        <v>4180</v>
      </c>
      <c r="U2218" s="179"/>
      <c r="V2218" s="178"/>
      <c r="W2218" s="180"/>
      <c r="X2218" s="180"/>
      <c r="Y2218" s="178"/>
      <c r="Z2218" s="178" t="s">
        <v>1017</v>
      </c>
      <c r="AA2218" s="180"/>
      <c r="AB2218" s="178"/>
      <c r="AC2218" s="178"/>
      <c r="AD2218" s="201"/>
      <c r="AE2218" s="200"/>
      <c r="AF2218" s="180"/>
      <c r="AG2218" s="180"/>
      <c r="AH2218" s="212" t="str">
        <f t="shared" si="1018"/>
        <v>2011</v>
      </c>
      <c r="AI2218" s="214" t="str">
        <f t="shared" si="1005"/>
        <v/>
      </c>
      <c r="AJ2218" s="214" t="str">
        <f t="shared" si="1006"/>
        <v/>
      </c>
      <c r="AK2218" s="214" t="str">
        <f t="shared" si="1007"/>
        <v/>
      </c>
      <c r="AL2218" s="214" t="str">
        <f t="shared" si="1008"/>
        <v/>
      </c>
      <c r="AM2218" s="214" t="str">
        <f t="shared" si="1009"/>
        <v/>
      </c>
      <c r="AN2218" s="213" t="str">
        <f t="shared" si="992"/>
        <v>2011</v>
      </c>
      <c r="AO2218" s="213" t="str">
        <f t="shared" si="993"/>
        <v>2011</v>
      </c>
      <c r="AP2218" s="213" t="str">
        <f t="shared" si="994"/>
        <v>2011</v>
      </c>
      <c r="AQ2218" s="215" t="str">
        <f t="shared" si="995"/>
        <v/>
      </c>
      <c r="AR2218" s="216" t="str">
        <f t="shared" si="996"/>
        <v>BiK81M1K11--08</v>
      </c>
      <c r="AS2218" s="215" t="str">
        <f t="shared" si="997"/>
        <v/>
      </c>
      <c r="AT2218">
        <f t="shared" si="998"/>
        <v>14</v>
      </c>
      <c r="AU2218" s="216" t="str">
        <f t="shared" si="999"/>
        <v>0-0,15 MW, Bonusregeln M1, K erstmals 2011</v>
      </c>
      <c r="AV2218" s="215" t="str">
        <f t="shared" si="1000"/>
        <v/>
      </c>
      <c r="AW2218" s="216" t="str">
        <f t="shared" si="1001"/>
        <v>Anteil KWK, erstmals 2011</v>
      </c>
      <c r="AX2218" s="215" t="str">
        <f t="shared" si="1002"/>
        <v/>
      </c>
      <c r="AY2218" t="str">
        <f t="shared" si="1003"/>
        <v>x</v>
      </c>
      <c r="AZ2218" t="str">
        <f t="shared" si="1004"/>
        <v/>
      </c>
    </row>
    <row r="2219" spans="1:52" x14ac:dyDescent="0.25">
      <c r="A2219" s="625" t="s">
        <v>1872</v>
      </c>
      <c r="B2219" s="219" t="s">
        <v>5548</v>
      </c>
      <c r="C2219" s="219" t="s">
        <v>5540</v>
      </c>
      <c r="D2219" s="219" t="s">
        <v>6901</v>
      </c>
      <c r="E2219" s="219" t="s">
        <v>1980</v>
      </c>
      <c r="F2219" s="455">
        <f t="shared" si="1010"/>
        <v>25.58</v>
      </c>
      <c r="G2219" s="530">
        <v>25.58</v>
      </c>
      <c r="H2219" s="488">
        <f t="shared" si="1011"/>
        <v>20.46</v>
      </c>
      <c r="I2219" s="707"/>
      <c r="J2219" s="669" t="s">
        <v>5805</v>
      </c>
      <c r="K2219" s="15"/>
      <c r="M2219" s="49">
        <f t="shared" si="1012"/>
        <v>25.58</v>
      </c>
      <c r="N2219" s="41">
        <v>11.67</v>
      </c>
      <c r="O2219" s="186"/>
      <c r="P2219" s="177"/>
      <c r="Q2219" s="178"/>
      <c r="R2219" s="178"/>
      <c r="S2219" s="178" t="s">
        <v>4180</v>
      </c>
      <c r="T2219" t="s">
        <v>1017</v>
      </c>
      <c r="U2219" s="179"/>
      <c r="V2219" s="178"/>
      <c r="W2219" s="180"/>
      <c r="X2219" s="180"/>
      <c r="Y2219" s="178"/>
      <c r="Z2219" s="178" t="s">
        <v>1017</v>
      </c>
      <c r="AA2219" s="180"/>
      <c r="AB2219" s="178"/>
      <c r="AC2219" s="178"/>
      <c r="AD2219" s="201"/>
      <c r="AE2219" s="200"/>
      <c r="AF2219" s="180"/>
      <c r="AG2219" s="180"/>
      <c r="AH2219" s="217" t="s">
        <v>4179</v>
      </c>
      <c r="AI2219" s="214" t="str">
        <f t="shared" si="1005"/>
        <v/>
      </c>
      <c r="AJ2219" s="214" t="str">
        <f t="shared" si="1006"/>
        <v/>
      </c>
      <c r="AK2219" s="214" t="str">
        <f t="shared" si="1007"/>
        <v/>
      </c>
      <c r="AL2219" s="214" t="str">
        <f t="shared" si="1008"/>
        <v/>
      </c>
      <c r="AM2219" s="214" t="str">
        <f t="shared" si="1009"/>
        <v/>
      </c>
      <c r="AN2219" s="213" t="str">
        <f t="shared" si="992"/>
        <v>2012</v>
      </c>
      <c r="AO2219" s="213" t="str">
        <f t="shared" si="993"/>
        <v>2012</v>
      </c>
      <c r="AP2219" s="213" t="str">
        <f t="shared" si="994"/>
        <v>2012</v>
      </c>
      <c r="AQ2219" s="215" t="str">
        <f t="shared" si="995"/>
        <v/>
      </c>
      <c r="AR2219" s="216" t="str">
        <f t="shared" si="996"/>
        <v>BiK81M1K12--08</v>
      </c>
      <c r="AS2219" s="215" t="str">
        <f t="shared" si="997"/>
        <v/>
      </c>
      <c r="AT2219">
        <f t="shared" si="998"/>
        <v>14</v>
      </c>
      <c r="AU2219" s="216" t="str">
        <f t="shared" si="999"/>
        <v>0-0,15 MW, Bonusregeln M1, K erstmals 2012</v>
      </c>
      <c r="AV2219" s="215" t="str">
        <f t="shared" si="1000"/>
        <v/>
      </c>
      <c r="AW2219" s="216" t="str">
        <f t="shared" si="1001"/>
        <v>Anteil KWK, erstmals 2012</v>
      </c>
      <c r="AX2219" s="215" t="str">
        <f t="shared" si="1002"/>
        <v/>
      </c>
      <c r="AY2219" t="str">
        <f t="shared" si="1003"/>
        <v/>
      </c>
      <c r="AZ2219" t="str">
        <f t="shared" si="1004"/>
        <v>x</v>
      </c>
    </row>
    <row r="2220" spans="1:52" x14ac:dyDescent="0.25">
      <c r="A2220" s="610" t="s">
        <v>931</v>
      </c>
      <c r="B2220" s="30" t="s">
        <v>5548</v>
      </c>
      <c r="C2220" s="30" t="s">
        <v>5540</v>
      </c>
      <c r="D2220" s="30" t="s">
        <v>6828</v>
      </c>
      <c r="E2220" s="30" t="s">
        <v>4810</v>
      </c>
      <c r="F2220" s="454">
        <f t="shared" si="1010"/>
        <v>23.67</v>
      </c>
      <c r="G2220" s="529">
        <v>23.67</v>
      </c>
      <c r="H2220" s="487">
        <f t="shared" si="1011"/>
        <v>18.940000000000001</v>
      </c>
      <c r="I2220" s="706"/>
      <c r="J2220" s="669" t="s">
        <v>5805</v>
      </c>
      <c r="K2220" s="15"/>
      <c r="M2220" s="49">
        <f t="shared" si="1012"/>
        <v>23.67</v>
      </c>
      <c r="N2220" s="41">
        <v>11.67</v>
      </c>
      <c r="O2220" s="187"/>
      <c r="P2220" s="183"/>
      <c r="Q2220" s="184"/>
      <c r="R2220" s="184"/>
      <c r="S2220" s="184" t="s">
        <v>4180</v>
      </c>
      <c r="T2220" t="s">
        <v>4180</v>
      </c>
      <c r="U2220" s="185" t="s">
        <v>1017</v>
      </c>
      <c r="V2220" s="184"/>
      <c r="W2220" s="180"/>
      <c r="X2220" s="180"/>
      <c r="Y2220" s="178"/>
      <c r="Z2220" s="184" t="s">
        <v>1017</v>
      </c>
      <c r="AA2220" s="180"/>
      <c r="AB2220" s="184"/>
      <c r="AC2220" s="184"/>
      <c r="AD2220" s="201"/>
      <c r="AE2220" s="181"/>
      <c r="AF2220" s="180"/>
      <c r="AG2220" s="201"/>
      <c r="AH2220" s="212" t="str">
        <f t="shared" ref="AH2220:AH2225" si="1019">IF(ISERROR(SEARCH("K erstmals 201",D2220)),"",RIGHT(D2220,4))</f>
        <v/>
      </c>
      <c r="AI2220" s="214" t="str">
        <f t="shared" si="1005"/>
        <v/>
      </c>
      <c r="AJ2220" s="214" t="str">
        <f t="shared" si="1006"/>
        <v/>
      </c>
      <c r="AK2220" s="214" t="str">
        <f t="shared" si="1007"/>
        <v/>
      </c>
      <c r="AL2220" s="214" t="str">
        <f t="shared" si="1008"/>
        <v/>
      </c>
      <c r="AM2220" s="214" t="str">
        <f t="shared" si="1009"/>
        <v/>
      </c>
      <c r="AN2220" s="213" t="str">
        <f t="shared" si="992"/>
        <v/>
      </c>
      <c r="AO2220" s="213" t="str">
        <f t="shared" si="993"/>
        <v/>
      </c>
      <c r="AP2220" s="213" t="str">
        <f t="shared" si="994"/>
        <v/>
      </c>
      <c r="AQ2220" s="215" t="str">
        <f t="shared" si="995"/>
        <v/>
      </c>
      <c r="AR2220" s="216" t="str">
        <f t="shared" si="996"/>
        <v>BiK81M1y----08</v>
      </c>
      <c r="AS2220" s="215" t="str">
        <f t="shared" si="997"/>
        <v/>
      </c>
      <c r="AT2220">
        <f t="shared" si="998"/>
        <v>14</v>
      </c>
      <c r="AU2220" s="216" t="str">
        <f t="shared" si="999"/>
        <v>0-0,15 MW, Bonusregeln M1, y</v>
      </c>
      <c r="AV2220" s="215" t="str">
        <f t="shared" si="1000"/>
        <v/>
      </c>
      <c r="AW2220" s="216" t="str">
        <f t="shared" si="1001"/>
        <v>Anteil Nicht-KWK</v>
      </c>
      <c r="AX2220" s="215" t="str">
        <f t="shared" si="1002"/>
        <v/>
      </c>
      <c r="AY2220" t="str">
        <f t="shared" si="1003"/>
        <v/>
      </c>
      <c r="AZ2220" t="str">
        <f t="shared" si="1004"/>
        <v/>
      </c>
    </row>
    <row r="2221" spans="1:52" x14ac:dyDescent="0.25">
      <c r="A2221" s="610" t="s">
        <v>930</v>
      </c>
      <c r="B2221" s="30" t="s">
        <v>5548</v>
      </c>
      <c r="C2221" s="30" t="s">
        <v>5540</v>
      </c>
      <c r="D2221" s="30" t="s">
        <v>6902</v>
      </c>
      <c r="E2221" s="30" t="s">
        <v>4812</v>
      </c>
      <c r="F2221" s="454">
        <f t="shared" si="1010"/>
        <v>25.67</v>
      </c>
      <c r="G2221" s="529">
        <v>25.67</v>
      </c>
      <c r="H2221" s="487">
        <f t="shared" si="1011"/>
        <v>20.54</v>
      </c>
      <c r="I2221" s="706"/>
      <c r="J2221" s="669" t="s">
        <v>5805</v>
      </c>
      <c r="K2221" s="15"/>
      <c r="M2221" s="49">
        <f t="shared" si="1012"/>
        <v>25.67</v>
      </c>
      <c r="N2221" s="41">
        <v>11.67</v>
      </c>
      <c r="O2221" s="187" t="s">
        <v>1017</v>
      </c>
      <c r="P2221" s="183"/>
      <c r="Q2221" s="184"/>
      <c r="R2221" s="184"/>
      <c r="S2221" s="184" t="s">
        <v>4180</v>
      </c>
      <c r="T2221" t="s">
        <v>4180</v>
      </c>
      <c r="U2221" s="185" t="s">
        <v>1017</v>
      </c>
      <c r="V2221" s="184"/>
      <c r="W2221" s="180"/>
      <c r="X2221" s="180"/>
      <c r="Y2221" s="178"/>
      <c r="Z2221" s="184" t="s">
        <v>1017</v>
      </c>
      <c r="AA2221" s="180"/>
      <c r="AB2221" s="184"/>
      <c r="AC2221" s="184"/>
      <c r="AD2221" s="201"/>
      <c r="AE2221" s="181"/>
      <c r="AF2221" s="180"/>
      <c r="AG2221" s="201"/>
      <c r="AH2221" s="212" t="str">
        <f t="shared" si="1019"/>
        <v/>
      </c>
      <c r="AI2221" s="214" t="str">
        <f t="shared" si="1005"/>
        <v/>
      </c>
      <c r="AJ2221" s="214" t="str">
        <f t="shared" si="1006"/>
        <v/>
      </c>
      <c r="AK2221" s="214" t="str">
        <f t="shared" si="1007"/>
        <v/>
      </c>
      <c r="AL2221" s="214" t="str">
        <f t="shared" si="1008"/>
        <v/>
      </c>
      <c r="AM2221" s="214" t="str">
        <f t="shared" si="1009"/>
        <v/>
      </c>
      <c r="AN2221" s="213" t="str">
        <f t="shared" si="992"/>
        <v/>
      </c>
      <c r="AO2221" s="213" t="str">
        <f t="shared" si="993"/>
        <v/>
      </c>
      <c r="AP2221" s="213" t="str">
        <f t="shared" si="994"/>
        <v/>
      </c>
      <c r="AQ2221" s="215" t="str">
        <f t="shared" si="995"/>
        <v/>
      </c>
      <c r="AR2221" s="216" t="str">
        <f t="shared" si="996"/>
        <v>BiK81M1KWKy-08</v>
      </c>
      <c r="AS2221" s="215" t="str">
        <f t="shared" si="997"/>
        <v/>
      </c>
      <c r="AT2221">
        <f t="shared" si="998"/>
        <v>14</v>
      </c>
      <c r="AU2221" s="216" t="str">
        <f t="shared" si="999"/>
        <v>0-0,15 MW, Bonusregeln M1, y und KWK</v>
      </c>
      <c r="AV2221" s="215" t="str">
        <f t="shared" si="1000"/>
        <v/>
      </c>
      <c r="AW2221" s="216" t="str">
        <f t="shared" si="1001"/>
        <v>Anteil KWK</v>
      </c>
      <c r="AX2221" s="215" t="str">
        <f t="shared" si="1002"/>
        <v/>
      </c>
      <c r="AY2221" t="str">
        <f t="shared" si="1003"/>
        <v/>
      </c>
      <c r="AZ2221" t="str">
        <f t="shared" si="1004"/>
        <v/>
      </c>
    </row>
    <row r="2222" spans="1:52" x14ac:dyDescent="0.25">
      <c r="A2222" s="610" t="s">
        <v>932</v>
      </c>
      <c r="B2222" s="30" t="s">
        <v>5548</v>
      </c>
      <c r="C2222" s="30" t="s">
        <v>5540</v>
      </c>
      <c r="D2222" s="109" t="s">
        <v>6829</v>
      </c>
      <c r="E2222" s="30" t="s">
        <v>4331</v>
      </c>
      <c r="F2222" s="454">
        <f t="shared" si="1010"/>
        <v>26.67</v>
      </c>
      <c r="G2222" s="529">
        <v>26.67</v>
      </c>
      <c r="H2222" s="487">
        <f t="shared" si="1011"/>
        <v>21.34</v>
      </c>
      <c r="I2222" s="706"/>
      <c r="J2222" s="669" t="s">
        <v>5805</v>
      </c>
      <c r="K2222" s="15"/>
      <c r="M2222" s="49">
        <f t="shared" si="1012"/>
        <v>26.67</v>
      </c>
      <c r="N2222" s="41">
        <v>11.67</v>
      </c>
      <c r="O2222" s="187"/>
      <c r="P2222" s="184" t="s">
        <v>1017</v>
      </c>
      <c r="Q2222" s="184"/>
      <c r="R2222" s="184"/>
      <c r="S2222" s="184" t="s">
        <v>4180</v>
      </c>
      <c r="T2222" t="s">
        <v>4180</v>
      </c>
      <c r="U2222" s="185" t="s">
        <v>1017</v>
      </c>
      <c r="V2222" s="184"/>
      <c r="W2222" s="180"/>
      <c r="X2222" s="180"/>
      <c r="Y2222" s="178"/>
      <c r="Z2222" s="184" t="s">
        <v>1017</v>
      </c>
      <c r="AA2222" s="180"/>
      <c r="AB2222" s="184"/>
      <c r="AC2222" s="184"/>
      <c r="AD2222" s="201"/>
      <c r="AE2222" s="181"/>
      <c r="AF2222" s="180"/>
      <c r="AG2222" s="201"/>
      <c r="AH2222" s="212" t="str">
        <f t="shared" si="1019"/>
        <v/>
      </c>
      <c r="AI2222" s="214" t="str">
        <f t="shared" si="1005"/>
        <v/>
      </c>
      <c r="AJ2222" s="214" t="str">
        <f t="shared" si="1006"/>
        <v/>
      </c>
      <c r="AK2222" s="214" t="str">
        <f t="shared" si="1007"/>
        <v/>
      </c>
      <c r="AL2222" s="214" t="str">
        <f t="shared" si="1008"/>
        <v/>
      </c>
      <c r="AM2222" s="214" t="str">
        <f t="shared" si="1009"/>
        <v/>
      </c>
      <c r="AN2222" s="213" t="str">
        <f t="shared" si="992"/>
        <v/>
      </c>
      <c r="AO2222" s="213" t="str">
        <f t="shared" si="993"/>
        <v/>
      </c>
      <c r="AP2222" s="213" t="str">
        <f t="shared" si="994"/>
        <v/>
      </c>
      <c r="AQ2222" s="215" t="str">
        <f t="shared" si="995"/>
        <v/>
      </c>
      <c r="AR2222" s="216" t="str">
        <f t="shared" si="996"/>
        <v>BiK81M1KA3y-08</v>
      </c>
      <c r="AS2222" s="215" t="str">
        <f t="shared" si="997"/>
        <v/>
      </c>
      <c r="AT2222">
        <f t="shared" si="998"/>
        <v>14</v>
      </c>
      <c r="AU2222" s="216" t="str">
        <f t="shared" si="999"/>
        <v>0-0,15 MW, Bonusregeln M1, y und K wenn Anlage 3 erfüllt</v>
      </c>
      <c r="AV2222" s="215" t="str">
        <f t="shared" si="1000"/>
        <v/>
      </c>
      <c r="AW2222" s="216" t="str">
        <f t="shared" si="1001"/>
        <v>Anteil KWK gemäß Anlage 3</v>
      </c>
      <c r="AX2222" s="215" t="str">
        <f t="shared" si="1002"/>
        <v/>
      </c>
      <c r="AY2222" t="str">
        <f t="shared" si="1003"/>
        <v/>
      </c>
      <c r="AZ2222" t="str">
        <f t="shared" si="1004"/>
        <v/>
      </c>
    </row>
    <row r="2223" spans="1:52" s="178" customFormat="1" x14ac:dyDescent="0.25">
      <c r="A2223" s="610" t="s">
        <v>933</v>
      </c>
      <c r="B2223" s="30" t="s">
        <v>5548</v>
      </c>
      <c r="C2223" s="30" t="s">
        <v>5540</v>
      </c>
      <c r="D2223" s="30" t="s">
        <v>6830</v>
      </c>
      <c r="E2223" s="30" t="s">
        <v>674</v>
      </c>
      <c r="F2223" s="454">
        <f t="shared" si="1010"/>
        <v>26.67</v>
      </c>
      <c r="G2223" s="529">
        <v>26.67</v>
      </c>
      <c r="H2223" s="487">
        <f t="shared" si="1011"/>
        <v>21.34</v>
      </c>
      <c r="I2223" s="706"/>
      <c r="J2223" s="669" t="s">
        <v>5805</v>
      </c>
      <c r="K2223" s="15"/>
      <c r="L2223"/>
      <c r="M2223" s="49">
        <f t="shared" si="1012"/>
        <v>26.67</v>
      </c>
      <c r="N2223" s="41">
        <v>11.67</v>
      </c>
      <c r="O2223" s="187"/>
      <c r="P2223" s="183"/>
      <c r="Q2223" s="184" t="s">
        <v>1017</v>
      </c>
      <c r="R2223" s="184"/>
      <c r="S2223" s="184" t="s">
        <v>4180</v>
      </c>
      <c r="T2223" s="178" t="s">
        <v>4180</v>
      </c>
      <c r="U2223" s="185" t="s">
        <v>1017</v>
      </c>
      <c r="V2223" s="184"/>
      <c r="W2223" s="180"/>
      <c r="X2223" s="180"/>
      <c r="Z2223" s="184" t="s">
        <v>1017</v>
      </c>
      <c r="AA2223" s="180"/>
      <c r="AB2223" s="184"/>
      <c r="AC2223" s="184"/>
      <c r="AD2223" s="201"/>
      <c r="AE2223" s="181"/>
      <c r="AF2223" s="180"/>
      <c r="AG2223" s="201"/>
      <c r="AH2223" s="212" t="str">
        <f t="shared" si="1019"/>
        <v/>
      </c>
      <c r="AI2223" s="214" t="str">
        <f t="shared" si="1005"/>
        <v/>
      </c>
      <c r="AJ2223" s="214" t="str">
        <f t="shared" si="1006"/>
        <v/>
      </c>
      <c r="AK2223" s="214" t="str">
        <f t="shared" si="1007"/>
        <v/>
      </c>
      <c r="AL2223" s="214" t="str">
        <f t="shared" si="1008"/>
        <v/>
      </c>
      <c r="AM2223" s="214" t="str">
        <f t="shared" si="1009"/>
        <v/>
      </c>
      <c r="AN2223" s="213" t="str">
        <f t="shared" si="992"/>
        <v/>
      </c>
      <c r="AO2223" s="213" t="str">
        <f t="shared" si="993"/>
        <v/>
      </c>
      <c r="AP2223" s="213" t="str">
        <f t="shared" si="994"/>
        <v/>
      </c>
      <c r="AQ2223" s="215" t="str">
        <f t="shared" si="995"/>
        <v/>
      </c>
      <c r="AR2223" s="216" t="str">
        <f t="shared" si="996"/>
        <v>BiK81M1K09y-08</v>
      </c>
      <c r="AS2223" s="215" t="str">
        <f t="shared" si="997"/>
        <v/>
      </c>
      <c r="AT2223">
        <f t="shared" si="998"/>
        <v>14</v>
      </c>
      <c r="AU2223" s="216" t="str">
        <f t="shared" si="999"/>
        <v>0-0,15 MW, Bonusregeln M1, y und K erstmals 2009</v>
      </c>
      <c r="AV2223" s="215" t="str">
        <f t="shared" si="1000"/>
        <v/>
      </c>
      <c r="AW2223" s="216" t="str">
        <f t="shared" si="1001"/>
        <v>Anteil KWK, erstmals 2009</v>
      </c>
      <c r="AX2223" s="215" t="str">
        <f t="shared" si="1002"/>
        <v/>
      </c>
      <c r="AY2223" t="str">
        <f t="shared" si="1003"/>
        <v/>
      </c>
      <c r="AZ2223" t="str">
        <f t="shared" si="1004"/>
        <v/>
      </c>
    </row>
    <row r="2224" spans="1:52" s="178" customFormat="1" x14ac:dyDescent="0.25">
      <c r="A2224" s="610" t="s">
        <v>3165</v>
      </c>
      <c r="B2224" s="30" t="s">
        <v>5548</v>
      </c>
      <c r="C2224" s="30" t="s">
        <v>5540</v>
      </c>
      <c r="D2224" s="30" t="s">
        <v>6831</v>
      </c>
      <c r="E2224" s="30" t="s">
        <v>3567</v>
      </c>
      <c r="F2224" s="454">
        <f t="shared" si="1010"/>
        <v>26.64</v>
      </c>
      <c r="G2224" s="529">
        <v>26.64</v>
      </c>
      <c r="H2224" s="487">
        <f t="shared" si="1011"/>
        <v>21.31</v>
      </c>
      <c r="I2224" s="706"/>
      <c r="J2224" s="669" t="s">
        <v>5805</v>
      </c>
      <c r="K2224" s="15"/>
      <c r="L2224"/>
      <c r="M2224" s="49">
        <f t="shared" si="1012"/>
        <v>26.64</v>
      </c>
      <c r="N2224" s="41">
        <v>11.67</v>
      </c>
      <c r="O2224" s="187"/>
      <c r="P2224" s="183"/>
      <c r="Q2224" s="184"/>
      <c r="R2224" s="184" t="s">
        <v>1017</v>
      </c>
      <c r="S2224" s="184" t="s">
        <v>4180</v>
      </c>
      <c r="T2224" s="178" t="s">
        <v>4180</v>
      </c>
      <c r="U2224" s="185" t="s">
        <v>1017</v>
      </c>
      <c r="V2224" s="184"/>
      <c r="W2224" s="180"/>
      <c r="X2224" s="180"/>
      <c r="Z2224" s="184" t="s">
        <v>1017</v>
      </c>
      <c r="AA2224" s="180"/>
      <c r="AB2224" s="184"/>
      <c r="AC2224" s="184"/>
      <c r="AD2224" s="201"/>
      <c r="AE2224" s="181"/>
      <c r="AF2224" s="180"/>
      <c r="AG2224" s="201"/>
      <c r="AH2224" s="212" t="str">
        <f t="shared" si="1019"/>
        <v>2010</v>
      </c>
      <c r="AI2224" s="214" t="str">
        <f t="shared" si="1005"/>
        <v/>
      </c>
      <c r="AJ2224" s="214" t="str">
        <f t="shared" si="1006"/>
        <v/>
      </c>
      <c r="AK2224" s="214" t="str">
        <f t="shared" si="1007"/>
        <v/>
      </c>
      <c r="AL2224" s="214" t="str">
        <f t="shared" si="1008"/>
        <v/>
      </c>
      <c r="AM2224" s="214" t="str">
        <f t="shared" si="1009"/>
        <v/>
      </c>
      <c r="AN2224" s="213" t="str">
        <f t="shared" si="992"/>
        <v>2010</v>
      </c>
      <c r="AO2224" s="213" t="str">
        <f t="shared" si="993"/>
        <v>2010</v>
      </c>
      <c r="AP2224" s="213" t="str">
        <f t="shared" si="994"/>
        <v>2010</v>
      </c>
      <c r="AQ2224" s="215" t="str">
        <f t="shared" si="995"/>
        <v/>
      </c>
      <c r="AR2224" s="216" t="str">
        <f t="shared" si="996"/>
        <v>BiK81M1K10y-08</v>
      </c>
      <c r="AS2224" s="215" t="str">
        <f t="shared" si="997"/>
        <v/>
      </c>
      <c r="AT2224">
        <f t="shared" si="998"/>
        <v>14</v>
      </c>
      <c r="AU2224" s="216" t="str">
        <f t="shared" si="999"/>
        <v>0-0,15 MW, Bonusregeln M1, y und K erstmals 2010</v>
      </c>
      <c r="AV2224" s="215" t="str">
        <f t="shared" si="1000"/>
        <v/>
      </c>
      <c r="AW2224" s="216" t="str">
        <f t="shared" si="1001"/>
        <v>Anteil KWK, erstmals 2010</v>
      </c>
      <c r="AX2224" s="215" t="str">
        <f t="shared" si="1002"/>
        <v/>
      </c>
      <c r="AY2224" t="str">
        <f t="shared" si="1003"/>
        <v/>
      </c>
      <c r="AZ2224" t="str">
        <f t="shared" si="1004"/>
        <v/>
      </c>
    </row>
    <row r="2225" spans="1:52" s="178" customFormat="1" x14ac:dyDescent="0.25">
      <c r="A2225" s="610" t="s">
        <v>3441</v>
      </c>
      <c r="B2225" s="30" t="s">
        <v>5548</v>
      </c>
      <c r="C2225" s="30" t="s">
        <v>5540</v>
      </c>
      <c r="D2225" s="30" t="s">
        <v>6832</v>
      </c>
      <c r="E2225" s="30" t="s">
        <v>3055</v>
      </c>
      <c r="F2225" s="454">
        <f t="shared" si="1010"/>
        <v>26.61</v>
      </c>
      <c r="G2225" s="529">
        <v>26.61</v>
      </c>
      <c r="H2225" s="487">
        <f t="shared" si="1011"/>
        <v>21.29</v>
      </c>
      <c r="I2225" s="706"/>
      <c r="J2225" s="669" t="s">
        <v>5805</v>
      </c>
      <c r="K2225" s="15"/>
      <c r="L2225"/>
      <c r="M2225" s="49">
        <f t="shared" si="1012"/>
        <v>26.61</v>
      </c>
      <c r="N2225" s="41">
        <v>11.67</v>
      </c>
      <c r="O2225" s="187"/>
      <c r="P2225" s="183"/>
      <c r="Q2225" s="184"/>
      <c r="S2225" s="184" t="s">
        <v>1017</v>
      </c>
      <c r="T2225" s="178" t="s">
        <v>4180</v>
      </c>
      <c r="U2225" s="185" t="s">
        <v>1017</v>
      </c>
      <c r="V2225" s="184"/>
      <c r="W2225" s="180"/>
      <c r="X2225" s="180"/>
      <c r="Z2225" s="184" t="s">
        <v>1017</v>
      </c>
      <c r="AA2225" s="180"/>
      <c r="AB2225" s="184"/>
      <c r="AC2225" s="184"/>
      <c r="AD2225" s="201"/>
      <c r="AE2225" s="181"/>
      <c r="AF2225" s="180"/>
      <c r="AG2225" s="201"/>
      <c r="AH2225" s="212" t="str">
        <f t="shared" si="1019"/>
        <v>2011</v>
      </c>
      <c r="AI2225" s="214" t="str">
        <f t="shared" si="1005"/>
        <v/>
      </c>
      <c r="AJ2225" s="214" t="str">
        <f t="shared" si="1006"/>
        <v/>
      </c>
      <c r="AK2225" s="214" t="str">
        <f t="shared" si="1007"/>
        <v/>
      </c>
      <c r="AL2225" s="214" t="str">
        <f t="shared" si="1008"/>
        <v/>
      </c>
      <c r="AM2225" s="214" t="str">
        <f t="shared" si="1009"/>
        <v/>
      </c>
      <c r="AN2225" s="213" t="str">
        <f t="shared" si="992"/>
        <v>2011</v>
      </c>
      <c r="AO2225" s="213" t="str">
        <f t="shared" si="993"/>
        <v>2011</v>
      </c>
      <c r="AP2225" s="213" t="str">
        <f t="shared" si="994"/>
        <v>2011</v>
      </c>
      <c r="AQ2225" s="215" t="str">
        <f t="shared" si="995"/>
        <v/>
      </c>
      <c r="AR2225" s="216" t="str">
        <f t="shared" si="996"/>
        <v>BiK81M1K11y-08</v>
      </c>
      <c r="AS2225" s="215" t="str">
        <f t="shared" si="997"/>
        <v/>
      </c>
      <c r="AT2225">
        <f t="shared" si="998"/>
        <v>14</v>
      </c>
      <c r="AU2225" s="216" t="str">
        <f t="shared" si="999"/>
        <v>0-0,15 MW, Bonusregeln M1, y und K erstmals 2011</v>
      </c>
      <c r="AV2225" s="215" t="str">
        <f t="shared" si="1000"/>
        <v/>
      </c>
      <c r="AW2225" s="216" t="str">
        <f t="shared" si="1001"/>
        <v>Anteil KWK, erstmals 2011</v>
      </c>
      <c r="AX2225" s="215" t="str">
        <f t="shared" si="1002"/>
        <v/>
      </c>
      <c r="AY2225" t="str">
        <f t="shared" si="1003"/>
        <v>x</v>
      </c>
      <c r="AZ2225" t="str">
        <f t="shared" si="1004"/>
        <v/>
      </c>
    </row>
    <row r="2226" spans="1:52" s="178" customFormat="1" x14ac:dyDescent="0.25">
      <c r="A2226" s="625" t="s">
        <v>1873</v>
      </c>
      <c r="B2226" s="219" t="s">
        <v>5548</v>
      </c>
      <c r="C2226" s="219" t="s">
        <v>5540</v>
      </c>
      <c r="D2226" s="219" t="s">
        <v>6833</v>
      </c>
      <c r="E2226" s="219" t="s">
        <v>1980</v>
      </c>
      <c r="F2226" s="455">
        <f t="shared" si="1010"/>
        <v>26.58</v>
      </c>
      <c r="G2226" s="530">
        <v>26.58</v>
      </c>
      <c r="H2226" s="488">
        <f t="shared" si="1011"/>
        <v>21.26</v>
      </c>
      <c r="I2226" s="707"/>
      <c r="J2226" s="669" t="s">
        <v>5805</v>
      </c>
      <c r="K2226" s="15"/>
      <c r="L2226"/>
      <c r="M2226" s="49">
        <f t="shared" si="1012"/>
        <v>26.58</v>
      </c>
      <c r="N2226" s="41">
        <v>11.67</v>
      </c>
      <c r="O2226" s="187"/>
      <c r="P2226" s="183"/>
      <c r="Q2226" s="184"/>
      <c r="S2226" s="184" t="s">
        <v>4180</v>
      </c>
      <c r="T2226" s="178" t="s">
        <v>1017</v>
      </c>
      <c r="U2226" s="185" t="s">
        <v>1017</v>
      </c>
      <c r="V2226" s="184"/>
      <c r="W2226" s="180"/>
      <c r="X2226" s="180"/>
      <c r="Z2226" s="184" t="s">
        <v>1017</v>
      </c>
      <c r="AA2226" s="180"/>
      <c r="AB2226" s="184"/>
      <c r="AC2226" s="184"/>
      <c r="AD2226" s="201"/>
      <c r="AE2226" s="181"/>
      <c r="AF2226" s="180"/>
      <c r="AG2226" s="201"/>
      <c r="AH2226" s="217" t="s">
        <v>4179</v>
      </c>
      <c r="AI2226" s="214" t="str">
        <f t="shared" si="1005"/>
        <v/>
      </c>
      <c r="AJ2226" s="214" t="str">
        <f t="shared" si="1006"/>
        <v/>
      </c>
      <c r="AK2226" s="214" t="str">
        <f t="shared" si="1007"/>
        <v/>
      </c>
      <c r="AL2226" s="214" t="str">
        <f t="shared" si="1008"/>
        <v/>
      </c>
      <c r="AM2226" s="214" t="str">
        <f t="shared" si="1009"/>
        <v/>
      </c>
      <c r="AN2226" s="213" t="str">
        <f t="shared" si="992"/>
        <v>2012</v>
      </c>
      <c r="AO2226" s="213" t="str">
        <f t="shared" si="993"/>
        <v>2012</v>
      </c>
      <c r="AP2226" s="213" t="str">
        <f t="shared" si="994"/>
        <v>2012</v>
      </c>
      <c r="AQ2226" s="215" t="str">
        <f t="shared" si="995"/>
        <v/>
      </c>
      <c r="AR2226" s="216" t="str">
        <f t="shared" si="996"/>
        <v>BiK81M1K12y-08</v>
      </c>
      <c r="AS2226" s="215" t="str">
        <f t="shared" si="997"/>
        <v/>
      </c>
      <c r="AT2226">
        <f t="shared" si="998"/>
        <v>14</v>
      </c>
      <c r="AU2226" s="216" t="str">
        <f t="shared" si="999"/>
        <v>0-0,15 MW, Bonusregeln M1, y und K erstmals 2012</v>
      </c>
      <c r="AV2226" s="215" t="str">
        <f t="shared" si="1000"/>
        <v/>
      </c>
      <c r="AW2226" s="216" t="str">
        <f t="shared" si="1001"/>
        <v>Anteil KWK, erstmals 2012</v>
      </c>
      <c r="AX2226" s="215" t="str">
        <f t="shared" si="1002"/>
        <v/>
      </c>
      <c r="AY2226" t="str">
        <f t="shared" si="1003"/>
        <v/>
      </c>
      <c r="AZ2226" t="str">
        <f t="shared" si="1004"/>
        <v>x</v>
      </c>
    </row>
    <row r="2227" spans="1:52" s="178" customFormat="1" x14ac:dyDescent="0.25">
      <c r="A2227" s="610" t="s">
        <v>934</v>
      </c>
      <c r="B2227" s="30" t="s">
        <v>5548</v>
      </c>
      <c r="C2227" s="30" t="s">
        <v>5540</v>
      </c>
      <c r="D2227" s="30" t="s">
        <v>6834</v>
      </c>
      <c r="E2227" s="30" t="s">
        <v>4810</v>
      </c>
      <c r="F2227" s="454">
        <f t="shared" si="1010"/>
        <v>20.67</v>
      </c>
      <c r="G2227" s="529">
        <v>20.67</v>
      </c>
      <c r="H2227" s="487">
        <f t="shared" si="1011"/>
        <v>16.54</v>
      </c>
      <c r="I2227" s="706"/>
      <c r="J2227" s="669" t="s">
        <v>5805</v>
      </c>
      <c r="K2227" s="15"/>
      <c r="L2227"/>
      <c r="M2227" s="49">
        <f t="shared" si="1012"/>
        <v>20.67</v>
      </c>
      <c r="N2227" s="41">
        <v>11.67</v>
      </c>
      <c r="O2227" s="186"/>
      <c r="P2227" s="177"/>
      <c r="S2227" s="178" t="s">
        <v>4180</v>
      </c>
      <c r="T2227" s="178" t="s">
        <v>4180</v>
      </c>
      <c r="U2227" s="179"/>
      <c r="W2227" s="180"/>
      <c r="X2227" s="180"/>
      <c r="AA2227" s="180"/>
      <c r="AB2227" s="178" t="s">
        <v>1017</v>
      </c>
      <c r="AD2227" s="201"/>
      <c r="AE2227" s="200"/>
      <c r="AF2227" s="180"/>
      <c r="AG2227" s="201"/>
      <c r="AH2227" s="212" t="str">
        <f t="shared" ref="AH2227:AH2232" si="1020">IF(ISERROR(SEARCH("K erstmals 201",D2227)),"",RIGHT(D2227,4))</f>
        <v/>
      </c>
      <c r="AI2227" s="214" t="str">
        <f t="shared" si="1005"/>
        <v/>
      </c>
      <c r="AJ2227" s="214" t="str">
        <f t="shared" si="1006"/>
        <v/>
      </c>
      <c r="AK2227" s="214" t="str">
        <f t="shared" si="1007"/>
        <v/>
      </c>
      <c r="AL2227" s="214" t="str">
        <f t="shared" si="1008"/>
        <v/>
      </c>
      <c r="AM2227" s="214" t="str">
        <f t="shared" si="1009"/>
        <v/>
      </c>
      <c r="AN2227" s="213" t="str">
        <f t="shared" si="992"/>
        <v/>
      </c>
      <c r="AO2227" s="213" t="str">
        <f t="shared" si="993"/>
        <v/>
      </c>
      <c r="AP2227" s="213" t="str">
        <f t="shared" si="994"/>
        <v/>
      </c>
      <c r="AQ2227" s="215" t="str">
        <f t="shared" si="995"/>
        <v/>
      </c>
      <c r="AR2227" s="216" t="str">
        <f t="shared" si="996"/>
        <v>BiK81L------08</v>
      </c>
      <c r="AS2227" s="215" t="str">
        <f t="shared" si="997"/>
        <v/>
      </c>
      <c r="AT2227">
        <f t="shared" si="998"/>
        <v>14</v>
      </c>
      <c r="AU2227" s="216" t="str">
        <f t="shared" si="999"/>
        <v>0-0,15 MW, Bonusregel L</v>
      </c>
      <c r="AV2227" s="215" t="str">
        <f t="shared" si="1000"/>
        <v/>
      </c>
      <c r="AW2227" s="216" t="str">
        <f t="shared" si="1001"/>
        <v>Anteil Nicht-KWK</v>
      </c>
      <c r="AX2227" s="215" t="str">
        <f t="shared" si="1002"/>
        <v/>
      </c>
      <c r="AY2227" t="str">
        <f t="shared" si="1003"/>
        <v/>
      </c>
      <c r="AZ2227" t="str">
        <f t="shared" si="1004"/>
        <v/>
      </c>
    </row>
    <row r="2228" spans="1:52" s="178" customFormat="1" x14ac:dyDescent="0.25">
      <c r="A2228" s="610" t="s">
        <v>935</v>
      </c>
      <c r="B2228" s="30" t="s">
        <v>5548</v>
      </c>
      <c r="C2228" s="30" t="s">
        <v>5540</v>
      </c>
      <c r="D2228" s="30" t="s">
        <v>6903</v>
      </c>
      <c r="E2228" s="30" t="s">
        <v>4812</v>
      </c>
      <c r="F2228" s="454">
        <f t="shared" si="1010"/>
        <v>22.67</v>
      </c>
      <c r="G2228" s="529">
        <v>22.67</v>
      </c>
      <c r="H2228" s="487">
        <f t="shared" si="1011"/>
        <v>18.14</v>
      </c>
      <c r="I2228" s="706"/>
      <c r="J2228" s="669" t="s">
        <v>5805</v>
      </c>
      <c r="K2228" s="15"/>
      <c r="L2228"/>
      <c r="M2228" s="49">
        <f t="shared" si="1012"/>
        <v>22.67</v>
      </c>
      <c r="N2228" s="41">
        <v>11.67</v>
      </c>
      <c r="O2228" s="186" t="s">
        <v>1017</v>
      </c>
      <c r="P2228" s="177"/>
      <c r="S2228" s="178" t="s">
        <v>4180</v>
      </c>
      <c r="T2228" s="178" t="s">
        <v>4180</v>
      </c>
      <c r="U2228" s="179"/>
      <c r="W2228" s="180"/>
      <c r="X2228" s="180"/>
      <c r="AA2228" s="180"/>
      <c r="AB2228" s="178" t="s">
        <v>1017</v>
      </c>
      <c r="AD2228" s="201"/>
      <c r="AE2228" s="200"/>
      <c r="AF2228" s="180"/>
      <c r="AG2228" s="201"/>
      <c r="AH2228" s="212" t="str">
        <f t="shared" si="1020"/>
        <v/>
      </c>
      <c r="AI2228" s="214" t="str">
        <f t="shared" si="1005"/>
        <v/>
      </c>
      <c r="AJ2228" s="214" t="str">
        <f t="shared" si="1006"/>
        <v/>
      </c>
      <c r="AK2228" s="214" t="str">
        <f t="shared" si="1007"/>
        <v/>
      </c>
      <c r="AL2228" s="214" t="str">
        <f t="shared" si="1008"/>
        <v/>
      </c>
      <c r="AM2228" s="214" t="str">
        <f t="shared" si="1009"/>
        <v/>
      </c>
      <c r="AN2228" s="213" t="str">
        <f t="shared" si="992"/>
        <v/>
      </c>
      <c r="AO2228" s="213" t="str">
        <f t="shared" si="993"/>
        <v/>
      </c>
      <c r="AP2228" s="213" t="str">
        <f t="shared" si="994"/>
        <v/>
      </c>
      <c r="AQ2228" s="215" t="str">
        <f t="shared" si="995"/>
        <v/>
      </c>
      <c r="AR2228" s="216" t="str">
        <f t="shared" si="996"/>
        <v>BiK81LKWK---08</v>
      </c>
      <c r="AS2228" s="215" t="str">
        <f t="shared" si="997"/>
        <v/>
      </c>
      <c r="AT2228">
        <f t="shared" si="998"/>
        <v>14</v>
      </c>
      <c r="AU2228" s="216" t="str">
        <f t="shared" si="999"/>
        <v>0-0,15 MW, Bonusregeln L und KWK</v>
      </c>
      <c r="AV2228" s="215" t="str">
        <f t="shared" si="1000"/>
        <v/>
      </c>
      <c r="AW2228" s="216" t="str">
        <f t="shared" si="1001"/>
        <v>Anteil KWK</v>
      </c>
      <c r="AX2228" s="215" t="str">
        <f t="shared" si="1002"/>
        <v/>
      </c>
      <c r="AY2228" t="str">
        <f t="shared" si="1003"/>
        <v/>
      </c>
      <c r="AZ2228" t="str">
        <f t="shared" si="1004"/>
        <v/>
      </c>
    </row>
    <row r="2229" spans="1:52" s="178" customFormat="1" x14ac:dyDescent="0.25">
      <c r="A2229" s="610" t="s">
        <v>936</v>
      </c>
      <c r="B2229" s="30" t="s">
        <v>5548</v>
      </c>
      <c r="C2229" s="30" t="s">
        <v>5540</v>
      </c>
      <c r="D2229" s="30" t="s">
        <v>6835</v>
      </c>
      <c r="E2229" s="30" t="s">
        <v>4331</v>
      </c>
      <c r="F2229" s="454">
        <f t="shared" si="1010"/>
        <v>23.67</v>
      </c>
      <c r="G2229" s="529">
        <v>23.67</v>
      </c>
      <c r="H2229" s="487">
        <f t="shared" si="1011"/>
        <v>18.940000000000001</v>
      </c>
      <c r="I2229" s="706"/>
      <c r="J2229" s="669" t="s">
        <v>5805</v>
      </c>
      <c r="K2229" s="15"/>
      <c r="L2229"/>
      <c r="M2229" s="49">
        <f t="shared" si="1012"/>
        <v>23.67</v>
      </c>
      <c r="N2229" s="41">
        <v>11.67</v>
      </c>
      <c r="O2229" s="186"/>
      <c r="P2229" s="178" t="s">
        <v>1017</v>
      </c>
      <c r="S2229" s="178" t="s">
        <v>4180</v>
      </c>
      <c r="T2229" s="178" t="s">
        <v>4180</v>
      </c>
      <c r="U2229" s="179"/>
      <c r="W2229" s="180"/>
      <c r="X2229" s="180"/>
      <c r="AA2229" s="180"/>
      <c r="AB2229" s="178" t="s">
        <v>1017</v>
      </c>
      <c r="AD2229" s="201"/>
      <c r="AE2229" s="200"/>
      <c r="AF2229" s="180"/>
      <c r="AG2229" s="201"/>
      <c r="AH2229" s="212" t="str">
        <f t="shared" si="1020"/>
        <v/>
      </c>
      <c r="AI2229" s="214" t="str">
        <f t="shared" si="1005"/>
        <v/>
      </c>
      <c r="AJ2229" s="214" t="str">
        <f t="shared" si="1006"/>
        <v/>
      </c>
      <c r="AK2229" s="214" t="str">
        <f t="shared" si="1007"/>
        <v/>
      </c>
      <c r="AL2229" s="214" t="str">
        <f t="shared" si="1008"/>
        <v/>
      </c>
      <c r="AM2229" s="214" t="str">
        <f t="shared" si="1009"/>
        <v/>
      </c>
      <c r="AN2229" s="213" t="str">
        <f t="shared" ref="AN2229:AN2292" si="1021">IF(ISERROR(SEARCH("K1",A2229)),"","20"&amp;MID(A2229,SEARCH("K1",A2229)+1,2))</f>
        <v/>
      </c>
      <c r="AO2229" s="213" t="str">
        <f t="shared" ref="AO2229:AO2292" si="1022">IF(ISERROR(SEARCH("erstmals 201",E2229)),"",MID(E2229,SEARCH("erstmals ",E2229)+9,4))</f>
        <v/>
      </c>
      <c r="AP2229" s="213" t="str">
        <f t="shared" ref="AP2229:AP2292" si="1023">IF(R2229="x","2010",IF(S2229="x","2011",IF(T2229="x","2012","")))</f>
        <v/>
      </c>
      <c r="AQ2229" s="215" t="str">
        <f t="shared" ref="AQ2229:AQ2292" si="1024">IF(OR(AH2229&lt;&gt;AN2229,AH2229&lt;&gt;AO2229,AH2229&lt;&gt;AP2229),"DIFF","")</f>
        <v/>
      </c>
      <c r="AR2229" s="216" t="str">
        <f t="shared" ref="AR2229:AR2292" si="1025">IF(A2229="","",IF(ISERROR(SEARCH("K1",A2229)),A2229,LEFT(A2229,SEARCH("K1",A2229)+1)&amp;RIGHT(AH2229,1)&amp;MID(A2229,SEARCH("K1",A2229)+3,14)))</f>
        <v>BiK81LKA3---08</v>
      </c>
      <c r="AS2229" s="215" t="str">
        <f t="shared" ref="AS2229:AS2292" si="1026">IF(OR(A2229&lt;&gt;AR2229),"DIFF","")</f>
        <v/>
      </c>
      <c r="AT2229">
        <f t="shared" ref="AT2229:AT2292" si="1027">LEN(AR2229)</f>
        <v>14</v>
      </c>
      <c r="AU2229" s="216" t="str">
        <f t="shared" ref="AU2229:AU2292" si="1028">IF(D2229="","",IF(OR(A2229="",ISERROR(SEARCH("erstmals 201",D2229))),D2229,LEFT(D2229,SEARCH("erstmals 201",D2229)+8) &amp; AH2229 &amp; MID(D2229,SEARCH("erstmals 201",D2229)+13,255)))</f>
        <v>0-0,15 MW, Bonusregeln L und K wenn Anlage 3 erfüllt</v>
      </c>
      <c r="AV2229" s="215" t="str">
        <f t="shared" ref="AV2229:AV2292" si="1029">IF(OR(D2229&lt;&gt;AU2229),"DIFF","")</f>
        <v/>
      </c>
      <c r="AW2229" s="216" t="str">
        <f t="shared" ref="AW2229:AW2292" si="1030">IF(E2229="","",IF(OR(E2229="",ISERROR(SEARCH("erstmals 201",E2229))),E2229,LEFT(E2229,SEARCH("erstmals 201",E2229)+8) &amp; AH2229 &amp; MID(E2229,SEARCH("erstmals 201",E2229)+13,255)))</f>
        <v>Anteil KWK gemäß Anlage 3</v>
      </c>
      <c r="AX2229" s="215" t="str">
        <f t="shared" ref="AX2229:AX2292" si="1031">IF(OR(E2229&lt;&gt;AW2229),"DIFF","")</f>
        <v/>
      </c>
      <c r="AY2229" t="str">
        <f t="shared" ref="AY2229:AY2292" si="1032">IF(AH2229="2011","x",IF(AH2229="2012","","" &amp; S2229))</f>
        <v/>
      </c>
      <c r="AZ2229" t="str">
        <f t="shared" ref="AZ2229:AZ2292" si="1033">IF(AH2229="2012","x",IF(AH2229="2011","","" &amp; T2229))</f>
        <v/>
      </c>
    </row>
    <row r="2230" spans="1:52" s="178" customFormat="1" x14ac:dyDescent="0.25">
      <c r="A2230" s="610" t="s">
        <v>937</v>
      </c>
      <c r="B2230" s="30" t="s">
        <v>5548</v>
      </c>
      <c r="C2230" s="30" t="s">
        <v>5540</v>
      </c>
      <c r="D2230" s="30" t="s">
        <v>6836</v>
      </c>
      <c r="E2230" s="30" t="s">
        <v>674</v>
      </c>
      <c r="F2230" s="454">
        <f t="shared" si="1010"/>
        <v>23.67</v>
      </c>
      <c r="G2230" s="529">
        <v>23.67</v>
      </c>
      <c r="H2230" s="487">
        <f t="shared" si="1011"/>
        <v>18.940000000000001</v>
      </c>
      <c r="I2230" s="706"/>
      <c r="J2230" s="669" t="s">
        <v>5805</v>
      </c>
      <c r="K2230" s="15"/>
      <c r="L2230"/>
      <c r="M2230" s="49">
        <f t="shared" si="1012"/>
        <v>23.67</v>
      </c>
      <c r="N2230" s="41">
        <v>11.67</v>
      </c>
      <c r="O2230" s="186"/>
      <c r="P2230" s="177"/>
      <c r="Q2230" s="178" t="s">
        <v>1017</v>
      </c>
      <c r="S2230" s="178" t="s">
        <v>4180</v>
      </c>
      <c r="T2230" s="178" t="s">
        <v>4180</v>
      </c>
      <c r="U2230" s="179"/>
      <c r="W2230" s="180"/>
      <c r="X2230" s="180"/>
      <c r="AA2230" s="180"/>
      <c r="AB2230" s="178" t="s">
        <v>1017</v>
      </c>
      <c r="AD2230" s="201"/>
      <c r="AE2230" s="200"/>
      <c r="AF2230" s="180"/>
      <c r="AG2230" s="201"/>
      <c r="AH2230" s="212" t="str">
        <f t="shared" si="1020"/>
        <v/>
      </c>
      <c r="AI2230" s="214" t="str">
        <f t="shared" ref="AI2230:AI2293" si="1034">IF(AND($AH2230&lt;&gt;"",AH2230 =AH2229),"Gleich","")</f>
        <v/>
      </c>
      <c r="AJ2230" s="214" t="str">
        <f t="shared" ref="AJ2230:AJ2293" si="1035">IF(AND($AH2230&lt;&gt;"",A2230 =A2229),"Gleich","")</f>
        <v/>
      </c>
      <c r="AK2230" s="214" t="str">
        <f t="shared" ref="AK2230:AK2293" si="1036">IF(AND($AH2230&lt;&gt;"",D2230 =D2229),"Gleich","")</f>
        <v/>
      </c>
      <c r="AL2230" s="214" t="str">
        <f t="shared" ref="AL2230:AL2293" si="1037">IF(AND($AH2230&lt;&gt;"",E2230 =E2229),"Gleich","")</f>
        <v/>
      </c>
      <c r="AM2230" s="214" t="str">
        <f t="shared" ref="AM2230:AM2293" si="1038">IF(AND($AH2230&lt;&gt;"",F2230 =F2229),"Gleich","")</f>
        <v/>
      </c>
      <c r="AN2230" s="213" t="str">
        <f t="shared" si="1021"/>
        <v/>
      </c>
      <c r="AO2230" s="213" t="str">
        <f t="shared" si="1022"/>
        <v/>
      </c>
      <c r="AP2230" s="213" t="str">
        <f t="shared" si="1023"/>
        <v/>
      </c>
      <c r="AQ2230" s="215" t="str">
        <f t="shared" si="1024"/>
        <v/>
      </c>
      <c r="AR2230" s="216" t="str">
        <f t="shared" si="1025"/>
        <v>BiK81LK09---08</v>
      </c>
      <c r="AS2230" s="215" t="str">
        <f t="shared" si="1026"/>
        <v/>
      </c>
      <c r="AT2230">
        <f t="shared" si="1027"/>
        <v>14</v>
      </c>
      <c r="AU2230" s="216" t="str">
        <f t="shared" si="1028"/>
        <v>0-0,15 MW, Bonusregeln L und K erstmals 2009</v>
      </c>
      <c r="AV2230" s="215" t="str">
        <f t="shared" si="1029"/>
        <v/>
      </c>
      <c r="AW2230" s="216" t="str">
        <f t="shared" si="1030"/>
        <v>Anteil KWK, erstmals 2009</v>
      </c>
      <c r="AX2230" s="215" t="str">
        <f t="shared" si="1031"/>
        <v/>
      </c>
      <c r="AY2230" t="str">
        <f t="shared" si="1032"/>
        <v/>
      </c>
      <c r="AZ2230" t="str">
        <f t="shared" si="1033"/>
        <v/>
      </c>
    </row>
    <row r="2231" spans="1:52" s="178" customFormat="1" x14ac:dyDescent="0.25">
      <c r="A2231" s="610" t="s">
        <v>3166</v>
      </c>
      <c r="B2231" s="30" t="s">
        <v>5548</v>
      </c>
      <c r="C2231" s="30" t="s">
        <v>5540</v>
      </c>
      <c r="D2231" s="30" t="s">
        <v>6837</v>
      </c>
      <c r="E2231" s="30" t="s">
        <v>3567</v>
      </c>
      <c r="F2231" s="454">
        <f t="shared" si="1010"/>
        <v>23.64</v>
      </c>
      <c r="G2231" s="529">
        <v>23.64</v>
      </c>
      <c r="H2231" s="487">
        <f t="shared" si="1011"/>
        <v>18.91</v>
      </c>
      <c r="I2231" s="706"/>
      <c r="J2231" s="669" t="s">
        <v>5805</v>
      </c>
      <c r="K2231" s="15"/>
      <c r="L2231"/>
      <c r="M2231" s="49">
        <f t="shared" si="1012"/>
        <v>23.64</v>
      </c>
      <c r="N2231" s="41">
        <v>11.67</v>
      </c>
      <c r="O2231" s="186"/>
      <c r="P2231" s="177"/>
      <c r="R2231" s="178" t="s">
        <v>1017</v>
      </c>
      <c r="S2231" s="178" t="s">
        <v>4180</v>
      </c>
      <c r="T2231" s="178" t="s">
        <v>4180</v>
      </c>
      <c r="U2231" s="179"/>
      <c r="W2231" s="180"/>
      <c r="X2231" s="180"/>
      <c r="AA2231" s="180"/>
      <c r="AB2231" s="178" t="s">
        <v>1017</v>
      </c>
      <c r="AD2231" s="201"/>
      <c r="AE2231" s="200"/>
      <c r="AF2231" s="180"/>
      <c r="AG2231" s="201"/>
      <c r="AH2231" s="212" t="str">
        <f t="shared" si="1020"/>
        <v>2010</v>
      </c>
      <c r="AI2231" s="214" t="str">
        <f t="shared" si="1034"/>
        <v/>
      </c>
      <c r="AJ2231" s="214" t="str">
        <f t="shared" si="1035"/>
        <v/>
      </c>
      <c r="AK2231" s="214" t="str">
        <f t="shared" si="1036"/>
        <v/>
      </c>
      <c r="AL2231" s="214" t="str">
        <f t="shared" si="1037"/>
        <v/>
      </c>
      <c r="AM2231" s="214" t="str">
        <f t="shared" si="1038"/>
        <v/>
      </c>
      <c r="AN2231" s="213" t="str">
        <f t="shared" si="1021"/>
        <v>2010</v>
      </c>
      <c r="AO2231" s="213" t="str">
        <f t="shared" si="1022"/>
        <v>2010</v>
      </c>
      <c r="AP2231" s="213" t="str">
        <f t="shared" si="1023"/>
        <v>2010</v>
      </c>
      <c r="AQ2231" s="215" t="str">
        <f t="shared" si="1024"/>
        <v/>
      </c>
      <c r="AR2231" s="216" t="str">
        <f t="shared" si="1025"/>
        <v>BiK81LK10---08</v>
      </c>
      <c r="AS2231" s="215" t="str">
        <f t="shared" si="1026"/>
        <v/>
      </c>
      <c r="AT2231">
        <f t="shared" si="1027"/>
        <v>14</v>
      </c>
      <c r="AU2231" s="216" t="str">
        <f t="shared" si="1028"/>
        <v>0-0,15 MW, Bonusregeln L und K erstmals 2010</v>
      </c>
      <c r="AV2231" s="215" t="str">
        <f t="shared" si="1029"/>
        <v/>
      </c>
      <c r="AW2231" s="216" t="str">
        <f t="shared" si="1030"/>
        <v>Anteil KWK, erstmals 2010</v>
      </c>
      <c r="AX2231" s="215" t="str">
        <f t="shared" si="1031"/>
        <v/>
      </c>
      <c r="AY2231" t="str">
        <f t="shared" si="1032"/>
        <v/>
      </c>
      <c r="AZ2231" t="str">
        <f t="shared" si="1033"/>
        <v/>
      </c>
    </row>
    <row r="2232" spans="1:52" x14ac:dyDescent="0.25">
      <c r="A2232" s="610" t="s">
        <v>3442</v>
      </c>
      <c r="B2232" s="30" t="s">
        <v>5548</v>
      </c>
      <c r="C2232" s="30" t="s">
        <v>5540</v>
      </c>
      <c r="D2232" s="30" t="s">
        <v>6838</v>
      </c>
      <c r="E2232" s="30" t="s">
        <v>3055</v>
      </c>
      <c r="F2232" s="454">
        <f t="shared" si="1010"/>
        <v>23.61</v>
      </c>
      <c r="G2232" s="529">
        <v>23.61</v>
      </c>
      <c r="H2232" s="487">
        <f t="shared" si="1011"/>
        <v>18.89</v>
      </c>
      <c r="I2232" s="706"/>
      <c r="J2232" s="669" t="s">
        <v>5805</v>
      </c>
      <c r="K2232" s="15"/>
      <c r="M2232" s="49">
        <f t="shared" si="1012"/>
        <v>23.61</v>
      </c>
      <c r="N2232" s="41">
        <v>11.67</v>
      </c>
      <c r="O2232" s="186"/>
      <c r="P2232" s="177"/>
      <c r="Q2232" s="178"/>
      <c r="R2232" s="178"/>
      <c r="S2232" s="178" t="s">
        <v>1017</v>
      </c>
      <c r="T2232" t="s">
        <v>4180</v>
      </c>
      <c r="U2232" s="179"/>
      <c r="V2232" s="178"/>
      <c r="W2232" s="180"/>
      <c r="X2232" s="180"/>
      <c r="Y2232" s="178"/>
      <c r="Z2232" s="178"/>
      <c r="AA2232" s="180"/>
      <c r="AB2232" s="178" t="s">
        <v>1017</v>
      </c>
      <c r="AC2232" s="178"/>
      <c r="AD2232" s="201"/>
      <c r="AE2232" s="200"/>
      <c r="AF2232" s="180"/>
      <c r="AG2232" s="180"/>
      <c r="AH2232" s="212" t="str">
        <f t="shared" si="1020"/>
        <v>2011</v>
      </c>
      <c r="AI2232" s="214" t="str">
        <f t="shared" si="1034"/>
        <v/>
      </c>
      <c r="AJ2232" s="214" t="str">
        <f t="shared" si="1035"/>
        <v/>
      </c>
      <c r="AK2232" s="214" t="str">
        <f t="shared" si="1036"/>
        <v/>
      </c>
      <c r="AL2232" s="214" t="str">
        <f t="shared" si="1037"/>
        <v/>
      </c>
      <c r="AM2232" s="214" t="str">
        <f t="shared" si="1038"/>
        <v/>
      </c>
      <c r="AN2232" s="213" t="str">
        <f t="shared" si="1021"/>
        <v>2011</v>
      </c>
      <c r="AO2232" s="213" t="str">
        <f t="shared" si="1022"/>
        <v>2011</v>
      </c>
      <c r="AP2232" s="213" t="str">
        <f t="shared" si="1023"/>
        <v>2011</v>
      </c>
      <c r="AQ2232" s="215" t="str">
        <f t="shared" si="1024"/>
        <v/>
      </c>
      <c r="AR2232" s="216" t="str">
        <f t="shared" si="1025"/>
        <v>BiK81LK11---08</v>
      </c>
      <c r="AS2232" s="215" t="str">
        <f t="shared" si="1026"/>
        <v/>
      </c>
      <c r="AT2232">
        <f t="shared" si="1027"/>
        <v>14</v>
      </c>
      <c r="AU2232" s="216" t="str">
        <f t="shared" si="1028"/>
        <v>0-0,15 MW, Bonusregeln L und K erstmals 2011</v>
      </c>
      <c r="AV2232" s="215" t="str">
        <f t="shared" si="1029"/>
        <v/>
      </c>
      <c r="AW2232" s="216" t="str">
        <f t="shared" si="1030"/>
        <v>Anteil KWK, erstmals 2011</v>
      </c>
      <c r="AX2232" s="215" t="str">
        <f t="shared" si="1031"/>
        <v/>
      </c>
      <c r="AY2232" t="str">
        <f t="shared" si="1032"/>
        <v>x</v>
      </c>
      <c r="AZ2232" t="str">
        <f t="shared" si="1033"/>
        <v/>
      </c>
    </row>
    <row r="2233" spans="1:52" x14ac:dyDescent="0.25">
      <c r="A2233" s="625" t="s">
        <v>1874</v>
      </c>
      <c r="B2233" s="219" t="s">
        <v>5548</v>
      </c>
      <c r="C2233" s="219" t="s">
        <v>5540</v>
      </c>
      <c r="D2233" s="219" t="s">
        <v>6839</v>
      </c>
      <c r="E2233" s="219" t="s">
        <v>1980</v>
      </c>
      <c r="F2233" s="455">
        <f t="shared" si="1010"/>
        <v>23.58</v>
      </c>
      <c r="G2233" s="530">
        <v>23.58</v>
      </c>
      <c r="H2233" s="488">
        <f t="shared" si="1011"/>
        <v>18.86</v>
      </c>
      <c r="I2233" s="707"/>
      <c r="J2233" s="669" t="s">
        <v>5805</v>
      </c>
      <c r="K2233" s="15"/>
      <c r="M2233" s="49">
        <f t="shared" si="1012"/>
        <v>23.58</v>
      </c>
      <c r="N2233" s="41">
        <v>11.67</v>
      </c>
      <c r="O2233" s="186"/>
      <c r="P2233" s="177"/>
      <c r="Q2233" s="178"/>
      <c r="R2233" s="178"/>
      <c r="S2233" s="178" t="s">
        <v>4180</v>
      </c>
      <c r="T2233" t="s">
        <v>1017</v>
      </c>
      <c r="U2233" s="179"/>
      <c r="V2233" s="178"/>
      <c r="W2233" s="180"/>
      <c r="X2233" s="180"/>
      <c r="Y2233" s="178"/>
      <c r="Z2233" s="178"/>
      <c r="AA2233" s="180"/>
      <c r="AB2233" s="178" t="s">
        <v>1017</v>
      </c>
      <c r="AC2233" s="178"/>
      <c r="AD2233" s="201"/>
      <c r="AE2233" s="200"/>
      <c r="AF2233" s="180"/>
      <c r="AG2233" s="180"/>
      <c r="AH2233" s="217" t="s">
        <v>4179</v>
      </c>
      <c r="AI2233" s="214" t="str">
        <f t="shared" si="1034"/>
        <v/>
      </c>
      <c r="AJ2233" s="214" t="str">
        <f t="shared" si="1035"/>
        <v/>
      </c>
      <c r="AK2233" s="214" t="str">
        <f t="shared" si="1036"/>
        <v/>
      </c>
      <c r="AL2233" s="214" t="str">
        <f t="shared" si="1037"/>
        <v/>
      </c>
      <c r="AM2233" s="214" t="str">
        <f t="shared" si="1038"/>
        <v/>
      </c>
      <c r="AN2233" s="213" t="str">
        <f t="shared" si="1021"/>
        <v>2012</v>
      </c>
      <c r="AO2233" s="213" t="str">
        <f t="shared" si="1022"/>
        <v>2012</v>
      </c>
      <c r="AP2233" s="213" t="str">
        <f t="shared" si="1023"/>
        <v>2012</v>
      </c>
      <c r="AQ2233" s="215" t="str">
        <f t="shared" si="1024"/>
        <v/>
      </c>
      <c r="AR2233" s="216" t="str">
        <f t="shared" si="1025"/>
        <v>BiK81LK12---08</v>
      </c>
      <c r="AS2233" s="215" t="str">
        <f t="shared" si="1026"/>
        <v/>
      </c>
      <c r="AT2233">
        <f t="shared" si="1027"/>
        <v>14</v>
      </c>
      <c r="AU2233" s="216" t="str">
        <f t="shared" si="1028"/>
        <v>0-0,15 MW, Bonusregeln L und K erstmals 2012</v>
      </c>
      <c r="AV2233" s="215" t="str">
        <f t="shared" si="1029"/>
        <v/>
      </c>
      <c r="AW2233" s="216" t="str">
        <f t="shared" si="1030"/>
        <v>Anteil KWK, erstmals 2012</v>
      </c>
      <c r="AX2233" s="215" t="str">
        <f t="shared" si="1031"/>
        <v/>
      </c>
      <c r="AY2233" t="str">
        <f t="shared" si="1032"/>
        <v/>
      </c>
      <c r="AZ2233" t="str">
        <f t="shared" si="1033"/>
        <v>x</v>
      </c>
    </row>
    <row r="2234" spans="1:52" x14ac:dyDescent="0.25">
      <c r="A2234" s="610" t="s">
        <v>2801</v>
      </c>
      <c r="B2234" s="30" t="s">
        <v>5548</v>
      </c>
      <c r="C2234" s="30" t="s">
        <v>5540</v>
      </c>
      <c r="D2234" s="30" t="s">
        <v>6840</v>
      </c>
      <c r="E2234" s="30" t="s">
        <v>4810</v>
      </c>
      <c r="F2234" s="454">
        <f t="shared" si="1010"/>
        <v>21.67</v>
      </c>
      <c r="G2234" s="529">
        <v>21.67</v>
      </c>
      <c r="H2234" s="487">
        <f t="shared" si="1011"/>
        <v>17.34</v>
      </c>
      <c r="I2234" s="706"/>
      <c r="J2234" s="669" t="s">
        <v>5805</v>
      </c>
      <c r="K2234" s="15"/>
      <c r="M2234" s="49">
        <f t="shared" si="1012"/>
        <v>21.67</v>
      </c>
      <c r="N2234" s="41">
        <v>11.67</v>
      </c>
      <c r="O2234" s="187"/>
      <c r="P2234" s="183"/>
      <c r="Q2234" s="184"/>
      <c r="R2234" s="184"/>
      <c r="S2234" s="184" t="s">
        <v>4180</v>
      </c>
      <c r="T2234" t="s">
        <v>4180</v>
      </c>
      <c r="U2234" s="185" t="s">
        <v>1017</v>
      </c>
      <c r="V2234" s="184"/>
      <c r="W2234" s="180"/>
      <c r="X2234" s="180"/>
      <c r="Y2234" s="178"/>
      <c r="Z2234" s="178"/>
      <c r="AA2234" s="180"/>
      <c r="AB2234" s="184" t="s">
        <v>1017</v>
      </c>
      <c r="AC2234" s="184"/>
      <c r="AD2234" s="201"/>
      <c r="AE2234" s="181"/>
      <c r="AF2234" s="180"/>
      <c r="AG2234" s="201"/>
      <c r="AH2234" s="212" t="str">
        <f t="shared" ref="AH2234:AH2239" si="1039">IF(ISERROR(SEARCH("K erstmals 201",D2234)),"",RIGHT(D2234,4))</f>
        <v/>
      </c>
      <c r="AI2234" s="214" t="str">
        <f t="shared" si="1034"/>
        <v/>
      </c>
      <c r="AJ2234" s="214" t="str">
        <f t="shared" si="1035"/>
        <v/>
      </c>
      <c r="AK2234" s="214" t="str">
        <f t="shared" si="1036"/>
        <v/>
      </c>
      <c r="AL2234" s="214" t="str">
        <f t="shared" si="1037"/>
        <v/>
      </c>
      <c r="AM2234" s="214" t="str">
        <f t="shared" si="1038"/>
        <v/>
      </c>
      <c r="AN2234" s="213" t="str">
        <f t="shared" si="1021"/>
        <v/>
      </c>
      <c r="AO2234" s="213" t="str">
        <f t="shared" si="1022"/>
        <v/>
      </c>
      <c r="AP2234" s="213" t="str">
        <f t="shared" si="1023"/>
        <v/>
      </c>
      <c r="AQ2234" s="215" t="str">
        <f t="shared" si="1024"/>
        <v/>
      </c>
      <c r="AR2234" s="216" t="str">
        <f t="shared" si="1025"/>
        <v>BiK81Ly-----08</v>
      </c>
      <c r="AS2234" s="215" t="str">
        <f t="shared" si="1026"/>
        <v/>
      </c>
      <c r="AT2234">
        <f t="shared" si="1027"/>
        <v>14</v>
      </c>
      <c r="AU2234" s="216" t="str">
        <f t="shared" si="1028"/>
        <v>0-0,15 MW, Bonusregeln L, y</v>
      </c>
      <c r="AV2234" s="215" t="str">
        <f t="shared" si="1029"/>
        <v/>
      </c>
      <c r="AW2234" s="216" t="str">
        <f t="shared" si="1030"/>
        <v>Anteil Nicht-KWK</v>
      </c>
      <c r="AX2234" s="215" t="str">
        <f t="shared" si="1031"/>
        <v/>
      </c>
      <c r="AY2234" t="str">
        <f t="shared" si="1032"/>
        <v/>
      </c>
      <c r="AZ2234" t="str">
        <f t="shared" si="1033"/>
        <v/>
      </c>
    </row>
    <row r="2235" spans="1:52" x14ac:dyDescent="0.25">
      <c r="A2235" s="610" t="s">
        <v>2802</v>
      </c>
      <c r="B2235" s="30" t="s">
        <v>5548</v>
      </c>
      <c r="C2235" s="30" t="s">
        <v>5540</v>
      </c>
      <c r="D2235" s="30" t="s">
        <v>6904</v>
      </c>
      <c r="E2235" s="30" t="s">
        <v>4812</v>
      </c>
      <c r="F2235" s="454">
        <f t="shared" ref="F2235:F2298" si="1040">M2235</f>
        <v>23.67</v>
      </c>
      <c r="G2235" s="529">
        <v>23.67</v>
      </c>
      <c r="H2235" s="487">
        <f t="shared" ref="H2235:H2298" si="1041">IF(ISNUMBER(G2235),ROUND(0.8*G2235,2),"")</f>
        <v>18.940000000000001</v>
      </c>
      <c r="I2235" s="706"/>
      <c r="J2235" s="669" t="s">
        <v>5805</v>
      </c>
      <c r="K2235" s="15"/>
      <c r="M2235" s="49">
        <f t="shared" ref="M2235:M2298" si="1042">N2235+SUMIF(O2235:AG2235,"x",O$2170:AG$2170)</f>
        <v>23.67</v>
      </c>
      <c r="N2235" s="41">
        <v>11.67</v>
      </c>
      <c r="O2235" s="187" t="s">
        <v>1017</v>
      </c>
      <c r="P2235" s="183"/>
      <c r="Q2235" s="184"/>
      <c r="R2235" s="184"/>
      <c r="S2235" s="184" t="s">
        <v>4180</v>
      </c>
      <c r="T2235" t="s">
        <v>4180</v>
      </c>
      <c r="U2235" s="185" t="s">
        <v>1017</v>
      </c>
      <c r="V2235" s="184"/>
      <c r="W2235" s="180"/>
      <c r="X2235" s="180"/>
      <c r="Y2235" s="178"/>
      <c r="Z2235" s="178"/>
      <c r="AA2235" s="180"/>
      <c r="AB2235" s="184" t="s">
        <v>1017</v>
      </c>
      <c r="AC2235" s="184"/>
      <c r="AD2235" s="201"/>
      <c r="AE2235" s="181"/>
      <c r="AF2235" s="180"/>
      <c r="AG2235" s="180"/>
      <c r="AH2235" s="212" t="str">
        <f t="shared" si="1039"/>
        <v/>
      </c>
      <c r="AI2235" s="214" t="str">
        <f t="shared" si="1034"/>
        <v/>
      </c>
      <c r="AJ2235" s="214" t="str">
        <f t="shared" si="1035"/>
        <v/>
      </c>
      <c r="AK2235" s="214" t="str">
        <f t="shared" si="1036"/>
        <v/>
      </c>
      <c r="AL2235" s="214" t="str">
        <f t="shared" si="1037"/>
        <v/>
      </c>
      <c r="AM2235" s="214" t="str">
        <f t="shared" si="1038"/>
        <v/>
      </c>
      <c r="AN2235" s="213" t="str">
        <f t="shared" si="1021"/>
        <v/>
      </c>
      <c r="AO2235" s="213" t="str">
        <f t="shared" si="1022"/>
        <v/>
      </c>
      <c r="AP2235" s="213" t="str">
        <f t="shared" si="1023"/>
        <v/>
      </c>
      <c r="AQ2235" s="215" t="str">
        <f t="shared" si="1024"/>
        <v/>
      </c>
      <c r="AR2235" s="216" t="str">
        <f t="shared" si="1025"/>
        <v>BiK81LKWKy--08</v>
      </c>
      <c r="AS2235" s="215" t="str">
        <f t="shared" si="1026"/>
        <v/>
      </c>
      <c r="AT2235">
        <f t="shared" si="1027"/>
        <v>14</v>
      </c>
      <c r="AU2235" s="216" t="str">
        <f t="shared" si="1028"/>
        <v>0-0,15 MW, Bonusregeln L, y und KWK</v>
      </c>
      <c r="AV2235" s="215" t="str">
        <f t="shared" si="1029"/>
        <v/>
      </c>
      <c r="AW2235" s="216" t="str">
        <f t="shared" si="1030"/>
        <v>Anteil KWK</v>
      </c>
      <c r="AX2235" s="215" t="str">
        <f t="shared" si="1031"/>
        <v/>
      </c>
      <c r="AY2235" t="str">
        <f t="shared" si="1032"/>
        <v/>
      </c>
      <c r="AZ2235" t="str">
        <f t="shared" si="1033"/>
        <v/>
      </c>
    </row>
    <row r="2236" spans="1:52" x14ac:dyDescent="0.25">
      <c r="A2236" s="610" t="s">
        <v>2803</v>
      </c>
      <c r="B2236" s="30" t="s">
        <v>5548</v>
      </c>
      <c r="C2236" s="30" t="s">
        <v>5540</v>
      </c>
      <c r="D2236" s="109" t="s">
        <v>6841</v>
      </c>
      <c r="E2236" s="30" t="s">
        <v>4331</v>
      </c>
      <c r="F2236" s="454">
        <f t="shared" si="1040"/>
        <v>24.67</v>
      </c>
      <c r="G2236" s="529">
        <v>24.67</v>
      </c>
      <c r="H2236" s="487">
        <f t="shared" si="1041"/>
        <v>19.739999999999998</v>
      </c>
      <c r="I2236" s="706"/>
      <c r="J2236" s="669" t="s">
        <v>5805</v>
      </c>
      <c r="K2236" s="15"/>
      <c r="M2236" s="49">
        <f t="shared" si="1042"/>
        <v>24.67</v>
      </c>
      <c r="N2236" s="41">
        <v>11.67</v>
      </c>
      <c r="O2236" s="187"/>
      <c r="P2236" s="184" t="s">
        <v>1017</v>
      </c>
      <c r="Q2236" s="184"/>
      <c r="R2236" s="184"/>
      <c r="S2236" s="184" t="s">
        <v>4180</v>
      </c>
      <c r="T2236" t="s">
        <v>4180</v>
      </c>
      <c r="U2236" s="185" t="s">
        <v>1017</v>
      </c>
      <c r="V2236" s="184"/>
      <c r="W2236" s="180"/>
      <c r="X2236" s="180"/>
      <c r="Y2236" s="178"/>
      <c r="Z2236" s="178"/>
      <c r="AA2236" s="180"/>
      <c r="AB2236" s="184" t="s">
        <v>1017</v>
      </c>
      <c r="AC2236" s="184"/>
      <c r="AD2236" s="201"/>
      <c r="AE2236" s="181"/>
      <c r="AF2236" s="180"/>
      <c r="AG2236" s="201"/>
      <c r="AH2236" s="212" t="str">
        <f t="shared" si="1039"/>
        <v/>
      </c>
      <c r="AI2236" s="214" t="str">
        <f t="shared" si="1034"/>
        <v/>
      </c>
      <c r="AJ2236" s="214" t="str">
        <f t="shared" si="1035"/>
        <v/>
      </c>
      <c r="AK2236" s="214" t="str">
        <f t="shared" si="1036"/>
        <v/>
      </c>
      <c r="AL2236" s="214" t="str">
        <f t="shared" si="1037"/>
        <v/>
      </c>
      <c r="AM2236" s="214" t="str">
        <f t="shared" si="1038"/>
        <v/>
      </c>
      <c r="AN2236" s="213" t="str">
        <f t="shared" si="1021"/>
        <v/>
      </c>
      <c r="AO2236" s="213" t="str">
        <f t="shared" si="1022"/>
        <v/>
      </c>
      <c r="AP2236" s="213" t="str">
        <f t="shared" si="1023"/>
        <v/>
      </c>
      <c r="AQ2236" s="215" t="str">
        <f t="shared" si="1024"/>
        <v/>
      </c>
      <c r="AR2236" s="216" t="str">
        <f t="shared" si="1025"/>
        <v>BiK81LKA3y--08</v>
      </c>
      <c r="AS2236" s="215" t="str">
        <f t="shared" si="1026"/>
        <v/>
      </c>
      <c r="AT2236">
        <f t="shared" si="1027"/>
        <v>14</v>
      </c>
      <c r="AU2236" s="216" t="str">
        <f t="shared" si="1028"/>
        <v>0-0,15 MW, Bonusregeln L, y und K wenn Anlage 3 erfüllt</v>
      </c>
      <c r="AV2236" s="215" t="str">
        <f t="shared" si="1029"/>
        <v/>
      </c>
      <c r="AW2236" s="216" t="str">
        <f t="shared" si="1030"/>
        <v>Anteil KWK gemäß Anlage 3</v>
      </c>
      <c r="AX2236" s="215" t="str">
        <f t="shared" si="1031"/>
        <v/>
      </c>
      <c r="AY2236" t="str">
        <f t="shared" si="1032"/>
        <v/>
      </c>
      <c r="AZ2236" t="str">
        <f t="shared" si="1033"/>
        <v/>
      </c>
    </row>
    <row r="2237" spans="1:52" x14ac:dyDescent="0.25">
      <c r="A2237" s="610" t="s">
        <v>2804</v>
      </c>
      <c r="B2237" s="30" t="s">
        <v>5548</v>
      </c>
      <c r="C2237" s="30" t="s">
        <v>5540</v>
      </c>
      <c r="D2237" s="30" t="s">
        <v>6842</v>
      </c>
      <c r="E2237" s="30" t="s">
        <v>674</v>
      </c>
      <c r="F2237" s="454">
        <f t="shared" si="1040"/>
        <v>24.67</v>
      </c>
      <c r="G2237" s="529">
        <v>24.67</v>
      </c>
      <c r="H2237" s="487">
        <f t="shared" si="1041"/>
        <v>19.739999999999998</v>
      </c>
      <c r="I2237" s="706"/>
      <c r="J2237" s="669" t="s">
        <v>5805</v>
      </c>
      <c r="K2237" s="15"/>
      <c r="M2237" s="49">
        <f t="shared" si="1042"/>
        <v>24.67</v>
      </c>
      <c r="N2237" s="41">
        <v>11.67</v>
      </c>
      <c r="O2237" s="187"/>
      <c r="P2237" s="183"/>
      <c r="Q2237" s="184" t="s">
        <v>1017</v>
      </c>
      <c r="R2237" s="184"/>
      <c r="S2237" s="184" t="s">
        <v>4180</v>
      </c>
      <c r="T2237" t="s">
        <v>4180</v>
      </c>
      <c r="U2237" s="185" t="s">
        <v>1017</v>
      </c>
      <c r="V2237" s="184"/>
      <c r="W2237" s="180"/>
      <c r="X2237" s="180"/>
      <c r="Y2237" s="178"/>
      <c r="Z2237" s="178"/>
      <c r="AA2237" s="180"/>
      <c r="AB2237" s="184" t="s">
        <v>1017</v>
      </c>
      <c r="AC2237" s="184"/>
      <c r="AD2237" s="201"/>
      <c r="AE2237" s="181"/>
      <c r="AF2237" s="180"/>
      <c r="AG2237" s="201"/>
      <c r="AH2237" s="212" t="str">
        <f t="shared" si="1039"/>
        <v/>
      </c>
      <c r="AI2237" s="214" t="str">
        <f t="shared" si="1034"/>
        <v/>
      </c>
      <c r="AJ2237" s="214" t="str">
        <f t="shared" si="1035"/>
        <v/>
      </c>
      <c r="AK2237" s="214" t="str">
        <f t="shared" si="1036"/>
        <v/>
      </c>
      <c r="AL2237" s="214" t="str">
        <f t="shared" si="1037"/>
        <v/>
      </c>
      <c r="AM2237" s="214" t="str">
        <f t="shared" si="1038"/>
        <v/>
      </c>
      <c r="AN2237" s="213" t="str">
        <f t="shared" si="1021"/>
        <v/>
      </c>
      <c r="AO2237" s="213" t="str">
        <f t="shared" si="1022"/>
        <v/>
      </c>
      <c r="AP2237" s="213" t="str">
        <f t="shared" si="1023"/>
        <v/>
      </c>
      <c r="AQ2237" s="215" t="str">
        <f t="shared" si="1024"/>
        <v/>
      </c>
      <c r="AR2237" s="216" t="str">
        <f t="shared" si="1025"/>
        <v>BiK81LK09y--08</v>
      </c>
      <c r="AS2237" s="215" t="str">
        <f t="shared" si="1026"/>
        <v/>
      </c>
      <c r="AT2237">
        <f t="shared" si="1027"/>
        <v>14</v>
      </c>
      <c r="AU2237" s="216" t="str">
        <f t="shared" si="1028"/>
        <v>0-0,15 MW, Bonusregeln L, y und K erstmals 2009</v>
      </c>
      <c r="AV2237" s="215" t="str">
        <f t="shared" si="1029"/>
        <v/>
      </c>
      <c r="AW2237" s="216" t="str">
        <f t="shared" si="1030"/>
        <v>Anteil KWK, erstmals 2009</v>
      </c>
      <c r="AX2237" s="215" t="str">
        <f t="shared" si="1031"/>
        <v/>
      </c>
      <c r="AY2237" t="str">
        <f t="shared" si="1032"/>
        <v/>
      </c>
      <c r="AZ2237" t="str">
        <f t="shared" si="1033"/>
        <v/>
      </c>
    </row>
    <row r="2238" spans="1:52" x14ac:dyDescent="0.25">
      <c r="A2238" s="610" t="s">
        <v>3167</v>
      </c>
      <c r="B2238" s="30" t="s">
        <v>5548</v>
      </c>
      <c r="C2238" s="30" t="s">
        <v>5540</v>
      </c>
      <c r="D2238" s="30" t="s">
        <v>6843</v>
      </c>
      <c r="E2238" s="30" t="s">
        <v>3567</v>
      </c>
      <c r="F2238" s="454">
        <f t="shared" si="1040"/>
        <v>24.64</v>
      </c>
      <c r="G2238" s="529">
        <v>24.64</v>
      </c>
      <c r="H2238" s="487">
        <f t="shared" si="1041"/>
        <v>19.71</v>
      </c>
      <c r="I2238" s="706"/>
      <c r="J2238" s="669" t="s">
        <v>5805</v>
      </c>
      <c r="K2238" s="15"/>
      <c r="M2238" s="49">
        <f t="shared" si="1042"/>
        <v>24.64</v>
      </c>
      <c r="N2238" s="41">
        <v>11.67</v>
      </c>
      <c r="O2238" s="187"/>
      <c r="P2238" s="183"/>
      <c r="Q2238" s="184"/>
      <c r="R2238" s="184" t="s">
        <v>1017</v>
      </c>
      <c r="S2238" s="184" t="s">
        <v>4180</v>
      </c>
      <c r="T2238" t="s">
        <v>4180</v>
      </c>
      <c r="U2238" s="185" t="s">
        <v>1017</v>
      </c>
      <c r="V2238" s="184"/>
      <c r="W2238" s="180"/>
      <c r="X2238" s="180"/>
      <c r="Y2238" s="178"/>
      <c r="Z2238" s="178"/>
      <c r="AA2238" s="180"/>
      <c r="AB2238" s="184" t="s">
        <v>1017</v>
      </c>
      <c r="AC2238" s="184"/>
      <c r="AD2238" s="201"/>
      <c r="AE2238" s="181"/>
      <c r="AF2238" s="180"/>
      <c r="AG2238" s="201"/>
      <c r="AH2238" s="212" t="str">
        <f t="shared" si="1039"/>
        <v>2010</v>
      </c>
      <c r="AI2238" s="214" t="str">
        <f t="shared" si="1034"/>
        <v/>
      </c>
      <c r="AJ2238" s="214" t="str">
        <f t="shared" si="1035"/>
        <v/>
      </c>
      <c r="AK2238" s="214" t="str">
        <f t="shared" si="1036"/>
        <v/>
      </c>
      <c r="AL2238" s="214" t="str">
        <f t="shared" si="1037"/>
        <v/>
      </c>
      <c r="AM2238" s="214" t="str">
        <f t="shared" si="1038"/>
        <v/>
      </c>
      <c r="AN2238" s="213" t="str">
        <f t="shared" si="1021"/>
        <v>2010</v>
      </c>
      <c r="AO2238" s="213" t="str">
        <f t="shared" si="1022"/>
        <v>2010</v>
      </c>
      <c r="AP2238" s="213" t="str">
        <f t="shared" si="1023"/>
        <v>2010</v>
      </c>
      <c r="AQ2238" s="215" t="str">
        <f t="shared" si="1024"/>
        <v/>
      </c>
      <c r="AR2238" s="216" t="str">
        <f t="shared" si="1025"/>
        <v>BiK81LK10y--08</v>
      </c>
      <c r="AS2238" s="215" t="str">
        <f t="shared" si="1026"/>
        <v/>
      </c>
      <c r="AT2238">
        <f t="shared" si="1027"/>
        <v>14</v>
      </c>
      <c r="AU2238" s="216" t="str">
        <f t="shared" si="1028"/>
        <v>0-0,15 MW, Bonusregeln L, y und K erstmals 2010</v>
      </c>
      <c r="AV2238" s="215" t="str">
        <f t="shared" si="1029"/>
        <v/>
      </c>
      <c r="AW2238" s="216" t="str">
        <f t="shared" si="1030"/>
        <v>Anteil KWK, erstmals 2010</v>
      </c>
      <c r="AX2238" s="215" t="str">
        <f t="shared" si="1031"/>
        <v/>
      </c>
      <c r="AY2238" t="str">
        <f t="shared" si="1032"/>
        <v/>
      </c>
      <c r="AZ2238" t="str">
        <f t="shared" si="1033"/>
        <v/>
      </c>
    </row>
    <row r="2239" spans="1:52" x14ac:dyDescent="0.25">
      <c r="A2239" s="610" t="s">
        <v>3443</v>
      </c>
      <c r="B2239" s="30" t="s">
        <v>5548</v>
      </c>
      <c r="C2239" s="30" t="s">
        <v>5540</v>
      </c>
      <c r="D2239" s="30" t="s">
        <v>6844</v>
      </c>
      <c r="E2239" s="30" t="s">
        <v>3055</v>
      </c>
      <c r="F2239" s="454">
        <f t="shared" si="1040"/>
        <v>24.61</v>
      </c>
      <c r="G2239" s="529">
        <v>24.61</v>
      </c>
      <c r="H2239" s="487">
        <f t="shared" si="1041"/>
        <v>19.690000000000001</v>
      </c>
      <c r="I2239" s="706"/>
      <c r="J2239" s="669" t="s">
        <v>5805</v>
      </c>
      <c r="K2239" s="15"/>
      <c r="M2239" s="49">
        <f t="shared" si="1042"/>
        <v>24.61</v>
      </c>
      <c r="N2239" s="41">
        <v>11.67</v>
      </c>
      <c r="O2239" s="187"/>
      <c r="P2239" s="183"/>
      <c r="Q2239" s="184"/>
      <c r="R2239" s="178"/>
      <c r="S2239" s="184" t="s">
        <v>1017</v>
      </c>
      <c r="T2239" t="s">
        <v>4180</v>
      </c>
      <c r="U2239" s="185" t="s">
        <v>1017</v>
      </c>
      <c r="V2239" s="184"/>
      <c r="W2239" s="180"/>
      <c r="X2239" s="180"/>
      <c r="Y2239" s="178"/>
      <c r="Z2239" s="178"/>
      <c r="AA2239" s="180"/>
      <c r="AB2239" s="184" t="s">
        <v>1017</v>
      </c>
      <c r="AC2239" s="184"/>
      <c r="AD2239" s="201"/>
      <c r="AE2239" s="181"/>
      <c r="AF2239" s="180"/>
      <c r="AG2239" s="201"/>
      <c r="AH2239" s="212" t="str">
        <f t="shared" si="1039"/>
        <v>2011</v>
      </c>
      <c r="AI2239" s="214" t="str">
        <f t="shared" si="1034"/>
        <v/>
      </c>
      <c r="AJ2239" s="214" t="str">
        <f t="shared" si="1035"/>
        <v/>
      </c>
      <c r="AK2239" s="214" t="str">
        <f t="shared" si="1036"/>
        <v/>
      </c>
      <c r="AL2239" s="214" t="str">
        <f t="shared" si="1037"/>
        <v/>
      </c>
      <c r="AM2239" s="214" t="str">
        <f t="shared" si="1038"/>
        <v/>
      </c>
      <c r="AN2239" s="213" t="str">
        <f t="shared" si="1021"/>
        <v>2011</v>
      </c>
      <c r="AO2239" s="213" t="str">
        <f t="shared" si="1022"/>
        <v>2011</v>
      </c>
      <c r="AP2239" s="213" t="str">
        <f t="shared" si="1023"/>
        <v>2011</v>
      </c>
      <c r="AQ2239" s="215" t="str">
        <f t="shared" si="1024"/>
        <v/>
      </c>
      <c r="AR2239" s="216" t="str">
        <f t="shared" si="1025"/>
        <v>BiK81LK11y--08</v>
      </c>
      <c r="AS2239" s="215" t="str">
        <f t="shared" si="1026"/>
        <v/>
      </c>
      <c r="AT2239">
        <f t="shared" si="1027"/>
        <v>14</v>
      </c>
      <c r="AU2239" s="216" t="str">
        <f t="shared" si="1028"/>
        <v>0-0,15 MW, Bonusregeln L, y und K erstmals 2011</v>
      </c>
      <c r="AV2239" s="215" t="str">
        <f t="shared" si="1029"/>
        <v/>
      </c>
      <c r="AW2239" s="216" t="str">
        <f t="shared" si="1030"/>
        <v>Anteil KWK, erstmals 2011</v>
      </c>
      <c r="AX2239" s="215" t="str">
        <f t="shared" si="1031"/>
        <v/>
      </c>
      <c r="AY2239" t="str">
        <f t="shared" si="1032"/>
        <v>x</v>
      </c>
      <c r="AZ2239" t="str">
        <f t="shared" si="1033"/>
        <v/>
      </c>
    </row>
    <row r="2240" spans="1:52" x14ac:dyDescent="0.25">
      <c r="A2240" s="625" t="s">
        <v>1875</v>
      </c>
      <c r="B2240" s="219" t="s">
        <v>5548</v>
      </c>
      <c r="C2240" s="219" t="s">
        <v>5540</v>
      </c>
      <c r="D2240" s="219" t="s">
        <v>6845</v>
      </c>
      <c r="E2240" s="219" t="s">
        <v>1980</v>
      </c>
      <c r="F2240" s="455">
        <f t="shared" si="1040"/>
        <v>24.58</v>
      </c>
      <c r="G2240" s="530">
        <v>24.58</v>
      </c>
      <c r="H2240" s="488">
        <f t="shared" si="1041"/>
        <v>19.66</v>
      </c>
      <c r="I2240" s="707"/>
      <c r="J2240" s="669" t="s">
        <v>5805</v>
      </c>
      <c r="K2240" s="15"/>
      <c r="M2240" s="49">
        <f t="shared" si="1042"/>
        <v>24.58</v>
      </c>
      <c r="N2240" s="41">
        <v>11.67</v>
      </c>
      <c r="O2240" s="187"/>
      <c r="P2240" s="183"/>
      <c r="Q2240" s="184"/>
      <c r="R2240" s="178"/>
      <c r="S2240" s="184" t="s">
        <v>4180</v>
      </c>
      <c r="T2240" t="s">
        <v>1017</v>
      </c>
      <c r="U2240" s="185" t="s">
        <v>1017</v>
      </c>
      <c r="V2240" s="184"/>
      <c r="W2240" s="180"/>
      <c r="X2240" s="180"/>
      <c r="Y2240" s="178"/>
      <c r="Z2240" s="178"/>
      <c r="AA2240" s="180"/>
      <c r="AB2240" s="184" t="s">
        <v>1017</v>
      </c>
      <c r="AC2240" s="184"/>
      <c r="AD2240" s="201"/>
      <c r="AE2240" s="181"/>
      <c r="AF2240" s="180"/>
      <c r="AG2240" s="201"/>
      <c r="AH2240" s="217" t="s">
        <v>4179</v>
      </c>
      <c r="AI2240" s="214" t="str">
        <f t="shared" si="1034"/>
        <v/>
      </c>
      <c r="AJ2240" s="214" t="str">
        <f t="shared" si="1035"/>
        <v/>
      </c>
      <c r="AK2240" s="214" t="str">
        <f t="shared" si="1036"/>
        <v/>
      </c>
      <c r="AL2240" s="214" t="str">
        <f t="shared" si="1037"/>
        <v/>
      </c>
      <c r="AM2240" s="214" t="str">
        <f t="shared" si="1038"/>
        <v/>
      </c>
      <c r="AN2240" s="213" t="str">
        <f t="shared" si="1021"/>
        <v>2012</v>
      </c>
      <c r="AO2240" s="213" t="str">
        <f t="shared" si="1022"/>
        <v>2012</v>
      </c>
      <c r="AP2240" s="213" t="str">
        <f t="shared" si="1023"/>
        <v>2012</v>
      </c>
      <c r="AQ2240" s="215" t="str">
        <f t="shared" si="1024"/>
        <v/>
      </c>
      <c r="AR2240" s="216" t="str">
        <f t="shared" si="1025"/>
        <v>BiK81LK12y--08</v>
      </c>
      <c r="AS2240" s="215" t="str">
        <f t="shared" si="1026"/>
        <v/>
      </c>
      <c r="AT2240">
        <f t="shared" si="1027"/>
        <v>14</v>
      </c>
      <c r="AU2240" s="216" t="str">
        <f t="shared" si="1028"/>
        <v>0-0,15 MW, Bonusregeln L, y und K erstmals 2012</v>
      </c>
      <c r="AV2240" s="215" t="str">
        <f t="shared" si="1029"/>
        <v/>
      </c>
      <c r="AW2240" s="216" t="str">
        <f t="shared" si="1030"/>
        <v>Anteil KWK, erstmals 2012</v>
      </c>
      <c r="AX2240" s="215" t="str">
        <f t="shared" si="1031"/>
        <v/>
      </c>
      <c r="AY2240" t="str">
        <f t="shared" si="1032"/>
        <v/>
      </c>
      <c r="AZ2240" t="str">
        <f t="shared" si="1033"/>
        <v>x</v>
      </c>
    </row>
    <row r="2241" spans="1:52" x14ac:dyDescent="0.25">
      <c r="A2241" s="610" t="s">
        <v>2805</v>
      </c>
      <c r="B2241" s="30" t="s">
        <v>5548</v>
      </c>
      <c r="C2241" s="30" t="s">
        <v>5540</v>
      </c>
      <c r="D2241" s="30" t="s">
        <v>6846</v>
      </c>
      <c r="E2241" s="30" t="s">
        <v>4810</v>
      </c>
      <c r="F2241" s="454">
        <f t="shared" si="1040"/>
        <v>24.67</v>
      </c>
      <c r="G2241" s="529">
        <v>24.67</v>
      </c>
      <c r="H2241" s="487">
        <f t="shared" si="1041"/>
        <v>19.739999999999998</v>
      </c>
      <c r="I2241" s="706"/>
      <c r="J2241" s="669" t="s">
        <v>5805</v>
      </c>
      <c r="K2241" s="15"/>
      <c r="M2241" s="49">
        <f t="shared" si="1042"/>
        <v>24.67</v>
      </c>
      <c r="N2241" s="41">
        <v>11.67</v>
      </c>
      <c r="O2241" s="186"/>
      <c r="P2241" s="177"/>
      <c r="Q2241" s="178"/>
      <c r="R2241" s="178"/>
      <c r="S2241" s="178" t="s">
        <v>4180</v>
      </c>
      <c r="T2241" t="s">
        <v>4180</v>
      </c>
      <c r="U2241" s="179"/>
      <c r="V2241" s="178"/>
      <c r="W2241" s="180"/>
      <c r="X2241" s="180"/>
      <c r="Y2241" s="178"/>
      <c r="Z2241" s="178"/>
      <c r="AA2241" s="180"/>
      <c r="AB2241" s="178"/>
      <c r="AC2241" s="178" t="s">
        <v>1017</v>
      </c>
      <c r="AD2241" s="201"/>
      <c r="AE2241" s="200"/>
      <c r="AF2241" s="180"/>
      <c r="AG2241" s="201"/>
      <c r="AH2241" s="212" t="str">
        <f t="shared" ref="AH2241:AH2246" si="1043">IF(ISERROR(SEARCH("K erstmals 201",D2241)),"",RIGHT(D2241,4))</f>
        <v/>
      </c>
      <c r="AI2241" s="214" t="str">
        <f t="shared" si="1034"/>
        <v/>
      </c>
      <c r="AJ2241" s="214" t="str">
        <f t="shared" si="1035"/>
        <v/>
      </c>
      <c r="AK2241" s="214" t="str">
        <f t="shared" si="1036"/>
        <v/>
      </c>
      <c r="AL2241" s="214" t="str">
        <f t="shared" si="1037"/>
        <v/>
      </c>
      <c r="AM2241" s="214" t="str">
        <f t="shared" si="1038"/>
        <v/>
      </c>
      <c r="AN2241" s="213" t="str">
        <f t="shared" si="1021"/>
        <v/>
      </c>
      <c r="AO2241" s="213" t="str">
        <f t="shared" si="1022"/>
        <v/>
      </c>
      <c r="AP2241" s="213" t="str">
        <f t="shared" si="1023"/>
        <v/>
      </c>
      <c r="AQ2241" s="215" t="str">
        <f t="shared" si="1024"/>
        <v/>
      </c>
      <c r="AR2241" s="216" t="str">
        <f t="shared" si="1025"/>
        <v>BiK81X1-----08</v>
      </c>
      <c r="AS2241" s="215" t="str">
        <f t="shared" si="1026"/>
        <v/>
      </c>
      <c r="AT2241">
        <f t="shared" si="1027"/>
        <v>14</v>
      </c>
      <c r="AU2241" s="216" t="str">
        <f t="shared" si="1028"/>
        <v>0-0,15 MW, Bonusregel X1</v>
      </c>
      <c r="AV2241" s="215" t="str">
        <f t="shared" si="1029"/>
        <v/>
      </c>
      <c r="AW2241" s="216" t="str">
        <f t="shared" si="1030"/>
        <v>Anteil Nicht-KWK</v>
      </c>
      <c r="AX2241" s="215" t="str">
        <f t="shared" si="1031"/>
        <v/>
      </c>
      <c r="AY2241" t="str">
        <f t="shared" si="1032"/>
        <v/>
      </c>
      <c r="AZ2241" t="str">
        <f t="shared" si="1033"/>
        <v/>
      </c>
    </row>
    <row r="2242" spans="1:52" x14ac:dyDescent="0.25">
      <c r="A2242" s="610" t="s">
        <v>2806</v>
      </c>
      <c r="B2242" s="30" t="s">
        <v>5548</v>
      </c>
      <c r="C2242" s="30" t="s">
        <v>5540</v>
      </c>
      <c r="D2242" s="30" t="s">
        <v>6905</v>
      </c>
      <c r="E2242" s="30" t="s">
        <v>4812</v>
      </c>
      <c r="F2242" s="454">
        <f t="shared" si="1040"/>
        <v>26.67</v>
      </c>
      <c r="G2242" s="529">
        <v>26.67</v>
      </c>
      <c r="H2242" s="487">
        <f t="shared" si="1041"/>
        <v>21.34</v>
      </c>
      <c r="I2242" s="706"/>
      <c r="J2242" s="669" t="s">
        <v>5805</v>
      </c>
      <c r="K2242" s="15"/>
      <c r="M2242" s="49">
        <f t="shared" si="1042"/>
        <v>26.67</v>
      </c>
      <c r="N2242" s="41">
        <v>11.67</v>
      </c>
      <c r="O2242" s="186" t="s">
        <v>1017</v>
      </c>
      <c r="P2242" s="177"/>
      <c r="Q2242" s="178"/>
      <c r="R2242" s="178"/>
      <c r="S2242" s="178" t="s">
        <v>4180</v>
      </c>
      <c r="T2242" t="s">
        <v>4180</v>
      </c>
      <c r="U2242" s="179"/>
      <c r="V2242" s="178"/>
      <c r="W2242" s="180"/>
      <c r="X2242" s="180"/>
      <c r="Y2242" s="178"/>
      <c r="Z2242" s="178"/>
      <c r="AA2242" s="180"/>
      <c r="AB2242" s="178"/>
      <c r="AC2242" s="178" t="s">
        <v>1017</v>
      </c>
      <c r="AD2242" s="201"/>
      <c r="AE2242" s="200"/>
      <c r="AF2242" s="180"/>
      <c r="AG2242" s="201"/>
      <c r="AH2242" s="212" t="str">
        <f t="shared" si="1043"/>
        <v/>
      </c>
      <c r="AI2242" s="214" t="str">
        <f t="shared" si="1034"/>
        <v/>
      </c>
      <c r="AJ2242" s="214" t="str">
        <f t="shared" si="1035"/>
        <v/>
      </c>
      <c r="AK2242" s="214" t="str">
        <f t="shared" si="1036"/>
        <v/>
      </c>
      <c r="AL2242" s="214" t="str">
        <f t="shared" si="1037"/>
        <v/>
      </c>
      <c r="AM2242" s="214" t="str">
        <f t="shared" si="1038"/>
        <v/>
      </c>
      <c r="AN2242" s="213" t="str">
        <f t="shared" si="1021"/>
        <v/>
      </c>
      <c r="AO2242" s="213" t="str">
        <f t="shared" si="1022"/>
        <v/>
      </c>
      <c r="AP2242" s="213" t="str">
        <f t="shared" si="1023"/>
        <v/>
      </c>
      <c r="AQ2242" s="215" t="str">
        <f t="shared" si="1024"/>
        <v/>
      </c>
      <c r="AR2242" s="216" t="str">
        <f t="shared" si="1025"/>
        <v>BiK81X1KWK--08</v>
      </c>
      <c r="AS2242" s="215" t="str">
        <f t="shared" si="1026"/>
        <v/>
      </c>
      <c r="AT2242">
        <f t="shared" si="1027"/>
        <v>14</v>
      </c>
      <c r="AU2242" s="216" t="str">
        <f t="shared" si="1028"/>
        <v>0-0,15 MW, Bonusregeln X1 und KWK</v>
      </c>
      <c r="AV2242" s="215" t="str">
        <f t="shared" si="1029"/>
        <v/>
      </c>
      <c r="AW2242" s="216" t="str">
        <f t="shared" si="1030"/>
        <v>Anteil KWK</v>
      </c>
      <c r="AX2242" s="215" t="str">
        <f t="shared" si="1031"/>
        <v/>
      </c>
      <c r="AY2242" t="str">
        <f t="shared" si="1032"/>
        <v/>
      </c>
      <c r="AZ2242" t="str">
        <f t="shared" si="1033"/>
        <v/>
      </c>
    </row>
    <row r="2243" spans="1:52" s="178" customFormat="1" x14ac:dyDescent="0.25">
      <c r="A2243" s="610" t="s">
        <v>2807</v>
      </c>
      <c r="B2243" s="30" t="s">
        <v>5548</v>
      </c>
      <c r="C2243" s="30" t="s">
        <v>5540</v>
      </c>
      <c r="D2243" s="30" t="s">
        <v>6847</v>
      </c>
      <c r="E2243" s="30" t="s">
        <v>4331</v>
      </c>
      <c r="F2243" s="454">
        <f t="shared" si="1040"/>
        <v>27.67</v>
      </c>
      <c r="G2243" s="529">
        <v>27.67</v>
      </c>
      <c r="H2243" s="487">
        <f t="shared" si="1041"/>
        <v>22.14</v>
      </c>
      <c r="I2243" s="706"/>
      <c r="J2243" s="669" t="s">
        <v>5805</v>
      </c>
      <c r="K2243" s="15"/>
      <c r="L2243"/>
      <c r="M2243" s="49">
        <f t="shared" si="1042"/>
        <v>27.67</v>
      </c>
      <c r="N2243" s="41">
        <v>11.67</v>
      </c>
      <c r="O2243" s="186"/>
      <c r="P2243" s="178" t="s">
        <v>1017</v>
      </c>
      <c r="S2243" s="178" t="s">
        <v>4180</v>
      </c>
      <c r="T2243" s="178" t="s">
        <v>4180</v>
      </c>
      <c r="U2243" s="179"/>
      <c r="W2243" s="180"/>
      <c r="X2243" s="180"/>
      <c r="AA2243" s="180"/>
      <c r="AC2243" s="178" t="s">
        <v>1017</v>
      </c>
      <c r="AD2243" s="201"/>
      <c r="AE2243" s="200"/>
      <c r="AF2243" s="180"/>
      <c r="AG2243" s="201"/>
      <c r="AH2243" s="212" t="str">
        <f t="shared" si="1043"/>
        <v/>
      </c>
      <c r="AI2243" s="214" t="str">
        <f t="shared" si="1034"/>
        <v/>
      </c>
      <c r="AJ2243" s="214" t="str">
        <f t="shared" si="1035"/>
        <v/>
      </c>
      <c r="AK2243" s="214" t="str">
        <f t="shared" si="1036"/>
        <v/>
      </c>
      <c r="AL2243" s="214" t="str">
        <f t="shared" si="1037"/>
        <v/>
      </c>
      <c r="AM2243" s="214" t="str">
        <f t="shared" si="1038"/>
        <v/>
      </c>
      <c r="AN2243" s="213" t="str">
        <f t="shared" si="1021"/>
        <v/>
      </c>
      <c r="AO2243" s="213" t="str">
        <f t="shared" si="1022"/>
        <v/>
      </c>
      <c r="AP2243" s="213" t="str">
        <f t="shared" si="1023"/>
        <v/>
      </c>
      <c r="AQ2243" s="215" t="str">
        <f t="shared" si="1024"/>
        <v/>
      </c>
      <c r="AR2243" s="216" t="str">
        <f t="shared" si="1025"/>
        <v>BiK81X1KA3--08</v>
      </c>
      <c r="AS2243" s="215" t="str">
        <f t="shared" si="1026"/>
        <v/>
      </c>
      <c r="AT2243">
        <f t="shared" si="1027"/>
        <v>14</v>
      </c>
      <c r="AU2243" s="216" t="str">
        <f t="shared" si="1028"/>
        <v>0-0,15 MW, Bonusregeln X1 und K wenn Anlage 3 erfüllt</v>
      </c>
      <c r="AV2243" s="215" t="str">
        <f t="shared" si="1029"/>
        <v/>
      </c>
      <c r="AW2243" s="216" t="str">
        <f t="shared" si="1030"/>
        <v>Anteil KWK gemäß Anlage 3</v>
      </c>
      <c r="AX2243" s="215" t="str">
        <f t="shared" si="1031"/>
        <v/>
      </c>
      <c r="AY2243" t="str">
        <f t="shared" si="1032"/>
        <v/>
      </c>
      <c r="AZ2243" t="str">
        <f t="shared" si="1033"/>
        <v/>
      </c>
    </row>
    <row r="2244" spans="1:52" s="178" customFormat="1" x14ac:dyDescent="0.25">
      <c r="A2244" s="610" t="s">
        <v>2808</v>
      </c>
      <c r="B2244" s="30" t="s">
        <v>5548</v>
      </c>
      <c r="C2244" s="30" t="s">
        <v>5540</v>
      </c>
      <c r="D2244" s="30" t="s">
        <v>6848</v>
      </c>
      <c r="E2244" s="30" t="s">
        <v>674</v>
      </c>
      <c r="F2244" s="454">
        <f t="shared" si="1040"/>
        <v>27.67</v>
      </c>
      <c r="G2244" s="529">
        <v>27.67</v>
      </c>
      <c r="H2244" s="487">
        <f t="shared" si="1041"/>
        <v>22.14</v>
      </c>
      <c r="I2244" s="706"/>
      <c r="J2244" s="669" t="s">
        <v>5805</v>
      </c>
      <c r="K2244" s="15"/>
      <c r="L2244"/>
      <c r="M2244" s="49">
        <f t="shared" si="1042"/>
        <v>27.67</v>
      </c>
      <c r="N2244" s="41">
        <v>11.67</v>
      </c>
      <c r="O2244" s="186"/>
      <c r="P2244" s="177"/>
      <c r="Q2244" s="178" t="s">
        <v>1017</v>
      </c>
      <c r="S2244" s="178" t="s">
        <v>4180</v>
      </c>
      <c r="T2244" s="178" t="s">
        <v>4180</v>
      </c>
      <c r="U2244" s="179"/>
      <c r="W2244" s="180"/>
      <c r="X2244" s="180"/>
      <c r="AA2244" s="180"/>
      <c r="AC2244" s="178" t="s">
        <v>1017</v>
      </c>
      <c r="AD2244" s="201"/>
      <c r="AE2244" s="200"/>
      <c r="AF2244" s="180"/>
      <c r="AG2244" s="201"/>
      <c r="AH2244" s="212" t="str">
        <f t="shared" si="1043"/>
        <v/>
      </c>
      <c r="AI2244" s="214" t="str">
        <f t="shared" si="1034"/>
        <v/>
      </c>
      <c r="AJ2244" s="214" t="str">
        <f t="shared" si="1035"/>
        <v/>
      </c>
      <c r="AK2244" s="214" t="str">
        <f t="shared" si="1036"/>
        <v/>
      </c>
      <c r="AL2244" s="214" t="str">
        <f t="shared" si="1037"/>
        <v/>
      </c>
      <c r="AM2244" s="214" t="str">
        <f t="shared" si="1038"/>
        <v/>
      </c>
      <c r="AN2244" s="213" t="str">
        <f t="shared" si="1021"/>
        <v/>
      </c>
      <c r="AO2244" s="213" t="str">
        <f t="shared" si="1022"/>
        <v/>
      </c>
      <c r="AP2244" s="213" t="str">
        <f t="shared" si="1023"/>
        <v/>
      </c>
      <c r="AQ2244" s="215" t="str">
        <f t="shared" si="1024"/>
        <v/>
      </c>
      <c r="AR2244" s="216" t="str">
        <f t="shared" si="1025"/>
        <v>BiK81X1K09--08</v>
      </c>
      <c r="AS2244" s="215" t="str">
        <f t="shared" si="1026"/>
        <v/>
      </c>
      <c r="AT2244">
        <f t="shared" si="1027"/>
        <v>14</v>
      </c>
      <c r="AU2244" s="216" t="str">
        <f t="shared" si="1028"/>
        <v>0-0,15 MW, Bonusregeln X1 und K erstmals 2009</v>
      </c>
      <c r="AV2244" s="215" t="str">
        <f t="shared" si="1029"/>
        <v/>
      </c>
      <c r="AW2244" s="216" t="str">
        <f t="shared" si="1030"/>
        <v>Anteil KWK, erstmals 2009</v>
      </c>
      <c r="AX2244" s="215" t="str">
        <f t="shared" si="1031"/>
        <v/>
      </c>
      <c r="AY2244" t="str">
        <f t="shared" si="1032"/>
        <v/>
      </c>
      <c r="AZ2244" t="str">
        <f t="shared" si="1033"/>
        <v/>
      </c>
    </row>
    <row r="2245" spans="1:52" s="178" customFormat="1" x14ac:dyDescent="0.25">
      <c r="A2245" s="610" t="s">
        <v>3168</v>
      </c>
      <c r="B2245" s="30" t="s">
        <v>5548</v>
      </c>
      <c r="C2245" s="30" t="s">
        <v>5540</v>
      </c>
      <c r="D2245" s="30" t="s">
        <v>6849</v>
      </c>
      <c r="E2245" s="30" t="s">
        <v>3567</v>
      </c>
      <c r="F2245" s="454">
        <f t="shared" si="1040"/>
        <v>27.64</v>
      </c>
      <c r="G2245" s="529">
        <v>27.64</v>
      </c>
      <c r="H2245" s="487">
        <f t="shared" si="1041"/>
        <v>22.11</v>
      </c>
      <c r="I2245" s="706"/>
      <c r="J2245" s="669" t="s">
        <v>5805</v>
      </c>
      <c r="K2245" s="15"/>
      <c r="L2245"/>
      <c r="M2245" s="49">
        <f t="shared" si="1042"/>
        <v>27.64</v>
      </c>
      <c r="N2245" s="41">
        <v>11.67</v>
      </c>
      <c r="O2245" s="186"/>
      <c r="P2245" s="177"/>
      <c r="R2245" s="178" t="s">
        <v>1017</v>
      </c>
      <c r="S2245" s="178" t="s">
        <v>4180</v>
      </c>
      <c r="T2245" s="178" t="s">
        <v>4180</v>
      </c>
      <c r="U2245" s="179"/>
      <c r="W2245" s="180"/>
      <c r="X2245" s="180"/>
      <c r="AA2245" s="180"/>
      <c r="AC2245" s="178" t="s">
        <v>1017</v>
      </c>
      <c r="AD2245" s="201"/>
      <c r="AE2245" s="200"/>
      <c r="AF2245" s="180"/>
      <c r="AG2245" s="201"/>
      <c r="AH2245" s="212" t="str">
        <f t="shared" si="1043"/>
        <v>2010</v>
      </c>
      <c r="AI2245" s="214" t="str">
        <f t="shared" si="1034"/>
        <v/>
      </c>
      <c r="AJ2245" s="214" t="str">
        <f t="shared" si="1035"/>
        <v/>
      </c>
      <c r="AK2245" s="214" t="str">
        <f t="shared" si="1036"/>
        <v/>
      </c>
      <c r="AL2245" s="214" t="str">
        <f t="shared" si="1037"/>
        <v/>
      </c>
      <c r="AM2245" s="214" t="str">
        <f t="shared" si="1038"/>
        <v/>
      </c>
      <c r="AN2245" s="213" t="str">
        <f t="shared" si="1021"/>
        <v>2010</v>
      </c>
      <c r="AO2245" s="213" t="str">
        <f t="shared" si="1022"/>
        <v>2010</v>
      </c>
      <c r="AP2245" s="213" t="str">
        <f t="shared" si="1023"/>
        <v>2010</v>
      </c>
      <c r="AQ2245" s="215" t="str">
        <f t="shared" si="1024"/>
        <v/>
      </c>
      <c r="AR2245" s="216" t="str">
        <f t="shared" si="1025"/>
        <v>BiK81X1K10--08</v>
      </c>
      <c r="AS2245" s="215" t="str">
        <f t="shared" si="1026"/>
        <v/>
      </c>
      <c r="AT2245">
        <f t="shared" si="1027"/>
        <v>14</v>
      </c>
      <c r="AU2245" s="216" t="str">
        <f t="shared" si="1028"/>
        <v>0-0,15 MW, Bonusregeln X1 und K erstmals 2010</v>
      </c>
      <c r="AV2245" s="215" t="str">
        <f t="shared" si="1029"/>
        <v/>
      </c>
      <c r="AW2245" s="216" t="str">
        <f t="shared" si="1030"/>
        <v>Anteil KWK, erstmals 2010</v>
      </c>
      <c r="AX2245" s="215" t="str">
        <f t="shared" si="1031"/>
        <v/>
      </c>
      <c r="AY2245" t="str">
        <f t="shared" si="1032"/>
        <v/>
      </c>
      <c r="AZ2245" t="str">
        <f t="shared" si="1033"/>
        <v/>
      </c>
    </row>
    <row r="2246" spans="1:52" s="178" customFormat="1" x14ac:dyDescent="0.25">
      <c r="A2246" s="610" t="s">
        <v>3444</v>
      </c>
      <c r="B2246" s="30" t="s">
        <v>5548</v>
      </c>
      <c r="C2246" s="30" t="s">
        <v>5540</v>
      </c>
      <c r="D2246" s="30" t="s">
        <v>6850</v>
      </c>
      <c r="E2246" s="30" t="s">
        <v>3055</v>
      </c>
      <c r="F2246" s="454">
        <f t="shared" si="1040"/>
        <v>27.61</v>
      </c>
      <c r="G2246" s="529">
        <v>27.61</v>
      </c>
      <c r="H2246" s="487">
        <f t="shared" si="1041"/>
        <v>22.09</v>
      </c>
      <c r="I2246" s="706"/>
      <c r="J2246" s="669" t="s">
        <v>5805</v>
      </c>
      <c r="K2246" s="15"/>
      <c r="L2246"/>
      <c r="M2246" s="49">
        <f t="shared" si="1042"/>
        <v>27.61</v>
      </c>
      <c r="N2246" s="41">
        <v>11.67</v>
      </c>
      <c r="O2246" s="186"/>
      <c r="P2246" s="177"/>
      <c r="S2246" s="178" t="s">
        <v>1017</v>
      </c>
      <c r="T2246" s="178" t="s">
        <v>4180</v>
      </c>
      <c r="U2246" s="179"/>
      <c r="W2246" s="180"/>
      <c r="X2246" s="180"/>
      <c r="AA2246" s="180"/>
      <c r="AC2246" s="178" t="s">
        <v>1017</v>
      </c>
      <c r="AD2246" s="201"/>
      <c r="AE2246" s="200"/>
      <c r="AF2246" s="180"/>
      <c r="AG2246" s="201"/>
      <c r="AH2246" s="212" t="str">
        <f t="shared" si="1043"/>
        <v>2011</v>
      </c>
      <c r="AI2246" s="214" t="str">
        <f t="shared" si="1034"/>
        <v/>
      </c>
      <c r="AJ2246" s="214" t="str">
        <f t="shared" si="1035"/>
        <v/>
      </c>
      <c r="AK2246" s="214" t="str">
        <f t="shared" si="1036"/>
        <v/>
      </c>
      <c r="AL2246" s="214" t="str">
        <f t="shared" si="1037"/>
        <v/>
      </c>
      <c r="AM2246" s="214" t="str">
        <f t="shared" si="1038"/>
        <v/>
      </c>
      <c r="AN2246" s="213" t="str">
        <f t="shared" si="1021"/>
        <v>2011</v>
      </c>
      <c r="AO2246" s="213" t="str">
        <f t="shared" si="1022"/>
        <v>2011</v>
      </c>
      <c r="AP2246" s="213" t="str">
        <f t="shared" si="1023"/>
        <v>2011</v>
      </c>
      <c r="AQ2246" s="215" t="str">
        <f t="shared" si="1024"/>
        <v/>
      </c>
      <c r="AR2246" s="216" t="str">
        <f t="shared" si="1025"/>
        <v>BiK81X1K11--08</v>
      </c>
      <c r="AS2246" s="215" t="str">
        <f t="shared" si="1026"/>
        <v/>
      </c>
      <c r="AT2246">
        <f t="shared" si="1027"/>
        <v>14</v>
      </c>
      <c r="AU2246" s="216" t="str">
        <f t="shared" si="1028"/>
        <v>0-0,15 MW, Bonusregeln X1 und K erstmals 2011</v>
      </c>
      <c r="AV2246" s="215" t="str">
        <f t="shared" si="1029"/>
        <v/>
      </c>
      <c r="AW2246" s="216" t="str">
        <f t="shared" si="1030"/>
        <v>Anteil KWK, erstmals 2011</v>
      </c>
      <c r="AX2246" s="215" t="str">
        <f t="shared" si="1031"/>
        <v/>
      </c>
      <c r="AY2246" t="str">
        <f t="shared" si="1032"/>
        <v>x</v>
      </c>
      <c r="AZ2246" t="str">
        <f t="shared" si="1033"/>
        <v/>
      </c>
    </row>
    <row r="2247" spans="1:52" s="178" customFormat="1" x14ac:dyDescent="0.25">
      <c r="A2247" s="625" t="s">
        <v>1876</v>
      </c>
      <c r="B2247" s="219" t="s">
        <v>5548</v>
      </c>
      <c r="C2247" s="219" t="s">
        <v>5540</v>
      </c>
      <c r="D2247" s="219" t="s">
        <v>6851</v>
      </c>
      <c r="E2247" s="219" t="s">
        <v>1980</v>
      </c>
      <c r="F2247" s="455">
        <f t="shared" si="1040"/>
        <v>27.58</v>
      </c>
      <c r="G2247" s="530">
        <v>27.58</v>
      </c>
      <c r="H2247" s="488">
        <f t="shared" si="1041"/>
        <v>22.06</v>
      </c>
      <c r="I2247" s="707"/>
      <c r="J2247" s="669" t="s">
        <v>5805</v>
      </c>
      <c r="K2247" s="15"/>
      <c r="L2247"/>
      <c r="M2247" s="49">
        <f t="shared" si="1042"/>
        <v>27.58</v>
      </c>
      <c r="N2247" s="41">
        <v>11.67</v>
      </c>
      <c r="O2247" s="186"/>
      <c r="P2247" s="177"/>
      <c r="S2247" s="178" t="s">
        <v>4180</v>
      </c>
      <c r="T2247" s="178" t="s">
        <v>1017</v>
      </c>
      <c r="U2247" s="179"/>
      <c r="W2247" s="180"/>
      <c r="X2247" s="180"/>
      <c r="AA2247" s="180"/>
      <c r="AC2247" s="178" t="s">
        <v>1017</v>
      </c>
      <c r="AD2247" s="201"/>
      <c r="AE2247" s="200"/>
      <c r="AF2247" s="180"/>
      <c r="AG2247" s="201"/>
      <c r="AH2247" s="217" t="s">
        <v>4179</v>
      </c>
      <c r="AI2247" s="214" t="str">
        <f t="shared" si="1034"/>
        <v/>
      </c>
      <c r="AJ2247" s="214" t="str">
        <f t="shared" si="1035"/>
        <v/>
      </c>
      <c r="AK2247" s="214" t="str">
        <f t="shared" si="1036"/>
        <v/>
      </c>
      <c r="AL2247" s="214" t="str">
        <f t="shared" si="1037"/>
        <v/>
      </c>
      <c r="AM2247" s="214" t="str">
        <f t="shared" si="1038"/>
        <v/>
      </c>
      <c r="AN2247" s="213" t="str">
        <f t="shared" si="1021"/>
        <v>2012</v>
      </c>
      <c r="AO2247" s="213" t="str">
        <f t="shared" si="1022"/>
        <v>2012</v>
      </c>
      <c r="AP2247" s="213" t="str">
        <f t="shared" si="1023"/>
        <v>2012</v>
      </c>
      <c r="AQ2247" s="215" t="str">
        <f t="shared" si="1024"/>
        <v/>
      </c>
      <c r="AR2247" s="216" t="str">
        <f t="shared" si="1025"/>
        <v>BiK81X1K12--08</v>
      </c>
      <c r="AS2247" s="215" t="str">
        <f t="shared" si="1026"/>
        <v/>
      </c>
      <c r="AT2247">
        <f t="shared" si="1027"/>
        <v>14</v>
      </c>
      <c r="AU2247" s="216" t="str">
        <f t="shared" si="1028"/>
        <v>0-0,15 MW, Bonusregeln X1 und K erstmals 2012</v>
      </c>
      <c r="AV2247" s="215" t="str">
        <f t="shared" si="1029"/>
        <v/>
      </c>
      <c r="AW2247" s="216" t="str">
        <f t="shared" si="1030"/>
        <v>Anteil KWK, erstmals 2012</v>
      </c>
      <c r="AX2247" s="215" t="str">
        <f t="shared" si="1031"/>
        <v/>
      </c>
      <c r="AY2247" t="str">
        <f t="shared" si="1032"/>
        <v/>
      </c>
      <c r="AZ2247" t="str">
        <f t="shared" si="1033"/>
        <v>x</v>
      </c>
    </row>
    <row r="2248" spans="1:52" s="178" customFormat="1" x14ac:dyDescent="0.25">
      <c r="A2248" s="610" t="s">
        <v>4155</v>
      </c>
      <c r="B2248" s="30" t="s">
        <v>5548</v>
      </c>
      <c r="C2248" s="30" t="s">
        <v>5540</v>
      </c>
      <c r="D2248" s="30" t="s">
        <v>6852</v>
      </c>
      <c r="E2248" s="30" t="s">
        <v>4810</v>
      </c>
      <c r="F2248" s="454">
        <f t="shared" si="1040"/>
        <v>25.67</v>
      </c>
      <c r="G2248" s="529">
        <v>25.67</v>
      </c>
      <c r="H2248" s="487">
        <f t="shared" si="1041"/>
        <v>20.54</v>
      </c>
      <c r="I2248" s="706"/>
      <c r="J2248" s="669" t="s">
        <v>5805</v>
      </c>
      <c r="K2248" s="15"/>
      <c r="L2248"/>
      <c r="M2248" s="49">
        <f t="shared" si="1042"/>
        <v>25.67</v>
      </c>
      <c r="N2248" s="41">
        <v>11.67</v>
      </c>
      <c r="O2248" s="187"/>
      <c r="P2248" s="183"/>
      <c r="Q2248" s="184"/>
      <c r="R2248" s="184"/>
      <c r="S2248" s="184" t="s">
        <v>4180</v>
      </c>
      <c r="T2248" s="178" t="s">
        <v>4180</v>
      </c>
      <c r="U2248" s="185" t="s">
        <v>1017</v>
      </c>
      <c r="V2248" s="184"/>
      <c r="W2248" s="180"/>
      <c r="X2248" s="180"/>
      <c r="AA2248" s="180"/>
      <c r="AC2248" s="184" t="s">
        <v>1017</v>
      </c>
      <c r="AD2248" s="201"/>
      <c r="AE2248" s="181"/>
      <c r="AF2248" s="180"/>
      <c r="AG2248" s="201"/>
      <c r="AH2248" s="212" t="str">
        <f t="shared" ref="AH2248:AH2253" si="1044">IF(ISERROR(SEARCH("K erstmals 201",D2248)),"",RIGHT(D2248,4))</f>
        <v/>
      </c>
      <c r="AI2248" s="214" t="str">
        <f t="shared" si="1034"/>
        <v/>
      </c>
      <c r="AJ2248" s="214" t="str">
        <f t="shared" si="1035"/>
        <v/>
      </c>
      <c r="AK2248" s="214" t="str">
        <f t="shared" si="1036"/>
        <v/>
      </c>
      <c r="AL2248" s="214" t="str">
        <f t="shared" si="1037"/>
        <v/>
      </c>
      <c r="AM2248" s="214" t="str">
        <f t="shared" si="1038"/>
        <v/>
      </c>
      <c r="AN2248" s="213" t="str">
        <f t="shared" si="1021"/>
        <v/>
      </c>
      <c r="AO2248" s="213" t="str">
        <f t="shared" si="1022"/>
        <v/>
      </c>
      <c r="AP2248" s="213" t="str">
        <f t="shared" si="1023"/>
        <v/>
      </c>
      <c r="AQ2248" s="215" t="str">
        <f t="shared" si="1024"/>
        <v/>
      </c>
      <c r="AR2248" s="216" t="str">
        <f t="shared" si="1025"/>
        <v>BiK81X1y----08</v>
      </c>
      <c r="AS2248" s="215" t="str">
        <f t="shared" si="1026"/>
        <v/>
      </c>
      <c r="AT2248">
        <f t="shared" si="1027"/>
        <v>14</v>
      </c>
      <c r="AU2248" s="216" t="str">
        <f t="shared" si="1028"/>
        <v>0-0,15 MW, Bonusregeln X1, y</v>
      </c>
      <c r="AV2248" s="215" t="str">
        <f t="shared" si="1029"/>
        <v/>
      </c>
      <c r="AW2248" s="216" t="str">
        <f t="shared" si="1030"/>
        <v>Anteil Nicht-KWK</v>
      </c>
      <c r="AX2248" s="215" t="str">
        <f t="shared" si="1031"/>
        <v/>
      </c>
      <c r="AY2248" t="str">
        <f t="shared" si="1032"/>
        <v/>
      </c>
      <c r="AZ2248" t="str">
        <f t="shared" si="1033"/>
        <v/>
      </c>
    </row>
    <row r="2249" spans="1:52" s="178" customFormat="1" x14ac:dyDescent="0.25">
      <c r="A2249" s="610" t="s">
        <v>4156</v>
      </c>
      <c r="B2249" s="30" t="s">
        <v>5548</v>
      </c>
      <c r="C2249" s="30" t="s">
        <v>5540</v>
      </c>
      <c r="D2249" s="30" t="s">
        <v>6906</v>
      </c>
      <c r="E2249" s="30" t="s">
        <v>4812</v>
      </c>
      <c r="F2249" s="454">
        <f t="shared" si="1040"/>
        <v>27.67</v>
      </c>
      <c r="G2249" s="529">
        <v>27.67</v>
      </c>
      <c r="H2249" s="487">
        <f t="shared" si="1041"/>
        <v>22.14</v>
      </c>
      <c r="I2249" s="706"/>
      <c r="J2249" s="669" t="s">
        <v>5805</v>
      </c>
      <c r="K2249" s="15"/>
      <c r="L2249"/>
      <c r="M2249" s="49">
        <f t="shared" si="1042"/>
        <v>27.67</v>
      </c>
      <c r="N2249" s="41">
        <v>11.67</v>
      </c>
      <c r="O2249" s="187" t="s">
        <v>1017</v>
      </c>
      <c r="P2249" s="183"/>
      <c r="Q2249" s="184"/>
      <c r="R2249" s="184"/>
      <c r="S2249" s="184" t="s">
        <v>4180</v>
      </c>
      <c r="T2249" s="178" t="s">
        <v>4180</v>
      </c>
      <c r="U2249" s="185" t="s">
        <v>1017</v>
      </c>
      <c r="V2249" s="184"/>
      <c r="W2249" s="180"/>
      <c r="X2249" s="180"/>
      <c r="AA2249" s="180"/>
      <c r="AC2249" s="184" t="s">
        <v>1017</v>
      </c>
      <c r="AD2249" s="201"/>
      <c r="AE2249" s="181"/>
      <c r="AF2249" s="180"/>
      <c r="AG2249" s="201"/>
      <c r="AH2249" s="212" t="str">
        <f t="shared" si="1044"/>
        <v/>
      </c>
      <c r="AI2249" s="214" t="str">
        <f t="shared" si="1034"/>
        <v/>
      </c>
      <c r="AJ2249" s="214" t="str">
        <f t="shared" si="1035"/>
        <v/>
      </c>
      <c r="AK2249" s="214" t="str">
        <f t="shared" si="1036"/>
        <v/>
      </c>
      <c r="AL2249" s="214" t="str">
        <f t="shared" si="1037"/>
        <v/>
      </c>
      <c r="AM2249" s="214" t="str">
        <f t="shared" si="1038"/>
        <v/>
      </c>
      <c r="AN2249" s="213" t="str">
        <f t="shared" si="1021"/>
        <v/>
      </c>
      <c r="AO2249" s="213" t="str">
        <f t="shared" si="1022"/>
        <v/>
      </c>
      <c r="AP2249" s="213" t="str">
        <f t="shared" si="1023"/>
        <v/>
      </c>
      <c r="AQ2249" s="215" t="str">
        <f t="shared" si="1024"/>
        <v/>
      </c>
      <c r="AR2249" s="216" t="str">
        <f t="shared" si="1025"/>
        <v>BiK81X1KWKy-08</v>
      </c>
      <c r="AS2249" s="215" t="str">
        <f t="shared" si="1026"/>
        <v/>
      </c>
      <c r="AT2249">
        <f t="shared" si="1027"/>
        <v>14</v>
      </c>
      <c r="AU2249" s="216" t="str">
        <f t="shared" si="1028"/>
        <v>0-0,15 MW, Bonusregeln X1, y und KWK</v>
      </c>
      <c r="AV2249" s="215" t="str">
        <f t="shared" si="1029"/>
        <v/>
      </c>
      <c r="AW2249" s="216" t="str">
        <f t="shared" si="1030"/>
        <v>Anteil KWK</v>
      </c>
      <c r="AX2249" s="215" t="str">
        <f t="shared" si="1031"/>
        <v/>
      </c>
      <c r="AY2249" t="str">
        <f t="shared" si="1032"/>
        <v/>
      </c>
      <c r="AZ2249" t="str">
        <f t="shared" si="1033"/>
        <v/>
      </c>
    </row>
    <row r="2250" spans="1:52" s="178" customFormat="1" x14ac:dyDescent="0.25">
      <c r="A2250" s="610" t="s">
        <v>4157</v>
      </c>
      <c r="B2250" s="30" t="s">
        <v>5548</v>
      </c>
      <c r="C2250" s="30" t="s">
        <v>5540</v>
      </c>
      <c r="D2250" s="109" t="s">
        <v>6853</v>
      </c>
      <c r="E2250" s="30" t="s">
        <v>4331</v>
      </c>
      <c r="F2250" s="454">
        <f t="shared" si="1040"/>
        <v>28.67</v>
      </c>
      <c r="G2250" s="529">
        <v>28.67</v>
      </c>
      <c r="H2250" s="487">
        <f t="shared" si="1041"/>
        <v>22.94</v>
      </c>
      <c r="I2250" s="706"/>
      <c r="J2250" s="669" t="s">
        <v>5805</v>
      </c>
      <c r="K2250" s="15"/>
      <c r="L2250"/>
      <c r="M2250" s="49">
        <f t="shared" si="1042"/>
        <v>28.67</v>
      </c>
      <c r="N2250" s="41">
        <v>11.67</v>
      </c>
      <c r="O2250" s="187"/>
      <c r="P2250" s="184" t="s">
        <v>1017</v>
      </c>
      <c r="Q2250" s="184"/>
      <c r="R2250" s="184"/>
      <c r="S2250" s="184" t="s">
        <v>4180</v>
      </c>
      <c r="T2250" s="178" t="s">
        <v>4180</v>
      </c>
      <c r="U2250" s="185" t="s">
        <v>1017</v>
      </c>
      <c r="V2250" s="184"/>
      <c r="W2250" s="180"/>
      <c r="X2250" s="180"/>
      <c r="AA2250" s="180"/>
      <c r="AC2250" s="184" t="s">
        <v>1017</v>
      </c>
      <c r="AD2250" s="201"/>
      <c r="AE2250" s="181"/>
      <c r="AF2250" s="180"/>
      <c r="AG2250" s="201"/>
      <c r="AH2250" s="212" t="str">
        <f t="shared" si="1044"/>
        <v/>
      </c>
      <c r="AI2250" s="214" t="str">
        <f t="shared" si="1034"/>
        <v/>
      </c>
      <c r="AJ2250" s="214" t="str">
        <f t="shared" si="1035"/>
        <v/>
      </c>
      <c r="AK2250" s="214" t="str">
        <f t="shared" si="1036"/>
        <v/>
      </c>
      <c r="AL2250" s="214" t="str">
        <f t="shared" si="1037"/>
        <v/>
      </c>
      <c r="AM2250" s="214" t="str">
        <f t="shared" si="1038"/>
        <v/>
      </c>
      <c r="AN2250" s="213" t="str">
        <f t="shared" si="1021"/>
        <v/>
      </c>
      <c r="AO2250" s="213" t="str">
        <f t="shared" si="1022"/>
        <v/>
      </c>
      <c r="AP2250" s="213" t="str">
        <f t="shared" si="1023"/>
        <v/>
      </c>
      <c r="AQ2250" s="215" t="str">
        <f t="shared" si="1024"/>
        <v/>
      </c>
      <c r="AR2250" s="216" t="str">
        <f t="shared" si="1025"/>
        <v>BiK81X1KA3y-08</v>
      </c>
      <c r="AS2250" s="215" t="str">
        <f t="shared" si="1026"/>
        <v/>
      </c>
      <c r="AT2250">
        <f t="shared" si="1027"/>
        <v>14</v>
      </c>
      <c r="AU2250" s="216" t="str">
        <f t="shared" si="1028"/>
        <v>0-0,15 MW, Bonusregeln X1, y und K wenn Anlage 3 erfüllt</v>
      </c>
      <c r="AV2250" s="215" t="str">
        <f t="shared" si="1029"/>
        <v/>
      </c>
      <c r="AW2250" s="216" t="str">
        <f t="shared" si="1030"/>
        <v>Anteil KWK gemäß Anlage 3</v>
      </c>
      <c r="AX2250" s="215" t="str">
        <f t="shared" si="1031"/>
        <v/>
      </c>
      <c r="AY2250" t="str">
        <f t="shared" si="1032"/>
        <v/>
      </c>
      <c r="AZ2250" t="str">
        <f t="shared" si="1033"/>
        <v/>
      </c>
    </row>
    <row r="2251" spans="1:52" s="178" customFormat="1" x14ac:dyDescent="0.25">
      <c r="A2251" s="610" t="s">
        <v>4158</v>
      </c>
      <c r="B2251" s="30" t="s">
        <v>5548</v>
      </c>
      <c r="C2251" s="30" t="s">
        <v>5540</v>
      </c>
      <c r="D2251" s="30" t="s">
        <v>6854</v>
      </c>
      <c r="E2251" s="30" t="s">
        <v>674</v>
      </c>
      <c r="F2251" s="454">
        <f t="shared" si="1040"/>
        <v>28.67</v>
      </c>
      <c r="G2251" s="529">
        <v>28.67</v>
      </c>
      <c r="H2251" s="487">
        <f t="shared" si="1041"/>
        <v>22.94</v>
      </c>
      <c r="I2251" s="706"/>
      <c r="J2251" s="669" t="s">
        <v>5805</v>
      </c>
      <c r="K2251" s="15"/>
      <c r="L2251"/>
      <c r="M2251" s="49">
        <f t="shared" si="1042"/>
        <v>28.67</v>
      </c>
      <c r="N2251" s="41">
        <v>11.67</v>
      </c>
      <c r="O2251" s="187"/>
      <c r="P2251" s="183"/>
      <c r="Q2251" s="184" t="s">
        <v>1017</v>
      </c>
      <c r="R2251" s="184"/>
      <c r="S2251" s="184" t="s">
        <v>4180</v>
      </c>
      <c r="T2251" s="178" t="s">
        <v>4180</v>
      </c>
      <c r="U2251" s="185" t="s">
        <v>1017</v>
      </c>
      <c r="V2251" s="184"/>
      <c r="W2251" s="180"/>
      <c r="X2251" s="180"/>
      <c r="AA2251" s="180"/>
      <c r="AC2251" s="184" t="s">
        <v>1017</v>
      </c>
      <c r="AD2251" s="201"/>
      <c r="AE2251" s="181"/>
      <c r="AF2251" s="180"/>
      <c r="AG2251" s="201"/>
      <c r="AH2251" s="212" t="str">
        <f t="shared" si="1044"/>
        <v/>
      </c>
      <c r="AI2251" s="214" t="str">
        <f t="shared" si="1034"/>
        <v/>
      </c>
      <c r="AJ2251" s="214" t="str">
        <f t="shared" si="1035"/>
        <v/>
      </c>
      <c r="AK2251" s="214" t="str">
        <f t="shared" si="1036"/>
        <v/>
      </c>
      <c r="AL2251" s="214" t="str">
        <f t="shared" si="1037"/>
        <v/>
      </c>
      <c r="AM2251" s="214" t="str">
        <f t="shared" si="1038"/>
        <v/>
      </c>
      <c r="AN2251" s="213" t="str">
        <f t="shared" si="1021"/>
        <v/>
      </c>
      <c r="AO2251" s="213" t="str">
        <f t="shared" si="1022"/>
        <v/>
      </c>
      <c r="AP2251" s="213" t="str">
        <f t="shared" si="1023"/>
        <v/>
      </c>
      <c r="AQ2251" s="215" t="str">
        <f t="shared" si="1024"/>
        <v/>
      </c>
      <c r="AR2251" s="216" t="str">
        <f t="shared" si="1025"/>
        <v>BiK81X1K09y-08</v>
      </c>
      <c r="AS2251" s="215" t="str">
        <f t="shared" si="1026"/>
        <v/>
      </c>
      <c r="AT2251">
        <f t="shared" si="1027"/>
        <v>14</v>
      </c>
      <c r="AU2251" s="216" t="str">
        <f t="shared" si="1028"/>
        <v>0-0,15 MW, Bonusregeln X1, y und K erstmals 2009</v>
      </c>
      <c r="AV2251" s="215" t="str">
        <f t="shared" si="1029"/>
        <v/>
      </c>
      <c r="AW2251" s="216" t="str">
        <f t="shared" si="1030"/>
        <v>Anteil KWK, erstmals 2009</v>
      </c>
      <c r="AX2251" s="215" t="str">
        <f t="shared" si="1031"/>
        <v/>
      </c>
      <c r="AY2251" t="str">
        <f t="shared" si="1032"/>
        <v/>
      </c>
      <c r="AZ2251" t="str">
        <f t="shared" si="1033"/>
        <v/>
      </c>
    </row>
    <row r="2252" spans="1:52" x14ac:dyDescent="0.25">
      <c r="A2252" s="610" t="s">
        <v>3169</v>
      </c>
      <c r="B2252" s="30" t="s">
        <v>5548</v>
      </c>
      <c r="C2252" s="30" t="s">
        <v>5540</v>
      </c>
      <c r="D2252" s="30" t="s">
        <v>6855</v>
      </c>
      <c r="E2252" s="30" t="s">
        <v>3567</v>
      </c>
      <c r="F2252" s="454">
        <f t="shared" si="1040"/>
        <v>28.64</v>
      </c>
      <c r="G2252" s="529">
        <v>28.64</v>
      </c>
      <c r="H2252" s="487">
        <f t="shared" si="1041"/>
        <v>22.91</v>
      </c>
      <c r="I2252" s="706"/>
      <c r="J2252" s="669" t="s">
        <v>5805</v>
      </c>
      <c r="K2252" s="15"/>
      <c r="M2252" s="49">
        <f t="shared" si="1042"/>
        <v>28.64</v>
      </c>
      <c r="N2252" s="41">
        <v>11.67</v>
      </c>
      <c r="O2252" s="187"/>
      <c r="P2252" s="183"/>
      <c r="Q2252" s="184"/>
      <c r="R2252" s="184" t="s">
        <v>1017</v>
      </c>
      <c r="S2252" s="184" t="s">
        <v>4180</v>
      </c>
      <c r="T2252" t="s">
        <v>4180</v>
      </c>
      <c r="U2252" s="185" t="s">
        <v>1017</v>
      </c>
      <c r="V2252" s="184"/>
      <c r="W2252" s="180"/>
      <c r="X2252" s="180"/>
      <c r="Y2252" s="178"/>
      <c r="Z2252" s="178"/>
      <c r="AA2252" s="180"/>
      <c r="AB2252" s="178"/>
      <c r="AC2252" s="184" t="s">
        <v>1017</v>
      </c>
      <c r="AD2252" s="201"/>
      <c r="AE2252" s="181"/>
      <c r="AF2252" s="180"/>
      <c r="AG2252" s="201"/>
      <c r="AH2252" s="212" t="str">
        <f t="shared" si="1044"/>
        <v>2010</v>
      </c>
      <c r="AI2252" s="214" t="str">
        <f t="shared" si="1034"/>
        <v/>
      </c>
      <c r="AJ2252" s="214" t="str">
        <f t="shared" si="1035"/>
        <v/>
      </c>
      <c r="AK2252" s="214" t="str">
        <f t="shared" si="1036"/>
        <v/>
      </c>
      <c r="AL2252" s="214" t="str">
        <f t="shared" si="1037"/>
        <v/>
      </c>
      <c r="AM2252" s="214" t="str">
        <f t="shared" si="1038"/>
        <v/>
      </c>
      <c r="AN2252" s="213" t="str">
        <f t="shared" si="1021"/>
        <v>2010</v>
      </c>
      <c r="AO2252" s="213" t="str">
        <f t="shared" si="1022"/>
        <v>2010</v>
      </c>
      <c r="AP2252" s="213" t="str">
        <f t="shared" si="1023"/>
        <v>2010</v>
      </c>
      <c r="AQ2252" s="215" t="str">
        <f t="shared" si="1024"/>
        <v/>
      </c>
      <c r="AR2252" s="216" t="str">
        <f t="shared" si="1025"/>
        <v>BiK81X1K10y-08</v>
      </c>
      <c r="AS2252" s="215" t="str">
        <f t="shared" si="1026"/>
        <v/>
      </c>
      <c r="AT2252">
        <f t="shared" si="1027"/>
        <v>14</v>
      </c>
      <c r="AU2252" s="216" t="str">
        <f t="shared" si="1028"/>
        <v>0-0,15 MW, Bonusregeln X1, y und K erstmals 2010</v>
      </c>
      <c r="AV2252" s="215" t="str">
        <f t="shared" si="1029"/>
        <v/>
      </c>
      <c r="AW2252" s="216" t="str">
        <f t="shared" si="1030"/>
        <v>Anteil KWK, erstmals 2010</v>
      </c>
      <c r="AX2252" s="215" t="str">
        <f t="shared" si="1031"/>
        <v/>
      </c>
      <c r="AY2252" t="str">
        <f t="shared" si="1032"/>
        <v/>
      </c>
      <c r="AZ2252" t="str">
        <f t="shared" si="1033"/>
        <v/>
      </c>
    </row>
    <row r="2253" spans="1:52" x14ac:dyDescent="0.25">
      <c r="A2253" s="610" t="s">
        <v>3445</v>
      </c>
      <c r="B2253" s="30" t="s">
        <v>5548</v>
      </c>
      <c r="C2253" s="30" t="s">
        <v>5540</v>
      </c>
      <c r="D2253" s="30" t="s">
        <v>6856</v>
      </c>
      <c r="E2253" s="30" t="s">
        <v>3055</v>
      </c>
      <c r="F2253" s="454">
        <f t="shared" si="1040"/>
        <v>28.61</v>
      </c>
      <c r="G2253" s="529">
        <v>28.61</v>
      </c>
      <c r="H2253" s="487">
        <f t="shared" si="1041"/>
        <v>22.89</v>
      </c>
      <c r="I2253" s="706"/>
      <c r="J2253" s="669" t="s">
        <v>5805</v>
      </c>
      <c r="K2253" s="15"/>
      <c r="M2253" s="49">
        <f t="shared" si="1042"/>
        <v>28.61</v>
      </c>
      <c r="N2253" s="41">
        <v>11.67</v>
      </c>
      <c r="O2253" s="187"/>
      <c r="P2253" s="183"/>
      <c r="Q2253" s="184"/>
      <c r="R2253" s="178"/>
      <c r="S2253" s="184" t="s">
        <v>1017</v>
      </c>
      <c r="T2253" t="s">
        <v>4180</v>
      </c>
      <c r="U2253" s="185" t="s">
        <v>1017</v>
      </c>
      <c r="V2253" s="184"/>
      <c r="W2253" s="180"/>
      <c r="X2253" s="180"/>
      <c r="Y2253" s="178"/>
      <c r="Z2253" s="178"/>
      <c r="AA2253" s="180"/>
      <c r="AB2253" s="178"/>
      <c r="AC2253" s="184" t="s">
        <v>1017</v>
      </c>
      <c r="AD2253" s="201"/>
      <c r="AE2253" s="181"/>
      <c r="AF2253" s="180"/>
      <c r="AG2253" s="201"/>
      <c r="AH2253" s="212" t="str">
        <f t="shared" si="1044"/>
        <v>2011</v>
      </c>
      <c r="AI2253" s="214" t="str">
        <f t="shared" si="1034"/>
        <v/>
      </c>
      <c r="AJ2253" s="214" t="str">
        <f t="shared" si="1035"/>
        <v/>
      </c>
      <c r="AK2253" s="214" t="str">
        <f t="shared" si="1036"/>
        <v/>
      </c>
      <c r="AL2253" s="214" t="str">
        <f t="shared" si="1037"/>
        <v/>
      </c>
      <c r="AM2253" s="214" t="str">
        <f t="shared" si="1038"/>
        <v/>
      </c>
      <c r="AN2253" s="213" t="str">
        <f t="shared" si="1021"/>
        <v>2011</v>
      </c>
      <c r="AO2253" s="213" t="str">
        <f t="shared" si="1022"/>
        <v>2011</v>
      </c>
      <c r="AP2253" s="213" t="str">
        <f t="shared" si="1023"/>
        <v>2011</v>
      </c>
      <c r="AQ2253" s="215" t="str">
        <f t="shared" si="1024"/>
        <v/>
      </c>
      <c r="AR2253" s="216" t="str">
        <f t="shared" si="1025"/>
        <v>BiK81X1K11y-08</v>
      </c>
      <c r="AS2253" s="215" t="str">
        <f t="shared" si="1026"/>
        <v/>
      </c>
      <c r="AT2253">
        <f t="shared" si="1027"/>
        <v>14</v>
      </c>
      <c r="AU2253" s="216" t="str">
        <f t="shared" si="1028"/>
        <v>0-0,15 MW, Bonusregeln X1, y und K erstmals 2011</v>
      </c>
      <c r="AV2253" s="215" t="str">
        <f t="shared" si="1029"/>
        <v/>
      </c>
      <c r="AW2253" s="216" t="str">
        <f t="shared" si="1030"/>
        <v>Anteil KWK, erstmals 2011</v>
      </c>
      <c r="AX2253" s="215" t="str">
        <f t="shared" si="1031"/>
        <v/>
      </c>
      <c r="AY2253" t="str">
        <f t="shared" si="1032"/>
        <v>x</v>
      </c>
      <c r="AZ2253" t="str">
        <f t="shared" si="1033"/>
        <v/>
      </c>
    </row>
    <row r="2254" spans="1:52" x14ac:dyDescent="0.25">
      <c r="A2254" s="625" t="s">
        <v>1877</v>
      </c>
      <c r="B2254" s="219" t="s">
        <v>5548</v>
      </c>
      <c r="C2254" s="219" t="s">
        <v>5540</v>
      </c>
      <c r="D2254" s="219" t="s">
        <v>6857</v>
      </c>
      <c r="E2254" s="219" t="s">
        <v>1980</v>
      </c>
      <c r="F2254" s="455">
        <f t="shared" si="1040"/>
        <v>28.58</v>
      </c>
      <c r="G2254" s="530">
        <v>28.58</v>
      </c>
      <c r="H2254" s="488">
        <f t="shared" si="1041"/>
        <v>22.86</v>
      </c>
      <c r="I2254" s="707"/>
      <c r="J2254" s="669" t="s">
        <v>5805</v>
      </c>
      <c r="K2254" s="15"/>
      <c r="M2254" s="49">
        <f t="shared" si="1042"/>
        <v>28.58</v>
      </c>
      <c r="N2254" s="41">
        <v>11.67</v>
      </c>
      <c r="O2254" s="187"/>
      <c r="P2254" s="183"/>
      <c r="Q2254" s="184"/>
      <c r="R2254" s="178"/>
      <c r="S2254" s="184" t="s">
        <v>4180</v>
      </c>
      <c r="T2254" t="s">
        <v>1017</v>
      </c>
      <c r="U2254" s="185" t="s">
        <v>1017</v>
      </c>
      <c r="V2254" s="184"/>
      <c r="W2254" s="180"/>
      <c r="X2254" s="180"/>
      <c r="Y2254" s="178"/>
      <c r="Z2254" s="178"/>
      <c r="AA2254" s="180"/>
      <c r="AB2254" s="178"/>
      <c r="AC2254" s="184" t="s">
        <v>1017</v>
      </c>
      <c r="AD2254" s="201"/>
      <c r="AE2254" s="181"/>
      <c r="AF2254" s="180"/>
      <c r="AG2254" s="201"/>
      <c r="AH2254" s="217" t="s">
        <v>4179</v>
      </c>
      <c r="AI2254" s="214" t="str">
        <f t="shared" si="1034"/>
        <v/>
      </c>
      <c r="AJ2254" s="214" t="str">
        <f t="shared" si="1035"/>
        <v/>
      </c>
      <c r="AK2254" s="214" t="str">
        <f t="shared" si="1036"/>
        <v/>
      </c>
      <c r="AL2254" s="214" t="str">
        <f t="shared" si="1037"/>
        <v/>
      </c>
      <c r="AM2254" s="214" t="str">
        <f t="shared" si="1038"/>
        <v/>
      </c>
      <c r="AN2254" s="213" t="str">
        <f t="shared" si="1021"/>
        <v>2012</v>
      </c>
      <c r="AO2254" s="213" t="str">
        <f t="shared" si="1022"/>
        <v>2012</v>
      </c>
      <c r="AP2254" s="213" t="str">
        <f t="shared" si="1023"/>
        <v>2012</v>
      </c>
      <c r="AQ2254" s="215" t="str">
        <f t="shared" si="1024"/>
        <v/>
      </c>
      <c r="AR2254" s="216" t="str">
        <f t="shared" si="1025"/>
        <v>BiK81X1K12y-08</v>
      </c>
      <c r="AS2254" s="215" t="str">
        <f t="shared" si="1026"/>
        <v/>
      </c>
      <c r="AT2254">
        <f t="shared" si="1027"/>
        <v>14</v>
      </c>
      <c r="AU2254" s="216" t="str">
        <f t="shared" si="1028"/>
        <v>0-0,15 MW, Bonusregeln X1, y und K erstmals 2012</v>
      </c>
      <c r="AV2254" s="215" t="str">
        <f t="shared" si="1029"/>
        <v/>
      </c>
      <c r="AW2254" s="216" t="str">
        <f t="shared" si="1030"/>
        <v>Anteil KWK, erstmals 2012</v>
      </c>
      <c r="AX2254" s="215" t="str">
        <f t="shared" si="1031"/>
        <v/>
      </c>
      <c r="AY2254" t="str">
        <f t="shared" si="1032"/>
        <v/>
      </c>
      <c r="AZ2254" t="str">
        <f t="shared" si="1033"/>
        <v>x</v>
      </c>
    </row>
    <row r="2255" spans="1:52" x14ac:dyDescent="0.25">
      <c r="A2255" s="618" t="s">
        <v>3675</v>
      </c>
      <c r="B2255" s="31" t="s">
        <v>5548</v>
      </c>
      <c r="C2255" s="31" t="s">
        <v>5540</v>
      </c>
      <c r="D2255" s="31" t="s">
        <v>6907</v>
      </c>
      <c r="E2255" s="31" t="s">
        <v>4810</v>
      </c>
      <c r="F2255" s="460">
        <f t="shared" si="1040"/>
        <v>13.67</v>
      </c>
      <c r="G2255" s="536">
        <v>13.67</v>
      </c>
      <c r="H2255" s="494">
        <f t="shared" si="1041"/>
        <v>10.94</v>
      </c>
      <c r="I2255" s="713"/>
      <c r="J2255" s="669" t="s">
        <v>5805</v>
      </c>
      <c r="K2255" s="15"/>
      <c r="M2255" s="49">
        <f t="shared" si="1042"/>
        <v>13.67</v>
      </c>
      <c r="N2255" s="41">
        <v>11.67</v>
      </c>
      <c r="O2255" s="54"/>
      <c r="P2255" s="15"/>
      <c r="S2255" t="s">
        <v>4180</v>
      </c>
      <c r="T2255" t="s">
        <v>4180</v>
      </c>
      <c r="U2255" s="55"/>
      <c r="W2255" s="65"/>
      <c r="X2255" s="65"/>
      <c r="AA2255" s="65"/>
      <c r="AD2255" s="91"/>
      <c r="AE2255" s="124" t="s">
        <v>1017</v>
      </c>
      <c r="AF2255" s="65"/>
      <c r="AG2255" s="91"/>
      <c r="AH2255" s="212" t="str">
        <f t="shared" ref="AH2255:AH2260" si="1045">IF(ISERROR(SEARCH("K erstmals 201",D2255)),"",RIGHT(D2255,4))</f>
        <v/>
      </c>
      <c r="AI2255" s="214" t="str">
        <f t="shared" si="1034"/>
        <v/>
      </c>
      <c r="AJ2255" s="214" t="str">
        <f t="shared" si="1035"/>
        <v/>
      </c>
      <c r="AK2255" s="214" t="str">
        <f t="shared" si="1036"/>
        <v/>
      </c>
      <c r="AL2255" s="214" t="str">
        <f t="shared" si="1037"/>
        <v/>
      </c>
      <c r="AM2255" s="214" t="str">
        <f t="shared" si="1038"/>
        <v/>
      </c>
      <c r="AN2255" s="213" t="str">
        <f t="shared" si="1021"/>
        <v/>
      </c>
      <c r="AO2255" s="213" t="str">
        <f t="shared" si="1022"/>
        <v/>
      </c>
      <c r="AP2255" s="213" t="str">
        <f t="shared" si="1023"/>
        <v/>
      </c>
      <c r="AQ2255" s="215" t="str">
        <f t="shared" si="1024"/>
        <v/>
      </c>
      <c r="AR2255" s="216" t="str">
        <f t="shared" si="1025"/>
        <v>BiK81b------08</v>
      </c>
      <c r="AS2255" s="215" t="str">
        <f t="shared" si="1026"/>
        <v/>
      </c>
      <c r="AT2255">
        <f t="shared" si="1027"/>
        <v>14</v>
      </c>
      <c r="AU2255" s="216" t="str">
        <f t="shared" si="1028"/>
        <v>0-0,15 MW, Bonusregel b</v>
      </c>
      <c r="AV2255" s="215" t="str">
        <f t="shared" si="1029"/>
        <v/>
      </c>
      <c r="AW2255" s="216" t="str">
        <f t="shared" si="1030"/>
        <v>Anteil Nicht-KWK</v>
      </c>
      <c r="AX2255" s="215" t="str">
        <f t="shared" si="1031"/>
        <v/>
      </c>
      <c r="AY2255" t="str">
        <f t="shared" si="1032"/>
        <v/>
      </c>
      <c r="AZ2255" t="str">
        <f t="shared" si="1033"/>
        <v/>
      </c>
    </row>
    <row r="2256" spans="1:52" x14ac:dyDescent="0.25">
      <c r="A2256" s="618" t="s">
        <v>3676</v>
      </c>
      <c r="B2256" s="31" t="s">
        <v>5548</v>
      </c>
      <c r="C2256" s="31" t="s">
        <v>5540</v>
      </c>
      <c r="D2256" s="33" t="s">
        <v>6908</v>
      </c>
      <c r="E2256" s="31" t="s">
        <v>4812</v>
      </c>
      <c r="F2256" s="460">
        <f t="shared" si="1040"/>
        <v>15.67</v>
      </c>
      <c r="G2256" s="536">
        <v>15.67</v>
      </c>
      <c r="H2256" s="494">
        <f t="shared" si="1041"/>
        <v>12.54</v>
      </c>
      <c r="I2256" s="713"/>
      <c r="J2256" s="669" t="s">
        <v>5805</v>
      </c>
      <c r="K2256" s="15"/>
      <c r="M2256" s="49">
        <f t="shared" si="1042"/>
        <v>15.67</v>
      </c>
      <c r="N2256" s="41">
        <v>11.67</v>
      </c>
      <c r="O2256" s="54" t="s">
        <v>1017</v>
      </c>
      <c r="P2256" s="15"/>
      <c r="S2256" t="s">
        <v>4180</v>
      </c>
      <c r="T2256" t="s">
        <v>4180</v>
      </c>
      <c r="U2256" s="55"/>
      <c r="W2256" s="65"/>
      <c r="X2256" s="65"/>
      <c r="AA2256" s="65"/>
      <c r="AD2256" s="91"/>
      <c r="AE2256" s="124" t="s">
        <v>1017</v>
      </c>
      <c r="AF2256" s="65"/>
      <c r="AG2256" s="91"/>
      <c r="AH2256" s="212" t="str">
        <f t="shared" si="1045"/>
        <v/>
      </c>
      <c r="AI2256" s="214" t="str">
        <f t="shared" si="1034"/>
        <v/>
      </c>
      <c r="AJ2256" s="214" t="str">
        <f t="shared" si="1035"/>
        <v/>
      </c>
      <c r="AK2256" s="214" t="str">
        <f t="shared" si="1036"/>
        <v/>
      </c>
      <c r="AL2256" s="214" t="str">
        <f t="shared" si="1037"/>
        <v/>
      </c>
      <c r="AM2256" s="214" t="str">
        <f t="shared" si="1038"/>
        <v/>
      </c>
      <c r="AN2256" s="213" t="str">
        <f t="shared" si="1021"/>
        <v/>
      </c>
      <c r="AO2256" s="213" t="str">
        <f t="shared" si="1022"/>
        <v/>
      </c>
      <c r="AP2256" s="213" t="str">
        <f t="shared" si="1023"/>
        <v/>
      </c>
      <c r="AQ2256" s="215" t="str">
        <f t="shared" si="1024"/>
        <v/>
      </c>
      <c r="AR2256" s="216" t="str">
        <f t="shared" si="1025"/>
        <v>BiK81bKWK---08</v>
      </c>
      <c r="AS2256" s="215" t="str">
        <f t="shared" si="1026"/>
        <v/>
      </c>
      <c r="AT2256">
        <f t="shared" si="1027"/>
        <v>14</v>
      </c>
      <c r="AU2256" s="216" t="str">
        <f t="shared" si="1028"/>
        <v>0-0,15 MW, Bonusregeln b und KWK</v>
      </c>
      <c r="AV2256" s="215" t="str">
        <f t="shared" si="1029"/>
        <v/>
      </c>
      <c r="AW2256" s="216" t="str">
        <f t="shared" si="1030"/>
        <v>Anteil KWK</v>
      </c>
      <c r="AX2256" s="215" t="str">
        <f t="shared" si="1031"/>
        <v/>
      </c>
      <c r="AY2256" t="str">
        <f t="shared" si="1032"/>
        <v/>
      </c>
      <c r="AZ2256" t="str">
        <f t="shared" si="1033"/>
        <v/>
      </c>
    </row>
    <row r="2257" spans="1:52" s="178" customFormat="1" x14ac:dyDescent="0.25">
      <c r="A2257" s="610" t="s">
        <v>2337</v>
      </c>
      <c r="B2257" s="17" t="s">
        <v>5548</v>
      </c>
      <c r="C2257" s="30" t="s">
        <v>5540</v>
      </c>
      <c r="D2257" s="30" t="s">
        <v>6909</v>
      </c>
      <c r="E2257" s="30" t="s">
        <v>4331</v>
      </c>
      <c r="F2257" s="454">
        <f t="shared" si="1040"/>
        <v>16.670000000000002</v>
      </c>
      <c r="G2257" s="529">
        <v>16.670000000000002</v>
      </c>
      <c r="H2257" s="487">
        <f t="shared" si="1041"/>
        <v>13.34</v>
      </c>
      <c r="I2257" s="706"/>
      <c r="J2257" s="669" t="s">
        <v>5805</v>
      </c>
      <c r="K2257" s="15"/>
      <c r="L2257"/>
      <c r="M2257" s="49">
        <f t="shared" si="1042"/>
        <v>16.670000000000002</v>
      </c>
      <c r="N2257" s="41">
        <v>11.67</v>
      </c>
      <c r="O2257" s="54"/>
      <c r="P2257" t="s">
        <v>1017</v>
      </c>
      <c r="Q2257"/>
      <c r="R2257"/>
      <c r="S2257" t="s">
        <v>4180</v>
      </c>
      <c r="T2257" s="178" t="s">
        <v>4180</v>
      </c>
      <c r="U2257" s="55"/>
      <c r="V2257"/>
      <c r="W2257" s="65"/>
      <c r="X2257" s="65"/>
      <c r="Y2257"/>
      <c r="Z2257"/>
      <c r="AA2257" s="65"/>
      <c r="AB2257"/>
      <c r="AC2257"/>
      <c r="AD2257" s="91"/>
      <c r="AE2257" s="124" t="s">
        <v>1017</v>
      </c>
      <c r="AF2257" s="65"/>
      <c r="AG2257" s="91"/>
      <c r="AH2257" s="212" t="str">
        <f t="shared" si="1045"/>
        <v/>
      </c>
      <c r="AI2257" s="214" t="str">
        <f t="shared" si="1034"/>
        <v/>
      </c>
      <c r="AJ2257" s="214" t="str">
        <f t="shared" si="1035"/>
        <v/>
      </c>
      <c r="AK2257" s="214" t="str">
        <f t="shared" si="1036"/>
        <v/>
      </c>
      <c r="AL2257" s="214" t="str">
        <f t="shared" si="1037"/>
        <v/>
      </c>
      <c r="AM2257" s="214" t="str">
        <f t="shared" si="1038"/>
        <v/>
      </c>
      <c r="AN2257" s="213" t="str">
        <f t="shared" si="1021"/>
        <v/>
      </c>
      <c r="AO2257" s="213" t="str">
        <f t="shared" si="1022"/>
        <v/>
      </c>
      <c r="AP2257" s="213" t="str">
        <f t="shared" si="1023"/>
        <v/>
      </c>
      <c r="AQ2257" s="215" t="str">
        <f t="shared" si="1024"/>
        <v/>
      </c>
      <c r="AR2257" s="216" t="str">
        <f t="shared" si="1025"/>
        <v>BiK81bKA3---08</v>
      </c>
      <c r="AS2257" s="215" t="str">
        <f t="shared" si="1026"/>
        <v/>
      </c>
      <c r="AT2257">
        <f t="shared" si="1027"/>
        <v>14</v>
      </c>
      <c r="AU2257" s="216" t="str">
        <f t="shared" si="1028"/>
        <v>0-0,15 MW, Bonusregeln b und K wenn Anlage 3 erfüllt</v>
      </c>
      <c r="AV2257" s="215" t="str">
        <f t="shared" si="1029"/>
        <v/>
      </c>
      <c r="AW2257" s="216" t="str">
        <f t="shared" si="1030"/>
        <v>Anteil KWK gemäß Anlage 3</v>
      </c>
      <c r="AX2257" s="215" t="str">
        <f t="shared" si="1031"/>
        <v/>
      </c>
      <c r="AY2257" t="str">
        <f t="shared" si="1032"/>
        <v/>
      </c>
      <c r="AZ2257" t="str">
        <f t="shared" si="1033"/>
        <v/>
      </c>
    </row>
    <row r="2258" spans="1:52" s="178" customFormat="1" x14ac:dyDescent="0.25">
      <c r="A2258" s="610" t="s">
        <v>904</v>
      </c>
      <c r="B2258" s="17" t="s">
        <v>5548</v>
      </c>
      <c r="C2258" s="17" t="s">
        <v>5540</v>
      </c>
      <c r="D2258" s="30" t="s">
        <v>6910</v>
      </c>
      <c r="E2258" s="17" t="s">
        <v>674</v>
      </c>
      <c r="F2258" s="454">
        <f t="shared" si="1040"/>
        <v>16.670000000000002</v>
      </c>
      <c r="G2258" s="529">
        <v>16.670000000000002</v>
      </c>
      <c r="H2258" s="487">
        <f t="shared" si="1041"/>
        <v>13.34</v>
      </c>
      <c r="I2258" s="706"/>
      <c r="J2258" s="669" t="s">
        <v>5805</v>
      </c>
      <c r="K2258" s="15"/>
      <c r="L2258"/>
      <c r="M2258" s="49">
        <f t="shared" si="1042"/>
        <v>16.670000000000002</v>
      </c>
      <c r="N2258" s="41">
        <v>11.67</v>
      </c>
      <c r="O2258" s="54"/>
      <c r="P2258" s="15"/>
      <c r="Q2258" t="s">
        <v>1017</v>
      </c>
      <c r="R2258"/>
      <c r="S2258" t="s">
        <v>4180</v>
      </c>
      <c r="T2258" s="178" t="s">
        <v>4180</v>
      </c>
      <c r="U2258" s="55"/>
      <c r="V2258"/>
      <c r="W2258" s="65"/>
      <c r="X2258" s="65"/>
      <c r="Y2258"/>
      <c r="Z2258"/>
      <c r="AA2258" s="65"/>
      <c r="AB2258"/>
      <c r="AC2258"/>
      <c r="AD2258" s="91"/>
      <c r="AE2258" s="124" t="s">
        <v>1017</v>
      </c>
      <c r="AF2258" s="65"/>
      <c r="AG2258" s="91"/>
      <c r="AH2258" s="212" t="str">
        <f t="shared" si="1045"/>
        <v/>
      </c>
      <c r="AI2258" s="214" t="str">
        <f t="shared" si="1034"/>
        <v/>
      </c>
      <c r="AJ2258" s="214" t="str">
        <f t="shared" si="1035"/>
        <v/>
      </c>
      <c r="AK2258" s="214" t="str">
        <f t="shared" si="1036"/>
        <v/>
      </c>
      <c r="AL2258" s="214" t="str">
        <f t="shared" si="1037"/>
        <v/>
      </c>
      <c r="AM2258" s="214" t="str">
        <f t="shared" si="1038"/>
        <v/>
      </c>
      <c r="AN2258" s="213" t="str">
        <f t="shared" si="1021"/>
        <v/>
      </c>
      <c r="AO2258" s="213" t="str">
        <f t="shared" si="1022"/>
        <v/>
      </c>
      <c r="AP2258" s="213" t="str">
        <f t="shared" si="1023"/>
        <v/>
      </c>
      <c r="AQ2258" s="215" t="str">
        <f t="shared" si="1024"/>
        <v/>
      </c>
      <c r="AR2258" s="216" t="str">
        <f t="shared" si="1025"/>
        <v>BiK81bK09---08</v>
      </c>
      <c r="AS2258" s="215" t="str">
        <f t="shared" si="1026"/>
        <v/>
      </c>
      <c r="AT2258">
        <f t="shared" si="1027"/>
        <v>14</v>
      </c>
      <c r="AU2258" s="216" t="str">
        <f t="shared" si="1028"/>
        <v>0-0,15 MW, Bonusregeln b und K erstmals 2009</v>
      </c>
      <c r="AV2258" s="215" t="str">
        <f t="shared" si="1029"/>
        <v/>
      </c>
      <c r="AW2258" s="216" t="str">
        <f t="shared" si="1030"/>
        <v>Anteil KWK, erstmals 2009</v>
      </c>
      <c r="AX2258" s="215" t="str">
        <f t="shared" si="1031"/>
        <v/>
      </c>
      <c r="AY2258" t="str">
        <f t="shared" si="1032"/>
        <v/>
      </c>
      <c r="AZ2258" t="str">
        <f t="shared" si="1033"/>
        <v/>
      </c>
    </row>
    <row r="2259" spans="1:52" s="178" customFormat="1" x14ac:dyDescent="0.25">
      <c r="A2259" s="610" t="s">
        <v>3180</v>
      </c>
      <c r="B2259" s="17" t="s">
        <v>5548</v>
      </c>
      <c r="C2259" s="17" t="s">
        <v>5540</v>
      </c>
      <c r="D2259" s="30" t="s">
        <v>6911</v>
      </c>
      <c r="E2259" s="30" t="s">
        <v>3567</v>
      </c>
      <c r="F2259" s="454">
        <f t="shared" si="1040"/>
        <v>16.64</v>
      </c>
      <c r="G2259" s="529">
        <v>16.64</v>
      </c>
      <c r="H2259" s="487">
        <f t="shared" si="1041"/>
        <v>13.31</v>
      </c>
      <c r="I2259" s="706"/>
      <c r="J2259" s="669" t="s">
        <v>5805</v>
      </c>
      <c r="K2259" s="15"/>
      <c r="L2259"/>
      <c r="M2259" s="49">
        <f t="shared" si="1042"/>
        <v>16.64</v>
      </c>
      <c r="N2259" s="41">
        <v>11.67</v>
      </c>
      <c r="O2259" s="54"/>
      <c r="P2259" s="15"/>
      <c r="Q2259"/>
      <c r="R2259" t="s">
        <v>1017</v>
      </c>
      <c r="S2259" t="s">
        <v>4180</v>
      </c>
      <c r="T2259" s="178" t="s">
        <v>4180</v>
      </c>
      <c r="U2259" s="55"/>
      <c r="V2259"/>
      <c r="W2259" s="65"/>
      <c r="X2259" s="65"/>
      <c r="Y2259"/>
      <c r="Z2259"/>
      <c r="AA2259" s="65"/>
      <c r="AB2259"/>
      <c r="AC2259"/>
      <c r="AD2259" s="91"/>
      <c r="AE2259" s="124" t="s">
        <v>1017</v>
      </c>
      <c r="AF2259" s="65"/>
      <c r="AG2259" s="91"/>
      <c r="AH2259" s="212" t="str">
        <f t="shared" si="1045"/>
        <v>2010</v>
      </c>
      <c r="AI2259" s="214" t="str">
        <f t="shared" si="1034"/>
        <v/>
      </c>
      <c r="AJ2259" s="214" t="str">
        <f t="shared" si="1035"/>
        <v/>
      </c>
      <c r="AK2259" s="214" t="str">
        <f t="shared" si="1036"/>
        <v/>
      </c>
      <c r="AL2259" s="214" t="str">
        <f t="shared" si="1037"/>
        <v/>
      </c>
      <c r="AM2259" s="214" t="str">
        <f t="shared" si="1038"/>
        <v/>
      </c>
      <c r="AN2259" s="213" t="str">
        <f t="shared" si="1021"/>
        <v>2010</v>
      </c>
      <c r="AO2259" s="213" t="str">
        <f t="shared" si="1022"/>
        <v>2010</v>
      </c>
      <c r="AP2259" s="213" t="str">
        <f t="shared" si="1023"/>
        <v>2010</v>
      </c>
      <c r="AQ2259" s="215" t="str">
        <f t="shared" si="1024"/>
        <v/>
      </c>
      <c r="AR2259" s="216" t="str">
        <f t="shared" si="1025"/>
        <v>BiK81bK10---08</v>
      </c>
      <c r="AS2259" s="215" t="str">
        <f t="shared" si="1026"/>
        <v/>
      </c>
      <c r="AT2259">
        <f t="shared" si="1027"/>
        <v>14</v>
      </c>
      <c r="AU2259" s="216" t="str">
        <f t="shared" si="1028"/>
        <v>0-0,15 MW, Bonusregeln b und K erstmals 2010</v>
      </c>
      <c r="AV2259" s="215" t="str">
        <f t="shared" si="1029"/>
        <v/>
      </c>
      <c r="AW2259" s="216" t="str">
        <f t="shared" si="1030"/>
        <v>Anteil KWK, erstmals 2010</v>
      </c>
      <c r="AX2259" s="215" t="str">
        <f t="shared" si="1031"/>
        <v/>
      </c>
      <c r="AY2259" t="str">
        <f t="shared" si="1032"/>
        <v/>
      </c>
      <c r="AZ2259" t="str">
        <f t="shared" si="1033"/>
        <v/>
      </c>
    </row>
    <row r="2260" spans="1:52" s="178" customFormat="1" x14ac:dyDescent="0.25">
      <c r="A2260" s="610" t="s">
        <v>3446</v>
      </c>
      <c r="B2260" s="17" t="s">
        <v>5548</v>
      </c>
      <c r="C2260" s="17" t="s">
        <v>5540</v>
      </c>
      <c r="D2260" s="30" t="s">
        <v>6912</v>
      </c>
      <c r="E2260" s="30" t="s">
        <v>3055</v>
      </c>
      <c r="F2260" s="454">
        <f t="shared" si="1040"/>
        <v>16.61</v>
      </c>
      <c r="G2260" s="529">
        <v>16.61</v>
      </c>
      <c r="H2260" s="487">
        <f t="shared" si="1041"/>
        <v>13.29</v>
      </c>
      <c r="I2260" s="706"/>
      <c r="J2260" s="669" t="s">
        <v>5805</v>
      </c>
      <c r="K2260" s="15"/>
      <c r="L2260"/>
      <c r="M2260" s="49">
        <f t="shared" si="1042"/>
        <v>16.61</v>
      </c>
      <c r="N2260" s="41">
        <v>11.67</v>
      </c>
      <c r="O2260" s="54"/>
      <c r="P2260" s="15"/>
      <c r="Q2260"/>
      <c r="R2260"/>
      <c r="S2260" t="s">
        <v>1017</v>
      </c>
      <c r="T2260" s="178" t="s">
        <v>4180</v>
      </c>
      <c r="U2260" s="55"/>
      <c r="V2260"/>
      <c r="W2260" s="65"/>
      <c r="X2260" s="65"/>
      <c r="Y2260"/>
      <c r="Z2260"/>
      <c r="AA2260" s="65"/>
      <c r="AB2260"/>
      <c r="AC2260"/>
      <c r="AD2260" s="91"/>
      <c r="AE2260" s="124" t="s">
        <v>1017</v>
      </c>
      <c r="AF2260" s="65"/>
      <c r="AG2260" s="91"/>
      <c r="AH2260" s="212" t="str">
        <f t="shared" si="1045"/>
        <v>2011</v>
      </c>
      <c r="AI2260" s="214" t="str">
        <f t="shared" si="1034"/>
        <v/>
      </c>
      <c r="AJ2260" s="214" t="str">
        <f t="shared" si="1035"/>
        <v/>
      </c>
      <c r="AK2260" s="214" t="str">
        <f t="shared" si="1036"/>
        <v/>
      </c>
      <c r="AL2260" s="214" t="str">
        <f t="shared" si="1037"/>
        <v/>
      </c>
      <c r="AM2260" s="214" t="str">
        <f t="shared" si="1038"/>
        <v/>
      </c>
      <c r="AN2260" s="213" t="str">
        <f t="shared" si="1021"/>
        <v>2011</v>
      </c>
      <c r="AO2260" s="213" t="str">
        <f t="shared" si="1022"/>
        <v>2011</v>
      </c>
      <c r="AP2260" s="213" t="str">
        <f t="shared" si="1023"/>
        <v>2011</v>
      </c>
      <c r="AQ2260" s="215" t="str">
        <f t="shared" si="1024"/>
        <v/>
      </c>
      <c r="AR2260" s="216" t="str">
        <f t="shared" si="1025"/>
        <v>BiK81bK11---08</v>
      </c>
      <c r="AS2260" s="215" t="str">
        <f t="shared" si="1026"/>
        <v/>
      </c>
      <c r="AT2260">
        <f t="shared" si="1027"/>
        <v>14</v>
      </c>
      <c r="AU2260" s="216" t="str">
        <f t="shared" si="1028"/>
        <v>0-0,15 MW, Bonusregeln b und K erstmals 2011</v>
      </c>
      <c r="AV2260" s="215" t="str">
        <f t="shared" si="1029"/>
        <v/>
      </c>
      <c r="AW2260" s="216" t="str">
        <f t="shared" si="1030"/>
        <v>Anteil KWK, erstmals 2011</v>
      </c>
      <c r="AX2260" s="215" t="str">
        <f t="shared" si="1031"/>
        <v/>
      </c>
      <c r="AY2260" t="str">
        <f t="shared" si="1032"/>
        <v>x</v>
      </c>
      <c r="AZ2260" t="str">
        <f t="shared" si="1033"/>
        <v/>
      </c>
    </row>
    <row r="2261" spans="1:52" s="178" customFormat="1" x14ac:dyDescent="0.25">
      <c r="A2261" s="625" t="s">
        <v>1878</v>
      </c>
      <c r="B2261" s="221" t="s">
        <v>5548</v>
      </c>
      <c r="C2261" s="221" t="s">
        <v>5540</v>
      </c>
      <c r="D2261" s="219" t="s">
        <v>6913</v>
      </c>
      <c r="E2261" s="219" t="s">
        <v>1980</v>
      </c>
      <c r="F2261" s="455">
        <f t="shared" si="1040"/>
        <v>16.579999999999998</v>
      </c>
      <c r="G2261" s="530">
        <v>16.579999999999998</v>
      </c>
      <c r="H2261" s="488">
        <f t="shared" si="1041"/>
        <v>13.26</v>
      </c>
      <c r="I2261" s="707"/>
      <c r="J2261" s="669" t="s">
        <v>5805</v>
      </c>
      <c r="K2261" s="15"/>
      <c r="L2261"/>
      <c r="M2261" s="49">
        <f t="shared" si="1042"/>
        <v>16.579999999999998</v>
      </c>
      <c r="N2261" s="41">
        <v>11.67</v>
      </c>
      <c r="O2261" s="54"/>
      <c r="P2261" s="15"/>
      <c r="Q2261"/>
      <c r="R2261"/>
      <c r="S2261" t="s">
        <v>4180</v>
      </c>
      <c r="T2261" s="178" t="s">
        <v>1017</v>
      </c>
      <c r="U2261" s="55"/>
      <c r="V2261"/>
      <c r="W2261" s="65"/>
      <c r="X2261" s="65"/>
      <c r="Y2261"/>
      <c r="Z2261"/>
      <c r="AA2261" s="65"/>
      <c r="AB2261"/>
      <c r="AC2261"/>
      <c r="AD2261" s="91"/>
      <c r="AE2261" s="124" t="s">
        <v>1017</v>
      </c>
      <c r="AF2261" s="65"/>
      <c r="AG2261" s="91"/>
      <c r="AH2261" s="217" t="s">
        <v>4179</v>
      </c>
      <c r="AI2261" s="214" t="str">
        <f t="shared" si="1034"/>
        <v/>
      </c>
      <c r="AJ2261" s="214" t="str">
        <f t="shared" si="1035"/>
        <v/>
      </c>
      <c r="AK2261" s="214" t="str">
        <f t="shared" si="1036"/>
        <v/>
      </c>
      <c r="AL2261" s="214" t="str">
        <f t="shared" si="1037"/>
        <v/>
      </c>
      <c r="AM2261" s="214" t="str">
        <f t="shared" si="1038"/>
        <v/>
      </c>
      <c r="AN2261" s="213" t="str">
        <f t="shared" si="1021"/>
        <v>2012</v>
      </c>
      <c r="AO2261" s="213" t="str">
        <f t="shared" si="1022"/>
        <v>2012</v>
      </c>
      <c r="AP2261" s="213" t="str">
        <f t="shared" si="1023"/>
        <v>2012</v>
      </c>
      <c r="AQ2261" s="215" t="str">
        <f t="shared" si="1024"/>
        <v/>
      </c>
      <c r="AR2261" s="216" t="str">
        <f t="shared" si="1025"/>
        <v>BiK81bK12---08</v>
      </c>
      <c r="AS2261" s="215" t="str">
        <f t="shared" si="1026"/>
        <v/>
      </c>
      <c r="AT2261">
        <f t="shared" si="1027"/>
        <v>14</v>
      </c>
      <c r="AU2261" s="216" t="str">
        <f t="shared" si="1028"/>
        <v>0-0,15 MW, Bonusregeln b und K erstmals 2012</v>
      </c>
      <c r="AV2261" s="215" t="str">
        <f t="shared" si="1029"/>
        <v/>
      </c>
      <c r="AW2261" s="216" t="str">
        <f t="shared" si="1030"/>
        <v>Anteil KWK, erstmals 2012</v>
      </c>
      <c r="AX2261" s="215" t="str">
        <f t="shared" si="1031"/>
        <v/>
      </c>
      <c r="AY2261" t="str">
        <f t="shared" si="1032"/>
        <v/>
      </c>
      <c r="AZ2261" t="str">
        <f t="shared" si="1033"/>
        <v>x</v>
      </c>
    </row>
    <row r="2262" spans="1:52" s="178" customFormat="1" x14ac:dyDescent="0.25">
      <c r="A2262" s="610" t="s">
        <v>3623</v>
      </c>
      <c r="B2262" s="17" t="s">
        <v>5548</v>
      </c>
      <c r="C2262" s="17" t="s">
        <v>5540</v>
      </c>
      <c r="D2262" s="30" t="s">
        <v>6914</v>
      </c>
      <c r="E2262" s="17" t="s">
        <v>4810</v>
      </c>
      <c r="F2262" s="454">
        <f t="shared" si="1040"/>
        <v>14.67</v>
      </c>
      <c r="G2262" s="529">
        <v>14.67</v>
      </c>
      <c r="H2262" s="487">
        <f t="shared" si="1041"/>
        <v>11.74</v>
      </c>
      <c r="I2262" s="706"/>
      <c r="J2262" s="669" t="s">
        <v>5805</v>
      </c>
      <c r="K2262" s="15"/>
      <c r="L2262"/>
      <c r="M2262" s="49">
        <f t="shared" si="1042"/>
        <v>14.67</v>
      </c>
      <c r="N2262" s="41">
        <v>11.67</v>
      </c>
      <c r="O2262" s="54"/>
      <c r="P2262" s="15"/>
      <c r="Q2262"/>
      <c r="R2262"/>
      <c r="S2262" t="s">
        <v>4180</v>
      </c>
      <c r="T2262" s="178" t="s">
        <v>4180</v>
      </c>
      <c r="U2262" s="55" t="s">
        <v>1017</v>
      </c>
      <c r="V2262"/>
      <c r="W2262" s="65"/>
      <c r="X2262" s="65"/>
      <c r="Y2262"/>
      <c r="Z2262"/>
      <c r="AA2262" s="65"/>
      <c r="AB2262"/>
      <c r="AC2262"/>
      <c r="AD2262" s="91"/>
      <c r="AE2262" s="124" t="s">
        <v>1017</v>
      </c>
      <c r="AF2262" s="65"/>
      <c r="AG2262" s="91"/>
      <c r="AH2262" s="212" t="str">
        <f t="shared" ref="AH2262:AH2267" si="1046">IF(ISERROR(SEARCH("K erstmals 201",D2262)),"",RIGHT(D2262,4))</f>
        <v/>
      </c>
      <c r="AI2262" s="214" t="str">
        <f t="shared" si="1034"/>
        <v/>
      </c>
      <c r="AJ2262" s="214" t="str">
        <f t="shared" si="1035"/>
        <v/>
      </c>
      <c r="AK2262" s="214" t="str">
        <f t="shared" si="1036"/>
        <v/>
      </c>
      <c r="AL2262" s="214" t="str">
        <f t="shared" si="1037"/>
        <v/>
      </c>
      <c r="AM2262" s="214" t="str">
        <f t="shared" si="1038"/>
        <v/>
      </c>
      <c r="AN2262" s="213" t="str">
        <f t="shared" si="1021"/>
        <v/>
      </c>
      <c r="AO2262" s="213" t="str">
        <f t="shared" si="1022"/>
        <v/>
      </c>
      <c r="AP2262" s="213" t="str">
        <f t="shared" si="1023"/>
        <v/>
      </c>
      <c r="AQ2262" s="215" t="str">
        <f t="shared" si="1024"/>
        <v/>
      </c>
      <c r="AR2262" s="216" t="str">
        <f t="shared" si="1025"/>
        <v>BiK81by-----08</v>
      </c>
      <c r="AS2262" s="215" t="str">
        <f t="shared" si="1026"/>
        <v/>
      </c>
      <c r="AT2262">
        <f t="shared" si="1027"/>
        <v>14</v>
      </c>
      <c r="AU2262" s="216" t="str">
        <f t="shared" si="1028"/>
        <v>0-0,15 MW, Bonusregeln b, y</v>
      </c>
      <c r="AV2262" s="215" t="str">
        <f t="shared" si="1029"/>
        <v/>
      </c>
      <c r="AW2262" s="216" t="str">
        <f t="shared" si="1030"/>
        <v>Anteil Nicht-KWK</v>
      </c>
      <c r="AX2262" s="215" t="str">
        <f t="shared" si="1031"/>
        <v/>
      </c>
      <c r="AY2262" t="str">
        <f t="shared" si="1032"/>
        <v/>
      </c>
      <c r="AZ2262" t="str">
        <f t="shared" si="1033"/>
        <v/>
      </c>
    </row>
    <row r="2263" spans="1:52" s="178" customFormat="1" x14ac:dyDescent="0.25">
      <c r="A2263" s="610" t="s">
        <v>3624</v>
      </c>
      <c r="B2263" s="17" t="s">
        <v>5548</v>
      </c>
      <c r="C2263" s="17" t="s">
        <v>5540</v>
      </c>
      <c r="D2263" s="30" t="s">
        <v>6915</v>
      </c>
      <c r="E2263" s="17" t="s">
        <v>4812</v>
      </c>
      <c r="F2263" s="454">
        <f t="shared" si="1040"/>
        <v>16.670000000000002</v>
      </c>
      <c r="G2263" s="529">
        <v>16.670000000000002</v>
      </c>
      <c r="H2263" s="487">
        <f t="shared" si="1041"/>
        <v>13.34</v>
      </c>
      <c r="I2263" s="706"/>
      <c r="J2263" s="669" t="s">
        <v>5805</v>
      </c>
      <c r="K2263" s="15"/>
      <c r="L2263"/>
      <c r="M2263" s="49">
        <f t="shared" si="1042"/>
        <v>16.670000000000002</v>
      </c>
      <c r="N2263" s="41">
        <v>11.67</v>
      </c>
      <c r="O2263" s="54" t="s">
        <v>1017</v>
      </c>
      <c r="P2263" s="15"/>
      <c r="Q2263"/>
      <c r="R2263"/>
      <c r="S2263" t="s">
        <v>4180</v>
      </c>
      <c r="T2263" s="178" t="s">
        <v>4180</v>
      </c>
      <c r="U2263" s="55" t="s">
        <v>1017</v>
      </c>
      <c r="V2263"/>
      <c r="W2263" s="65"/>
      <c r="X2263" s="65"/>
      <c r="Y2263"/>
      <c r="Z2263"/>
      <c r="AA2263" s="65"/>
      <c r="AB2263"/>
      <c r="AC2263"/>
      <c r="AD2263" s="91"/>
      <c r="AE2263" s="124" t="s">
        <v>1017</v>
      </c>
      <c r="AF2263" s="65"/>
      <c r="AG2263" s="91"/>
      <c r="AH2263" s="212" t="str">
        <f t="shared" si="1046"/>
        <v/>
      </c>
      <c r="AI2263" s="214" t="str">
        <f t="shared" si="1034"/>
        <v/>
      </c>
      <c r="AJ2263" s="214" t="str">
        <f t="shared" si="1035"/>
        <v/>
      </c>
      <c r="AK2263" s="214" t="str">
        <f t="shared" si="1036"/>
        <v/>
      </c>
      <c r="AL2263" s="214" t="str">
        <f t="shared" si="1037"/>
        <v/>
      </c>
      <c r="AM2263" s="214" t="str">
        <f t="shared" si="1038"/>
        <v/>
      </c>
      <c r="AN2263" s="213" t="str">
        <f t="shared" si="1021"/>
        <v/>
      </c>
      <c r="AO2263" s="213" t="str">
        <f t="shared" si="1022"/>
        <v/>
      </c>
      <c r="AP2263" s="213" t="str">
        <f t="shared" si="1023"/>
        <v/>
      </c>
      <c r="AQ2263" s="215" t="str">
        <f t="shared" si="1024"/>
        <v/>
      </c>
      <c r="AR2263" s="216" t="str">
        <f t="shared" si="1025"/>
        <v>BiK81bKWKy--08</v>
      </c>
      <c r="AS2263" s="215" t="str">
        <f t="shared" si="1026"/>
        <v/>
      </c>
      <c r="AT2263">
        <f t="shared" si="1027"/>
        <v>14</v>
      </c>
      <c r="AU2263" s="216" t="str">
        <f t="shared" si="1028"/>
        <v>0-0,15 MW, Bonusregeln b, y und KWK</v>
      </c>
      <c r="AV2263" s="215" t="str">
        <f t="shared" si="1029"/>
        <v/>
      </c>
      <c r="AW2263" s="216" t="str">
        <f t="shared" si="1030"/>
        <v>Anteil KWK</v>
      </c>
      <c r="AX2263" s="215" t="str">
        <f t="shared" si="1031"/>
        <v/>
      </c>
      <c r="AY2263" t="str">
        <f t="shared" si="1032"/>
        <v/>
      </c>
      <c r="AZ2263" t="str">
        <f t="shared" si="1033"/>
        <v/>
      </c>
    </row>
    <row r="2264" spans="1:52" s="178" customFormat="1" x14ac:dyDescent="0.25">
      <c r="A2264" s="610" t="s">
        <v>3625</v>
      </c>
      <c r="B2264" s="17" t="s">
        <v>5548</v>
      </c>
      <c r="C2264" s="30" t="s">
        <v>5540</v>
      </c>
      <c r="D2264" s="30" t="s">
        <v>6916</v>
      </c>
      <c r="E2264" s="30" t="s">
        <v>4331</v>
      </c>
      <c r="F2264" s="454">
        <f t="shared" si="1040"/>
        <v>17.670000000000002</v>
      </c>
      <c r="G2264" s="529">
        <v>17.670000000000002</v>
      </c>
      <c r="H2264" s="487">
        <f t="shared" si="1041"/>
        <v>14.14</v>
      </c>
      <c r="I2264" s="706"/>
      <c r="J2264" s="669" t="s">
        <v>5805</v>
      </c>
      <c r="K2264" s="15"/>
      <c r="L2264"/>
      <c r="M2264" s="49">
        <f t="shared" si="1042"/>
        <v>17.670000000000002</v>
      </c>
      <c r="N2264" s="41">
        <v>11.67</v>
      </c>
      <c r="O2264" s="54"/>
      <c r="P2264" t="s">
        <v>1017</v>
      </c>
      <c r="Q2264"/>
      <c r="R2264"/>
      <c r="S2264" t="s">
        <v>4180</v>
      </c>
      <c r="T2264" s="178" t="s">
        <v>4180</v>
      </c>
      <c r="U2264" s="55" t="s">
        <v>1017</v>
      </c>
      <c r="V2264"/>
      <c r="W2264" s="65"/>
      <c r="X2264" s="65"/>
      <c r="Y2264"/>
      <c r="Z2264"/>
      <c r="AA2264" s="65"/>
      <c r="AB2264"/>
      <c r="AC2264"/>
      <c r="AD2264" s="91"/>
      <c r="AE2264" s="124" t="s">
        <v>1017</v>
      </c>
      <c r="AF2264" s="65"/>
      <c r="AG2264" s="91"/>
      <c r="AH2264" s="212" t="str">
        <f t="shared" si="1046"/>
        <v/>
      </c>
      <c r="AI2264" s="214" t="str">
        <f t="shared" si="1034"/>
        <v/>
      </c>
      <c r="AJ2264" s="214" t="str">
        <f t="shared" si="1035"/>
        <v/>
      </c>
      <c r="AK2264" s="214" t="str">
        <f t="shared" si="1036"/>
        <v/>
      </c>
      <c r="AL2264" s="214" t="str">
        <f t="shared" si="1037"/>
        <v/>
      </c>
      <c r="AM2264" s="214" t="str">
        <f t="shared" si="1038"/>
        <v/>
      </c>
      <c r="AN2264" s="213" t="str">
        <f t="shared" si="1021"/>
        <v/>
      </c>
      <c r="AO2264" s="213" t="str">
        <f t="shared" si="1022"/>
        <v/>
      </c>
      <c r="AP2264" s="213" t="str">
        <f t="shared" si="1023"/>
        <v/>
      </c>
      <c r="AQ2264" s="215" t="str">
        <f t="shared" si="1024"/>
        <v/>
      </c>
      <c r="AR2264" s="216" t="str">
        <f t="shared" si="1025"/>
        <v>BiK81bKA3y--08</v>
      </c>
      <c r="AS2264" s="215" t="str">
        <f t="shared" si="1026"/>
        <v/>
      </c>
      <c r="AT2264">
        <f t="shared" si="1027"/>
        <v>14</v>
      </c>
      <c r="AU2264" s="216" t="str">
        <f t="shared" si="1028"/>
        <v>0-0,15 MW, Bonusregeln b, y und K wenn Anlage 3 erfüllt</v>
      </c>
      <c r="AV2264" s="215" t="str">
        <f t="shared" si="1029"/>
        <v/>
      </c>
      <c r="AW2264" s="216" t="str">
        <f t="shared" si="1030"/>
        <v>Anteil KWK gemäß Anlage 3</v>
      </c>
      <c r="AX2264" s="215" t="str">
        <f t="shared" si="1031"/>
        <v/>
      </c>
      <c r="AY2264" t="str">
        <f t="shared" si="1032"/>
        <v/>
      </c>
      <c r="AZ2264" t="str">
        <f t="shared" si="1033"/>
        <v/>
      </c>
    </row>
    <row r="2265" spans="1:52" s="178" customFormat="1" x14ac:dyDescent="0.25">
      <c r="A2265" s="610" t="s">
        <v>3626</v>
      </c>
      <c r="B2265" s="17" t="s">
        <v>5548</v>
      </c>
      <c r="C2265" s="17" t="s">
        <v>5540</v>
      </c>
      <c r="D2265" s="30" t="s">
        <v>6917</v>
      </c>
      <c r="E2265" s="17" t="s">
        <v>674</v>
      </c>
      <c r="F2265" s="454">
        <f t="shared" si="1040"/>
        <v>17.670000000000002</v>
      </c>
      <c r="G2265" s="529">
        <v>17.670000000000002</v>
      </c>
      <c r="H2265" s="487">
        <f t="shared" si="1041"/>
        <v>14.14</v>
      </c>
      <c r="I2265" s="706"/>
      <c r="J2265" s="669" t="s">
        <v>5805</v>
      </c>
      <c r="K2265" s="15"/>
      <c r="L2265"/>
      <c r="M2265" s="49">
        <f t="shared" si="1042"/>
        <v>17.670000000000002</v>
      </c>
      <c r="N2265" s="41">
        <v>11.67</v>
      </c>
      <c r="O2265" s="54"/>
      <c r="P2265" s="15"/>
      <c r="Q2265" t="s">
        <v>1017</v>
      </c>
      <c r="R2265"/>
      <c r="S2265" t="s">
        <v>4180</v>
      </c>
      <c r="T2265" s="178" t="s">
        <v>4180</v>
      </c>
      <c r="U2265" s="55" t="s">
        <v>1017</v>
      </c>
      <c r="V2265"/>
      <c r="W2265" s="65"/>
      <c r="X2265" s="65"/>
      <c r="Y2265"/>
      <c r="Z2265"/>
      <c r="AA2265" s="65"/>
      <c r="AB2265"/>
      <c r="AC2265"/>
      <c r="AD2265" s="91"/>
      <c r="AE2265" s="124" t="s">
        <v>1017</v>
      </c>
      <c r="AF2265" s="65"/>
      <c r="AG2265" s="91"/>
      <c r="AH2265" s="212" t="str">
        <f t="shared" si="1046"/>
        <v/>
      </c>
      <c r="AI2265" s="214" t="str">
        <f t="shared" si="1034"/>
        <v/>
      </c>
      <c r="AJ2265" s="214" t="str">
        <f t="shared" si="1035"/>
        <v/>
      </c>
      <c r="AK2265" s="214" t="str">
        <f t="shared" si="1036"/>
        <v/>
      </c>
      <c r="AL2265" s="214" t="str">
        <f t="shared" si="1037"/>
        <v/>
      </c>
      <c r="AM2265" s="214" t="str">
        <f t="shared" si="1038"/>
        <v/>
      </c>
      <c r="AN2265" s="213" t="str">
        <f t="shared" si="1021"/>
        <v/>
      </c>
      <c r="AO2265" s="213" t="str">
        <f t="shared" si="1022"/>
        <v/>
      </c>
      <c r="AP2265" s="213" t="str">
        <f t="shared" si="1023"/>
        <v/>
      </c>
      <c r="AQ2265" s="215" t="str">
        <f t="shared" si="1024"/>
        <v/>
      </c>
      <c r="AR2265" s="216" t="str">
        <f t="shared" si="1025"/>
        <v>BiK81bK09y--08</v>
      </c>
      <c r="AS2265" s="215" t="str">
        <f t="shared" si="1026"/>
        <v/>
      </c>
      <c r="AT2265">
        <f t="shared" si="1027"/>
        <v>14</v>
      </c>
      <c r="AU2265" s="216" t="str">
        <f t="shared" si="1028"/>
        <v>0-0,15 MW, Bonusregeln b, y und K erstmals 2009</v>
      </c>
      <c r="AV2265" s="215" t="str">
        <f t="shared" si="1029"/>
        <v/>
      </c>
      <c r="AW2265" s="216" t="str">
        <f t="shared" si="1030"/>
        <v>Anteil KWK, erstmals 2009</v>
      </c>
      <c r="AX2265" s="215" t="str">
        <f t="shared" si="1031"/>
        <v/>
      </c>
      <c r="AY2265" t="str">
        <f t="shared" si="1032"/>
        <v/>
      </c>
      <c r="AZ2265" t="str">
        <f t="shared" si="1033"/>
        <v/>
      </c>
    </row>
    <row r="2266" spans="1:52" x14ac:dyDescent="0.25">
      <c r="A2266" s="610" t="s">
        <v>3181</v>
      </c>
      <c r="B2266" s="17" t="s">
        <v>5548</v>
      </c>
      <c r="C2266" s="17" t="s">
        <v>5540</v>
      </c>
      <c r="D2266" s="30" t="s">
        <v>6918</v>
      </c>
      <c r="E2266" s="30" t="s">
        <v>3567</v>
      </c>
      <c r="F2266" s="454">
        <f t="shared" si="1040"/>
        <v>17.64</v>
      </c>
      <c r="G2266" s="529">
        <v>17.64</v>
      </c>
      <c r="H2266" s="487">
        <f t="shared" si="1041"/>
        <v>14.11</v>
      </c>
      <c r="I2266" s="706"/>
      <c r="J2266" s="669" t="s">
        <v>5805</v>
      </c>
      <c r="K2266" s="15"/>
      <c r="M2266" s="49">
        <f t="shared" si="1042"/>
        <v>17.64</v>
      </c>
      <c r="N2266" s="41">
        <v>11.67</v>
      </c>
      <c r="O2266" s="54"/>
      <c r="P2266" s="15"/>
      <c r="R2266" t="s">
        <v>1017</v>
      </c>
      <c r="S2266" t="s">
        <v>4180</v>
      </c>
      <c r="T2266" t="s">
        <v>4180</v>
      </c>
      <c r="U2266" s="55" t="s">
        <v>1017</v>
      </c>
      <c r="W2266" s="65"/>
      <c r="X2266" s="65"/>
      <c r="AA2266" s="65"/>
      <c r="AD2266" s="91"/>
      <c r="AE2266" s="124" t="s">
        <v>1017</v>
      </c>
      <c r="AF2266" s="65"/>
      <c r="AG2266" s="91"/>
      <c r="AH2266" s="212" t="str">
        <f t="shared" si="1046"/>
        <v>2010</v>
      </c>
      <c r="AI2266" s="214" t="str">
        <f t="shared" si="1034"/>
        <v/>
      </c>
      <c r="AJ2266" s="214" t="str">
        <f t="shared" si="1035"/>
        <v/>
      </c>
      <c r="AK2266" s="214" t="str">
        <f t="shared" si="1036"/>
        <v/>
      </c>
      <c r="AL2266" s="214" t="str">
        <f t="shared" si="1037"/>
        <v/>
      </c>
      <c r="AM2266" s="214" t="str">
        <f t="shared" si="1038"/>
        <v/>
      </c>
      <c r="AN2266" s="213" t="str">
        <f t="shared" si="1021"/>
        <v>2010</v>
      </c>
      <c r="AO2266" s="213" t="str">
        <f t="shared" si="1022"/>
        <v>2010</v>
      </c>
      <c r="AP2266" s="213" t="str">
        <f t="shared" si="1023"/>
        <v>2010</v>
      </c>
      <c r="AQ2266" s="215" t="str">
        <f t="shared" si="1024"/>
        <v/>
      </c>
      <c r="AR2266" s="216" t="str">
        <f t="shared" si="1025"/>
        <v>BiK81bK10y--08</v>
      </c>
      <c r="AS2266" s="215" t="str">
        <f t="shared" si="1026"/>
        <v/>
      </c>
      <c r="AT2266">
        <f t="shared" si="1027"/>
        <v>14</v>
      </c>
      <c r="AU2266" s="216" t="str">
        <f t="shared" si="1028"/>
        <v>0-0,15 MW, Bonusregeln b, y und K erstmals 2010</v>
      </c>
      <c r="AV2266" s="215" t="str">
        <f t="shared" si="1029"/>
        <v/>
      </c>
      <c r="AW2266" s="216" t="str">
        <f t="shared" si="1030"/>
        <v>Anteil KWK, erstmals 2010</v>
      </c>
      <c r="AX2266" s="215" t="str">
        <f t="shared" si="1031"/>
        <v/>
      </c>
      <c r="AY2266" t="str">
        <f t="shared" si="1032"/>
        <v/>
      </c>
      <c r="AZ2266" t="str">
        <f t="shared" si="1033"/>
        <v/>
      </c>
    </row>
    <row r="2267" spans="1:52" x14ac:dyDescent="0.25">
      <c r="A2267" s="610" t="s">
        <v>3447</v>
      </c>
      <c r="B2267" s="17" t="s">
        <v>5548</v>
      </c>
      <c r="C2267" s="17" t="s">
        <v>5540</v>
      </c>
      <c r="D2267" s="30" t="s">
        <v>6919</v>
      </c>
      <c r="E2267" s="30" t="s">
        <v>3055</v>
      </c>
      <c r="F2267" s="454">
        <f t="shared" si="1040"/>
        <v>17.61</v>
      </c>
      <c r="G2267" s="529">
        <v>17.61</v>
      </c>
      <c r="H2267" s="487">
        <f t="shared" si="1041"/>
        <v>14.09</v>
      </c>
      <c r="I2267" s="706"/>
      <c r="J2267" s="669" t="s">
        <v>5805</v>
      </c>
      <c r="K2267" s="15"/>
      <c r="M2267" s="49">
        <f t="shared" si="1042"/>
        <v>17.61</v>
      </c>
      <c r="N2267" s="41">
        <v>11.67</v>
      </c>
      <c r="O2267" s="54"/>
      <c r="P2267" s="15"/>
      <c r="S2267" t="s">
        <v>1017</v>
      </c>
      <c r="T2267" t="s">
        <v>4180</v>
      </c>
      <c r="U2267" s="55" t="s">
        <v>1017</v>
      </c>
      <c r="W2267" s="65"/>
      <c r="X2267" s="65"/>
      <c r="AA2267" s="65"/>
      <c r="AD2267" s="91"/>
      <c r="AE2267" s="124" t="s">
        <v>1017</v>
      </c>
      <c r="AF2267" s="65"/>
      <c r="AG2267" s="91"/>
      <c r="AH2267" s="212" t="str">
        <f t="shared" si="1046"/>
        <v>2011</v>
      </c>
      <c r="AI2267" s="214" t="str">
        <f t="shared" si="1034"/>
        <v/>
      </c>
      <c r="AJ2267" s="214" t="str">
        <f t="shared" si="1035"/>
        <v/>
      </c>
      <c r="AK2267" s="214" t="str">
        <f t="shared" si="1036"/>
        <v/>
      </c>
      <c r="AL2267" s="214" t="str">
        <f t="shared" si="1037"/>
        <v/>
      </c>
      <c r="AM2267" s="214" t="str">
        <f t="shared" si="1038"/>
        <v/>
      </c>
      <c r="AN2267" s="213" t="str">
        <f t="shared" si="1021"/>
        <v>2011</v>
      </c>
      <c r="AO2267" s="213" t="str">
        <f t="shared" si="1022"/>
        <v>2011</v>
      </c>
      <c r="AP2267" s="213" t="str">
        <f t="shared" si="1023"/>
        <v>2011</v>
      </c>
      <c r="AQ2267" s="215" t="str">
        <f t="shared" si="1024"/>
        <v/>
      </c>
      <c r="AR2267" s="216" t="str">
        <f t="shared" si="1025"/>
        <v>BiK81bK11y--08</v>
      </c>
      <c r="AS2267" s="215" t="str">
        <f t="shared" si="1026"/>
        <v/>
      </c>
      <c r="AT2267">
        <f t="shared" si="1027"/>
        <v>14</v>
      </c>
      <c r="AU2267" s="216" t="str">
        <f t="shared" si="1028"/>
        <v>0-0,15 MW, Bonusregeln b, y und K erstmals 2011</v>
      </c>
      <c r="AV2267" s="215" t="str">
        <f t="shared" si="1029"/>
        <v/>
      </c>
      <c r="AW2267" s="216" t="str">
        <f t="shared" si="1030"/>
        <v>Anteil KWK, erstmals 2011</v>
      </c>
      <c r="AX2267" s="215" t="str">
        <f t="shared" si="1031"/>
        <v/>
      </c>
      <c r="AY2267" t="str">
        <f t="shared" si="1032"/>
        <v>x</v>
      </c>
      <c r="AZ2267" t="str">
        <f t="shared" si="1033"/>
        <v/>
      </c>
    </row>
    <row r="2268" spans="1:52" x14ac:dyDescent="0.25">
      <c r="A2268" s="625" t="s">
        <v>1879</v>
      </c>
      <c r="B2268" s="221" t="s">
        <v>5548</v>
      </c>
      <c r="C2268" s="221" t="s">
        <v>5540</v>
      </c>
      <c r="D2268" s="219" t="s">
        <v>6920</v>
      </c>
      <c r="E2268" s="219" t="s">
        <v>1980</v>
      </c>
      <c r="F2268" s="455">
        <f t="shared" si="1040"/>
        <v>17.579999999999998</v>
      </c>
      <c r="G2268" s="530">
        <v>17.579999999999998</v>
      </c>
      <c r="H2268" s="488">
        <f t="shared" si="1041"/>
        <v>14.06</v>
      </c>
      <c r="I2268" s="707"/>
      <c r="J2268" s="669" t="s">
        <v>5805</v>
      </c>
      <c r="K2268" s="15"/>
      <c r="M2268" s="49">
        <f t="shared" si="1042"/>
        <v>17.579999999999998</v>
      </c>
      <c r="N2268" s="41">
        <v>11.67</v>
      </c>
      <c r="O2268" s="54"/>
      <c r="P2268" s="15"/>
      <c r="S2268" t="s">
        <v>4180</v>
      </c>
      <c r="T2268" t="s">
        <v>1017</v>
      </c>
      <c r="U2268" s="55" t="s">
        <v>1017</v>
      </c>
      <c r="W2268" s="65"/>
      <c r="X2268" s="65"/>
      <c r="AA2268" s="65"/>
      <c r="AD2268" s="91"/>
      <c r="AE2268" s="124" t="s">
        <v>1017</v>
      </c>
      <c r="AF2268" s="65"/>
      <c r="AG2268" s="91"/>
      <c r="AH2268" s="217" t="s">
        <v>4179</v>
      </c>
      <c r="AI2268" s="214" t="str">
        <f t="shared" si="1034"/>
        <v/>
      </c>
      <c r="AJ2268" s="214" t="str">
        <f t="shared" si="1035"/>
        <v/>
      </c>
      <c r="AK2268" s="214" t="str">
        <f t="shared" si="1036"/>
        <v/>
      </c>
      <c r="AL2268" s="214" t="str">
        <f t="shared" si="1037"/>
        <v/>
      </c>
      <c r="AM2268" s="214" t="str">
        <f t="shared" si="1038"/>
        <v/>
      </c>
      <c r="AN2268" s="213" t="str">
        <f t="shared" si="1021"/>
        <v>2012</v>
      </c>
      <c r="AO2268" s="213" t="str">
        <f t="shared" si="1022"/>
        <v>2012</v>
      </c>
      <c r="AP2268" s="213" t="str">
        <f t="shared" si="1023"/>
        <v>2012</v>
      </c>
      <c r="AQ2268" s="215" t="str">
        <f t="shared" si="1024"/>
        <v/>
      </c>
      <c r="AR2268" s="216" t="str">
        <f t="shared" si="1025"/>
        <v>BiK81bK12y--08</v>
      </c>
      <c r="AS2268" s="215" t="str">
        <f t="shared" si="1026"/>
        <v/>
      </c>
      <c r="AT2268">
        <f t="shared" si="1027"/>
        <v>14</v>
      </c>
      <c r="AU2268" s="216" t="str">
        <f t="shared" si="1028"/>
        <v>0-0,15 MW, Bonusregeln b, y und K erstmals 2012</v>
      </c>
      <c r="AV2268" s="215" t="str">
        <f t="shared" si="1029"/>
        <v/>
      </c>
      <c r="AW2268" s="216" t="str">
        <f t="shared" si="1030"/>
        <v>Anteil KWK, erstmals 2012</v>
      </c>
      <c r="AX2268" s="215" t="str">
        <f t="shared" si="1031"/>
        <v/>
      </c>
      <c r="AY2268" t="str">
        <f t="shared" si="1032"/>
        <v/>
      </c>
      <c r="AZ2268" t="str">
        <f t="shared" si="1033"/>
        <v>x</v>
      </c>
    </row>
    <row r="2269" spans="1:52" x14ac:dyDescent="0.25">
      <c r="A2269" s="618" t="s">
        <v>3677</v>
      </c>
      <c r="B2269" s="31" t="s">
        <v>5548</v>
      </c>
      <c r="C2269" s="31" t="s">
        <v>5540</v>
      </c>
      <c r="D2269" s="33" t="s">
        <v>7033</v>
      </c>
      <c r="E2269" s="31" t="s">
        <v>4810</v>
      </c>
      <c r="F2269" s="460">
        <f t="shared" si="1040"/>
        <v>19.670000000000002</v>
      </c>
      <c r="G2269" s="536">
        <v>19.670000000000002</v>
      </c>
      <c r="H2269" s="494">
        <f t="shared" si="1041"/>
        <v>15.74</v>
      </c>
      <c r="I2269" s="713"/>
      <c r="J2269" s="669" t="s">
        <v>5805</v>
      </c>
      <c r="K2269" s="15"/>
      <c r="M2269" s="49">
        <f t="shared" si="1042"/>
        <v>19.670000000000002</v>
      </c>
      <c r="N2269" s="41">
        <v>11.67</v>
      </c>
      <c r="O2269" s="54"/>
      <c r="P2269" s="15"/>
      <c r="S2269" t="s">
        <v>4180</v>
      </c>
      <c r="T2269" t="s">
        <v>4180</v>
      </c>
      <c r="U2269" s="55"/>
      <c r="V2269" t="s">
        <v>1017</v>
      </c>
      <c r="W2269" s="65"/>
      <c r="X2269" s="65"/>
      <c r="AA2269" s="65"/>
      <c r="AD2269" s="91"/>
      <c r="AE2269" s="124" t="s">
        <v>1017</v>
      </c>
      <c r="AF2269" s="65"/>
      <c r="AG2269" s="91"/>
      <c r="AH2269" s="212" t="str">
        <f t="shared" ref="AH2269:AH2274" si="1047">IF(ISERROR(SEARCH("K erstmals 201",D2269)),"",RIGHT(D2269,4))</f>
        <v/>
      </c>
      <c r="AI2269" s="214" t="str">
        <f t="shared" si="1034"/>
        <v/>
      </c>
      <c r="AJ2269" s="214" t="str">
        <f t="shared" si="1035"/>
        <v/>
      </c>
      <c r="AK2269" s="214" t="str">
        <f t="shared" si="1036"/>
        <v/>
      </c>
      <c r="AL2269" s="214" t="str">
        <f t="shared" si="1037"/>
        <v/>
      </c>
      <c r="AM2269" s="214" t="str">
        <f t="shared" si="1038"/>
        <v/>
      </c>
      <c r="AN2269" s="213" t="str">
        <f t="shared" si="1021"/>
        <v/>
      </c>
      <c r="AO2269" s="213" t="str">
        <f t="shared" si="1022"/>
        <v/>
      </c>
      <c r="AP2269" s="213" t="str">
        <f t="shared" si="1023"/>
        <v/>
      </c>
      <c r="AQ2269" s="215" t="str">
        <f t="shared" si="1024"/>
        <v/>
      </c>
      <c r="AR2269" s="216" t="str">
        <f t="shared" si="1025"/>
        <v>BiK81a1b----08</v>
      </c>
      <c r="AS2269" s="215" t="str">
        <f t="shared" si="1026"/>
        <v/>
      </c>
      <c r="AT2269">
        <f t="shared" si="1027"/>
        <v>14</v>
      </c>
      <c r="AU2269" s="216" t="str">
        <f t="shared" si="1028"/>
        <v>0-0,15 MW, Bonusregeln a1, b</v>
      </c>
      <c r="AV2269" s="215" t="str">
        <f t="shared" si="1029"/>
        <v/>
      </c>
      <c r="AW2269" s="216" t="str">
        <f t="shared" si="1030"/>
        <v>Anteil Nicht-KWK</v>
      </c>
      <c r="AX2269" s="215" t="str">
        <f t="shared" si="1031"/>
        <v/>
      </c>
      <c r="AY2269" t="str">
        <f t="shared" si="1032"/>
        <v/>
      </c>
      <c r="AZ2269" t="str">
        <f t="shared" si="1033"/>
        <v/>
      </c>
    </row>
    <row r="2270" spans="1:52" x14ac:dyDescent="0.25">
      <c r="A2270" s="618" t="s">
        <v>3678</v>
      </c>
      <c r="B2270" s="31" t="s">
        <v>5548</v>
      </c>
      <c r="C2270" s="31" t="s">
        <v>5540</v>
      </c>
      <c r="D2270" s="31" t="s">
        <v>6922</v>
      </c>
      <c r="E2270" s="31" t="s">
        <v>4812</v>
      </c>
      <c r="F2270" s="460">
        <f t="shared" si="1040"/>
        <v>21.67</v>
      </c>
      <c r="G2270" s="536">
        <v>21.67</v>
      </c>
      <c r="H2270" s="494">
        <f t="shared" si="1041"/>
        <v>17.34</v>
      </c>
      <c r="I2270" s="713"/>
      <c r="J2270" s="669" t="s">
        <v>5805</v>
      </c>
      <c r="K2270" s="15"/>
      <c r="M2270" s="49">
        <f t="shared" si="1042"/>
        <v>21.67</v>
      </c>
      <c r="N2270" s="41">
        <v>11.67</v>
      </c>
      <c r="O2270" s="54" t="s">
        <v>1017</v>
      </c>
      <c r="P2270" s="15"/>
      <c r="S2270" t="s">
        <v>4180</v>
      </c>
      <c r="T2270" t="s">
        <v>4180</v>
      </c>
      <c r="U2270" s="55"/>
      <c r="V2270" t="s">
        <v>1017</v>
      </c>
      <c r="W2270" s="65"/>
      <c r="X2270" s="65"/>
      <c r="AA2270" s="65"/>
      <c r="AD2270" s="91"/>
      <c r="AE2270" s="124" t="s">
        <v>1017</v>
      </c>
      <c r="AF2270" s="65"/>
      <c r="AG2270" s="91"/>
      <c r="AH2270" s="212" t="str">
        <f t="shared" si="1047"/>
        <v/>
      </c>
      <c r="AI2270" s="214" t="str">
        <f t="shared" si="1034"/>
        <v/>
      </c>
      <c r="AJ2270" s="214" t="str">
        <f t="shared" si="1035"/>
        <v/>
      </c>
      <c r="AK2270" s="214" t="str">
        <f t="shared" si="1036"/>
        <v/>
      </c>
      <c r="AL2270" s="214" t="str">
        <f t="shared" si="1037"/>
        <v/>
      </c>
      <c r="AM2270" s="214" t="str">
        <f t="shared" si="1038"/>
        <v/>
      </c>
      <c r="AN2270" s="213" t="str">
        <f t="shared" si="1021"/>
        <v/>
      </c>
      <c r="AO2270" s="213" t="str">
        <f t="shared" si="1022"/>
        <v/>
      </c>
      <c r="AP2270" s="213" t="str">
        <f t="shared" si="1023"/>
        <v/>
      </c>
      <c r="AQ2270" s="215" t="str">
        <f t="shared" si="1024"/>
        <v/>
      </c>
      <c r="AR2270" s="216" t="str">
        <f t="shared" si="1025"/>
        <v>BiK81a1bKWK-08</v>
      </c>
      <c r="AS2270" s="215" t="str">
        <f t="shared" si="1026"/>
        <v/>
      </c>
      <c r="AT2270">
        <f t="shared" si="1027"/>
        <v>14</v>
      </c>
      <c r="AU2270" s="216" t="str">
        <f t="shared" si="1028"/>
        <v>0-0,15 MW, Bonusregeln a1, b und KWK</v>
      </c>
      <c r="AV2270" s="215" t="str">
        <f t="shared" si="1029"/>
        <v/>
      </c>
      <c r="AW2270" s="216" t="str">
        <f t="shared" si="1030"/>
        <v>Anteil KWK</v>
      </c>
      <c r="AX2270" s="215" t="str">
        <f t="shared" si="1031"/>
        <v/>
      </c>
      <c r="AY2270" t="str">
        <f t="shared" si="1032"/>
        <v/>
      </c>
      <c r="AZ2270" t="str">
        <f t="shared" si="1033"/>
        <v/>
      </c>
    </row>
    <row r="2271" spans="1:52" s="178" customFormat="1" x14ac:dyDescent="0.25">
      <c r="A2271" s="610" t="s">
        <v>2338</v>
      </c>
      <c r="B2271" s="17" t="s">
        <v>5548</v>
      </c>
      <c r="C2271" s="30" t="s">
        <v>5540</v>
      </c>
      <c r="D2271" s="30" t="s">
        <v>6923</v>
      </c>
      <c r="E2271" s="30" t="s">
        <v>4331</v>
      </c>
      <c r="F2271" s="454">
        <f t="shared" si="1040"/>
        <v>22.67</v>
      </c>
      <c r="G2271" s="529">
        <v>22.67</v>
      </c>
      <c r="H2271" s="487">
        <f t="shared" si="1041"/>
        <v>18.14</v>
      </c>
      <c r="I2271" s="706"/>
      <c r="J2271" s="669" t="s">
        <v>5805</v>
      </c>
      <c r="K2271" s="15"/>
      <c r="L2271"/>
      <c r="M2271" s="49">
        <f t="shared" si="1042"/>
        <v>22.67</v>
      </c>
      <c r="N2271" s="41">
        <v>11.67</v>
      </c>
      <c r="O2271" s="54"/>
      <c r="P2271" t="s">
        <v>1017</v>
      </c>
      <c r="Q2271"/>
      <c r="R2271"/>
      <c r="S2271" t="s">
        <v>4180</v>
      </c>
      <c r="T2271" s="178" t="s">
        <v>4180</v>
      </c>
      <c r="U2271" s="55"/>
      <c r="V2271" t="s">
        <v>1017</v>
      </c>
      <c r="W2271" s="65"/>
      <c r="X2271" s="65"/>
      <c r="Y2271"/>
      <c r="Z2271"/>
      <c r="AA2271" s="65"/>
      <c r="AB2271"/>
      <c r="AC2271"/>
      <c r="AD2271" s="91"/>
      <c r="AE2271" s="124" t="s">
        <v>1017</v>
      </c>
      <c r="AF2271" s="65"/>
      <c r="AG2271" s="91"/>
      <c r="AH2271" s="212" t="str">
        <f t="shared" si="1047"/>
        <v/>
      </c>
      <c r="AI2271" s="214" t="str">
        <f t="shared" si="1034"/>
        <v/>
      </c>
      <c r="AJ2271" s="214" t="str">
        <f t="shared" si="1035"/>
        <v/>
      </c>
      <c r="AK2271" s="214" t="str">
        <f t="shared" si="1036"/>
        <v/>
      </c>
      <c r="AL2271" s="214" t="str">
        <f t="shared" si="1037"/>
        <v/>
      </c>
      <c r="AM2271" s="214" t="str">
        <f t="shared" si="1038"/>
        <v/>
      </c>
      <c r="AN2271" s="213" t="str">
        <f t="shared" si="1021"/>
        <v/>
      </c>
      <c r="AO2271" s="213" t="str">
        <f t="shared" si="1022"/>
        <v/>
      </c>
      <c r="AP2271" s="213" t="str">
        <f t="shared" si="1023"/>
        <v/>
      </c>
      <c r="AQ2271" s="215" t="str">
        <f t="shared" si="1024"/>
        <v/>
      </c>
      <c r="AR2271" s="216" t="str">
        <f t="shared" si="1025"/>
        <v>BiK81a1bKA3-08</v>
      </c>
      <c r="AS2271" s="215" t="str">
        <f t="shared" si="1026"/>
        <v/>
      </c>
      <c r="AT2271">
        <f t="shared" si="1027"/>
        <v>14</v>
      </c>
      <c r="AU2271" s="216" t="str">
        <f t="shared" si="1028"/>
        <v>0-0,15 MW, Bonusregeln a1, b und K wenn Anlage 3 erfüllt</v>
      </c>
      <c r="AV2271" s="215" t="str">
        <f t="shared" si="1029"/>
        <v/>
      </c>
      <c r="AW2271" s="216" t="str">
        <f t="shared" si="1030"/>
        <v>Anteil KWK gemäß Anlage 3</v>
      </c>
      <c r="AX2271" s="215" t="str">
        <f t="shared" si="1031"/>
        <v/>
      </c>
      <c r="AY2271" t="str">
        <f t="shared" si="1032"/>
        <v/>
      </c>
      <c r="AZ2271" t="str">
        <f t="shared" si="1033"/>
        <v/>
      </c>
    </row>
    <row r="2272" spans="1:52" s="178" customFormat="1" x14ac:dyDescent="0.25">
      <c r="A2272" s="610" t="s">
        <v>905</v>
      </c>
      <c r="B2272" s="17" t="s">
        <v>5548</v>
      </c>
      <c r="C2272" s="17" t="s">
        <v>5540</v>
      </c>
      <c r="D2272" s="30" t="s">
        <v>6924</v>
      </c>
      <c r="E2272" s="30" t="s">
        <v>674</v>
      </c>
      <c r="F2272" s="454">
        <f t="shared" si="1040"/>
        <v>22.67</v>
      </c>
      <c r="G2272" s="529">
        <v>22.67</v>
      </c>
      <c r="H2272" s="487">
        <f t="shared" si="1041"/>
        <v>18.14</v>
      </c>
      <c r="I2272" s="706"/>
      <c r="J2272" s="669" t="s">
        <v>5805</v>
      </c>
      <c r="K2272" s="15"/>
      <c r="L2272"/>
      <c r="M2272" s="49">
        <f t="shared" si="1042"/>
        <v>22.67</v>
      </c>
      <c r="N2272" s="41">
        <v>11.67</v>
      </c>
      <c r="O2272" s="54"/>
      <c r="P2272" s="15"/>
      <c r="Q2272" t="s">
        <v>1017</v>
      </c>
      <c r="R2272"/>
      <c r="S2272" t="s">
        <v>4180</v>
      </c>
      <c r="T2272" s="178" t="s">
        <v>4180</v>
      </c>
      <c r="U2272" s="55"/>
      <c r="V2272" t="s">
        <v>1017</v>
      </c>
      <c r="W2272" s="65"/>
      <c r="X2272" s="65"/>
      <c r="Y2272"/>
      <c r="Z2272"/>
      <c r="AA2272" s="65"/>
      <c r="AB2272"/>
      <c r="AC2272"/>
      <c r="AD2272" s="91"/>
      <c r="AE2272" s="124" t="s">
        <v>1017</v>
      </c>
      <c r="AF2272" s="65"/>
      <c r="AG2272" s="91"/>
      <c r="AH2272" s="212" t="str">
        <f t="shared" si="1047"/>
        <v/>
      </c>
      <c r="AI2272" s="214" t="str">
        <f t="shared" si="1034"/>
        <v/>
      </c>
      <c r="AJ2272" s="214" t="str">
        <f t="shared" si="1035"/>
        <v/>
      </c>
      <c r="AK2272" s="214" t="str">
        <f t="shared" si="1036"/>
        <v/>
      </c>
      <c r="AL2272" s="214" t="str">
        <f t="shared" si="1037"/>
        <v/>
      </c>
      <c r="AM2272" s="214" t="str">
        <f t="shared" si="1038"/>
        <v/>
      </c>
      <c r="AN2272" s="213" t="str">
        <f t="shared" si="1021"/>
        <v/>
      </c>
      <c r="AO2272" s="213" t="str">
        <f t="shared" si="1022"/>
        <v/>
      </c>
      <c r="AP2272" s="213" t="str">
        <f t="shared" si="1023"/>
        <v/>
      </c>
      <c r="AQ2272" s="215" t="str">
        <f t="shared" si="1024"/>
        <v/>
      </c>
      <c r="AR2272" s="216" t="str">
        <f t="shared" si="1025"/>
        <v>BiK81a1bK09-08</v>
      </c>
      <c r="AS2272" s="215" t="str">
        <f t="shared" si="1026"/>
        <v/>
      </c>
      <c r="AT2272">
        <f t="shared" si="1027"/>
        <v>14</v>
      </c>
      <c r="AU2272" s="216" t="str">
        <f t="shared" si="1028"/>
        <v>0-0,15 MW, Bonusregeln a1, b und K erstmals 2009</v>
      </c>
      <c r="AV2272" s="215" t="str">
        <f t="shared" si="1029"/>
        <v/>
      </c>
      <c r="AW2272" s="216" t="str">
        <f t="shared" si="1030"/>
        <v>Anteil KWK, erstmals 2009</v>
      </c>
      <c r="AX2272" s="215" t="str">
        <f t="shared" si="1031"/>
        <v/>
      </c>
      <c r="AY2272" t="str">
        <f t="shared" si="1032"/>
        <v/>
      </c>
      <c r="AZ2272" t="str">
        <f t="shared" si="1033"/>
        <v/>
      </c>
    </row>
    <row r="2273" spans="1:52" s="178" customFormat="1" x14ac:dyDescent="0.25">
      <c r="A2273" s="610" t="s">
        <v>3170</v>
      </c>
      <c r="B2273" s="17" t="s">
        <v>5548</v>
      </c>
      <c r="C2273" s="17" t="s">
        <v>5540</v>
      </c>
      <c r="D2273" s="30" t="s">
        <v>6925</v>
      </c>
      <c r="E2273" s="30" t="s">
        <v>3567</v>
      </c>
      <c r="F2273" s="454">
        <f t="shared" si="1040"/>
        <v>22.64</v>
      </c>
      <c r="G2273" s="529">
        <v>22.64</v>
      </c>
      <c r="H2273" s="487">
        <f t="shared" si="1041"/>
        <v>18.11</v>
      </c>
      <c r="I2273" s="706"/>
      <c r="J2273" s="669" t="s">
        <v>5805</v>
      </c>
      <c r="K2273" s="15"/>
      <c r="L2273"/>
      <c r="M2273" s="49">
        <f t="shared" si="1042"/>
        <v>22.64</v>
      </c>
      <c r="N2273" s="41">
        <v>11.67</v>
      </c>
      <c r="O2273" s="54"/>
      <c r="P2273" s="15"/>
      <c r="Q2273"/>
      <c r="R2273" t="s">
        <v>1017</v>
      </c>
      <c r="S2273" t="s">
        <v>4180</v>
      </c>
      <c r="T2273" s="178" t="s">
        <v>4180</v>
      </c>
      <c r="U2273" s="55"/>
      <c r="V2273" t="s">
        <v>1017</v>
      </c>
      <c r="W2273" s="65"/>
      <c r="X2273" s="65"/>
      <c r="Y2273"/>
      <c r="Z2273"/>
      <c r="AA2273" s="65"/>
      <c r="AB2273"/>
      <c r="AC2273"/>
      <c r="AD2273" s="91"/>
      <c r="AE2273" s="124" t="s">
        <v>1017</v>
      </c>
      <c r="AF2273" s="65"/>
      <c r="AG2273" s="91"/>
      <c r="AH2273" s="212" t="str">
        <f t="shared" si="1047"/>
        <v>2010</v>
      </c>
      <c r="AI2273" s="214" t="str">
        <f t="shared" si="1034"/>
        <v/>
      </c>
      <c r="AJ2273" s="214" t="str">
        <f t="shared" si="1035"/>
        <v/>
      </c>
      <c r="AK2273" s="214" t="str">
        <f t="shared" si="1036"/>
        <v/>
      </c>
      <c r="AL2273" s="214" t="str">
        <f t="shared" si="1037"/>
        <v/>
      </c>
      <c r="AM2273" s="214" t="str">
        <f t="shared" si="1038"/>
        <v/>
      </c>
      <c r="AN2273" s="213" t="str">
        <f t="shared" si="1021"/>
        <v>2010</v>
      </c>
      <c r="AO2273" s="213" t="str">
        <f t="shared" si="1022"/>
        <v>2010</v>
      </c>
      <c r="AP2273" s="213" t="str">
        <f t="shared" si="1023"/>
        <v>2010</v>
      </c>
      <c r="AQ2273" s="215" t="str">
        <f t="shared" si="1024"/>
        <v/>
      </c>
      <c r="AR2273" s="216" t="str">
        <f t="shared" si="1025"/>
        <v>BiK81a1bK10-08</v>
      </c>
      <c r="AS2273" s="215" t="str">
        <f t="shared" si="1026"/>
        <v/>
      </c>
      <c r="AT2273">
        <f t="shared" si="1027"/>
        <v>14</v>
      </c>
      <c r="AU2273" s="216" t="str">
        <f t="shared" si="1028"/>
        <v>0-0,15 MW, Bonusregeln a1, b und K erstmals 2010</v>
      </c>
      <c r="AV2273" s="215" t="str">
        <f t="shared" si="1029"/>
        <v/>
      </c>
      <c r="AW2273" s="216" t="str">
        <f t="shared" si="1030"/>
        <v>Anteil KWK, erstmals 2010</v>
      </c>
      <c r="AX2273" s="215" t="str">
        <f t="shared" si="1031"/>
        <v/>
      </c>
      <c r="AY2273" t="str">
        <f t="shared" si="1032"/>
        <v/>
      </c>
      <c r="AZ2273" t="str">
        <f t="shared" si="1033"/>
        <v/>
      </c>
    </row>
    <row r="2274" spans="1:52" s="178" customFormat="1" x14ac:dyDescent="0.25">
      <c r="A2274" s="610" t="s">
        <v>3448</v>
      </c>
      <c r="B2274" s="17" t="s">
        <v>5548</v>
      </c>
      <c r="C2274" s="17" t="s">
        <v>5540</v>
      </c>
      <c r="D2274" s="30" t="s">
        <v>6926</v>
      </c>
      <c r="E2274" s="30" t="s">
        <v>3055</v>
      </c>
      <c r="F2274" s="454">
        <f t="shared" si="1040"/>
        <v>22.61</v>
      </c>
      <c r="G2274" s="529">
        <v>22.61</v>
      </c>
      <c r="H2274" s="487">
        <f t="shared" si="1041"/>
        <v>18.09</v>
      </c>
      <c r="I2274" s="706"/>
      <c r="J2274" s="669" t="s">
        <v>5805</v>
      </c>
      <c r="K2274" s="15"/>
      <c r="L2274"/>
      <c r="M2274" s="49">
        <f t="shared" si="1042"/>
        <v>22.61</v>
      </c>
      <c r="N2274" s="41">
        <v>11.67</v>
      </c>
      <c r="O2274" s="54"/>
      <c r="P2274" s="15"/>
      <c r="Q2274"/>
      <c r="R2274"/>
      <c r="S2274" t="s">
        <v>1017</v>
      </c>
      <c r="T2274" s="178" t="s">
        <v>4180</v>
      </c>
      <c r="U2274" s="55"/>
      <c r="V2274" t="s">
        <v>1017</v>
      </c>
      <c r="W2274" s="65"/>
      <c r="X2274" s="65"/>
      <c r="Y2274"/>
      <c r="Z2274"/>
      <c r="AA2274" s="65"/>
      <c r="AB2274"/>
      <c r="AC2274"/>
      <c r="AD2274" s="91"/>
      <c r="AE2274" s="124" t="s">
        <v>1017</v>
      </c>
      <c r="AF2274" s="65"/>
      <c r="AG2274" s="91"/>
      <c r="AH2274" s="212" t="str">
        <f t="shared" si="1047"/>
        <v>2011</v>
      </c>
      <c r="AI2274" s="214" t="str">
        <f t="shared" si="1034"/>
        <v/>
      </c>
      <c r="AJ2274" s="214" t="str">
        <f t="shared" si="1035"/>
        <v/>
      </c>
      <c r="AK2274" s="214" t="str">
        <f t="shared" si="1036"/>
        <v/>
      </c>
      <c r="AL2274" s="214" t="str">
        <f t="shared" si="1037"/>
        <v/>
      </c>
      <c r="AM2274" s="214" t="str">
        <f t="shared" si="1038"/>
        <v/>
      </c>
      <c r="AN2274" s="213" t="str">
        <f t="shared" si="1021"/>
        <v>2011</v>
      </c>
      <c r="AO2274" s="213" t="str">
        <f t="shared" si="1022"/>
        <v>2011</v>
      </c>
      <c r="AP2274" s="213" t="str">
        <f t="shared" si="1023"/>
        <v>2011</v>
      </c>
      <c r="AQ2274" s="215" t="str">
        <f t="shared" si="1024"/>
        <v/>
      </c>
      <c r="AR2274" s="216" t="str">
        <f t="shared" si="1025"/>
        <v>BiK81a1bK11-08</v>
      </c>
      <c r="AS2274" s="215" t="str">
        <f t="shared" si="1026"/>
        <v/>
      </c>
      <c r="AT2274">
        <f t="shared" si="1027"/>
        <v>14</v>
      </c>
      <c r="AU2274" s="216" t="str">
        <f t="shared" si="1028"/>
        <v>0-0,15 MW, Bonusregeln a1, b und K erstmals 2011</v>
      </c>
      <c r="AV2274" s="215" t="str">
        <f t="shared" si="1029"/>
        <v/>
      </c>
      <c r="AW2274" s="216" t="str">
        <f t="shared" si="1030"/>
        <v>Anteil KWK, erstmals 2011</v>
      </c>
      <c r="AX2274" s="215" t="str">
        <f t="shared" si="1031"/>
        <v/>
      </c>
      <c r="AY2274" t="str">
        <f t="shared" si="1032"/>
        <v>x</v>
      </c>
      <c r="AZ2274" t="str">
        <f t="shared" si="1033"/>
        <v/>
      </c>
    </row>
    <row r="2275" spans="1:52" s="178" customFormat="1" x14ac:dyDescent="0.25">
      <c r="A2275" s="625" t="s">
        <v>1880</v>
      </c>
      <c r="B2275" s="221" t="s">
        <v>5548</v>
      </c>
      <c r="C2275" s="221" t="s">
        <v>5540</v>
      </c>
      <c r="D2275" s="219" t="s">
        <v>6927</v>
      </c>
      <c r="E2275" s="219" t="s">
        <v>1980</v>
      </c>
      <c r="F2275" s="455">
        <f t="shared" si="1040"/>
        <v>22.58</v>
      </c>
      <c r="G2275" s="530">
        <v>22.58</v>
      </c>
      <c r="H2275" s="488">
        <f t="shared" si="1041"/>
        <v>18.059999999999999</v>
      </c>
      <c r="I2275" s="707"/>
      <c r="J2275" s="669" t="s">
        <v>5805</v>
      </c>
      <c r="K2275" s="15"/>
      <c r="L2275"/>
      <c r="M2275" s="49">
        <f t="shared" si="1042"/>
        <v>22.58</v>
      </c>
      <c r="N2275" s="41">
        <v>11.67</v>
      </c>
      <c r="O2275" s="54"/>
      <c r="P2275" s="15"/>
      <c r="Q2275"/>
      <c r="R2275"/>
      <c r="S2275" t="s">
        <v>4180</v>
      </c>
      <c r="T2275" s="178" t="s">
        <v>1017</v>
      </c>
      <c r="U2275" s="55"/>
      <c r="V2275" t="s">
        <v>1017</v>
      </c>
      <c r="W2275" s="65"/>
      <c r="X2275" s="65"/>
      <c r="Y2275"/>
      <c r="Z2275"/>
      <c r="AA2275" s="65"/>
      <c r="AB2275"/>
      <c r="AC2275"/>
      <c r="AD2275" s="91"/>
      <c r="AE2275" s="124" t="s">
        <v>1017</v>
      </c>
      <c r="AF2275" s="65"/>
      <c r="AG2275" s="91"/>
      <c r="AH2275" s="217" t="s">
        <v>4179</v>
      </c>
      <c r="AI2275" s="214" t="str">
        <f t="shared" si="1034"/>
        <v/>
      </c>
      <c r="AJ2275" s="214" t="str">
        <f t="shared" si="1035"/>
        <v/>
      </c>
      <c r="AK2275" s="214" t="str">
        <f t="shared" si="1036"/>
        <v/>
      </c>
      <c r="AL2275" s="214" t="str">
        <f t="shared" si="1037"/>
        <v/>
      </c>
      <c r="AM2275" s="214" t="str">
        <f t="shared" si="1038"/>
        <v/>
      </c>
      <c r="AN2275" s="213" t="str">
        <f t="shared" si="1021"/>
        <v>2012</v>
      </c>
      <c r="AO2275" s="213" t="str">
        <f t="shared" si="1022"/>
        <v>2012</v>
      </c>
      <c r="AP2275" s="213" t="str">
        <f t="shared" si="1023"/>
        <v>2012</v>
      </c>
      <c r="AQ2275" s="215" t="str">
        <f t="shared" si="1024"/>
        <v/>
      </c>
      <c r="AR2275" s="216" t="str">
        <f t="shared" si="1025"/>
        <v>BiK81a1bK12-08</v>
      </c>
      <c r="AS2275" s="215" t="str">
        <f t="shared" si="1026"/>
        <v/>
      </c>
      <c r="AT2275">
        <f t="shared" si="1027"/>
        <v>14</v>
      </c>
      <c r="AU2275" s="216" t="str">
        <f t="shared" si="1028"/>
        <v>0-0,15 MW, Bonusregeln a1, b und K erstmals 2012</v>
      </c>
      <c r="AV2275" s="215" t="str">
        <f t="shared" si="1029"/>
        <v/>
      </c>
      <c r="AW2275" s="216" t="str">
        <f t="shared" si="1030"/>
        <v>Anteil KWK, erstmals 2012</v>
      </c>
      <c r="AX2275" s="215" t="str">
        <f t="shared" si="1031"/>
        <v/>
      </c>
      <c r="AY2275" t="str">
        <f t="shared" si="1032"/>
        <v/>
      </c>
      <c r="AZ2275" t="str">
        <f t="shared" si="1033"/>
        <v>x</v>
      </c>
    </row>
    <row r="2276" spans="1:52" s="178" customFormat="1" x14ac:dyDescent="0.25">
      <c r="A2276" s="610" t="s">
        <v>3630</v>
      </c>
      <c r="B2276" s="17" t="s">
        <v>5548</v>
      </c>
      <c r="C2276" s="17" t="s">
        <v>5540</v>
      </c>
      <c r="D2276" s="30" t="s">
        <v>6928</v>
      </c>
      <c r="E2276" s="17" t="s">
        <v>4810</v>
      </c>
      <c r="F2276" s="454">
        <f t="shared" si="1040"/>
        <v>20.67</v>
      </c>
      <c r="G2276" s="529">
        <v>20.67</v>
      </c>
      <c r="H2276" s="487">
        <f t="shared" si="1041"/>
        <v>16.54</v>
      </c>
      <c r="I2276" s="706"/>
      <c r="J2276" s="669" t="s">
        <v>5805</v>
      </c>
      <c r="K2276" s="15"/>
      <c r="L2276"/>
      <c r="M2276" s="49">
        <f t="shared" si="1042"/>
        <v>20.67</v>
      </c>
      <c r="N2276" s="41">
        <v>11.67</v>
      </c>
      <c r="O2276" s="54"/>
      <c r="P2276" s="15"/>
      <c r="Q2276"/>
      <c r="R2276"/>
      <c r="S2276" t="s">
        <v>4180</v>
      </c>
      <c r="T2276" s="178" t="s">
        <v>4180</v>
      </c>
      <c r="U2276" s="55" t="s">
        <v>1017</v>
      </c>
      <c r="V2276" t="s">
        <v>1017</v>
      </c>
      <c r="W2276" s="65"/>
      <c r="X2276" s="65"/>
      <c r="Y2276"/>
      <c r="Z2276"/>
      <c r="AA2276" s="65"/>
      <c r="AB2276"/>
      <c r="AC2276"/>
      <c r="AD2276" s="91"/>
      <c r="AE2276" s="124" t="s">
        <v>1017</v>
      </c>
      <c r="AF2276" s="65"/>
      <c r="AG2276" s="91"/>
      <c r="AH2276" s="212" t="str">
        <f t="shared" ref="AH2276:AH2281" si="1048">IF(ISERROR(SEARCH("K erstmals 201",D2276)),"",RIGHT(D2276,4))</f>
        <v/>
      </c>
      <c r="AI2276" s="214" t="str">
        <f t="shared" si="1034"/>
        <v/>
      </c>
      <c r="AJ2276" s="214" t="str">
        <f t="shared" si="1035"/>
        <v/>
      </c>
      <c r="AK2276" s="214" t="str">
        <f t="shared" si="1036"/>
        <v/>
      </c>
      <c r="AL2276" s="214" t="str">
        <f t="shared" si="1037"/>
        <v/>
      </c>
      <c r="AM2276" s="214" t="str">
        <f t="shared" si="1038"/>
        <v/>
      </c>
      <c r="AN2276" s="213" t="str">
        <f t="shared" si="1021"/>
        <v/>
      </c>
      <c r="AO2276" s="213" t="str">
        <f t="shared" si="1022"/>
        <v/>
      </c>
      <c r="AP2276" s="213" t="str">
        <f t="shared" si="1023"/>
        <v/>
      </c>
      <c r="AQ2276" s="215" t="str">
        <f t="shared" si="1024"/>
        <v/>
      </c>
      <c r="AR2276" s="216" t="str">
        <f t="shared" si="1025"/>
        <v>BiK81a1by---08</v>
      </c>
      <c r="AS2276" s="215" t="str">
        <f t="shared" si="1026"/>
        <v/>
      </c>
      <c r="AT2276">
        <f t="shared" si="1027"/>
        <v>14</v>
      </c>
      <c r="AU2276" s="216" t="str">
        <f t="shared" si="1028"/>
        <v>0-0,15 MW, Bonusregeln a1, b, y</v>
      </c>
      <c r="AV2276" s="215" t="str">
        <f t="shared" si="1029"/>
        <v/>
      </c>
      <c r="AW2276" s="216" t="str">
        <f t="shared" si="1030"/>
        <v>Anteil Nicht-KWK</v>
      </c>
      <c r="AX2276" s="215" t="str">
        <f t="shared" si="1031"/>
        <v/>
      </c>
      <c r="AY2276" t="str">
        <f t="shared" si="1032"/>
        <v/>
      </c>
      <c r="AZ2276" t="str">
        <f t="shared" si="1033"/>
        <v/>
      </c>
    </row>
    <row r="2277" spans="1:52" s="178" customFormat="1" x14ac:dyDescent="0.25">
      <c r="A2277" s="610" t="s">
        <v>3627</v>
      </c>
      <c r="B2277" s="17" t="s">
        <v>5548</v>
      </c>
      <c r="C2277" s="17" t="s">
        <v>5540</v>
      </c>
      <c r="D2277" s="17" t="s">
        <v>6929</v>
      </c>
      <c r="E2277" s="17" t="s">
        <v>4812</v>
      </c>
      <c r="F2277" s="454">
        <f t="shared" si="1040"/>
        <v>22.67</v>
      </c>
      <c r="G2277" s="529">
        <v>22.67</v>
      </c>
      <c r="H2277" s="487">
        <f t="shared" si="1041"/>
        <v>18.14</v>
      </c>
      <c r="I2277" s="706"/>
      <c r="J2277" s="669" t="s">
        <v>5805</v>
      </c>
      <c r="K2277" s="15"/>
      <c r="L2277"/>
      <c r="M2277" s="49">
        <f t="shared" si="1042"/>
        <v>22.67</v>
      </c>
      <c r="N2277" s="41">
        <v>11.67</v>
      </c>
      <c r="O2277" s="54" t="s">
        <v>1017</v>
      </c>
      <c r="P2277" s="15"/>
      <c r="Q2277"/>
      <c r="R2277"/>
      <c r="S2277" t="s">
        <v>4180</v>
      </c>
      <c r="T2277" s="178" t="s">
        <v>4180</v>
      </c>
      <c r="U2277" s="55" t="s">
        <v>1017</v>
      </c>
      <c r="V2277" t="s">
        <v>1017</v>
      </c>
      <c r="W2277" s="65"/>
      <c r="X2277" s="65"/>
      <c r="Y2277"/>
      <c r="Z2277"/>
      <c r="AA2277" s="65"/>
      <c r="AB2277"/>
      <c r="AC2277"/>
      <c r="AD2277" s="91"/>
      <c r="AE2277" s="124" t="s">
        <v>1017</v>
      </c>
      <c r="AF2277" s="65"/>
      <c r="AG2277" s="91"/>
      <c r="AH2277" s="212" t="str">
        <f t="shared" si="1048"/>
        <v/>
      </c>
      <c r="AI2277" s="214" t="str">
        <f t="shared" si="1034"/>
        <v/>
      </c>
      <c r="AJ2277" s="214" t="str">
        <f t="shared" si="1035"/>
        <v/>
      </c>
      <c r="AK2277" s="214" t="str">
        <f t="shared" si="1036"/>
        <v/>
      </c>
      <c r="AL2277" s="214" t="str">
        <f t="shared" si="1037"/>
        <v/>
      </c>
      <c r="AM2277" s="214" t="str">
        <f t="shared" si="1038"/>
        <v/>
      </c>
      <c r="AN2277" s="213" t="str">
        <f t="shared" si="1021"/>
        <v/>
      </c>
      <c r="AO2277" s="213" t="str">
        <f t="shared" si="1022"/>
        <v/>
      </c>
      <c r="AP2277" s="213" t="str">
        <f t="shared" si="1023"/>
        <v/>
      </c>
      <c r="AQ2277" s="215" t="str">
        <f t="shared" si="1024"/>
        <v/>
      </c>
      <c r="AR2277" s="216" t="str">
        <f t="shared" si="1025"/>
        <v>BiK81a1bKWKy08</v>
      </c>
      <c r="AS2277" s="215" t="str">
        <f t="shared" si="1026"/>
        <v/>
      </c>
      <c r="AT2277">
        <f t="shared" si="1027"/>
        <v>14</v>
      </c>
      <c r="AU2277" s="216" t="str">
        <f t="shared" si="1028"/>
        <v>0-0,15 MW, Bonusregeln a1, b, y und KWK</v>
      </c>
      <c r="AV2277" s="215" t="str">
        <f t="shared" si="1029"/>
        <v/>
      </c>
      <c r="AW2277" s="216" t="str">
        <f t="shared" si="1030"/>
        <v>Anteil KWK</v>
      </c>
      <c r="AX2277" s="215" t="str">
        <f t="shared" si="1031"/>
        <v/>
      </c>
      <c r="AY2277" t="str">
        <f t="shared" si="1032"/>
        <v/>
      </c>
      <c r="AZ2277" t="str">
        <f t="shared" si="1033"/>
        <v/>
      </c>
    </row>
    <row r="2278" spans="1:52" s="178" customFormat="1" x14ac:dyDescent="0.25">
      <c r="A2278" s="610" t="s">
        <v>3628</v>
      </c>
      <c r="B2278" s="17" t="s">
        <v>5548</v>
      </c>
      <c r="C2278" s="30" t="s">
        <v>5540</v>
      </c>
      <c r="D2278" s="30" t="s">
        <v>6930</v>
      </c>
      <c r="E2278" s="30" t="s">
        <v>4331</v>
      </c>
      <c r="F2278" s="454">
        <f t="shared" si="1040"/>
        <v>23.67</v>
      </c>
      <c r="G2278" s="529">
        <v>23.67</v>
      </c>
      <c r="H2278" s="487">
        <f t="shared" si="1041"/>
        <v>18.940000000000001</v>
      </c>
      <c r="I2278" s="706"/>
      <c r="J2278" s="669" t="s">
        <v>5805</v>
      </c>
      <c r="K2278" s="15"/>
      <c r="L2278"/>
      <c r="M2278" s="49">
        <f t="shared" si="1042"/>
        <v>23.67</v>
      </c>
      <c r="N2278" s="41">
        <v>11.67</v>
      </c>
      <c r="O2278" s="54"/>
      <c r="P2278" t="s">
        <v>1017</v>
      </c>
      <c r="Q2278"/>
      <c r="R2278"/>
      <c r="S2278" t="s">
        <v>4180</v>
      </c>
      <c r="T2278" s="178" t="s">
        <v>4180</v>
      </c>
      <c r="U2278" s="55" t="s">
        <v>1017</v>
      </c>
      <c r="V2278" t="s">
        <v>1017</v>
      </c>
      <c r="W2278" s="65"/>
      <c r="X2278" s="65"/>
      <c r="Y2278"/>
      <c r="Z2278"/>
      <c r="AA2278" s="65"/>
      <c r="AB2278"/>
      <c r="AC2278"/>
      <c r="AD2278" s="91"/>
      <c r="AE2278" s="124" t="s">
        <v>1017</v>
      </c>
      <c r="AF2278" s="65"/>
      <c r="AG2278" s="91"/>
      <c r="AH2278" s="212" t="str">
        <f t="shared" si="1048"/>
        <v/>
      </c>
      <c r="AI2278" s="214" t="str">
        <f t="shared" si="1034"/>
        <v/>
      </c>
      <c r="AJ2278" s="214" t="str">
        <f t="shared" si="1035"/>
        <v/>
      </c>
      <c r="AK2278" s="214" t="str">
        <f t="shared" si="1036"/>
        <v/>
      </c>
      <c r="AL2278" s="214" t="str">
        <f t="shared" si="1037"/>
        <v/>
      </c>
      <c r="AM2278" s="214" t="str">
        <f t="shared" si="1038"/>
        <v/>
      </c>
      <c r="AN2278" s="213" t="str">
        <f t="shared" si="1021"/>
        <v/>
      </c>
      <c r="AO2278" s="213" t="str">
        <f t="shared" si="1022"/>
        <v/>
      </c>
      <c r="AP2278" s="213" t="str">
        <f t="shared" si="1023"/>
        <v/>
      </c>
      <c r="AQ2278" s="215" t="str">
        <f t="shared" si="1024"/>
        <v/>
      </c>
      <c r="AR2278" s="216" t="str">
        <f t="shared" si="1025"/>
        <v>BiK81a1bKA3y08</v>
      </c>
      <c r="AS2278" s="215" t="str">
        <f t="shared" si="1026"/>
        <v/>
      </c>
      <c r="AT2278">
        <f t="shared" si="1027"/>
        <v>14</v>
      </c>
      <c r="AU2278" s="216" t="str">
        <f t="shared" si="1028"/>
        <v>0-0,15 MW, Bonusregeln a1, b, y und K wenn Anlage 3 erfüllt</v>
      </c>
      <c r="AV2278" s="215" t="str">
        <f t="shared" si="1029"/>
        <v/>
      </c>
      <c r="AW2278" s="216" t="str">
        <f t="shared" si="1030"/>
        <v>Anteil KWK gemäß Anlage 3</v>
      </c>
      <c r="AX2278" s="215" t="str">
        <f t="shared" si="1031"/>
        <v/>
      </c>
      <c r="AY2278" t="str">
        <f t="shared" si="1032"/>
        <v/>
      </c>
      <c r="AZ2278" t="str">
        <f t="shared" si="1033"/>
        <v/>
      </c>
    </row>
    <row r="2279" spans="1:52" s="178" customFormat="1" x14ac:dyDescent="0.25">
      <c r="A2279" s="610" t="s">
        <v>3629</v>
      </c>
      <c r="B2279" s="17" t="s">
        <v>5548</v>
      </c>
      <c r="C2279" s="17" t="s">
        <v>5540</v>
      </c>
      <c r="D2279" s="30" t="s">
        <v>6931</v>
      </c>
      <c r="E2279" s="30" t="s">
        <v>674</v>
      </c>
      <c r="F2279" s="454">
        <f t="shared" si="1040"/>
        <v>23.67</v>
      </c>
      <c r="G2279" s="529">
        <v>23.67</v>
      </c>
      <c r="H2279" s="487">
        <f t="shared" si="1041"/>
        <v>18.940000000000001</v>
      </c>
      <c r="I2279" s="706"/>
      <c r="J2279" s="669" t="s">
        <v>5805</v>
      </c>
      <c r="K2279" s="15"/>
      <c r="L2279"/>
      <c r="M2279" s="49">
        <f t="shared" si="1042"/>
        <v>23.67</v>
      </c>
      <c r="N2279" s="41">
        <v>11.67</v>
      </c>
      <c r="O2279" s="54"/>
      <c r="P2279" s="15"/>
      <c r="Q2279" t="s">
        <v>1017</v>
      </c>
      <c r="R2279"/>
      <c r="S2279" t="s">
        <v>4180</v>
      </c>
      <c r="T2279" s="178" t="s">
        <v>4180</v>
      </c>
      <c r="U2279" s="55" t="s">
        <v>1017</v>
      </c>
      <c r="V2279" t="s">
        <v>1017</v>
      </c>
      <c r="W2279" s="65"/>
      <c r="X2279" s="65"/>
      <c r="Y2279"/>
      <c r="Z2279"/>
      <c r="AA2279" s="65"/>
      <c r="AB2279"/>
      <c r="AC2279"/>
      <c r="AD2279" s="91"/>
      <c r="AE2279" s="124" t="s">
        <v>1017</v>
      </c>
      <c r="AF2279" s="65"/>
      <c r="AG2279" s="91"/>
      <c r="AH2279" s="212" t="str">
        <f t="shared" si="1048"/>
        <v/>
      </c>
      <c r="AI2279" s="214" t="str">
        <f t="shared" si="1034"/>
        <v/>
      </c>
      <c r="AJ2279" s="214" t="str">
        <f t="shared" si="1035"/>
        <v/>
      </c>
      <c r="AK2279" s="214" t="str">
        <f t="shared" si="1036"/>
        <v/>
      </c>
      <c r="AL2279" s="214" t="str">
        <f t="shared" si="1037"/>
        <v/>
      </c>
      <c r="AM2279" s="214" t="str">
        <f t="shared" si="1038"/>
        <v/>
      </c>
      <c r="AN2279" s="213" t="str">
        <f t="shared" si="1021"/>
        <v/>
      </c>
      <c r="AO2279" s="213" t="str">
        <f t="shared" si="1022"/>
        <v/>
      </c>
      <c r="AP2279" s="213" t="str">
        <f t="shared" si="1023"/>
        <v/>
      </c>
      <c r="AQ2279" s="215" t="str">
        <f t="shared" si="1024"/>
        <v/>
      </c>
      <c r="AR2279" s="216" t="str">
        <f t="shared" si="1025"/>
        <v>BiK81a1bK09y08</v>
      </c>
      <c r="AS2279" s="215" t="str">
        <f t="shared" si="1026"/>
        <v/>
      </c>
      <c r="AT2279">
        <f t="shared" si="1027"/>
        <v>14</v>
      </c>
      <c r="AU2279" s="216" t="str">
        <f t="shared" si="1028"/>
        <v>0-0,15 MW, Bonusregeln a1, b, y und K erstmals 2009</v>
      </c>
      <c r="AV2279" s="215" t="str">
        <f t="shared" si="1029"/>
        <v/>
      </c>
      <c r="AW2279" s="216" t="str">
        <f t="shared" si="1030"/>
        <v>Anteil KWK, erstmals 2009</v>
      </c>
      <c r="AX2279" s="215" t="str">
        <f t="shared" si="1031"/>
        <v/>
      </c>
      <c r="AY2279" t="str">
        <f t="shared" si="1032"/>
        <v/>
      </c>
      <c r="AZ2279" t="str">
        <f t="shared" si="1033"/>
        <v/>
      </c>
    </row>
    <row r="2280" spans="1:52" x14ac:dyDescent="0.25">
      <c r="A2280" s="610" t="s">
        <v>3171</v>
      </c>
      <c r="B2280" s="17" t="s">
        <v>5548</v>
      </c>
      <c r="C2280" s="17" t="s">
        <v>5540</v>
      </c>
      <c r="D2280" s="30" t="s">
        <v>6932</v>
      </c>
      <c r="E2280" s="30" t="s">
        <v>3567</v>
      </c>
      <c r="F2280" s="454">
        <f t="shared" si="1040"/>
        <v>23.64</v>
      </c>
      <c r="G2280" s="529">
        <v>23.64</v>
      </c>
      <c r="H2280" s="487">
        <f t="shared" si="1041"/>
        <v>18.91</v>
      </c>
      <c r="I2280" s="706"/>
      <c r="J2280" s="669" t="s">
        <v>5805</v>
      </c>
      <c r="K2280" s="15"/>
      <c r="M2280" s="49">
        <f t="shared" si="1042"/>
        <v>23.64</v>
      </c>
      <c r="N2280" s="41">
        <v>11.67</v>
      </c>
      <c r="O2280" s="54"/>
      <c r="P2280" s="15"/>
      <c r="R2280" t="s">
        <v>1017</v>
      </c>
      <c r="S2280" t="s">
        <v>4180</v>
      </c>
      <c r="T2280" t="s">
        <v>4180</v>
      </c>
      <c r="U2280" s="55" t="s">
        <v>1017</v>
      </c>
      <c r="V2280" t="s">
        <v>1017</v>
      </c>
      <c r="W2280" s="65"/>
      <c r="X2280" s="65"/>
      <c r="AA2280" s="65"/>
      <c r="AD2280" s="91"/>
      <c r="AE2280" s="124" t="s">
        <v>1017</v>
      </c>
      <c r="AF2280" s="65"/>
      <c r="AG2280" s="91"/>
      <c r="AH2280" s="212" t="str">
        <f t="shared" si="1048"/>
        <v>2010</v>
      </c>
      <c r="AI2280" s="214" t="str">
        <f t="shared" si="1034"/>
        <v/>
      </c>
      <c r="AJ2280" s="214" t="str">
        <f t="shared" si="1035"/>
        <v/>
      </c>
      <c r="AK2280" s="214" t="str">
        <f t="shared" si="1036"/>
        <v/>
      </c>
      <c r="AL2280" s="214" t="str">
        <f t="shared" si="1037"/>
        <v/>
      </c>
      <c r="AM2280" s="214" t="str">
        <f t="shared" si="1038"/>
        <v/>
      </c>
      <c r="AN2280" s="213" t="str">
        <f t="shared" si="1021"/>
        <v>2010</v>
      </c>
      <c r="AO2280" s="213" t="str">
        <f t="shared" si="1022"/>
        <v>2010</v>
      </c>
      <c r="AP2280" s="213" t="str">
        <f t="shared" si="1023"/>
        <v>2010</v>
      </c>
      <c r="AQ2280" s="215" t="str">
        <f t="shared" si="1024"/>
        <v/>
      </c>
      <c r="AR2280" s="216" t="str">
        <f t="shared" si="1025"/>
        <v>BiK81a1bK10y08</v>
      </c>
      <c r="AS2280" s="215" t="str">
        <f t="shared" si="1026"/>
        <v/>
      </c>
      <c r="AT2280">
        <f t="shared" si="1027"/>
        <v>14</v>
      </c>
      <c r="AU2280" s="216" t="str">
        <f t="shared" si="1028"/>
        <v>0-0,15 MW, Bonusregeln a1, b, y und K erstmals 2010</v>
      </c>
      <c r="AV2280" s="215" t="str">
        <f t="shared" si="1029"/>
        <v/>
      </c>
      <c r="AW2280" s="216" t="str">
        <f t="shared" si="1030"/>
        <v>Anteil KWK, erstmals 2010</v>
      </c>
      <c r="AX2280" s="215" t="str">
        <f t="shared" si="1031"/>
        <v/>
      </c>
      <c r="AY2280" t="str">
        <f t="shared" si="1032"/>
        <v/>
      </c>
      <c r="AZ2280" t="str">
        <f t="shared" si="1033"/>
        <v/>
      </c>
    </row>
    <row r="2281" spans="1:52" x14ac:dyDescent="0.25">
      <c r="A2281" s="610" t="s">
        <v>3449</v>
      </c>
      <c r="B2281" s="17" t="s">
        <v>5548</v>
      </c>
      <c r="C2281" s="17" t="s">
        <v>5540</v>
      </c>
      <c r="D2281" s="30" t="s">
        <v>6933</v>
      </c>
      <c r="E2281" s="30" t="s">
        <v>3055</v>
      </c>
      <c r="F2281" s="454">
        <f t="shared" si="1040"/>
        <v>23.61</v>
      </c>
      <c r="G2281" s="529">
        <v>23.61</v>
      </c>
      <c r="H2281" s="487">
        <f t="shared" si="1041"/>
        <v>18.89</v>
      </c>
      <c r="I2281" s="706"/>
      <c r="J2281" s="669" t="s">
        <v>5805</v>
      </c>
      <c r="K2281" s="15"/>
      <c r="M2281" s="49">
        <f t="shared" si="1042"/>
        <v>23.61</v>
      </c>
      <c r="N2281" s="41">
        <v>11.67</v>
      </c>
      <c r="O2281" s="54"/>
      <c r="P2281" s="15"/>
      <c r="S2281" t="s">
        <v>1017</v>
      </c>
      <c r="T2281" t="s">
        <v>4180</v>
      </c>
      <c r="U2281" s="55" t="s">
        <v>1017</v>
      </c>
      <c r="V2281" t="s">
        <v>1017</v>
      </c>
      <c r="W2281" s="65"/>
      <c r="X2281" s="65"/>
      <c r="AA2281" s="65"/>
      <c r="AD2281" s="91"/>
      <c r="AE2281" s="124" t="s">
        <v>1017</v>
      </c>
      <c r="AF2281" s="65"/>
      <c r="AG2281" s="91"/>
      <c r="AH2281" s="212" t="str">
        <f t="shared" si="1048"/>
        <v>2011</v>
      </c>
      <c r="AI2281" s="214" t="str">
        <f t="shared" si="1034"/>
        <v/>
      </c>
      <c r="AJ2281" s="214" t="str">
        <f t="shared" si="1035"/>
        <v/>
      </c>
      <c r="AK2281" s="214" t="str">
        <f t="shared" si="1036"/>
        <v/>
      </c>
      <c r="AL2281" s="214" t="str">
        <f t="shared" si="1037"/>
        <v/>
      </c>
      <c r="AM2281" s="214" t="str">
        <f t="shared" si="1038"/>
        <v/>
      </c>
      <c r="AN2281" s="213" t="str">
        <f t="shared" si="1021"/>
        <v>2011</v>
      </c>
      <c r="AO2281" s="213" t="str">
        <f t="shared" si="1022"/>
        <v>2011</v>
      </c>
      <c r="AP2281" s="213" t="str">
        <f t="shared" si="1023"/>
        <v>2011</v>
      </c>
      <c r="AQ2281" s="215" t="str">
        <f t="shared" si="1024"/>
        <v/>
      </c>
      <c r="AR2281" s="216" t="str">
        <f t="shared" si="1025"/>
        <v>BiK81a1bK11y08</v>
      </c>
      <c r="AS2281" s="215" t="str">
        <f t="shared" si="1026"/>
        <v/>
      </c>
      <c r="AT2281">
        <f t="shared" si="1027"/>
        <v>14</v>
      </c>
      <c r="AU2281" s="216" t="str">
        <f t="shared" si="1028"/>
        <v>0-0,15 MW, Bonusregeln a1, b, y und K erstmals 2011</v>
      </c>
      <c r="AV2281" s="215" t="str">
        <f t="shared" si="1029"/>
        <v/>
      </c>
      <c r="AW2281" s="216" t="str">
        <f t="shared" si="1030"/>
        <v>Anteil KWK, erstmals 2011</v>
      </c>
      <c r="AX2281" s="215" t="str">
        <f t="shared" si="1031"/>
        <v/>
      </c>
      <c r="AY2281" t="str">
        <f t="shared" si="1032"/>
        <v>x</v>
      </c>
      <c r="AZ2281" t="str">
        <f t="shared" si="1033"/>
        <v/>
      </c>
    </row>
    <row r="2282" spans="1:52" x14ac:dyDescent="0.25">
      <c r="A2282" s="625" t="s">
        <v>1881</v>
      </c>
      <c r="B2282" s="221" t="s">
        <v>5548</v>
      </c>
      <c r="C2282" s="221" t="s">
        <v>5540</v>
      </c>
      <c r="D2282" s="219" t="s">
        <v>6934</v>
      </c>
      <c r="E2282" s="219" t="s">
        <v>1980</v>
      </c>
      <c r="F2282" s="455">
        <f t="shared" si="1040"/>
        <v>23.58</v>
      </c>
      <c r="G2282" s="530">
        <v>23.58</v>
      </c>
      <c r="H2282" s="488">
        <f t="shared" si="1041"/>
        <v>18.86</v>
      </c>
      <c r="I2282" s="707"/>
      <c r="J2282" s="669" t="s">
        <v>5805</v>
      </c>
      <c r="K2282" s="15"/>
      <c r="M2282" s="49">
        <f t="shared" si="1042"/>
        <v>23.58</v>
      </c>
      <c r="N2282" s="41">
        <v>11.67</v>
      </c>
      <c r="O2282" s="54"/>
      <c r="P2282" s="15"/>
      <c r="S2282" t="s">
        <v>4180</v>
      </c>
      <c r="T2282" t="s">
        <v>1017</v>
      </c>
      <c r="U2282" s="55" t="s">
        <v>1017</v>
      </c>
      <c r="V2282" t="s">
        <v>1017</v>
      </c>
      <c r="W2282" s="65"/>
      <c r="X2282" s="65"/>
      <c r="AA2282" s="65"/>
      <c r="AD2282" s="91"/>
      <c r="AE2282" s="124" t="s">
        <v>1017</v>
      </c>
      <c r="AF2282" s="65"/>
      <c r="AG2282" s="91"/>
      <c r="AH2282" s="217" t="s">
        <v>4179</v>
      </c>
      <c r="AI2282" s="214" t="str">
        <f t="shared" si="1034"/>
        <v/>
      </c>
      <c r="AJ2282" s="214" t="str">
        <f t="shared" si="1035"/>
        <v/>
      </c>
      <c r="AK2282" s="214" t="str">
        <f t="shared" si="1036"/>
        <v/>
      </c>
      <c r="AL2282" s="214" t="str">
        <f t="shared" si="1037"/>
        <v/>
      </c>
      <c r="AM2282" s="214" t="str">
        <f t="shared" si="1038"/>
        <v/>
      </c>
      <c r="AN2282" s="213" t="str">
        <f t="shared" si="1021"/>
        <v>2012</v>
      </c>
      <c r="AO2282" s="213" t="str">
        <f t="shared" si="1022"/>
        <v>2012</v>
      </c>
      <c r="AP2282" s="213" t="str">
        <f t="shared" si="1023"/>
        <v>2012</v>
      </c>
      <c r="AQ2282" s="215" t="str">
        <f t="shared" si="1024"/>
        <v/>
      </c>
      <c r="AR2282" s="216" t="str">
        <f t="shared" si="1025"/>
        <v>BiK81a1bK12y08</v>
      </c>
      <c r="AS2282" s="215" t="str">
        <f t="shared" si="1026"/>
        <v/>
      </c>
      <c r="AT2282">
        <f t="shared" si="1027"/>
        <v>14</v>
      </c>
      <c r="AU2282" s="216" t="str">
        <f t="shared" si="1028"/>
        <v>0-0,15 MW, Bonusregeln a1, b, y und K erstmals 2012</v>
      </c>
      <c r="AV2282" s="215" t="str">
        <f t="shared" si="1029"/>
        <v/>
      </c>
      <c r="AW2282" s="216" t="str">
        <f t="shared" si="1030"/>
        <v>Anteil KWK, erstmals 2012</v>
      </c>
      <c r="AX2282" s="215" t="str">
        <f t="shared" si="1031"/>
        <v/>
      </c>
      <c r="AY2282" t="str">
        <f t="shared" si="1032"/>
        <v/>
      </c>
      <c r="AZ2282" t="str">
        <f t="shared" si="1033"/>
        <v>x</v>
      </c>
    </row>
    <row r="2283" spans="1:52" x14ac:dyDescent="0.25">
      <c r="A2283" s="610" t="s">
        <v>1060</v>
      </c>
      <c r="B2283" s="30" t="s">
        <v>5548</v>
      </c>
      <c r="C2283" s="30" t="s">
        <v>5540</v>
      </c>
      <c r="D2283" s="30" t="s">
        <v>6935</v>
      </c>
      <c r="E2283" s="30" t="s">
        <v>4810</v>
      </c>
      <c r="F2283" s="454">
        <f t="shared" si="1040"/>
        <v>20.67</v>
      </c>
      <c r="G2283" s="529">
        <v>20.67</v>
      </c>
      <c r="H2283" s="487">
        <f t="shared" si="1041"/>
        <v>16.54</v>
      </c>
      <c r="I2283" s="706"/>
      <c r="J2283" s="669" t="s">
        <v>5805</v>
      </c>
      <c r="K2283" s="15"/>
      <c r="M2283" s="49">
        <f t="shared" si="1042"/>
        <v>20.67</v>
      </c>
      <c r="N2283" s="41">
        <v>11.67</v>
      </c>
      <c r="O2283" s="186"/>
      <c r="P2283" s="177"/>
      <c r="Q2283" s="178"/>
      <c r="R2283" s="178"/>
      <c r="S2283" s="178" t="s">
        <v>4180</v>
      </c>
      <c r="T2283" t="s">
        <v>4180</v>
      </c>
      <c r="U2283" s="179"/>
      <c r="V2283" s="178"/>
      <c r="W2283" s="180"/>
      <c r="X2283" s="180"/>
      <c r="Y2283" s="178" t="s">
        <v>1017</v>
      </c>
      <c r="Z2283" s="178"/>
      <c r="AA2283" s="180"/>
      <c r="AB2283" s="178"/>
      <c r="AC2283" s="178"/>
      <c r="AD2283" s="201"/>
      <c r="AE2283" s="200" t="s">
        <v>1017</v>
      </c>
      <c r="AF2283" s="180"/>
      <c r="AG2283" s="201"/>
      <c r="AH2283" s="212" t="str">
        <f t="shared" ref="AH2283:AH2288" si="1049">IF(ISERROR(SEARCH("K erstmals 201",D2283)),"",RIGHT(D2283,4))</f>
        <v/>
      </c>
      <c r="AI2283" s="214" t="str">
        <f t="shared" si="1034"/>
        <v/>
      </c>
      <c r="AJ2283" s="214" t="str">
        <f t="shared" si="1035"/>
        <v/>
      </c>
      <c r="AK2283" s="214" t="str">
        <f t="shared" si="1036"/>
        <v/>
      </c>
      <c r="AL2283" s="214" t="str">
        <f t="shared" si="1037"/>
        <v/>
      </c>
      <c r="AM2283" s="214" t="str">
        <f t="shared" si="1038"/>
        <v/>
      </c>
      <c r="AN2283" s="213" t="str">
        <f t="shared" si="1021"/>
        <v/>
      </c>
      <c r="AO2283" s="213" t="str">
        <f t="shared" si="1022"/>
        <v/>
      </c>
      <c r="AP2283" s="213" t="str">
        <f t="shared" si="1023"/>
        <v/>
      </c>
      <c r="AQ2283" s="215" t="str">
        <f t="shared" si="1024"/>
        <v/>
      </c>
      <c r="AR2283" s="216" t="str">
        <f t="shared" si="1025"/>
        <v>BiK81Gb-----08</v>
      </c>
      <c r="AS2283" s="215" t="str">
        <f t="shared" si="1026"/>
        <v/>
      </c>
      <c r="AT2283">
        <f t="shared" si="1027"/>
        <v>14</v>
      </c>
      <c r="AU2283" s="216" t="str">
        <f t="shared" si="1028"/>
        <v>0-0,15 MW, Bonusregeln G, b</v>
      </c>
      <c r="AV2283" s="215" t="str">
        <f t="shared" si="1029"/>
        <v/>
      </c>
      <c r="AW2283" s="216" t="str">
        <f t="shared" si="1030"/>
        <v>Anteil Nicht-KWK</v>
      </c>
      <c r="AX2283" s="215" t="str">
        <f t="shared" si="1031"/>
        <v/>
      </c>
      <c r="AY2283" t="str">
        <f t="shared" si="1032"/>
        <v/>
      </c>
      <c r="AZ2283" t="str">
        <f t="shared" si="1033"/>
        <v/>
      </c>
    </row>
    <row r="2284" spans="1:52" x14ac:dyDescent="0.25">
      <c r="A2284" s="610" t="s">
        <v>1061</v>
      </c>
      <c r="B2284" s="30" t="s">
        <v>5548</v>
      </c>
      <c r="C2284" s="30" t="s">
        <v>5540</v>
      </c>
      <c r="D2284" s="30" t="s">
        <v>6936</v>
      </c>
      <c r="E2284" s="30" t="s">
        <v>4812</v>
      </c>
      <c r="F2284" s="454">
        <f t="shared" si="1040"/>
        <v>22.67</v>
      </c>
      <c r="G2284" s="529">
        <v>22.67</v>
      </c>
      <c r="H2284" s="487">
        <f t="shared" si="1041"/>
        <v>18.14</v>
      </c>
      <c r="I2284" s="706"/>
      <c r="J2284" s="669" t="s">
        <v>5805</v>
      </c>
      <c r="K2284" s="15"/>
      <c r="M2284" s="49">
        <f t="shared" si="1042"/>
        <v>22.67</v>
      </c>
      <c r="N2284" s="41">
        <v>11.67</v>
      </c>
      <c r="O2284" s="186" t="s">
        <v>1017</v>
      </c>
      <c r="P2284" s="177"/>
      <c r="Q2284" s="178"/>
      <c r="R2284" s="178"/>
      <c r="S2284" s="178" t="s">
        <v>4180</v>
      </c>
      <c r="T2284" t="s">
        <v>4180</v>
      </c>
      <c r="U2284" s="179"/>
      <c r="V2284" s="178"/>
      <c r="W2284" s="180"/>
      <c r="X2284" s="180"/>
      <c r="Y2284" s="178" t="s">
        <v>1017</v>
      </c>
      <c r="Z2284" s="178"/>
      <c r="AA2284" s="180"/>
      <c r="AB2284" s="178"/>
      <c r="AC2284" s="178"/>
      <c r="AD2284" s="201"/>
      <c r="AE2284" s="200" t="s">
        <v>1017</v>
      </c>
      <c r="AF2284" s="180"/>
      <c r="AG2284" s="201"/>
      <c r="AH2284" s="212" t="str">
        <f t="shared" si="1049"/>
        <v/>
      </c>
      <c r="AI2284" s="214" t="str">
        <f t="shared" si="1034"/>
        <v/>
      </c>
      <c r="AJ2284" s="214" t="str">
        <f t="shared" si="1035"/>
        <v/>
      </c>
      <c r="AK2284" s="214" t="str">
        <f t="shared" si="1036"/>
        <v/>
      </c>
      <c r="AL2284" s="214" t="str">
        <f t="shared" si="1037"/>
        <v/>
      </c>
      <c r="AM2284" s="214" t="str">
        <f t="shared" si="1038"/>
        <v/>
      </c>
      <c r="AN2284" s="213" t="str">
        <f t="shared" si="1021"/>
        <v/>
      </c>
      <c r="AO2284" s="213" t="str">
        <f t="shared" si="1022"/>
        <v/>
      </c>
      <c r="AP2284" s="213" t="str">
        <f t="shared" si="1023"/>
        <v/>
      </c>
      <c r="AQ2284" s="215" t="str">
        <f t="shared" si="1024"/>
        <v/>
      </c>
      <c r="AR2284" s="216" t="str">
        <f t="shared" si="1025"/>
        <v>BiK81GbKWK--08</v>
      </c>
      <c r="AS2284" s="215" t="str">
        <f t="shared" si="1026"/>
        <v/>
      </c>
      <c r="AT2284">
        <f t="shared" si="1027"/>
        <v>14</v>
      </c>
      <c r="AU2284" s="216" t="str">
        <f t="shared" si="1028"/>
        <v>0-0,15 MW, Bonusregeln G, b und KWK</v>
      </c>
      <c r="AV2284" s="215" t="str">
        <f t="shared" si="1029"/>
        <v/>
      </c>
      <c r="AW2284" s="216" t="str">
        <f t="shared" si="1030"/>
        <v>Anteil KWK</v>
      </c>
      <c r="AX2284" s="215" t="str">
        <f t="shared" si="1031"/>
        <v/>
      </c>
      <c r="AY2284" t="str">
        <f t="shared" si="1032"/>
        <v/>
      </c>
      <c r="AZ2284" t="str">
        <f t="shared" si="1033"/>
        <v/>
      </c>
    </row>
    <row r="2285" spans="1:52" s="178" customFormat="1" x14ac:dyDescent="0.25">
      <c r="A2285" s="610" t="s">
        <v>1062</v>
      </c>
      <c r="B2285" s="30" t="s">
        <v>5548</v>
      </c>
      <c r="C2285" s="30" t="s">
        <v>5540</v>
      </c>
      <c r="D2285" s="30" t="s">
        <v>6937</v>
      </c>
      <c r="E2285" s="30" t="s">
        <v>4331</v>
      </c>
      <c r="F2285" s="454">
        <f t="shared" si="1040"/>
        <v>23.67</v>
      </c>
      <c r="G2285" s="529">
        <v>23.67</v>
      </c>
      <c r="H2285" s="487">
        <f t="shared" si="1041"/>
        <v>18.940000000000001</v>
      </c>
      <c r="I2285" s="706"/>
      <c r="J2285" s="669" t="s">
        <v>5805</v>
      </c>
      <c r="K2285" s="15"/>
      <c r="L2285"/>
      <c r="M2285" s="49">
        <f t="shared" si="1042"/>
        <v>23.67</v>
      </c>
      <c r="N2285" s="41">
        <v>11.67</v>
      </c>
      <c r="O2285" s="186"/>
      <c r="P2285" s="178" t="s">
        <v>1017</v>
      </c>
      <c r="S2285" s="178" t="s">
        <v>4180</v>
      </c>
      <c r="T2285" s="178" t="s">
        <v>4180</v>
      </c>
      <c r="U2285" s="179"/>
      <c r="W2285" s="180"/>
      <c r="X2285" s="180"/>
      <c r="Y2285" s="178" t="s">
        <v>1017</v>
      </c>
      <c r="AA2285" s="180"/>
      <c r="AD2285" s="201"/>
      <c r="AE2285" s="200" t="s">
        <v>1017</v>
      </c>
      <c r="AF2285" s="180"/>
      <c r="AG2285" s="201"/>
      <c r="AH2285" s="212" t="str">
        <f t="shared" si="1049"/>
        <v/>
      </c>
      <c r="AI2285" s="214" t="str">
        <f t="shared" si="1034"/>
        <v/>
      </c>
      <c r="AJ2285" s="214" t="str">
        <f t="shared" si="1035"/>
        <v/>
      </c>
      <c r="AK2285" s="214" t="str">
        <f t="shared" si="1036"/>
        <v/>
      </c>
      <c r="AL2285" s="214" t="str">
        <f t="shared" si="1037"/>
        <v/>
      </c>
      <c r="AM2285" s="214" t="str">
        <f t="shared" si="1038"/>
        <v/>
      </c>
      <c r="AN2285" s="213" t="str">
        <f t="shared" si="1021"/>
        <v/>
      </c>
      <c r="AO2285" s="213" t="str">
        <f t="shared" si="1022"/>
        <v/>
      </c>
      <c r="AP2285" s="213" t="str">
        <f t="shared" si="1023"/>
        <v/>
      </c>
      <c r="AQ2285" s="215" t="str">
        <f t="shared" si="1024"/>
        <v/>
      </c>
      <c r="AR2285" s="216" t="str">
        <f t="shared" si="1025"/>
        <v>BiK81GbKA3--08</v>
      </c>
      <c r="AS2285" s="215" t="str">
        <f t="shared" si="1026"/>
        <v/>
      </c>
      <c r="AT2285">
        <f t="shared" si="1027"/>
        <v>14</v>
      </c>
      <c r="AU2285" s="216" t="str">
        <f t="shared" si="1028"/>
        <v>0-0,15 MW, Bonusregeln G, b und K wenn Anlage 3 erfüllt</v>
      </c>
      <c r="AV2285" s="215" t="str">
        <f t="shared" si="1029"/>
        <v/>
      </c>
      <c r="AW2285" s="216" t="str">
        <f t="shared" si="1030"/>
        <v>Anteil KWK gemäß Anlage 3</v>
      </c>
      <c r="AX2285" s="215" t="str">
        <f t="shared" si="1031"/>
        <v/>
      </c>
      <c r="AY2285" t="str">
        <f t="shared" si="1032"/>
        <v/>
      </c>
      <c r="AZ2285" t="str">
        <f t="shared" si="1033"/>
        <v/>
      </c>
    </row>
    <row r="2286" spans="1:52" s="178" customFormat="1" x14ac:dyDescent="0.25">
      <c r="A2286" s="610" t="s">
        <v>1063</v>
      </c>
      <c r="B2286" s="30" t="s">
        <v>5548</v>
      </c>
      <c r="C2286" s="30" t="s">
        <v>5540</v>
      </c>
      <c r="D2286" s="30" t="s">
        <v>6938</v>
      </c>
      <c r="E2286" s="30" t="s">
        <v>674</v>
      </c>
      <c r="F2286" s="454">
        <f t="shared" si="1040"/>
        <v>23.67</v>
      </c>
      <c r="G2286" s="529">
        <v>23.67</v>
      </c>
      <c r="H2286" s="487">
        <f t="shared" si="1041"/>
        <v>18.940000000000001</v>
      </c>
      <c r="I2286" s="706"/>
      <c r="J2286" s="669" t="s">
        <v>5805</v>
      </c>
      <c r="K2286" s="15"/>
      <c r="L2286"/>
      <c r="M2286" s="49">
        <f t="shared" si="1042"/>
        <v>23.67</v>
      </c>
      <c r="N2286" s="41">
        <v>11.67</v>
      </c>
      <c r="O2286" s="186"/>
      <c r="P2286" s="177"/>
      <c r="Q2286" s="178" t="s">
        <v>1017</v>
      </c>
      <c r="S2286" s="178" t="s">
        <v>4180</v>
      </c>
      <c r="T2286" s="178" t="s">
        <v>4180</v>
      </c>
      <c r="U2286" s="179"/>
      <c r="W2286" s="180"/>
      <c r="X2286" s="180"/>
      <c r="Y2286" s="178" t="s">
        <v>1017</v>
      </c>
      <c r="AA2286" s="180"/>
      <c r="AD2286" s="201"/>
      <c r="AE2286" s="200" t="s">
        <v>1017</v>
      </c>
      <c r="AF2286" s="180"/>
      <c r="AG2286" s="201"/>
      <c r="AH2286" s="212" t="str">
        <f t="shared" si="1049"/>
        <v/>
      </c>
      <c r="AI2286" s="214" t="str">
        <f t="shared" si="1034"/>
        <v/>
      </c>
      <c r="AJ2286" s="214" t="str">
        <f t="shared" si="1035"/>
        <v/>
      </c>
      <c r="AK2286" s="214" t="str">
        <f t="shared" si="1036"/>
        <v/>
      </c>
      <c r="AL2286" s="214" t="str">
        <f t="shared" si="1037"/>
        <v/>
      </c>
      <c r="AM2286" s="214" t="str">
        <f t="shared" si="1038"/>
        <v/>
      </c>
      <c r="AN2286" s="213" t="str">
        <f t="shared" si="1021"/>
        <v/>
      </c>
      <c r="AO2286" s="213" t="str">
        <f t="shared" si="1022"/>
        <v/>
      </c>
      <c r="AP2286" s="213" t="str">
        <f t="shared" si="1023"/>
        <v/>
      </c>
      <c r="AQ2286" s="215" t="str">
        <f t="shared" si="1024"/>
        <v/>
      </c>
      <c r="AR2286" s="216" t="str">
        <f t="shared" si="1025"/>
        <v>BiK81GbK09--08</v>
      </c>
      <c r="AS2286" s="215" t="str">
        <f t="shared" si="1026"/>
        <v/>
      </c>
      <c r="AT2286">
        <f t="shared" si="1027"/>
        <v>14</v>
      </c>
      <c r="AU2286" s="216" t="str">
        <f t="shared" si="1028"/>
        <v>0-0,15 MW, Bonusregeln G, b und K erstmals 2009</v>
      </c>
      <c r="AV2286" s="215" t="str">
        <f t="shared" si="1029"/>
        <v/>
      </c>
      <c r="AW2286" s="216" t="str">
        <f t="shared" si="1030"/>
        <v>Anteil KWK, erstmals 2009</v>
      </c>
      <c r="AX2286" s="215" t="str">
        <f t="shared" si="1031"/>
        <v/>
      </c>
      <c r="AY2286" t="str">
        <f t="shared" si="1032"/>
        <v/>
      </c>
      <c r="AZ2286" t="str">
        <f t="shared" si="1033"/>
        <v/>
      </c>
    </row>
    <row r="2287" spans="1:52" s="178" customFormat="1" x14ac:dyDescent="0.25">
      <c r="A2287" s="610" t="s">
        <v>3172</v>
      </c>
      <c r="B2287" s="30" t="s">
        <v>5548</v>
      </c>
      <c r="C2287" s="30" t="s">
        <v>5540</v>
      </c>
      <c r="D2287" s="30" t="s">
        <v>6939</v>
      </c>
      <c r="E2287" s="30" t="s">
        <v>3567</v>
      </c>
      <c r="F2287" s="454">
        <f t="shared" si="1040"/>
        <v>23.64</v>
      </c>
      <c r="G2287" s="529">
        <v>23.64</v>
      </c>
      <c r="H2287" s="487">
        <f t="shared" si="1041"/>
        <v>18.91</v>
      </c>
      <c r="I2287" s="706"/>
      <c r="J2287" s="669" t="s">
        <v>5805</v>
      </c>
      <c r="K2287" s="15"/>
      <c r="L2287"/>
      <c r="M2287" s="49">
        <f t="shared" si="1042"/>
        <v>23.64</v>
      </c>
      <c r="N2287" s="41">
        <v>11.67</v>
      </c>
      <c r="O2287" s="186"/>
      <c r="P2287" s="177"/>
      <c r="R2287" s="178" t="s">
        <v>1017</v>
      </c>
      <c r="S2287" s="178" t="s">
        <v>4180</v>
      </c>
      <c r="T2287" s="178" t="s">
        <v>4180</v>
      </c>
      <c r="U2287" s="179"/>
      <c r="W2287" s="180"/>
      <c r="X2287" s="180"/>
      <c r="Y2287" s="178" t="s">
        <v>1017</v>
      </c>
      <c r="AA2287" s="180"/>
      <c r="AD2287" s="201"/>
      <c r="AE2287" s="200" t="s">
        <v>1017</v>
      </c>
      <c r="AF2287" s="180"/>
      <c r="AG2287" s="201"/>
      <c r="AH2287" s="212" t="str">
        <f t="shared" si="1049"/>
        <v>2010</v>
      </c>
      <c r="AI2287" s="214" t="str">
        <f t="shared" si="1034"/>
        <v/>
      </c>
      <c r="AJ2287" s="214" t="str">
        <f t="shared" si="1035"/>
        <v/>
      </c>
      <c r="AK2287" s="214" t="str">
        <f t="shared" si="1036"/>
        <v/>
      </c>
      <c r="AL2287" s="214" t="str">
        <f t="shared" si="1037"/>
        <v/>
      </c>
      <c r="AM2287" s="214" t="str">
        <f t="shared" si="1038"/>
        <v/>
      </c>
      <c r="AN2287" s="213" t="str">
        <f t="shared" si="1021"/>
        <v>2010</v>
      </c>
      <c r="AO2287" s="213" t="str">
        <f t="shared" si="1022"/>
        <v>2010</v>
      </c>
      <c r="AP2287" s="213" t="str">
        <f t="shared" si="1023"/>
        <v>2010</v>
      </c>
      <c r="AQ2287" s="215" t="str">
        <f t="shared" si="1024"/>
        <v/>
      </c>
      <c r="AR2287" s="216" t="str">
        <f t="shared" si="1025"/>
        <v>BiK81GbK10--08</v>
      </c>
      <c r="AS2287" s="215" t="str">
        <f t="shared" si="1026"/>
        <v/>
      </c>
      <c r="AT2287">
        <f t="shared" si="1027"/>
        <v>14</v>
      </c>
      <c r="AU2287" s="216" t="str">
        <f t="shared" si="1028"/>
        <v>0-0,15 MW, Bonusregeln G, b und K erstmals 2010</v>
      </c>
      <c r="AV2287" s="215" t="str">
        <f t="shared" si="1029"/>
        <v/>
      </c>
      <c r="AW2287" s="216" t="str">
        <f t="shared" si="1030"/>
        <v>Anteil KWK, erstmals 2010</v>
      </c>
      <c r="AX2287" s="215" t="str">
        <f t="shared" si="1031"/>
        <v/>
      </c>
      <c r="AY2287" t="str">
        <f t="shared" si="1032"/>
        <v/>
      </c>
      <c r="AZ2287" t="str">
        <f t="shared" si="1033"/>
        <v/>
      </c>
    </row>
    <row r="2288" spans="1:52" s="178" customFormat="1" x14ac:dyDescent="0.25">
      <c r="A2288" s="610" t="s">
        <v>3450</v>
      </c>
      <c r="B2288" s="30" t="s">
        <v>5548</v>
      </c>
      <c r="C2288" s="30" t="s">
        <v>5540</v>
      </c>
      <c r="D2288" s="30" t="s">
        <v>6940</v>
      </c>
      <c r="E2288" s="30" t="s">
        <v>3055</v>
      </c>
      <c r="F2288" s="454">
        <f t="shared" si="1040"/>
        <v>23.61</v>
      </c>
      <c r="G2288" s="529">
        <v>23.61</v>
      </c>
      <c r="H2288" s="487">
        <f t="shared" si="1041"/>
        <v>18.89</v>
      </c>
      <c r="I2288" s="706"/>
      <c r="J2288" s="669" t="s">
        <v>5805</v>
      </c>
      <c r="K2288" s="15"/>
      <c r="L2288"/>
      <c r="M2288" s="49">
        <f t="shared" si="1042"/>
        <v>23.61</v>
      </c>
      <c r="N2288" s="41">
        <v>11.67</v>
      </c>
      <c r="O2288" s="186"/>
      <c r="P2288" s="177"/>
      <c r="S2288" s="178" t="s">
        <v>1017</v>
      </c>
      <c r="T2288" s="178" t="s">
        <v>4180</v>
      </c>
      <c r="U2288" s="179"/>
      <c r="W2288" s="180"/>
      <c r="X2288" s="180"/>
      <c r="Y2288" s="178" t="s">
        <v>1017</v>
      </c>
      <c r="AA2288" s="180"/>
      <c r="AD2288" s="201"/>
      <c r="AE2288" s="200" t="s">
        <v>1017</v>
      </c>
      <c r="AF2288" s="180"/>
      <c r="AG2288" s="201"/>
      <c r="AH2288" s="212" t="str">
        <f t="shared" si="1049"/>
        <v>2011</v>
      </c>
      <c r="AI2288" s="214" t="str">
        <f t="shared" si="1034"/>
        <v/>
      </c>
      <c r="AJ2288" s="214" t="str">
        <f t="shared" si="1035"/>
        <v/>
      </c>
      <c r="AK2288" s="214" t="str">
        <f t="shared" si="1036"/>
        <v/>
      </c>
      <c r="AL2288" s="214" t="str">
        <f t="shared" si="1037"/>
        <v/>
      </c>
      <c r="AM2288" s="214" t="str">
        <f t="shared" si="1038"/>
        <v/>
      </c>
      <c r="AN2288" s="213" t="str">
        <f t="shared" si="1021"/>
        <v>2011</v>
      </c>
      <c r="AO2288" s="213" t="str">
        <f t="shared" si="1022"/>
        <v>2011</v>
      </c>
      <c r="AP2288" s="213" t="str">
        <f t="shared" si="1023"/>
        <v>2011</v>
      </c>
      <c r="AQ2288" s="215" t="str">
        <f t="shared" si="1024"/>
        <v/>
      </c>
      <c r="AR2288" s="216" t="str">
        <f t="shared" si="1025"/>
        <v>BiK81GbK11--08</v>
      </c>
      <c r="AS2288" s="215" t="str">
        <f t="shared" si="1026"/>
        <v/>
      </c>
      <c r="AT2288">
        <f t="shared" si="1027"/>
        <v>14</v>
      </c>
      <c r="AU2288" s="216" t="str">
        <f t="shared" si="1028"/>
        <v>0-0,15 MW, Bonusregeln G, b und K erstmals 2011</v>
      </c>
      <c r="AV2288" s="215" t="str">
        <f t="shared" si="1029"/>
        <v/>
      </c>
      <c r="AW2288" s="216" t="str">
        <f t="shared" si="1030"/>
        <v>Anteil KWK, erstmals 2011</v>
      </c>
      <c r="AX2288" s="215" t="str">
        <f t="shared" si="1031"/>
        <v/>
      </c>
      <c r="AY2288" t="str">
        <f t="shared" si="1032"/>
        <v>x</v>
      </c>
      <c r="AZ2288" t="str">
        <f t="shared" si="1033"/>
        <v/>
      </c>
    </row>
    <row r="2289" spans="1:52" s="178" customFormat="1" x14ac:dyDescent="0.25">
      <c r="A2289" s="625" t="s">
        <v>1882</v>
      </c>
      <c r="B2289" s="219" t="s">
        <v>5548</v>
      </c>
      <c r="C2289" s="219" t="s">
        <v>5540</v>
      </c>
      <c r="D2289" s="219" t="s">
        <v>6941</v>
      </c>
      <c r="E2289" s="219" t="s">
        <v>1980</v>
      </c>
      <c r="F2289" s="455">
        <f t="shared" si="1040"/>
        <v>23.58</v>
      </c>
      <c r="G2289" s="530">
        <v>23.58</v>
      </c>
      <c r="H2289" s="488">
        <f t="shared" si="1041"/>
        <v>18.86</v>
      </c>
      <c r="I2289" s="707"/>
      <c r="J2289" s="669" t="s">
        <v>5805</v>
      </c>
      <c r="K2289" s="15"/>
      <c r="L2289"/>
      <c r="M2289" s="49">
        <f t="shared" si="1042"/>
        <v>23.58</v>
      </c>
      <c r="N2289" s="41">
        <v>11.67</v>
      </c>
      <c r="O2289" s="186"/>
      <c r="P2289" s="177"/>
      <c r="S2289" s="178" t="s">
        <v>4180</v>
      </c>
      <c r="T2289" s="178" t="s">
        <v>1017</v>
      </c>
      <c r="U2289" s="179"/>
      <c r="W2289" s="180"/>
      <c r="X2289" s="180"/>
      <c r="Y2289" s="178" t="s">
        <v>1017</v>
      </c>
      <c r="AA2289" s="180"/>
      <c r="AD2289" s="201"/>
      <c r="AE2289" s="200" t="s">
        <v>1017</v>
      </c>
      <c r="AF2289" s="180"/>
      <c r="AG2289" s="201"/>
      <c r="AH2289" s="217" t="s">
        <v>4179</v>
      </c>
      <c r="AI2289" s="214" t="str">
        <f t="shared" si="1034"/>
        <v/>
      </c>
      <c r="AJ2289" s="214" t="str">
        <f t="shared" si="1035"/>
        <v/>
      </c>
      <c r="AK2289" s="214" t="str">
        <f t="shared" si="1036"/>
        <v/>
      </c>
      <c r="AL2289" s="214" t="str">
        <f t="shared" si="1037"/>
        <v/>
      </c>
      <c r="AM2289" s="214" t="str">
        <f t="shared" si="1038"/>
        <v/>
      </c>
      <c r="AN2289" s="213" t="str">
        <f t="shared" si="1021"/>
        <v>2012</v>
      </c>
      <c r="AO2289" s="213" t="str">
        <f t="shared" si="1022"/>
        <v>2012</v>
      </c>
      <c r="AP2289" s="213" t="str">
        <f t="shared" si="1023"/>
        <v>2012</v>
      </c>
      <c r="AQ2289" s="215" t="str">
        <f t="shared" si="1024"/>
        <v/>
      </c>
      <c r="AR2289" s="216" t="str">
        <f t="shared" si="1025"/>
        <v>BiK81GbK12--08</v>
      </c>
      <c r="AS2289" s="215" t="str">
        <f t="shared" si="1026"/>
        <v/>
      </c>
      <c r="AT2289">
        <f t="shared" si="1027"/>
        <v>14</v>
      </c>
      <c r="AU2289" s="216" t="str">
        <f t="shared" si="1028"/>
        <v>0-0,15 MW, Bonusregeln G, b und K erstmals 2012</v>
      </c>
      <c r="AV2289" s="215" t="str">
        <f t="shared" si="1029"/>
        <v/>
      </c>
      <c r="AW2289" s="216" t="str">
        <f t="shared" si="1030"/>
        <v>Anteil KWK, erstmals 2012</v>
      </c>
      <c r="AX2289" s="215" t="str">
        <f t="shared" si="1031"/>
        <v/>
      </c>
      <c r="AY2289" t="str">
        <f t="shared" si="1032"/>
        <v/>
      </c>
      <c r="AZ2289" t="str">
        <f t="shared" si="1033"/>
        <v>x</v>
      </c>
    </row>
    <row r="2290" spans="1:52" s="178" customFormat="1" x14ac:dyDescent="0.25">
      <c r="A2290" s="610" t="s">
        <v>1064</v>
      </c>
      <c r="B2290" s="30" t="s">
        <v>5548</v>
      </c>
      <c r="C2290" s="30" t="s">
        <v>5540</v>
      </c>
      <c r="D2290" s="30" t="s">
        <v>6942</v>
      </c>
      <c r="E2290" s="30" t="s">
        <v>4810</v>
      </c>
      <c r="F2290" s="454">
        <f t="shared" si="1040"/>
        <v>21.67</v>
      </c>
      <c r="G2290" s="529">
        <v>21.67</v>
      </c>
      <c r="H2290" s="487">
        <f t="shared" si="1041"/>
        <v>17.34</v>
      </c>
      <c r="I2290" s="706"/>
      <c r="J2290" s="669" t="s">
        <v>5805</v>
      </c>
      <c r="K2290" s="15"/>
      <c r="L2290"/>
      <c r="M2290" s="49">
        <f t="shared" si="1042"/>
        <v>21.67</v>
      </c>
      <c r="N2290" s="41">
        <v>11.67</v>
      </c>
      <c r="O2290" s="187"/>
      <c r="P2290" s="183"/>
      <c r="Q2290" s="184"/>
      <c r="R2290" s="184"/>
      <c r="S2290" s="184" t="s">
        <v>4180</v>
      </c>
      <c r="T2290" s="178" t="s">
        <v>4180</v>
      </c>
      <c r="U2290" s="185" t="s">
        <v>1017</v>
      </c>
      <c r="V2290" s="184"/>
      <c r="W2290" s="180"/>
      <c r="X2290" s="180"/>
      <c r="Y2290" s="184" t="s">
        <v>1017</v>
      </c>
      <c r="Z2290" s="184"/>
      <c r="AA2290" s="180"/>
      <c r="AB2290" s="184"/>
      <c r="AC2290" s="184"/>
      <c r="AD2290" s="201"/>
      <c r="AE2290" s="181" t="s">
        <v>1017</v>
      </c>
      <c r="AF2290" s="180"/>
      <c r="AG2290" s="201"/>
      <c r="AH2290" s="212" t="str">
        <f t="shared" ref="AH2290:AH2295" si="1050">IF(ISERROR(SEARCH("K erstmals 201",D2290)),"",RIGHT(D2290,4))</f>
        <v/>
      </c>
      <c r="AI2290" s="214" t="str">
        <f t="shared" si="1034"/>
        <v/>
      </c>
      <c r="AJ2290" s="214" t="str">
        <f t="shared" si="1035"/>
        <v/>
      </c>
      <c r="AK2290" s="214" t="str">
        <f t="shared" si="1036"/>
        <v/>
      </c>
      <c r="AL2290" s="214" t="str">
        <f t="shared" si="1037"/>
        <v/>
      </c>
      <c r="AM2290" s="214" t="str">
        <f t="shared" si="1038"/>
        <v/>
      </c>
      <c r="AN2290" s="213" t="str">
        <f t="shared" si="1021"/>
        <v/>
      </c>
      <c r="AO2290" s="213" t="str">
        <f t="shared" si="1022"/>
        <v/>
      </c>
      <c r="AP2290" s="213" t="str">
        <f t="shared" si="1023"/>
        <v/>
      </c>
      <c r="AQ2290" s="215" t="str">
        <f t="shared" si="1024"/>
        <v/>
      </c>
      <c r="AR2290" s="216" t="str">
        <f t="shared" si="1025"/>
        <v>BiK81Gby----08</v>
      </c>
      <c r="AS2290" s="215" t="str">
        <f t="shared" si="1026"/>
        <v/>
      </c>
      <c r="AT2290">
        <f t="shared" si="1027"/>
        <v>14</v>
      </c>
      <c r="AU2290" s="216" t="str">
        <f t="shared" si="1028"/>
        <v>0-0,15 MW, Bonusregeln G, y, b</v>
      </c>
      <c r="AV2290" s="215" t="str">
        <f t="shared" si="1029"/>
        <v/>
      </c>
      <c r="AW2290" s="216" t="str">
        <f t="shared" si="1030"/>
        <v>Anteil Nicht-KWK</v>
      </c>
      <c r="AX2290" s="215" t="str">
        <f t="shared" si="1031"/>
        <v/>
      </c>
      <c r="AY2290" t="str">
        <f t="shared" si="1032"/>
        <v/>
      </c>
      <c r="AZ2290" t="str">
        <f t="shared" si="1033"/>
        <v/>
      </c>
    </row>
    <row r="2291" spans="1:52" s="178" customFormat="1" x14ac:dyDescent="0.25">
      <c r="A2291" s="610" t="s">
        <v>1065</v>
      </c>
      <c r="B2291" s="30" t="s">
        <v>5548</v>
      </c>
      <c r="C2291" s="30" t="s">
        <v>5540</v>
      </c>
      <c r="D2291" s="30" t="s">
        <v>6943</v>
      </c>
      <c r="E2291" s="30" t="s">
        <v>4812</v>
      </c>
      <c r="F2291" s="454">
        <f t="shared" si="1040"/>
        <v>23.67</v>
      </c>
      <c r="G2291" s="529">
        <v>23.67</v>
      </c>
      <c r="H2291" s="487">
        <f t="shared" si="1041"/>
        <v>18.940000000000001</v>
      </c>
      <c r="I2291" s="706"/>
      <c r="J2291" s="669" t="s">
        <v>5805</v>
      </c>
      <c r="K2291" s="15"/>
      <c r="L2291"/>
      <c r="M2291" s="49">
        <f t="shared" si="1042"/>
        <v>23.67</v>
      </c>
      <c r="N2291" s="41">
        <v>11.67</v>
      </c>
      <c r="O2291" s="187" t="s">
        <v>1017</v>
      </c>
      <c r="P2291" s="183"/>
      <c r="Q2291" s="184"/>
      <c r="R2291" s="184"/>
      <c r="S2291" s="184" t="s">
        <v>4180</v>
      </c>
      <c r="T2291" s="178" t="s">
        <v>4180</v>
      </c>
      <c r="U2291" s="185" t="s">
        <v>1017</v>
      </c>
      <c r="V2291" s="184"/>
      <c r="W2291" s="180"/>
      <c r="X2291" s="180"/>
      <c r="Y2291" s="184" t="s">
        <v>1017</v>
      </c>
      <c r="Z2291" s="184"/>
      <c r="AA2291" s="180"/>
      <c r="AB2291" s="184"/>
      <c r="AC2291" s="184"/>
      <c r="AD2291" s="201"/>
      <c r="AE2291" s="181" t="s">
        <v>1017</v>
      </c>
      <c r="AF2291" s="180"/>
      <c r="AG2291" s="201"/>
      <c r="AH2291" s="212" t="str">
        <f t="shared" si="1050"/>
        <v/>
      </c>
      <c r="AI2291" s="214" t="str">
        <f t="shared" si="1034"/>
        <v/>
      </c>
      <c r="AJ2291" s="214" t="str">
        <f t="shared" si="1035"/>
        <v/>
      </c>
      <c r="AK2291" s="214" t="str">
        <f t="shared" si="1036"/>
        <v/>
      </c>
      <c r="AL2291" s="214" t="str">
        <f t="shared" si="1037"/>
        <v/>
      </c>
      <c r="AM2291" s="214" t="str">
        <f t="shared" si="1038"/>
        <v/>
      </c>
      <c r="AN2291" s="213" t="str">
        <f t="shared" si="1021"/>
        <v/>
      </c>
      <c r="AO2291" s="213" t="str">
        <f t="shared" si="1022"/>
        <v/>
      </c>
      <c r="AP2291" s="213" t="str">
        <f t="shared" si="1023"/>
        <v/>
      </c>
      <c r="AQ2291" s="215" t="str">
        <f t="shared" si="1024"/>
        <v/>
      </c>
      <c r="AR2291" s="216" t="str">
        <f t="shared" si="1025"/>
        <v>BiK81GbKWKy-08</v>
      </c>
      <c r="AS2291" s="215" t="str">
        <f t="shared" si="1026"/>
        <v/>
      </c>
      <c r="AT2291">
        <f t="shared" si="1027"/>
        <v>14</v>
      </c>
      <c r="AU2291" s="216" t="str">
        <f t="shared" si="1028"/>
        <v>0-0,15 MW, Bonusregeln G, y, b und KWK</v>
      </c>
      <c r="AV2291" s="215" t="str">
        <f t="shared" si="1029"/>
        <v/>
      </c>
      <c r="AW2291" s="216" t="str">
        <f t="shared" si="1030"/>
        <v>Anteil KWK</v>
      </c>
      <c r="AX2291" s="215" t="str">
        <f t="shared" si="1031"/>
        <v/>
      </c>
      <c r="AY2291" t="str">
        <f t="shared" si="1032"/>
        <v/>
      </c>
      <c r="AZ2291" t="str">
        <f t="shared" si="1033"/>
        <v/>
      </c>
    </row>
    <row r="2292" spans="1:52" s="178" customFormat="1" x14ac:dyDescent="0.25">
      <c r="A2292" s="610" t="s">
        <v>1066</v>
      </c>
      <c r="B2292" s="30" t="s">
        <v>5548</v>
      </c>
      <c r="C2292" s="30" t="s">
        <v>5540</v>
      </c>
      <c r="D2292" s="109" t="s">
        <v>6944</v>
      </c>
      <c r="E2292" s="30" t="s">
        <v>4331</v>
      </c>
      <c r="F2292" s="454">
        <f t="shared" si="1040"/>
        <v>24.67</v>
      </c>
      <c r="G2292" s="529">
        <v>24.67</v>
      </c>
      <c r="H2292" s="487">
        <f t="shared" si="1041"/>
        <v>19.739999999999998</v>
      </c>
      <c r="I2292" s="706"/>
      <c r="J2292" s="669" t="s">
        <v>5805</v>
      </c>
      <c r="K2292" s="15"/>
      <c r="L2292"/>
      <c r="M2292" s="49">
        <f t="shared" si="1042"/>
        <v>24.67</v>
      </c>
      <c r="N2292" s="41">
        <v>11.67</v>
      </c>
      <c r="O2292" s="187"/>
      <c r="P2292" s="184" t="s">
        <v>1017</v>
      </c>
      <c r="Q2292" s="184"/>
      <c r="R2292" s="184"/>
      <c r="S2292" s="184" t="s">
        <v>4180</v>
      </c>
      <c r="T2292" s="178" t="s">
        <v>4180</v>
      </c>
      <c r="U2292" s="185" t="s">
        <v>1017</v>
      </c>
      <c r="V2292" s="184"/>
      <c r="W2292" s="180"/>
      <c r="X2292" s="180"/>
      <c r="Y2292" s="184" t="s">
        <v>1017</v>
      </c>
      <c r="Z2292" s="184"/>
      <c r="AA2292" s="180"/>
      <c r="AB2292" s="184"/>
      <c r="AC2292" s="184"/>
      <c r="AD2292" s="201"/>
      <c r="AE2292" s="181" t="s">
        <v>1017</v>
      </c>
      <c r="AF2292" s="180"/>
      <c r="AG2292" s="201"/>
      <c r="AH2292" s="212" t="str">
        <f t="shared" si="1050"/>
        <v/>
      </c>
      <c r="AI2292" s="214" t="str">
        <f t="shared" si="1034"/>
        <v/>
      </c>
      <c r="AJ2292" s="214" t="str">
        <f t="shared" si="1035"/>
        <v/>
      </c>
      <c r="AK2292" s="214" t="str">
        <f t="shared" si="1036"/>
        <v/>
      </c>
      <c r="AL2292" s="214" t="str">
        <f t="shared" si="1037"/>
        <v/>
      </c>
      <c r="AM2292" s="214" t="str">
        <f t="shared" si="1038"/>
        <v/>
      </c>
      <c r="AN2292" s="213" t="str">
        <f t="shared" si="1021"/>
        <v/>
      </c>
      <c r="AO2292" s="213" t="str">
        <f t="shared" si="1022"/>
        <v/>
      </c>
      <c r="AP2292" s="213" t="str">
        <f t="shared" si="1023"/>
        <v/>
      </c>
      <c r="AQ2292" s="215" t="str">
        <f t="shared" si="1024"/>
        <v/>
      </c>
      <c r="AR2292" s="216" t="str">
        <f t="shared" si="1025"/>
        <v>BiK81GbKA3y-08</v>
      </c>
      <c r="AS2292" s="215" t="str">
        <f t="shared" si="1026"/>
        <v/>
      </c>
      <c r="AT2292">
        <f t="shared" si="1027"/>
        <v>14</v>
      </c>
      <c r="AU2292" s="216" t="str">
        <f t="shared" si="1028"/>
        <v>0-0,15 MW, Bonusregeln G, y, b und K wenn Anlage 3 erfüllt</v>
      </c>
      <c r="AV2292" s="215" t="str">
        <f t="shared" si="1029"/>
        <v/>
      </c>
      <c r="AW2292" s="216" t="str">
        <f t="shared" si="1030"/>
        <v>Anteil KWK gemäß Anlage 3</v>
      </c>
      <c r="AX2292" s="215" t="str">
        <f t="shared" si="1031"/>
        <v/>
      </c>
      <c r="AY2292" t="str">
        <f t="shared" si="1032"/>
        <v/>
      </c>
      <c r="AZ2292" t="str">
        <f t="shared" si="1033"/>
        <v/>
      </c>
    </row>
    <row r="2293" spans="1:52" s="178" customFormat="1" x14ac:dyDescent="0.25">
      <c r="A2293" s="610" t="s">
        <v>1067</v>
      </c>
      <c r="B2293" s="30" t="s">
        <v>5548</v>
      </c>
      <c r="C2293" s="30" t="s">
        <v>5540</v>
      </c>
      <c r="D2293" s="30" t="s">
        <v>6945</v>
      </c>
      <c r="E2293" s="30" t="s">
        <v>674</v>
      </c>
      <c r="F2293" s="454">
        <f t="shared" si="1040"/>
        <v>24.67</v>
      </c>
      <c r="G2293" s="529">
        <v>24.67</v>
      </c>
      <c r="H2293" s="487">
        <f t="shared" si="1041"/>
        <v>19.739999999999998</v>
      </c>
      <c r="I2293" s="706"/>
      <c r="J2293" s="669" t="s">
        <v>5805</v>
      </c>
      <c r="K2293" s="15"/>
      <c r="L2293"/>
      <c r="M2293" s="49">
        <f t="shared" si="1042"/>
        <v>24.67</v>
      </c>
      <c r="N2293" s="41">
        <v>11.67</v>
      </c>
      <c r="O2293" s="187"/>
      <c r="P2293" s="183"/>
      <c r="Q2293" s="184" t="s">
        <v>1017</v>
      </c>
      <c r="R2293" s="184"/>
      <c r="S2293" s="184" t="s">
        <v>4180</v>
      </c>
      <c r="T2293" s="178" t="s">
        <v>4180</v>
      </c>
      <c r="U2293" s="185" t="s">
        <v>1017</v>
      </c>
      <c r="V2293" s="184"/>
      <c r="W2293" s="180"/>
      <c r="X2293" s="180"/>
      <c r="Y2293" s="184" t="s">
        <v>1017</v>
      </c>
      <c r="Z2293" s="184"/>
      <c r="AA2293" s="180"/>
      <c r="AB2293" s="184"/>
      <c r="AC2293" s="184"/>
      <c r="AD2293" s="201"/>
      <c r="AE2293" s="181" t="s">
        <v>1017</v>
      </c>
      <c r="AF2293" s="180"/>
      <c r="AG2293" s="201"/>
      <c r="AH2293" s="212" t="str">
        <f t="shared" si="1050"/>
        <v/>
      </c>
      <c r="AI2293" s="214" t="str">
        <f t="shared" si="1034"/>
        <v/>
      </c>
      <c r="AJ2293" s="214" t="str">
        <f t="shared" si="1035"/>
        <v/>
      </c>
      <c r="AK2293" s="214" t="str">
        <f t="shared" si="1036"/>
        <v/>
      </c>
      <c r="AL2293" s="214" t="str">
        <f t="shared" si="1037"/>
        <v/>
      </c>
      <c r="AM2293" s="214" t="str">
        <f t="shared" si="1038"/>
        <v/>
      </c>
      <c r="AN2293" s="213" t="str">
        <f t="shared" ref="AN2293:AN2356" si="1051">IF(ISERROR(SEARCH("K1",A2293)),"","20"&amp;MID(A2293,SEARCH("K1",A2293)+1,2))</f>
        <v/>
      </c>
      <c r="AO2293" s="213" t="str">
        <f t="shared" ref="AO2293:AO2356" si="1052">IF(ISERROR(SEARCH("erstmals 201",E2293)),"",MID(E2293,SEARCH("erstmals ",E2293)+9,4))</f>
        <v/>
      </c>
      <c r="AP2293" s="213" t="str">
        <f t="shared" ref="AP2293:AP2356" si="1053">IF(R2293="x","2010",IF(S2293="x","2011",IF(T2293="x","2012","")))</f>
        <v/>
      </c>
      <c r="AQ2293" s="215" t="str">
        <f t="shared" ref="AQ2293:AQ2356" si="1054">IF(OR(AH2293&lt;&gt;AN2293,AH2293&lt;&gt;AO2293,AH2293&lt;&gt;AP2293),"DIFF","")</f>
        <v/>
      </c>
      <c r="AR2293" s="216" t="str">
        <f t="shared" ref="AR2293:AR2356" si="1055">IF(A2293="","",IF(ISERROR(SEARCH("K1",A2293)),A2293,LEFT(A2293,SEARCH("K1",A2293)+1)&amp;RIGHT(AH2293,1)&amp;MID(A2293,SEARCH("K1",A2293)+3,14)))</f>
        <v>BiK81GbK09y-08</v>
      </c>
      <c r="AS2293" s="215" t="str">
        <f t="shared" ref="AS2293:AS2356" si="1056">IF(OR(A2293&lt;&gt;AR2293),"DIFF","")</f>
        <v/>
      </c>
      <c r="AT2293">
        <f t="shared" ref="AT2293:AT2356" si="1057">LEN(AR2293)</f>
        <v>14</v>
      </c>
      <c r="AU2293" s="216" t="str">
        <f t="shared" ref="AU2293:AU2356" si="1058">IF(D2293="","",IF(OR(A2293="",ISERROR(SEARCH("erstmals 201",D2293))),D2293,LEFT(D2293,SEARCH("erstmals 201",D2293)+8) &amp; AH2293 &amp; MID(D2293,SEARCH("erstmals 201",D2293)+13,255)))</f>
        <v>0-0,15 MW, Bonusregeln G, y, b und K erstmals 2009</v>
      </c>
      <c r="AV2293" s="215" t="str">
        <f t="shared" ref="AV2293:AV2356" si="1059">IF(OR(D2293&lt;&gt;AU2293),"DIFF","")</f>
        <v/>
      </c>
      <c r="AW2293" s="216" t="str">
        <f t="shared" ref="AW2293:AW2356" si="1060">IF(E2293="","",IF(OR(E2293="",ISERROR(SEARCH("erstmals 201",E2293))),E2293,LEFT(E2293,SEARCH("erstmals 201",E2293)+8) &amp; AH2293 &amp; MID(E2293,SEARCH("erstmals 201",E2293)+13,255)))</f>
        <v>Anteil KWK, erstmals 2009</v>
      </c>
      <c r="AX2293" s="215" t="str">
        <f t="shared" ref="AX2293:AX2356" si="1061">IF(OR(E2293&lt;&gt;AW2293),"DIFF","")</f>
        <v/>
      </c>
      <c r="AY2293" t="str">
        <f t="shared" ref="AY2293:AY2356" si="1062">IF(AH2293="2011","x",IF(AH2293="2012","","" &amp; S2293))</f>
        <v/>
      </c>
      <c r="AZ2293" t="str">
        <f t="shared" ref="AZ2293:AZ2356" si="1063">IF(AH2293="2012","x",IF(AH2293="2011","","" &amp; T2293))</f>
        <v/>
      </c>
    </row>
    <row r="2294" spans="1:52" x14ac:dyDescent="0.25">
      <c r="A2294" s="610" t="s">
        <v>3173</v>
      </c>
      <c r="B2294" s="30" t="s">
        <v>5548</v>
      </c>
      <c r="C2294" s="30" t="s">
        <v>5540</v>
      </c>
      <c r="D2294" s="30" t="s">
        <v>6946</v>
      </c>
      <c r="E2294" s="30" t="s">
        <v>3567</v>
      </c>
      <c r="F2294" s="454">
        <f t="shared" si="1040"/>
        <v>24.64</v>
      </c>
      <c r="G2294" s="529">
        <v>24.64</v>
      </c>
      <c r="H2294" s="487">
        <f t="shared" si="1041"/>
        <v>19.71</v>
      </c>
      <c r="I2294" s="706"/>
      <c r="J2294" s="669" t="s">
        <v>5805</v>
      </c>
      <c r="K2294" s="15"/>
      <c r="M2294" s="49">
        <f t="shared" si="1042"/>
        <v>24.64</v>
      </c>
      <c r="N2294" s="41">
        <v>11.67</v>
      </c>
      <c r="O2294" s="187"/>
      <c r="P2294" s="183"/>
      <c r="Q2294" s="184"/>
      <c r="R2294" s="184" t="s">
        <v>1017</v>
      </c>
      <c r="S2294" s="184" t="s">
        <v>4180</v>
      </c>
      <c r="T2294" t="s">
        <v>4180</v>
      </c>
      <c r="U2294" s="185" t="s">
        <v>1017</v>
      </c>
      <c r="V2294" s="184"/>
      <c r="W2294" s="180"/>
      <c r="X2294" s="180"/>
      <c r="Y2294" s="184" t="s">
        <v>1017</v>
      </c>
      <c r="Z2294" s="184"/>
      <c r="AA2294" s="180"/>
      <c r="AB2294" s="184"/>
      <c r="AC2294" s="184"/>
      <c r="AD2294" s="201"/>
      <c r="AE2294" s="181" t="s">
        <v>1017</v>
      </c>
      <c r="AF2294" s="180"/>
      <c r="AG2294" s="201"/>
      <c r="AH2294" s="212" t="str">
        <f t="shared" si="1050"/>
        <v>2010</v>
      </c>
      <c r="AI2294" s="214" t="str">
        <f t="shared" ref="AI2294:AI2357" si="1064">IF(AND($AH2294&lt;&gt;"",AH2294 =AH2293),"Gleich","")</f>
        <v/>
      </c>
      <c r="AJ2294" s="214" t="str">
        <f t="shared" ref="AJ2294:AJ2357" si="1065">IF(AND($AH2294&lt;&gt;"",A2294 =A2293),"Gleich","")</f>
        <v/>
      </c>
      <c r="AK2294" s="214" t="str">
        <f t="shared" ref="AK2294:AK2357" si="1066">IF(AND($AH2294&lt;&gt;"",D2294 =D2293),"Gleich","")</f>
        <v/>
      </c>
      <c r="AL2294" s="214" t="str">
        <f t="shared" ref="AL2294:AL2357" si="1067">IF(AND($AH2294&lt;&gt;"",E2294 =E2293),"Gleich","")</f>
        <v/>
      </c>
      <c r="AM2294" s="214" t="str">
        <f t="shared" ref="AM2294:AM2357" si="1068">IF(AND($AH2294&lt;&gt;"",F2294 =F2293),"Gleich","")</f>
        <v/>
      </c>
      <c r="AN2294" s="213" t="str">
        <f t="shared" si="1051"/>
        <v>2010</v>
      </c>
      <c r="AO2294" s="213" t="str">
        <f t="shared" si="1052"/>
        <v>2010</v>
      </c>
      <c r="AP2294" s="213" t="str">
        <f t="shared" si="1053"/>
        <v>2010</v>
      </c>
      <c r="AQ2294" s="215" t="str">
        <f t="shared" si="1054"/>
        <v/>
      </c>
      <c r="AR2294" s="216" t="str">
        <f t="shared" si="1055"/>
        <v>BiK81GbK10y-08</v>
      </c>
      <c r="AS2294" s="215" t="str">
        <f t="shared" si="1056"/>
        <v/>
      </c>
      <c r="AT2294">
        <f t="shared" si="1057"/>
        <v>14</v>
      </c>
      <c r="AU2294" s="216" t="str">
        <f t="shared" si="1058"/>
        <v>0-0,15 MW, Bonusregeln G, y, b und K erstmals 2010</v>
      </c>
      <c r="AV2294" s="215" t="str">
        <f t="shared" si="1059"/>
        <v/>
      </c>
      <c r="AW2294" s="216" t="str">
        <f t="shared" si="1060"/>
        <v>Anteil KWK, erstmals 2010</v>
      </c>
      <c r="AX2294" s="215" t="str">
        <f t="shared" si="1061"/>
        <v/>
      </c>
      <c r="AY2294" t="str">
        <f t="shared" si="1062"/>
        <v/>
      </c>
      <c r="AZ2294" t="str">
        <f t="shared" si="1063"/>
        <v/>
      </c>
    </row>
    <row r="2295" spans="1:52" x14ac:dyDescent="0.25">
      <c r="A2295" s="610" t="s">
        <v>3451</v>
      </c>
      <c r="B2295" s="30" t="s">
        <v>5548</v>
      </c>
      <c r="C2295" s="30" t="s">
        <v>5540</v>
      </c>
      <c r="D2295" s="30" t="s">
        <v>6947</v>
      </c>
      <c r="E2295" s="30" t="s">
        <v>3055</v>
      </c>
      <c r="F2295" s="454">
        <f t="shared" si="1040"/>
        <v>24.61</v>
      </c>
      <c r="G2295" s="529">
        <v>24.61</v>
      </c>
      <c r="H2295" s="487">
        <f t="shared" si="1041"/>
        <v>19.690000000000001</v>
      </c>
      <c r="I2295" s="706"/>
      <c r="J2295" s="669" t="s">
        <v>5805</v>
      </c>
      <c r="K2295" s="15"/>
      <c r="M2295" s="49">
        <f t="shared" si="1042"/>
        <v>24.61</v>
      </c>
      <c r="N2295" s="41">
        <v>11.67</v>
      </c>
      <c r="O2295" s="187"/>
      <c r="P2295" s="183"/>
      <c r="Q2295" s="184"/>
      <c r="R2295" s="178"/>
      <c r="S2295" s="184" t="s">
        <v>1017</v>
      </c>
      <c r="T2295" t="s">
        <v>4180</v>
      </c>
      <c r="U2295" s="185" t="s">
        <v>1017</v>
      </c>
      <c r="V2295" s="184"/>
      <c r="W2295" s="180"/>
      <c r="X2295" s="180"/>
      <c r="Y2295" s="184" t="s">
        <v>1017</v>
      </c>
      <c r="Z2295" s="184"/>
      <c r="AA2295" s="180"/>
      <c r="AB2295" s="184"/>
      <c r="AC2295" s="184"/>
      <c r="AD2295" s="201"/>
      <c r="AE2295" s="181" t="s">
        <v>1017</v>
      </c>
      <c r="AF2295" s="180"/>
      <c r="AG2295" s="201"/>
      <c r="AH2295" s="212" t="str">
        <f t="shared" si="1050"/>
        <v>2011</v>
      </c>
      <c r="AI2295" s="214" t="str">
        <f t="shared" si="1064"/>
        <v/>
      </c>
      <c r="AJ2295" s="214" t="str">
        <f t="shared" si="1065"/>
        <v/>
      </c>
      <c r="AK2295" s="214" t="str">
        <f t="shared" si="1066"/>
        <v/>
      </c>
      <c r="AL2295" s="214" t="str">
        <f t="shared" si="1067"/>
        <v/>
      </c>
      <c r="AM2295" s="214" t="str">
        <f t="shared" si="1068"/>
        <v/>
      </c>
      <c r="AN2295" s="213" t="str">
        <f t="shared" si="1051"/>
        <v>2011</v>
      </c>
      <c r="AO2295" s="213" t="str">
        <f t="shared" si="1052"/>
        <v>2011</v>
      </c>
      <c r="AP2295" s="213" t="str">
        <f t="shared" si="1053"/>
        <v>2011</v>
      </c>
      <c r="AQ2295" s="215" t="str">
        <f t="shared" si="1054"/>
        <v/>
      </c>
      <c r="AR2295" s="216" t="str">
        <f t="shared" si="1055"/>
        <v>BiK81GbK11y-08</v>
      </c>
      <c r="AS2295" s="215" t="str">
        <f t="shared" si="1056"/>
        <v/>
      </c>
      <c r="AT2295">
        <f t="shared" si="1057"/>
        <v>14</v>
      </c>
      <c r="AU2295" s="216" t="str">
        <f t="shared" si="1058"/>
        <v>0-0,15 MW, Bonusregeln G, y, b und K erstmals 2011</v>
      </c>
      <c r="AV2295" s="215" t="str">
        <f t="shared" si="1059"/>
        <v/>
      </c>
      <c r="AW2295" s="216" t="str">
        <f t="shared" si="1060"/>
        <v>Anteil KWK, erstmals 2011</v>
      </c>
      <c r="AX2295" s="215" t="str">
        <f t="shared" si="1061"/>
        <v/>
      </c>
      <c r="AY2295" t="str">
        <f t="shared" si="1062"/>
        <v>x</v>
      </c>
      <c r="AZ2295" t="str">
        <f t="shared" si="1063"/>
        <v/>
      </c>
    </row>
    <row r="2296" spans="1:52" x14ac:dyDescent="0.25">
      <c r="A2296" s="625" t="s">
        <v>1883</v>
      </c>
      <c r="B2296" s="219" t="s">
        <v>5548</v>
      </c>
      <c r="C2296" s="219" t="s">
        <v>5540</v>
      </c>
      <c r="D2296" s="219" t="s">
        <v>6948</v>
      </c>
      <c r="E2296" s="219" t="s">
        <v>1980</v>
      </c>
      <c r="F2296" s="455">
        <f t="shared" si="1040"/>
        <v>24.58</v>
      </c>
      <c r="G2296" s="530">
        <v>24.58</v>
      </c>
      <c r="H2296" s="488">
        <f t="shared" si="1041"/>
        <v>19.66</v>
      </c>
      <c r="I2296" s="707"/>
      <c r="J2296" s="669" t="s">
        <v>5805</v>
      </c>
      <c r="K2296" s="15"/>
      <c r="M2296" s="49">
        <f t="shared" si="1042"/>
        <v>24.58</v>
      </c>
      <c r="N2296" s="41">
        <v>11.67</v>
      </c>
      <c r="O2296" s="187"/>
      <c r="P2296" s="183"/>
      <c r="Q2296" s="184"/>
      <c r="R2296" s="178"/>
      <c r="S2296" s="184" t="s">
        <v>4180</v>
      </c>
      <c r="T2296" t="s">
        <v>1017</v>
      </c>
      <c r="U2296" s="185" t="s">
        <v>1017</v>
      </c>
      <c r="V2296" s="184"/>
      <c r="W2296" s="180"/>
      <c r="X2296" s="180"/>
      <c r="Y2296" s="184" t="s">
        <v>1017</v>
      </c>
      <c r="Z2296" s="184"/>
      <c r="AA2296" s="180"/>
      <c r="AB2296" s="184"/>
      <c r="AC2296" s="184"/>
      <c r="AD2296" s="201"/>
      <c r="AE2296" s="181" t="s">
        <v>1017</v>
      </c>
      <c r="AF2296" s="180"/>
      <c r="AG2296" s="201"/>
      <c r="AH2296" s="217" t="s">
        <v>4179</v>
      </c>
      <c r="AI2296" s="214" t="str">
        <f t="shared" si="1064"/>
        <v/>
      </c>
      <c r="AJ2296" s="214" t="str">
        <f t="shared" si="1065"/>
        <v/>
      </c>
      <c r="AK2296" s="214" t="str">
        <f t="shared" si="1066"/>
        <v/>
      </c>
      <c r="AL2296" s="214" t="str">
        <f t="shared" si="1067"/>
        <v/>
      </c>
      <c r="AM2296" s="214" t="str">
        <f t="shared" si="1068"/>
        <v/>
      </c>
      <c r="AN2296" s="213" t="str">
        <f t="shared" si="1051"/>
        <v>2012</v>
      </c>
      <c r="AO2296" s="213" t="str">
        <f t="shared" si="1052"/>
        <v>2012</v>
      </c>
      <c r="AP2296" s="213" t="str">
        <f t="shared" si="1053"/>
        <v>2012</v>
      </c>
      <c r="AQ2296" s="215" t="str">
        <f t="shared" si="1054"/>
        <v/>
      </c>
      <c r="AR2296" s="216" t="str">
        <f t="shared" si="1055"/>
        <v>BiK81GbK12y-08</v>
      </c>
      <c r="AS2296" s="215" t="str">
        <f t="shared" si="1056"/>
        <v/>
      </c>
      <c r="AT2296">
        <f t="shared" si="1057"/>
        <v>14</v>
      </c>
      <c r="AU2296" s="216" t="str">
        <f t="shared" si="1058"/>
        <v>0-0,15 MW, Bonusregeln G, y, b und K erstmals 2012</v>
      </c>
      <c r="AV2296" s="215" t="str">
        <f t="shared" si="1059"/>
        <v/>
      </c>
      <c r="AW2296" s="216" t="str">
        <f t="shared" si="1060"/>
        <v>Anteil KWK, erstmals 2012</v>
      </c>
      <c r="AX2296" s="215" t="str">
        <f t="shared" si="1061"/>
        <v/>
      </c>
      <c r="AY2296" t="str">
        <f t="shared" si="1062"/>
        <v/>
      </c>
      <c r="AZ2296" t="str">
        <f t="shared" si="1063"/>
        <v>x</v>
      </c>
    </row>
    <row r="2297" spans="1:52" x14ac:dyDescent="0.25">
      <c r="A2297" s="610" t="s">
        <v>4876</v>
      </c>
      <c r="B2297" s="30" t="s">
        <v>5548</v>
      </c>
      <c r="C2297" s="30" t="s">
        <v>5540</v>
      </c>
      <c r="D2297" s="30" t="s">
        <v>6949</v>
      </c>
      <c r="E2297" s="30" t="s">
        <v>4810</v>
      </c>
      <c r="F2297" s="454">
        <f t="shared" si="1040"/>
        <v>24.67</v>
      </c>
      <c r="G2297" s="529">
        <v>24.67</v>
      </c>
      <c r="H2297" s="487">
        <f t="shared" si="1041"/>
        <v>19.739999999999998</v>
      </c>
      <c r="I2297" s="706"/>
      <c r="J2297" s="669" t="s">
        <v>5805</v>
      </c>
      <c r="K2297" s="15"/>
      <c r="M2297" s="49">
        <f t="shared" si="1042"/>
        <v>24.67</v>
      </c>
      <c r="N2297" s="41">
        <v>11.67</v>
      </c>
      <c r="O2297" s="186"/>
      <c r="P2297" s="177"/>
      <c r="Q2297" s="178"/>
      <c r="R2297" s="178"/>
      <c r="S2297" s="178" t="s">
        <v>4180</v>
      </c>
      <c r="T2297" t="s">
        <v>4180</v>
      </c>
      <c r="U2297" s="179"/>
      <c r="V2297" s="178"/>
      <c r="W2297" s="180"/>
      <c r="X2297" s="180"/>
      <c r="Y2297" s="178"/>
      <c r="Z2297" s="178" t="s">
        <v>1017</v>
      </c>
      <c r="AA2297" s="180"/>
      <c r="AB2297" s="178"/>
      <c r="AC2297" s="178"/>
      <c r="AD2297" s="201"/>
      <c r="AE2297" s="181" t="s">
        <v>1017</v>
      </c>
      <c r="AF2297" s="180"/>
      <c r="AG2297" s="201"/>
      <c r="AH2297" s="212" t="str">
        <f t="shared" ref="AH2297:AH2302" si="1069">IF(ISERROR(SEARCH("K erstmals 201",D2297)),"",RIGHT(D2297,4))</f>
        <v/>
      </c>
      <c r="AI2297" s="214" t="str">
        <f t="shared" si="1064"/>
        <v/>
      </c>
      <c r="AJ2297" s="214" t="str">
        <f t="shared" si="1065"/>
        <v/>
      </c>
      <c r="AK2297" s="214" t="str">
        <f t="shared" si="1066"/>
        <v/>
      </c>
      <c r="AL2297" s="214" t="str">
        <f t="shared" si="1067"/>
        <v/>
      </c>
      <c r="AM2297" s="214" t="str">
        <f t="shared" si="1068"/>
        <v/>
      </c>
      <c r="AN2297" s="213" t="str">
        <f t="shared" si="1051"/>
        <v/>
      </c>
      <c r="AO2297" s="213" t="str">
        <f t="shared" si="1052"/>
        <v/>
      </c>
      <c r="AP2297" s="213" t="str">
        <f t="shared" si="1053"/>
        <v/>
      </c>
      <c r="AQ2297" s="215" t="str">
        <f t="shared" si="1054"/>
        <v/>
      </c>
      <c r="AR2297" s="216" t="str">
        <f t="shared" si="1055"/>
        <v>BiK81M1b----08</v>
      </c>
      <c r="AS2297" s="215" t="str">
        <f t="shared" si="1056"/>
        <v/>
      </c>
      <c r="AT2297">
        <f t="shared" si="1057"/>
        <v>14</v>
      </c>
      <c r="AU2297" s="216" t="str">
        <f t="shared" si="1058"/>
        <v>0-0,15 MW, Bonusregeln M1, b</v>
      </c>
      <c r="AV2297" s="215" t="str">
        <f t="shared" si="1059"/>
        <v/>
      </c>
      <c r="AW2297" s="216" t="str">
        <f t="shared" si="1060"/>
        <v>Anteil Nicht-KWK</v>
      </c>
      <c r="AX2297" s="215" t="str">
        <f t="shared" si="1061"/>
        <v/>
      </c>
      <c r="AY2297" t="str">
        <f t="shared" si="1062"/>
        <v/>
      </c>
      <c r="AZ2297" t="str">
        <f t="shared" si="1063"/>
        <v/>
      </c>
    </row>
    <row r="2298" spans="1:52" x14ac:dyDescent="0.25">
      <c r="A2298" s="610" t="s">
        <v>4877</v>
      </c>
      <c r="B2298" s="30" t="s">
        <v>5548</v>
      </c>
      <c r="C2298" s="30" t="s">
        <v>5540</v>
      </c>
      <c r="D2298" s="30" t="s">
        <v>6950</v>
      </c>
      <c r="E2298" s="30" t="s">
        <v>4812</v>
      </c>
      <c r="F2298" s="454">
        <f t="shared" si="1040"/>
        <v>26.67</v>
      </c>
      <c r="G2298" s="529">
        <v>26.67</v>
      </c>
      <c r="H2298" s="487">
        <f t="shared" si="1041"/>
        <v>21.34</v>
      </c>
      <c r="I2298" s="706"/>
      <c r="J2298" s="669" t="s">
        <v>5805</v>
      </c>
      <c r="K2298" s="15"/>
      <c r="M2298" s="49">
        <f t="shared" si="1042"/>
        <v>26.67</v>
      </c>
      <c r="N2298" s="41">
        <v>11.67</v>
      </c>
      <c r="O2298" s="186" t="s">
        <v>1017</v>
      </c>
      <c r="P2298" s="177"/>
      <c r="Q2298" s="178"/>
      <c r="R2298" s="178"/>
      <c r="S2298" s="178" t="s">
        <v>4180</v>
      </c>
      <c r="T2298" t="s">
        <v>4180</v>
      </c>
      <c r="U2298" s="179"/>
      <c r="V2298" s="178"/>
      <c r="W2298" s="180"/>
      <c r="X2298" s="180"/>
      <c r="Y2298" s="178"/>
      <c r="Z2298" s="178" t="s">
        <v>1017</v>
      </c>
      <c r="AA2298" s="180"/>
      <c r="AB2298" s="178"/>
      <c r="AC2298" s="178"/>
      <c r="AD2298" s="201"/>
      <c r="AE2298" s="181" t="s">
        <v>1017</v>
      </c>
      <c r="AF2298" s="180"/>
      <c r="AG2298" s="201"/>
      <c r="AH2298" s="212" t="str">
        <f t="shared" si="1069"/>
        <v/>
      </c>
      <c r="AI2298" s="214" t="str">
        <f t="shared" si="1064"/>
        <v/>
      </c>
      <c r="AJ2298" s="214" t="str">
        <f t="shared" si="1065"/>
        <v/>
      </c>
      <c r="AK2298" s="214" t="str">
        <f t="shared" si="1066"/>
        <v/>
      </c>
      <c r="AL2298" s="214" t="str">
        <f t="shared" si="1067"/>
        <v/>
      </c>
      <c r="AM2298" s="214" t="str">
        <f t="shared" si="1068"/>
        <v/>
      </c>
      <c r="AN2298" s="213" t="str">
        <f t="shared" si="1051"/>
        <v/>
      </c>
      <c r="AO2298" s="213" t="str">
        <f t="shared" si="1052"/>
        <v/>
      </c>
      <c r="AP2298" s="213" t="str">
        <f t="shared" si="1053"/>
        <v/>
      </c>
      <c r="AQ2298" s="215" t="str">
        <f t="shared" si="1054"/>
        <v/>
      </c>
      <c r="AR2298" s="216" t="str">
        <f t="shared" si="1055"/>
        <v>BiK81M1bKWK-08</v>
      </c>
      <c r="AS2298" s="215" t="str">
        <f t="shared" si="1056"/>
        <v/>
      </c>
      <c r="AT2298">
        <f t="shared" si="1057"/>
        <v>14</v>
      </c>
      <c r="AU2298" s="216" t="str">
        <f t="shared" si="1058"/>
        <v>0-0,15 MW, Bonusregeln M1, b und KWK</v>
      </c>
      <c r="AV2298" s="215" t="str">
        <f t="shared" si="1059"/>
        <v/>
      </c>
      <c r="AW2298" s="216" t="str">
        <f t="shared" si="1060"/>
        <v>Anteil KWK</v>
      </c>
      <c r="AX2298" s="215" t="str">
        <f t="shared" si="1061"/>
        <v/>
      </c>
      <c r="AY2298" t="str">
        <f t="shared" si="1062"/>
        <v/>
      </c>
      <c r="AZ2298" t="str">
        <f t="shared" si="1063"/>
        <v/>
      </c>
    </row>
    <row r="2299" spans="1:52" x14ac:dyDescent="0.25">
      <c r="A2299" s="610" t="s">
        <v>4878</v>
      </c>
      <c r="B2299" s="30" t="s">
        <v>5548</v>
      </c>
      <c r="C2299" s="30" t="s">
        <v>5540</v>
      </c>
      <c r="D2299" s="30" t="s">
        <v>6951</v>
      </c>
      <c r="E2299" s="30" t="s">
        <v>4331</v>
      </c>
      <c r="F2299" s="454">
        <f t="shared" ref="F2299:F2362" si="1070">M2299</f>
        <v>27.67</v>
      </c>
      <c r="G2299" s="529">
        <v>27.67</v>
      </c>
      <c r="H2299" s="487">
        <f t="shared" ref="H2299:H2362" si="1071">IF(ISNUMBER(G2299),ROUND(0.8*G2299,2),"")</f>
        <v>22.14</v>
      </c>
      <c r="I2299" s="706"/>
      <c r="J2299" s="669" t="s">
        <v>5805</v>
      </c>
      <c r="K2299" s="15"/>
      <c r="M2299" s="49">
        <f t="shared" ref="M2299:M2362" si="1072">N2299+SUMIF(O2299:AG2299,"x",O$2170:AG$2170)</f>
        <v>27.67</v>
      </c>
      <c r="N2299" s="41">
        <v>11.67</v>
      </c>
      <c r="O2299" s="186"/>
      <c r="P2299" s="178" t="s">
        <v>1017</v>
      </c>
      <c r="Q2299" s="178"/>
      <c r="R2299" s="178"/>
      <c r="S2299" s="178" t="s">
        <v>4180</v>
      </c>
      <c r="T2299" t="s">
        <v>4180</v>
      </c>
      <c r="U2299" s="179"/>
      <c r="V2299" s="178"/>
      <c r="W2299" s="180"/>
      <c r="X2299" s="180"/>
      <c r="Y2299" s="178"/>
      <c r="Z2299" s="178" t="s">
        <v>1017</v>
      </c>
      <c r="AA2299" s="180"/>
      <c r="AB2299" s="178"/>
      <c r="AC2299" s="178"/>
      <c r="AD2299" s="201"/>
      <c r="AE2299" s="181" t="s">
        <v>1017</v>
      </c>
      <c r="AF2299" s="180"/>
      <c r="AG2299" s="201"/>
      <c r="AH2299" s="212" t="str">
        <f t="shared" si="1069"/>
        <v/>
      </c>
      <c r="AI2299" s="214" t="str">
        <f t="shared" si="1064"/>
        <v/>
      </c>
      <c r="AJ2299" s="214" t="str">
        <f t="shared" si="1065"/>
        <v/>
      </c>
      <c r="AK2299" s="214" t="str">
        <f t="shared" si="1066"/>
        <v/>
      </c>
      <c r="AL2299" s="214" t="str">
        <f t="shared" si="1067"/>
        <v/>
      </c>
      <c r="AM2299" s="214" t="str">
        <f t="shared" si="1068"/>
        <v/>
      </c>
      <c r="AN2299" s="213" t="str">
        <f t="shared" si="1051"/>
        <v/>
      </c>
      <c r="AO2299" s="213" t="str">
        <f t="shared" si="1052"/>
        <v/>
      </c>
      <c r="AP2299" s="213" t="str">
        <f t="shared" si="1053"/>
        <v/>
      </c>
      <c r="AQ2299" s="215" t="str">
        <f t="shared" si="1054"/>
        <v/>
      </c>
      <c r="AR2299" s="216" t="str">
        <f t="shared" si="1055"/>
        <v>BiK81M1bKA3-08</v>
      </c>
      <c r="AS2299" s="215" t="str">
        <f t="shared" si="1056"/>
        <v/>
      </c>
      <c r="AT2299">
        <f t="shared" si="1057"/>
        <v>14</v>
      </c>
      <c r="AU2299" s="216" t="str">
        <f t="shared" si="1058"/>
        <v>0-0,15 MW, Bonusregeln M1, b und K wenn Anlage 3 erfüllt</v>
      </c>
      <c r="AV2299" s="215" t="str">
        <f t="shared" si="1059"/>
        <v/>
      </c>
      <c r="AW2299" s="216" t="str">
        <f t="shared" si="1060"/>
        <v>Anteil KWK gemäß Anlage 3</v>
      </c>
      <c r="AX2299" s="215" t="str">
        <f t="shared" si="1061"/>
        <v/>
      </c>
      <c r="AY2299" t="str">
        <f t="shared" si="1062"/>
        <v/>
      </c>
      <c r="AZ2299" t="str">
        <f t="shared" si="1063"/>
        <v/>
      </c>
    </row>
    <row r="2300" spans="1:52" x14ac:dyDescent="0.25">
      <c r="A2300" s="610" t="s">
        <v>4879</v>
      </c>
      <c r="B2300" s="30" t="s">
        <v>5548</v>
      </c>
      <c r="C2300" s="30" t="s">
        <v>5540</v>
      </c>
      <c r="D2300" s="30" t="s">
        <v>6952</v>
      </c>
      <c r="E2300" s="30" t="s">
        <v>674</v>
      </c>
      <c r="F2300" s="454">
        <f t="shared" si="1070"/>
        <v>27.67</v>
      </c>
      <c r="G2300" s="529">
        <v>27.67</v>
      </c>
      <c r="H2300" s="487">
        <f t="shared" si="1071"/>
        <v>22.14</v>
      </c>
      <c r="I2300" s="706"/>
      <c r="J2300" s="669" t="s">
        <v>5805</v>
      </c>
      <c r="K2300" s="15"/>
      <c r="M2300" s="49">
        <f t="shared" si="1072"/>
        <v>27.67</v>
      </c>
      <c r="N2300" s="41">
        <v>11.67</v>
      </c>
      <c r="O2300" s="186"/>
      <c r="P2300" s="177"/>
      <c r="Q2300" s="178" t="s">
        <v>1017</v>
      </c>
      <c r="R2300" s="178"/>
      <c r="S2300" s="178" t="s">
        <v>4180</v>
      </c>
      <c r="T2300" t="s">
        <v>4180</v>
      </c>
      <c r="U2300" s="179"/>
      <c r="V2300" s="178"/>
      <c r="W2300" s="180"/>
      <c r="X2300" s="180"/>
      <c r="Y2300" s="178"/>
      <c r="Z2300" s="178" t="s">
        <v>1017</v>
      </c>
      <c r="AA2300" s="180"/>
      <c r="AB2300" s="178"/>
      <c r="AC2300" s="178"/>
      <c r="AD2300" s="201"/>
      <c r="AE2300" s="181" t="s">
        <v>1017</v>
      </c>
      <c r="AF2300" s="180"/>
      <c r="AG2300" s="201"/>
      <c r="AH2300" s="212" t="str">
        <f t="shared" si="1069"/>
        <v/>
      </c>
      <c r="AI2300" s="214" t="str">
        <f t="shared" si="1064"/>
        <v/>
      </c>
      <c r="AJ2300" s="214" t="str">
        <f t="shared" si="1065"/>
        <v/>
      </c>
      <c r="AK2300" s="214" t="str">
        <f t="shared" si="1066"/>
        <v/>
      </c>
      <c r="AL2300" s="214" t="str">
        <f t="shared" si="1067"/>
        <v/>
      </c>
      <c r="AM2300" s="214" t="str">
        <f t="shared" si="1068"/>
        <v/>
      </c>
      <c r="AN2300" s="213" t="str">
        <f t="shared" si="1051"/>
        <v/>
      </c>
      <c r="AO2300" s="213" t="str">
        <f t="shared" si="1052"/>
        <v/>
      </c>
      <c r="AP2300" s="213" t="str">
        <f t="shared" si="1053"/>
        <v/>
      </c>
      <c r="AQ2300" s="215" t="str">
        <f t="shared" si="1054"/>
        <v/>
      </c>
      <c r="AR2300" s="216" t="str">
        <f t="shared" si="1055"/>
        <v>BiK81M1bK09-08</v>
      </c>
      <c r="AS2300" s="215" t="str">
        <f t="shared" si="1056"/>
        <v/>
      </c>
      <c r="AT2300">
        <f t="shared" si="1057"/>
        <v>14</v>
      </c>
      <c r="AU2300" s="216" t="str">
        <f t="shared" si="1058"/>
        <v>0-0,15 MW, Bonusregeln M1, b und K erstmals 2009</v>
      </c>
      <c r="AV2300" s="215" t="str">
        <f t="shared" si="1059"/>
        <v/>
      </c>
      <c r="AW2300" s="216" t="str">
        <f t="shared" si="1060"/>
        <v>Anteil KWK, erstmals 2009</v>
      </c>
      <c r="AX2300" s="215" t="str">
        <f t="shared" si="1061"/>
        <v/>
      </c>
      <c r="AY2300" t="str">
        <f t="shared" si="1062"/>
        <v/>
      </c>
      <c r="AZ2300" t="str">
        <f t="shared" si="1063"/>
        <v/>
      </c>
    </row>
    <row r="2301" spans="1:52" x14ac:dyDescent="0.25">
      <c r="A2301" s="610" t="s">
        <v>3174</v>
      </c>
      <c r="B2301" s="30" t="s">
        <v>5548</v>
      </c>
      <c r="C2301" s="30" t="s">
        <v>5540</v>
      </c>
      <c r="D2301" s="30" t="s">
        <v>6953</v>
      </c>
      <c r="E2301" s="30" t="s">
        <v>3567</v>
      </c>
      <c r="F2301" s="454">
        <f t="shared" si="1070"/>
        <v>27.64</v>
      </c>
      <c r="G2301" s="529">
        <v>27.64</v>
      </c>
      <c r="H2301" s="487">
        <f t="shared" si="1071"/>
        <v>22.11</v>
      </c>
      <c r="I2301" s="706"/>
      <c r="J2301" s="669" t="s">
        <v>5805</v>
      </c>
      <c r="K2301" s="15"/>
      <c r="M2301" s="49">
        <f t="shared" si="1072"/>
        <v>27.64</v>
      </c>
      <c r="N2301" s="41">
        <v>11.67</v>
      </c>
      <c r="O2301" s="186"/>
      <c r="P2301" s="177"/>
      <c r="Q2301" s="178"/>
      <c r="R2301" s="178" t="s">
        <v>1017</v>
      </c>
      <c r="S2301" s="178" t="s">
        <v>4180</v>
      </c>
      <c r="T2301" t="s">
        <v>4180</v>
      </c>
      <c r="U2301" s="179"/>
      <c r="V2301" s="178"/>
      <c r="W2301" s="180"/>
      <c r="X2301" s="180"/>
      <c r="Y2301" s="178"/>
      <c r="Z2301" s="178" t="s">
        <v>1017</v>
      </c>
      <c r="AA2301" s="180"/>
      <c r="AB2301" s="178"/>
      <c r="AC2301" s="178"/>
      <c r="AD2301" s="201"/>
      <c r="AE2301" s="181" t="s">
        <v>1017</v>
      </c>
      <c r="AF2301" s="201"/>
      <c r="AG2301" s="201"/>
      <c r="AH2301" s="212" t="str">
        <f t="shared" si="1069"/>
        <v>2010</v>
      </c>
      <c r="AI2301" s="214" t="str">
        <f t="shared" si="1064"/>
        <v/>
      </c>
      <c r="AJ2301" s="214" t="str">
        <f t="shared" si="1065"/>
        <v/>
      </c>
      <c r="AK2301" s="214" t="str">
        <f t="shared" si="1066"/>
        <v/>
      </c>
      <c r="AL2301" s="214" t="str">
        <f t="shared" si="1067"/>
        <v/>
      </c>
      <c r="AM2301" s="214" t="str">
        <f t="shared" si="1068"/>
        <v/>
      </c>
      <c r="AN2301" s="213" t="str">
        <f t="shared" si="1051"/>
        <v>2010</v>
      </c>
      <c r="AO2301" s="213" t="str">
        <f t="shared" si="1052"/>
        <v>2010</v>
      </c>
      <c r="AP2301" s="213" t="str">
        <f t="shared" si="1053"/>
        <v>2010</v>
      </c>
      <c r="AQ2301" s="215" t="str">
        <f t="shared" si="1054"/>
        <v/>
      </c>
      <c r="AR2301" s="216" t="str">
        <f t="shared" si="1055"/>
        <v>BiK81M1bK10-08</v>
      </c>
      <c r="AS2301" s="215" t="str">
        <f t="shared" si="1056"/>
        <v/>
      </c>
      <c r="AT2301">
        <f t="shared" si="1057"/>
        <v>14</v>
      </c>
      <c r="AU2301" s="216" t="str">
        <f t="shared" si="1058"/>
        <v>0-0,15 MW, Bonusregeln M1, b und K erstmals 2010</v>
      </c>
      <c r="AV2301" s="215" t="str">
        <f t="shared" si="1059"/>
        <v/>
      </c>
      <c r="AW2301" s="216" t="str">
        <f t="shared" si="1060"/>
        <v>Anteil KWK, erstmals 2010</v>
      </c>
      <c r="AX2301" s="215" t="str">
        <f t="shared" si="1061"/>
        <v/>
      </c>
      <c r="AY2301" t="str">
        <f t="shared" si="1062"/>
        <v/>
      </c>
      <c r="AZ2301" t="str">
        <f t="shared" si="1063"/>
        <v/>
      </c>
    </row>
    <row r="2302" spans="1:52" x14ac:dyDescent="0.25">
      <c r="A2302" s="610" t="s">
        <v>3452</v>
      </c>
      <c r="B2302" s="30" t="s">
        <v>5548</v>
      </c>
      <c r="C2302" s="30" t="s">
        <v>5540</v>
      </c>
      <c r="D2302" s="30" t="s">
        <v>6954</v>
      </c>
      <c r="E2302" s="30" t="s">
        <v>3055</v>
      </c>
      <c r="F2302" s="454">
        <f t="shared" si="1070"/>
        <v>27.61</v>
      </c>
      <c r="G2302" s="529">
        <v>27.61</v>
      </c>
      <c r="H2302" s="487">
        <f t="shared" si="1071"/>
        <v>22.09</v>
      </c>
      <c r="I2302" s="706"/>
      <c r="J2302" s="669" t="s">
        <v>5805</v>
      </c>
      <c r="K2302" s="15"/>
      <c r="M2302" s="49">
        <f t="shared" si="1072"/>
        <v>27.61</v>
      </c>
      <c r="N2302" s="41">
        <v>11.67</v>
      </c>
      <c r="O2302" s="186"/>
      <c r="P2302" s="177"/>
      <c r="Q2302" s="178"/>
      <c r="R2302" s="178"/>
      <c r="S2302" s="178" t="s">
        <v>1017</v>
      </c>
      <c r="T2302" t="s">
        <v>4180</v>
      </c>
      <c r="U2302" s="179"/>
      <c r="V2302" s="178"/>
      <c r="W2302" s="180"/>
      <c r="X2302" s="180"/>
      <c r="Y2302" s="178"/>
      <c r="Z2302" s="178" t="s">
        <v>1017</v>
      </c>
      <c r="AA2302" s="180"/>
      <c r="AB2302" s="178"/>
      <c r="AC2302" s="178"/>
      <c r="AD2302" s="201"/>
      <c r="AE2302" s="181" t="s">
        <v>1017</v>
      </c>
      <c r="AF2302" s="180"/>
      <c r="AG2302" s="201"/>
      <c r="AH2302" s="212" t="str">
        <f t="shared" si="1069"/>
        <v>2011</v>
      </c>
      <c r="AI2302" s="214" t="str">
        <f t="shared" si="1064"/>
        <v/>
      </c>
      <c r="AJ2302" s="214" t="str">
        <f t="shared" si="1065"/>
        <v/>
      </c>
      <c r="AK2302" s="214" t="str">
        <f t="shared" si="1066"/>
        <v/>
      </c>
      <c r="AL2302" s="214" t="str">
        <f t="shared" si="1067"/>
        <v/>
      </c>
      <c r="AM2302" s="214" t="str">
        <f t="shared" si="1068"/>
        <v/>
      </c>
      <c r="AN2302" s="213" t="str">
        <f t="shared" si="1051"/>
        <v>2011</v>
      </c>
      <c r="AO2302" s="213" t="str">
        <f t="shared" si="1052"/>
        <v>2011</v>
      </c>
      <c r="AP2302" s="213" t="str">
        <f t="shared" si="1053"/>
        <v>2011</v>
      </c>
      <c r="AQ2302" s="215" t="str">
        <f t="shared" si="1054"/>
        <v/>
      </c>
      <c r="AR2302" s="216" t="str">
        <f t="shared" si="1055"/>
        <v>BiK81M1bK11-08</v>
      </c>
      <c r="AS2302" s="215" t="str">
        <f t="shared" si="1056"/>
        <v/>
      </c>
      <c r="AT2302">
        <f t="shared" si="1057"/>
        <v>14</v>
      </c>
      <c r="AU2302" s="216" t="str">
        <f t="shared" si="1058"/>
        <v>0-0,15 MW, Bonusregeln M1, b und K erstmals 2011</v>
      </c>
      <c r="AV2302" s="215" t="str">
        <f t="shared" si="1059"/>
        <v/>
      </c>
      <c r="AW2302" s="216" t="str">
        <f t="shared" si="1060"/>
        <v>Anteil KWK, erstmals 2011</v>
      </c>
      <c r="AX2302" s="215" t="str">
        <f t="shared" si="1061"/>
        <v/>
      </c>
      <c r="AY2302" t="str">
        <f t="shared" si="1062"/>
        <v>x</v>
      </c>
      <c r="AZ2302" t="str">
        <f t="shared" si="1063"/>
        <v/>
      </c>
    </row>
    <row r="2303" spans="1:52" x14ac:dyDescent="0.25">
      <c r="A2303" s="625" t="s">
        <v>1884</v>
      </c>
      <c r="B2303" s="219" t="s">
        <v>5548</v>
      </c>
      <c r="C2303" s="219" t="s">
        <v>5540</v>
      </c>
      <c r="D2303" s="219" t="s">
        <v>6955</v>
      </c>
      <c r="E2303" s="219" t="s">
        <v>1980</v>
      </c>
      <c r="F2303" s="455">
        <f t="shared" si="1070"/>
        <v>27.58</v>
      </c>
      <c r="G2303" s="530">
        <v>27.58</v>
      </c>
      <c r="H2303" s="488">
        <f t="shared" si="1071"/>
        <v>22.06</v>
      </c>
      <c r="I2303" s="707"/>
      <c r="J2303" s="669" t="s">
        <v>5805</v>
      </c>
      <c r="K2303" s="15"/>
      <c r="M2303" s="49">
        <f t="shared" si="1072"/>
        <v>27.58</v>
      </c>
      <c r="N2303" s="41">
        <v>11.67</v>
      </c>
      <c r="O2303" s="186"/>
      <c r="P2303" s="177"/>
      <c r="Q2303" s="178"/>
      <c r="R2303" s="178"/>
      <c r="S2303" s="178" t="s">
        <v>4180</v>
      </c>
      <c r="T2303" t="s">
        <v>1017</v>
      </c>
      <c r="U2303" s="179"/>
      <c r="V2303" s="178"/>
      <c r="W2303" s="180"/>
      <c r="X2303" s="180"/>
      <c r="Y2303" s="178"/>
      <c r="Z2303" s="178" t="s">
        <v>1017</v>
      </c>
      <c r="AA2303" s="180"/>
      <c r="AB2303" s="178"/>
      <c r="AC2303" s="178"/>
      <c r="AD2303" s="201"/>
      <c r="AE2303" s="181" t="s">
        <v>1017</v>
      </c>
      <c r="AF2303" s="180"/>
      <c r="AG2303" s="201"/>
      <c r="AH2303" s="217" t="s">
        <v>4179</v>
      </c>
      <c r="AI2303" s="214" t="str">
        <f t="shared" si="1064"/>
        <v/>
      </c>
      <c r="AJ2303" s="214" t="str">
        <f t="shared" si="1065"/>
        <v/>
      </c>
      <c r="AK2303" s="214" t="str">
        <f t="shared" si="1066"/>
        <v/>
      </c>
      <c r="AL2303" s="214" t="str">
        <f t="shared" si="1067"/>
        <v/>
      </c>
      <c r="AM2303" s="214" t="str">
        <f t="shared" si="1068"/>
        <v/>
      </c>
      <c r="AN2303" s="213" t="str">
        <f t="shared" si="1051"/>
        <v>2012</v>
      </c>
      <c r="AO2303" s="213" t="str">
        <f t="shared" si="1052"/>
        <v>2012</v>
      </c>
      <c r="AP2303" s="213" t="str">
        <f t="shared" si="1053"/>
        <v>2012</v>
      </c>
      <c r="AQ2303" s="215" t="str">
        <f t="shared" si="1054"/>
        <v/>
      </c>
      <c r="AR2303" s="216" t="str">
        <f t="shared" si="1055"/>
        <v>BiK81M1bK12-08</v>
      </c>
      <c r="AS2303" s="215" t="str">
        <f t="shared" si="1056"/>
        <v/>
      </c>
      <c r="AT2303">
        <f t="shared" si="1057"/>
        <v>14</v>
      </c>
      <c r="AU2303" s="216" t="str">
        <f t="shared" si="1058"/>
        <v>0-0,15 MW, Bonusregeln M1, b und K erstmals 2012</v>
      </c>
      <c r="AV2303" s="215" t="str">
        <f t="shared" si="1059"/>
        <v/>
      </c>
      <c r="AW2303" s="216" t="str">
        <f t="shared" si="1060"/>
        <v>Anteil KWK, erstmals 2012</v>
      </c>
      <c r="AX2303" s="215" t="str">
        <f t="shared" si="1061"/>
        <v/>
      </c>
      <c r="AY2303" t="str">
        <f t="shared" si="1062"/>
        <v/>
      </c>
      <c r="AZ2303" t="str">
        <f t="shared" si="1063"/>
        <v>x</v>
      </c>
    </row>
    <row r="2304" spans="1:52" x14ac:dyDescent="0.25">
      <c r="A2304" s="610" t="s">
        <v>4880</v>
      </c>
      <c r="B2304" s="30" t="s">
        <v>5548</v>
      </c>
      <c r="C2304" s="30" t="s">
        <v>5540</v>
      </c>
      <c r="D2304" s="30" t="s">
        <v>6956</v>
      </c>
      <c r="E2304" s="30" t="s">
        <v>4810</v>
      </c>
      <c r="F2304" s="454">
        <f t="shared" si="1070"/>
        <v>25.67</v>
      </c>
      <c r="G2304" s="529">
        <v>25.67</v>
      </c>
      <c r="H2304" s="487">
        <f t="shared" si="1071"/>
        <v>20.54</v>
      </c>
      <c r="I2304" s="706"/>
      <c r="J2304" s="669" t="s">
        <v>5805</v>
      </c>
      <c r="K2304" s="15"/>
      <c r="M2304" s="49">
        <f t="shared" si="1072"/>
        <v>25.67</v>
      </c>
      <c r="N2304" s="41">
        <v>11.67</v>
      </c>
      <c r="O2304" s="187"/>
      <c r="P2304" s="183"/>
      <c r="Q2304" s="184"/>
      <c r="R2304" s="184"/>
      <c r="S2304" s="184" t="s">
        <v>4180</v>
      </c>
      <c r="T2304" t="s">
        <v>4180</v>
      </c>
      <c r="U2304" s="185" t="s">
        <v>1017</v>
      </c>
      <c r="V2304" s="184"/>
      <c r="W2304" s="180"/>
      <c r="X2304" s="180"/>
      <c r="Y2304" s="178"/>
      <c r="Z2304" s="184" t="s">
        <v>1017</v>
      </c>
      <c r="AA2304" s="180"/>
      <c r="AB2304" s="184"/>
      <c r="AC2304" s="184"/>
      <c r="AD2304" s="201"/>
      <c r="AE2304" s="181" t="s">
        <v>1017</v>
      </c>
      <c r="AF2304" s="180"/>
      <c r="AG2304" s="201"/>
      <c r="AH2304" s="212" t="str">
        <f t="shared" ref="AH2304:AH2309" si="1073">IF(ISERROR(SEARCH("K erstmals 201",D2304)),"",RIGHT(D2304,4))</f>
        <v/>
      </c>
      <c r="AI2304" s="214" t="str">
        <f t="shared" si="1064"/>
        <v/>
      </c>
      <c r="AJ2304" s="214" t="str">
        <f t="shared" si="1065"/>
        <v/>
      </c>
      <c r="AK2304" s="214" t="str">
        <f t="shared" si="1066"/>
        <v/>
      </c>
      <c r="AL2304" s="214" t="str">
        <f t="shared" si="1067"/>
        <v/>
      </c>
      <c r="AM2304" s="214" t="str">
        <f t="shared" si="1068"/>
        <v/>
      </c>
      <c r="AN2304" s="213" t="str">
        <f t="shared" si="1051"/>
        <v/>
      </c>
      <c r="AO2304" s="213" t="str">
        <f t="shared" si="1052"/>
        <v/>
      </c>
      <c r="AP2304" s="213" t="str">
        <f t="shared" si="1053"/>
        <v/>
      </c>
      <c r="AQ2304" s="215" t="str">
        <f t="shared" si="1054"/>
        <v/>
      </c>
      <c r="AR2304" s="216" t="str">
        <f t="shared" si="1055"/>
        <v>BiK81M1by---08</v>
      </c>
      <c r="AS2304" s="215" t="str">
        <f t="shared" si="1056"/>
        <v/>
      </c>
      <c r="AT2304">
        <f t="shared" si="1057"/>
        <v>14</v>
      </c>
      <c r="AU2304" s="216" t="str">
        <f t="shared" si="1058"/>
        <v>0-0,15 MW, Bonusregeln M1, y, b</v>
      </c>
      <c r="AV2304" s="215" t="str">
        <f t="shared" si="1059"/>
        <v/>
      </c>
      <c r="AW2304" s="216" t="str">
        <f t="shared" si="1060"/>
        <v>Anteil Nicht-KWK</v>
      </c>
      <c r="AX2304" s="215" t="str">
        <f t="shared" si="1061"/>
        <v/>
      </c>
      <c r="AY2304" t="str">
        <f t="shared" si="1062"/>
        <v/>
      </c>
      <c r="AZ2304" t="str">
        <f t="shared" si="1063"/>
        <v/>
      </c>
    </row>
    <row r="2305" spans="1:52" x14ac:dyDescent="0.25">
      <c r="A2305" s="610" t="s">
        <v>4881</v>
      </c>
      <c r="B2305" s="30" t="s">
        <v>5548</v>
      </c>
      <c r="C2305" s="30" t="s">
        <v>5540</v>
      </c>
      <c r="D2305" s="30" t="s">
        <v>6957</v>
      </c>
      <c r="E2305" s="30" t="s">
        <v>4812</v>
      </c>
      <c r="F2305" s="454">
        <f t="shared" si="1070"/>
        <v>27.67</v>
      </c>
      <c r="G2305" s="529">
        <v>27.67</v>
      </c>
      <c r="H2305" s="487">
        <f t="shared" si="1071"/>
        <v>22.14</v>
      </c>
      <c r="I2305" s="706"/>
      <c r="J2305" s="669" t="s">
        <v>5805</v>
      </c>
      <c r="K2305" s="15"/>
      <c r="M2305" s="49">
        <f t="shared" si="1072"/>
        <v>27.67</v>
      </c>
      <c r="N2305" s="41">
        <v>11.67</v>
      </c>
      <c r="O2305" s="187" t="s">
        <v>1017</v>
      </c>
      <c r="P2305" s="183"/>
      <c r="Q2305" s="184"/>
      <c r="R2305" s="184"/>
      <c r="S2305" s="184" t="s">
        <v>4180</v>
      </c>
      <c r="T2305" t="s">
        <v>4180</v>
      </c>
      <c r="U2305" s="185" t="s">
        <v>1017</v>
      </c>
      <c r="V2305" s="184"/>
      <c r="W2305" s="180"/>
      <c r="X2305" s="180"/>
      <c r="Y2305" s="178"/>
      <c r="Z2305" s="184" t="s">
        <v>1017</v>
      </c>
      <c r="AA2305" s="180"/>
      <c r="AB2305" s="184"/>
      <c r="AC2305" s="184"/>
      <c r="AD2305" s="201"/>
      <c r="AE2305" s="181" t="s">
        <v>1017</v>
      </c>
      <c r="AF2305" s="180"/>
      <c r="AG2305" s="201"/>
      <c r="AH2305" s="212" t="str">
        <f t="shared" si="1073"/>
        <v/>
      </c>
      <c r="AI2305" s="214" t="str">
        <f t="shared" si="1064"/>
        <v/>
      </c>
      <c r="AJ2305" s="214" t="str">
        <f t="shared" si="1065"/>
        <v/>
      </c>
      <c r="AK2305" s="214" t="str">
        <f t="shared" si="1066"/>
        <v/>
      </c>
      <c r="AL2305" s="214" t="str">
        <f t="shared" si="1067"/>
        <v/>
      </c>
      <c r="AM2305" s="214" t="str">
        <f t="shared" si="1068"/>
        <v/>
      </c>
      <c r="AN2305" s="213" t="str">
        <f t="shared" si="1051"/>
        <v/>
      </c>
      <c r="AO2305" s="213" t="str">
        <f t="shared" si="1052"/>
        <v/>
      </c>
      <c r="AP2305" s="213" t="str">
        <f t="shared" si="1053"/>
        <v/>
      </c>
      <c r="AQ2305" s="215" t="str">
        <f t="shared" si="1054"/>
        <v/>
      </c>
      <c r="AR2305" s="216" t="str">
        <f t="shared" si="1055"/>
        <v>BiK81M1bKWKy08</v>
      </c>
      <c r="AS2305" s="215" t="str">
        <f t="shared" si="1056"/>
        <v/>
      </c>
      <c r="AT2305">
        <f t="shared" si="1057"/>
        <v>14</v>
      </c>
      <c r="AU2305" s="216" t="str">
        <f t="shared" si="1058"/>
        <v>0-0,15 MW, Bonusregeln M1, y, b und KWK</v>
      </c>
      <c r="AV2305" s="215" t="str">
        <f t="shared" si="1059"/>
        <v/>
      </c>
      <c r="AW2305" s="216" t="str">
        <f t="shared" si="1060"/>
        <v>Anteil KWK</v>
      </c>
      <c r="AX2305" s="215" t="str">
        <f t="shared" si="1061"/>
        <v/>
      </c>
      <c r="AY2305" t="str">
        <f t="shared" si="1062"/>
        <v/>
      </c>
      <c r="AZ2305" t="str">
        <f t="shared" si="1063"/>
        <v/>
      </c>
    </row>
    <row r="2306" spans="1:52" x14ac:dyDescent="0.25">
      <c r="A2306" s="610" t="s">
        <v>4882</v>
      </c>
      <c r="B2306" s="30" t="s">
        <v>5548</v>
      </c>
      <c r="C2306" s="30" t="s">
        <v>5540</v>
      </c>
      <c r="D2306" s="109" t="s">
        <v>6958</v>
      </c>
      <c r="E2306" s="30" t="s">
        <v>4331</v>
      </c>
      <c r="F2306" s="454">
        <f t="shared" si="1070"/>
        <v>28.67</v>
      </c>
      <c r="G2306" s="529">
        <v>28.67</v>
      </c>
      <c r="H2306" s="487">
        <f t="shared" si="1071"/>
        <v>22.94</v>
      </c>
      <c r="I2306" s="706"/>
      <c r="J2306" s="669" t="s">
        <v>5805</v>
      </c>
      <c r="K2306" s="15"/>
      <c r="M2306" s="49">
        <f t="shared" si="1072"/>
        <v>28.67</v>
      </c>
      <c r="N2306" s="41">
        <v>11.67</v>
      </c>
      <c r="O2306" s="187"/>
      <c r="P2306" s="184" t="s">
        <v>1017</v>
      </c>
      <c r="Q2306" s="184"/>
      <c r="R2306" s="184"/>
      <c r="S2306" s="184" t="s">
        <v>4180</v>
      </c>
      <c r="T2306" t="s">
        <v>4180</v>
      </c>
      <c r="U2306" s="185" t="s">
        <v>1017</v>
      </c>
      <c r="V2306" s="184"/>
      <c r="W2306" s="180"/>
      <c r="X2306" s="180"/>
      <c r="Y2306" s="178"/>
      <c r="Z2306" s="184" t="s">
        <v>1017</v>
      </c>
      <c r="AA2306" s="180"/>
      <c r="AB2306" s="184"/>
      <c r="AC2306" s="184"/>
      <c r="AD2306" s="201"/>
      <c r="AE2306" s="181" t="s">
        <v>1017</v>
      </c>
      <c r="AF2306" s="180"/>
      <c r="AG2306" s="201"/>
      <c r="AH2306" s="212" t="str">
        <f t="shared" si="1073"/>
        <v/>
      </c>
      <c r="AI2306" s="214" t="str">
        <f t="shared" si="1064"/>
        <v/>
      </c>
      <c r="AJ2306" s="214" t="str">
        <f t="shared" si="1065"/>
        <v/>
      </c>
      <c r="AK2306" s="214" t="str">
        <f t="shared" si="1066"/>
        <v/>
      </c>
      <c r="AL2306" s="214" t="str">
        <f t="shared" si="1067"/>
        <v/>
      </c>
      <c r="AM2306" s="214" t="str">
        <f t="shared" si="1068"/>
        <v/>
      </c>
      <c r="AN2306" s="213" t="str">
        <f t="shared" si="1051"/>
        <v/>
      </c>
      <c r="AO2306" s="213" t="str">
        <f t="shared" si="1052"/>
        <v/>
      </c>
      <c r="AP2306" s="213" t="str">
        <f t="shared" si="1053"/>
        <v/>
      </c>
      <c r="AQ2306" s="215" t="str">
        <f t="shared" si="1054"/>
        <v/>
      </c>
      <c r="AR2306" s="216" t="str">
        <f t="shared" si="1055"/>
        <v>BiK81M1bKA3y08</v>
      </c>
      <c r="AS2306" s="215" t="str">
        <f t="shared" si="1056"/>
        <v/>
      </c>
      <c r="AT2306">
        <f t="shared" si="1057"/>
        <v>14</v>
      </c>
      <c r="AU2306" s="216" t="str">
        <f t="shared" si="1058"/>
        <v>0-0,15 MW, Bonusregeln M1, y, b und K wenn Anlage 3 erfüllt</v>
      </c>
      <c r="AV2306" s="215" t="str">
        <f t="shared" si="1059"/>
        <v/>
      </c>
      <c r="AW2306" s="216" t="str">
        <f t="shared" si="1060"/>
        <v>Anteil KWK gemäß Anlage 3</v>
      </c>
      <c r="AX2306" s="215" t="str">
        <f t="shared" si="1061"/>
        <v/>
      </c>
      <c r="AY2306" t="str">
        <f t="shared" si="1062"/>
        <v/>
      </c>
      <c r="AZ2306" t="str">
        <f t="shared" si="1063"/>
        <v/>
      </c>
    </row>
    <row r="2307" spans="1:52" x14ac:dyDescent="0.25">
      <c r="A2307" s="610" t="s">
        <v>4883</v>
      </c>
      <c r="B2307" s="30" t="s">
        <v>5548</v>
      </c>
      <c r="C2307" s="30" t="s">
        <v>5540</v>
      </c>
      <c r="D2307" s="30" t="s">
        <v>6959</v>
      </c>
      <c r="E2307" s="30" t="s">
        <v>674</v>
      </c>
      <c r="F2307" s="454">
        <f t="shared" si="1070"/>
        <v>28.67</v>
      </c>
      <c r="G2307" s="529">
        <v>28.67</v>
      </c>
      <c r="H2307" s="487">
        <f t="shared" si="1071"/>
        <v>22.94</v>
      </c>
      <c r="I2307" s="706"/>
      <c r="J2307" s="669" t="s">
        <v>5805</v>
      </c>
      <c r="K2307" s="15"/>
      <c r="M2307" s="49">
        <f t="shared" si="1072"/>
        <v>28.67</v>
      </c>
      <c r="N2307" s="41">
        <v>11.67</v>
      </c>
      <c r="O2307" s="187"/>
      <c r="P2307" s="183"/>
      <c r="Q2307" s="184" t="s">
        <v>1017</v>
      </c>
      <c r="R2307" s="184"/>
      <c r="S2307" s="184" t="s">
        <v>4180</v>
      </c>
      <c r="T2307" t="s">
        <v>4180</v>
      </c>
      <c r="U2307" s="185" t="s">
        <v>1017</v>
      </c>
      <c r="V2307" s="184"/>
      <c r="W2307" s="180"/>
      <c r="X2307" s="180"/>
      <c r="Y2307" s="178"/>
      <c r="Z2307" s="184" t="s">
        <v>1017</v>
      </c>
      <c r="AA2307" s="180"/>
      <c r="AB2307" s="184"/>
      <c r="AC2307" s="184"/>
      <c r="AD2307" s="201"/>
      <c r="AE2307" s="181" t="s">
        <v>1017</v>
      </c>
      <c r="AF2307" s="180"/>
      <c r="AG2307" s="201"/>
      <c r="AH2307" s="212" t="str">
        <f t="shared" si="1073"/>
        <v/>
      </c>
      <c r="AI2307" s="214" t="str">
        <f t="shared" si="1064"/>
        <v/>
      </c>
      <c r="AJ2307" s="214" t="str">
        <f t="shared" si="1065"/>
        <v/>
      </c>
      <c r="AK2307" s="214" t="str">
        <f t="shared" si="1066"/>
        <v/>
      </c>
      <c r="AL2307" s="214" t="str">
        <f t="shared" si="1067"/>
        <v/>
      </c>
      <c r="AM2307" s="214" t="str">
        <f t="shared" si="1068"/>
        <v/>
      </c>
      <c r="AN2307" s="213" t="str">
        <f t="shared" si="1051"/>
        <v/>
      </c>
      <c r="AO2307" s="213" t="str">
        <f t="shared" si="1052"/>
        <v/>
      </c>
      <c r="AP2307" s="213" t="str">
        <f t="shared" si="1053"/>
        <v/>
      </c>
      <c r="AQ2307" s="215" t="str">
        <f t="shared" si="1054"/>
        <v/>
      </c>
      <c r="AR2307" s="216" t="str">
        <f t="shared" si="1055"/>
        <v>BiK81M1bK09y08</v>
      </c>
      <c r="AS2307" s="215" t="str">
        <f t="shared" si="1056"/>
        <v/>
      </c>
      <c r="AT2307">
        <f t="shared" si="1057"/>
        <v>14</v>
      </c>
      <c r="AU2307" s="216" t="str">
        <f t="shared" si="1058"/>
        <v>0-0,15 MW, Bonusregeln M1, y, b und K erstmals 2009</v>
      </c>
      <c r="AV2307" s="215" t="str">
        <f t="shared" si="1059"/>
        <v/>
      </c>
      <c r="AW2307" s="216" t="str">
        <f t="shared" si="1060"/>
        <v>Anteil KWK, erstmals 2009</v>
      </c>
      <c r="AX2307" s="215" t="str">
        <f t="shared" si="1061"/>
        <v/>
      </c>
      <c r="AY2307" t="str">
        <f t="shared" si="1062"/>
        <v/>
      </c>
      <c r="AZ2307" t="str">
        <f t="shared" si="1063"/>
        <v/>
      </c>
    </row>
    <row r="2308" spans="1:52" s="178" customFormat="1" x14ac:dyDescent="0.25">
      <c r="A2308" s="610" t="s">
        <v>3175</v>
      </c>
      <c r="B2308" s="30" t="s">
        <v>5548</v>
      </c>
      <c r="C2308" s="30" t="s">
        <v>5540</v>
      </c>
      <c r="D2308" s="30" t="s">
        <v>6960</v>
      </c>
      <c r="E2308" s="30" t="s">
        <v>3567</v>
      </c>
      <c r="F2308" s="454">
        <f t="shared" si="1070"/>
        <v>28.64</v>
      </c>
      <c r="G2308" s="529">
        <v>28.64</v>
      </c>
      <c r="H2308" s="487">
        <f t="shared" si="1071"/>
        <v>22.91</v>
      </c>
      <c r="I2308" s="706"/>
      <c r="J2308" s="669" t="s">
        <v>5805</v>
      </c>
      <c r="K2308" s="15"/>
      <c r="L2308"/>
      <c r="M2308" s="49">
        <f t="shared" si="1072"/>
        <v>28.64</v>
      </c>
      <c r="N2308" s="41">
        <v>11.67</v>
      </c>
      <c r="O2308" s="187"/>
      <c r="P2308" s="183"/>
      <c r="Q2308" s="184"/>
      <c r="R2308" s="184" t="s">
        <v>1017</v>
      </c>
      <c r="S2308" s="184" t="s">
        <v>4180</v>
      </c>
      <c r="T2308" s="178" t="s">
        <v>4180</v>
      </c>
      <c r="U2308" s="185" t="s">
        <v>1017</v>
      </c>
      <c r="V2308" s="184"/>
      <c r="W2308" s="180"/>
      <c r="X2308" s="180"/>
      <c r="Z2308" s="184" t="s">
        <v>1017</v>
      </c>
      <c r="AA2308" s="180"/>
      <c r="AB2308" s="184"/>
      <c r="AC2308" s="184"/>
      <c r="AD2308" s="201"/>
      <c r="AE2308" s="181" t="s">
        <v>1017</v>
      </c>
      <c r="AF2308" s="180"/>
      <c r="AG2308" s="201"/>
      <c r="AH2308" s="212" t="str">
        <f t="shared" si="1073"/>
        <v>2010</v>
      </c>
      <c r="AI2308" s="214" t="str">
        <f t="shared" si="1064"/>
        <v/>
      </c>
      <c r="AJ2308" s="214" t="str">
        <f t="shared" si="1065"/>
        <v/>
      </c>
      <c r="AK2308" s="214" t="str">
        <f t="shared" si="1066"/>
        <v/>
      </c>
      <c r="AL2308" s="214" t="str">
        <f t="shared" si="1067"/>
        <v/>
      </c>
      <c r="AM2308" s="214" t="str">
        <f t="shared" si="1068"/>
        <v/>
      </c>
      <c r="AN2308" s="213" t="str">
        <f t="shared" si="1051"/>
        <v>2010</v>
      </c>
      <c r="AO2308" s="213" t="str">
        <f t="shared" si="1052"/>
        <v>2010</v>
      </c>
      <c r="AP2308" s="213" t="str">
        <f t="shared" si="1053"/>
        <v>2010</v>
      </c>
      <c r="AQ2308" s="215" t="str">
        <f t="shared" si="1054"/>
        <v/>
      </c>
      <c r="AR2308" s="216" t="str">
        <f t="shared" si="1055"/>
        <v>BiK81M1bK10y08</v>
      </c>
      <c r="AS2308" s="215" t="str">
        <f t="shared" si="1056"/>
        <v/>
      </c>
      <c r="AT2308">
        <f t="shared" si="1057"/>
        <v>14</v>
      </c>
      <c r="AU2308" s="216" t="str">
        <f t="shared" si="1058"/>
        <v>0-0,15 MW, Bonusregeln M1, y, b und K erstmals 2010</v>
      </c>
      <c r="AV2308" s="215" t="str">
        <f t="shared" si="1059"/>
        <v/>
      </c>
      <c r="AW2308" s="216" t="str">
        <f t="shared" si="1060"/>
        <v>Anteil KWK, erstmals 2010</v>
      </c>
      <c r="AX2308" s="215" t="str">
        <f t="shared" si="1061"/>
        <v/>
      </c>
      <c r="AY2308" t="str">
        <f t="shared" si="1062"/>
        <v/>
      </c>
      <c r="AZ2308" t="str">
        <f t="shared" si="1063"/>
        <v/>
      </c>
    </row>
    <row r="2309" spans="1:52" s="178" customFormat="1" x14ac:dyDescent="0.25">
      <c r="A2309" s="610" t="s">
        <v>3453</v>
      </c>
      <c r="B2309" s="30" t="s">
        <v>5548</v>
      </c>
      <c r="C2309" s="30" t="s">
        <v>5540</v>
      </c>
      <c r="D2309" s="30" t="s">
        <v>6961</v>
      </c>
      <c r="E2309" s="30" t="s">
        <v>3055</v>
      </c>
      <c r="F2309" s="454">
        <f t="shared" si="1070"/>
        <v>28.61</v>
      </c>
      <c r="G2309" s="529">
        <v>28.61</v>
      </c>
      <c r="H2309" s="487">
        <f t="shared" si="1071"/>
        <v>22.89</v>
      </c>
      <c r="I2309" s="706"/>
      <c r="J2309" s="669" t="s">
        <v>5805</v>
      </c>
      <c r="K2309" s="15"/>
      <c r="L2309"/>
      <c r="M2309" s="49">
        <f t="shared" si="1072"/>
        <v>28.61</v>
      </c>
      <c r="N2309" s="41">
        <v>11.67</v>
      </c>
      <c r="O2309" s="187"/>
      <c r="P2309" s="183"/>
      <c r="Q2309" s="184"/>
      <c r="S2309" s="184" t="s">
        <v>1017</v>
      </c>
      <c r="T2309" s="178" t="s">
        <v>4180</v>
      </c>
      <c r="U2309" s="185" t="s">
        <v>1017</v>
      </c>
      <c r="V2309" s="184"/>
      <c r="W2309" s="180"/>
      <c r="X2309" s="180"/>
      <c r="Z2309" s="184" t="s">
        <v>1017</v>
      </c>
      <c r="AA2309" s="180"/>
      <c r="AB2309" s="184"/>
      <c r="AC2309" s="184"/>
      <c r="AD2309" s="201"/>
      <c r="AE2309" s="181" t="s">
        <v>1017</v>
      </c>
      <c r="AF2309" s="180"/>
      <c r="AG2309" s="201"/>
      <c r="AH2309" s="212" t="str">
        <f t="shared" si="1073"/>
        <v>2011</v>
      </c>
      <c r="AI2309" s="214" t="str">
        <f t="shared" si="1064"/>
        <v/>
      </c>
      <c r="AJ2309" s="214" t="str">
        <f t="shared" si="1065"/>
        <v/>
      </c>
      <c r="AK2309" s="214" t="str">
        <f t="shared" si="1066"/>
        <v/>
      </c>
      <c r="AL2309" s="214" t="str">
        <f t="shared" si="1067"/>
        <v/>
      </c>
      <c r="AM2309" s="214" t="str">
        <f t="shared" si="1068"/>
        <v/>
      </c>
      <c r="AN2309" s="213" t="str">
        <f t="shared" si="1051"/>
        <v>2011</v>
      </c>
      <c r="AO2309" s="213" t="str">
        <f t="shared" si="1052"/>
        <v>2011</v>
      </c>
      <c r="AP2309" s="213" t="str">
        <f t="shared" si="1053"/>
        <v>2011</v>
      </c>
      <c r="AQ2309" s="215" t="str">
        <f t="shared" si="1054"/>
        <v/>
      </c>
      <c r="AR2309" s="216" t="str">
        <f t="shared" si="1055"/>
        <v>BiK81M1bK11y08</v>
      </c>
      <c r="AS2309" s="215" t="str">
        <f t="shared" si="1056"/>
        <v/>
      </c>
      <c r="AT2309">
        <f t="shared" si="1057"/>
        <v>14</v>
      </c>
      <c r="AU2309" s="216" t="str">
        <f t="shared" si="1058"/>
        <v>0-0,15 MW, Bonusregeln M1, y, b und K erstmals 2011</v>
      </c>
      <c r="AV2309" s="215" t="str">
        <f t="shared" si="1059"/>
        <v/>
      </c>
      <c r="AW2309" s="216" t="str">
        <f t="shared" si="1060"/>
        <v>Anteil KWK, erstmals 2011</v>
      </c>
      <c r="AX2309" s="215" t="str">
        <f t="shared" si="1061"/>
        <v/>
      </c>
      <c r="AY2309" t="str">
        <f t="shared" si="1062"/>
        <v>x</v>
      </c>
      <c r="AZ2309" t="str">
        <f t="shared" si="1063"/>
        <v/>
      </c>
    </row>
    <row r="2310" spans="1:52" s="178" customFormat="1" x14ac:dyDescent="0.25">
      <c r="A2310" s="625" t="s">
        <v>1885</v>
      </c>
      <c r="B2310" s="219" t="s">
        <v>5548</v>
      </c>
      <c r="C2310" s="219" t="s">
        <v>5540</v>
      </c>
      <c r="D2310" s="219" t="s">
        <v>6962</v>
      </c>
      <c r="E2310" s="219" t="s">
        <v>1980</v>
      </c>
      <c r="F2310" s="455">
        <f t="shared" si="1070"/>
        <v>28.58</v>
      </c>
      <c r="G2310" s="530">
        <v>28.58</v>
      </c>
      <c r="H2310" s="488">
        <f t="shared" si="1071"/>
        <v>22.86</v>
      </c>
      <c r="I2310" s="707"/>
      <c r="J2310" s="669" t="s">
        <v>5805</v>
      </c>
      <c r="K2310" s="15"/>
      <c r="L2310"/>
      <c r="M2310" s="49">
        <f t="shared" si="1072"/>
        <v>28.58</v>
      </c>
      <c r="N2310" s="41">
        <v>11.67</v>
      </c>
      <c r="O2310" s="187"/>
      <c r="P2310" s="183"/>
      <c r="Q2310" s="184"/>
      <c r="S2310" s="184" t="s">
        <v>4180</v>
      </c>
      <c r="T2310" s="178" t="s">
        <v>1017</v>
      </c>
      <c r="U2310" s="185" t="s">
        <v>1017</v>
      </c>
      <c r="V2310" s="184"/>
      <c r="W2310" s="180"/>
      <c r="X2310" s="180"/>
      <c r="Z2310" s="184" t="s">
        <v>1017</v>
      </c>
      <c r="AA2310" s="180"/>
      <c r="AB2310" s="184"/>
      <c r="AC2310" s="184"/>
      <c r="AD2310" s="201"/>
      <c r="AE2310" s="181" t="s">
        <v>1017</v>
      </c>
      <c r="AF2310" s="180"/>
      <c r="AG2310" s="201"/>
      <c r="AH2310" s="217" t="s">
        <v>4179</v>
      </c>
      <c r="AI2310" s="214" t="str">
        <f t="shared" si="1064"/>
        <v/>
      </c>
      <c r="AJ2310" s="214" t="str">
        <f t="shared" si="1065"/>
        <v/>
      </c>
      <c r="AK2310" s="214" t="str">
        <f t="shared" si="1066"/>
        <v/>
      </c>
      <c r="AL2310" s="214" t="str">
        <f t="shared" si="1067"/>
        <v/>
      </c>
      <c r="AM2310" s="214" t="str">
        <f t="shared" si="1068"/>
        <v/>
      </c>
      <c r="AN2310" s="213" t="str">
        <f t="shared" si="1051"/>
        <v>2012</v>
      </c>
      <c r="AO2310" s="213" t="str">
        <f t="shared" si="1052"/>
        <v>2012</v>
      </c>
      <c r="AP2310" s="213" t="str">
        <f t="shared" si="1053"/>
        <v>2012</v>
      </c>
      <c r="AQ2310" s="215" t="str">
        <f t="shared" si="1054"/>
        <v/>
      </c>
      <c r="AR2310" s="216" t="str">
        <f t="shared" si="1055"/>
        <v>BiK81M1bK12y08</v>
      </c>
      <c r="AS2310" s="215" t="str">
        <f t="shared" si="1056"/>
        <v/>
      </c>
      <c r="AT2310">
        <f t="shared" si="1057"/>
        <v>14</v>
      </c>
      <c r="AU2310" s="216" t="str">
        <f t="shared" si="1058"/>
        <v>0-0,15 MW, Bonusregeln M1, y, b und K erstmals 2012</v>
      </c>
      <c r="AV2310" s="215" t="str">
        <f t="shared" si="1059"/>
        <v/>
      </c>
      <c r="AW2310" s="216" t="str">
        <f t="shared" si="1060"/>
        <v>Anteil KWK, erstmals 2012</v>
      </c>
      <c r="AX2310" s="215" t="str">
        <f t="shared" si="1061"/>
        <v/>
      </c>
      <c r="AY2310" t="str">
        <f t="shared" si="1062"/>
        <v/>
      </c>
      <c r="AZ2310" t="str">
        <f t="shared" si="1063"/>
        <v>x</v>
      </c>
    </row>
    <row r="2311" spans="1:52" s="178" customFormat="1" x14ac:dyDescent="0.25">
      <c r="A2311" s="610" t="s">
        <v>4075</v>
      </c>
      <c r="B2311" s="30" t="s">
        <v>5548</v>
      </c>
      <c r="C2311" s="30" t="s">
        <v>5540</v>
      </c>
      <c r="D2311" s="30" t="s">
        <v>6963</v>
      </c>
      <c r="E2311" s="30" t="s">
        <v>4810</v>
      </c>
      <c r="F2311" s="454">
        <f t="shared" si="1070"/>
        <v>22.67</v>
      </c>
      <c r="G2311" s="529">
        <v>22.67</v>
      </c>
      <c r="H2311" s="487">
        <f t="shared" si="1071"/>
        <v>18.14</v>
      </c>
      <c r="I2311" s="706"/>
      <c r="J2311" s="669" t="s">
        <v>5805</v>
      </c>
      <c r="K2311" s="15"/>
      <c r="L2311"/>
      <c r="M2311" s="49">
        <f t="shared" si="1072"/>
        <v>22.67</v>
      </c>
      <c r="N2311" s="41">
        <v>11.67</v>
      </c>
      <c r="O2311" s="186"/>
      <c r="P2311" s="177"/>
      <c r="S2311" s="178" t="s">
        <v>4180</v>
      </c>
      <c r="T2311" s="178" t="s">
        <v>4180</v>
      </c>
      <c r="U2311" s="179"/>
      <c r="W2311" s="180"/>
      <c r="X2311" s="180"/>
      <c r="AA2311" s="180"/>
      <c r="AB2311" s="178" t="s">
        <v>1017</v>
      </c>
      <c r="AD2311" s="201"/>
      <c r="AE2311" s="181" t="s">
        <v>1017</v>
      </c>
      <c r="AF2311" s="180"/>
      <c r="AG2311" s="201"/>
      <c r="AH2311" s="212" t="str">
        <f t="shared" ref="AH2311:AH2316" si="1074">IF(ISERROR(SEARCH("K erstmals 201",D2311)),"",RIGHT(D2311,4))</f>
        <v/>
      </c>
      <c r="AI2311" s="214" t="str">
        <f t="shared" si="1064"/>
        <v/>
      </c>
      <c r="AJ2311" s="214" t="str">
        <f t="shared" si="1065"/>
        <v/>
      </c>
      <c r="AK2311" s="214" t="str">
        <f t="shared" si="1066"/>
        <v/>
      </c>
      <c r="AL2311" s="214" t="str">
        <f t="shared" si="1067"/>
        <v/>
      </c>
      <c r="AM2311" s="214" t="str">
        <f t="shared" si="1068"/>
        <v/>
      </c>
      <c r="AN2311" s="213" t="str">
        <f t="shared" si="1051"/>
        <v/>
      </c>
      <c r="AO2311" s="213" t="str">
        <f t="shared" si="1052"/>
        <v/>
      </c>
      <c r="AP2311" s="213" t="str">
        <f t="shared" si="1053"/>
        <v/>
      </c>
      <c r="AQ2311" s="215" t="str">
        <f t="shared" si="1054"/>
        <v/>
      </c>
      <c r="AR2311" s="216" t="str">
        <f t="shared" si="1055"/>
        <v>BiK81Lb-----08</v>
      </c>
      <c r="AS2311" s="215" t="str">
        <f t="shared" si="1056"/>
        <v/>
      </c>
      <c r="AT2311">
        <f t="shared" si="1057"/>
        <v>14</v>
      </c>
      <c r="AU2311" s="216" t="str">
        <f t="shared" si="1058"/>
        <v>0-0,15 MW, Bonusregeln L, b</v>
      </c>
      <c r="AV2311" s="215" t="str">
        <f t="shared" si="1059"/>
        <v/>
      </c>
      <c r="AW2311" s="216" t="str">
        <f t="shared" si="1060"/>
        <v>Anteil Nicht-KWK</v>
      </c>
      <c r="AX2311" s="215" t="str">
        <f t="shared" si="1061"/>
        <v/>
      </c>
      <c r="AY2311" t="str">
        <f t="shared" si="1062"/>
        <v/>
      </c>
      <c r="AZ2311" t="str">
        <f t="shared" si="1063"/>
        <v/>
      </c>
    </row>
    <row r="2312" spans="1:52" s="178" customFormat="1" x14ac:dyDescent="0.25">
      <c r="A2312" s="610" t="s">
        <v>4076</v>
      </c>
      <c r="B2312" s="30" t="s">
        <v>5548</v>
      </c>
      <c r="C2312" s="30" t="s">
        <v>5540</v>
      </c>
      <c r="D2312" s="30" t="s">
        <v>6964</v>
      </c>
      <c r="E2312" s="30" t="s">
        <v>4812</v>
      </c>
      <c r="F2312" s="454">
        <f t="shared" si="1070"/>
        <v>24.67</v>
      </c>
      <c r="G2312" s="529">
        <v>24.67</v>
      </c>
      <c r="H2312" s="487">
        <f t="shared" si="1071"/>
        <v>19.739999999999998</v>
      </c>
      <c r="I2312" s="706"/>
      <c r="J2312" s="669" t="s">
        <v>5805</v>
      </c>
      <c r="K2312" s="15"/>
      <c r="L2312"/>
      <c r="M2312" s="49">
        <f t="shared" si="1072"/>
        <v>24.67</v>
      </c>
      <c r="N2312" s="41">
        <v>11.67</v>
      </c>
      <c r="O2312" s="186" t="s">
        <v>1017</v>
      </c>
      <c r="P2312" s="177"/>
      <c r="S2312" s="178" t="s">
        <v>4180</v>
      </c>
      <c r="T2312" s="178" t="s">
        <v>4180</v>
      </c>
      <c r="U2312" s="179"/>
      <c r="W2312" s="180"/>
      <c r="X2312" s="180"/>
      <c r="AA2312" s="180"/>
      <c r="AB2312" s="178" t="s">
        <v>1017</v>
      </c>
      <c r="AD2312" s="201"/>
      <c r="AE2312" s="181" t="s">
        <v>1017</v>
      </c>
      <c r="AF2312" s="180"/>
      <c r="AG2312" s="201"/>
      <c r="AH2312" s="212" t="str">
        <f t="shared" si="1074"/>
        <v/>
      </c>
      <c r="AI2312" s="214" t="str">
        <f t="shared" si="1064"/>
        <v/>
      </c>
      <c r="AJ2312" s="214" t="str">
        <f t="shared" si="1065"/>
        <v/>
      </c>
      <c r="AK2312" s="214" t="str">
        <f t="shared" si="1066"/>
        <v/>
      </c>
      <c r="AL2312" s="214" t="str">
        <f t="shared" si="1067"/>
        <v/>
      </c>
      <c r="AM2312" s="214" t="str">
        <f t="shared" si="1068"/>
        <v/>
      </c>
      <c r="AN2312" s="213" t="str">
        <f t="shared" si="1051"/>
        <v/>
      </c>
      <c r="AO2312" s="213" t="str">
        <f t="shared" si="1052"/>
        <v/>
      </c>
      <c r="AP2312" s="213" t="str">
        <f t="shared" si="1053"/>
        <v/>
      </c>
      <c r="AQ2312" s="215" t="str">
        <f t="shared" si="1054"/>
        <v/>
      </c>
      <c r="AR2312" s="216" t="str">
        <f t="shared" si="1055"/>
        <v>BiK81LbKWK--08</v>
      </c>
      <c r="AS2312" s="215" t="str">
        <f t="shared" si="1056"/>
        <v/>
      </c>
      <c r="AT2312">
        <f t="shared" si="1057"/>
        <v>14</v>
      </c>
      <c r="AU2312" s="216" t="str">
        <f t="shared" si="1058"/>
        <v>0-0,15 MW, Bonusregeln L, b und KWK</v>
      </c>
      <c r="AV2312" s="215" t="str">
        <f t="shared" si="1059"/>
        <v/>
      </c>
      <c r="AW2312" s="216" t="str">
        <f t="shared" si="1060"/>
        <v>Anteil KWK</v>
      </c>
      <c r="AX2312" s="215" t="str">
        <f t="shared" si="1061"/>
        <v/>
      </c>
      <c r="AY2312" t="str">
        <f t="shared" si="1062"/>
        <v/>
      </c>
      <c r="AZ2312" t="str">
        <f t="shared" si="1063"/>
        <v/>
      </c>
    </row>
    <row r="2313" spans="1:52" s="178" customFormat="1" x14ac:dyDescent="0.25">
      <c r="A2313" s="610" t="s">
        <v>4077</v>
      </c>
      <c r="B2313" s="30" t="s">
        <v>5548</v>
      </c>
      <c r="C2313" s="30" t="s">
        <v>5540</v>
      </c>
      <c r="D2313" s="30" t="s">
        <v>6965</v>
      </c>
      <c r="E2313" s="30" t="s">
        <v>4331</v>
      </c>
      <c r="F2313" s="454">
        <f t="shared" si="1070"/>
        <v>25.67</v>
      </c>
      <c r="G2313" s="529">
        <v>25.67</v>
      </c>
      <c r="H2313" s="487">
        <f t="shared" si="1071"/>
        <v>20.54</v>
      </c>
      <c r="I2313" s="706"/>
      <c r="J2313" s="669" t="s">
        <v>5805</v>
      </c>
      <c r="K2313" s="15"/>
      <c r="L2313"/>
      <c r="M2313" s="49">
        <f t="shared" si="1072"/>
        <v>25.67</v>
      </c>
      <c r="N2313" s="41">
        <v>11.67</v>
      </c>
      <c r="O2313" s="186"/>
      <c r="P2313" s="178" t="s">
        <v>1017</v>
      </c>
      <c r="S2313" s="178" t="s">
        <v>4180</v>
      </c>
      <c r="T2313" s="178" t="s">
        <v>4180</v>
      </c>
      <c r="U2313" s="179"/>
      <c r="W2313" s="180"/>
      <c r="X2313" s="180"/>
      <c r="AA2313" s="180"/>
      <c r="AB2313" s="178" t="s">
        <v>1017</v>
      </c>
      <c r="AD2313" s="201"/>
      <c r="AE2313" s="181" t="s">
        <v>1017</v>
      </c>
      <c r="AF2313" s="180"/>
      <c r="AG2313" s="201"/>
      <c r="AH2313" s="212" t="str">
        <f t="shared" si="1074"/>
        <v/>
      </c>
      <c r="AI2313" s="214" t="str">
        <f t="shared" si="1064"/>
        <v/>
      </c>
      <c r="AJ2313" s="214" t="str">
        <f t="shared" si="1065"/>
        <v/>
      </c>
      <c r="AK2313" s="214" t="str">
        <f t="shared" si="1066"/>
        <v/>
      </c>
      <c r="AL2313" s="214" t="str">
        <f t="shared" si="1067"/>
        <v/>
      </c>
      <c r="AM2313" s="214" t="str">
        <f t="shared" si="1068"/>
        <v/>
      </c>
      <c r="AN2313" s="213" t="str">
        <f t="shared" si="1051"/>
        <v/>
      </c>
      <c r="AO2313" s="213" t="str">
        <f t="shared" si="1052"/>
        <v/>
      </c>
      <c r="AP2313" s="213" t="str">
        <f t="shared" si="1053"/>
        <v/>
      </c>
      <c r="AQ2313" s="215" t="str">
        <f t="shared" si="1054"/>
        <v/>
      </c>
      <c r="AR2313" s="216" t="str">
        <f t="shared" si="1055"/>
        <v>BiK81LbKA3--08</v>
      </c>
      <c r="AS2313" s="215" t="str">
        <f t="shared" si="1056"/>
        <v/>
      </c>
      <c r="AT2313">
        <f t="shared" si="1057"/>
        <v>14</v>
      </c>
      <c r="AU2313" s="216" t="str">
        <f t="shared" si="1058"/>
        <v>0-0,15 MW, Bonusregeln L, b und K wenn Anlage 3 erfüllt</v>
      </c>
      <c r="AV2313" s="215" t="str">
        <f t="shared" si="1059"/>
        <v/>
      </c>
      <c r="AW2313" s="216" t="str">
        <f t="shared" si="1060"/>
        <v>Anteil KWK gemäß Anlage 3</v>
      </c>
      <c r="AX2313" s="215" t="str">
        <f t="shared" si="1061"/>
        <v/>
      </c>
      <c r="AY2313" t="str">
        <f t="shared" si="1062"/>
        <v/>
      </c>
      <c r="AZ2313" t="str">
        <f t="shared" si="1063"/>
        <v/>
      </c>
    </row>
    <row r="2314" spans="1:52" s="178" customFormat="1" x14ac:dyDescent="0.25">
      <c r="A2314" s="610" t="s">
        <v>4078</v>
      </c>
      <c r="B2314" s="30" t="s">
        <v>5548</v>
      </c>
      <c r="C2314" s="30" t="s">
        <v>5540</v>
      </c>
      <c r="D2314" s="30" t="s">
        <v>6966</v>
      </c>
      <c r="E2314" s="30" t="s">
        <v>674</v>
      </c>
      <c r="F2314" s="454">
        <f t="shared" si="1070"/>
        <v>25.67</v>
      </c>
      <c r="G2314" s="529">
        <v>25.67</v>
      </c>
      <c r="H2314" s="487">
        <f t="shared" si="1071"/>
        <v>20.54</v>
      </c>
      <c r="I2314" s="706"/>
      <c r="J2314" s="669" t="s">
        <v>5805</v>
      </c>
      <c r="K2314" s="15"/>
      <c r="L2314"/>
      <c r="M2314" s="49">
        <f t="shared" si="1072"/>
        <v>25.67</v>
      </c>
      <c r="N2314" s="41">
        <v>11.67</v>
      </c>
      <c r="O2314" s="186"/>
      <c r="P2314" s="177"/>
      <c r="Q2314" s="178" t="s">
        <v>1017</v>
      </c>
      <c r="S2314" s="178" t="s">
        <v>4180</v>
      </c>
      <c r="T2314" s="178" t="s">
        <v>4180</v>
      </c>
      <c r="U2314" s="179"/>
      <c r="W2314" s="180"/>
      <c r="X2314" s="180"/>
      <c r="AA2314" s="180"/>
      <c r="AB2314" s="178" t="s">
        <v>1017</v>
      </c>
      <c r="AD2314" s="201"/>
      <c r="AE2314" s="181" t="s">
        <v>1017</v>
      </c>
      <c r="AF2314" s="180"/>
      <c r="AG2314" s="201"/>
      <c r="AH2314" s="212" t="str">
        <f t="shared" si="1074"/>
        <v/>
      </c>
      <c r="AI2314" s="214" t="str">
        <f t="shared" si="1064"/>
        <v/>
      </c>
      <c r="AJ2314" s="214" t="str">
        <f t="shared" si="1065"/>
        <v/>
      </c>
      <c r="AK2314" s="214" t="str">
        <f t="shared" si="1066"/>
        <v/>
      </c>
      <c r="AL2314" s="214" t="str">
        <f t="shared" si="1067"/>
        <v/>
      </c>
      <c r="AM2314" s="214" t="str">
        <f t="shared" si="1068"/>
        <v/>
      </c>
      <c r="AN2314" s="213" t="str">
        <f t="shared" si="1051"/>
        <v/>
      </c>
      <c r="AO2314" s="213" t="str">
        <f t="shared" si="1052"/>
        <v/>
      </c>
      <c r="AP2314" s="213" t="str">
        <f t="shared" si="1053"/>
        <v/>
      </c>
      <c r="AQ2314" s="215" t="str">
        <f t="shared" si="1054"/>
        <v/>
      </c>
      <c r="AR2314" s="216" t="str">
        <f t="shared" si="1055"/>
        <v>BiK81LbK09--08</v>
      </c>
      <c r="AS2314" s="215" t="str">
        <f t="shared" si="1056"/>
        <v/>
      </c>
      <c r="AT2314">
        <f t="shared" si="1057"/>
        <v>14</v>
      </c>
      <c r="AU2314" s="216" t="str">
        <f t="shared" si="1058"/>
        <v>0-0,15 MW, Bonusregeln L, b und K erstmals 2009</v>
      </c>
      <c r="AV2314" s="215" t="str">
        <f t="shared" si="1059"/>
        <v/>
      </c>
      <c r="AW2314" s="216" t="str">
        <f t="shared" si="1060"/>
        <v>Anteil KWK, erstmals 2009</v>
      </c>
      <c r="AX2314" s="215" t="str">
        <f t="shared" si="1061"/>
        <v/>
      </c>
      <c r="AY2314" t="str">
        <f t="shared" si="1062"/>
        <v/>
      </c>
      <c r="AZ2314" t="str">
        <f t="shared" si="1063"/>
        <v/>
      </c>
    </row>
    <row r="2315" spans="1:52" s="178" customFormat="1" x14ac:dyDescent="0.25">
      <c r="A2315" s="610" t="s">
        <v>3176</v>
      </c>
      <c r="B2315" s="30" t="s">
        <v>5548</v>
      </c>
      <c r="C2315" s="30" t="s">
        <v>5540</v>
      </c>
      <c r="D2315" s="30" t="s">
        <v>6967</v>
      </c>
      <c r="E2315" s="30" t="s">
        <v>3567</v>
      </c>
      <c r="F2315" s="454">
        <f t="shared" si="1070"/>
        <v>25.64</v>
      </c>
      <c r="G2315" s="529">
        <v>25.64</v>
      </c>
      <c r="H2315" s="487">
        <f t="shared" si="1071"/>
        <v>20.51</v>
      </c>
      <c r="I2315" s="706"/>
      <c r="J2315" s="669" t="s">
        <v>5805</v>
      </c>
      <c r="K2315" s="15"/>
      <c r="L2315"/>
      <c r="M2315" s="49">
        <f t="shared" si="1072"/>
        <v>25.64</v>
      </c>
      <c r="N2315" s="41">
        <v>11.67</v>
      </c>
      <c r="O2315" s="186"/>
      <c r="P2315" s="177"/>
      <c r="R2315" s="178" t="s">
        <v>1017</v>
      </c>
      <c r="S2315" s="178" t="s">
        <v>4180</v>
      </c>
      <c r="T2315" s="178" t="s">
        <v>4180</v>
      </c>
      <c r="U2315" s="179"/>
      <c r="W2315" s="180"/>
      <c r="X2315" s="180"/>
      <c r="AA2315" s="180"/>
      <c r="AB2315" s="178" t="s">
        <v>1017</v>
      </c>
      <c r="AD2315" s="201"/>
      <c r="AE2315" s="181" t="s">
        <v>1017</v>
      </c>
      <c r="AF2315" s="180"/>
      <c r="AG2315" s="201"/>
      <c r="AH2315" s="212" t="str">
        <f t="shared" si="1074"/>
        <v>2010</v>
      </c>
      <c r="AI2315" s="214" t="str">
        <f t="shared" si="1064"/>
        <v/>
      </c>
      <c r="AJ2315" s="214" t="str">
        <f t="shared" si="1065"/>
        <v/>
      </c>
      <c r="AK2315" s="214" t="str">
        <f t="shared" si="1066"/>
        <v/>
      </c>
      <c r="AL2315" s="214" t="str">
        <f t="shared" si="1067"/>
        <v/>
      </c>
      <c r="AM2315" s="214" t="str">
        <f t="shared" si="1068"/>
        <v/>
      </c>
      <c r="AN2315" s="213" t="str">
        <f t="shared" si="1051"/>
        <v>2010</v>
      </c>
      <c r="AO2315" s="213" t="str">
        <f t="shared" si="1052"/>
        <v>2010</v>
      </c>
      <c r="AP2315" s="213" t="str">
        <f t="shared" si="1053"/>
        <v>2010</v>
      </c>
      <c r="AQ2315" s="215" t="str">
        <f t="shared" si="1054"/>
        <v/>
      </c>
      <c r="AR2315" s="216" t="str">
        <f t="shared" si="1055"/>
        <v>BiK81LbK10--08</v>
      </c>
      <c r="AS2315" s="215" t="str">
        <f t="shared" si="1056"/>
        <v/>
      </c>
      <c r="AT2315">
        <f t="shared" si="1057"/>
        <v>14</v>
      </c>
      <c r="AU2315" s="216" t="str">
        <f t="shared" si="1058"/>
        <v>0-0,15 MW, Bonusregeln L, b und K erstmals 2010</v>
      </c>
      <c r="AV2315" s="215" t="str">
        <f t="shared" si="1059"/>
        <v/>
      </c>
      <c r="AW2315" s="216" t="str">
        <f t="shared" si="1060"/>
        <v>Anteil KWK, erstmals 2010</v>
      </c>
      <c r="AX2315" s="215" t="str">
        <f t="shared" si="1061"/>
        <v/>
      </c>
      <c r="AY2315" t="str">
        <f t="shared" si="1062"/>
        <v/>
      </c>
      <c r="AZ2315" t="str">
        <f t="shared" si="1063"/>
        <v/>
      </c>
    </row>
    <row r="2316" spans="1:52" s="178" customFormat="1" x14ac:dyDescent="0.25">
      <c r="A2316" s="610" t="s">
        <v>3454</v>
      </c>
      <c r="B2316" s="30" t="s">
        <v>5548</v>
      </c>
      <c r="C2316" s="30" t="s">
        <v>5540</v>
      </c>
      <c r="D2316" s="30" t="s">
        <v>6968</v>
      </c>
      <c r="E2316" s="30" t="s">
        <v>3055</v>
      </c>
      <c r="F2316" s="454">
        <f t="shared" si="1070"/>
        <v>25.61</v>
      </c>
      <c r="G2316" s="529">
        <v>25.61</v>
      </c>
      <c r="H2316" s="487">
        <f t="shared" si="1071"/>
        <v>20.49</v>
      </c>
      <c r="I2316" s="706"/>
      <c r="J2316" s="669" t="s">
        <v>5805</v>
      </c>
      <c r="K2316" s="15"/>
      <c r="L2316"/>
      <c r="M2316" s="49">
        <f t="shared" si="1072"/>
        <v>25.61</v>
      </c>
      <c r="N2316" s="41">
        <v>11.67</v>
      </c>
      <c r="O2316" s="186"/>
      <c r="P2316" s="177"/>
      <c r="S2316" s="178" t="s">
        <v>1017</v>
      </c>
      <c r="T2316" s="178" t="s">
        <v>4180</v>
      </c>
      <c r="U2316" s="179"/>
      <c r="W2316" s="180"/>
      <c r="X2316" s="180"/>
      <c r="AA2316" s="180"/>
      <c r="AB2316" s="178" t="s">
        <v>1017</v>
      </c>
      <c r="AD2316" s="201"/>
      <c r="AE2316" s="181" t="s">
        <v>1017</v>
      </c>
      <c r="AF2316" s="180"/>
      <c r="AG2316" s="201"/>
      <c r="AH2316" s="212" t="str">
        <f t="shared" si="1074"/>
        <v>2011</v>
      </c>
      <c r="AI2316" s="214" t="str">
        <f t="shared" si="1064"/>
        <v/>
      </c>
      <c r="AJ2316" s="214" t="str">
        <f t="shared" si="1065"/>
        <v/>
      </c>
      <c r="AK2316" s="214" t="str">
        <f t="shared" si="1066"/>
        <v/>
      </c>
      <c r="AL2316" s="214" t="str">
        <f t="shared" si="1067"/>
        <v/>
      </c>
      <c r="AM2316" s="214" t="str">
        <f t="shared" si="1068"/>
        <v/>
      </c>
      <c r="AN2316" s="213" t="str">
        <f t="shared" si="1051"/>
        <v>2011</v>
      </c>
      <c r="AO2316" s="213" t="str">
        <f t="shared" si="1052"/>
        <v>2011</v>
      </c>
      <c r="AP2316" s="213" t="str">
        <f t="shared" si="1053"/>
        <v>2011</v>
      </c>
      <c r="AQ2316" s="215" t="str">
        <f t="shared" si="1054"/>
        <v/>
      </c>
      <c r="AR2316" s="216" t="str">
        <f t="shared" si="1055"/>
        <v>BiK81LbK11--08</v>
      </c>
      <c r="AS2316" s="215" t="str">
        <f t="shared" si="1056"/>
        <v/>
      </c>
      <c r="AT2316">
        <f t="shared" si="1057"/>
        <v>14</v>
      </c>
      <c r="AU2316" s="216" t="str">
        <f t="shared" si="1058"/>
        <v>0-0,15 MW, Bonusregeln L, b und K erstmals 2011</v>
      </c>
      <c r="AV2316" s="215" t="str">
        <f t="shared" si="1059"/>
        <v/>
      </c>
      <c r="AW2316" s="216" t="str">
        <f t="shared" si="1060"/>
        <v>Anteil KWK, erstmals 2011</v>
      </c>
      <c r="AX2316" s="215" t="str">
        <f t="shared" si="1061"/>
        <v/>
      </c>
      <c r="AY2316" t="str">
        <f t="shared" si="1062"/>
        <v>x</v>
      </c>
      <c r="AZ2316" t="str">
        <f t="shared" si="1063"/>
        <v/>
      </c>
    </row>
    <row r="2317" spans="1:52" s="178" customFormat="1" x14ac:dyDescent="0.25">
      <c r="A2317" s="625" t="s">
        <v>1886</v>
      </c>
      <c r="B2317" s="219" t="s">
        <v>5548</v>
      </c>
      <c r="C2317" s="219" t="s">
        <v>5540</v>
      </c>
      <c r="D2317" s="219" t="s">
        <v>6969</v>
      </c>
      <c r="E2317" s="219" t="s">
        <v>1980</v>
      </c>
      <c r="F2317" s="455">
        <f t="shared" si="1070"/>
        <v>25.58</v>
      </c>
      <c r="G2317" s="530">
        <v>25.58</v>
      </c>
      <c r="H2317" s="488">
        <f t="shared" si="1071"/>
        <v>20.46</v>
      </c>
      <c r="I2317" s="707"/>
      <c r="J2317" s="669" t="s">
        <v>5805</v>
      </c>
      <c r="K2317" s="15"/>
      <c r="L2317"/>
      <c r="M2317" s="49">
        <f t="shared" si="1072"/>
        <v>25.58</v>
      </c>
      <c r="N2317" s="41">
        <v>11.67</v>
      </c>
      <c r="O2317" s="186"/>
      <c r="P2317" s="177"/>
      <c r="S2317" s="178" t="s">
        <v>4180</v>
      </c>
      <c r="T2317" s="178" t="s">
        <v>1017</v>
      </c>
      <c r="U2317" s="179"/>
      <c r="W2317" s="180"/>
      <c r="X2317" s="180"/>
      <c r="AA2317" s="180"/>
      <c r="AB2317" s="178" t="s">
        <v>1017</v>
      </c>
      <c r="AD2317" s="201"/>
      <c r="AE2317" s="181" t="s">
        <v>1017</v>
      </c>
      <c r="AF2317" s="180"/>
      <c r="AG2317" s="201"/>
      <c r="AH2317" s="217" t="s">
        <v>4179</v>
      </c>
      <c r="AI2317" s="214" t="str">
        <f t="shared" si="1064"/>
        <v/>
      </c>
      <c r="AJ2317" s="214" t="str">
        <f t="shared" si="1065"/>
        <v/>
      </c>
      <c r="AK2317" s="214" t="str">
        <f t="shared" si="1066"/>
        <v/>
      </c>
      <c r="AL2317" s="214" t="str">
        <f t="shared" si="1067"/>
        <v/>
      </c>
      <c r="AM2317" s="214" t="str">
        <f t="shared" si="1068"/>
        <v/>
      </c>
      <c r="AN2317" s="213" t="str">
        <f t="shared" si="1051"/>
        <v>2012</v>
      </c>
      <c r="AO2317" s="213" t="str">
        <f t="shared" si="1052"/>
        <v>2012</v>
      </c>
      <c r="AP2317" s="213" t="str">
        <f t="shared" si="1053"/>
        <v>2012</v>
      </c>
      <c r="AQ2317" s="215" t="str">
        <f t="shared" si="1054"/>
        <v/>
      </c>
      <c r="AR2317" s="216" t="str">
        <f t="shared" si="1055"/>
        <v>BiK81LbK12--08</v>
      </c>
      <c r="AS2317" s="215" t="str">
        <f t="shared" si="1056"/>
        <v/>
      </c>
      <c r="AT2317">
        <f t="shared" si="1057"/>
        <v>14</v>
      </c>
      <c r="AU2317" s="216" t="str">
        <f t="shared" si="1058"/>
        <v>0-0,15 MW, Bonusregeln L, b und K erstmals 2012</v>
      </c>
      <c r="AV2317" s="215" t="str">
        <f t="shared" si="1059"/>
        <v/>
      </c>
      <c r="AW2317" s="216" t="str">
        <f t="shared" si="1060"/>
        <v>Anteil KWK, erstmals 2012</v>
      </c>
      <c r="AX2317" s="215" t="str">
        <f t="shared" si="1061"/>
        <v/>
      </c>
      <c r="AY2317" t="str">
        <f t="shared" si="1062"/>
        <v/>
      </c>
      <c r="AZ2317" t="str">
        <f t="shared" si="1063"/>
        <v>x</v>
      </c>
    </row>
    <row r="2318" spans="1:52" x14ac:dyDescent="0.25">
      <c r="A2318" s="610" t="s">
        <v>4611</v>
      </c>
      <c r="B2318" s="30" t="s">
        <v>5548</v>
      </c>
      <c r="C2318" s="30" t="s">
        <v>5540</v>
      </c>
      <c r="D2318" s="30" t="s">
        <v>6970</v>
      </c>
      <c r="E2318" s="30" t="s">
        <v>4810</v>
      </c>
      <c r="F2318" s="454">
        <f t="shared" si="1070"/>
        <v>23.67</v>
      </c>
      <c r="G2318" s="529">
        <v>23.67</v>
      </c>
      <c r="H2318" s="487">
        <f t="shared" si="1071"/>
        <v>18.940000000000001</v>
      </c>
      <c r="I2318" s="706"/>
      <c r="J2318" s="669" t="s">
        <v>5805</v>
      </c>
      <c r="K2318" s="15"/>
      <c r="M2318" s="49">
        <f t="shared" si="1072"/>
        <v>23.67</v>
      </c>
      <c r="N2318" s="41">
        <v>11.67</v>
      </c>
      <c r="O2318" s="187"/>
      <c r="P2318" s="183"/>
      <c r="Q2318" s="184"/>
      <c r="R2318" s="184"/>
      <c r="S2318" s="184" t="s">
        <v>4180</v>
      </c>
      <c r="T2318" t="s">
        <v>4180</v>
      </c>
      <c r="U2318" s="185" t="s">
        <v>1017</v>
      </c>
      <c r="V2318" s="184"/>
      <c r="W2318" s="180"/>
      <c r="X2318" s="180"/>
      <c r="Y2318" s="178"/>
      <c r="Z2318" s="178"/>
      <c r="AA2318" s="180"/>
      <c r="AB2318" s="184" t="s">
        <v>1017</v>
      </c>
      <c r="AC2318" s="184"/>
      <c r="AD2318" s="201"/>
      <c r="AE2318" s="181" t="s">
        <v>1017</v>
      </c>
      <c r="AF2318" s="180"/>
      <c r="AG2318" s="201"/>
      <c r="AH2318" s="212" t="str">
        <f t="shared" ref="AH2318:AH2323" si="1075">IF(ISERROR(SEARCH("K erstmals 201",D2318)),"",RIGHT(D2318,4))</f>
        <v/>
      </c>
      <c r="AI2318" s="214" t="str">
        <f t="shared" si="1064"/>
        <v/>
      </c>
      <c r="AJ2318" s="214" t="str">
        <f t="shared" si="1065"/>
        <v/>
      </c>
      <c r="AK2318" s="214" t="str">
        <f t="shared" si="1066"/>
        <v/>
      </c>
      <c r="AL2318" s="214" t="str">
        <f t="shared" si="1067"/>
        <v/>
      </c>
      <c r="AM2318" s="214" t="str">
        <f t="shared" si="1068"/>
        <v/>
      </c>
      <c r="AN2318" s="213" t="str">
        <f t="shared" si="1051"/>
        <v/>
      </c>
      <c r="AO2318" s="213" t="str">
        <f t="shared" si="1052"/>
        <v/>
      </c>
      <c r="AP2318" s="213" t="str">
        <f t="shared" si="1053"/>
        <v/>
      </c>
      <c r="AQ2318" s="215" t="str">
        <f t="shared" si="1054"/>
        <v/>
      </c>
      <c r="AR2318" s="216" t="str">
        <f t="shared" si="1055"/>
        <v>BiK81Lby----08</v>
      </c>
      <c r="AS2318" s="215" t="str">
        <f t="shared" si="1056"/>
        <v/>
      </c>
      <c r="AT2318">
        <f t="shared" si="1057"/>
        <v>14</v>
      </c>
      <c r="AU2318" s="216" t="str">
        <f t="shared" si="1058"/>
        <v>0-0,15 MW, Bonusregeln L, y, b</v>
      </c>
      <c r="AV2318" s="215" t="str">
        <f t="shared" si="1059"/>
        <v/>
      </c>
      <c r="AW2318" s="216" t="str">
        <f t="shared" si="1060"/>
        <v>Anteil Nicht-KWK</v>
      </c>
      <c r="AX2318" s="215" t="str">
        <f t="shared" si="1061"/>
        <v/>
      </c>
      <c r="AY2318" t="str">
        <f t="shared" si="1062"/>
        <v/>
      </c>
      <c r="AZ2318" t="str">
        <f t="shared" si="1063"/>
        <v/>
      </c>
    </row>
    <row r="2319" spans="1:52" x14ac:dyDescent="0.25">
      <c r="A2319" s="610" t="s">
        <v>4612</v>
      </c>
      <c r="B2319" s="30" t="s">
        <v>5548</v>
      </c>
      <c r="C2319" s="30" t="s">
        <v>5540</v>
      </c>
      <c r="D2319" s="30" t="s">
        <v>6971</v>
      </c>
      <c r="E2319" s="30" t="s">
        <v>4812</v>
      </c>
      <c r="F2319" s="454">
        <f t="shared" si="1070"/>
        <v>25.67</v>
      </c>
      <c r="G2319" s="529">
        <v>25.67</v>
      </c>
      <c r="H2319" s="487">
        <f t="shared" si="1071"/>
        <v>20.54</v>
      </c>
      <c r="I2319" s="706"/>
      <c r="J2319" s="669" t="s">
        <v>5805</v>
      </c>
      <c r="K2319" s="15"/>
      <c r="M2319" s="49">
        <f t="shared" si="1072"/>
        <v>25.67</v>
      </c>
      <c r="N2319" s="41">
        <v>11.67</v>
      </c>
      <c r="O2319" s="187" t="s">
        <v>1017</v>
      </c>
      <c r="P2319" s="183"/>
      <c r="Q2319" s="184"/>
      <c r="R2319" s="184"/>
      <c r="S2319" s="184" t="s">
        <v>4180</v>
      </c>
      <c r="T2319" t="s">
        <v>4180</v>
      </c>
      <c r="U2319" s="185" t="s">
        <v>1017</v>
      </c>
      <c r="V2319" s="184"/>
      <c r="W2319" s="180"/>
      <c r="X2319" s="180"/>
      <c r="Y2319" s="178"/>
      <c r="Z2319" s="178"/>
      <c r="AA2319" s="180"/>
      <c r="AB2319" s="184" t="s">
        <v>1017</v>
      </c>
      <c r="AC2319" s="184"/>
      <c r="AD2319" s="201"/>
      <c r="AE2319" s="181" t="s">
        <v>1017</v>
      </c>
      <c r="AF2319" s="180"/>
      <c r="AG2319" s="201"/>
      <c r="AH2319" s="212" t="str">
        <f t="shared" si="1075"/>
        <v/>
      </c>
      <c r="AI2319" s="214" t="str">
        <f t="shared" si="1064"/>
        <v/>
      </c>
      <c r="AJ2319" s="214" t="str">
        <f t="shared" si="1065"/>
        <v/>
      </c>
      <c r="AK2319" s="214" t="str">
        <f t="shared" si="1066"/>
        <v/>
      </c>
      <c r="AL2319" s="214" t="str">
        <f t="shared" si="1067"/>
        <v/>
      </c>
      <c r="AM2319" s="214" t="str">
        <f t="shared" si="1068"/>
        <v/>
      </c>
      <c r="AN2319" s="213" t="str">
        <f t="shared" si="1051"/>
        <v/>
      </c>
      <c r="AO2319" s="213" t="str">
        <f t="shared" si="1052"/>
        <v/>
      </c>
      <c r="AP2319" s="213" t="str">
        <f t="shared" si="1053"/>
        <v/>
      </c>
      <c r="AQ2319" s="215" t="str">
        <f t="shared" si="1054"/>
        <v/>
      </c>
      <c r="AR2319" s="216" t="str">
        <f t="shared" si="1055"/>
        <v>BiK81LbKWKy-08</v>
      </c>
      <c r="AS2319" s="215" t="str">
        <f t="shared" si="1056"/>
        <v/>
      </c>
      <c r="AT2319">
        <f t="shared" si="1057"/>
        <v>14</v>
      </c>
      <c r="AU2319" s="216" t="str">
        <f t="shared" si="1058"/>
        <v>0-0,15 MW, Bonusregeln L, y, b und KWK</v>
      </c>
      <c r="AV2319" s="215" t="str">
        <f t="shared" si="1059"/>
        <v/>
      </c>
      <c r="AW2319" s="216" t="str">
        <f t="shared" si="1060"/>
        <v>Anteil KWK</v>
      </c>
      <c r="AX2319" s="215" t="str">
        <f t="shared" si="1061"/>
        <v/>
      </c>
      <c r="AY2319" t="str">
        <f t="shared" si="1062"/>
        <v/>
      </c>
      <c r="AZ2319" t="str">
        <f t="shared" si="1063"/>
        <v/>
      </c>
    </row>
    <row r="2320" spans="1:52" x14ac:dyDescent="0.25">
      <c r="A2320" s="610" t="s">
        <v>4613</v>
      </c>
      <c r="B2320" s="30" t="s">
        <v>5548</v>
      </c>
      <c r="C2320" s="30" t="s">
        <v>5540</v>
      </c>
      <c r="D2320" s="109" t="s">
        <v>6972</v>
      </c>
      <c r="E2320" s="30" t="s">
        <v>4331</v>
      </c>
      <c r="F2320" s="454">
        <f t="shared" si="1070"/>
        <v>26.67</v>
      </c>
      <c r="G2320" s="529">
        <v>26.67</v>
      </c>
      <c r="H2320" s="487">
        <f t="shared" si="1071"/>
        <v>21.34</v>
      </c>
      <c r="I2320" s="706"/>
      <c r="J2320" s="669" t="s">
        <v>5805</v>
      </c>
      <c r="K2320" s="15"/>
      <c r="M2320" s="49">
        <f t="shared" si="1072"/>
        <v>26.67</v>
      </c>
      <c r="N2320" s="41">
        <v>11.67</v>
      </c>
      <c r="O2320" s="187"/>
      <c r="P2320" s="184" t="s">
        <v>1017</v>
      </c>
      <c r="Q2320" s="184"/>
      <c r="R2320" s="184"/>
      <c r="S2320" s="184" t="s">
        <v>4180</v>
      </c>
      <c r="T2320" t="s">
        <v>4180</v>
      </c>
      <c r="U2320" s="185" t="s">
        <v>1017</v>
      </c>
      <c r="V2320" s="184"/>
      <c r="W2320" s="180"/>
      <c r="X2320" s="180"/>
      <c r="Y2320" s="178"/>
      <c r="Z2320" s="178"/>
      <c r="AA2320" s="180"/>
      <c r="AB2320" s="184" t="s">
        <v>1017</v>
      </c>
      <c r="AC2320" s="184"/>
      <c r="AD2320" s="201"/>
      <c r="AE2320" s="181" t="s">
        <v>1017</v>
      </c>
      <c r="AF2320" s="180"/>
      <c r="AG2320" s="201"/>
      <c r="AH2320" s="212" t="str">
        <f t="shared" si="1075"/>
        <v/>
      </c>
      <c r="AI2320" s="214" t="str">
        <f t="shared" si="1064"/>
        <v/>
      </c>
      <c r="AJ2320" s="214" t="str">
        <f t="shared" si="1065"/>
        <v/>
      </c>
      <c r="AK2320" s="214" t="str">
        <f t="shared" si="1066"/>
        <v/>
      </c>
      <c r="AL2320" s="214" t="str">
        <f t="shared" si="1067"/>
        <v/>
      </c>
      <c r="AM2320" s="214" t="str">
        <f t="shared" si="1068"/>
        <v/>
      </c>
      <c r="AN2320" s="213" t="str">
        <f t="shared" si="1051"/>
        <v/>
      </c>
      <c r="AO2320" s="213" t="str">
        <f t="shared" si="1052"/>
        <v/>
      </c>
      <c r="AP2320" s="213" t="str">
        <f t="shared" si="1053"/>
        <v/>
      </c>
      <c r="AQ2320" s="215" t="str">
        <f t="shared" si="1054"/>
        <v/>
      </c>
      <c r="AR2320" s="216" t="str">
        <f t="shared" si="1055"/>
        <v>BiK81LbKA3y-08</v>
      </c>
      <c r="AS2320" s="215" t="str">
        <f t="shared" si="1056"/>
        <v/>
      </c>
      <c r="AT2320">
        <f t="shared" si="1057"/>
        <v>14</v>
      </c>
      <c r="AU2320" s="216" t="str">
        <f t="shared" si="1058"/>
        <v>0-0,15 MW, Bonusregeln L, y, b und K wenn Anlage 3 erfüllt</v>
      </c>
      <c r="AV2320" s="215" t="str">
        <f t="shared" si="1059"/>
        <v/>
      </c>
      <c r="AW2320" s="216" t="str">
        <f t="shared" si="1060"/>
        <v>Anteil KWK gemäß Anlage 3</v>
      </c>
      <c r="AX2320" s="215" t="str">
        <f t="shared" si="1061"/>
        <v/>
      </c>
      <c r="AY2320" t="str">
        <f t="shared" si="1062"/>
        <v/>
      </c>
      <c r="AZ2320" t="str">
        <f t="shared" si="1063"/>
        <v/>
      </c>
    </row>
    <row r="2321" spans="1:52" x14ac:dyDescent="0.25">
      <c r="A2321" s="610" t="s">
        <v>4614</v>
      </c>
      <c r="B2321" s="30" t="s">
        <v>5548</v>
      </c>
      <c r="C2321" s="30" t="s">
        <v>5540</v>
      </c>
      <c r="D2321" s="30" t="s">
        <v>6973</v>
      </c>
      <c r="E2321" s="30" t="s">
        <v>674</v>
      </c>
      <c r="F2321" s="454">
        <f t="shared" si="1070"/>
        <v>26.67</v>
      </c>
      <c r="G2321" s="529">
        <v>26.67</v>
      </c>
      <c r="H2321" s="487">
        <f t="shared" si="1071"/>
        <v>21.34</v>
      </c>
      <c r="I2321" s="706"/>
      <c r="J2321" s="669" t="s">
        <v>5805</v>
      </c>
      <c r="K2321" s="15"/>
      <c r="M2321" s="49">
        <f t="shared" si="1072"/>
        <v>26.67</v>
      </c>
      <c r="N2321" s="41">
        <v>11.67</v>
      </c>
      <c r="O2321" s="187"/>
      <c r="P2321" s="183"/>
      <c r="Q2321" s="184" t="s">
        <v>1017</v>
      </c>
      <c r="R2321" s="184"/>
      <c r="S2321" s="184" t="s">
        <v>4180</v>
      </c>
      <c r="T2321" t="s">
        <v>4180</v>
      </c>
      <c r="U2321" s="185" t="s">
        <v>1017</v>
      </c>
      <c r="V2321" s="184"/>
      <c r="W2321" s="180"/>
      <c r="X2321" s="180"/>
      <c r="Y2321" s="178"/>
      <c r="Z2321" s="178"/>
      <c r="AA2321" s="180"/>
      <c r="AB2321" s="184" t="s">
        <v>1017</v>
      </c>
      <c r="AC2321" s="184"/>
      <c r="AD2321" s="201"/>
      <c r="AE2321" s="181" t="s">
        <v>1017</v>
      </c>
      <c r="AF2321" s="180"/>
      <c r="AG2321" s="201"/>
      <c r="AH2321" s="212" t="str">
        <f t="shared" si="1075"/>
        <v/>
      </c>
      <c r="AI2321" s="214" t="str">
        <f t="shared" si="1064"/>
        <v/>
      </c>
      <c r="AJ2321" s="214" t="str">
        <f t="shared" si="1065"/>
        <v/>
      </c>
      <c r="AK2321" s="214" t="str">
        <f t="shared" si="1066"/>
        <v/>
      </c>
      <c r="AL2321" s="214" t="str">
        <f t="shared" si="1067"/>
        <v/>
      </c>
      <c r="AM2321" s="214" t="str">
        <f t="shared" si="1068"/>
        <v/>
      </c>
      <c r="AN2321" s="213" t="str">
        <f t="shared" si="1051"/>
        <v/>
      </c>
      <c r="AO2321" s="213" t="str">
        <f t="shared" si="1052"/>
        <v/>
      </c>
      <c r="AP2321" s="213" t="str">
        <f t="shared" si="1053"/>
        <v/>
      </c>
      <c r="AQ2321" s="215" t="str">
        <f t="shared" si="1054"/>
        <v/>
      </c>
      <c r="AR2321" s="216" t="str">
        <f t="shared" si="1055"/>
        <v>BiK81LbK09y-08</v>
      </c>
      <c r="AS2321" s="215" t="str">
        <f t="shared" si="1056"/>
        <v/>
      </c>
      <c r="AT2321">
        <f t="shared" si="1057"/>
        <v>14</v>
      </c>
      <c r="AU2321" s="216" t="str">
        <f t="shared" si="1058"/>
        <v>0-0,15 MW, Bonusregeln L, y, b und K erstmals 2009</v>
      </c>
      <c r="AV2321" s="215" t="str">
        <f t="shared" si="1059"/>
        <v/>
      </c>
      <c r="AW2321" s="216" t="str">
        <f t="shared" si="1060"/>
        <v>Anteil KWK, erstmals 2009</v>
      </c>
      <c r="AX2321" s="215" t="str">
        <f t="shared" si="1061"/>
        <v/>
      </c>
      <c r="AY2321" t="str">
        <f t="shared" si="1062"/>
        <v/>
      </c>
      <c r="AZ2321" t="str">
        <f t="shared" si="1063"/>
        <v/>
      </c>
    </row>
    <row r="2322" spans="1:52" s="178" customFormat="1" x14ac:dyDescent="0.25">
      <c r="A2322" s="610" t="s">
        <v>3177</v>
      </c>
      <c r="B2322" s="30" t="s">
        <v>5548</v>
      </c>
      <c r="C2322" s="30" t="s">
        <v>5540</v>
      </c>
      <c r="D2322" s="30" t="s">
        <v>6974</v>
      </c>
      <c r="E2322" s="30" t="s">
        <v>3567</v>
      </c>
      <c r="F2322" s="454">
        <f t="shared" si="1070"/>
        <v>26.64</v>
      </c>
      <c r="G2322" s="529">
        <v>26.64</v>
      </c>
      <c r="H2322" s="487">
        <f t="shared" si="1071"/>
        <v>21.31</v>
      </c>
      <c r="I2322" s="706"/>
      <c r="J2322" s="669" t="s">
        <v>5805</v>
      </c>
      <c r="K2322" s="15"/>
      <c r="L2322"/>
      <c r="M2322" s="49">
        <f t="shared" si="1072"/>
        <v>26.64</v>
      </c>
      <c r="N2322" s="41">
        <v>11.67</v>
      </c>
      <c r="O2322" s="187"/>
      <c r="P2322" s="183"/>
      <c r="Q2322" s="184"/>
      <c r="R2322" s="184" t="s">
        <v>1017</v>
      </c>
      <c r="S2322" s="184" t="s">
        <v>4180</v>
      </c>
      <c r="T2322" s="178" t="s">
        <v>4180</v>
      </c>
      <c r="U2322" s="185" t="s">
        <v>1017</v>
      </c>
      <c r="V2322" s="184"/>
      <c r="W2322" s="180"/>
      <c r="X2322" s="180"/>
      <c r="AA2322" s="180"/>
      <c r="AB2322" s="184" t="s">
        <v>1017</v>
      </c>
      <c r="AC2322" s="184"/>
      <c r="AD2322" s="201"/>
      <c r="AE2322" s="181" t="s">
        <v>1017</v>
      </c>
      <c r="AF2322" s="180"/>
      <c r="AG2322" s="201"/>
      <c r="AH2322" s="212" t="str">
        <f t="shared" si="1075"/>
        <v>2010</v>
      </c>
      <c r="AI2322" s="214" t="str">
        <f t="shared" si="1064"/>
        <v/>
      </c>
      <c r="AJ2322" s="214" t="str">
        <f t="shared" si="1065"/>
        <v/>
      </c>
      <c r="AK2322" s="214" t="str">
        <f t="shared" si="1066"/>
        <v/>
      </c>
      <c r="AL2322" s="214" t="str">
        <f t="shared" si="1067"/>
        <v/>
      </c>
      <c r="AM2322" s="214" t="str">
        <f t="shared" si="1068"/>
        <v/>
      </c>
      <c r="AN2322" s="213" t="str">
        <f t="shared" si="1051"/>
        <v>2010</v>
      </c>
      <c r="AO2322" s="213" t="str">
        <f t="shared" si="1052"/>
        <v>2010</v>
      </c>
      <c r="AP2322" s="213" t="str">
        <f t="shared" si="1053"/>
        <v>2010</v>
      </c>
      <c r="AQ2322" s="215" t="str">
        <f t="shared" si="1054"/>
        <v/>
      </c>
      <c r="AR2322" s="216" t="str">
        <f t="shared" si="1055"/>
        <v>BiK81LbK10y-08</v>
      </c>
      <c r="AS2322" s="215" t="str">
        <f t="shared" si="1056"/>
        <v/>
      </c>
      <c r="AT2322">
        <f t="shared" si="1057"/>
        <v>14</v>
      </c>
      <c r="AU2322" s="216" t="str">
        <f t="shared" si="1058"/>
        <v>0-0,15 MW, Bonusregeln L, y, b und K erstmals 2010</v>
      </c>
      <c r="AV2322" s="215" t="str">
        <f t="shared" si="1059"/>
        <v/>
      </c>
      <c r="AW2322" s="216" t="str">
        <f t="shared" si="1060"/>
        <v>Anteil KWK, erstmals 2010</v>
      </c>
      <c r="AX2322" s="215" t="str">
        <f t="shared" si="1061"/>
        <v/>
      </c>
      <c r="AY2322" t="str">
        <f t="shared" si="1062"/>
        <v/>
      </c>
      <c r="AZ2322" t="str">
        <f t="shared" si="1063"/>
        <v/>
      </c>
    </row>
    <row r="2323" spans="1:52" s="178" customFormat="1" x14ac:dyDescent="0.25">
      <c r="A2323" s="610" t="s">
        <v>3455</v>
      </c>
      <c r="B2323" s="30" t="s">
        <v>5548</v>
      </c>
      <c r="C2323" s="30" t="s">
        <v>5540</v>
      </c>
      <c r="D2323" s="30" t="s">
        <v>6975</v>
      </c>
      <c r="E2323" s="30" t="s">
        <v>3055</v>
      </c>
      <c r="F2323" s="454">
        <f t="shared" si="1070"/>
        <v>26.61</v>
      </c>
      <c r="G2323" s="529">
        <v>26.61</v>
      </c>
      <c r="H2323" s="487">
        <f t="shared" si="1071"/>
        <v>21.29</v>
      </c>
      <c r="I2323" s="706"/>
      <c r="J2323" s="669" t="s">
        <v>5805</v>
      </c>
      <c r="K2323" s="15"/>
      <c r="L2323"/>
      <c r="M2323" s="49">
        <f t="shared" si="1072"/>
        <v>26.61</v>
      </c>
      <c r="N2323" s="41">
        <v>11.67</v>
      </c>
      <c r="O2323" s="187"/>
      <c r="P2323" s="183"/>
      <c r="Q2323" s="184"/>
      <c r="S2323" s="184" t="s">
        <v>1017</v>
      </c>
      <c r="T2323" s="178" t="s">
        <v>4180</v>
      </c>
      <c r="U2323" s="185" t="s">
        <v>1017</v>
      </c>
      <c r="V2323" s="184"/>
      <c r="W2323" s="180"/>
      <c r="X2323" s="180"/>
      <c r="AA2323" s="180"/>
      <c r="AB2323" s="184" t="s">
        <v>1017</v>
      </c>
      <c r="AC2323" s="184"/>
      <c r="AD2323" s="201"/>
      <c r="AE2323" s="181" t="s">
        <v>1017</v>
      </c>
      <c r="AF2323" s="180"/>
      <c r="AG2323" s="201"/>
      <c r="AH2323" s="212" t="str">
        <f t="shared" si="1075"/>
        <v>2011</v>
      </c>
      <c r="AI2323" s="214" t="str">
        <f t="shared" si="1064"/>
        <v/>
      </c>
      <c r="AJ2323" s="214" t="str">
        <f t="shared" si="1065"/>
        <v/>
      </c>
      <c r="AK2323" s="214" t="str">
        <f t="shared" si="1066"/>
        <v/>
      </c>
      <c r="AL2323" s="214" t="str">
        <f t="shared" si="1067"/>
        <v/>
      </c>
      <c r="AM2323" s="214" t="str">
        <f t="shared" si="1068"/>
        <v/>
      </c>
      <c r="AN2323" s="213" t="str">
        <f t="shared" si="1051"/>
        <v>2011</v>
      </c>
      <c r="AO2323" s="213" t="str">
        <f t="shared" si="1052"/>
        <v>2011</v>
      </c>
      <c r="AP2323" s="213" t="str">
        <f t="shared" si="1053"/>
        <v>2011</v>
      </c>
      <c r="AQ2323" s="215" t="str">
        <f t="shared" si="1054"/>
        <v/>
      </c>
      <c r="AR2323" s="216" t="str">
        <f t="shared" si="1055"/>
        <v>BiK81LbK11y-08</v>
      </c>
      <c r="AS2323" s="215" t="str">
        <f t="shared" si="1056"/>
        <v/>
      </c>
      <c r="AT2323">
        <f t="shared" si="1057"/>
        <v>14</v>
      </c>
      <c r="AU2323" s="216" t="str">
        <f t="shared" si="1058"/>
        <v>0-0,15 MW, Bonusregeln L, y, b und K erstmals 2011</v>
      </c>
      <c r="AV2323" s="215" t="str">
        <f t="shared" si="1059"/>
        <v/>
      </c>
      <c r="AW2323" s="216" t="str">
        <f t="shared" si="1060"/>
        <v>Anteil KWK, erstmals 2011</v>
      </c>
      <c r="AX2323" s="215" t="str">
        <f t="shared" si="1061"/>
        <v/>
      </c>
      <c r="AY2323" t="str">
        <f t="shared" si="1062"/>
        <v>x</v>
      </c>
      <c r="AZ2323" t="str">
        <f t="shared" si="1063"/>
        <v/>
      </c>
    </row>
    <row r="2324" spans="1:52" s="178" customFormat="1" x14ac:dyDescent="0.25">
      <c r="A2324" s="625" t="s">
        <v>1887</v>
      </c>
      <c r="B2324" s="219" t="s">
        <v>5548</v>
      </c>
      <c r="C2324" s="219" t="s">
        <v>5540</v>
      </c>
      <c r="D2324" s="219" t="s">
        <v>6976</v>
      </c>
      <c r="E2324" s="219" t="s">
        <v>1980</v>
      </c>
      <c r="F2324" s="455">
        <f t="shared" si="1070"/>
        <v>26.58</v>
      </c>
      <c r="G2324" s="530">
        <v>26.58</v>
      </c>
      <c r="H2324" s="488">
        <f t="shared" si="1071"/>
        <v>21.26</v>
      </c>
      <c r="I2324" s="707"/>
      <c r="J2324" s="669" t="s">
        <v>5805</v>
      </c>
      <c r="K2324" s="15"/>
      <c r="L2324"/>
      <c r="M2324" s="49">
        <f t="shared" si="1072"/>
        <v>26.58</v>
      </c>
      <c r="N2324" s="41">
        <v>11.67</v>
      </c>
      <c r="O2324" s="187"/>
      <c r="P2324" s="183"/>
      <c r="Q2324" s="184"/>
      <c r="S2324" s="184" t="s">
        <v>4180</v>
      </c>
      <c r="T2324" s="178" t="s">
        <v>1017</v>
      </c>
      <c r="U2324" s="185" t="s">
        <v>1017</v>
      </c>
      <c r="V2324" s="184"/>
      <c r="W2324" s="180"/>
      <c r="X2324" s="180"/>
      <c r="AA2324" s="180"/>
      <c r="AB2324" s="184" t="s">
        <v>1017</v>
      </c>
      <c r="AC2324" s="184"/>
      <c r="AD2324" s="201"/>
      <c r="AE2324" s="181" t="s">
        <v>1017</v>
      </c>
      <c r="AF2324" s="180"/>
      <c r="AG2324" s="201"/>
      <c r="AH2324" s="217" t="s">
        <v>4179</v>
      </c>
      <c r="AI2324" s="214" t="str">
        <f t="shared" si="1064"/>
        <v/>
      </c>
      <c r="AJ2324" s="214" t="str">
        <f t="shared" si="1065"/>
        <v/>
      </c>
      <c r="AK2324" s="214" t="str">
        <f t="shared" si="1066"/>
        <v/>
      </c>
      <c r="AL2324" s="214" t="str">
        <f t="shared" si="1067"/>
        <v/>
      </c>
      <c r="AM2324" s="214" t="str">
        <f t="shared" si="1068"/>
        <v/>
      </c>
      <c r="AN2324" s="213" t="str">
        <f t="shared" si="1051"/>
        <v>2012</v>
      </c>
      <c r="AO2324" s="213" t="str">
        <f t="shared" si="1052"/>
        <v>2012</v>
      </c>
      <c r="AP2324" s="213" t="str">
        <f t="shared" si="1053"/>
        <v>2012</v>
      </c>
      <c r="AQ2324" s="215" t="str">
        <f t="shared" si="1054"/>
        <v/>
      </c>
      <c r="AR2324" s="216" t="str">
        <f t="shared" si="1055"/>
        <v>BiK81LbK12y-08</v>
      </c>
      <c r="AS2324" s="215" t="str">
        <f t="shared" si="1056"/>
        <v/>
      </c>
      <c r="AT2324">
        <f t="shared" si="1057"/>
        <v>14</v>
      </c>
      <c r="AU2324" s="216" t="str">
        <f t="shared" si="1058"/>
        <v>0-0,15 MW, Bonusregeln L, y, b und K erstmals 2012</v>
      </c>
      <c r="AV2324" s="215" t="str">
        <f t="shared" si="1059"/>
        <v/>
      </c>
      <c r="AW2324" s="216" t="str">
        <f t="shared" si="1060"/>
        <v>Anteil KWK, erstmals 2012</v>
      </c>
      <c r="AX2324" s="215" t="str">
        <f t="shared" si="1061"/>
        <v/>
      </c>
      <c r="AY2324" t="str">
        <f t="shared" si="1062"/>
        <v/>
      </c>
      <c r="AZ2324" t="str">
        <f t="shared" si="1063"/>
        <v>x</v>
      </c>
    </row>
    <row r="2325" spans="1:52" s="178" customFormat="1" x14ac:dyDescent="0.25">
      <c r="A2325" s="610" t="s">
        <v>4615</v>
      </c>
      <c r="B2325" s="30" t="s">
        <v>5548</v>
      </c>
      <c r="C2325" s="30" t="s">
        <v>5540</v>
      </c>
      <c r="D2325" s="30" t="s">
        <v>6977</v>
      </c>
      <c r="E2325" s="30" t="s">
        <v>4810</v>
      </c>
      <c r="F2325" s="454">
        <f t="shared" si="1070"/>
        <v>26.67</v>
      </c>
      <c r="G2325" s="529">
        <v>26.67</v>
      </c>
      <c r="H2325" s="487">
        <f t="shared" si="1071"/>
        <v>21.34</v>
      </c>
      <c r="I2325" s="706"/>
      <c r="J2325" s="669" t="s">
        <v>5805</v>
      </c>
      <c r="K2325" s="15"/>
      <c r="L2325"/>
      <c r="M2325" s="49">
        <f t="shared" si="1072"/>
        <v>26.67</v>
      </c>
      <c r="N2325" s="41">
        <v>11.67</v>
      </c>
      <c r="O2325" s="186"/>
      <c r="P2325" s="177"/>
      <c r="S2325" s="178" t="s">
        <v>4180</v>
      </c>
      <c r="T2325" s="178" t="s">
        <v>4180</v>
      </c>
      <c r="U2325" s="179"/>
      <c r="W2325" s="180"/>
      <c r="X2325" s="180"/>
      <c r="AA2325" s="180"/>
      <c r="AC2325" s="178" t="s">
        <v>1017</v>
      </c>
      <c r="AD2325" s="201"/>
      <c r="AE2325" s="181" t="s">
        <v>1017</v>
      </c>
      <c r="AF2325" s="180"/>
      <c r="AG2325" s="201"/>
      <c r="AH2325" s="212" t="str">
        <f t="shared" ref="AH2325:AH2330" si="1076">IF(ISERROR(SEARCH("K erstmals 201",D2325)),"",RIGHT(D2325,4))</f>
        <v/>
      </c>
      <c r="AI2325" s="214" t="str">
        <f t="shared" si="1064"/>
        <v/>
      </c>
      <c r="AJ2325" s="214" t="str">
        <f t="shared" si="1065"/>
        <v/>
      </c>
      <c r="AK2325" s="214" t="str">
        <f t="shared" si="1066"/>
        <v/>
      </c>
      <c r="AL2325" s="214" t="str">
        <f t="shared" si="1067"/>
        <v/>
      </c>
      <c r="AM2325" s="214" t="str">
        <f t="shared" si="1068"/>
        <v/>
      </c>
      <c r="AN2325" s="213" t="str">
        <f t="shared" si="1051"/>
        <v/>
      </c>
      <c r="AO2325" s="213" t="str">
        <f t="shared" si="1052"/>
        <v/>
      </c>
      <c r="AP2325" s="213" t="str">
        <f t="shared" si="1053"/>
        <v/>
      </c>
      <c r="AQ2325" s="215" t="str">
        <f t="shared" si="1054"/>
        <v/>
      </c>
      <c r="AR2325" s="216" t="str">
        <f t="shared" si="1055"/>
        <v>BiK81X1b----08</v>
      </c>
      <c r="AS2325" s="215" t="str">
        <f t="shared" si="1056"/>
        <v/>
      </c>
      <c r="AT2325">
        <f t="shared" si="1057"/>
        <v>14</v>
      </c>
      <c r="AU2325" s="216" t="str">
        <f t="shared" si="1058"/>
        <v>0-0,15 MW, Bonusregeln X1, b</v>
      </c>
      <c r="AV2325" s="215" t="str">
        <f t="shared" si="1059"/>
        <v/>
      </c>
      <c r="AW2325" s="216" t="str">
        <f t="shared" si="1060"/>
        <v>Anteil Nicht-KWK</v>
      </c>
      <c r="AX2325" s="215" t="str">
        <f t="shared" si="1061"/>
        <v/>
      </c>
      <c r="AY2325" t="str">
        <f t="shared" si="1062"/>
        <v/>
      </c>
      <c r="AZ2325" t="str">
        <f t="shared" si="1063"/>
        <v/>
      </c>
    </row>
    <row r="2326" spans="1:52" s="178" customFormat="1" x14ac:dyDescent="0.25">
      <c r="A2326" s="610" t="s">
        <v>4616</v>
      </c>
      <c r="B2326" s="30" t="s">
        <v>5548</v>
      </c>
      <c r="C2326" s="30" t="s">
        <v>5540</v>
      </c>
      <c r="D2326" s="30" t="s">
        <v>6978</v>
      </c>
      <c r="E2326" s="30" t="s">
        <v>4812</v>
      </c>
      <c r="F2326" s="454">
        <f t="shared" si="1070"/>
        <v>28.67</v>
      </c>
      <c r="G2326" s="529">
        <v>28.67</v>
      </c>
      <c r="H2326" s="487">
        <f t="shared" si="1071"/>
        <v>22.94</v>
      </c>
      <c r="I2326" s="706"/>
      <c r="J2326" s="669" t="s">
        <v>5805</v>
      </c>
      <c r="K2326" s="15"/>
      <c r="L2326"/>
      <c r="M2326" s="49">
        <f t="shared" si="1072"/>
        <v>28.67</v>
      </c>
      <c r="N2326" s="41">
        <v>11.67</v>
      </c>
      <c r="O2326" s="186" t="s">
        <v>1017</v>
      </c>
      <c r="P2326" s="177"/>
      <c r="S2326" s="178" t="s">
        <v>4180</v>
      </c>
      <c r="T2326" s="178" t="s">
        <v>4180</v>
      </c>
      <c r="U2326" s="179"/>
      <c r="W2326" s="180"/>
      <c r="X2326" s="180"/>
      <c r="AA2326" s="180"/>
      <c r="AC2326" s="178" t="s">
        <v>1017</v>
      </c>
      <c r="AD2326" s="201"/>
      <c r="AE2326" s="181" t="s">
        <v>1017</v>
      </c>
      <c r="AF2326" s="180"/>
      <c r="AG2326" s="201"/>
      <c r="AH2326" s="212" t="str">
        <f t="shared" si="1076"/>
        <v/>
      </c>
      <c r="AI2326" s="214" t="str">
        <f t="shared" si="1064"/>
        <v/>
      </c>
      <c r="AJ2326" s="214" t="str">
        <f t="shared" si="1065"/>
        <v/>
      </c>
      <c r="AK2326" s="214" t="str">
        <f t="shared" si="1066"/>
        <v/>
      </c>
      <c r="AL2326" s="214" t="str">
        <f t="shared" si="1067"/>
        <v/>
      </c>
      <c r="AM2326" s="214" t="str">
        <f t="shared" si="1068"/>
        <v/>
      </c>
      <c r="AN2326" s="213" t="str">
        <f t="shared" si="1051"/>
        <v/>
      </c>
      <c r="AO2326" s="213" t="str">
        <f t="shared" si="1052"/>
        <v/>
      </c>
      <c r="AP2326" s="213" t="str">
        <f t="shared" si="1053"/>
        <v/>
      </c>
      <c r="AQ2326" s="215" t="str">
        <f t="shared" si="1054"/>
        <v/>
      </c>
      <c r="AR2326" s="216" t="str">
        <f t="shared" si="1055"/>
        <v>BiK81X1bKWK-08</v>
      </c>
      <c r="AS2326" s="215" t="str">
        <f t="shared" si="1056"/>
        <v/>
      </c>
      <c r="AT2326">
        <f t="shared" si="1057"/>
        <v>14</v>
      </c>
      <c r="AU2326" s="216" t="str">
        <f t="shared" si="1058"/>
        <v>0-0,15 MW, Bonusregeln X1, b und KWK</v>
      </c>
      <c r="AV2326" s="215" t="str">
        <f t="shared" si="1059"/>
        <v/>
      </c>
      <c r="AW2326" s="216" t="str">
        <f t="shared" si="1060"/>
        <v>Anteil KWK</v>
      </c>
      <c r="AX2326" s="215" t="str">
        <f t="shared" si="1061"/>
        <v/>
      </c>
      <c r="AY2326" t="str">
        <f t="shared" si="1062"/>
        <v/>
      </c>
      <c r="AZ2326" t="str">
        <f t="shared" si="1063"/>
        <v/>
      </c>
    </row>
    <row r="2327" spans="1:52" s="178" customFormat="1" x14ac:dyDescent="0.25">
      <c r="A2327" s="610" t="s">
        <v>4617</v>
      </c>
      <c r="B2327" s="30" t="s">
        <v>5548</v>
      </c>
      <c r="C2327" s="30" t="s">
        <v>5540</v>
      </c>
      <c r="D2327" s="30" t="s">
        <v>6979</v>
      </c>
      <c r="E2327" s="30" t="s">
        <v>4331</v>
      </c>
      <c r="F2327" s="454">
        <f t="shared" si="1070"/>
        <v>29.67</v>
      </c>
      <c r="G2327" s="529">
        <v>29.67</v>
      </c>
      <c r="H2327" s="487">
        <f t="shared" si="1071"/>
        <v>23.74</v>
      </c>
      <c r="I2327" s="706"/>
      <c r="J2327" s="669" t="s">
        <v>5805</v>
      </c>
      <c r="K2327" s="15"/>
      <c r="L2327"/>
      <c r="M2327" s="49">
        <f t="shared" si="1072"/>
        <v>29.67</v>
      </c>
      <c r="N2327" s="41">
        <v>11.67</v>
      </c>
      <c r="O2327" s="186"/>
      <c r="P2327" s="178" t="s">
        <v>1017</v>
      </c>
      <c r="S2327" s="178" t="s">
        <v>4180</v>
      </c>
      <c r="T2327" s="178" t="s">
        <v>4180</v>
      </c>
      <c r="U2327" s="179"/>
      <c r="W2327" s="180"/>
      <c r="X2327" s="180"/>
      <c r="AA2327" s="180"/>
      <c r="AC2327" s="178" t="s">
        <v>1017</v>
      </c>
      <c r="AD2327" s="201"/>
      <c r="AE2327" s="181" t="s">
        <v>1017</v>
      </c>
      <c r="AF2327" s="180"/>
      <c r="AG2327" s="201"/>
      <c r="AH2327" s="212" t="str">
        <f t="shared" si="1076"/>
        <v/>
      </c>
      <c r="AI2327" s="214" t="str">
        <f t="shared" si="1064"/>
        <v/>
      </c>
      <c r="AJ2327" s="214" t="str">
        <f t="shared" si="1065"/>
        <v/>
      </c>
      <c r="AK2327" s="214" t="str">
        <f t="shared" si="1066"/>
        <v/>
      </c>
      <c r="AL2327" s="214" t="str">
        <f t="shared" si="1067"/>
        <v/>
      </c>
      <c r="AM2327" s="214" t="str">
        <f t="shared" si="1068"/>
        <v/>
      </c>
      <c r="AN2327" s="213" t="str">
        <f t="shared" si="1051"/>
        <v/>
      </c>
      <c r="AO2327" s="213" t="str">
        <f t="shared" si="1052"/>
        <v/>
      </c>
      <c r="AP2327" s="213" t="str">
        <f t="shared" si="1053"/>
        <v/>
      </c>
      <c r="AQ2327" s="215" t="str">
        <f t="shared" si="1054"/>
        <v/>
      </c>
      <c r="AR2327" s="216" t="str">
        <f t="shared" si="1055"/>
        <v>BiK81X1bKA3-08</v>
      </c>
      <c r="AS2327" s="215" t="str">
        <f t="shared" si="1056"/>
        <v/>
      </c>
      <c r="AT2327">
        <f t="shared" si="1057"/>
        <v>14</v>
      </c>
      <c r="AU2327" s="216" t="str">
        <f t="shared" si="1058"/>
        <v>0-0,15 MW, Bonusregeln X1, b und K wenn Anlage 3 erfüllt</v>
      </c>
      <c r="AV2327" s="215" t="str">
        <f t="shared" si="1059"/>
        <v/>
      </c>
      <c r="AW2327" s="216" t="str">
        <f t="shared" si="1060"/>
        <v>Anteil KWK gemäß Anlage 3</v>
      </c>
      <c r="AX2327" s="215" t="str">
        <f t="shared" si="1061"/>
        <v/>
      </c>
      <c r="AY2327" t="str">
        <f t="shared" si="1062"/>
        <v/>
      </c>
      <c r="AZ2327" t="str">
        <f t="shared" si="1063"/>
        <v/>
      </c>
    </row>
    <row r="2328" spans="1:52" s="178" customFormat="1" x14ac:dyDescent="0.25">
      <c r="A2328" s="610" t="s">
        <v>4618</v>
      </c>
      <c r="B2328" s="30" t="s">
        <v>5548</v>
      </c>
      <c r="C2328" s="30" t="s">
        <v>5540</v>
      </c>
      <c r="D2328" s="30" t="s">
        <v>6980</v>
      </c>
      <c r="E2328" s="30" t="s">
        <v>674</v>
      </c>
      <c r="F2328" s="454">
        <f t="shared" si="1070"/>
        <v>29.67</v>
      </c>
      <c r="G2328" s="529">
        <v>29.67</v>
      </c>
      <c r="H2328" s="487">
        <f t="shared" si="1071"/>
        <v>23.74</v>
      </c>
      <c r="I2328" s="706"/>
      <c r="J2328" s="669" t="s">
        <v>5805</v>
      </c>
      <c r="K2328" s="15"/>
      <c r="L2328"/>
      <c r="M2328" s="49">
        <f t="shared" si="1072"/>
        <v>29.67</v>
      </c>
      <c r="N2328" s="41">
        <v>11.67</v>
      </c>
      <c r="O2328" s="186"/>
      <c r="P2328" s="177"/>
      <c r="Q2328" s="178" t="s">
        <v>1017</v>
      </c>
      <c r="S2328" s="178" t="s">
        <v>4180</v>
      </c>
      <c r="T2328" s="178" t="s">
        <v>4180</v>
      </c>
      <c r="U2328" s="179"/>
      <c r="W2328" s="180"/>
      <c r="X2328" s="180"/>
      <c r="AA2328" s="180"/>
      <c r="AC2328" s="178" t="s">
        <v>1017</v>
      </c>
      <c r="AD2328" s="201"/>
      <c r="AE2328" s="181" t="s">
        <v>1017</v>
      </c>
      <c r="AF2328" s="180"/>
      <c r="AG2328" s="201"/>
      <c r="AH2328" s="212" t="str">
        <f t="shared" si="1076"/>
        <v/>
      </c>
      <c r="AI2328" s="214" t="str">
        <f t="shared" si="1064"/>
        <v/>
      </c>
      <c r="AJ2328" s="214" t="str">
        <f t="shared" si="1065"/>
        <v/>
      </c>
      <c r="AK2328" s="214" t="str">
        <f t="shared" si="1066"/>
        <v/>
      </c>
      <c r="AL2328" s="214" t="str">
        <f t="shared" si="1067"/>
        <v/>
      </c>
      <c r="AM2328" s="214" t="str">
        <f t="shared" si="1068"/>
        <v/>
      </c>
      <c r="AN2328" s="213" t="str">
        <f t="shared" si="1051"/>
        <v/>
      </c>
      <c r="AO2328" s="213" t="str">
        <f t="shared" si="1052"/>
        <v/>
      </c>
      <c r="AP2328" s="213" t="str">
        <f t="shared" si="1053"/>
        <v/>
      </c>
      <c r="AQ2328" s="215" t="str">
        <f t="shared" si="1054"/>
        <v/>
      </c>
      <c r="AR2328" s="216" t="str">
        <f t="shared" si="1055"/>
        <v>BiK81X1bK09-08</v>
      </c>
      <c r="AS2328" s="215" t="str">
        <f t="shared" si="1056"/>
        <v/>
      </c>
      <c r="AT2328">
        <f t="shared" si="1057"/>
        <v>14</v>
      </c>
      <c r="AU2328" s="216" t="str">
        <f t="shared" si="1058"/>
        <v>0-0,15 MW, Bonusregeln X1, b und K erstmals 2009</v>
      </c>
      <c r="AV2328" s="215" t="str">
        <f t="shared" si="1059"/>
        <v/>
      </c>
      <c r="AW2328" s="216" t="str">
        <f t="shared" si="1060"/>
        <v>Anteil KWK, erstmals 2009</v>
      </c>
      <c r="AX2328" s="215" t="str">
        <f t="shared" si="1061"/>
        <v/>
      </c>
      <c r="AY2328" t="str">
        <f t="shared" si="1062"/>
        <v/>
      </c>
      <c r="AZ2328" t="str">
        <f t="shared" si="1063"/>
        <v/>
      </c>
    </row>
    <row r="2329" spans="1:52" s="178" customFormat="1" x14ac:dyDescent="0.25">
      <c r="A2329" s="610" t="s">
        <v>3178</v>
      </c>
      <c r="B2329" s="30" t="s">
        <v>5548</v>
      </c>
      <c r="C2329" s="30" t="s">
        <v>5540</v>
      </c>
      <c r="D2329" s="30" t="s">
        <v>6981</v>
      </c>
      <c r="E2329" s="30" t="s">
        <v>3567</v>
      </c>
      <c r="F2329" s="454">
        <f t="shared" si="1070"/>
        <v>29.64</v>
      </c>
      <c r="G2329" s="529">
        <v>29.64</v>
      </c>
      <c r="H2329" s="487">
        <f t="shared" si="1071"/>
        <v>23.71</v>
      </c>
      <c r="I2329" s="706"/>
      <c r="J2329" s="669" t="s">
        <v>5805</v>
      </c>
      <c r="K2329" s="15"/>
      <c r="L2329"/>
      <c r="M2329" s="49">
        <f t="shared" si="1072"/>
        <v>29.64</v>
      </c>
      <c r="N2329" s="41">
        <v>11.67</v>
      </c>
      <c r="O2329" s="186"/>
      <c r="P2329" s="177"/>
      <c r="R2329" s="178" t="s">
        <v>1017</v>
      </c>
      <c r="S2329" s="178" t="s">
        <v>4180</v>
      </c>
      <c r="T2329" s="178" t="s">
        <v>4180</v>
      </c>
      <c r="U2329" s="179"/>
      <c r="W2329" s="180"/>
      <c r="X2329" s="180"/>
      <c r="AA2329" s="180"/>
      <c r="AC2329" s="178" t="s">
        <v>1017</v>
      </c>
      <c r="AD2329" s="201"/>
      <c r="AE2329" s="181" t="s">
        <v>1017</v>
      </c>
      <c r="AF2329" s="180"/>
      <c r="AG2329" s="201"/>
      <c r="AH2329" s="212" t="str">
        <f t="shared" si="1076"/>
        <v>2010</v>
      </c>
      <c r="AI2329" s="214" t="str">
        <f t="shared" si="1064"/>
        <v/>
      </c>
      <c r="AJ2329" s="214" t="str">
        <f t="shared" si="1065"/>
        <v/>
      </c>
      <c r="AK2329" s="214" t="str">
        <f t="shared" si="1066"/>
        <v/>
      </c>
      <c r="AL2329" s="214" t="str">
        <f t="shared" si="1067"/>
        <v/>
      </c>
      <c r="AM2329" s="214" t="str">
        <f t="shared" si="1068"/>
        <v/>
      </c>
      <c r="AN2329" s="213" t="str">
        <f t="shared" si="1051"/>
        <v>2010</v>
      </c>
      <c r="AO2329" s="213" t="str">
        <f t="shared" si="1052"/>
        <v>2010</v>
      </c>
      <c r="AP2329" s="213" t="str">
        <f t="shared" si="1053"/>
        <v>2010</v>
      </c>
      <c r="AQ2329" s="215" t="str">
        <f t="shared" si="1054"/>
        <v/>
      </c>
      <c r="AR2329" s="216" t="str">
        <f t="shared" si="1055"/>
        <v>BiK81X1bK10-08</v>
      </c>
      <c r="AS2329" s="215" t="str">
        <f t="shared" si="1056"/>
        <v/>
      </c>
      <c r="AT2329">
        <f t="shared" si="1057"/>
        <v>14</v>
      </c>
      <c r="AU2329" s="216" t="str">
        <f t="shared" si="1058"/>
        <v>0-0,15 MW, Bonusregeln X1, b und K erstmals 2010</v>
      </c>
      <c r="AV2329" s="215" t="str">
        <f t="shared" si="1059"/>
        <v/>
      </c>
      <c r="AW2329" s="216" t="str">
        <f t="shared" si="1060"/>
        <v>Anteil KWK, erstmals 2010</v>
      </c>
      <c r="AX2329" s="215" t="str">
        <f t="shared" si="1061"/>
        <v/>
      </c>
      <c r="AY2329" t="str">
        <f t="shared" si="1062"/>
        <v/>
      </c>
      <c r="AZ2329" t="str">
        <f t="shared" si="1063"/>
        <v/>
      </c>
    </row>
    <row r="2330" spans="1:52" s="178" customFormat="1" x14ac:dyDescent="0.25">
      <c r="A2330" s="610" t="s">
        <v>3456</v>
      </c>
      <c r="B2330" s="30" t="s">
        <v>5548</v>
      </c>
      <c r="C2330" s="30" t="s">
        <v>5540</v>
      </c>
      <c r="D2330" s="30" t="s">
        <v>6982</v>
      </c>
      <c r="E2330" s="30" t="s">
        <v>3055</v>
      </c>
      <c r="F2330" s="454">
        <f t="shared" si="1070"/>
        <v>29.61</v>
      </c>
      <c r="G2330" s="529">
        <v>29.61</v>
      </c>
      <c r="H2330" s="487">
        <f t="shared" si="1071"/>
        <v>23.69</v>
      </c>
      <c r="I2330" s="706"/>
      <c r="J2330" s="669" t="s">
        <v>5805</v>
      </c>
      <c r="K2330" s="15"/>
      <c r="L2330"/>
      <c r="M2330" s="49">
        <f t="shared" si="1072"/>
        <v>29.61</v>
      </c>
      <c r="N2330" s="41">
        <v>11.67</v>
      </c>
      <c r="O2330" s="186"/>
      <c r="P2330" s="177"/>
      <c r="S2330" s="178" t="s">
        <v>1017</v>
      </c>
      <c r="T2330" s="178" t="s">
        <v>4180</v>
      </c>
      <c r="U2330" s="179"/>
      <c r="W2330" s="180"/>
      <c r="X2330" s="180"/>
      <c r="AA2330" s="180"/>
      <c r="AC2330" s="178" t="s">
        <v>1017</v>
      </c>
      <c r="AD2330" s="201"/>
      <c r="AE2330" s="181" t="s">
        <v>1017</v>
      </c>
      <c r="AF2330" s="180"/>
      <c r="AG2330" s="201"/>
      <c r="AH2330" s="212" t="str">
        <f t="shared" si="1076"/>
        <v>2011</v>
      </c>
      <c r="AI2330" s="214" t="str">
        <f t="shared" si="1064"/>
        <v/>
      </c>
      <c r="AJ2330" s="214" t="str">
        <f t="shared" si="1065"/>
        <v/>
      </c>
      <c r="AK2330" s="214" t="str">
        <f t="shared" si="1066"/>
        <v/>
      </c>
      <c r="AL2330" s="214" t="str">
        <f t="shared" si="1067"/>
        <v/>
      </c>
      <c r="AM2330" s="214" t="str">
        <f t="shared" si="1068"/>
        <v/>
      </c>
      <c r="AN2330" s="213" t="str">
        <f t="shared" si="1051"/>
        <v>2011</v>
      </c>
      <c r="AO2330" s="213" t="str">
        <f t="shared" si="1052"/>
        <v>2011</v>
      </c>
      <c r="AP2330" s="213" t="str">
        <f t="shared" si="1053"/>
        <v>2011</v>
      </c>
      <c r="AQ2330" s="215" t="str">
        <f t="shared" si="1054"/>
        <v/>
      </c>
      <c r="AR2330" s="216" t="str">
        <f t="shared" si="1055"/>
        <v>BiK81X1bK11-08</v>
      </c>
      <c r="AS2330" s="215" t="str">
        <f t="shared" si="1056"/>
        <v/>
      </c>
      <c r="AT2330">
        <f t="shared" si="1057"/>
        <v>14</v>
      </c>
      <c r="AU2330" s="216" t="str">
        <f t="shared" si="1058"/>
        <v>0-0,15 MW, Bonusregeln X1, b und K erstmals 2011</v>
      </c>
      <c r="AV2330" s="215" t="str">
        <f t="shared" si="1059"/>
        <v/>
      </c>
      <c r="AW2330" s="216" t="str">
        <f t="shared" si="1060"/>
        <v>Anteil KWK, erstmals 2011</v>
      </c>
      <c r="AX2330" s="215" t="str">
        <f t="shared" si="1061"/>
        <v/>
      </c>
      <c r="AY2330" t="str">
        <f t="shared" si="1062"/>
        <v>x</v>
      </c>
      <c r="AZ2330" t="str">
        <f t="shared" si="1063"/>
        <v/>
      </c>
    </row>
    <row r="2331" spans="1:52" s="178" customFormat="1" x14ac:dyDescent="0.25">
      <c r="A2331" s="625" t="s">
        <v>1888</v>
      </c>
      <c r="B2331" s="219" t="s">
        <v>5548</v>
      </c>
      <c r="C2331" s="219" t="s">
        <v>5540</v>
      </c>
      <c r="D2331" s="219" t="s">
        <v>6983</v>
      </c>
      <c r="E2331" s="219" t="s">
        <v>1980</v>
      </c>
      <c r="F2331" s="455">
        <f t="shared" si="1070"/>
        <v>29.58</v>
      </c>
      <c r="G2331" s="530">
        <v>29.58</v>
      </c>
      <c r="H2331" s="488">
        <f t="shared" si="1071"/>
        <v>23.66</v>
      </c>
      <c r="I2331" s="707"/>
      <c r="J2331" s="669" t="s">
        <v>5805</v>
      </c>
      <c r="K2331" s="15"/>
      <c r="L2331"/>
      <c r="M2331" s="49">
        <f t="shared" si="1072"/>
        <v>29.58</v>
      </c>
      <c r="N2331" s="41">
        <v>11.67</v>
      </c>
      <c r="O2331" s="186"/>
      <c r="P2331" s="177"/>
      <c r="S2331" s="178" t="s">
        <v>4180</v>
      </c>
      <c r="T2331" s="178" t="s">
        <v>1017</v>
      </c>
      <c r="U2331" s="179"/>
      <c r="W2331" s="180"/>
      <c r="X2331" s="180"/>
      <c r="AA2331" s="180"/>
      <c r="AC2331" s="178" t="s">
        <v>1017</v>
      </c>
      <c r="AD2331" s="201"/>
      <c r="AE2331" s="181" t="s">
        <v>1017</v>
      </c>
      <c r="AF2331" s="180"/>
      <c r="AG2331" s="201"/>
      <c r="AH2331" s="217" t="s">
        <v>4179</v>
      </c>
      <c r="AI2331" s="214" t="str">
        <f t="shared" si="1064"/>
        <v/>
      </c>
      <c r="AJ2331" s="214" t="str">
        <f t="shared" si="1065"/>
        <v/>
      </c>
      <c r="AK2331" s="214" t="str">
        <f t="shared" si="1066"/>
        <v/>
      </c>
      <c r="AL2331" s="214" t="str">
        <f t="shared" si="1067"/>
        <v/>
      </c>
      <c r="AM2331" s="214" t="str">
        <f t="shared" si="1068"/>
        <v/>
      </c>
      <c r="AN2331" s="213" t="str">
        <f t="shared" si="1051"/>
        <v>2012</v>
      </c>
      <c r="AO2331" s="213" t="str">
        <f t="shared" si="1052"/>
        <v>2012</v>
      </c>
      <c r="AP2331" s="213" t="str">
        <f t="shared" si="1053"/>
        <v>2012</v>
      </c>
      <c r="AQ2331" s="215" t="str">
        <f t="shared" si="1054"/>
        <v/>
      </c>
      <c r="AR2331" s="216" t="str">
        <f t="shared" si="1055"/>
        <v>BiK81X1bK12-08</v>
      </c>
      <c r="AS2331" s="215" t="str">
        <f t="shared" si="1056"/>
        <v/>
      </c>
      <c r="AT2331">
        <f t="shared" si="1057"/>
        <v>14</v>
      </c>
      <c r="AU2331" s="216" t="str">
        <f t="shared" si="1058"/>
        <v>0-0,15 MW, Bonusregeln X1, b und K erstmals 2012</v>
      </c>
      <c r="AV2331" s="215" t="str">
        <f t="shared" si="1059"/>
        <v/>
      </c>
      <c r="AW2331" s="216" t="str">
        <f t="shared" si="1060"/>
        <v>Anteil KWK, erstmals 2012</v>
      </c>
      <c r="AX2331" s="215" t="str">
        <f t="shared" si="1061"/>
        <v/>
      </c>
      <c r="AY2331" t="str">
        <f t="shared" si="1062"/>
        <v/>
      </c>
      <c r="AZ2331" t="str">
        <f t="shared" si="1063"/>
        <v>x</v>
      </c>
    </row>
    <row r="2332" spans="1:52" x14ac:dyDescent="0.25">
      <c r="A2332" s="610" t="s">
        <v>2101</v>
      </c>
      <c r="B2332" s="30" t="s">
        <v>5548</v>
      </c>
      <c r="C2332" s="30" t="s">
        <v>5540</v>
      </c>
      <c r="D2332" s="30" t="s">
        <v>6984</v>
      </c>
      <c r="E2332" s="30" t="s">
        <v>4810</v>
      </c>
      <c r="F2332" s="454">
        <f t="shared" si="1070"/>
        <v>27.67</v>
      </c>
      <c r="G2332" s="529">
        <v>27.67</v>
      </c>
      <c r="H2332" s="487">
        <f t="shared" si="1071"/>
        <v>22.14</v>
      </c>
      <c r="I2332" s="706"/>
      <c r="J2332" s="669" t="s">
        <v>5805</v>
      </c>
      <c r="K2332" s="15"/>
      <c r="M2332" s="49">
        <f t="shared" si="1072"/>
        <v>27.67</v>
      </c>
      <c r="N2332" s="41">
        <v>11.67</v>
      </c>
      <c r="O2332" s="187"/>
      <c r="P2332" s="183"/>
      <c r="Q2332" s="184"/>
      <c r="R2332" s="184"/>
      <c r="S2332" s="184" t="s">
        <v>4180</v>
      </c>
      <c r="T2332" t="s">
        <v>4180</v>
      </c>
      <c r="U2332" s="185" t="s">
        <v>1017</v>
      </c>
      <c r="V2332" s="184"/>
      <c r="W2332" s="180"/>
      <c r="X2332" s="180"/>
      <c r="Y2332" s="178"/>
      <c r="Z2332" s="178"/>
      <c r="AA2332" s="180"/>
      <c r="AB2332" s="178"/>
      <c r="AC2332" s="184" t="s">
        <v>1017</v>
      </c>
      <c r="AD2332" s="201"/>
      <c r="AE2332" s="181" t="s">
        <v>1017</v>
      </c>
      <c r="AF2332" s="180"/>
      <c r="AG2332" s="201"/>
      <c r="AH2332" s="212" t="str">
        <f t="shared" ref="AH2332:AH2337" si="1077">IF(ISERROR(SEARCH("K erstmals 201",D2332)),"",RIGHT(D2332,4))</f>
        <v/>
      </c>
      <c r="AI2332" s="214" t="str">
        <f t="shared" si="1064"/>
        <v/>
      </c>
      <c r="AJ2332" s="214" t="str">
        <f t="shared" si="1065"/>
        <v/>
      </c>
      <c r="AK2332" s="214" t="str">
        <f t="shared" si="1066"/>
        <v/>
      </c>
      <c r="AL2332" s="214" t="str">
        <f t="shared" si="1067"/>
        <v/>
      </c>
      <c r="AM2332" s="214" t="str">
        <f t="shared" si="1068"/>
        <v/>
      </c>
      <c r="AN2332" s="213" t="str">
        <f t="shared" si="1051"/>
        <v/>
      </c>
      <c r="AO2332" s="213" t="str">
        <f t="shared" si="1052"/>
        <v/>
      </c>
      <c r="AP2332" s="213" t="str">
        <f t="shared" si="1053"/>
        <v/>
      </c>
      <c r="AQ2332" s="215" t="str">
        <f t="shared" si="1054"/>
        <v/>
      </c>
      <c r="AR2332" s="216" t="str">
        <f t="shared" si="1055"/>
        <v>BiK81X1by---08</v>
      </c>
      <c r="AS2332" s="215" t="str">
        <f t="shared" si="1056"/>
        <v/>
      </c>
      <c r="AT2332">
        <f t="shared" si="1057"/>
        <v>14</v>
      </c>
      <c r="AU2332" s="216" t="str">
        <f t="shared" si="1058"/>
        <v>0-0,15 MW, Bonusregeln X1, y, b</v>
      </c>
      <c r="AV2332" s="215" t="str">
        <f t="shared" si="1059"/>
        <v/>
      </c>
      <c r="AW2332" s="216" t="str">
        <f t="shared" si="1060"/>
        <v>Anteil Nicht-KWK</v>
      </c>
      <c r="AX2332" s="215" t="str">
        <f t="shared" si="1061"/>
        <v/>
      </c>
      <c r="AY2332" t="str">
        <f t="shared" si="1062"/>
        <v/>
      </c>
      <c r="AZ2332" t="str">
        <f t="shared" si="1063"/>
        <v/>
      </c>
    </row>
    <row r="2333" spans="1:52" x14ac:dyDescent="0.25">
      <c r="A2333" s="610" t="s">
        <v>2102</v>
      </c>
      <c r="B2333" s="30" t="s">
        <v>5548</v>
      </c>
      <c r="C2333" s="30" t="s">
        <v>5540</v>
      </c>
      <c r="D2333" s="30" t="s">
        <v>6985</v>
      </c>
      <c r="E2333" s="30" t="s">
        <v>4812</v>
      </c>
      <c r="F2333" s="454">
        <f t="shared" si="1070"/>
        <v>29.67</v>
      </c>
      <c r="G2333" s="529">
        <v>29.67</v>
      </c>
      <c r="H2333" s="487">
        <f t="shared" si="1071"/>
        <v>23.74</v>
      </c>
      <c r="I2333" s="706"/>
      <c r="J2333" s="669" t="s">
        <v>5805</v>
      </c>
      <c r="K2333" s="15"/>
      <c r="M2333" s="49">
        <f t="shared" si="1072"/>
        <v>29.67</v>
      </c>
      <c r="N2333" s="41">
        <v>11.67</v>
      </c>
      <c r="O2333" s="187" t="s">
        <v>1017</v>
      </c>
      <c r="P2333" s="183"/>
      <c r="Q2333" s="184"/>
      <c r="R2333" s="184"/>
      <c r="S2333" s="184" t="s">
        <v>4180</v>
      </c>
      <c r="T2333" t="s">
        <v>4180</v>
      </c>
      <c r="U2333" s="185" t="s">
        <v>1017</v>
      </c>
      <c r="V2333" s="184"/>
      <c r="W2333" s="180"/>
      <c r="X2333" s="180"/>
      <c r="Y2333" s="178"/>
      <c r="Z2333" s="178"/>
      <c r="AA2333" s="180"/>
      <c r="AB2333" s="178"/>
      <c r="AC2333" s="184" t="s">
        <v>1017</v>
      </c>
      <c r="AD2333" s="201"/>
      <c r="AE2333" s="181" t="s">
        <v>1017</v>
      </c>
      <c r="AF2333" s="180"/>
      <c r="AG2333" s="201"/>
      <c r="AH2333" s="212" t="str">
        <f t="shared" si="1077"/>
        <v/>
      </c>
      <c r="AI2333" s="214" t="str">
        <f t="shared" si="1064"/>
        <v/>
      </c>
      <c r="AJ2333" s="214" t="str">
        <f t="shared" si="1065"/>
        <v/>
      </c>
      <c r="AK2333" s="214" t="str">
        <f t="shared" si="1066"/>
        <v/>
      </c>
      <c r="AL2333" s="214" t="str">
        <f t="shared" si="1067"/>
        <v/>
      </c>
      <c r="AM2333" s="214" t="str">
        <f t="shared" si="1068"/>
        <v/>
      </c>
      <c r="AN2333" s="213" t="str">
        <f t="shared" si="1051"/>
        <v/>
      </c>
      <c r="AO2333" s="213" t="str">
        <f t="shared" si="1052"/>
        <v/>
      </c>
      <c r="AP2333" s="213" t="str">
        <f t="shared" si="1053"/>
        <v/>
      </c>
      <c r="AQ2333" s="215" t="str">
        <f t="shared" si="1054"/>
        <v/>
      </c>
      <c r="AR2333" s="216" t="str">
        <f t="shared" si="1055"/>
        <v>BiK81X1bKWKy08</v>
      </c>
      <c r="AS2333" s="215" t="str">
        <f t="shared" si="1056"/>
        <v/>
      </c>
      <c r="AT2333">
        <f t="shared" si="1057"/>
        <v>14</v>
      </c>
      <c r="AU2333" s="216" t="str">
        <f t="shared" si="1058"/>
        <v>0-0,15 MW, Bonusregeln X1, y, b und KWK</v>
      </c>
      <c r="AV2333" s="215" t="str">
        <f t="shared" si="1059"/>
        <v/>
      </c>
      <c r="AW2333" s="216" t="str">
        <f t="shared" si="1060"/>
        <v>Anteil KWK</v>
      </c>
      <c r="AX2333" s="215" t="str">
        <f t="shared" si="1061"/>
        <v/>
      </c>
      <c r="AY2333" t="str">
        <f t="shared" si="1062"/>
        <v/>
      </c>
      <c r="AZ2333" t="str">
        <f t="shared" si="1063"/>
        <v/>
      </c>
    </row>
    <row r="2334" spans="1:52" x14ac:dyDescent="0.25">
      <c r="A2334" s="610" t="s">
        <v>2103</v>
      </c>
      <c r="B2334" s="30" t="s">
        <v>5548</v>
      </c>
      <c r="C2334" s="30" t="s">
        <v>5540</v>
      </c>
      <c r="D2334" s="109" t="s">
        <v>6986</v>
      </c>
      <c r="E2334" s="30" t="s">
        <v>4331</v>
      </c>
      <c r="F2334" s="454">
        <f t="shared" si="1070"/>
        <v>30.67</v>
      </c>
      <c r="G2334" s="529">
        <v>30.67</v>
      </c>
      <c r="H2334" s="487">
        <f t="shared" si="1071"/>
        <v>24.54</v>
      </c>
      <c r="I2334" s="706"/>
      <c r="J2334" s="669" t="s">
        <v>5805</v>
      </c>
      <c r="K2334" s="15"/>
      <c r="M2334" s="49">
        <f t="shared" si="1072"/>
        <v>30.67</v>
      </c>
      <c r="N2334" s="41">
        <v>11.67</v>
      </c>
      <c r="O2334" s="187"/>
      <c r="P2334" s="184" t="s">
        <v>1017</v>
      </c>
      <c r="Q2334" s="184"/>
      <c r="R2334" s="184"/>
      <c r="S2334" s="184" t="s">
        <v>4180</v>
      </c>
      <c r="T2334" t="s">
        <v>4180</v>
      </c>
      <c r="U2334" s="185" t="s">
        <v>1017</v>
      </c>
      <c r="V2334" s="184"/>
      <c r="W2334" s="180"/>
      <c r="X2334" s="180"/>
      <c r="Y2334" s="178"/>
      <c r="Z2334" s="178"/>
      <c r="AA2334" s="180"/>
      <c r="AB2334" s="178"/>
      <c r="AC2334" s="184" t="s">
        <v>1017</v>
      </c>
      <c r="AD2334" s="201"/>
      <c r="AE2334" s="181" t="s">
        <v>1017</v>
      </c>
      <c r="AF2334" s="180"/>
      <c r="AG2334" s="201"/>
      <c r="AH2334" s="212" t="str">
        <f t="shared" si="1077"/>
        <v/>
      </c>
      <c r="AI2334" s="214" t="str">
        <f t="shared" si="1064"/>
        <v/>
      </c>
      <c r="AJ2334" s="214" t="str">
        <f t="shared" si="1065"/>
        <v/>
      </c>
      <c r="AK2334" s="214" t="str">
        <f t="shared" si="1066"/>
        <v/>
      </c>
      <c r="AL2334" s="214" t="str">
        <f t="shared" si="1067"/>
        <v/>
      </c>
      <c r="AM2334" s="214" t="str">
        <f t="shared" si="1068"/>
        <v/>
      </c>
      <c r="AN2334" s="213" t="str">
        <f t="shared" si="1051"/>
        <v/>
      </c>
      <c r="AO2334" s="213" t="str">
        <f t="shared" si="1052"/>
        <v/>
      </c>
      <c r="AP2334" s="213" t="str">
        <f t="shared" si="1053"/>
        <v/>
      </c>
      <c r="AQ2334" s="215" t="str">
        <f t="shared" si="1054"/>
        <v/>
      </c>
      <c r="AR2334" s="216" t="str">
        <f t="shared" si="1055"/>
        <v>BiK81X1bKA3y08</v>
      </c>
      <c r="AS2334" s="215" t="str">
        <f t="shared" si="1056"/>
        <v/>
      </c>
      <c r="AT2334">
        <f t="shared" si="1057"/>
        <v>14</v>
      </c>
      <c r="AU2334" s="216" t="str">
        <f t="shared" si="1058"/>
        <v>0-0,15 MW, Bonusregeln X1, y, b und K wenn Anlage 3 erfüllt</v>
      </c>
      <c r="AV2334" s="215" t="str">
        <f t="shared" si="1059"/>
        <v/>
      </c>
      <c r="AW2334" s="216" t="str">
        <f t="shared" si="1060"/>
        <v>Anteil KWK gemäß Anlage 3</v>
      </c>
      <c r="AX2334" s="215" t="str">
        <f t="shared" si="1061"/>
        <v/>
      </c>
      <c r="AY2334" t="str">
        <f t="shared" si="1062"/>
        <v/>
      </c>
      <c r="AZ2334" t="str">
        <f t="shared" si="1063"/>
        <v/>
      </c>
    </row>
    <row r="2335" spans="1:52" x14ac:dyDescent="0.25">
      <c r="A2335" s="610" t="s">
        <v>2104</v>
      </c>
      <c r="B2335" s="30" t="s">
        <v>5548</v>
      </c>
      <c r="C2335" s="30" t="s">
        <v>5540</v>
      </c>
      <c r="D2335" s="30" t="s">
        <v>6987</v>
      </c>
      <c r="E2335" s="30" t="s">
        <v>674</v>
      </c>
      <c r="F2335" s="454">
        <f t="shared" si="1070"/>
        <v>30.67</v>
      </c>
      <c r="G2335" s="529">
        <v>30.67</v>
      </c>
      <c r="H2335" s="487">
        <f t="shared" si="1071"/>
        <v>24.54</v>
      </c>
      <c r="I2335" s="706"/>
      <c r="J2335" s="669" t="s">
        <v>5805</v>
      </c>
      <c r="K2335" s="15"/>
      <c r="M2335" s="49">
        <f t="shared" si="1072"/>
        <v>30.67</v>
      </c>
      <c r="N2335" s="41">
        <v>11.67</v>
      </c>
      <c r="O2335" s="187"/>
      <c r="P2335" s="183"/>
      <c r="Q2335" s="184" t="s">
        <v>1017</v>
      </c>
      <c r="R2335" s="184"/>
      <c r="S2335" s="184" t="s">
        <v>4180</v>
      </c>
      <c r="T2335" t="s">
        <v>4180</v>
      </c>
      <c r="U2335" s="185" t="s">
        <v>1017</v>
      </c>
      <c r="V2335" s="184"/>
      <c r="W2335" s="180"/>
      <c r="X2335" s="180"/>
      <c r="Y2335" s="178"/>
      <c r="Z2335" s="178"/>
      <c r="AA2335" s="180"/>
      <c r="AB2335" s="178"/>
      <c r="AC2335" s="184" t="s">
        <v>1017</v>
      </c>
      <c r="AD2335" s="201"/>
      <c r="AE2335" s="181" t="s">
        <v>1017</v>
      </c>
      <c r="AF2335" s="180"/>
      <c r="AG2335" s="201"/>
      <c r="AH2335" s="212" t="str">
        <f t="shared" si="1077"/>
        <v/>
      </c>
      <c r="AI2335" s="214" t="str">
        <f t="shared" si="1064"/>
        <v/>
      </c>
      <c r="AJ2335" s="214" t="str">
        <f t="shared" si="1065"/>
        <v/>
      </c>
      <c r="AK2335" s="214" t="str">
        <f t="shared" si="1066"/>
        <v/>
      </c>
      <c r="AL2335" s="214" t="str">
        <f t="shared" si="1067"/>
        <v/>
      </c>
      <c r="AM2335" s="214" t="str">
        <f t="shared" si="1068"/>
        <v/>
      </c>
      <c r="AN2335" s="213" t="str">
        <f t="shared" si="1051"/>
        <v/>
      </c>
      <c r="AO2335" s="213" t="str">
        <f t="shared" si="1052"/>
        <v/>
      </c>
      <c r="AP2335" s="213" t="str">
        <f t="shared" si="1053"/>
        <v/>
      </c>
      <c r="AQ2335" s="215" t="str">
        <f t="shared" si="1054"/>
        <v/>
      </c>
      <c r="AR2335" s="216" t="str">
        <f t="shared" si="1055"/>
        <v>BiK81X1bK09y08</v>
      </c>
      <c r="AS2335" s="215" t="str">
        <f t="shared" si="1056"/>
        <v/>
      </c>
      <c r="AT2335">
        <f t="shared" si="1057"/>
        <v>14</v>
      </c>
      <c r="AU2335" s="216" t="str">
        <f t="shared" si="1058"/>
        <v>0-0,15 MW, Bonusregeln X1, y, b und K erstmals 2009</v>
      </c>
      <c r="AV2335" s="215" t="str">
        <f t="shared" si="1059"/>
        <v/>
      </c>
      <c r="AW2335" s="216" t="str">
        <f t="shared" si="1060"/>
        <v>Anteil KWK, erstmals 2009</v>
      </c>
      <c r="AX2335" s="215" t="str">
        <f t="shared" si="1061"/>
        <v/>
      </c>
      <c r="AY2335" t="str">
        <f t="shared" si="1062"/>
        <v/>
      </c>
      <c r="AZ2335" t="str">
        <f t="shared" si="1063"/>
        <v/>
      </c>
    </row>
    <row r="2336" spans="1:52" s="178" customFormat="1" x14ac:dyDescent="0.25">
      <c r="A2336" s="610" t="s">
        <v>3179</v>
      </c>
      <c r="B2336" s="30" t="s">
        <v>5548</v>
      </c>
      <c r="C2336" s="30" t="s">
        <v>5540</v>
      </c>
      <c r="D2336" s="30" t="s">
        <v>6988</v>
      </c>
      <c r="E2336" s="30" t="s">
        <v>3567</v>
      </c>
      <c r="F2336" s="454">
        <f t="shared" si="1070"/>
        <v>30.64</v>
      </c>
      <c r="G2336" s="529">
        <v>30.64</v>
      </c>
      <c r="H2336" s="487">
        <f t="shared" si="1071"/>
        <v>24.51</v>
      </c>
      <c r="I2336" s="706"/>
      <c r="J2336" s="669" t="s">
        <v>5805</v>
      </c>
      <c r="K2336" s="15"/>
      <c r="L2336"/>
      <c r="M2336" s="49">
        <f t="shared" si="1072"/>
        <v>30.64</v>
      </c>
      <c r="N2336" s="41">
        <v>11.67</v>
      </c>
      <c r="O2336" s="187"/>
      <c r="P2336" s="183"/>
      <c r="Q2336" s="184"/>
      <c r="R2336" s="184" t="s">
        <v>1017</v>
      </c>
      <c r="S2336" s="184" t="s">
        <v>4180</v>
      </c>
      <c r="T2336" s="178" t="s">
        <v>4180</v>
      </c>
      <c r="U2336" s="185" t="s">
        <v>1017</v>
      </c>
      <c r="V2336" s="184"/>
      <c r="W2336" s="180"/>
      <c r="X2336" s="180"/>
      <c r="AA2336" s="180"/>
      <c r="AC2336" s="184" t="s">
        <v>1017</v>
      </c>
      <c r="AD2336" s="201"/>
      <c r="AE2336" s="181" t="s">
        <v>1017</v>
      </c>
      <c r="AF2336" s="180"/>
      <c r="AG2336" s="201"/>
      <c r="AH2336" s="212" t="str">
        <f t="shared" si="1077"/>
        <v>2010</v>
      </c>
      <c r="AI2336" s="214" t="str">
        <f t="shared" si="1064"/>
        <v/>
      </c>
      <c r="AJ2336" s="214" t="str">
        <f t="shared" si="1065"/>
        <v/>
      </c>
      <c r="AK2336" s="214" t="str">
        <f t="shared" si="1066"/>
        <v/>
      </c>
      <c r="AL2336" s="214" t="str">
        <f t="shared" si="1067"/>
        <v/>
      </c>
      <c r="AM2336" s="214" t="str">
        <f t="shared" si="1068"/>
        <v/>
      </c>
      <c r="AN2336" s="213" t="str">
        <f t="shared" si="1051"/>
        <v>2010</v>
      </c>
      <c r="AO2336" s="213" t="str">
        <f t="shared" si="1052"/>
        <v>2010</v>
      </c>
      <c r="AP2336" s="213" t="str">
        <f t="shared" si="1053"/>
        <v>2010</v>
      </c>
      <c r="AQ2336" s="215" t="str">
        <f t="shared" si="1054"/>
        <v/>
      </c>
      <c r="AR2336" s="216" t="str">
        <f t="shared" si="1055"/>
        <v>BiK81X1bK10y08</v>
      </c>
      <c r="AS2336" s="215" t="str">
        <f t="shared" si="1056"/>
        <v/>
      </c>
      <c r="AT2336">
        <f t="shared" si="1057"/>
        <v>14</v>
      </c>
      <c r="AU2336" s="216" t="str">
        <f t="shared" si="1058"/>
        <v>0-0,15 MW, Bonusregeln X1, y, b und K erstmals 2010</v>
      </c>
      <c r="AV2336" s="215" t="str">
        <f t="shared" si="1059"/>
        <v/>
      </c>
      <c r="AW2336" s="216" t="str">
        <f t="shared" si="1060"/>
        <v>Anteil KWK, erstmals 2010</v>
      </c>
      <c r="AX2336" s="215" t="str">
        <f t="shared" si="1061"/>
        <v/>
      </c>
      <c r="AY2336" t="str">
        <f t="shared" si="1062"/>
        <v/>
      </c>
      <c r="AZ2336" t="str">
        <f t="shared" si="1063"/>
        <v/>
      </c>
    </row>
    <row r="2337" spans="1:52" s="178" customFormat="1" x14ac:dyDescent="0.25">
      <c r="A2337" s="610" t="s">
        <v>3457</v>
      </c>
      <c r="B2337" s="30" t="s">
        <v>5548</v>
      </c>
      <c r="C2337" s="30" t="s">
        <v>5540</v>
      </c>
      <c r="D2337" s="30" t="s">
        <v>6989</v>
      </c>
      <c r="E2337" s="30" t="s">
        <v>3055</v>
      </c>
      <c r="F2337" s="454">
        <f t="shared" si="1070"/>
        <v>30.61</v>
      </c>
      <c r="G2337" s="529">
        <v>30.61</v>
      </c>
      <c r="H2337" s="487">
        <f t="shared" si="1071"/>
        <v>24.49</v>
      </c>
      <c r="I2337" s="706"/>
      <c r="J2337" s="669" t="s">
        <v>5805</v>
      </c>
      <c r="K2337" s="15"/>
      <c r="L2337"/>
      <c r="M2337" s="49">
        <f t="shared" si="1072"/>
        <v>30.61</v>
      </c>
      <c r="N2337" s="41">
        <v>11.67</v>
      </c>
      <c r="O2337" s="187"/>
      <c r="P2337" s="183"/>
      <c r="Q2337" s="184"/>
      <c r="S2337" s="184" t="s">
        <v>1017</v>
      </c>
      <c r="T2337" s="178" t="s">
        <v>4180</v>
      </c>
      <c r="U2337" s="185" t="s">
        <v>1017</v>
      </c>
      <c r="V2337" s="184"/>
      <c r="W2337" s="180"/>
      <c r="X2337" s="180"/>
      <c r="AA2337" s="180"/>
      <c r="AC2337" s="184" t="s">
        <v>1017</v>
      </c>
      <c r="AD2337" s="201"/>
      <c r="AE2337" s="181" t="s">
        <v>1017</v>
      </c>
      <c r="AF2337" s="180"/>
      <c r="AG2337" s="201"/>
      <c r="AH2337" s="212" t="str">
        <f t="shared" si="1077"/>
        <v>2011</v>
      </c>
      <c r="AI2337" s="214" t="str">
        <f t="shared" si="1064"/>
        <v/>
      </c>
      <c r="AJ2337" s="214" t="str">
        <f t="shared" si="1065"/>
        <v/>
      </c>
      <c r="AK2337" s="214" t="str">
        <f t="shared" si="1066"/>
        <v/>
      </c>
      <c r="AL2337" s="214" t="str">
        <f t="shared" si="1067"/>
        <v/>
      </c>
      <c r="AM2337" s="214" t="str">
        <f t="shared" si="1068"/>
        <v/>
      </c>
      <c r="AN2337" s="213" t="str">
        <f t="shared" si="1051"/>
        <v>2011</v>
      </c>
      <c r="AO2337" s="213" t="str">
        <f t="shared" si="1052"/>
        <v>2011</v>
      </c>
      <c r="AP2337" s="213" t="str">
        <f t="shared" si="1053"/>
        <v>2011</v>
      </c>
      <c r="AQ2337" s="215" t="str">
        <f t="shared" si="1054"/>
        <v/>
      </c>
      <c r="AR2337" s="216" t="str">
        <f t="shared" si="1055"/>
        <v>BiK81X1bK11y08</v>
      </c>
      <c r="AS2337" s="215" t="str">
        <f t="shared" si="1056"/>
        <v/>
      </c>
      <c r="AT2337">
        <f t="shared" si="1057"/>
        <v>14</v>
      </c>
      <c r="AU2337" s="216" t="str">
        <f t="shared" si="1058"/>
        <v>0-0,15 MW, Bonusregeln X1, y, b und K erstmals 2011</v>
      </c>
      <c r="AV2337" s="215" t="str">
        <f t="shared" si="1059"/>
        <v/>
      </c>
      <c r="AW2337" s="216" t="str">
        <f t="shared" si="1060"/>
        <v>Anteil KWK, erstmals 2011</v>
      </c>
      <c r="AX2337" s="215" t="str">
        <f t="shared" si="1061"/>
        <v/>
      </c>
      <c r="AY2337" t="str">
        <f t="shared" si="1062"/>
        <v>x</v>
      </c>
      <c r="AZ2337" t="str">
        <f t="shared" si="1063"/>
        <v/>
      </c>
    </row>
    <row r="2338" spans="1:52" s="178" customFormat="1" x14ac:dyDescent="0.25">
      <c r="A2338" s="625" t="s">
        <v>1889</v>
      </c>
      <c r="B2338" s="219" t="s">
        <v>5548</v>
      </c>
      <c r="C2338" s="219" t="s">
        <v>5540</v>
      </c>
      <c r="D2338" s="219" t="s">
        <v>6990</v>
      </c>
      <c r="E2338" s="219" t="s">
        <v>1980</v>
      </c>
      <c r="F2338" s="455">
        <f t="shared" si="1070"/>
        <v>30.58</v>
      </c>
      <c r="G2338" s="530">
        <v>30.58</v>
      </c>
      <c r="H2338" s="488">
        <f t="shared" si="1071"/>
        <v>24.46</v>
      </c>
      <c r="I2338" s="707"/>
      <c r="J2338" s="669" t="s">
        <v>5805</v>
      </c>
      <c r="K2338" s="15"/>
      <c r="L2338"/>
      <c r="M2338" s="49">
        <f t="shared" si="1072"/>
        <v>30.58</v>
      </c>
      <c r="N2338" s="41">
        <v>11.67</v>
      </c>
      <c r="O2338" s="187"/>
      <c r="P2338" s="183"/>
      <c r="Q2338" s="184"/>
      <c r="S2338" s="184" t="s">
        <v>4180</v>
      </c>
      <c r="T2338" s="178" t="s">
        <v>1017</v>
      </c>
      <c r="U2338" s="185" t="s">
        <v>1017</v>
      </c>
      <c r="V2338" s="184"/>
      <c r="W2338" s="180"/>
      <c r="X2338" s="180"/>
      <c r="AA2338" s="180"/>
      <c r="AC2338" s="184" t="s">
        <v>1017</v>
      </c>
      <c r="AD2338" s="201"/>
      <c r="AE2338" s="181" t="s">
        <v>1017</v>
      </c>
      <c r="AF2338" s="180"/>
      <c r="AG2338" s="201"/>
      <c r="AH2338" s="217" t="s">
        <v>4179</v>
      </c>
      <c r="AI2338" s="214" t="str">
        <f t="shared" si="1064"/>
        <v/>
      </c>
      <c r="AJ2338" s="214" t="str">
        <f t="shared" si="1065"/>
        <v/>
      </c>
      <c r="AK2338" s="214" t="str">
        <f t="shared" si="1066"/>
        <v/>
      </c>
      <c r="AL2338" s="214" t="str">
        <f t="shared" si="1067"/>
        <v/>
      </c>
      <c r="AM2338" s="214" t="str">
        <f t="shared" si="1068"/>
        <v/>
      </c>
      <c r="AN2338" s="213" t="str">
        <f t="shared" si="1051"/>
        <v>2012</v>
      </c>
      <c r="AO2338" s="213" t="str">
        <f t="shared" si="1052"/>
        <v>2012</v>
      </c>
      <c r="AP2338" s="213" t="str">
        <f t="shared" si="1053"/>
        <v>2012</v>
      </c>
      <c r="AQ2338" s="215" t="str">
        <f t="shared" si="1054"/>
        <v/>
      </c>
      <c r="AR2338" s="216" t="str">
        <f t="shared" si="1055"/>
        <v>BiK81X1bK12y08</v>
      </c>
      <c r="AS2338" s="215" t="str">
        <f t="shared" si="1056"/>
        <v/>
      </c>
      <c r="AT2338">
        <f t="shared" si="1057"/>
        <v>14</v>
      </c>
      <c r="AU2338" s="216" t="str">
        <f t="shared" si="1058"/>
        <v>0-0,15 MW, Bonusregeln X1, y, b und K erstmals 2012</v>
      </c>
      <c r="AV2338" s="215" t="str">
        <f t="shared" si="1059"/>
        <v/>
      </c>
      <c r="AW2338" s="216" t="str">
        <f t="shared" si="1060"/>
        <v>Anteil KWK, erstmals 2012</v>
      </c>
      <c r="AX2338" s="215" t="str">
        <f t="shared" si="1061"/>
        <v/>
      </c>
      <c r="AY2338" t="str">
        <f t="shared" si="1062"/>
        <v/>
      </c>
      <c r="AZ2338" t="str">
        <f t="shared" si="1063"/>
        <v>x</v>
      </c>
    </row>
    <row r="2339" spans="1:52" s="178" customFormat="1" x14ac:dyDescent="0.25">
      <c r="A2339" s="609" t="s">
        <v>3679</v>
      </c>
      <c r="B2339" s="1" t="s">
        <v>5548</v>
      </c>
      <c r="C2339" s="2" t="s">
        <v>5540</v>
      </c>
      <c r="D2339" s="1" t="s">
        <v>1779</v>
      </c>
      <c r="E2339" s="1" t="s">
        <v>4810</v>
      </c>
      <c r="F2339" s="456">
        <f t="shared" si="1070"/>
        <v>9.32</v>
      </c>
      <c r="G2339" s="531">
        <v>9.32</v>
      </c>
      <c r="H2339" s="489">
        <f t="shared" si="1071"/>
        <v>7.46</v>
      </c>
      <c r="I2339" s="708"/>
      <c r="J2339" s="669" t="s">
        <v>5805</v>
      </c>
      <c r="K2339" s="15"/>
      <c r="L2339"/>
      <c r="M2339" s="49">
        <f t="shared" si="1072"/>
        <v>9.32</v>
      </c>
      <c r="N2339" s="41">
        <v>9.32</v>
      </c>
      <c r="O2339" s="88"/>
      <c r="P2339" s="23"/>
      <c r="Q2339" s="12"/>
      <c r="R2339" s="12"/>
      <c r="S2339" s="12" t="s">
        <v>4180</v>
      </c>
      <c r="T2339" s="178" t="s">
        <v>4180</v>
      </c>
      <c r="U2339" s="58"/>
      <c r="V2339" s="12"/>
      <c r="W2339" s="65"/>
      <c r="X2339" s="65"/>
      <c r="Y2339"/>
      <c r="Z2339" s="65"/>
      <c r="AA2339"/>
      <c r="AB2339"/>
      <c r="AC2339" s="65"/>
      <c r="AD2339" s="92"/>
      <c r="AE2339" s="124"/>
      <c r="AF2339" s="65"/>
      <c r="AG2339" s="91"/>
      <c r="AH2339" s="212" t="str">
        <f t="shared" ref="AH2339:AH2344" si="1078">IF(ISERROR(SEARCH("K erstmals 201",D2339)),"",RIGHT(D2339,4))</f>
        <v/>
      </c>
      <c r="AI2339" s="214" t="str">
        <f t="shared" si="1064"/>
        <v/>
      </c>
      <c r="AJ2339" s="214" t="str">
        <f t="shared" si="1065"/>
        <v/>
      </c>
      <c r="AK2339" s="214" t="str">
        <f t="shared" si="1066"/>
        <v/>
      </c>
      <c r="AL2339" s="214" t="str">
        <f t="shared" si="1067"/>
        <v/>
      </c>
      <c r="AM2339" s="214" t="str">
        <f t="shared" si="1068"/>
        <v/>
      </c>
      <c r="AN2339" s="213" t="str">
        <f t="shared" si="1051"/>
        <v/>
      </c>
      <c r="AO2339" s="213" t="str">
        <f t="shared" si="1052"/>
        <v/>
      </c>
      <c r="AP2339" s="213" t="str">
        <f t="shared" si="1053"/>
        <v/>
      </c>
      <c r="AQ2339" s="215" t="str">
        <f t="shared" si="1054"/>
        <v/>
      </c>
      <c r="AR2339" s="216" t="str">
        <f t="shared" si="1055"/>
        <v>BiK82-------08</v>
      </c>
      <c r="AS2339" s="215" t="str">
        <f t="shared" si="1056"/>
        <v/>
      </c>
      <c r="AT2339">
        <f t="shared" si="1057"/>
        <v>14</v>
      </c>
      <c r="AU2339" s="216" t="str">
        <f t="shared" si="1058"/>
        <v>0,15-0,5 MW</v>
      </c>
      <c r="AV2339" s="215" t="str">
        <f t="shared" si="1059"/>
        <v/>
      </c>
      <c r="AW2339" s="216" t="str">
        <f t="shared" si="1060"/>
        <v>Anteil Nicht-KWK</v>
      </c>
      <c r="AX2339" s="215" t="str">
        <f t="shared" si="1061"/>
        <v/>
      </c>
      <c r="AY2339" t="str">
        <f t="shared" si="1062"/>
        <v/>
      </c>
      <c r="AZ2339" t="str">
        <f t="shared" si="1063"/>
        <v/>
      </c>
    </row>
    <row r="2340" spans="1:52" s="178" customFormat="1" x14ac:dyDescent="0.25">
      <c r="A2340" s="609" t="s">
        <v>3680</v>
      </c>
      <c r="B2340" s="1" t="s">
        <v>5548</v>
      </c>
      <c r="C2340" s="2" t="s">
        <v>5540</v>
      </c>
      <c r="D2340" s="1" t="s">
        <v>7091</v>
      </c>
      <c r="E2340" s="1" t="s">
        <v>4812</v>
      </c>
      <c r="F2340" s="456">
        <f t="shared" si="1070"/>
        <v>11.32</v>
      </c>
      <c r="G2340" s="531">
        <v>11.32</v>
      </c>
      <c r="H2340" s="489">
        <f t="shared" si="1071"/>
        <v>9.06</v>
      </c>
      <c r="I2340" s="708"/>
      <c r="J2340" s="669" t="s">
        <v>5805</v>
      </c>
      <c r="K2340" s="15"/>
      <c r="L2340"/>
      <c r="M2340" s="49">
        <f t="shared" si="1072"/>
        <v>11.32</v>
      </c>
      <c r="N2340" s="41">
        <v>9.32</v>
      </c>
      <c r="O2340" s="54" t="s">
        <v>1017</v>
      </c>
      <c r="P2340" s="15"/>
      <c r="Q2340"/>
      <c r="R2340"/>
      <c r="S2340" t="s">
        <v>4180</v>
      </c>
      <c r="T2340" s="178" t="s">
        <v>4180</v>
      </c>
      <c r="U2340" s="55"/>
      <c r="V2340"/>
      <c r="W2340" s="65"/>
      <c r="X2340" s="65"/>
      <c r="Y2340"/>
      <c r="Z2340" s="65"/>
      <c r="AA2340"/>
      <c r="AB2340"/>
      <c r="AC2340" s="65"/>
      <c r="AD2340" s="92"/>
      <c r="AE2340" s="124"/>
      <c r="AF2340" s="65"/>
      <c r="AG2340" s="91"/>
      <c r="AH2340" s="212" t="str">
        <f t="shared" si="1078"/>
        <v/>
      </c>
      <c r="AI2340" s="214" t="str">
        <f t="shared" si="1064"/>
        <v/>
      </c>
      <c r="AJ2340" s="214" t="str">
        <f t="shared" si="1065"/>
        <v/>
      </c>
      <c r="AK2340" s="214" t="str">
        <f t="shared" si="1066"/>
        <v/>
      </c>
      <c r="AL2340" s="214" t="str">
        <f t="shared" si="1067"/>
        <v/>
      </c>
      <c r="AM2340" s="214" t="str">
        <f t="shared" si="1068"/>
        <v/>
      </c>
      <c r="AN2340" s="213" t="str">
        <f t="shared" si="1051"/>
        <v/>
      </c>
      <c r="AO2340" s="213" t="str">
        <f t="shared" si="1052"/>
        <v/>
      </c>
      <c r="AP2340" s="213" t="str">
        <f t="shared" si="1053"/>
        <v/>
      </c>
      <c r="AQ2340" s="215" t="str">
        <f t="shared" si="1054"/>
        <v/>
      </c>
      <c r="AR2340" s="216" t="str">
        <f t="shared" si="1055"/>
        <v>BiK82KWK----08</v>
      </c>
      <c r="AS2340" s="215" t="str">
        <f t="shared" si="1056"/>
        <v/>
      </c>
      <c r="AT2340">
        <f t="shared" si="1057"/>
        <v>14</v>
      </c>
      <c r="AU2340" s="216" t="str">
        <f t="shared" si="1058"/>
        <v>0,15-0,5 MW, Bonusregel KWK</v>
      </c>
      <c r="AV2340" s="215" t="str">
        <f t="shared" si="1059"/>
        <v/>
      </c>
      <c r="AW2340" s="216" t="str">
        <f t="shared" si="1060"/>
        <v>Anteil KWK</v>
      </c>
      <c r="AX2340" s="215" t="str">
        <f t="shared" si="1061"/>
        <v/>
      </c>
      <c r="AY2340" t="str">
        <f t="shared" si="1062"/>
        <v/>
      </c>
      <c r="AZ2340" t="str">
        <f t="shared" si="1063"/>
        <v/>
      </c>
    </row>
    <row r="2341" spans="1:52" s="178" customFormat="1" x14ac:dyDescent="0.25">
      <c r="A2341" s="610" t="s">
        <v>2339</v>
      </c>
      <c r="B2341" s="17" t="s">
        <v>5548</v>
      </c>
      <c r="C2341" s="30" t="s">
        <v>5540</v>
      </c>
      <c r="D2341" s="30" t="s">
        <v>7092</v>
      </c>
      <c r="E2341" s="30" t="s">
        <v>4331</v>
      </c>
      <c r="F2341" s="454">
        <f t="shared" si="1070"/>
        <v>12.32</v>
      </c>
      <c r="G2341" s="529">
        <v>12.32</v>
      </c>
      <c r="H2341" s="487">
        <f t="shared" si="1071"/>
        <v>9.86</v>
      </c>
      <c r="I2341" s="706"/>
      <c r="J2341" s="669" t="s">
        <v>5805</v>
      </c>
      <c r="K2341" s="15"/>
      <c r="L2341"/>
      <c r="M2341" s="49">
        <f t="shared" si="1072"/>
        <v>12.32</v>
      </c>
      <c r="N2341" s="41">
        <v>9.32</v>
      </c>
      <c r="O2341" s="54"/>
      <c r="P2341" t="s">
        <v>1017</v>
      </c>
      <c r="Q2341"/>
      <c r="R2341"/>
      <c r="S2341" t="s">
        <v>4180</v>
      </c>
      <c r="T2341" s="178" t="s">
        <v>4180</v>
      </c>
      <c r="U2341" s="55"/>
      <c r="V2341"/>
      <c r="W2341" s="65"/>
      <c r="X2341" s="65"/>
      <c r="Y2341"/>
      <c r="Z2341" s="65"/>
      <c r="AA2341"/>
      <c r="AB2341"/>
      <c r="AC2341" s="65"/>
      <c r="AD2341" s="92"/>
      <c r="AE2341" s="124"/>
      <c r="AF2341" s="65"/>
      <c r="AG2341" s="91"/>
      <c r="AH2341" s="212" t="str">
        <f t="shared" si="1078"/>
        <v/>
      </c>
      <c r="AI2341" s="214" t="str">
        <f t="shared" si="1064"/>
        <v/>
      </c>
      <c r="AJ2341" s="214" t="str">
        <f t="shared" si="1065"/>
        <v/>
      </c>
      <c r="AK2341" s="214" t="str">
        <f t="shared" si="1066"/>
        <v/>
      </c>
      <c r="AL2341" s="214" t="str">
        <f t="shared" si="1067"/>
        <v/>
      </c>
      <c r="AM2341" s="214" t="str">
        <f t="shared" si="1068"/>
        <v/>
      </c>
      <c r="AN2341" s="213" t="str">
        <f t="shared" si="1051"/>
        <v/>
      </c>
      <c r="AO2341" s="213" t="str">
        <f t="shared" si="1052"/>
        <v/>
      </c>
      <c r="AP2341" s="213" t="str">
        <f t="shared" si="1053"/>
        <v/>
      </c>
      <c r="AQ2341" s="215" t="str">
        <f t="shared" si="1054"/>
        <v/>
      </c>
      <c r="AR2341" s="216" t="str">
        <f t="shared" si="1055"/>
        <v>BiK82KA3----08</v>
      </c>
      <c r="AS2341" s="215" t="str">
        <f t="shared" si="1056"/>
        <v/>
      </c>
      <c r="AT2341">
        <f t="shared" si="1057"/>
        <v>14</v>
      </c>
      <c r="AU2341" s="216" t="str">
        <f t="shared" si="1058"/>
        <v>0,15-0,5 MW, Bonusregel K wenn Anlage 3 erfüllt</v>
      </c>
      <c r="AV2341" s="215" t="str">
        <f t="shared" si="1059"/>
        <v/>
      </c>
      <c r="AW2341" s="216" t="str">
        <f t="shared" si="1060"/>
        <v>Anteil KWK gemäß Anlage 3</v>
      </c>
      <c r="AX2341" s="215" t="str">
        <f t="shared" si="1061"/>
        <v/>
      </c>
      <c r="AY2341" t="str">
        <f t="shared" si="1062"/>
        <v/>
      </c>
      <c r="AZ2341" t="str">
        <f t="shared" si="1063"/>
        <v/>
      </c>
    </row>
    <row r="2342" spans="1:52" s="178" customFormat="1" x14ac:dyDescent="0.25">
      <c r="A2342" s="610" t="s">
        <v>906</v>
      </c>
      <c r="B2342" s="17" t="s">
        <v>5548</v>
      </c>
      <c r="C2342" s="17" t="s">
        <v>5540</v>
      </c>
      <c r="D2342" s="30" t="s">
        <v>7093</v>
      </c>
      <c r="E2342" s="17" t="s">
        <v>674</v>
      </c>
      <c r="F2342" s="454">
        <f t="shared" si="1070"/>
        <v>12.32</v>
      </c>
      <c r="G2342" s="529">
        <v>12.32</v>
      </c>
      <c r="H2342" s="487">
        <f t="shared" si="1071"/>
        <v>9.86</v>
      </c>
      <c r="I2342" s="706"/>
      <c r="J2342" s="669" t="s">
        <v>5805</v>
      </c>
      <c r="K2342" s="15"/>
      <c r="L2342"/>
      <c r="M2342" s="49">
        <f t="shared" si="1072"/>
        <v>12.32</v>
      </c>
      <c r="N2342" s="41">
        <v>9.32</v>
      </c>
      <c r="O2342" s="54"/>
      <c r="P2342" s="15"/>
      <c r="Q2342" t="s">
        <v>1017</v>
      </c>
      <c r="R2342"/>
      <c r="S2342" t="s">
        <v>4180</v>
      </c>
      <c r="T2342" s="178" t="s">
        <v>4180</v>
      </c>
      <c r="U2342" s="55"/>
      <c r="V2342"/>
      <c r="W2342" s="65"/>
      <c r="X2342" s="65"/>
      <c r="Y2342"/>
      <c r="Z2342" s="65"/>
      <c r="AA2342"/>
      <c r="AB2342"/>
      <c r="AC2342" s="65"/>
      <c r="AD2342" s="92"/>
      <c r="AE2342" s="124"/>
      <c r="AF2342" s="65"/>
      <c r="AG2342" s="91"/>
      <c r="AH2342" s="212" t="str">
        <f t="shared" si="1078"/>
        <v/>
      </c>
      <c r="AI2342" s="214" t="str">
        <f t="shared" si="1064"/>
        <v/>
      </c>
      <c r="AJ2342" s="214" t="str">
        <f t="shared" si="1065"/>
        <v/>
      </c>
      <c r="AK2342" s="214" t="str">
        <f t="shared" si="1066"/>
        <v/>
      </c>
      <c r="AL2342" s="214" t="str">
        <f t="shared" si="1067"/>
        <v/>
      </c>
      <c r="AM2342" s="214" t="str">
        <f t="shared" si="1068"/>
        <v/>
      </c>
      <c r="AN2342" s="213" t="str">
        <f t="shared" si="1051"/>
        <v/>
      </c>
      <c r="AO2342" s="213" t="str">
        <f t="shared" si="1052"/>
        <v/>
      </c>
      <c r="AP2342" s="213" t="str">
        <f t="shared" si="1053"/>
        <v/>
      </c>
      <c r="AQ2342" s="215" t="str">
        <f t="shared" si="1054"/>
        <v/>
      </c>
      <c r="AR2342" s="216" t="str">
        <f t="shared" si="1055"/>
        <v>BiK82K09----08</v>
      </c>
      <c r="AS2342" s="215" t="str">
        <f t="shared" si="1056"/>
        <v/>
      </c>
      <c r="AT2342">
        <f t="shared" si="1057"/>
        <v>14</v>
      </c>
      <c r="AU2342" s="216" t="str">
        <f t="shared" si="1058"/>
        <v>0,15-0,5 MW, Bonusregel K erstmals 2009</v>
      </c>
      <c r="AV2342" s="215" t="str">
        <f t="shared" si="1059"/>
        <v/>
      </c>
      <c r="AW2342" s="216" t="str">
        <f t="shared" si="1060"/>
        <v>Anteil KWK, erstmals 2009</v>
      </c>
      <c r="AX2342" s="215" t="str">
        <f t="shared" si="1061"/>
        <v/>
      </c>
      <c r="AY2342" t="str">
        <f t="shared" si="1062"/>
        <v/>
      </c>
      <c r="AZ2342" t="str">
        <f t="shared" si="1063"/>
        <v/>
      </c>
    </row>
    <row r="2343" spans="1:52" s="178" customFormat="1" x14ac:dyDescent="0.25">
      <c r="A2343" s="610" t="s">
        <v>3182</v>
      </c>
      <c r="B2343" s="17" t="s">
        <v>5548</v>
      </c>
      <c r="C2343" s="17" t="s">
        <v>5540</v>
      </c>
      <c r="D2343" s="30" t="s">
        <v>7094</v>
      </c>
      <c r="E2343" s="30" t="s">
        <v>3567</v>
      </c>
      <c r="F2343" s="454">
        <f t="shared" si="1070"/>
        <v>12.290000000000001</v>
      </c>
      <c r="G2343" s="529">
        <v>12.290000000000001</v>
      </c>
      <c r="H2343" s="487">
        <f t="shared" si="1071"/>
        <v>9.83</v>
      </c>
      <c r="I2343" s="706"/>
      <c r="J2343" s="669" t="s">
        <v>5805</v>
      </c>
      <c r="K2343" s="15"/>
      <c r="L2343"/>
      <c r="M2343" s="49">
        <f t="shared" si="1072"/>
        <v>12.290000000000001</v>
      </c>
      <c r="N2343" s="41">
        <v>9.32</v>
      </c>
      <c r="O2343" s="54"/>
      <c r="P2343" s="15"/>
      <c r="Q2343"/>
      <c r="R2343" t="s">
        <v>1017</v>
      </c>
      <c r="S2343" t="s">
        <v>4180</v>
      </c>
      <c r="T2343" s="178" t="s">
        <v>4180</v>
      </c>
      <c r="U2343" s="55"/>
      <c r="V2343"/>
      <c r="W2343" s="65"/>
      <c r="X2343" s="65"/>
      <c r="Y2343"/>
      <c r="Z2343" s="65"/>
      <c r="AA2343"/>
      <c r="AB2343"/>
      <c r="AC2343" s="65"/>
      <c r="AD2343" s="92"/>
      <c r="AE2343" s="124"/>
      <c r="AF2343" s="65"/>
      <c r="AG2343" s="91"/>
      <c r="AH2343" s="212" t="str">
        <f t="shared" si="1078"/>
        <v>2010</v>
      </c>
      <c r="AI2343" s="214" t="str">
        <f t="shared" si="1064"/>
        <v/>
      </c>
      <c r="AJ2343" s="214" t="str">
        <f t="shared" si="1065"/>
        <v/>
      </c>
      <c r="AK2343" s="214" t="str">
        <f t="shared" si="1066"/>
        <v/>
      </c>
      <c r="AL2343" s="214" t="str">
        <f t="shared" si="1067"/>
        <v/>
      </c>
      <c r="AM2343" s="214" t="str">
        <f t="shared" si="1068"/>
        <v/>
      </c>
      <c r="AN2343" s="213" t="str">
        <f t="shared" si="1051"/>
        <v>2010</v>
      </c>
      <c r="AO2343" s="213" t="str">
        <f t="shared" si="1052"/>
        <v>2010</v>
      </c>
      <c r="AP2343" s="213" t="str">
        <f t="shared" si="1053"/>
        <v>2010</v>
      </c>
      <c r="AQ2343" s="215" t="str">
        <f t="shared" si="1054"/>
        <v/>
      </c>
      <c r="AR2343" s="216" t="str">
        <f t="shared" si="1055"/>
        <v>BiK82K10----08</v>
      </c>
      <c r="AS2343" s="215" t="str">
        <f t="shared" si="1056"/>
        <v/>
      </c>
      <c r="AT2343">
        <f t="shared" si="1057"/>
        <v>14</v>
      </c>
      <c r="AU2343" s="216" t="str">
        <f t="shared" si="1058"/>
        <v>0,15-0,5 MW, Bonusregel K erstmals 2010</v>
      </c>
      <c r="AV2343" s="215" t="str">
        <f t="shared" si="1059"/>
        <v/>
      </c>
      <c r="AW2343" s="216" t="str">
        <f t="shared" si="1060"/>
        <v>Anteil KWK, erstmals 2010</v>
      </c>
      <c r="AX2343" s="215" t="str">
        <f t="shared" si="1061"/>
        <v/>
      </c>
      <c r="AY2343" t="str">
        <f t="shared" si="1062"/>
        <v/>
      </c>
      <c r="AZ2343" t="str">
        <f t="shared" si="1063"/>
        <v/>
      </c>
    </row>
    <row r="2344" spans="1:52" s="178" customFormat="1" x14ac:dyDescent="0.25">
      <c r="A2344" s="610" t="s">
        <v>3458</v>
      </c>
      <c r="B2344" s="17" t="s">
        <v>5548</v>
      </c>
      <c r="C2344" s="17" t="s">
        <v>5540</v>
      </c>
      <c r="D2344" s="30" t="s">
        <v>7095</v>
      </c>
      <c r="E2344" s="30" t="s">
        <v>3055</v>
      </c>
      <c r="F2344" s="454">
        <f t="shared" si="1070"/>
        <v>12.26</v>
      </c>
      <c r="G2344" s="529">
        <v>12.26</v>
      </c>
      <c r="H2344" s="487">
        <f t="shared" si="1071"/>
        <v>9.81</v>
      </c>
      <c r="I2344" s="706"/>
      <c r="J2344" s="669" t="s">
        <v>5805</v>
      </c>
      <c r="K2344" s="15"/>
      <c r="L2344"/>
      <c r="M2344" s="49">
        <f t="shared" si="1072"/>
        <v>12.26</v>
      </c>
      <c r="N2344" s="41">
        <v>9.32</v>
      </c>
      <c r="O2344" s="54"/>
      <c r="P2344" s="15"/>
      <c r="Q2344"/>
      <c r="R2344"/>
      <c r="S2344" t="s">
        <v>1017</v>
      </c>
      <c r="T2344" s="178" t="s">
        <v>4180</v>
      </c>
      <c r="U2344" s="55"/>
      <c r="V2344"/>
      <c r="W2344" s="65"/>
      <c r="X2344" s="65"/>
      <c r="Y2344"/>
      <c r="Z2344" s="65"/>
      <c r="AA2344"/>
      <c r="AB2344"/>
      <c r="AC2344" s="65"/>
      <c r="AD2344" s="92"/>
      <c r="AE2344" s="124"/>
      <c r="AF2344" s="65"/>
      <c r="AG2344" s="91"/>
      <c r="AH2344" s="212" t="str">
        <f t="shared" si="1078"/>
        <v>2011</v>
      </c>
      <c r="AI2344" s="214" t="str">
        <f t="shared" si="1064"/>
        <v/>
      </c>
      <c r="AJ2344" s="214" t="str">
        <f t="shared" si="1065"/>
        <v/>
      </c>
      <c r="AK2344" s="214" t="str">
        <f t="shared" si="1066"/>
        <v/>
      </c>
      <c r="AL2344" s="214" t="str">
        <f t="shared" si="1067"/>
        <v/>
      </c>
      <c r="AM2344" s="214" t="str">
        <f t="shared" si="1068"/>
        <v/>
      </c>
      <c r="AN2344" s="213" t="str">
        <f t="shared" si="1051"/>
        <v>2011</v>
      </c>
      <c r="AO2344" s="213" t="str">
        <f t="shared" si="1052"/>
        <v>2011</v>
      </c>
      <c r="AP2344" s="213" t="str">
        <f t="shared" si="1053"/>
        <v>2011</v>
      </c>
      <c r="AQ2344" s="215" t="str">
        <f t="shared" si="1054"/>
        <v/>
      </c>
      <c r="AR2344" s="216" t="str">
        <f t="shared" si="1055"/>
        <v>BiK82K11----08</v>
      </c>
      <c r="AS2344" s="215" t="str">
        <f t="shared" si="1056"/>
        <v/>
      </c>
      <c r="AT2344">
        <f t="shared" si="1057"/>
        <v>14</v>
      </c>
      <c r="AU2344" s="216" t="str">
        <f t="shared" si="1058"/>
        <v>0,15-0,5 MW, Bonusregel K erstmals 2011</v>
      </c>
      <c r="AV2344" s="215" t="str">
        <f t="shared" si="1059"/>
        <v/>
      </c>
      <c r="AW2344" s="216" t="str">
        <f t="shared" si="1060"/>
        <v>Anteil KWK, erstmals 2011</v>
      </c>
      <c r="AX2344" s="215" t="str">
        <f t="shared" si="1061"/>
        <v/>
      </c>
      <c r="AY2344" t="str">
        <f t="shared" si="1062"/>
        <v>x</v>
      </c>
      <c r="AZ2344" t="str">
        <f t="shared" si="1063"/>
        <v/>
      </c>
    </row>
    <row r="2345" spans="1:52" s="178" customFormat="1" x14ac:dyDescent="0.25">
      <c r="A2345" s="625" t="s">
        <v>1890</v>
      </c>
      <c r="B2345" s="221" t="s">
        <v>5548</v>
      </c>
      <c r="C2345" s="221" t="s">
        <v>5540</v>
      </c>
      <c r="D2345" s="219" t="s">
        <v>7096</v>
      </c>
      <c r="E2345" s="219" t="s">
        <v>1980</v>
      </c>
      <c r="F2345" s="455">
        <f t="shared" si="1070"/>
        <v>12.23</v>
      </c>
      <c r="G2345" s="530">
        <v>12.23</v>
      </c>
      <c r="H2345" s="488">
        <f t="shared" si="1071"/>
        <v>9.7799999999999994</v>
      </c>
      <c r="I2345" s="707"/>
      <c r="J2345" s="669" t="s">
        <v>5805</v>
      </c>
      <c r="K2345" s="15"/>
      <c r="L2345"/>
      <c r="M2345" s="49">
        <f t="shared" si="1072"/>
        <v>12.23</v>
      </c>
      <c r="N2345" s="41">
        <v>9.32</v>
      </c>
      <c r="O2345" s="54"/>
      <c r="P2345" s="15"/>
      <c r="Q2345"/>
      <c r="R2345"/>
      <c r="S2345" t="s">
        <v>4180</v>
      </c>
      <c r="T2345" s="178" t="s">
        <v>1017</v>
      </c>
      <c r="U2345" s="55"/>
      <c r="V2345"/>
      <c r="W2345" s="65"/>
      <c r="X2345" s="65"/>
      <c r="Y2345"/>
      <c r="Z2345" s="65"/>
      <c r="AA2345"/>
      <c r="AB2345"/>
      <c r="AC2345" s="65"/>
      <c r="AD2345" s="92"/>
      <c r="AE2345" s="124"/>
      <c r="AF2345" s="65"/>
      <c r="AG2345" s="91"/>
      <c r="AH2345" s="217" t="s">
        <v>4179</v>
      </c>
      <c r="AI2345" s="214" t="str">
        <f t="shared" si="1064"/>
        <v/>
      </c>
      <c r="AJ2345" s="214" t="str">
        <f t="shared" si="1065"/>
        <v/>
      </c>
      <c r="AK2345" s="214" t="str">
        <f t="shared" si="1066"/>
        <v/>
      </c>
      <c r="AL2345" s="214" t="str">
        <f t="shared" si="1067"/>
        <v/>
      </c>
      <c r="AM2345" s="214" t="str">
        <f t="shared" si="1068"/>
        <v/>
      </c>
      <c r="AN2345" s="213" t="str">
        <f t="shared" si="1051"/>
        <v>2012</v>
      </c>
      <c r="AO2345" s="213" t="str">
        <f t="shared" si="1052"/>
        <v>2012</v>
      </c>
      <c r="AP2345" s="213" t="str">
        <f t="shared" si="1053"/>
        <v>2012</v>
      </c>
      <c r="AQ2345" s="215" t="str">
        <f t="shared" si="1054"/>
        <v/>
      </c>
      <c r="AR2345" s="216" t="str">
        <f t="shared" si="1055"/>
        <v>BiK82K12----08</v>
      </c>
      <c r="AS2345" s="215" t="str">
        <f t="shared" si="1056"/>
        <v/>
      </c>
      <c r="AT2345">
        <f t="shared" si="1057"/>
        <v>14</v>
      </c>
      <c r="AU2345" s="216" t="str">
        <f t="shared" si="1058"/>
        <v>0,15-0,5 MW, Bonusregel K erstmals 2012</v>
      </c>
      <c r="AV2345" s="215" t="str">
        <f t="shared" si="1059"/>
        <v/>
      </c>
      <c r="AW2345" s="216" t="str">
        <f t="shared" si="1060"/>
        <v>Anteil KWK, erstmals 2012</v>
      </c>
      <c r="AX2345" s="215" t="str">
        <f t="shared" si="1061"/>
        <v/>
      </c>
      <c r="AY2345" t="str">
        <f t="shared" si="1062"/>
        <v/>
      </c>
      <c r="AZ2345" t="str">
        <f t="shared" si="1063"/>
        <v>x</v>
      </c>
    </row>
    <row r="2346" spans="1:52" x14ac:dyDescent="0.25">
      <c r="A2346" s="610" t="s">
        <v>4081</v>
      </c>
      <c r="B2346" s="17" t="s">
        <v>5548</v>
      </c>
      <c r="C2346" s="17" t="s">
        <v>5540</v>
      </c>
      <c r="D2346" s="30" t="s">
        <v>7097</v>
      </c>
      <c r="E2346" s="17" t="s">
        <v>4810</v>
      </c>
      <c r="F2346" s="454">
        <f t="shared" si="1070"/>
        <v>10.32</v>
      </c>
      <c r="G2346" s="529">
        <v>10.32</v>
      </c>
      <c r="H2346" s="487">
        <f t="shared" si="1071"/>
        <v>8.26</v>
      </c>
      <c r="I2346" s="706"/>
      <c r="J2346" s="669" t="s">
        <v>5805</v>
      </c>
      <c r="K2346" s="15"/>
      <c r="M2346" s="49">
        <f t="shared" si="1072"/>
        <v>10.32</v>
      </c>
      <c r="N2346" s="41">
        <v>9.32</v>
      </c>
      <c r="O2346" s="88"/>
      <c r="P2346" s="23"/>
      <c r="Q2346" s="12"/>
      <c r="R2346" s="12"/>
      <c r="S2346" s="12" t="s">
        <v>4180</v>
      </c>
      <c r="T2346" t="s">
        <v>4180</v>
      </c>
      <c r="U2346" s="58" t="s">
        <v>1017</v>
      </c>
      <c r="V2346" s="12"/>
      <c r="W2346" s="65"/>
      <c r="X2346" s="65"/>
      <c r="Z2346" s="65"/>
      <c r="AC2346" s="65"/>
      <c r="AD2346" s="92"/>
      <c r="AE2346" s="124"/>
      <c r="AF2346" s="65"/>
      <c r="AG2346" s="91"/>
      <c r="AH2346" s="212" t="str">
        <f t="shared" ref="AH2346:AH2351" si="1079">IF(ISERROR(SEARCH("K erstmals 201",D2346)),"",RIGHT(D2346,4))</f>
        <v/>
      </c>
      <c r="AI2346" s="214" t="str">
        <f t="shared" si="1064"/>
        <v/>
      </c>
      <c r="AJ2346" s="214" t="str">
        <f t="shared" si="1065"/>
        <v/>
      </c>
      <c r="AK2346" s="214" t="str">
        <f t="shared" si="1066"/>
        <v/>
      </c>
      <c r="AL2346" s="214" t="str">
        <f t="shared" si="1067"/>
        <v/>
      </c>
      <c r="AM2346" s="214" t="str">
        <f t="shared" si="1068"/>
        <v/>
      </c>
      <c r="AN2346" s="213" t="str">
        <f t="shared" si="1051"/>
        <v/>
      </c>
      <c r="AO2346" s="213" t="str">
        <f t="shared" si="1052"/>
        <v/>
      </c>
      <c r="AP2346" s="213" t="str">
        <f t="shared" si="1053"/>
        <v/>
      </c>
      <c r="AQ2346" s="215" t="str">
        <f t="shared" si="1054"/>
        <v/>
      </c>
      <c r="AR2346" s="216" t="str">
        <f t="shared" si="1055"/>
        <v>BiK82y------08</v>
      </c>
      <c r="AS2346" s="215" t="str">
        <f t="shared" si="1056"/>
        <v/>
      </c>
      <c r="AT2346">
        <f t="shared" si="1057"/>
        <v>14</v>
      </c>
      <c r="AU2346" s="216" t="str">
        <f t="shared" si="1058"/>
        <v>0,15-0,5 MW, Bonusregel y</v>
      </c>
      <c r="AV2346" s="215" t="str">
        <f t="shared" si="1059"/>
        <v/>
      </c>
      <c r="AW2346" s="216" t="str">
        <f t="shared" si="1060"/>
        <v>Anteil Nicht-KWK</v>
      </c>
      <c r="AX2346" s="215" t="str">
        <f t="shared" si="1061"/>
        <v/>
      </c>
      <c r="AY2346" t="str">
        <f t="shared" si="1062"/>
        <v/>
      </c>
      <c r="AZ2346" t="str">
        <f t="shared" si="1063"/>
        <v/>
      </c>
    </row>
    <row r="2347" spans="1:52" x14ac:dyDescent="0.25">
      <c r="A2347" s="610" t="s">
        <v>4080</v>
      </c>
      <c r="B2347" s="17" t="s">
        <v>5548</v>
      </c>
      <c r="C2347" s="17" t="s">
        <v>5540</v>
      </c>
      <c r="D2347" s="30" t="s">
        <v>7098</v>
      </c>
      <c r="E2347" s="17" t="s">
        <v>4812</v>
      </c>
      <c r="F2347" s="454">
        <f t="shared" si="1070"/>
        <v>12.32</v>
      </c>
      <c r="G2347" s="529">
        <v>12.32</v>
      </c>
      <c r="H2347" s="487">
        <f t="shared" si="1071"/>
        <v>9.86</v>
      </c>
      <c r="I2347" s="706"/>
      <c r="J2347" s="669" t="s">
        <v>5805</v>
      </c>
      <c r="K2347" s="15"/>
      <c r="M2347" s="49">
        <f t="shared" si="1072"/>
        <v>12.32</v>
      </c>
      <c r="N2347" s="41">
        <v>9.32</v>
      </c>
      <c r="O2347" s="54" t="s">
        <v>1017</v>
      </c>
      <c r="P2347" s="15"/>
      <c r="S2347" t="s">
        <v>4180</v>
      </c>
      <c r="T2347" t="s">
        <v>4180</v>
      </c>
      <c r="U2347" s="55" t="s">
        <v>1017</v>
      </c>
      <c r="W2347" s="65"/>
      <c r="X2347" s="65"/>
      <c r="Z2347" s="65"/>
      <c r="AC2347" s="65"/>
      <c r="AD2347" s="92"/>
      <c r="AE2347" s="124"/>
      <c r="AF2347" s="65"/>
      <c r="AG2347" s="91"/>
      <c r="AH2347" s="212" t="str">
        <f t="shared" si="1079"/>
        <v/>
      </c>
      <c r="AI2347" s="214" t="str">
        <f t="shared" si="1064"/>
        <v/>
      </c>
      <c r="AJ2347" s="214" t="str">
        <f t="shared" si="1065"/>
        <v/>
      </c>
      <c r="AK2347" s="214" t="str">
        <f t="shared" si="1066"/>
        <v/>
      </c>
      <c r="AL2347" s="214" t="str">
        <f t="shared" si="1067"/>
        <v/>
      </c>
      <c r="AM2347" s="214" t="str">
        <f t="shared" si="1068"/>
        <v/>
      </c>
      <c r="AN2347" s="213" t="str">
        <f t="shared" si="1051"/>
        <v/>
      </c>
      <c r="AO2347" s="213" t="str">
        <f t="shared" si="1052"/>
        <v/>
      </c>
      <c r="AP2347" s="213" t="str">
        <f t="shared" si="1053"/>
        <v/>
      </c>
      <c r="AQ2347" s="215" t="str">
        <f t="shared" si="1054"/>
        <v/>
      </c>
      <c r="AR2347" s="216" t="str">
        <f t="shared" si="1055"/>
        <v>BiK82KWKy---08</v>
      </c>
      <c r="AS2347" s="215" t="str">
        <f t="shared" si="1056"/>
        <v/>
      </c>
      <c r="AT2347">
        <f t="shared" si="1057"/>
        <v>14</v>
      </c>
      <c r="AU2347" s="216" t="str">
        <f t="shared" si="1058"/>
        <v>0,15-0,5 MW, Bonusregeln y und KWK</v>
      </c>
      <c r="AV2347" s="215" t="str">
        <f t="shared" si="1059"/>
        <v/>
      </c>
      <c r="AW2347" s="216" t="str">
        <f t="shared" si="1060"/>
        <v>Anteil KWK</v>
      </c>
      <c r="AX2347" s="215" t="str">
        <f t="shared" si="1061"/>
        <v/>
      </c>
      <c r="AY2347" t="str">
        <f t="shared" si="1062"/>
        <v/>
      </c>
      <c r="AZ2347" t="str">
        <f t="shared" si="1063"/>
        <v/>
      </c>
    </row>
    <row r="2348" spans="1:52" x14ac:dyDescent="0.25">
      <c r="A2348" s="610" t="s">
        <v>4079</v>
      </c>
      <c r="B2348" s="17" t="s">
        <v>5548</v>
      </c>
      <c r="C2348" s="30" t="s">
        <v>5540</v>
      </c>
      <c r="D2348" s="30" t="s">
        <v>7099</v>
      </c>
      <c r="E2348" s="30" t="s">
        <v>4331</v>
      </c>
      <c r="F2348" s="454">
        <f t="shared" si="1070"/>
        <v>13.32</v>
      </c>
      <c r="G2348" s="529">
        <v>13.32</v>
      </c>
      <c r="H2348" s="487">
        <f t="shared" si="1071"/>
        <v>10.66</v>
      </c>
      <c r="I2348" s="706"/>
      <c r="J2348" s="669" t="s">
        <v>5805</v>
      </c>
      <c r="K2348" s="15"/>
      <c r="M2348" s="49">
        <f t="shared" si="1072"/>
        <v>13.32</v>
      </c>
      <c r="N2348" s="41">
        <v>9.32</v>
      </c>
      <c r="O2348" s="54"/>
      <c r="P2348" t="s">
        <v>1017</v>
      </c>
      <c r="S2348" t="s">
        <v>4180</v>
      </c>
      <c r="T2348" t="s">
        <v>4180</v>
      </c>
      <c r="U2348" s="55" t="s">
        <v>1017</v>
      </c>
      <c r="W2348" s="65"/>
      <c r="X2348" s="65"/>
      <c r="Z2348" s="65"/>
      <c r="AC2348" s="65"/>
      <c r="AD2348" s="92"/>
      <c r="AE2348" s="124"/>
      <c r="AF2348" s="65"/>
      <c r="AG2348" s="91"/>
      <c r="AH2348" s="212" t="str">
        <f t="shared" si="1079"/>
        <v/>
      </c>
      <c r="AI2348" s="214" t="str">
        <f t="shared" si="1064"/>
        <v/>
      </c>
      <c r="AJ2348" s="214" t="str">
        <f t="shared" si="1065"/>
        <v/>
      </c>
      <c r="AK2348" s="214" t="str">
        <f t="shared" si="1066"/>
        <v/>
      </c>
      <c r="AL2348" s="214" t="str">
        <f t="shared" si="1067"/>
        <v/>
      </c>
      <c r="AM2348" s="214" t="str">
        <f t="shared" si="1068"/>
        <v/>
      </c>
      <c r="AN2348" s="213" t="str">
        <f t="shared" si="1051"/>
        <v/>
      </c>
      <c r="AO2348" s="213" t="str">
        <f t="shared" si="1052"/>
        <v/>
      </c>
      <c r="AP2348" s="213" t="str">
        <f t="shared" si="1053"/>
        <v/>
      </c>
      <c r="AQ2348" s="215" t="str">
        <f t="shared" si="1054"/>
        <v/>
      </c>
      <c r="AR2348" s="216" t="str">
        <f t="shared" si="1055"/>
        <v>BiK82KA3y---08</v>
      </c>
      <c r="AS2348" s="215" t="str">
        <f t="shared" si="1056"/>
        <v/>
      </c>
      <c r="AT2348">
        <f t="shared" si="1057"/>
        <v>14</v>
      </c>
      <c r="AU2348" s="216" t="str">
        <f t="shared" si="1058"/>
        <v>0,15-0,5 MW, Bonusregeln y und K wenn Anlage 3 erfüllt</v>
      </c>
      <c r="AV2348" s="215" t="str">
        <f t="shared" si="1059"/>
        <v/>
      </c>
      <c r="AW2348" s="216" t="str">
        <f t="shared" si="1060"/>
        <v>Anteil KWK gemäß Anlage 3</v>
      </c>
      <c r="AX2348" s="215" t="str">
        <f t="shared" si="1061"/>
        <v/>
      </c>
      <c r="AY2348" t="str">
        <f t="shared" si="1062"/>
        <v/>
      </c>
      <c r="AZ2348" t="str">
        <f t="shared" si="1063"/>
        <v/>
      </c>
    </row>
    <row r="2349" spans="1:52" x14ac:dyDescent="0.25">
      <c r="A2349" s="610" t="s">
        <v>4082</v>
      </c>
      <c r="B2349" s="17" t="s">
        <v>5548</v>
      </c>
      <c r="C2349" s="17" t="s">
        <v>5540</v>
      </c>
      <c r="D2349" s="30" t="s">
        <v>7100</v>
      </c>
      <c r="E2349" s="17" t="s">
        <v>674</v>
      </c>
      <c r="F2349" s="454">
        <f t="shared" si="1070"/>
        <v>13.32</v>
      </c>
      <c r="G2349" s="529">
        <v>13.32</v>
      </c>
      <c r="H2349" s="487">
        <f t="shared" si="1071"/>
        <v>10.66</v>
      </c>
      <c r="I2349" s="706"/>
      <c r="J2349" s="669" t="s">
        <v>5805</v>
      </c>
      <c r="K2349" s="15"/>
      <c r="M2349" s="49">
        <f t="shared" si="1072"/>
        <v>13.32</v>
      </c>
      <c r="N2349" s="41">
        <v>9.32</v>
      </c>
      <c r="O2349" s="54"/>
      <c r="P2349" s="15"/>
      <c r="Q2349" t="s">
        <v>1017</v>
      </c>
      <c r="S2349" t="s">
        <v>4180</v>
      </c>
      <c r="T2349" t="s">
        <v>4180</v>
      </c>
      <c r="U2349" s="55" t="s">
        <v>1017</v>
      </c>
      <c r="W2349" s="65"/>
      <c r="X2349" s="65"/>
      <c r="Z2349" s="65"/>
      <c r="AC2349" s="65"/>
      <c r="AD2349" s="92"/>
      <c r="AE2349" s="124"/>
      <c r="AF2349" s="65"/>
      <c r="AG2349" s="91"/>
      <c r="AH2349" s="212" t="str">
        <f t="shared" si="1079"/>
        <v/>
      </c>
      <c r="AI2349" s="214" t="str">
        <f t="shared" si="1064"/>
        <v/>
      </c>
      <c r="AJ2349" s="214" t="str">
        <f t="shared" si="1065"/>
        <v/>
      </c>
      <c r="AK2349" s="214" t="str">
        <f t="shared" si="1066"/>
        <v/>
      </c>
      <c r="AL2349" s="214" t="str">
        <f t="shared" si="1067"/>
        <v/>
      </c>
      <c r="AM2349" s="214" t="str">
        <f t="shared" si="1068"/>
        <v/>
      </c>
      <c r="AN2349" s="213" t="str">
        <f t="shared" si="1051"/>
        <v/>
      </c>
      <c r="AO2349" s="213" t="str">
        <f t="shared" si="1052"/>
        <v/>
      </c>
      <c r="AP2349" s="213" t="str">
        <f t="shared" si="1053"/>
        <v/>
      </c>
      <c r="AQ2349" s="215" t="str">
        <f t="shared" si="1054"/>
        <v/>
      </c>
      <c r="AR2349" s="216" t="str">
        <f t="shared" si="1055"/>
        <v>BiK82K09y---08</v>
      </c>
      <c r="AS2349" s="215" t="str">
        <f t="shared" si="1056"/>
        <v/>
      </c>
      <c r="AT2349">
        <f t="shared" si="1057"/>
        <v>14</v>
      </c>
      <c r="AU2349" s="216" t="str">
        <f t="shared" si="1058"/>
        <v>0,15-0,5 MW, Bonusregeln y und K erstmals 2009</v>
      </c>
      <c r="AV2349" s="215" t="str">
        <f t="shared" si="1059"/>
        <v/>
      </c>
      <c r="AW2349" s="216" t="str">
        <f t="shared" si="1060"/>
        <v>Anteil KWK, erstmals 2009</v>
      </c>
      <c r="AX2349" s="215" t="str">
        <f t="shared" si="1061"/>
        <v/>
      </c>
      <c r="AY2349" t="str">
        <f t="shared" si="1062"/>
        <v/>
      </c>
      <c r="AZ2349" t="str">
        <f t="shared" si="1063"/>
        <v/>
      </c>
    </row>
    <row r="2350" spans="1:52" s="178" customFormat="1" x14ac:dyDescent="0.25">
      <c r="A2350" s="610" t="s">
        <v>3183</v>
      </c>
      <c r="B2350" s="17" t="s">
        <v>5548</v>
      </c>
      <c r="C2350" s="17" t="s">
        <v>5540</v>
      </c>
      <c r="D2350" s="30" t="s">
        <v>7101</v>
      </c>
      <c r="E2350" s="30" t="s">
        <v>3567</v>
      </c>
      <c r="F2350" s="454">
        <f t="shared" si="1070"/>
        <v>13.290000000000001</v>
      </c>
      <c r="G2350" s="529">
        <v>13.290000000000001</v>
      </c>
      <c r="H2350" s="487">
        <f t="shared" si="1071"/>
        <v>10.63</v>
      </c>
      <c r="I2350" s="706"/>
      <c r="J2350" s="669" t="s">
        <v>5805</v>
      </c>
      <c r="K2350" s="15"/>
      <c r="L2350"/>
      <c r="M2350" s="49">
        <f t="shared" si="1072"/>
        <v>13.290000000000001</v>
      </c>
      <c r="N2350" s="41">
        <v>9.32</v>
      </c>
      <c r="O2350" s="54"/>
      <c r="P2350" s="15"/>
      <c r="Q2350"/>
      <c r="R2350" t="s">
        <v>1017</v>
      </c>
      <c r="S2350" t="s">
        <v>4180</v>
      </c>
      <c r="T2350" s="178" t="s">
        <v>4180</v>
      </c>
      <c r="U2350" s="55" t="s">
        <v>1017</v>
      </c>
      <c r="V2350"/>
      <c r="W2350" s="65"/>
      <c r="X2350" s="65"/>
      <c r="Y2350"/>
      <c r="Z2350" s="65"/>
      <c r="AA2350"/>
      <c r="AB2350"/>
      <c r="AC2350" s="65"/>
      <c r="AD2350" s="92"/>
      <c r="AE2350" s="124"/>
      <c r="AF2350" s="65"/>
      <c r="AG2350" s="91"/>
      <c r="AH2350" s="212" t="str">
        <f t="shared" si="1079"/>
        <v>2010</v>
      </c>
      <c r="AI2350" s="214" t="str">
        <f t="shared" si="1064"/>
        <v/>
      </c>
      <c r="AJ2350" s="214" t="str">
        <f t="shared" si="1065"/>
        <v/>
      </c>
      <c r="AK2350" s="214" t="str">
        <f t="shared" si="1066"/>
        <v/>
      </c>
      <c r="AL2350" s="214" t="str">
        <f t="shared" si="1067"/>
        <v/>
      </c>
      <c r="AM2350" s="214" t="str">
        <f t="shared" si="1068"/>
        <v/>
      </c>
      <c r="AN2350" s="213" t="str">
        <f t="shared" si="1051"/>
        <v>2010</v>
      </c>
      <c r="AO2350" s="213" t="str">
        <f t="shared" si="1052"/>
        <v>2010</v>
      </c>
      <c r="AP2350" s="213" t="str">
        <f t="shared" si="1053"/>
        <v>2010</v>
      </c>
      <c r="AQ2350" s="215" t="str">
        <f t="shared" si="1054"/>
        <v/>
      </c>
      <c r="AR2350" s="216" t="str">
        <f t="shared" si="1055"/>
        <v>BiK82K10y---08</v>
      </c>
      <c r="AS2350" s="215" t="str">
        <f t="shared" si="1056"/>
        <v/>
      </c>
      <c r="AT2350">
        <f t="shared" si="1057"/>
        <v>14</v>
      </c>
      <c r="AU2350" s="216" t="str">
        <f t="shared" si="1058"/>
        <v>0,15-0,5 MW, Bonusregeln y und K erstmals 2010</v>
      </c>
      <c r="AV2350" s="215" t="str">
        <f t="shared" si="1059"/>
        <v/>
      </c>
      <c r="AW2350" s="216" t="str">
        <f t="shared" si="1060"/>
        <v>Anteil KWK, erstmals 2010</v>
      </c>
      <c r="AX2350" s="215" t="str">
        <f t="shared" si="1061"/>
        <v/>
      </c>
      <c r="AY2350" t="str">
        <f t="shared" si="1062"/>
        <v/>
      </c>
      <c r="AZ2350" t="str">
        <f t="shared" si="1063"/>
        <v/>
      </c>
    </row>
    <row r="2351" spans="1:52" s="178" customFormat="1" x14ac:dyDescent="0.25">
      <c r="A2351" s="610" t="s">
        <v>3459</v>
      </c>
      <c r="B2351" s="17" t="s">
        <v>5548</v>
      </c>
      <c r="C2351" s="17" t="s">
        <v>5540</v>
      </c>
      <c r="D2351" s="30" t="s">
        <v>7102</v>
      </c>
      <c r="E2351" s="30" t="s">
        <v>3055</v>
      </c>
      <c r="F2351" s="454">
        <f t="shared" si="1070"/>
        <v>13.26</v>
      </c>
      <c r="G2351" s="529">
        <v>13.26</v>
      </c>
      <c r="H2351" s="487">
        <f t="shared" si="1071"/>
        <v>10.61</v>
      </c>
      <c r="I2351" s="706"/>
      <c r="J2351" s="669" t="s">
        <v>5805</v>
      </c>
      <c r="K2351" s="15"/>
      <c r="L2351"/>
      <c r="M2351" s="49">
        <f t="shared" si="1072"/>
        <v>13.26</v>
      </c>
      <c r="N2351" s="41">
        <v>9.32</v>
      </c>
      <c r="O2351" s="54"/>
      <c r="P2351" s="15"/>
      <c r="Q2351"/>
      <c r="R2351"/>
      <c r="S2351" t="s">
        <v>1017</v>
      </c>
      <c r="T2351" s="178" t="s">
        <v>4180</v>
      </c>
      <c r="U2351" s="55" t="s">
        <v>1017</v>
      </c>
      <c r="V2351"/>
      <c r="W2351" s="65"/>
      <c r="X2351" s="65"/>
      <c r="Y2351"/>
      <c r="Z2351" s="65"/>
      <c r="AA2351"/>
      <c r="AB2351"/>
      <c r="AC2351" s="65"/>
      <c r="AD2351" s="92"/>
      <c r="AE2351" s="124"/>
      <c r="AF2351" s="65"/>
      <c r="AG2351" s="91"/>
      <c r="AH2351" s="212" t="str">
        <f t="shared" si="1079"/>
        <v>2011</v>
      </c>
      <c r="AI2351" s="214" t="str">
        <f t="shared" si="1064"/>
        <v/>
      </c>
      <c r="AJ2351" s="214" t="str">
        <f t="shared" si="1065"/>
        <v/>
      </c>
      <c r="AK2351" s="214" t="str">
        <f t="shared" si="1066"/>
        <v/>
      </c>
      <c r="AL2351" s="214" t="str">
        <f t="shared" si="1067"/>
        <v/>
      </c>
      <c r="AM2351" s="214" t="str">
        <f t="shared" si="1068"/>
        <v/>
      </c>
      <c r="AN2351" s="213" t="str">
        <f t="shared" si="1051"/>
        <v>2011</v>
      </c>
      <c r="AO2351" s="213" t="str">
        <f t="shared" si="1052"/>
        <v>2011</v>
      </c>
      <c r="AP2351" s="213" t="str">
        <f t="shared" si="1053"/>
        <v>2011</v>
      </c>
      <c r="AQ2351" s="215" t="str">
        <f t="shared" si="1054"/>
        <v/>
      </c>
      <c r="AR2351" s="216" t="str">
        <f t="shared" si="1055"/>
        <v>BiK82K11y---08</v>
      </c>
      <c r="AS2351" s="215" t="str">
        <f t="shared" si="1056"/>
        <v/>
      </c>
      <c r="AT2351">
        <f t="shared" si="1057"/>
        <v>14</v>
      </c>
      <c r="AU2351" s="216" t="str">
        <f t="shared" si="1058"/>
        <v>0,15-0,5 MW, Bonusregeln y und K erstmals 2011</v>
      </c>
      <c r="AV2351" s="215" t="str">
        <f t="shared" si="1059"/>
        <v/>
      </c>
      <c r="AW2351" s="216" t="str">
        <f t="shared" si="1060"/>
        <v>Anteil KWK, erstmals 2011</v>
      </c>
      <c r="AX2351" s="215" t="str">
        <f t="shared" si="1061"/>
        <v/>
      </c>
      <c r="AY2351" t="str">
        <f t="shared" si="1062"/>
        <v>x</v>
      </c>
      <c r="AZ2351" t="str">
        <f t="shared" si="1063"/>
        <v/>
      </c>
    </row>
    <row r="2352" spans="1:52" s="178" customFormat="1" x14ac:dyDescent="0.25">
      <c r="A2352" s="625" t="s">
        <v>1891</v>
      </c>
      <c r="B2352" s="221" t="s">
        <v>5548</v>
      </c>
      <c r="C2352" s="221" t="s">
        <v>5540</v>
      </c>
      <c r="D2352" s="219" t="s">
        <v>7103</v>
      </c>
      <c r="E2352" s="219" t="s">
        <v>1980</v>
      </c>
      <c r="F2352" s="455">
        <f t="shared" si="1070"/>
        <v>13.23</v>
      </c>
      <c r="G2352" s="530">
        <v>13.23</v>
      </c>
      <c r="H2352" s="488">
        <f t="shared" si="1071"/>
        <v>10.58</v>
      </c>
      <c r="I2352" s="707"/>
      <c r="J2352" s="669" t="s">
        <v>5805</v>
      </c>
      <c r="K2352" s="15"/>
      <c r="L2352"/>
      <c r="M2352" s="49">
        <f t="shared" si="1072"/>
        <v>13.23</v>
      </c>
      <c r="N2352" s="41">
        <v>9.32</v>
      </c>
      <c r="O2352" s="54"/>
      <c r="P2352" s="15"/>
      <c r="Q2352"/>
      <c r="R2352"/>
      <c r="S2352" t="s">
        <v>4180</v>
      </c>
      <c r="T2352" s="178" t="s">
        <v>1017</v>
      </c>
      <c r="U2352" s="55" t="s">
        <v>1017</v>
      </c>
      <c r="V2352"/>
      <c r="W2352" s="65"/>
      <c r="X2352" s="65"/>
      <c r="Y2352"/>
      <c r="Z2352" s="65"/>
      <c r="AA2352"/>
      <c r="AB2352"/>
      <c r="AC2352" s="65"/>
      <c r="AD2352" s="92"/>
      <c r="AE2352" s="124"/>
      <c r="AF2352" s="65"/>
      <c r="AG2352" s="91"/>
      <c r="AH2352" s="217" t="s">
        <v>4179</v>
      </c>
      <c r="AI2352" s="214" t="str">
        <f t="shared" si="1064"/>
        <v/>
      </c>
      <c r="AJ2352" s="214" t="str">
        <f t="shared" si="1065"/>
        <v/>
      </c>
      <c r="AK2352" s="214" t="str">
        <f t="shared" si="1066"/>
        <v/>
      </c>
      <c r="AL2352" s="214" t="str">
        <f t="shared" si="1067"/>
        <v/>
      </c>
      <c r="AM2352" s="214" t="str">
        <f t="shared" si="1068"/>
        <v/>
      </c>
      <c r="AN2352" s="213" t="str">
        <f t="shared" si="1051"/>
        <v>2012</v>
      </c>
      <c r="AO2352" s="213" t="str">
        <f t="shared" si="1052"/>
        <v>2012</v>
      </c>
      <c r="AP2352" s="213" t="str">
        <f t="shared" si="1053"/>
        <v>2012</v>
      </c>
      <c r="AQ2352" s="215" t="str">
        <f t="shared" si="1054"/>
        <v/>
      </c>
      <c r="AR2352" s="216" t="str">
        <f t="shared" si="1055"/>
        <v>BiK82K12y---08</v>
      </c>
      <c r="AS2352" s="215" t="str">
        <f t="shared" si="1056"/>
        <v/>
      </c>
      <c r="AT2352">
        <f t="shared" si="1057"/>
        <v>14</v>
      </c>
      <c r="AU2352" s="216" t="str">
        <f t="shared" si="1058"/>
        <v>0,15-0,5 MW, Bonusregeln y und K erstmals 2012</v>
      </c>
      <c r="AV2352" s="215" t="str">
        <f t="shared" si="1059"/>
        <v/>
      </c>
      <c r="AW2352" s="216" t="str">
        <f t="shared" si="1060"/>
        <v>Anteil KWK, erstmals 2012</v>
      </c>
      <c r="AX2352" s="215" t="str">
        <f t="shared" si="1061"/>
        <v/>
      </c>
      <c r="AY2352" t="str">
        <f t="shared" si="1062"/>
        <v/>
      </c>
      <c r="AZ2352" t="str">
        <f t="shared" si="1063"/>
        <v>x</v>
      </c>
    </row>
    <row r="2353" spans="1:52" s="178" customFormat="1" x14ac:dyDescent="0.25">
      <c r="A2353" s="609" t="s">
        <v>3681</v>
      </c>
      <c r="B2353" s="1" t="s">
        <v>5548</v>
      </c>
      <c r="C2353" s="2" t="s">
        <v>5540</v>
      </c>
      <c r="D2353" s="1" t="s">
        <v>7104</v>
      </c>
      <c r="E2353" s="1" t="s">
        <v>4810</v>
      </c>
      <c r="F2353" s="456">
        <f t="shared" si="1070"/>
        <v>15.32</v>
      </c>
      <c r="G2353" s="531">
        <v>15.32</v>
      </c>
      <c r="H2353" s="489">
        <f t="shared" si="1071"/>
        <v>12.26</v>
      </c>
      <c r="I2353" s="708"/>
      <c r="J2353" s="669" t="s">
        <v>5805</v>
      </c>
      <c r="K2353" s="15"/>
      <c r="L2353"/>
      <c r="M2353" s="49">
        <f t="shared" si="1072"/>
        <v>15.32</v>
      </c>
      <c r="N2353" s="41">
        <v>9.32</v>
      </c>
      <c r="O2353" s="54"/>
      <c r="P2353" s="15"/>
      <c r="Q2353"/>
      <c r="R2353"/>
      <c r="S2353" t="s">
        <v>4180</v>
      </c>
      <c r="T2353" s="178" t="s">
        <v>4180</v>
      </c>
      <c r="U2353" s="55"/>
      <c r="V2353" t="s">
        <v>1017</v>
      </c>
      <c r="W2353" s="65"/>
      <c r="X2353" s="65"/>
      <c r="Y2353"/>
      <c r="Z2353" s="65"/>
      <c r="AA2353"/>
      <c r="AB2353"/>
      <c r="AC2353" s="65"/>
      <c r="AD2353" s="92"/>
      <c r="AE2353" s="124"/>
      <c r="AF2353" s="65"/>
      <c r="AG2353" s="91"/>
      <c r="AH2353" s="212" t="str">
        <f t="shared" ref="AH2353:AH2358" si="1080">IF(ISERROR(SEARCH("K erstmals 201",D2353)),"",RIGHT(D2353,4))</f>
        <v/>
      </c>
      <c r="AI2353" s="214" t="str">
        <f t="shared" si="1064"/>
        <v/>
      </c>
      <c r="AJ2353" s="214" t="str">
        <f t="shared" si="1065"/>
        <v/>
      </c>
      <c r="AK2353" s="214" t="str">
        <f t="shared" si="1066"/>
        <v/>
      </c>
      <c r="AL2353" s="214" t="str">
        <f t="shared" si="1067"/>
        <v/>
      </c>
      <c r="AM2353" s="214" t="str">
        <f t="shared" si="1068"/>
        <v/>
      </c>
      <c r="AN2353" s="213" t="str">
        <f t="shared" si="1051"/>
        <v/>
      </c>
      <c r="AO2353" s="213" t="str">
        <f t="shared" si="1052"/>
        <v/>
      </c>
      <c r="AP2353" s="213" t="str">
        <f t="shared" si="1053"/>
        <v/>
      </c>
      <c r="AQ2353" s="215" t="str">
        <f t="shared" si="1054"/>
        <v/>
      </c>
      <c r="AR2353" s="216" t="str">
        <f t="shared" si="1055"/>
        <v>BiK82a1-----08</v>
      </c>
      <c r="AS2353" s="215" t="str">
        <f t="shared" si="1056"/>
        <v/>
      </c>
      <c r="AT2353">
        <f t="shared" si="1057"/>
        <v>14</v>
      </c>
      <c r="AU2353" s="216" t="str">
        <f t="shared" si="1058"/>
        <v>0,15-0,5 MW, Bonusregel a1</v>
      </c>
      <c r="AV2353" s="215" t="str">
        <f t="shared" si="1059"/>
        <v/>
      </c>
      <c r="AW2353" s="216" t="str">
        <f t="shared" si="1060"/>
        <v>Anteil Nicht-KWK</v>
      </c>
      <c r="AX2353" s="215" t="str">
        <f t="shared" si="1061"/>
        <v/>
      </c>
      <c r="AY2353" t="str">
        <f t="shared" si="1062"/>
        <v/>
      </c>
      <c r="AZ2353" t="str">
        <f t="shared" si="1063"/>
        <v/>
      </c>
    </row>
    <row r="2354" spans="1:52" s="178" customFormat="1" x14ac:dyDescent="0.25">
      <c r="A2354" s="609" t="s">
        <v>3682</v>
      </c>
      <c r="B2354" s="1" t="s">
        <v>5548</v>
      </c>
      <c r="C2354" s="2" t="s">
        <v>5540</v>
      </c>
      <c r="D2354" s="36" t="s">
        <v>7217</v>
      </c>
      <c r="E2354" s="1" t="s">
        <v>4812</v>
      </c>
      <c r="F2354" s="456">
        <f t="shared" si="1070"/>
        <v>17.32</v>
      </c>
      <c r="G2354" s="531">
        <v>17.32</v>
      </c>
      <c r="H2354" s="489">
        <f t="shared" si="1071"/>
        <v>13.86</v>
      </c>
      <c r="I2354" s="708"/>
      <c r="J2354" s="669" t="s">
        <v>5805</v>
      </c>
      <c r="K2354" s="15"/>
      <c r="L2354"/>
      <c r="M2354" s="49">
        <f t="shared" si="1072"/>
        <v>17.32</v>
      </c>
      <c r="N2354" s="41">
        <v>9.32</v>
      </c>
      <c r="O2354" s="54" t="s">
        <v>1017</v>
      </c>
      <c r="P2354" s="15"/>
      <c r="Q2354"/>
      <c r="R2354"/>
      <c r="S2354" t="s">
        <v>4180</v>
      </c>
      <c r="T2354" s="178" t="s">
        <v>4180</v>
      </c>
      <c r="U2354" s="55"/>
      <c r="V2354" t="s">
        <v>1017</v>
      </c>
      <c r="W2354" s="65"/>
      <c r="X2354" s="65"/>
      <c r="Y2354"/>
      <c r="Z2354" s="65"/>
      <c r="AA2354"/>
      <c r="AB2354"/>
      <c r="AC2354" s="65"/>
      <c r="AD2354" s="92"/>
      <c r="AE2354" s="124"/>
      <c r="AF2354" s="65"/>
      <c r="AG2354" s="91"/>
      <c r="AH2354" s="212" t="str">
        <f t="shared" si="1080"/>
        <v/>
      </c>
      <c r="AI2354" s="214" t="str">
        <f t="shared" si="1064"/>
        <v/>
      </c>
      <c r="AJ2354" s="214" t="str">
        <f t="shared" si="1065"/>
        <v/>
      </c>
      <c r="AK2354" s="214" t="str">
        <f t="shared" si="1066"/>
        <v/>
      </c>
      <c r="AL2354" s="214" t="str">
        <f t="shared" si="1067"/>
        <v/>
      </c>
      <c r="AM2354" s="214" t="str">
        <f t="shared" si="1068"/>
        <v/>
      </c>
      <c r="AN2354" s="213" t="str">
        <f t="shared" si="1051"/>
        <v/>
      </c>
      <c r="AO2354" s="213" t="str">
        <f t="shared" si="1052"/>
        <v/>
      </c>
      <c r="AP2354" s="213" t="str">
        <f t="shared" si="1053"/>
        <v/>
      </c>
      <c r="AQ2354" s="215" t="str">
        <f t="shared" si="1054"/>
        <v/>
      </c>
      <c r="AR2354" s="216" t="str">
        <f t="shared" si="1055"/>
        <v>BiK82a1KWK--08</v>
      </c>
      <c r="AS2354" s="215" t="str">
        <f t="shared" si="1056"/>
        <v/>
      </c>
      <c r="AT2354">
        <f t="shared" si="1057"/>
        <v>14</v>
      </c>
      <c r="AU2354" s="216" t="str">
        <f t="shared" si="1058"/>
        <v>0,15-0,5 MW, Bonusregeln a1 und KWK</v>
      </c>
      <c r="AV2354" s="215" t="str">
        <f t="shared" si="1059"/>
        <v/>
      </c>
      <c r="AW2354" s="216" t="str">
        <f t="shared" si="1060"/>
        <v>Anteil KWK</v>
      </c>
      <c r="AX2354" s="215" t="str">
        <f t="shared" si="1061"/>
        <v/>
      </c>
      <c r="AY2354" t="str">
        <f t="shared" si="1062"/>
        <v/>
      </c>
      <c r="AZ2354" t="str">
        <f t="shared" si="1063"/>
        <v/>
      </c>
    </row>
    <row r="2355" spans="1:52" s="178" customFormat="1" x14ac:dyDescent="0.25">
      <c r="A2355" s="610" t="s">
        <v>2340</v>
      </c>
      <c r="B2355" s="17" t="s">
        <v>5548</v>
      </c>
      <c r="C2355" s="30" t="s">
        <v>5540</v>
      </c>
      <c r="D2355" s="30" t="s">
        <v>7106</v>
      </c>
      <c r="E2355" s="30" t="s">
        <v>4331</v>
      </c>
      <c r="F2355" s="454">
        <f t="shared" si="1070"/>
        <v>18.32</v>
      </c>
      <c r="G2355" s="529">
        <v>18.32</v>
      </c>
      <c r="H2355" s="487">
        <f t="shared" si="1071"/>
        <v>14.66</v>
      </c>
      <c r="I2355" s="706"/>
      <c r="J2355" s="669" t="s">
        <v>5805</v>
      </c>
      <c r="K2355" s="15"/>
      <c r="L2355"/>
      <c r="M2355" s="49">
        <f t="shared" si="1072"/>
        <v>18.32</v>
      </c>
      <c r="N2355" s="41">
        <v>9.32</v>
      </c>
      <c r="O2355" s="54"/>
      <c r="P2355" t="s">
        <v>1017</v>
      </c>
      <c r="Q2355"/>
      <c r="R2355"/>
      <c r="S2355" t="s">
        <v>4180</v>
      </c>
      <c r="T2355" s="178" t="s">
        <v>4180</v>
      </c>
      <c r="U2355" s="55"/>
      <c r="V2355" t="s">
        <v>1017</v>
      </c>
      <c r="W2355" s="65"/>
      <c r="X2355" s="65"/>
      <c r="Y2355"/>
      <c r="Z2355" s="65"/>
      <c r="AA2355"/>
      <c r="AB2355"/>
      <c r="AC2355" s="65"/>
      <c r="AD2355" s="92"/>
      <c r="AE2355" s="124"/>
      <c r="AF2355" s="65"/>
      <c r="AG2355" s="91"/>
      <c r="AH2355" s="212" t="str">
        <f t="shared" si="1080"/>
        <v/>
      </c>
      <c r="AI2355" s="214" t="str">
        <f t="shared" si="1064"/>
        <v/>
      </c>
      <c r="AJ2355" s="214" t="str">
        <f t="shared" si="1065"/>
        <v/>
      </c>
      <c r="AK2355" s="214" t="str">
        <f t="shared" si="1066"/>
        <v/>
      </c>
      <c r="AL2355" s="214" t="str">
        <f t="shared" si="1067"/>
        <v/>
      </c>
      <c r="AM2355" s="214" t="str">
        <f t="shared" si="1068"/>
        <v/>
      </c>
      <c r="AN2355" s="213" t="str">
        <f t="shared" si="1051"/>
        <v/>
      </c>
      <c r="AO2355" s="213" t="str">
        <f t="shared" si="1052"/>
        <v/>
      </c>
      <c r="AP2355" s="213" t="str">
        <f t="shared" si="1053"/>
        <v/>
      </c>
      <c r="AQ2355" s="215" t="str">
        <f t="shared" si="1054"/>
        <v/>
      </c>
      <c r="AR2355" s="216" t="str">
        <f t="shared" si="1055"/>
        <v>BiK82a1KA3--08</v>
      </c>
      <c r="AS2355" s="215" t="str">
        <f t="shared" si="1056"/>
        <v/>
      </c>
      <c r="AT2355">
        <f t="shared" si="1057"/>
        <v>14</v>
      </c>
      <c r="AU2355" s="216" t="str">
        <f t="shared" si="1058"/>
        <v>0,15-0,5 MW, Bonusregeln a1 und K wenn Anlage 3 erfüllt</v>
      </c>
      <c r="AV2355" s="215" t="str">
        <f t="shared" si="1059"/>
        <v/>
      </c>
      <c r="AW2355" s="216" t="str">
        <f t="shared" si="1060"/>
        <v>Anteil KWK gemäß Anlage 3</v>
      </c>
      <c r="AX2355" s="215" t="str">
        <f t="shared" si="1061"/>
        <v/>
      </c>
      <c r="AY2355" t="str">
        <f t="shared" si="1062"/>
        <v/>
      </c>
      <c r="AZ2355" t="str">
        <f t="shared" si="1063"/>
        <v/>
      </c>
    </row>
    <row r="2356" spans="1:52" s="178" customFormat="1" x14ac:dyDescent="0.25">
      <c r="A2356" s="610" t="s">
        <v>5042</v>
      </c>
      <c r="B2356" s="17" t="s">
        <v>5548</v>
      </c>
      <c r="C2356" s="17" t="s">
        <v>5540</v>
      </c>
      <c r="D2356" s="30" t="s">
        <v>7107</v>
      </c>
      <c r="E2356" s="17" t="s">
        <v>674</v>
      </c>
      <c r="F2356" s="454">
        <f t="shared" si="1070"/>
        <v>18.32</v>
      </c>
      <c r="G2356" s="529">
        <v>18.32</v>
      </c>
      <c r="H2356" s="487">
        <f t="shared" si="1071"/>
        <v>14.66</v>
      </c>
      <c r="I2356" s="706"/>
      <c r="J2356" s="669" t="s">
        <v>5805</v>
      </c>
      <c r="K2356" s="15"/>
      <c r="L2356"/>
      <c r="M2356" s="49">
        <f t="shared" si="1072"/>
        <v>18.32</v>
      </c>
      <c r="N2356" s="41">
        <v>9.32</v>
      </c>
      <c r="O2356" s="54"/>
      <c r="P2356" s="15"/>
      <c r="Q2356" t="s">
        <v>1017</v>
      </c>
      <c r="R2356"/>
      <c r="S2356" t="s">
        <v>4180</v>
      </c>
      <c r="T2356" s="178" t="s">
        <v>4180</v>
      </c>
      <c r="U2356" s="55"/>
      <c r="V2356" t="s">
        <v>1017</v>
      </c>
      <c r="W2356" s="65"/>
      <c r="X2356" s="65"/>
      <c r="Y2356"/>
      <c r="Z2356" s="65"/>
      <c r="AA2356"/>
      <c r="AB2356"/>
      <c r="AC2356" s="65"/>
      <c r="AD2356" s="92"/>
      <c r="AE2356" s="124"/>
      <c r="AF2356" s="65"/>
      <c r="AG2356" s="91"/>
      <c r="AH2356" s="212" t="str">
        <f t="shared" si="1080"/>
        <v/>
      </c>
      <c r="AI2356" s="214" t="str">
        <f t="shared" si="1064"/>
        <v/>
      </c>
      <c r="AJ2356" s="214" t="str">
        <f t="shared" si="1065"/>
        <v/>
      </c>
      <c r="AK2356" s="214" t="str">
        <f t="shared" si="1066"/>
        <v/>
      </c>
      <c r="AL2356" s="214" t="str">
        <f t="shared" si="1067"/>
        <v/>
      </c>
      <c r="AM2356" s="214" t="str">
        <f t="shared" si="1068"/>
        <v/>
      </c>
      <c r="AN2356" s="213" t="str">
        <f t="shared" si="1051"/>
        <v/>
      </c>
      <c r="AO2356" s="213" t="str">
        <f t="shared" si="1052"/>
        <v/>
      </c>
      <c r="AP2356" s="213" t="str">
        <f t="shared" si="1053"/>
        <v/>
      </c>
      <c r="AQ2356" s="215" t="str">
        <f t="shared" si="1054"/>
        <v/>
      </c>
      <c r="AR2356" s="216" t="str">
        <f t="shared" si="1055"/>
        <v>BiK82a1K09--08</v>
      </c>
      <c r="AS2356" s="215" t="str">
        <f t="shared" si="1056"/>
        <v/>
      </c>
      <c r="AT2356">
        <f t="shared" si="1057"/>
        <v>14</v>
      </c>
      <c r="AU2356" s="216" t="str">
        <f t="shared" si="1058"/>
        <v>0,15-0,5 MW, Bonusregeln a1 und K erstmals 2009</v>
      </c>
      <c r="AV2356" s="215" t="str">
        <f t="shared" si="1059"/>
        <v/>
      </c>
      <c r="AW2356" s="216" t="str">
        <f t="shared" si="1060"/>
        <v>Anteil KWK, erstmals 2009</v>
      </c>
      <c r="AX2356" s="215" t="str">
        <f t="shared" si="1061"/>
        <v/>
      </c>
      <c r="AY2356" t="str">
        <f t="shared" si="1062"/>
        <v/>
      </c>
      <c r="AZ2356" t="str">
        <f t="shared" si="1063"/>
        <v/>
      </c>
    </row>
    <row r="2357" spans="1:52" s="178" customFormat="1" x14ac:dyDescent="0.25">
      <c r="A2357" s="610" t="s">
        <v>3184</v>
      </c>
      <c r="B2357" s="17" t="s">
        <v>5548</v>
      </c>
      <c r="C2357" s="17" t="s">
        <v>5540</v>
      </c>
      <c r="D2357" s="30" t="s">
        <v>7108</v>
      </c>
      <c r="E2357" s="30" t="s">
        <v>3567</v>
      </c>
      <c r="F2357" s="454">
        <f t="shared" si="1070"/>
        <v>18.29</v>
      </c>
      <c r="G2357" s="529">
        <v>18.29</v>
      </c>
      <c r="H2357" s="487">
        <f t="shared" si="1071"/>
        <v>14.63</v>
      </c>
      <c r="I2357" s="706"/>
      <c r="J2357" s="669" t="s">
        <v>5805</v>
      </c>
      <c r="K2357" s="15"/>
      <c r="L2357"/>
      <c r="M2357" s="49">
        <f t="shared" si="1072"/>
        <v>18.29</v>
      </c>
      <c r="N2357" s="41">
        <v>9.32</v>
      </c>
      <c r="O2357" s="54"/>
      <c r="P2357" s="15"/>
      <c r="Q2357"/>
      <c r="R2357" t="s">
        <v>1017</v>
      </c>
      <c r="S2357" t="s">
        <v>4180</v>
      </c>
      <c r="T2357" s="178" t="s">
        <v>4180</v>
      </c>
      <c r="U2357" s="55"/>
      <c r="V2357" t="s">
        <v>1017</v>
      </c>
      <c r="W2357" s="65"/>
      <c r="X2357" s="65"/>
      <c r="Y2357"/>
      <c r="Z2357" s="65"/>
      <c r="AA2357"/>
      <c r="AB2357"/>
      <c r="AC2357" s="65"/>
      <c r="AD2357" s="92"/>
      <c r="AE2357" s="124"/>
      <c r="AF2357" s="65"/>
      <c r="AG2357" s="91"/>
      <c r="AH2357" s="212" t="str">
        <f t="shared" si="1080"/>
        <v>2010</v>
      </c>
      <c r="AI2357" s="214" t="str">
        <f t="shared" si="1064"/>
        <v/>
      </c>
      <c r="AJ2357" s="214" t="str">
        <f t="shared" si="1065"/>
        <v/>
      </c>
      <c r="AK2357" s="214" t="str">
        <f t="shared" si="1066"/>
        <v/>
      </c>
      <c r="AL2357" s="214" t="str">
        <f t="shared" si="1067"/>
        <v/>
      </c>
      <c r="AM2357" s="214" t="str">
        <f t="shared" si="1068"/>
        <v/>
      </c>
      <c r="AN2357" s="213" t="str">
        <f t="shared" ref="AN2357:AN2420" si="1081">IF(ISERROR(SEARCH("K1",A2357)),"","20"&amp;MID(A2357,SEARCH("K1",A2357)+1,2))</f>
        <v>2010</v>
      </c>
      <c r="AO2357" s="213" t="str">
        <f t="shared" ref="AO2357:AO2420" si="1082">IF(ISERROR(SEARCH("erstmals 201",E2357)),"",MID(E2357,SEARCH("erstmals ",E2357)+9,4))</f>
        <v>2010</v>
      </c>
      <c r="AP2357" s="213" t="str">
        <f t="shared" ref="AP2357:AP2420" si="1083">IF(R2357="x","2010",IF(S2357="x","2011",IF(T2357="x","2012","")))</f>
        <v>2010</v>
      </c>
      <c r="AQ2357" s="215" t="str">
        <f t="shared" ref="AQ2357:AQ2420" si="1084">IF(OR(AH2357&lt;&gt;AN2357,AH2357&lt;&gt;AO2357,AH2357&lt;&gt;AP2357),"DIFF","")</f>
        <v/>
      </c>
      <c r="AR2357" s="216" t="str">
        <f t="shared" ref="AR2357:AR2420" si="1085">IF(A2357="","",IF(ISERROR(SEARCH("K1",A2357)),A2357,LEFT(A2357,SEARCH("K1",A2357)+1)&amp;RIGHT(AH2357,1)&amp;MID(A2357,SEARCH("K1",A2357)+3,14)))</f>
        <v>BiK82a1K10--08</v>
      </c>
      <c r="AS2357" s="215" t="str">
        <f t="shared" ref="AS2357:AS2420" si="1086">IF(OR(A2357&lt;&gt;AR2357),"DIFF","")</f>
        <v/>
      </c>
      <c r="AT2357">
        <f t="shared" ref="AT2357:AT2420" si="1087">LEN(AR2357)</f>
        <v>14</v>
      </c>
      <c r="AU2357" s="216" t="str">
        <f t="shared" ref="AU2357:AU2420" si="1088">IF(D2357="","",IF(OR(A2357="",ISERROR(SEARCH("erstmals 201",D2357))),D2357,LEFT(D2357,SEARCH("erstmals 201",D2357)+8) &amp; AH2357 &amp; MID(D2357,SEARCH("erstmals 201",D2357)+13,255)))</f>
        <v>0,15-0,5 MW, Bonusregeln a1 und K erstmals 2010</v>
      </c>
      <c r="AV2357" s="215" t="str">
        <f t="shared" ref="AV2357:AV2420" si="1089">IF(OR(D2357&lt;&gt;AU2357),"DIFF","")</f>
        <v/>
      </c>
      <c r="AW2357" s="216" t="str">
        <f t="shared" ref="AW2357:AW2420" si="1090">IF(E2357="","",IF(OR(E2357="",ISERROR(SEARCH("erstmals 201",E2357))),E2357,LEFT(E2357,SEARCH("erstmals 201",E2357)+8) &amp; AH2357 &amp; MID(E2357,SEARCH("erstmals 201",E2357)+13,255)))</f>
        <v>Anteil KWK, erstmals 2010</v>
      </c>
      <c r="AX2357" s="215" t="str">
        <f t="shared" ref="AX2357:AX2420" si="1091">IF(OR(E2357&lt;&gt;AW2357),"DIFF","")</f>
        <v/>
      </c>
      <c r="AY2357" t="str">
        <f t="shared" ref="AY2357:AY2420" si="1092">IF(AH2357="2011","x",IF(AH2357="2012","","" &amp; S2357))</f>
        <v/>
      </c>
      <c r="AZ2357" t="str">
        <f t="shared" ref="AZ2357:AZ2420" si="1093">IF(AH2357="2012","x",IF(AH2357="2011","","" &amp; T2357))</f>
        <v/>
      </c>
    </row>
    <row r="2358" spans="1:52" s="178" customFormat="1" x14ac:dyDescent="0.25">
      <c r="A2358" s="610" t="s">
        <v>3460</v>
      </c>
      <c r="B2358" s="17" t="s">
        <v>5548</v>
      </c>
      <c r="C2358" s="17" t="s">
        <v>5540</v>
      </c>
      <c r="D2358" s="30" t="s">
        <v>7109</v>
      </c>
      <c r="E2358" s="30" t="s">
        <v>3055</v>
      </c>
      <c r="F2358" s="454">
        <f t="shared" si="1070"/>
        <v>18.259999999999998</v>
      </c>
      <c r="G2358" s="529">
        <v>18.259999999999998</v>
      </c>
      <c r="H2358" s="487">
        <f t="shared" si="1071"/>
        <v>14.61</v>
      </c>
      <c r="I2358" s="706"/>
      <c r="J2358" s="669" t="s">
        <v>5805</v>
      </c>
      <c r="K2358" s="15"/>
      <c r="L2358"/>
      <c r="M2358" s="49">
        <f t="shared" si="1072"/>
        <v>18.259999999999998</v>
      </c>
      <c r="N2358" s="41">
        <v>9.32</v>
      </c>
      <c r="O2358" s="54"/>
      <c r="P2358" s="15"/>
      <c r="Q2358"/>
      <c r="R2358"/>
      <c r="S2358" t="s">
        <v>1017</v>
      </c>
      <c r="T2358" s="178" t="s">
        <v>4180</v>
      </c>
      <c r="U2358" s="55"/>
      <c r="V2358" t="s">
        <v>1017</v>
      </c>
      <c r="W2358" s="65"/>
      <c r="X2358" s="65"/>
      <c r="Y2358"/>
      <c r="Z2358" s="65"/>
      <c r="AA2358"/>
      <c r="AB2358"/>
      <c r="AC2358" s="65"/>
      <c r="AD2358" s="92"/>
      <c r="AE2358" s="124"/>
      <c r="AF2358" s="65"/>
      <c r="AG2358" s="91"/>
      <c r="AH2358" s="212" t="str">
        <f t="shared" si="1080"/>
        <v>2011</v>
      </c>
      <c r="AI2358" s="214" t="str">
        <f t="shared" ref="AI2358:AI2421" si="1094">IF(AND($AH2358&lt;&gt;"",AH2358 =AH2357),"Gleich","")</f>
        <v/>
      </c>
      <c r="AJ2358" s="214" t="str">
        <f t="shared" ref="AJ2358:AJ2421" si="1095">IF(AND($AH2358&lt;&gt;"",A2358 =A2357),"Gleich","")</f>
        <v/>
      </c>
      <c r="AK2358" s="214" t="str">
        <f t="shared" ref="AK2358:AK2421" si="1096">IF(AND($AH2358&lt;&gt;"",D2358 =D2357),"Gleich","")</f>
        <v/>
      </c>
      <c r="AL2358" s="214" t="str">
        <f t="shared" ref="AL2358:AL2421" si="1097">IF(AND($AH2358&lt;&gt;"",E2358 =E2357),"Gleich","")</f>
        <v/>
      </c>
      <c r="AM2358" s="214" t="str">
        <f t="shared" ref="AM2358:AM2421" si="1098">IF(AND($AH2358&lt;&gt;"",F2358 =F2357),"Gleich","")</f>
        <v/>
      </c>
      <c r="AN2358" s="213" t="str">
        <f t="shared" si="1081"/>
        <v>2011</v>
      </c>
      <c r="AO2358" s="213" t="str">
        <f t="shared" si="1082"/>
        <v>2011</v>
      </c>
      <c r="AP2358" s="213" t="str">
        <f t="shared" si="1083"/>
        <v>2011</v>
      </c>
      <c r="AQ2358" s="215" t="str">
        <f t="shared" si="1084"/>
        <v/>
      </c>
      <c r="AR2358" s="216" t="str">
        <f t="shared" si="1085"/>
        <v>BiK82a1K11--08</v>
      </c>
      <c r="AS2358" s="215" t="str">
        <f t="shared" si="1086"/>
        <v/>
      </c>
      <c r="AT2358">
        <f t="shared" si="1087"/>
        <v>14</v>
      </c>
      <c r="AU2358" s="216" t="str">
        <f t="shared" si="1088"/>
        <v>0,15-0,5 MW, Bonusregeln a1 und K erstmals 2011</v>
      </c>
      <c r="AV2358" s="215" t="str">
        <f t="shared" si="1089"/>
        <v/>
      </c>
      <c r="AW2358" s="216" t="str">
        <f t="shared" si="1090"/>
        <v>Anteil KWK, erstmals 2011</v>
      </c>
      <c r="AX2358" s="215" t="str">
        <f t="shared" si="1091"/>
        <v/>
      </c>
      <c r="AY2358" t="str">
        <f t="shared" si="1092"/>
        <v>x</v>
      </c>
      <c r="AZ2358" t="str">
        <f t="shared" si="1093"/>
        <v/>
      </c>
    </row>
    <row r="2359" spans="1:52" s="178" customFormat="1" x14ac:dyDescent="0.25">
      <c r="A2359" s="625" t="s">
        <v>1892</v>
      </c>
      <c r="B2359" s="221" t="s">
        <v>5548</v>
      </c>
      <c r="C2359" s="221" t="s">
        <v>5540</v>
      </c>
      <c r="D2359" s="219" t="s">
        <v>7110</v>
      </c>
      <c r="E2359" s="219" t="s">
        <v>1980</v>
      </c>
      <c r="F2359" s="455">
        <f t="shared" si="1070"/>
        <v>18.23</v>
      </c>
      <c r="G2359" s="530">
        <v>18.23</v>
      </c>
      <c r="H2359" s="488">
        <f t="shared" si="1071"/>
        <v>14.58</v>
      </c>
      <c r="I2359" s="707"/>
      <c r="J2359" s="669" t="s">
        <v>5805</v>
      </c>
      <c r="K2359" s="15"/>
      <c r="L2359"/>
      <c r="M2359" s="49">
        <f t="shared" si="1072"/>
        <v>18.23</v>
      </c>
      <c r="N2359" s="41">
        <v>9.32</v>
      </c>
      <c r="O2359" s="54"/>
      <c r="P2359" s="15"/>
      <c r="Q2359"/>
      <c r="R2359"/>
      <c r="S2359" t="s">
        <v>4180</v>
      </c>
      <c r="T2359" s="178" t="s">
        <v>1017</v>
      </c>
      <c r="U2359" s="55"/>
      <c r="V2359" t="s">
        <v>1017</v>
      </c>
      <c r="W2359" s="65"/>
      <c r="X2359" s="65"/>
      <c r="Y2359"/>
      <c r="Z2359" s="65"/>
      <c r="AA2359"/>
      <c r="AB2359"/>
      <c r="AC2359" s="65"/>
      <c r="AD2359" s="92"/>
      <c r="AE2359" s="124"/>
      <c r="AF2359" s="65"/>
      <c r="AG2359" s="91"/>
      <c r="AH2359" s="217" t="s">
        <v>4179</v>
      </c>
      <c r="AI2359" s="214" t="str">
        <f t="shared" si="1094"/>
        <v/>
      </c>
      <c r="AJ2359" s="214" t="str">
        <f t="shared" si="1095"/>
        <v/>
      </c>
      <c r="AK2359" s="214" t="str">
        <f t="shared" si="1096"/>
        <v/>
      </c>
      <c r="AL2359" s="214" t="str">
        <f t="shared" si="1097"/>
        <v/>
      </c>
      <c r="AM2359" s="214" t="str">
        <f t="shared" si="1098"/>
        <v/>
      </c>
      <c r="AN2359" s="213" t="str">
        <f t="shared" si="1081"/>
        <v>2012</v>
      </c>
      <c r="AO2359" s="213" t="str">
        <f t="shared" si="1082"/>
        <v>2012</v>
      </c>
      <c r="AP2359" s="213" t="str">
        <f t="shared" si="1083"/>
        <v>2012</v>
      </c>
      <c r="AQ2359" s="215" t="str">
        <f t="shared" si="1084"/>
        <v/>
      </c>
      <c r="AR2359" s="216" t="str">
        <f t="shared" si="1085"/>
        <v>BiK82a1K12--08</v>
      </c>
      <c r="AS2359" s="215" t="str">
        <f t="shared" si="1086"/>
        <v/>
      </c>
      <c r="AT2359">
        <f t="shared" si="1087"/>
        <v>14</v>
      </c>
      <c r="AU2359" s="216" t="str">
        <f t="shared" si="1088"/>
        <v>0,15-0,5 MW, Bonusregeln a1 und K erstmals 2012</v>
      </c>
      <c r="AV2359" s="215" t="str">
        <f t="shared" si="1089"/>
        <v/>
      </c>
      <c r="AW2359" s="216" t="str">
        <f t="shared" si="1090"/>
        <v>Anteil KWK, erstmals 2012</v>
      </c>
      <c r="AX2359" s="215" t="str">
        <f t="shared" si="1091"/>
        <v/>
      </c>
      <c r="AY2359" t="str">
        <f t="shared" si="1092"/>
        <v/>
      </c>
      <c r="AZ2359" t="str">
        <f t="shared" si="1093"/>
        <v>x</v>
      </c>
    </row>
    <row r="2360" spans="1:52" x14ac:dyDescent="0.25">
      <c r="A2360" s="610" t="s">
        <v>4083</v>
      </c>
      <c r="B2360" s="17" t="s">
        <v>5548</v>
      </c>
      <c r="C2360" s="17" t="s">
        <v>5540</v>
      </c>
      <c r="D2360" s="30" t="s">
        <v>7111</v>
      </c>
      <c r="E2360" s="17" t="s">
        <v>4810</v>
      </c>
      <c r="F2360" s="454">
        <f t="shared" si="1070"/>
        <v>16.32</v>
      </c>
      <c r="G2360" s="529">
        <v>16.32</v>
      </c>
      <c r="H2360" s="487">
        <f t="shared" si="1071"/>
        <v>13.06</v>
      </c>
      <c r="I2360" s="706"/>
      <c r="J2360" s="669" t="s">
        <v>5805</v>
      </c>
      <c r="K2360" s="15"/>
      <c r="M2360" s="49">
        <f t="shared" si="1072"/>
        <v>16.32</v>
      </c>
      <c r="N2360" s="41">
        <v>9.32</v>
      </c>
      <c r="O2360" s="54"/>
      <c r="P2360" s="15"/>
      <c r="S2360" t="s">
        <v>4180</v>
      </c>
      <c r="T2360" t="s">
        <v>4180</v>
      </c>
      <c r="U2360" s="55" t="s">
        <v>1017</v>
      </c>
      <c r="V2360" t="s">
        <v>1017</v>
      </c>
      <c r="W2360" s="65"/>
      <c r="X2360" s="65"/>
      <c r="Z2360" s="65"/>
      <c r="AC2360" s="65"/>
      <c r="AD2360" s="92"/>
      <c r="AE2360" s="124"/>
      <c r="AF2360" s="65"/>
      <c r="AG2360" s="91"/>
      <c r="AH2360" s="212" t="str">
        <f t="shared" ref="AH2360:AH2365" si="1099">IF(ISERROR(SEARCH("K erstmals 201",D2360)),"",RIGHT(D2360,4))</f>
        <v/>
      </c>
      <c r="AI2360" s="214" t="str">
        <f t="shared" si="1094"/>
        <v/>
      </c>
      <c r="AJ2360" s="214" t="str">
        <f t="shared" si="1095"/>
        <v/>
      </c>
      <c r="AK2360" s="214" t="str">
        <f t="shared" si="1096"/>
        <v/>
      </c>
      <c r="AL2360" s="214" t="str">
        <f t="shared" si="1097"/>
        <v/>
      </c>
      <c r="AM2360" s="214" t="str">
        <f t="shared" si="1098"/>
        <v/>
      </c>
      <c r="AN2360" s="213" t="str">
        <f t="shared" si="1081"/>
        <v/>
      </c>
      <c r="AO2360" s="213" t="str">
        <f t="shared" si="1082"/>
        <v/>
      </c>
      <c r="AP2360" s="213" t="str">
        <f t="shared" si="1083"/>
        <v/>
      </c>
      <c r="AQ2360" s="215" t="str">
        <f t="shared" si="1084"/>
        <v/>
      </c>
      <c r="AR2360" s="216" t="str">
        <f t="shared" si="1085"/>
        <v>BiK82a1y----08</v>
      </c>
      <c r="AS2360" s="215" t="str">
        <f t="shared" si="1086"/>
        <v/>
      </c>
      <c r="AT2360">
        <f t="shared" si="1087"/>
        <v>14</v>
      </c>
      <c r="AU2360" s="216" t="str">
        <f t="shared" si="1088"/>
        <v>0,15-0,5 MW, Bonusregeln a1, y</v>
      </c>
      <c r="AV2360" s="215" t="str">
        <f t="shared" si="1089"/>
        <v/>
      </c>
      <c r="AW2360" s="216" t="str">
        <f t="shared" si="1090"/>
        <v>Anteil Nicht-KWK</v>
      </c>
      <c r="AX2360" s="215" t="str">
        <f t="shared" si="1091"/>
        <v/>
      </c>
      <c r="AY2360" t="str">
        <f t="shared" si="1092"/>
        <v/>
      </c>
      <c r="AZ2360" t="str">
        <f t="shared" si="1093"/>
        <v/>
      </c>
    </row>
    <row r="2361" spans="1:52" x14ac:dyDescent="0.25">
      <c r="A2361" s="610" t="s">
        <v>4084</v>
      </c>
      <c r="B2361" s="17" t="s">
        <v>5548</v>
      </c>
      <c r="C2361" s="17" t="s">
        <v>5540</v>
      </c>
      <c r="D2361" s="30" t="s">
        <v>7112</v>
      </c>
      <c r="E2361" s="17" t="s">
        <v>4812</v>
      </c>
      <c r="F2361" s="454">
        <f t="shared" si="1070"/>
        <v>18.32</v>
      </c>
      <c r="G2361" s="529">
        <v>18.32</v>
      </c>
      <c r="H2361" s="487">
        <f t="shared" si="1071"/>
        <v>14.66</v>
      </c>
      <c r="I2361" s="706"/>
      <c r="J2361" s="669" t="s">
        <v>5805</v>
      </c>
      <c r="K2361" s="15"/>
      <c r="M2361" s="49">
        <f t="shared" si="1072"/>
        <v>18.32</v>
      </c>
      <c r="N2361" s="41">
        <v>9.32</v>
      </c>
      <c r="O2361" s="54" t="s">
        <v>1017</v>
      </c>
      <c r="P2361" s="15"/>
      <c r="S2361" t="s">
        <v>4180</v>
      </c>
      <c r="T2361" t="s">
        <v>4180</v>
      </c>
      <c r="U2361" s="55" t="s">
        <v>1017</v>
      </c>
      <c r="V2361" t="s">
        <v>1017</v>
      </c>
      <c r="W2361" s="65"/>
      <c r="X2361" s="65"/>
      <c r="Z2361" s="65"/>
      <c r="AC2361" s="65"/>
      <c r="AD2361" s="92"/>
      <c r="AE2361" s="124"/>
      <c r="AF2361" s="65"/>
      <c r="AG2361" s="91"/>
      <c r="AH2361" s="212" t="str">
        <f t="shared" si="1099"/>
        <v/>
      </c>
      <c r="AI2361" s="214" t="str">
        <f t="shared" si="1094"/>
        <v/>
      </c>
      <c r="AJ2361" s="214" t="str">
        <f t="shared" si="1095"/>
        <v/>
      </c>
      <c r="AK2361" s="214" t="str">
        <f t="shared" si="1096"/>
        <v/>
      </c>
      <c r="AL2361" s="214" t="str">
        <f t="shared" si="1097"/>
        <v/>
      </c>
      <c r="AM2361" s="214" t="str">
        <f t="shared" si="1098"/>
        <v/>
      </c>
      <c r="AN2361" s="213" t="str">
        <f t="shared" si="1081"/>
        <v/>
      </c>
      <c r="AO2361" s="213" t="str">
        <f t="shared" si="1082"/>
        <v/>
      </c>
      <c r="AP2361" s="213" t="str">
        <f t="shared" si="1083"/>
        <v/>
      </c>
      <c r="AQ2361" s="215" t="str">
        <f t="shared" si="1084"/>
        <v/>
      </c>
      <c r="AR2361" s="216" t="str">
        <f t="shared" si="1085"/>
        <v>BiK82a1KWKy-08</v>
      </c>
      <c r="AS2361" s="215" t="str">
        <f t="shared" si="1086"/>
        <v/>
      </c>
      <c r="AT2361">
        <f t="shared" si="1087"/>
        <v>14</v>
      </c>
      <c r="AU2361" s="216" t="str">
        <f t="shared" si="1088"/>
        <v>0,15-0,5 MW, Bonusregeln a1, y und KWK</v>
      </c>
      <c r="AV2361" s="215" t="str">
        <f t="shared" si="1089"/>
        <v/>
      </c>
      <c r="AW2361" s="216" t="str">
        <f t="shared" si="1090"/>
        <v>Anteil KWK</v>
      </c>
      <c r="AX2361" s="215" t="str">
        <f t="shared" si="1091"/>
        <v/>
      </c>
      <c r="AY2361" t="str">
        <f t="shared" si="1092"/>
        <v/>
      </c>
      <c r="AZ2361" t="str">
        <f t="shared" si="1093"/>
        <v/>
      </c>
    </row>
    <row r="2362" spans="1:52" x14ac:dyDescent="0.25">
      <c r="A2362" s="610" t="s">
        <v>4085</v>
      </c>
      <c r="B2362" s="17" t="s">
        <v>5548</v>
      </c>
      <c r="C2362" s="30" t="s">
        <v>5540</v>
      </c>
      <c r="D2362" s="30" t="s">
        <v>7113</v>
      </c>
      <c r="E2362" s="30" t="s">
        <v>4331</v>
      </c>
      <c r="F2362" s="454">
        <f t="shared" si="1070"/>
        <v>19.32</v>
      </c>
      <c r="G2362" s="529">
        <v>19.32</v>
      </c>
      <c r="H2362" s="487">
        <f t="shared" si="1071"/>
        <v>15.46</v>
      </c>
      <c r="I2362" s="706"/>
      <c r="J2362" s="669" t="s">
        <v>5805</v>
      </c>
      <c r="K2362" s="15"/>
      <c r="M2362" s="49">
        <f t="shared" si="1072"/>
        <v>19.32</v>
      </c>
      <c r="N2362" s="41">
        <v>9.32</v>
      </c>
      <c r="O2362" s="54"/>
      <c r="P2362" t="s">
        <v>1017</v>
      </c>
      <c r="S2362" t="s">
        <v>4180</v>
      </c>
      <c r="T2362" t="s">
        <v>4180</v>
      </c>
      <c r="U2362" s="55" t="s">
        <v>1017</v>
      </c>
      <c r="V2362" t="s">
        <v>1017</v>
      </c>
      <c r="W2362" s="65"/>
      <c r="X2362" s="65"/>
      <c r="Z2362" s="65"/>
      <c r="AC2362" s="65"/>
      <c r="AD2362" s="92"/>
      <c r="AE2362" s="124"/>
      <c r="AF2362" s="65"/>
      <c r="AG2362" s="91"/>
      <c r="AH2362" s="212" t="str">
        <f t="shared" si="1099"/>
        <v/>
      </c>
      <c r="AI2362" s="214" t="str">
        <f t="shared" si="1094"/>
        <v/>
      </c>
      <c r="AJ2362" s="214" t="str">
        <f t="shared" si="1095"/>
        <v/>
      </c>
      <c r="AK2362" s="214" t="str">
        <f t="shared" si="1096"/>
        <v/>
      </c>
      <c r="AL2362" s="214" t="str">
        <f t="shared" si="1097"/>
        <v/>
      </c>
      <c r="AM2362" s="214" t="str">
        <f t="shared" si="1098"/>
        <v/>
      </c>
      <c r="AN2362" s="213" t="str">
        <f t="shared" si="1081"/>
        <v/>
      </c>
      <c r="AO2362" s="213" t="str">
        <f t="shared" si="1082"/>
        <v/>
      </c>
      <c r="AP2362" s="213" t="str">
        <f t="shared" si="1083"/>
        <v/>
      </c>
      <c r="AQ2362" s="215" t="str">
        <f t="shared" si="1084"/>
        <v/>
      </c>
      <c r="AR2362" s="216" t="str">
        <f t="shared" si="1085"/>
        <v>BiK82a1KA3y-08</v>
      </c>
      <c r="AS2362" s="215" t="str">
        <f t="shared" si="1086"/>
        <v/>
      </c>
      <c r="AT2362">
        <f t="shared" si="1087"/>
        <v>14</v>
      </c>
      <c r="AU2362" s="216" t="str">
        <f t="shared" si="1088"/>
        <v>0,15-0,5 MW, Bonusregeln a1, y und K wenn Anlage 3 erfüllt</v>
      </c>
      <c r="AV2362" s="215" t="str">
        <f t="shared" si="1089"/>
        <v/>
      </c>
      <c r="AW2362" s="216" t="str">
        <f t="shared" si="1090"/>
        <v>Anteil KWK gemäß Anlage 3</v>
      </c>
      <c r="AX2362" s="215" t="str">
        <f t="shared" si="1091"/>
        <v/>
      </c>
      <c r="AY2362" t="str">
        <f t="shared" si="1092"/>
        <v/>
      </c>
      <c r="AZ2362" t="str">
        <f t="shared" si="1093"/>
        <v/>
      </c>
    </row>
    <row r="2363" spans="1:52" x14ac:dyDescent="0.25">
      <c r="A2363" s="610" t="s">
        <v>4086</v>
      </c>
      <c r="B2363" s="17" t="s">
        <v>5548</v>
      </c>
      <c r="C2363" s="17" t="s">
        <v>5540</v>
      </c>
      <c r="D2363" s="30" t="s">
        <v>7114</v>
      </c>
      <c r="E2363" s="17" t="s">
        <v>674</v>
      </c>
      <c r="F2363" s="454">
        <f t="shared" ref="F2363:F2426" si="1100">M2363</f>
        <v>19.32</v>
      </c>
      <c r="G2363" s="529">
        <v>19.32</v>
      </c>
      <c r="H2363" s="487">
        <f t="shared" ref="H2363:H2426" si="1101">IF(ISNUMBER(G2363),ROUND(0.8*G2363,2),"")</f>
        <v>15.46</v>
      </c>
      <c r="I2363" s="706"/>
      <c r="J2363" s="669" t="s">
        <v>5805</v>
      </c>
      <c r="K2363" s="15"/>
      <c r="M2363" s="49">
        <f t="shared" ref="M2363:M2426" si="1102">N2363+SUMIF(O2363:AG2363,"x",O$2170:AG$2170)</f>
        <v>19.32</v>
      </c>
      <c r="N2363" s="41">
        <v>9.32</v>
      </c>
      <c r="O2363" s="54"/>
      <c r="P2363" s="15"/>
      <c r="Q2363" t="s">
        <v>1017</v>
      </c>
      <c r="S2363" t="s">
        <v>4180</v>
      </c>
      <c r="T2363" t="s">
        <v>4180</v>
      </c>
      <c r="U2363" s="55" t="s">
        <v>1017</v>
      </c>
      <c r="V2363" t="s">
        <v>1017</v>
      </c>
      <c r="W2363" s="65"/>
      <c r="X2363" s="65"/>
      <c r="Z2363" s="65"/>
      <c r="AC2363" s="65"/>
      <c r="AD2363" s="92"/>
      <c r="AE2363" s="124"/>
      <c r="AF2363" s="65"/>
      <c r="AG2363" s="91"/>
      <c r="AH2363" s="212" t="str">
        <f t="shared" si="1099"/>
        <v/>
      </c>
      <c r="AI2363" s="214" t="str">
        <f t="shared" si="1094"/>
        <v/>
      </c>
      <c r="AJ2363" s="214" t="str">
        <f t="shared" si="1095"/>
        <v/>
      </c>
      <c r="AK2363" s="214" t="str">
        <f t="shared" si="1096"/>
        <v/>
      </c>
      <c r="AL2363" s="214" t="str">
        <f t="shared" si="1097"/>
        <v/>
      </c>
      <c r="AM2363" s="214" t="str">
        <f t="shared" si="1098"/>
        <v/>
      </c>
      <c r="AN2363" s="213" t="str">
        <f t="shared" si="1081"/>
        <v/>
      </c>
      <c r="AO2363" s="213" t="str">
        <f t="shared" si="1082"/>
        <v/>
      </c>
      <c r="AP2363" s="213" t="str">
        <f t="shared" si="1083"/>
        <v/>
      </c>
      <c r="AQ2363" s="215" t="str">
        <f t="shared" si="1084"/>
        <v/>
      </c>
      <c r="AR2363" s="216" t="str">
        <f t="shared" si="1085"/>
        <v>BiK82a1K09y-08</v>
      </c>
      <c r="AS2363" s="215" t="str">
        <f t="shared" si="1086"/>
        <v/>
      </c>
      <c r="AT2363">
        <f t="shared" si="1087"/>
        <v>14</v>
      </c>
      <c r="AU2363" s="216" t="str">
        <f t="shared" si="1088"/>
        <v>0,15-0,5 MW, Bonusregeln a1, y und K erstmals 2009</v>
      </c>
      <c r="AV2363" s="215" t="str">
        <f t="shared" si="1089"/>
        <v/>
      </c>
      <c r="AW2363" s="216" t="str">
        <f t="shared" si="1090"/>
        <v>Anteil KWK, erstmals 2009</v>
      </c>
      <c r="AX2363" s="215" t="str">
        <f t="shared" si="1091"/>
        <v/>
      </c>
      <c r="AY2363" t="str">
        <f t="shared" si="1092"/>
        <v/>
      </c>
      <c r="AZ2363" t="str">
        <f t="shared" si="1093"/>
        <v/>
      </c>
    </row>
    <row r="2364" spans="1:52" x14ac:dyDescent="0.25">
      <c r="A2364" s="610" t="s">
        <v>3185</v>
      </c>
      <c r="B2364" s="17" t="s">
        <v>5548</v>
      </c>
      <c r="C2364" s="17" t="s">
        <v>5540</v>
      </c>
      <c r="D2364" s="30" t="s">
        <v>7115</v>
      </c>
      <c r="E2364" s="30" t="s">
        <v>3567</v>
      </c>
      <c r="F2364" s="454">
        <f t="shared" si="1100"/>
        <v>19.29</v>
      </c>
      <c r="G2364" s="529">
        <v>19.29</v>
      </c>
      <c r="H2364" s="487">
        <f t="shared" si="1101"/>
        <v>15.43</v>
      </c>
      <c r="I2364" s="706"/>
      <c r="J2364" s="669" t="s">
        <v>5805</v>
      </c>
      <c r="K2364" s="15"/>
      <c r="M2364" s="49">
        <f t="shared" si="1102"/>
        <v>19.29</v>
      </c>
      <c r="N2364" s="41">
        <v>9.32</v>
      </c>
      <c r="O2364" s="54"/>
      <c r="P2364" s="15"/>
      <c r="R2364" t="s">
        <v>1017</v>
      </c>
      <c r="S2364" t="s">
        <v>4180</v>
      </c>
      <c r="T2364" t="s">
        <v>4180</v>
      </c>
      <c r="U2364" s="55" t="s">
        <v>1017</v>
      </c>
      <c r="V2364" t="s">
        <v>1017</v>
      </c>
      <c r="W2364" s="65"/>
      <c r="X2364" s="65"/>
      <c r="Z2364" s="65"/>
      <c r="AC2364" s="65"/>
      <c r="AD2364" s="92"/>
      <c r="AE2364" s="124"/>
      <c r="AF2364" s="65"/>
      <c r="AG2364" s="91"/>
      <c r="AH2364" s="212" t="str">
        <f t="shared" si="1099"/>
        <v>2010</v>
      </c>
      <c r="AI2364" s="214" t="str">
        <f t="shared" si="1094"/>
        <v/>
      </c>
      <c r="AJ2364" s="214" t="str">
        <f t="shared" si="1095"/>
        <v/>
      </c>
      <c r="AK2364" s="214" t="str">
        <f t="shared" si="1096"/>
        <v/>
      </c>
      <c r="AL2364" s="214" t="str">
        <f t="shared" si="1097"/>
        <v/>
      </c>
      <c r="AM2364" s="214" t="str">
        <f t="shared" si="1098"/>
        <v/>
      </c>
      <c r="AN2364" s="213" t="str">
        <f t="shared" si="1081"/>
        <v>2010</v>
      </c>
      <c r="AO2364" s="213" t="str">
        <f t="shared" si="1082"/>
        <v>2010</v>
      </c>
      <c r="AP2364" s="213" t="str">
        <f t="shared" si="1083"/>
        <v>2010</v>
      </c>
      <c r="AQ2364" s="215" t="str">
        <f t="shared" si="1084"/>
        <v/>
      </c>
      <c r="AR2364" s="216" t="str">
        <f t="shared" si="1085"/>
        <v>BiK82a1K10y-08</v>
      </c>
      <c r="AS2364" s="215" t="str">
        <f t="shared" si="1086"/>
        <v/>
      </c>
      <c r="AT2364">
        <f t="shared" si="1087"/>
        <v>14</v>
      </c>
      <c r="AU2364" s="216" t="str">
        <f t="shared" si="1088"/>
        <v>0,15-0,5 MW, Bonusregeln a1, y und K erstmals 2010</v>
      </c>
      <c r="AV2364" s="215" t="str">
        <f t="shared" si="1089"/>
        <v/>
      </c>
      <c r="AW2364" s="216" t="str">
        <f t="shared" si="1090"/>
        <v>Anteil KWK, erstmals 2010</v>
      </c>
      <c r="AX2364" s="215" t="str">
        <f t="shared" si="1091"/>
        <v/>
      </c>
      <c r="AY2364" t="str">
        <f t="shared" si="1092"/>
        <v/>
      </c>
      <c r="AZ2364" t="str">
        <f t="shared" si="1093"/>
        <v/>
      </c>
    </row>
    <row r="2365" spans="1:52" x14ac:dyDescent="0.25">
      <c r="A2365" s="610" t="s">
        <v>3461</v>
      </c>
      <c r="B2365" s="17" t="s">
        <v>5548</v>
      </c>
      <c r="C2365" s="17" t="s">
        <v>5540</v>
      </c>
      <c r="D2365" s="30" t="s">
        <v>7116</v>
      </c>
      <c r="E2365" s="30" t="s">
        <v>3055</v>
      </c>
      <c r="F2365" s="454">
        <f t="shared" si="1100"/>
        <v>19.259999999999998</v>
      </c>
      <c r="G2365" s="529">
        <v>19.259999999999998</v>
      </c>
      <c r="H2365" s="487">
        <f t="shared" si="1101"/>
        <v>15.41</v>
      </c>
      <c r="I2365" s="706"/>
      <c r="J2365" s="669" t="s">
        <v>5805</v>
      </c>
      <c r="K2365" s="15"/>
      <c r="M2365" s="49">
        <f t="shared" si="1102"/>
        <v>19.259999999999998</v>
      </c>
      <c r="N2365" s="41">
        <v>9.32</v>
      </c>
      <c r="O2365" s="54"/>
      <c r="P2365" s="15"/>
      <c r="S2365" t="s">
        <v>1017</v>
      </c>
      <c r="T2365" t="s">
        <v>4180</v>
      </c>
      <c r="U2365" s="55" t="s">
        <v>1017</v>
      </c>
      <c r="V2365" t="s">
        <v>1017</v>
      </c>
      <c r="W2365" s="65"/>
      <c r="X2365" s="65"/>
      <c r="Z2365" s="65"/>
      <c r="AC2365" s="65"/>
      <c r="AD2365" s="92"/>
      <c r="AE2365" s="124"/>
      <c r="AF2365" s="65"/>
      <c r="AG2365" s="91"/>
      <c r="AH2365" s="212" t="str">
        <f t="shared" si="1099"/>
        <v>2011</v>
      </c>
      <c r="AI2365" s="214" t="str">
        <f t="shared" si="1094"/>
        <v/>
      </c>
      <c r="AJ2365" s="214" t="str">
        <f t="shared" si="1095"/>
        <v/>
      </c>
      <c r="AK2365" s="214" t="str">
        <f t="shared" si="1096"/>
        <v/>
      </c>
      <c r="AL2365" s="214" t="str">
        <f t="shared" si="1097"/>
        <v/>
      </c>
      <c r="AM2365" s="214" t="str">
        <f t="shared" si="1098"/>
        <v/>
      </c>
      <c r="AN2365" s="213" t="str">
        <f t="shared" si="1081"/>
        <v>2011</v>
      </c>
      <c r="AO2365" s="213" t="str">
        <f t="shared" si="1082"/>
        <v>2011</v>
      </c>
      <c r="AP2365" s="213" t="str">
        <f t="shared" si="1083"/>
        <v>2011</v>
      </c>
      <c r="AQ2365" s="215" t="str">
        <f t="shared" si="1084"/>
        <v/>
      </c>
      <c r="AR2365" s="216" t="str">
        <f t="shared" si="1085"/>
        <v>BiK82a1K11y-08</v>
      </c>
      <c r="AS2365" s="215" t="str">
        <f t="shared" si="1086"/>
        <v/>
      </c>
      <c r="AT2365">
        <f t="shared" si="1087"/>
        <v>14</v>
      </c>
      <c r="AU2365" s="216" t="str">
        <f t="shared" si="1088"/>
        <v>0,15-0,5 MW, Bonusregeln a1, y und K erstmals 2011</v>
      </c>
      <c r="AV2365" s="215" t="str">
        <f t="shared" si="1089"/>
        <v/>
      </c>
      <c r="AW2365" s="216" t="str">
        <f t="shared" si="1090"/>
        <v>Anteil KWK, erstmals 2011</v>
      </c>
      <c r="AX2365" s="215" t="str">
        <f t="shared" si="1091"/>
        <v/>
      </c>
      <c r="AY2365" t="str">
        <f t="shared" si="1092"/>
        <v>x</v>
      </c>
      <c r="AZ2365" t="str">
        <f t="shared" si="1093"/>
        <v/>
      </c>
    </row>
    <row r="2366" spans="1:52" x14ac:dyDescent="0.25">
      <c r="A2366" s="625" t="s">
        <v>1893</v>
      </c>
      <c r="B2366" s="221" t="s">
        <v>5548</v>
      </c>
      <c r="C2366" s="221" t="s">
        <v>5540</v>
      </c>
      <c r="D2366" s="219" t="s">
        <v>7117</v>
      </c>
      <c r="E2366" s="219" t="s">
        <v>1980</v>
      </c>
      <c r="F2366" s="455">
        <f t="shared" si="1100"/>
        <v>19.23</v>
      </c>
      <c r="G2366" s="530">
        <v>19.23</v>
      </c>
      <c r="H2366" s="488">
        <f t="shared" si="1101"/>
        <v>15.38</v>
      </c>
      <c r="I2366" s="707"/>
      <c r="J2366" s="669" t="s">
        <v>5805</v>
      </c>
      <c r="K2366" s="15"/>
      <c r="M2366" s="49">
        <f t="shared" si="1102"/>
        <v>19.23</v>
      </c>
      <c r="N2366" s="41">
        <v>9.32</v>
      </c>
      <c r="O2366" s="54"/>
      <c r="P2366" s="15"/>
      <c r="S2366" t="s">
        <v>4180</v>
      </c>
      <c r="T2366" t="s">
        <v>1017</v>
      </c>
      <c r="U2366" s="55" t="s">
        <v>1017</v>
      </c>
      <c r="V2366" t="s">
        <v>1017</v>
      </c>
      <c r="W2366" s="65"/>
      <c r="X2366" s="65"/>
      <c r="Z2366" s="65"/>
      <c r="AC2366" s="65"/>
      <c r="AD2366" s="92"/>
      <c r="AE2366" s="124"/>
      <c r="AF2366" s="65"/>
      <c r="AG2366" s="91"/>
      <c r="AH2366" s="217" t="s">
        <v>4179</v>
      </c>
      <c r="AI2366" s="214" t="str">
        <f t="shared" si="1094"/>
        <v/>
      </c>
      <c r="AJ2366" s="214" t="str">
        <f t="shared" si="1095"/>
        <v/>
      </c>
      <c r="AK2366" s="214" t="str">
        <f t="shared" si="1096"/>
        <v/>
      </c>
      <c r="AL2366" s="214" t="str">
        <f t="shared" si="1097"/>
        <v/>
      </c>
      <c r="AM2366" s="214" t="str">
        <f t="shared" si="1098"/>
        <v/>
      </c>
      <c r="AN2366" s="213" t="str">
        <f t="shared" si="1081"/>
        <v>2012</v>
      </c>
      <c r="AO2366" s="213" t="str">
        <f t="shared" si="1082"/>
        <v>2012</v>
      </c>
      <c r="AP2366" s="213" t="str">
        <f t="shared" si="1083"/>
        <v>2012</v>
      </c>
      <c r="AQ2366" s="215" t="str">
        <f t="shared" si="1084"/>
        <v/>
      </c>
      <c r="AR2366" s="216" t="str">
        <f t="shared" si="1085"/>
        <v>BiK82a1K12y-08</v>
      </c>
      <c r="AS2366" s="215" t="str">
        <f t="shared" si="1086"/>
        <v/>
      </c>
      <c r="AT2366">
        <f t="shared" si="1087"/>
        <v>14</v>
      </c>
      <c r="AU2366" s="216" t="str">
        <f t="shared" si="1088"/>
        <v>0,15-0,5 MW, Bonusregeln a1, y und K erstmals 2012</v>
      </c>
      <c r="AV2366" s="215" t="str">
        <f t="shared" si="1089"/>
        <v/>
      </c>
      <c r="AW2366" s="216" t="str">
        <f t="shared" si="1090"/>
        <v>Anteil KWK, erstmals 2012</v>
      </c>
      <c r="AX2366" s="215" t="str">
        <f t="shared" si="1091"/>
        <v/>
      </c>
      <c r="AY2366" t="str">
        <f t="shared" si="1092"/>
        <v/>
      </c>
      <c r="AZ2366" t="str">
        <f t="shared" si="1093"/>
        <v>x</v>
      </c>
    </row>
    <row r="2367" spans="1:52" x14ac:dyDescent="0.25">
      <c r="A2367" s="610" t="s">
        <v>4046</v>
      </c>
      <c r="B2367" s="30" t="s">
        <v>5548</v>
      </c>
      <c r="C2367" s="30" t="s">
        <v>5540</v>
      </c>
      <c r="D2367" s="30" t="s">
        <v>7034</v>
      </c>
      <c r="E2367" s="30" t="s">
        <v>4810</v>
      </c>
      <c r="F2367" s="454">
        <f t="shared" si="1100"/>
        <v>16.32</v>
      </c>
      <c r="G2367" s="529">
        <v>16.32</v>
      </c>
      <c r="H2367" s="487">
        <f t="shared" si="1101"/>
        <v>13.06</v>
      </c>
      <c r="I2367" s="706"/>
      <c r="J2367" s="669" t="s">
        <v>5805</v>
      </c>
      <c r="K2367" s="15"/>
      <c r="M2367" s="49">
        <f t="shared" si="1102"/>
        <v>16.32</v>
      </c>
      <c r="N2367" s="41">
        <v>9.32</v>
      </c>
      <c r="O2367" s="186"/>
      <c r="P2367" s="177"/>
      <c r="Q2367" s="178"/>
      <c r="R2367" s="178"/>
      <c r="S2367" s="178" t="s">
        <v>4180</v>
      </c>
      <c r="T2367" t="s">
        <v>4180</v>
      </c>
      <c r="U2367" s="179"/>
      <c r="V2367" s="178"/>
      <c r="W2367" s="180"/>
      <c r="X2367" s="180"/>
      <c r="Y2367" s="178" t="s">
        <v>1017</v>
      </c>
      <c r="Z2367" s="180"/>
      <c r="AA2367" s="178"/>
      <c r="AB2367" s="178"/>
      <c r="AC2367" s="180"/>
      <c r="AD2367" s="182"/>
      <c r="AE2367" s="200"/>
      <c r="AF2367" s="180"/>
      <c r="AG2367" s="201"/>
      <c r="AH2367" s="212" t="str">
        <f t="shared" ref="AH2367:AH2372" si="1103">IF(ISERROR(SEARCH("K erstmals 201",D2367)),"",RIGHT(D2367,4))</f>
        <v/>
      </c>
      <c r="AI2367" s="214" t="str">
        <f t="shared" si="1094"/>
        <v/>
      </c>
      <c r="AJ2367" s="214" t="str">
        <f t="shared" si="1095"/>
        <v/>
      </c>
      <c r="AK2367" s="214" t="str">
        <f t="shared" si="1096"/>
        <v/>
      </c>
      <c r="AL2367" s="214" t="str">
        <f t="shared" si="1097"/>
        <v/>
      </c>
      <c r="AM2367" s="214" t="str">
        <f t="shared" si="1098"/>
        <v/>
      </c>
      <c r="AN2367" s="213" t="str">
        <f t="shared" si="1081"/>
        <v/>
      </c>
      <c r="AO2367" s="213" t="str">
        <f t="shared" si="1082"/>
        <v/>
      </c>
      <c r="AP2367" s="213" t="str">
        <f t="shared" si="1083"/>
        <v/>
      </c>
      <c r="AQ2367" s="215" t="str">
        <f t="shared" si="1084"/>
        <v/>
      </c>
      <c r="AR2367" s="216" t="str">
        <f t="shared" si="1085"/>
        <v>BiK82G------08</v>
      </c>
      <c r="AS2367" s="215" t="str">
        <f t="shared" si="1086"/>
        <v/>
      </c>
      <c r="AT2367">
        <f t="shared" si="1087"/>
        <v>14</v>
      </c>
      <c r="AU2367" s="216" t="str">
        <f t="shared" si="1088"/>
        <v>0,15-0,5 MW, Bonusregel G</v>
      </c>
      <c r="AV2367" s="215" t="str">
        <f t="shared" si="1089"/>
        <v/>
      </c>
      <c r="AW2367" s="216" t="str">
        <f t="shared" si="1090"/>
        <v>Anteil Nicht-KWK</v>
      </c>
      <c r="AX2367" s="215" t="str">
        <f t="shared" si="1091"/>
        <v/>
      </c>
      <c r="AY2367" t="str">
        <f t="shared" si="1092"/>
        <v/>
      </c>
      <c r="AZ2367" t="str">
        <f t="shared" si="1093"/>
        <v/>
      </c>
    </row>
    <row r="2368" spans="1:52" x14ac:dyDescent="0.25">
      <c r="A2368" s="610" t="s">
        <v>4047</v>
      </c>
      <c r="B2368" s="30" t="s">
        <v>5548</v>
      </c>
      <c r="C2368" s="30" t="s">
        <v>5540</v>
      </c>
      <c r="D2368" s="30" t="s">
        <v>7118</v>
      </c>
      <c r="E2368" s="30" t="s">
        <v>4812</v>
      </c>
      <c r="F2368" s="454">
        <f t="shared" si="1100"/>
        <v>18.32</v>
      </c>
      <c r="G2368" s="529">
        <v>18.32</v>
      </c>
      <c r="H2368" s="487">
        <f t="shared" si="1101"/>
        <v>14.66</v>
      </c>
      <c r="I2368" s="706"/>
      <c r="J2368" s="669" t="s">
        <v>5805</v>
      </c>
      <c r="K2368" s="15"/>
      <c r="M2368" s="49">
        <f t="shared" si="1102"/>
        <v>18.32</v>
      </c>
      <c r="N2368" s="41">
        <v>9.32</v>
      </c>
      <c r="O2368" s="186" t="s">
        <v>1017</v>
      </c>
      <c r="P2368" s="177"/>
      <c r="Q2368" s="178"/>
      <c r="R2368" s="178"/>
      <c r="S2368" s="178" t="s">
        <v>4180</v>
      </c>
      <c r="T2368" t="s">
        <v>4180</v>
      </c>
      <c r="U2368" s="179"/>
      <c r="V2368" s="178"/>
      <c r="W2368" s="180"/>
      <c r="X2368" s="180"/>
      <c r="Y2368" s="178" t="s">
        <v>1017</v>
      </c>
      <c r="Z2368" s="180"/>
      <c r="AA2368" s="178"/>
      <c r="AB2368" s="178"/>
      <c r="AC2368" s="180"/>
      <c r="AD2368" s="182"/>
      <c r="AE2368" s="200"/>
      <c r="AF2368" s="180"/>
      <c r="AG2368" s="201"/>
      <c r="AH2368" s="212" t="str">
        <f t="shared" si="1103"/>
        <v/>
      </c>
      <c r="AI2368" s="214" t="str">
        <f t="shared" si="1094"/>
        <v/>
      </c>
      <c r="AJ2368" s="214" t="str">
        <f t="shared" si="1095"/>
        <v/>
      </c>
      <c r="AK2368" s="214" t="str">
        <f t="shared" si="1096"/>
        <v/>
      </c>
      <c r="AL2368" s="214" t="str">
        <f t="shared" si="1097"/>
        <v/>
      </c>
      <c r="AM2368" s="214" t="str">
        <f t="shared" si="1098"/>
        <v/>
      </c>
      <c r="AN2368" s="213" t="str">
        <f t="shared" si="1081"/>
        <v/>
      </c>
      <c r="AO2368" s="213" t="str">
        <f t="shared" si="1082"/>
        <v/>
      </c>
      <c r="AP2368" s="213" t="str">
        <f t="shared" si="1083"/>
        <v/>
      </c>
      <c r="AQ2368" s="215" t="str">
        <f t="shared" si="1084"/>
        <v/>
      </c>
      <c r="AR2368" s="216" t="str">
        <f t="shared" si="1085"/>
        <v>BiK82GKWK---08</v>
      </c>
      <c r="AS2368" s="215" t="str">
        <f t="shared" si="1086"/>
        <v/>
      </c>
      <c r="AT2368">
        <f t="shared" si="1087"/>
        <v>14</v>
      </c>
      <c r="AU2368" s="216" t="str">
        <f t="shared" si="1088"/>
        <v>0,15-0,5 MW, Bonusregeln G und KWK</v>
      </c>
      <c r="AV2368" s="215" t="str">
        <f t="shared" si="1089"/>
        <v/>
      </c>
      <c r="AW2368" s="216" t="str">
        <f t="shared" si="1090"/>
        <v>Anteil KWK</v>
      </c>
      <c r="AX2368" s="215" t="str">
        <f t="shared" si="1091"/>
        <v/>
      </c>
      <c r="AY2368" t="str">
        <f t="shared" si="1092"/>
        <v/>
      </c>
      <c r="AZ2368" t="str">
        <f t="shared" si="1093"/>
        <v/>
      </c>
    </row>
    <row r="2369" spans="1:52" x14ac:dyDescent="0.25">
      <c r="A2369" s="610" t="s">
        <v>4048</v>
      </c>
      <c r="B2369" s="30" t="s">
        <v>5548</v>
      </c>
      <c r="C2369" s="30" t="s">
        <v>5540</v>
      </c>
      <c r="D2369" s="30" t="s">
        <v>7035</v>
      </c>
      <c r="E2369" s="30" t="s">
        <v>4331</v>
      </c>
      <c r="F2369" s="454">
        <f t="shared" si="1100"/>
        <v>19.32</v>
      </c>
      <c r="G2369" s="529">
        <v>19.32</v>
      </c>
      <c r="H2369" s="487">
        <f t="shared" si="1101"/>
        <v>15.46</v>
      </c>
      <c r="I2369" s="706"/>
      <c r="J2369" s="669" t="s">
        <v>5805</v>
      </c>
      <c r="K2369" s="15"/>
      <c r="M2369" s="49">
        <f t="shared" si="1102"/>
        <v>19.32</v>
      </c>
      <c r="N2369" s="41">
        <v>9.32</v>
      </c>
      <c r="O2369" s="186"/>
      <c r="P2369" s="178" t="s">
        <v>1017</v>
      </c>
      <c r="Q2369" s="178"/>
      <c r="R2369" s="178"/>
      <c r="S2369" s="178" t="s">
        <v>4180</v>
      </c>
      <c r="T2369" t="s">
        <v>4180</v>
      </c>
      <c r="U2369" s="179"/>
      <c r="V2369" s="178"/>
      <c r="W2369" s="180"/>
      <c r="X2369" s="180"/>
      <c r="Y2369" s="178" t="s">
        <v>1017</v>
      </c>
      <c r="Z2369" s="180"/>
      <c r="AA2369" s="178"/>
      <c r="AB2369" s="178"/>
      <c r="AC2369" s="180"/>
      <c r="AD2369" s="182"/>
      <c r="AE2369" s="200"/>
      <c r="AF2369" s="180"/>
      <c r="AG2369" s="201"/>
      <c r="AH2369" s="212" t="str">
        <f t="shared" si="1103"/>
        <v/>
      </c>
      <c r="AI2369" s="214" t="str">
        <f t="shared" si="1094"/>
        <v/>
      </c>
      <c r="AJ2369" s="214" t="str">
        <f t="shared" si="1095"/>
        <v/>
      </c>
      <c r="AK2369" s="214" t="str">
        <f t="shared" si="1096"/>
        <v/>
      </c>
      <c r="AL2369" s="214" t="str">
        <f t="shared" si="1097"/>
        <v/>
      </c>
      <c r="AM2369" s="214" t="str">
        <f t="shared" si="1098"/>
        <v/>
      </c>
      <c r="AN2369" s="213" t="str">
        <f t="shared" si="1081"/>
        <v/>
      </c>
      <c r="AO2369" s="213" t="str">
        <f t="shared" si="1082"/>
        <v/>
      </c>
      <c r="AP2369" s="213" t="str">
        <f t="shared" si="1083"/>
        <v/>
      </c>
      <c r="AQ2369" s="215" t="str">
        <f t="shared" si="1084"/>
        <v/>
      </c>
      <c r="AR2369" s="216" t="str">
        <f t="shared" si="1085"/>
        <v>BiK82GKA3---08</v>
      </c>
      <c r="AS2369" s="215" t="str">
        <f t="shared" si="1086"/>
        <v/>
      </c>
      <c r="AT2369">
        <f t="shared" si="1087"/>
        <v>14</v>
      </c>
      <c r="AU2369" s="216" t="str">
        <f t="shared" si="1088"/>
        <v>0,15-0,5 MW, Bonusregeln G und K wenn Anlage 3 erfüllt</v>
      </c>
      <c r="AV2369" s="215" t="str">
        <f t="shared" si="1089"/>
        <v/>
      </c>
      <c r="AW2369" s="216" t="str">
        <f t="shared" si="1090"/>
        <v>Anteil KWK gemäß Anlage 3</v>
      </c>
      <c r="AX2369" s="215" t="str">
        <f t="shared" si="1091"/>
        <v/>
      </c>
      <c r="AY2369" t="str">
        <f t="shared" si="1092"/>
        <v/>
      </c>
      <c r="AZ2369" t="str">
        <f t="shared" si="1093"/>
        <v/>
      </c>
    </row>
    <row r="2370" spans="1:52" x14ac:dyDescent="0.25">
      <c r="A2370" s="610" t="s">
        <v>4049</v>
      </c>
      <c r="B2370" s="30" t="s">
        <v>5548</v>
      </c>
      <c r="C2370" s="30" t="s">
        <v>5540</v>
      </c>
      <c r="D2370" s="30" t="s">
        <v>7036</v>
      </c>
      <c r="E2370" s="30" t="s">
        <v>674</v>
      </c>
      <c r="F2370" s="454">
        <f t="shared" si="1100"/>
        <v>19.32</v>
      </c>
      <c r="G2370" s="529">
        <v>19.32</v>
      </c>
      <c r="H2370" s="487">
        <f t="shared" si="1101"/>
        <v>15.46</v>
      </c>
      <c r="I2370" s="706"/>
      <c r="J2370" s="669" t="s">
        <v>5805</v>
      </c>
      <c r="K2370" s="15"/>
      <c r="M2370" s="49">
        <f t="shared" si="1102"/>
        <v>19.32</v>
      </c>
      <c r="N2370" s="41">
        <v>9.32</v>
      </c>
      <c r="O2370" s="186"/>
      <c r="P2370" s="177"/>
      <c r="Q2370" s="178" t="s">
        <v>1017</v>
      </c>
      <c r="R2370" s="178"/>
      <c r="S2370" s="178" t="s">
        <v>4180</v>
      </c>
      <c r="T2370" t="s">
        <v>4180</v>
      </c>
      <c r="U2370" s="179"/>
      <c r="V2370" s="178"/>
      <c r="W2370" s="180"/>
      <c r="X2370" s="180"/>
      <c r="Y2370" s="178" t="s">
        <v>1017</v>
      </c>
      <c r="Z2370" s="180"/>
      <c r="AA2370" s="178"/>
      <c r="AB2370" s="178"/>
      <c r="AC2370" s="180"/>
      <c r="AD2370" s="182"/>
      <c r="AE2370" s="200"/>
      <c r="AF2370" s="180"/>
      <c r="AG2370" s="201"/>
      <c r="AH2370" s="212" t="str">
        <f t="shared" si="1103"/>
        <v/>
      </c>
      <c r="AI2370" s="214" t="str">
        <f t="shared" si="1094"/>
        <v/>
      </c>
      <c r="AJ2370" s="214" t="str">
        <f t="shared" si="1095"/>
        <v/>
      </c>
      <c r="AK2370" s="214" t="str">
        <f t="shared" si="1096"/>
        <v/>
      </c>
      <c r="AL2370" s="214" t="str">
        <f t="shared" si="1097"/>
        <v/>
      </c>
      <c r="AM2370" s="214" t="str">
        <f t="shared" si="1098"/>
        <v/>
      </c>
      <c r="AN2370" s="213" t="str">
        <f t="shared" si="1081"/>
        <v/>
      </c>
      <c r="AO2370" s="213" t="str">
        <f t="shared" si="1082"/>
        <v/>
      </c>
      <c r="AP2370" s="213" t="str">
        <f t="shared" si="1083"/>
        <v/>
      </c>
      <c r="AQ2370" s="215" t="str">
        <f t="shared" si="1084"/>
        <v/>
      </c>
      <c r="AR2370" s="216" t="str">
        <f t="shared" si="1085"/>
        <v>BiK82GK09---08</v>
      </c>
      <c r="AS2370" s="215" t="str">
        <f t="shared" si="1086"/>
        <v/>
      </c>
      <c r="AT2370">
        <f t="shared" si="1087"/>
        <v>14</v>
      </c>
      <c r="AU2370" s="216" t="str">
        <f t="shared" si="1088"/>
        <v>0,15-0,5 MW, Bonusregeln G und K erstmals 2009</v>
      </c>
      <c r="AV2370" s="215" t="str">
        <f t="shared" si="1089"/>
        <v/>
      </c>
      <c r="AW2370" s="216" t="str">
        <f t="shared" si="1090"/>
        <v>Anteil KWK, erstmals 2009</v>
      </c>
      <c r="AX2370" s="215" t="str">
        <f t="shared" si="1091"/>
        <v/>
      </c>
      <c r="AY2370" t="str">
        <f t="shared" si="1092"/>
        <v/>
      </c>
      <c r="AZ2370" t="str">
        <f t="shared" si="1093"/>
        <v/>
      </c>
    </row>
    <row r="2371" spans="1:52" x14ac:dyDescent="0.25">
      <c r="A2371" s="610" t="s">
        <v>3186</v>
      </c>
      <c r="B2371" s="30" t="s">
        <v>5548</v>
      </c>
      <c r="C2371" s="30" t="s">
        <v>5540</v>
      </c>
      <c r="D2371" s="30" t="s">
        <v>7037</v>
      </c>
      <c r="E2371" s="30" t="s">
        <v>3567</v>
      </c>
      <c r="F2371" s="454">
        <f t="shared" si="1100"/>
        <v>19.29</v>
      </c>
      <c r="G2371" s="529">
        <v>19.29</v>
      </c>
      <c r="H2371" s="487">
        <f t="shared" si="1101"/>
        <v>15.43</v>
      </c>
      <c r="I2371" s="706"/>
      <c r="J2371" s="669" t="s">
        <v>5805</v>
      </c>
      <c r="K2371" s="15"/>
      <c r="M2371" s="49">
        <f t="shared" si="1102"/>
        <v>19.29</v>
      </c>
      <c r="N2371" s="41">
        <v>9.32</v>
      </c>
      <c r="O2371" s="186"/>
      <c r="P2371" s="177"/>
      <c r="Q2371" s="178"/>
      <c r="R2371" s="178" t="s">
        <v>1017</v>
      </c>
      <c r="S2371" s="178" t="s">
        <v>4180</v>
      </c>
      <c r="T2371" t="s">
        <v>4180</v>
      </c>
      <c r="U2371" s="179"/>
      <c r="V2371" s="178"/>
      <c r="W2371" s="180"/>
      <c r="X2371" s="180"/>
      <c r="Y2371" s="178" t="s">
        <v>1017</v>
      </c>
      <c r="Z2371" s="180"/>
      <c r="AA2371" s="178"/>
      <c r="AB2371" s="178"/>
      <c r="AC2371" s="180"/>
      <c r="AD2371" s="182"/>
      <c r="AE2371" s="200"/>
      <c r="AF2371" s="180"/>
      <c r="AG2371" s="201"/>
      <c r="AH2371" s="212" t="str">
        <f t="shared" si="1103"/>
        <v>2010</v>
      </c>
      <c r="AI2371" s="214" t="str">
        <f t="shared" si="1094"/>
        <v/>
      </c>
      <c r="AJ2371" s="214" t="str">
        <f t="shared" si="1095"/>
        <v/>
      </c>
      <c r="AK2371" s="214" t="str">
        <f t="shared" si="1096"/>
        <v/>
      </c>
      <c r="AL2371" s="214" t="str">
        <f t="shared" si="1097"/>
        <v/>
      </c>
      <c r="AM2371" s="214" t="str">
        <f t="shared" si="1098"/>
        <v/>
      </c>
      <c r="AN2371" s="213" t="str">
        <f t="shared" si="1081"/>
        <v>2010</v>
      </c>
      <c r="AO2371" s="213" t="str">
        <f t="shared" si="1082"/>
        <v>2010</v>
      </c>
      <c r="AP2371" s="213" t="str">
        <f t="shared" si="1083"/>
        <v>2010</v>
      </c>
      <c r="AQ2371" s="215" t="str">
        <f t="shared" si="1084"/>
        <v/>
      </c>
      <c r="AR2371" s="216" t="str">
        <f t="shared" si="1085"/>
        <v>BiK82GK10---08</v>
      </c>
      <c r="AS2371" s="215" t="str">
        <f t="shared" si="1086"/>
        <v/>
      </c>
      <c r="AT2371">
        <f t="shared" si="1087"/>
        <v>14</v>
      </c>
      <c r="AU2371" s="216" t="str">
        <f t="shared" si="1088"/>
        <v>0,15-0,5 MW, Bonusregeln G und K erstmals 2010</v>
      </c>
      <c r="AV2371" s="215" t="str">
        <f t="shared" si="1089"/>
        <v/>
      </c>
      <c r="AW2371" s="216" t="str">
        <f t="shared" si="1090"/>
        <v>Anteil KWK, erstmals 2010</v>
      </c>
      <c r="AX2371" s="215" t="str">
        <f t="shared" si="1091"/>
        <v/>
      </c>
      <c r="AY2371" t="str">
        <f t="shared" si="1092"/>
        <v/>
      </c>
      <c r="AZ2371" t="str">
        <f t="shared" si="1093"/>
        <v/>
      </c>
    </row>
    <row r="2372" spans="1:52" s="178" customFormat="1" x14ac:dyDescent="0.25">
      <c r="A2372" s="610" t="s">
        <v>3462</v>
      </c>
      <c r="B2372" s="30" t="s">
        <v>5548</v>
      </c>
      <c r="C2372" s="30" t="s">
        <v>5540</v>
      </c>
      <c r="D2372" s="30" t="s">
        <v>7038</v>
      </c>
      <c r="E2372" s="30" t="s">
        <v>3055</v>
      </c>
      <c r="F2372" s="454">
        <f t="shared" si="1100"/>
        <v>19.259999999999998</v>
      </c>
      <c r="G2372" s="529">
        <v>19.259999999999998</v>
      </c>
      <c r="H2372" s="487">
        <f t="shared" si="1101"/>
        <v>15.41</v>
      </c>
      <c r="I2372" s="706"/>
      <c r="J2372" s="669" t="s">
        <v>5805</v>
      </c>
      <c r="K2372" s="15"/>
      <c r="L2372"/>
      <c r="M2372" s="49">
        <f t="shared" si="1102"/>
        <v>19.259999999999998</v>
      </c>
      <c r="N2372" s="41">
        <v>9.32</v>
      </c>
      <c r="O2372" s="186"/>
      <c r="P2372" s="177"/>
      <c r="S2372" s="178" t="s">
        <v>1017</v>
      </c>
      <c r="T2372" s="178" t="s">
        <v>4180</v>
      </c>
      <c r="U2372" s="179"/>
      <c r="W2372" s="180"/>
      <c r="X2372" s="180"/>
      <c r="Y2372" s="178" t="s">
        <v>1017</v>
      </c>
      <c r="Z2372" s="180"/>
      <c r="AC2372" s="180"/>
      <c r="AD2372" s="182"/>
      <c r="AE2372" s="200"/>
      <c r="AF2372" s="180"/>
      <c r="AG2372" s="201"/>
      <c r="AH2372" s="212" t="str">
        <f t="shared" si="1103"/>
        <v>2011</v>
      </c>
      <c r="AI2372" s="214" t="str">
        <f t="shared" si="1094"/>
        <v/>
      </c>
      <c r="AJ2372" s="214" t="str">
        <f t="shared" si="1095"/>
        <v/>
      </c>
      <c r="AK2372" s="214" t="str">
        <f t="shared" si="1096"/>
        <v/>
      </c>
      <c r="AL2372" s="214" t="str">
        <f t="shared" si="1097"/>
        <v/>
      </c>
      <c r="AM2372" s="214" t="str">
        <f t="shared" si="1098"/>
        <v/>
      </c>
      <c r="AN2372" s="213" t="str">
        <f t="shared" si="1081"/>
        <v>2011</v>
      </c>
      <c r="AO2372" s="213" t="str">
        <f t="shared" si="1082"/>
        <v>2011</v>
      </c>
      <c r="AP2372" s="213" t="str">
        <f t="shared" si="1083"/>
        <v>2011</v>
      </c>
      <c r="AQ2372" s="215" t="str">
        <f t="shared" si="1084"/>
        <v/>
      </c>
      <c r="AR2372" s="216" t="str">
        <f t="shared" si="1085"/>
        <v>BiK82GK11---08</v>
      </c>
      <c r="AS2372" s="215" t="str">
        <f t="shared" si="1086"/>
        <v/>
      </c>
      <c r="AT2372">
        <f t="shared" si="1087"/>
        <v>14</v>
      </c>
      <c r="AU2372" s="216" t="str">
        <f t="shared" si="1088"/>
        <v>0,15-0,5 MW, Bonusregeln G und K erstmals 2011</v>
      </c>
      <c r="AV2372" s="215" t="str">
        <f t="shared" si="1089"/>
        <v/>
      </c>
      <c r="AW2372" s="216" t="str">
        <f t="shared" si="1090"/>
        <v>Anteil KWK, erstmals 2011</v>
      </c>
      <c r="AX2372" s="215" t="str">
        <f t="shared" si="1091"/>
        <v/>
      </c>
      <c r="AY2372" t="str">
        <f t="shared" si="1092"/>
        <v>x</v>
      </c>
      <c r="AZ2372" t="str">
        <f t="shared" si="1093"/>
        <v/>
      </c>
    </row>
    <row r="2373" spans="1:52" s="178" customFormat="1" x14ac:dyDescent="0.25">
      <c r="A2373" s="625" t="s">
        <v>1894</v>
      </c>
      <c r="B2373" s="219" t="s">
        <v>5548</v>
      </c>
      <c r="C2373" s="219" t="s">
        <v>5540</v>
      </c>
      <c r="D2373" s="219" t="s">
        <v>7039</v>
      </c>
      <c r="E2373" s="219" t="s">
        <v>1980</v>
      </c>
      <c r="F2373" s="455">
        <f t="shared" si="1100"/>
        <v>19.23</v>
      </c>
      <c r="G2373" s="530">
        <v>19.23</v>
      </c>
      <c r="H2373" s="488">
        <f t="shared" si="1101"/>
        <v>15.38</v>
      </c>
      <c r="I2373" s="707"/>
      <c r="J2373" s="669" t="s">
        <v>5805</v>
      </c>
      <c r="K2373" s="15"/>
      <c r="L2373"/>
      <c r="M2373" s="49">
        <f t="shared" si="1102"/>
        <v>19.23</v>
      </c>
      <c r="N2373" s="41">
        <v>9.32</v>
      </c>
      <c r="O2373" s="186"/>
      <c r="P2373" s="177"/>
      <c r="S2373" s="178" t="s">
        <v>4180</v>
      </c>
      <c r="T2373" s="178" t="s">
        <v>1017</v>
      </c>
      <c r="U2373" s="179"/>
      <c r="W2373" s="180"/>
      <c r="X2373" s="180"/>
      <c r="Y2373" s="178" t="s">
        <v>1017</v>
      </c>
      <c r="Z2373" s="180"/>
      <c r="AC2373" s="180"/>
      <c r="AD2373" s="182"/>
      <c r="AE2373" s="200"/>
      <c r="AF2373" s="180"/>
      <c r="AG2373" s="201"/>
      <c r="AH2373" s="217" t="s">
        <v>4179</v>
      </c>
      <c r="AI2373" s="214" t="str">
        <f t="shared" si="1094"/>
        <v/>
      </c>
      <c r="AJ2373" s="214" t="str">
        <f t="shared" si="1095"/>
        <v/>
      </c>
      <c r="AK2373" s="214" t="str">
        <f t="shared" si="1096"/>
        <v/>
      </c>
      <c r="AL2373" s="214" t="str">
        <f t="shared" si="1097"/>
        <v/>
      </c>
      <c r="AM2373" s="214" t="str">
        <f t="shared" si="1098"/>
        <v/>
      </c>
      <c r="AN2373" s="213" t="str">
        <f t="shared" si="1081"/>
        <v>2012</v>
      </c>
      <c r="AO2373" s="213" t="str">
        <f t="shared" si="1082"/>
        <v>2012</v>
      </c>
      <c r="AP2373" s="213" t="str">
        <f t="shared" si="1083"/>
        <v>2012</v>
      </c>
      <c r="AQ2373" s="215" t="str">
        <f t="shared" si="1084"/>
        <v/>
      </c>
      <c r="AR2373" s="216" t="str">
        <f t="shared" si="1085"/>
        <v>BiK82GK12---08</v>
      </c>
      <c r="AS2373" s="215" t="str">
        <f t="shared" si="1086"/>
        <v/>
      </c>
      <c r="AT2373">
        <f t="shared" si="1087"/>
        <v>14</v>
      </c>
      <c r="AU2373" s="216" t="str">
        <f t="shared" si="1088"/>
        <v>0,15-0,5 MW, Bonusregeln G und K erstmals 2012</v>
      </c>
      <c r="AV2373" s="215" t="str">
        <f t="shared" si="1089"/>
        <v/>
      </c>
      <c r="AW2373" s="216" t="str">
        <f t="shared" si="1090"/>
        <v>Anteil KWK, erstmals 2012</v>
      </c>
      <c r="AX2373" s="215" t="str">
        <f t="shared" si="1091"/>
        <v/>
      </c>
      <c r="AY2373" t="str">
        <f t="shared" si="1092"/>
        <v/>
      </c>
      <c r="AZ2373" t="str">
        <f t="shared" si="1093"/>
        <v>x</v>
      </c>
    </row>
    <row r="2374" spans="1:52" s="178" customFormat="1" x14ac:dyDescent="0.25">
      <c r="A2374" s="610" t="s">
        <v>4050</v>
      </c>
      <c r="B2374" s="30" t="s">
        <v>5548</v>
      </c>
      <c r="C2374" s="30" t="s">
        <v>5540</v>
      </c>
      <c r="D2374" s="30" t="s">
        <v>7040</v>
      </c>
      <c r="E2374" s="30" t="s">
        <v>4810</v>
      </c>
      <c r="F2374" s="454">
        <f t="shared" si="1100"/>
        <v>17.32</v>
      </c>
      <c r="G2374" s="529">
        <v>17.32</v>
      </c>
      <c r="H2374" s="487">
        <f t="shared" si="1101"/>
        <v>13.86</v>
      </c>
      <c r="I2374" s="706"/>
      <c r="J2374" s="669" t="s">
        <v>5805</v>
      </c>
      <c r="K2374" s="15"/>
      <c r="L2374"/>
      <c r="M2374" s="49">
        <f t="shared" si="1102"/>
        <v>17.32</v>
      </c>
      <c r="N2374" s="41">
        <v>9.32</v>
      </c>
      <c r="O2374" s="187"/>
      <c r="P2374" s="183"/>
      <c r="Q2374" s="184"/>
      <c r="R2374" s="184"/>
      <c r="S2374" s="184" t="s">
        <v>4180</v>
      </c>
      <c r="T2374" s="178" t="s">
        <v>4180</v>
      </c>
      <c r="U2374" s="185" t="s">
        <v>1017</v>
      </c>
      <c r="V2374" s="184"/>
      <c r="W2374" s="180"/>
      <c r="X2374" s="180"/>
      <c r="Y2374" s="184" t="s">
        <v>1017</v>
      </c>
      <c r="Z2374" s="180"/>
      <c r="AA2374" s="184"/>
      <c r="AB2374" s="184"/>
      <c r="AC2374" s="180"/>
      <c r="AD2374" s="182"/>
      <c r="AE2374" s="181"/>
      <c r="AF2374" s="180"/>
      <c r="AG2374" s="201"/>
      <c r="AH2374" s="212" t="str">
        <f t="shared" ref="AH2374:AH2379" si="1104">IF(ISERROR(SEARCH("K erstmals 201",D2374)),"",RIGHT(D2374,4))</f>
        <v/>
      </c>
      <c r="AI2374" s="214" t="str">
        <f t="shared" si="1094"/>
        <v/>
      </c>
      <c r="AJ2374" s="214" t="str">
        <f t="shared" si="1095"/>
        <v/>
      </c>
      <c r="AK2374" s="214" t="str">
        <f t="shared" si="1096"/>
        <v/>
      </c>
      <c r="AL2374" s="214" t="str">
        <f t="shared" si="1097"/>
        <v/>
      </c>
      <c r="AM2374" s="214" t="str">
        <f t="shared" si="1098"/>
        <v/>
      </c>
      <c r="AN2374" s="213" t="str">
        <f t="shared" si="1081"/>
        <v/>
      </c>
      <c r="AO2374" s="213" t="str">
        <f t="shared" si="1082"/>
        <v/>
      </c>
      <c r="AP2374" s="213" t="str">
        <f t="shared" si="1083"/>
        <v/>
      </c>
      <c r="AQ2374" s="215" t="str">
        <f t="shared" si="1084"/>
        <v/>
      </c>
      <c r="AR2374" s="216" t="str">
        <f t="shared" si="1085"/>
        <v>BiK82Gy-----08</v>
      </c>
      <c r="AS2374" s="215" t="str">
        <f t="shared" si="1086"/>
        <v/>
      </c>
      <c r="AT2374">
        <f t="shared" si="1087"/>
        <v>14</v>
      </c>
      <c r="AU2374" s="216" t="str">
        <f t="shared" si="1088"/>
        <v>0,15-0,5 MW, Bonusregel G, y</v>
      </c>
      <c r="AV2374" s="215" t="str">
        <f t="shared" si="1089"/>
        <v/>
      </c>
      <c r="AW2374" s="216" t="str">
        <f t="shared" si="1090"/>
        <v>Anteil Nicht-KWK</v>
      </c>
      <c r="AX2374" s="215" t="str">
        <f t="shared" si="1091"/>
        <v/>
      </c>
      <c r="AY2374" t="str">
        <f t="shared" si="1092"/>
        <v/>
      </c>
      <c r="AZ2374" t="str">
        <f t="shared" si="1093"/>
        <v/>
      </c>
    </row>
    <row r="2375" spans="1:52" s="178" customFormat="1" x14ac:dyDescent="0.25">
      <c r="A2375" s="610" t="s">
        <v>4051</v>
      </c>
      <c r="B2375" s="30" t="s">
        <v>5548</v>
      </c>
      <c r="C2375" s="30" t="s">
        <v>5540</v>
      </c>
      <c r="D2375" s="30" t="s">
        <v>7119</v>
      </c>
      <c r="E2375" s="30" t="s">
        <v>4812</v>
      </c>
      <c r="F2375" s="454">
        <f t="shared" si="1100"/>
        <v>19.32</v>
      </c>
      <c r="G2375" s="529">
        <v>19.32</v>
      </c>
      <c r="H2375" s="487">
        <f t="shared" si="1101"/>
        <v>15.46</v>
      </c>
      <c r="I2375" s="706"/>
      <c r="J2375" s="669" t="s">
        <v>5805</v>
      </c>
      <c r="K2375" s="15"/>
      <c r="L2375"/>
      <c r="M2375" s="49">
        <f t="shared" si="1102"/>
        <v>19.32</v>
      </c>
      <c r="N2375" s="41">
        <v>9.32</v>
      </c>
      <c r="O2375" s="187" t="s">
        <v>1017</v>
      </c>
      <c r="P2375" s="183"/>
      <c r="Q2375" s="184"/>
      <c r="R2375" s="184"/>
      <c r="S2375" s="184" t="s">
        <v>4180</v>
      </c>
      <c r="T2375" s="178" t="s">
        <v>4180</v>
      </c>
      <c r="U2375" s="185" t="s">
        <v>1017</v>
      </c>
      <c r="V2375" s="184"/>
      <c r="W2375" s="180"/>
      <c r="X2375" s="180"/>
      <c r="Y2375" s="184" t="s">
        <v>1017</v>
      </c>
      <c r="Z2375" s="180"/>
      <c r="AA2375" s="184"/>
      <c r="AB2375" s="184"/>
      <c r="AC2375" s="180"/>
      <c r="AD2375" s="182"/>
      <c r="AE2375" s="181"/>
      <c r="AF2375" s="180"/>
      <c r="AG2375" s="201"/>
      <c r="AH2375" s="212" t="str">
        <f t="shared" si="1104"/>
        <v/>
      </c>
      <c r="AI2375" s="214" t="str">
        <f t="shared" si="1094"/>
        <v/>
      </c>
      <c r="AJ2375" s="214" t="str">
        <f t="shared" si="1095"/>
        <v/>
      </c>
      <c r="AK2375" s="214" t="str">
        <f t="shared" si="1096"/>
        <v/>
      </c>
      <c r="AL2375" s="214" t="str">
        <f t="shared" si="1097"/>
        <v/>
      </c>
      <c r="AM2375" s="214" t="str">
        <f t="shared" si="1098"/>
        <v/>
      </c>
      <c r="AN2375" s="213" t="str">
        <f t="shared" si="1081"/>
        <v/>
      </c>
      <c r="AO2375" s="213" t="str">
        <f t="shared" si="1082"/>
        <v/>
      </c>
      <c r="AP2375" s="213" t="str">
        <f t="shared" si="1083"/>
        <v/>
      </c>
      <c r="AQ2375" s="215" t="str">
        <f t="shared" si="1084"/>
        <v/>
      </c>
      <c r="AR2375" s="216" t="str">
        <f t="shared" si="1085"/>
        <v>BiK82GKWKy--08</v>
      </c>
      <c r="AS2375" s="215" t="str">
        <f t="shared" si="1086"/>
        <v/>
      </c>
      <c r="AT2375">
        <f t="shared" si="1087"/>
        <v>14</v>
      </c>
      <c r="AU2375" s="216" t="str">
        <f t="shared" si="1088"/>
        <v>0,15-0,5 MW, Bonusregeln G, y und KWK</v>
      </c>
      <c r="AV2375" s="215" t="str">
        <f t="shared" si="1089"/>
        <v/>
      </c>
      <c r="AW2375" s="216" t="str">
        <f t="shared" si="1090"/>
        <v>Anteil KWK</v>
      </c>
      <c r="AX2375" s="215" t="str">
        <f t="shared" si="1091"/>
        <v/>
      </c>
      <c r="AY2375" t="str">
        <f t="shared" si="1092"/>
        <v/>
      </c>
      <c r="AZ2375" t="str">
        <f t="shared" si="1093"/>
        <v/>
      </c>
    </row>
    <row r="2376" spans="1:52" s="178" customFormat="1" x14ac:dyDescent="0.25">
      <c r="A2376" s="610" t="s">
        <v>4052</v>
      </c>
      <c r="B2376" s="30" t="s">
        <v>5548</v>
      </c>
      <c r="C2376" s="30" t="s">
        <v>5540</v>
      </c>
      <c r="D2376" s="109" t="s">
        <v>7041</v>
      </c>
      <c r="E2376" s="30" t="s">
        <v>4331</v>
      </c>
      <c r="F2376" s="454">
        <f t="shared" si="1100"/>
        <v>20.32</v>
      </c>
      <c r="G2376" s="529">
        <v>20.32</v>
      </c>
      <c r="H2376" s="487">
        <f t="shared" si="1101"/>
        <v>16.260000000000002</v>
      </c>
      <c r="I2376" s="706"/>
      <c r="J2376" s="669" t="s">
        <v>5805</v>
      </c>
      <c r="K2376" s="15"/>
      <c r="L2376"/>
      <c r="M2376" s="49">
        <f t="shared" si="1102"/>
        <v>20.32</v>
      </c>
      <c r="N2376" s="41">
        <v>9.32</v>
      </c>
      <c r="O2376" s="187"/>
      <c r="P2376" s="184" t="s">
        <v>1017</v>
      </c>
      <c r="Q2376" s="184"/>
      <c r="R2376" s="184"/>
      <c r="S2376" s="184" t="s">
        <v>4180</v>
      </c>
      <c r="T2376" s="178" t="s">
        <v>4180</v>
      </c>
      <c r="U2376" s="185" t="s">
        <v>1017</v>
      </c>
      <c r="V2376" s="184"/>
      <c r="W2376" s="180"/>
      <c r="X2376" s="180"/>
      <c r="Y2376" s="184" t="s">
        <v>1017</v>
      </c>
      <c r="Z2376" s="180"/>
      <c r="AA2376" s="184"/>
      <c r="AB2376" s="184"/>
      <c r="AC2376" s="180"/>
      <c r="AD2376" s="182"/>
      <c r="AE2376" s="181"/>
      <c r="AF2376" s="180"/>
      <c r="AG2376" s="201"/>
      <c r="AH2376" s="212" t="str">
        <f t="shared" si="1104"/>
        <v/>
      </c>
      <c r="AI2376" s="214" t="str">
        <f t="shared" si="1094"/>
        <v/>
      </c>
      <c r="AJ2376" s="214" t="str">
        <f t="shared" si="1095"/>
        <v/>
      </c>
      <c r="AK2376" s="214" t="str">
        <f t="shared" si="1096"/>
        <v/>
      </c>
      <c r="AL2376" s="214" t="str">
        <f t="shared" si="1097"/>
        <v/>
      </c>
      <c r="AM2376" s="214" t="str">
        <f t="shared" si="1098"/>
        <v/>
      </c>
      <c r="AN2376" s="213" t="str">
        <f t="shared" si="1081"/>
        <v/>
      </c>
      <c r="AO2376" s="213" t="str">
        <f t="shared" si="1082"/>
        <v/>
      </c>
      <c r="AP2376" s="213" t="str">
        <f t="shared" si="1083"/>
        <v/>
      </c>
      <c r="AQ2376" s="215" t="str">
        <f t="shared" si="1084"/>
        <v/>
      </c>
      <c r="AR2376" s="216" t="str">
        <f t="shared" si="1085"/>
        <v>BiK82GKA3y--08</v>
      </c>
      <c r="AS2376" s="215" t="str">
        <f t="shared" si="1086"/>
        <v/>
      </c>
      <c r="AT2376">
        <f t="shared" si="1087"/>
        <v>14</v>
      </c>
      <c r="AU2376" s="216" t="str">
        <f t="shared" si="1088"/>
        <v>0,15-0,5 MW, Bonusregeln G, y und K wenn Anlage 3 erfüllt</v>
      </c>
      <c r="AV2376" s="215" t="str">
        <f t="shared" si="1089"/>
        <v/>
      </c>
      <c r="AW2376" s="216" t="str">
        <f t="shared" si="1090"/>
        <v>Anteil KWK gemäß Anlage 3</v>
      </c>
      <c r="AX2376" s="215" t="str">
        <f t="shared" si="1091"/>
        <v/>
      </c>
      <c r="AY2376" t="str">
        <f t="shared" si="1092"/>
        <v/>
      </c>
      <c r="AZ2376" t="str">
        <f t="shared" si="1093"/>
        <v/>
      </c>
    </row>
    <row r="2377" spans="1:52" s="178" customFormat="1" x14ac:dyDescent="0.25">
      <c r="A2377" s="610" t="s">
        <v>4053</v>
      </c>
      <c r="B2377" s="30" t="s">
        <v>5548</v>
      </c>
      <c r="C2377" s="30" t="s">
        <v>5540</v>
      </c>
      <c r="D2377" s="30" t="s">
        <v>7042</v>
      </c>
      <c r="E2377" s="30" t="s">
        <v>674</v>
      </c>
      <c r="F2377" s="454">
        <f t="shared" si="1100"/>
        <v>20.32</v>
      </c>
      <c r="G2377" s="529">
        <v>20.32</v>
      </c>
      <c r="H2377" s="487">
        <f t="shared" si="1101"/>
        <v>16.260000000000002</v>
      </c>
      <c r="I2377" s="706"/>
      <c r="J2377" s="669" t="s">
        <v>5805</v>
      </c>
      <c r="K2377" s="15"/>
      <c r="L2377"/>
      <c r="M2377" s="49">
        <f t="shared" si="1102"/>
        <v>20.32</v>
      </c>
      <c r="N2377" s="41">
        <v>9.32</v>
      </c>
      <c r="O2377" s="187"/>
      <c r="P2377" s="183"/>
      <c r="Q2377" s="184" t="s">
        <v>1017</v>
      </c>
      <c r="R2377" s="184"/>
      <c r="S2377" s="184" t="s">
        <v>4180</v>
      </c>
      <c r="T2377" s="178" t="s">
        <v>4180</v>
      </c>
      <c r="U2377" s="185" t="s">
        <v>1017</v>
      </c>
      <c r="V2377" s="184"/>
      <c r="W2377" s="180"/>
      <c r="X2377" s="180"/>
      <c r="Y2377" s="184" t="s">
        <v>1017</v>
      </c>
      <c r="Z2377" s="180"/>
      <c r="AA2377" s="184"/>
      <c r="AB2377" s="184"/>
      <c r="AC2377" s="180"/>
      <c r="AD2377" s="182"/>
      <c r="AE2377" s="181"/>
      <c r="AF2377" s="180"/>
      <c r="AG2377" s="201"/>
      <c r="AH2377" s="212" t="str">
        <f t="shared" si="1104"/>
        <v/>
      </c>
      <c r="AI2377" s="214" t="str">
        <f t="shared" si="1094"/>
        <v/>
      </c>
      <c r="AJ2377" s="214" t="str">
        <f t="shared" si="1095"/>
        <v/>
      </c>
      <c r="AK2377" s="214" t="str">
        <f t="shared" si="1096"/>
        <v/>
      </c>
      <c r="AL2377" s="214" t="str">
        <f t="shared" si="1097"/>
        <v/>
      </c>
      <c r="AM2377" s="214" t="str">
        <f t="shared" si="1098"/>
        <v/>
      </c>
      <c r="AN2377" s="213" t="str">
        <f t="shared" si="1081"/>
        <v/>
      </c>
      <c r="AO2377" s="213" t="str">
        <f t="shared" si="1082"/>
        <v/>
      </c>
      <c r="AP2377" s="213" t="str">
        <f t="shared" si="1083"/>
        <v/>
      </c>
      <c r="AQ2377" s="215" t="str">
        <f t="shared" si="1084"/>
        <v/>
      </c>
      <c r="AR2377" s="216" t="str">
        <f t="shared" si="1085"/>
        <v>BiK82GK09y--08</v>
      </c>
      <c r="AS2377" s="215" t="str">
        <f t="shared" si="1086"/>
        <v/>
      </c>
      <c r="AT2377">
        <f t="shared" si="1087"/>
        <v>14</v>
      </c>
      <c r="AU2377" s="216" t="str">
        <f t="shared" si="1088"/>
        <v>0,15-0,5 MW, Bonusregeln G, y und K erstmals 2009</v>
      </c>
      <c r="AV2377" s="215" t="str">
        <f t="shared" si="1089"/>
        <v/>
      </c>
      <c r="AW2377" s="216" t="str">
        <f t="shared" si="1090"/>
        <v>Anteil KWK, erstmals 2009</v>
      </c>
      <c r="AX2377" s="215" t="str">
        <f t="shared" si="1091"/>
        <v/>
      </c>
      <c r="AY2377" t="str">
        <f t="shared" si="1092"/>
        <v/>
      </c>
      <c r="AZ2377" t="str">
        <f t="shared" si="1093"/>
        <v/>
      </c>
    </row>
    <row r="2378" spans="1:52" s="178" customFormat="1" x14ac:dyDescent="0.25">
      <c r="A2378" s="610" t="s">
        <v>3187</v>
      </c>
      <c r="B2378" s="30" t="s">
        <v>5548</v>
      </c>
      <c r="C2378" s="30" t="s">
        <v>5540</v>
      </c>
      <c r="D2378" s="30" t="s">
        <v>7043</v>
      </c>
      <c r="E2378" s="30" t="s">
        <v>3567</v>
      </c>
      <c r="F2378" s="454">
        <f t="shared" si="1100"/>
        <v>20.29</v>
      </c>
      <c r="G2378" s="529">
        <v>20.29</v>
      </c>
      <c r="H2378" s="487">
        <f t="shared" si="1101"/>
        <v>16.23</v>
      </c>
      <c r="I2378" s="706"/>
      <c r="J2378" s="669" t="s">
        <v>5805</v>
      </c>
      <c r="K2378" s="15"/>
      <c r="L2378"/>
      <c r="M2378" s="49">
        <f t="shared" si="1102"/>
        <v>20.29</v>
      </c>
      <c r="N2378" s="41">
        <v>9.32</v>
      </c>
      <c r="O2378" s="187"/>
      <c r="P2378" s="183"/>
      <c r="Q2378" s="184"/>
      <c r="R2378" s="184" t="s">
        <v>1017</v>
      </c>
      <c r="S2378" s="184" t="s">
        <v>4180</v>
      </c>
      <c r="T2378" s="178" t="s">
        <v>4180</v>
      </c>
      <c r="U2378" s="185" t="s">
        <v>1017</v>
      </c>
      <c r="V2378" s="184"/>
      <c r="W2378" s="180"/>
      <c r="X2378" s="180"/>
      <c r="Y2378" s="184" t="s">
        <v>1017</v>
      </c>
      <c r="Z2378" s="180"/>
      <c r="AA2378" s="184"/>
      <c r="AB2378" s="184"/>
      <c r="AC2378" s="180"/>
      <c r="AD2378" s="182"/>
      <c r="AE2378" s="181"/>
      <c r="AF2378" s="180"/>
      <c r="AG2378" s="201"/>
      <c r="AH2378" s="212" t="str">
        <f t="shared" si="1104"/>
        <v>2010</v>
      </c>
      <c r="AI2378" s="214" t="str">
        <f t="shared" si="1094"/>
        <v/>
      </c>
      <c r="AJ2378" s="214" t="str">
        <f t="shared" si="1095"/>
        <v/>
      </c>
      <c r="AK2378" s="214" t="str">
        <f t="shared" si="1096"/>
        <v/>
      </c>
      <c r="AL2378" s="214" t="str">
        <f t="shared" si="1097"/>
        <v/>
      </c>
      <c r="AM2378" s="214" t="str">
        <f t="shared" si="1098"/>
        <v/>
      </c>
      <c r="AN2378" s="213" t="str">
        <f t="shared" si="1081"/>
        <v>2010</v>
      </c>
      <c r="AO2378" s="213" t="str">
        <f t="shared" si="1082"/>
        <v>2010</v>
      </c>
      <c r="AP2378" s="213" t="str">
        <f t="shared" si="1083"/>
        <v>2010</v>
      </c>
      <c r="AQ2378" s="215" t="str">
        <f t="shared" si="1084"/>
        <v/>
      </c>
      <c r="AR2378" s="216" t="str">
        <f t="shared" si="1085"/>
        <v>BiK82GK10y--08</v>
      </c>
      <c r="AS2378" s="215" t="str">
        <f t="shared" si="1086"/>
        <v/>
      </c>
      <c r="AT2378">
        <f t="shared" si="1087"/>
        <v>14</v>
      </c>
      <c r="AU2378" s="216" t="str">
        <f t="shared" si="1088"/>
        <v>0,15-0,5 MW, Bonusregeln G, y und K erstmals 2010</v>
      </c>
      <c r="AV2378" s="215" t="str">
        <f t="shared" si="1089"/>
        <v/>
      </c>
      <c r="AW2378" s="216" t="str">
        <f t="shared" si="1090"/>
        <v>Anteil KWK, erstmals 2010</v>
      </c>
      <c r="AX2378" s="215" t="str">
        <f t="shared" si="1091"/>
        <v/>
      </c>
      <c r="AY2378" t="str">
        <f t="shared" si="1092"/>
        <v/>
      </c>
      <c r="AZ2378" t="str">
        <f t="shared" si="1093"/>
        <v/>
      </c>
    </row>
    <row r="2379" spans="1:52" s="178" customFormat="1" x14ac:dyDescent="0.25">
      <c r="A2379" s="610" t="s">
        <v>3463</v>
      </c>
      <c r="B2379" s="30" t="s">
        <v>5548</v>
      </c>
      <c r="C2379" s="30" t="s">
        <v>5540</v>
      </c>
      <c r="D2379" s="30" t="s">
        <v>7044</v>
      </c>
      <c r="E2379" s="30" t="s">
        <v>3055</v>
      </c>
      <c r="F2379" s="454">
        <f t="shared" si="1100"/>
        <v>20.259999999999998</v>
      </c>
      <c r="G2379" s="529">
        <v>20.259999999999998</v>
      </c>
      <c r="H2379" s="487">
        <f t="shared" si="1101"/>
        <v>16.21</v>
      </c>
      <c r="I2379" s="706"/>
      <c r="J2379" s="669" t="s">
        <v>5805</v>
      </c>
      <c r="K2379" s="15"/>
      <c r="L2379"/>
      <c r="M2379" s="49">
        <f t="shared" si="1102"/>
        <v>20.259999999999998</v>
      </c>
      <c r="N2379" s="41">
        <v>9.32</v>
      </c>
      <c r="O2379" s="187"/>
      <c r="P2379" s="183"/>
      <c r="Q2379" s="184"/>
      <c r="S2379" s="184" t="s">
        <v>1017</v>
      </c>
      <c r="T2379" s="178" t="s">
        <v>4180</v>
      </c>
      <c r="U2379" s="185" t="s">
        <v>1017</v>
      </c>
      <c r="V2379" s="184"/>
      <c r="W2379" s="180"/>
      <c r="X2379" s="180"/>
      <c r="Y2379" s="184" t="s">
        <v>1017</v>
      </c>
      <c r="Z2379" s="180"/>
      <c r="AA2379" s="184"/>
      <c r="AB2379" s="184"/>
      <c r="AC2379" s="180"/>
      <c r="AD2379" s="182"/>
      <c r="AE2379" s="181"/>
      <c r="AF2379" s="180"/>
      <c r="AG2379" s="201"/>
      <c r="AH2379" s="212" t="str">
        <f t="shared" si="1104"/>
        <v>2011</v>
      </c>
      <c r="AI2379" s="214" t="str">
        <f t="shared" si="1094"/>
        <v/>
      </c>
      <c r="AJ2379" s="214" t="str">
        <f t="shared" si="1095"/>
        <v/>
      </c>
      <c r="AK2379" s="214" t="str">
        <f t="shared" si="1096"/>
        <v/>
      </c>
      <c r="AL2379" s="214" t="str">
        <f t="shared" si="1097"/>
        <v/>
      </c>
      <c r="AM2379" s="214" t="str">
        <f t="shared" si="1098"/>
        <v/>
      </c>
      <c r="AN2379" s="213" t="str">
        <f t="shared" si="1081"/>
        <v>2011</v>
      </c>
      <c r="AO2379" s="213" t="str">
        <f t="shared" si="1082"/>
        <v>2011</v>
      </c>
      <c r="AP2379" s="213" t="str">
        <f t="shared" si="1083"/>
        <v>2011</v>
      </c>
      <c r="AQ2379" s="215" t="str">
        <f t="shared" si="1084"/>
        <v/>
      </c>
      <c r="AR2379" s="216" t="str">
        <f t="shared" si="1085"/>
        <v>BiK82GK11y--08</v>
      </c>
      <c r="AS2379" s="215" t="str">
        <f t="shared" si="1086"/>
        <v/>
      </c>
      <c r="AT2379">
        <f t="shared" si="1087"/>
        <v>14</v>
      </c>
      <c r="AU2379" s="216" t="str">
        <f t="shared" si="1088"/>
        <v>0,15-0,5 MW, Bonusregeln G, y und K erstmals 2011</v>
      </c>
      <c r="AV2379" s="215" t="str">
        <f t="shared" si="1089"/>
        <v/>
      </c>
      <c r="AW2379" s="216" t="str">
        <f t="shared" si="1090"/>
        <v>Anteil KWK, erstmals 2011</v>
      </c>
      <c r="AX2379" s="215" t="str">
        <f t="shared" si="1091"/>
        <v/>
      </c>
      <c r="AY2379" t="str">
        <f t="shared" si="1092"/>
        <v>x</v>
      </c>
      <c r="AZ2379" t="str">
        <f t="shared" si="1093"/>
        <v/>
      </c>
    </row>
    <row r="2380" spans="1:52" s="178" customFormat="1" x14ac:dyDescent="0.25">
      <c r="A2380" s="625" t="s">
        <v>1895</v>
      </c>
      <c r="B2380" s="219" t="s">
        <v>5548</v>
      </c>
      <c r="C2380" s="219" t="s">
        <v>5540</v>
      </c>
      <c r="D2380" s="219" t="s">
        <v>7045</v>
      </c>
      <c r="E2380" s="219" t="s">
        <v>1980</v>
      </c>
      <c r="F2380" s="455">
        <f t="shared" si="1100"/>
        <v>20.23</v>
      </c>
      <c r="G2380" s="530">
        <v>20.23</v>
      </c>
      <c r="H2380" s="488">
        <f t="shared" si="1101"/>
        <v>16.18</v>
      </c>
      <c r="I2380" s="707"/>
      <c r="J2380" s="669" t="s">
        <v>5805</v>
      </c>
      <c r="K2380" s="15"/>
      <c r="L2380"/>
      <c r="M2380" s="49">
        <f t="shared" si="1102"/>
        <v>20.23</v>
      </c>
      <c r="N2380" s="41">
        <v>9.32</v>
      </c>
      <c r="O2380" s="187"/>
      <c r="P2380" s="183"/>
      <c r="Q2380" s="184"/>
      <c r="S2380" s="184" t="s">
        <v>4180</v>
      </c>
      <c r="T2380" s="178" t="s">
        <v>1017</v>
      </c>
      <c r="U2380" s="185" t="s">
        <v>1017</v>
      </c>
      <c r="V2380" s="184"/>
      <c r="W2380" s="180"/>
      <c r="X2380" s="180"/>
      <c r="Y2380" s="184" t="s">
        <v>1017</v>
      </c>
      <c r="Z2380" s="180"/>
      <c r="AA2380" s="184"/>
      <c r="AB2380" s="184"/>
      <c r="AC2380" s="180"/>
      <c r="AD2380" s="182"/>
      <c r="AE2380" s="181"/>
      <c r="AF2380" s="180"/>
      <c r="AG2380" s="201"/>
      <c r="AH2380" s="217" t="s">
        <v>4179</v>
      </c>
      <c r="AI2380" s="214" t="str">
        <f t="shared" si="1094"/>
        <v/>
      </c>
      <c r="AJ2380" s="214" t="str">
        <f t="shared" si="1095"/>
        <v/>
      </c>
      <c r="AK2380" s="214" t="str">
        <f t="shared" si="1096"/>
        <v/>
      </c>
      <c r="AL2380" s="214" t="str">
        <f t="shared" si="1097"/>
        <v/>
      </c>
      <c r="AM2380" s="214" t="str">
        <f t="shared" si="1098"/>
        <v/>
      </c>
      <c r="AN2380" s="213" t="str">
        <f t="shared" si="1081"/>
        <v>2012</v>
      </c>
      <c r="AO2380" s="213" t="str">
        <f t="shared" si="1082"/>
        <v>2012</v>
      </c>
      <c r="AP2380" s="213" t="str">
        <f t="shared" si="1083"/>
        <v>2012</v>
      </c>
      <c r="AQ2380" s="215" t="str">
        <f t="shared" si="1084"/>
        <v/>
      </c>
      <c r="AR2380" s="216" t="str">
        <f t="shared" si="1085"/>
        <v>BiK82GK12y--08</v>
      </c>
      <c r="AS2380" s="215" t="str">
        <f t="shared" si="1086"/>
        <v/>
      </c>
      <c r="AT2380">
        <f t="shared" si="1087"/>
        <v>14</v>
      </c>
      <c r="AU2380" s="216" t="str">
        <f t="shared" si="1088"/>
        <v>0,15-0,5 MW, Bonusregeln G, y und K erstmals 2012</v>
      </c>
      <c r="AV2380" s="215" t="str">
        <f t="shared" si="1089"/>
        <v/>
      </c>
      <c r="AW2380" s="216" t="str">
        <f t="shared" si="1090"/>
        <v>Anteil KWK, erstmals 2012</v>
      </c>
      <c r="AX2380" s="215" t="str">
        <f t="shared" si="1091"/>
        <v/>
      </c>
      <c r="AY2380" t="str">
        <f t="shared" si="1092"/>
        <v/>
      </c>
      <c r="AZ2380" t="str">
        <f t="shared" si="1093"/>
        <v>x</v>
      </c>
    </row>
    <row r="2381" spans="1:52" s="178" customFormat="1" x14ac:dyDescent="0.25">
      <c r="A2381" s="610" t="s">
        <v>4517</v>
      </c>
      <c r="B2381" s="30" t="s">
        <v>5548</v>
      </c>
      <c r="C2381" s="30" t="s">
        <v>5540</v>
      </c>
      <c r="D2381" s="30" t="s">
        <v>7046</v>
      </c>
      <c r="E2381" s="30" t="s">
        <v>4810</v>
      </c>
      <c r="F2381" s="454">
        <f t="shared" si="1100"/>
        <v>17.32</v>
      </c>
      <c r="G2381" s="529">
        <v>17.32</v>
      </c>
      <c r="H2381" s="487">
        <f t="shared" si="1101"/>
        <v>13.86</v>
      </c>
      <c r="I2381" s="706"/>
      <c r="J2381" s="669" t="s">
        <v>5805</v>
      </c>
      <c r="K2381" s="15"/>
      <c r="L2381"/>
      <c r="M2381" s="49">
        <f t="shared" si="1102"/>
        <v>17.32</v>
      </c>
      <c r="N2381" s="41">
        <v>9.32</v>
      </c>
      <c r="O2381" s="186"/>
      <c r="P2381" s="177"/>
      <c r="S2381" s="178" t="s">
        <v>4180</v>
      </c>
      <c r="T2381" s="178" t="s">
        <v>4180</v>
      </c>
      <c r="U2381" s="179"/>
      <c r="W2381" s="180"/>
      <c r="X2381" s="180"/>
      <c r="Z2381" s="180"/>
      <c r="AA2381" s="178" t="s">
        <v>1017</v>
      </c>
      <c r="AC2381" s="180"/>
      <c r="AD2381" s="182"/>
      <c r="AE2381" s="200"/>
      <c r="AF2381" s="180"/>
      <c r="AG2381" s="201"/>
      <c r="AH2381" s="212" t="str">
        <f t="shared" ref="AH2381:AH2386" si="1105">IF(ISERROR(SEARCH("K erstmals 201",D2381)),"",RIGHT(D2381,4))</f>
        <v/>
      </c>
      <c r="AI2381" s="214" t="str">
        <f t="shared" si="1094"/>
        <v/>
      </c>
      <c r="AJ2381" s="214" t="str">
        <f t="shared" si="1095"/>
        <v/>
      </c>
      <c r="AK2381" s="214" t="str">
        <f t="shared" si="1096"/>
        <v/>
      </c>
      <c r="AL2381" s="214" t="str">
        <f t="shared" si="1097"/>
        <v/>
      </c>
      <c r="AM2381" s="214" t="str">
        <f t="shared" si="1098"/>
        <v/>
      </c>
      <c r="AN2381" s="213" t="str">
        <f t="shared" si="1081"/>
        <v/>
      </c>
      <c r="AO2381" s="213" t="str">
        <f t="shared" si="1082"/>
        <v/>
      </c>
      <c r="AP2381" s="213" t="str">
        <f t="shared" si="1083"/>
        <v/>
      </c>
      <c r="AQ2381" s="215" t="str">
        <f t="shared" si="1084"/>
        <v/>
      </c>
      <c r="AR2381" s="216" t="str">
        <f t="shared" si="1085"/>
        <v>BiK82M2-----08</v>
      </c>
      <c r="AS2381" s="215" t="str">
        <f t="shared" si="1086"/>
        <v/>
      </c>
      <c r="AT2381">
        <f t="shared" si="1087"/>
        <v>14</v>
      </c>
      <c r="AU2381" s="216" t="str">
        <f t="shared" si="1088"/>
        <v>0,15-0,5 MW, Bonusregel M2</v>
      </c>
      <c r="AV2381" s="215" t="str">
        <f t="shared" si="1089"/>
        <v/>
      </c>
      <c r="AW2381" s="216" t="str">
        <f t="shared" si="1090"/>
        <v>Anteil Nicht-KWK</v>
      </c>
      <c r="AX2381" s="215" t="str">
        <f t="shared" si="1091"/>
        <v/>
      </c>
      <c r="AY2381" t="str">
        <f t="shared" si="1092"/>
        <v/>
      </c>
      <c r="AZ2381" t="str">
        <f t="shared" si="1093"/>
        <v/>
      </c>
    </row>
    <row r="2382" spans="1:52" x14ac:dyDescent="0.25">
      <c r="A2382" s="610" t="s">
        <v>4518</v>
      </c>
      <c r="B2382" s="30" t="s">
        <v>5548</v>
      </c>
      <c r="C2382" s="30" t="s">
        <v>5540</v>
      </c>
      <c r="D2382" s="30" t="s">
        <v>7120</v>
      </c>
      <c r="E2382" s="30" t="s">
        <v>4812</v>
      </c>
      <c r="F2382" s="454">
        <f t="shared" si="1100"/>
        <v>19.32</v>
      </c>
      <c r="G2382" s="529">
        <v>19.32</v>
      </c>
      <c r="H2382" s="487">
        <f t="shared" si="1101"/>
        <v>15.46</v>
      </c>
      <c r="I2382" s="706"/>
      <c r="J2382" s="669" t="s">
        <v>5805</v>
      </c>
      <c r="K2382" s="15"/>
      <c r="M2382" s="49">
        <f t="shared" si="1102"/>
        <v>19.32</v>
      </c>
      <c r="N2382" s="41">
        <v>9.32</v>
      </c>
      <c r="O2382" s="186" t="s">
        <v>1017</v>
      </c>
      <c r="P2382" s="177"/>
      <c r="Q2382" s="178"/>
      <c r="R2382" s="178"/>
      <c r="S2382" s="178" t="s">
        <v>4180</v>
      </c>
      <c r="T2382" t="s">
        <v>4180</v>
      </c>
      <c r="U2382" s="179"/>
      <c r="V2382" s="178"/>
      <c r="W2382" s="180"/>
      <c r="X2382" s="180"/>
      <c r="Y2382" s="178"/>
      <c r="Z2382" s="180"/>
      <c r="AA2382" s="178" t="s">
        <v>1017</v>
      </c>
      <c r="AB2382" s="178"/>
      <c r="AC2382" s="180"/>
      <c r="AD2382" s="182"/>
      <c r="AE2382" s="200"/>
      <c r="AF2382" s="180"/>
      <c r="AG2382" s="201"/>
      <c r="AH2382" s="212" t="str">
        <f t="shared" si="1105"/>
        <v/>
      </c>
      <c r="AI2382" s="214" t="str">
        <f t="shared" si="1094"/>
        <v/>
      </c>
      <c r="AJ2382" s="214" t="str">
        <f t="shared" si="1095"/>
        <v/>
      </c>
      <c r="AK2382" s="214" t="str">
        <f t="shared" si="1096"/>
        <v/>
      </c>
      <c r="AL2382" s="214" t="str">
        <f t="shared" si="1097"/>
        <v/>
      </c>
      <c r="AM2382" s="214" t="str">
        <f t="shared" si="1098"/>
        <v/>
      </c>
      <c r="AN2382" s="213" t="str">
        <f t="shared" si="1081"/>
        <v/>
      </c>
      <c r="AO2382" s="213" t="str">
        <f t="shared" si="1082"/>
        <v/>
      </c>
      <c r="AP2382" s="213" t="str">
        <f t="shared" si="1083"/>
        <v/>
      </c>
      <c r="AQ2382" s="215" t="str">
        <f t="shared" si="1084"/>
        <v/>
      </c>
      <c r="AR2382" s="216" t="str">
        <f t="shared" si="1085"/>
        <v>BiK82M2KWK--08</v>
      </c>
      <c r="AS2382" s="215" t="str">
        <f t="shared" si="1086"/>
        <v/>
      </c>
      <c r="AT2382">
        <f t="shared" si="1087"/>
        <v>14</v>
      </c>
      <c r="AU2382" s="216" t="str">
        <f t="shared" si="1088"/>
        <v>0,15-0,5 MW, Bonusregeln M2 und KWK</v>
      </c>
      <c r="AV2382" s="215" t="str">
        <f t="shared" si="1089"/>
        <v/>
      </c>
      <c r="AW2382" s="216" t="str">
        <f t="shared" si="1090"/>
        <v>Anteil KWK</v>
      </c>
      <c r="AX2382" s="215" t="str">
        <f t="shared" si="1091"/>
        <v/>
      </c>
      <c r="AY2382" t="str">
        <f t="shared" si="1092"/>
        <v/>
      </c>
      <c r="AZ2382" t="str">
        <f t="shared" si="1093"/>
        <v/>
      </c>
    </row>
    <row r="2383" spans="1:52" x14ac:dyDescent="0.25">
      <c r="A2383" s="610" t="s">
        <v>4519</v>
      </c>
      <c r="B2383" s="30" t="s">
        <v>5548</v>
      </c>
      <c r="C2383" s="30" t="s">
        <v>5540</v>
      </c>
      <c r="D2383" s="30" t="s">
        <v>7047</v>
      </c>
      <c r="E2383" s="30" t="s">
        <v>4331</v>
      </c>
      <c r="F2383" s="454">
        <f t="shared" si="1100"/>
        <v>20.32</v>
      </c>
      <c r="G2383" s="529">
        <v>20.32</v>
      </c>
      <c r="H2383" s="487">
        <f t="shared" si="1101"/>
        <v>16.260000000000002</v>
      </c>
      <c r="I2383" s="706"/>
      <c r="J2383" s="669" t="s">
        <v>5805</v>
      </c>
      <c r="K2383" s="15"/>
      <c r="M2383" s="49">
        <f t="shared" si="1102"/>
        <v>20.32</v>
      </c>
      <c r="N2383" s="41">
        <v>9.32</v>
      </c>
      <c r="O2383" s="186"/>
      <c r="P2383" s="178" t="s">
        <v>1017</v>
      </c>
      <c r="Q2383" s="178"/>
      <c r="R2383" s="178"/>
      <c r="S2383" s="178" t="s">
        <v>4180</v>
      </c>
      <c r="T2383" t="s">
        <v>4180</v>
      </c>
      <c r="U2383" s="179"/>
      <c r="V2383" s="178"/>
      <c r="W2383" s="180"/>
      <c r="X2383" s="180"/>
      <c r="Y2383" s="178"/>
      <c r="Z2383" s="180"/>
      <c r="AA2383" s="178" t="s">
        <v>1017</v>
      </c>
      <c r="AB2383" s="178"/>
      <c r="AC2383" s="180"/>
      <c r="AD2383" s="182"/>
      <c r="AE2383" s="200"/>
      <c r="AF2383" s="180"/>
      <c r="AG2383" s="201"/>
      <c r="AH2383" s="212" t="str">
        <f t="shared" si="1105"/>
        <v/>
      </c>
      <c r="AI2383" s="214" t="str">
        <f t="shared" si="1094"/>
        <v/>
      </c>
      <c r="AJ2383" s="214" t="str">
        <f t="shared" si="1095"/>
        <v/>
      </c>
      <c r="AK2383" s="214" t="str">
        <f t="shared" si="1096"/>
        <v/>
      </c>
      <c r="AL2383" s="214" t="str">
        <f t="shared" si="1097"/>
        <v/>
      </c>
      <c r="AM2383" s="214" t="str">
        <f t="shared" si="1098"/>
        <v/>
      </c>
      <c r="AN2383" s="213" t="str">
        <f t="shared" si="1081"/>
        <v/>
      </c>
      <c r="AO2383" s="213" t="str">
        <f t="shared" si="1082"/>
        <v/>
      </c>
      <c r="AP2383" s="213" t="str">
        <f t="shared" si="1083"/>
        <v/>
      </c>
      <c r="AQ2383" s="215" t="str">
        <f t="shared" si="1084"/>
        <v/>
      </c>
      <c r="AR2383" s="216" t="str">
        <f t="shared" si="1085"/>
        <v>BiK82M2KA3--08</v>
      </c>
      <c r="AS2383" s="215" t="str">
        <f t="shared" si="1086"/>
        <v/>
      </c>
      <c r="AT2383">
        <f t="shared" si="1087"/>
        <v>14</v>
      </c>
      <c r="AU2383" s="216" t="str">
        <f t="shared" si="1088"/>
        <v>0,15-0,5 MW, Bonusregeln M2 und K wenn Anlage 3 erfüllt</v>
      </c>
      <c r="AV2383" s="215" t="str">
        <f t="shared" si="1089"/>
        <v/>
      </c>
      <c r="AW2383" s="216" t="str">
        <f t="shared" si="1090"/>
        <v>Anteil KWK gemäß Anlage 3</v>
      </c>
      <c r="AX2383" s="215" t="str">
        <f t="shared" si="1091"/>
        <v/>
      </c>
      <c r="AY2383" t="str">
        <f t="shared" si="1092"/>
        <v/>
      </c>
      <c r="AZ2383" t="str">
        <f t="shared" si="1093"/>
        <v/>
      </c>
    </row>
    <row r="2384" spans="1:52" x14ac:dyDescent="0.25">
      <c r="A2384" s="610" t="s">
        <v>4520</v>
      </c>
      <c r="B2384" s="30" t="s">
        <v>5548</v>
      </c>
      <c r="C2384" s="30" t="s">
        <v>5540</v>
      </c>
      <c r="D2384" s="30" t="s">
        <v>7121</v>
      </c>
      <c r="E2384" s="30" t="s">
        <v>674</v>
      </c>
      <c r="F2384" s="454">
        <f t="shared" si="1100"/>
        <v>20.32</v>
      </c>
      <c r="G2384" s="529">
        <v>20.32</v>
      </c>
      <c r="H2384" s="487">
        <f t="shared" si="1101"/>
        <v>16.260000000000002</v>
      </c>
      <c r="I2384" s="706"/>
      <c r="J2384" s="669" t="s">
        <v>5805</v>
      </c>
      <c r="K2384" s="15"/>
      <c r="M2384" s="49">
        <f t="shared" si="1102"/>
        <v>20.32</v>
      </c>
      <c r="N2384" s="41">
        <v>9.32</v>
      </c>
      <c r="O2384" s="186"/>
      <c r="P2384" s="177"/>
      <c r="Q2384" s="178" t="s">
        <v>1017</v>
      </c>
      <c r="R2384" s="178"/>
      <c r="S2384" s="178" t="s">
        <v>4180</v>
      </c>
      <c r="T2384" t="s">
        <v>4180</v>
      </c>
      <c r="U2384" s="179"/>
      <c r="V2384" s="178"/>
      <c r="W2384" s="180"/>
      <c r="X2384" s="180"/>
      <c r="Y2384" s="178"/>
      <c r="Z2384" s="180"/>
      <c r="AA2384" s="178" t="s">
        <v>1017</v>
      </c>
      <c r="AB2384" s="178"/>
      <c r="AC2384" s="180"/>
      <c r="AD2384" s="182"/>
      <c r="AE2384" s="200"/>
      <c r="AF2384" s="180"/>
      <c r="AG2384" s="201"/>
      <c r="AH2384" s="212" t="str">
        <f t="shared" si="1105"/>
        <v/>
      </c>
      <c r="AI2384" s="214" t="str">
        <f t="shared" si="1094"/>
        <v/>
      </c>
      <c r="AJ2384" s="214" t="str">
        <f t="shared" si="1095"/>
        <v/>
      </c>
      <c r="AK2384" s="214" t="str">
        <f t="shared" si="1096"/>
        <v/>
      </c>
      <c r="AL2384" s="214" t="str">
        <f t="shared" si="1097"/>
        <v/>
      </c>
      <c r="AM2384" s="214" t="str">
        <f t="shared" si="1098"/>
        <v/>
      </c>
      <c r="AN2384" s="213" t="str">
        <f t="shared" si="1081"/>
        <v/>
      </c>
      <c r="AO2384" s="213" t="str">
        <f t="shared" si="1082"/>
        <v/>
      </c>
      <c r="AP2384" s="213" t="str">
        <f t="shared" si="1083"/>
        <v/>
      </c>
      <c r="AQ2384" s="215" t="str">
        <f t="shared" si="1084"/>
        <v/>
      </c>
      <c r="AR2384" s="216" t="str">
        <f t="shared" si="1085"/>
        <v>BiK82M2K09--08</v>
      </c>
      <c r="AS2384" s="215" t="str">
        <f t="shared" si="1086"/>
        <v/>
      </c>
      <c r="AT2384">
        <f t="shared" si="1087"/>
        <v>14</v>
      </c>
      <c r="AU2384" s="216" t="str">
        <f t="shared" si="1088"/>
        <v>0,15-0,5 MW, Bonusregeln M2, K erstmals 2009</v>
      </c>
      <c r="AV2384" s="215" t="str">
        <f t="shared" si="1089"/>
        <v/>
      </c>
      <c r="AW2384" s="216" t="str">
        <f t="shared" si="1090"/>
        <v>Anteil KWK, erstmals 2009</v>
      </c>
      <c r="AX2384" s="215" t="str">
        <f t="shared" si="1091"/>
        <v/>
      </c>
      <c r="AY2384" t="str">
        <f t="shared" si="1092"/>
        <v/>
      </c>
      <c r="AZ2384" t="str">
        <f t="shared" si="1093"/>
        <v/>
      </c>
    </row>
    <row r="2385" spans="1:52" x14ac:dyDescent="0.25">
      <c r="A2385" s="610" t="s">
        <v>3188</v>
      </c>
      <c r="B2385" s="30" t="s">
        <v>5548</v>
      </c>
      <c r="C2385" s="30" t="s">
        <v>5540</v>
      </c>
      <c r="D2385" s="30" t="s">
        <v>7122</v>
      </c>
      <c r="E2385" s="30" t="s">
        <v>3567</v>
      </c>
      <c r="F2385" s="454">
        <f t="shared" si="1100"/>
        <v>20.29</v>
      </c>
      <c r="G2385" s="529">
        <v>20.29</v>
      </c>
      <c r="H2385" s="487">
        <f t="shared" si="1101"/>
        <v>16.23</v>
      </c>
      <c r="I2385" s="706"/>
      <c r="J2385" s="669" t="s">
        <v>5805</v>
      </c>
      <c r="K2385" s="15"/>
      <c r="M2385" s="49">
        <f t="shared" si="1102"/>
        <v>20.29</v>
      </c>
      <c r="N2385" s="41">
        <v>9.32</v>
      </c>
      <c r="O2385" s="186"/>
      <c r="P2385" s="177"/>
      <c r="Q2385" s="178"/>
      <c r="R2385" s="178" t="s">
        <v>1017</v>
      </c>
      <c r="S2385" s="178" t="s">
        <v>4180</v>
      </c>
      <c r="T2385" t="s">
        <v>4180</v>
      </c>
      <c r="U2385" s="179"/>
      <c r="V2385" s="178"/>
      <c r="W2385" s="180"/>
      <c r="X2385" s="180"/>
      <c r="Y2385" s="178"/>
      <c r="Z2385" s="180"/>
      <c r="AA2385" s="178" t="s">
        <v>1017</v>
      </c>
      <c r="AB2385" s="178"/>
      <c r="AC2385" s="180"/>
      <c r="AD2385" s="182"/>
      <c r="AE2385" s="200"/>
      <c r="AF2385" s="180"/>
      <c r="AG2385" s="201"/>
      <c r="AH2385" s="212" t="str">
        <f t="shared" si="1105"/>
        <v>2010</v>
      </c>
      <c r="AI2385" s="214" t="str">
        <f t="shared" si="1094"/>
        <v/>
      </c>
      <c r="AJ2385" s="214" t="str">
        <f t="shared" si="1095"/>
        <v/>
      </c>
      <c r="AK2385" s="214" t="str">
        <f t="shared" si="1096"/>
        <v/>
      </c>
      <c r="AL2385" s="214" t="str">
        <f t="shared" si="1097"/>
        <v/>
      </c>
      <c r="AM2385" s="214" t="str">
        <f t="shared" si="1098"/>
        <v/>
      </c>
      <c r="AN2385" s="213" t="str">
        <f t="shared" si="1081"/>
        <v>2010</v>
      </c>
      <c r="AO2385" s="213" t="str">
        <f t="shared" si="1082"/>
        <v>2010</v>
      </c>
      <c r="AP2385" s="213" t="str">
        <f t="shared" si="1083"/>
        <v>2010</v>
      </c>
      <c r="AQ2385" s="215" t="str">
        <f t="shared" si="1084"/>
        <v/>
      </c>
      <c r="AR2385" s="216" t="str">
        <f t="shared" si="1085"/>
        <v>BiK82M2K10--08</v>
      </c>
      <c r="AS2385" s="215" t="str">
        <f t="shared" si="1086"/>
        <v/>
      </c>
      <c r="AT2385">
        <f t="shared" si="1087"/>
        <v>14</v>
      </c>
      <c r="AU2385" s="216" t="str">
        <f t="shared" si="1088"/>
        <v>0,15-0,5 MW, Bonusregeln M2, K erstmals 2010</v>
      </c>
      <c r="AV2385" s="215" t="str">
        <f t="shared" si="1089"/>
        <v/>
      </c>
      <c r="AW2385" s="216" t="str">
        <f t="shared" si="1090"/>
        <v>Anteil KWK, erstmals 2010</v>
      </c>
      <c r="AX2385" s="215" t="str">
        <f t="shared" si="1091"/>
        <v/>
      </c>
      <c r="AY2385" t="str">
        <f t="shared" si="1092"/>
        <v/>
      </c>
      <c r="AZ2385" t="str">
        <f t="shared" si="1093"/>
        <v/>
      </c>
    </row>
    <row r="2386" spans="1:52" s="178" customFormat="1" x14ac:dyDescent="0.25">
      <c r="A2386" s="610" t="s">
        <v>3464</v>
      </c>
      <c r="B2386" s="30" t="s">
        <v>5548</v>
      </c>
      <c r="C2386" s="30" t="s">
        <v>5540</v>
      </c>
      <c r="D2386" s="30" t="s">
        <v>7123</v>
      </c>
      <c r="E2386" s="30" t="s">
        <v>3055</v>
      </c>
      <c r="F2386" s="454">
        <f t="shared" si="1100"/>
        <v>20.259999999999998</v>
      </c>
      <c r="G2386" s="529">
        <v>20.259999999999998</v>
      </c>
      <c r="H2386" s="487">
        <f t="shared" si="1101"/>
        <v>16.21</v>
      </c>
      <c r="I2386" s="706"/>
      <c r="J2386" s="669" t="s">
        <v>5805</v>
      </c>
      <c r="K2386" s="15"/>
      <c r="L2386"/>
      <c r="M2386" s="49">
        <f t="shared" si="1102"/>
        <v>20.259999999999998</v>
      </c>
      <c r="N2386" s="41">
        <v>9.32</v>
      </c>
      <c r="O2386" s="186"/>
      <c r="P2386" s="177"/>
      <c r="S2386" s="178" t="s">
        <v>1017</v>
      </c>
      <c r="T2386" s="178" t="s">
        <v>4180</v>
      </c>
      <c r="U2386" s="179"/>
      <c r="W2386" s="180"/>
      <c r="X2386" s="180"/>
      <c r="Z2386" s="180"/>
      <c r="AA2386" s="178" t="s">
        <v>1017</v>
      </c>
      <c r="AC2386" s="180"/>
      <c r="AD2386" s="182"/>
      <c r="AE2386" s="200"/>
      <c r="AF2386" s="180"/>
      <c r="AG2386" s="201"/>
      <c r="AH2386" s="212" t="str">
        <f t="shared" si="1105"/>
        <v>2011</v>
      </c>
      <c r="AI2386" s="214" t="str">
        <f t="shared" si="1094"/>
        <v/>
      </c>
      <c r="AJ2386" s="214" t="str">
        <f t="shared" si="1095"/>
        <v/>
      </c>
      <c r="AK2386" s="214" t="str">
        <f t="shared" si="1096"/>
        <v/>
      </c>
      <c r="AL2386" s="214" t="str">
        <f t="shared" si="1097"/>
        <v/>
      </c>
      <c r="AM2386" s="214" t="str">
        <f t="shared" si="1098"/>
        <v/>
      </c>
      <c r="AN2386" s="213" t="str">
        <f t="shared" si="1081"/>
        <v>2011</v>
      </c>
      <c r="AO2386" s="213" t="str">
        <f t="shared" si="1082"/>
        <v>2011</v>
      </c>
      <c r="AP2386" s="213" t="str">
        <f t="shared" si="1083"/>
        <v>2011</v>
      </c>
      <c r="AQ2386" s="215" t="str">
        <f t="shared" si="1084"/>
        <v/>
      </c>
      <c r="AR2386" s="216" t="str">
        <f t="shared" si="1085"/>
        <v>BiK82M2K11--08</v>
      </c>
      <c r="AS2386" s="215" t="str">
        <f t="shared" si="1086"/>
        <v/>
      </c>
      <c r="AT2386">
        <f t="shared" si="1087"/>
        <v>14</v>
      </c>
      <c r="AU2386" s="216" t="str">
        <f t="shared" si="1088"/>
        <v>0,15-0,5 MW, Bonusregeln M2, K erstmals 2011</v>
      </c>
      <c r="AV2386" s="215" t="str">
        <f t="shared" si="1089"/>
        <v/>
      </c>
      <c r="AW2386" s="216" t="str">
        <f t="shared" si="1090"/>
        <v>Anteil KWK, erstmals 2011</v>
      </c>
      <c r="AX2386" s="215" t="str">
        <f t="shared" si="1091"/>
        <v/>
      </c>
      <c r="AY2386" t="str">
        <f t="shared" si="1092"/>
        <v>x</v>
      </c>
      <c r="AZ2386" t="str">
        <f t="shared" si="1093"/>
        <v/>
      </c>
    </row>
    <row r="2387" spans="1:52" s="178" customFormat="1" x14ac:dyDescent="0.25">
      <c r="A2387" s="625" t="s">
        <v>1896</v>
      </c>
      <c r="B2387" s="219" t="s">
        <v>5548</v>
      </c>
      <c r="C2387" s="219" t="s">
        <v>5540</v>
      </c>
      <c r="D2387" s="219" t="s">
        <v>7124</v>
      </c>
      <c r="E2387" s="219" t="s">
        <v>1980</v>
      </c>
      <c r="F2387" s="455">
        <f t="shared" si="1100"/>
        <v>20.23</v>
      </c>
      <c r="G2387" s="530">
        <v>20.23</v>
      </c>
      <c r="H2387" s="488">
        <f t="shared" si="1101"/>
        <v>16.18</v>
      </c>
      <c r="I2387" s="707"/>
      <c r="J2387" s="669" t="s">
        <v>5805</v>
      </c>
      <c r="K2387" s="15"/>
      <c r="L2387"/>
      <c r="M2387" s="49">
        <f t="shared" si="1102"/>
        <v>20.23</v>
      </c>
      <c r="N2387" s="41">
        <v>9.32</v>
      </c>
      <c r="O2387" s="186"/>
      <c r="P2387" s="177"/>
      <c r="S2387" s="178" t="s">
        <v>4180</v>
      </c>
      <c r="T2387" s="178" t="s">
        <v>1017</v>
      </c>
      <c r="U2387" s="179"/>
      <c r="W2387" s="180"/>
      <c r="X2387" s="180"/>
      <c r="Z2387" s="180"/>
      <c r="AA2387" s="178" t="s">
        <v>1017</v>
      </c>
      <c r="AC2387" s="180"/>
      <c r="AD2387" s="182"/>
      <c r="AE2387" s="200"/>
      <c r="AF2387" s="180"/>
      <c r="AG2387" s="201"/>
      <c r="AH2387" s="217" t="s">
        <v>4179</v>
      </c>
      <c r="AI2387" s="214" t="str">
        <f t="shared" si="1094"/>
        <v/>
      </c>
      <c r="AJ2387" s="214" t="str">
        <f t="shared" si="1095"/>
        <v/>
      </c>
      <c r="AK2387" s="214" t="str">
        <f t="shared" si="1096"/>
        <v/>
      </c>
      <c r="AL2387" s="214" t="str">
        <f t="shared" si="1097"/>
        <v/>
      </c>
      <c r="AM2387" s="214" t="str">
        <f t="shared" si="1098"/>
        <v/>
      </c>
      <c r="AN2387" s="213" t="str">
        <f t="shared" si="1081"/>
        <v>2012</v>
      </c>
      <c r="AO2387" s="213" t="str">
        <f t="shared" si="1082"/>
        <v>2012</v>
      </c>
      <c r="AP2387" s="213" t="str">
        <f t="shared" si="1083"/>
        <v>2012</v>
      </c>
      <c r="AQ2387" s="215" t="str">
        <f t="shared" si="1084"/>
        <v/>
      </c>
      <c r="AR2387" s="216" t="str">
        <f t="shared" si="1085"/>
        <v>BiK82M2K12--08</v>
      </c>
      <c r="AS2387" s="215" t="str">
        <f t="shared" si="1086"/>
        <v/>
      </c>
      <c r="AT2387">
        <f t="shared" si="1087"/>
        <v>14</v>
      </c>
      <c r="AU2387" s="216" t="str">
        <f t="shared" si="1088"/>
        <v>0,15-0,5 MW, Bonusregeln M2, K erstmals 2012</v>
      </c>
      <c r="AV2387" s="215" t="str">
        <f t="shared" si="1089"/>
        <v/>
      </c>
      <c r="AW2387" s="216" t="str">
        <f t="shared" si="1090"/>
        <v>Anteil KWK, erstmals 2012</v>
      </c>
      <c r="AX2387" s="215" t="str">
        <f t="shared" si="1091"/>
        <v/>
      </c>
      <c r="AY2387" t="str">
        <f t="shared" si="1092"/>
        <v/>
      </c>
      <c r="AZ2387" t="str">
        <f t="shared" si="1093"/>
        <v>x</v>
      </c>
    </row>
    <row r="2388" spans="1:52" s="178" customFormat="1" x14ac:dyDescent="0.25">
      <c r="A2388" s="610" t="s">
        <v>4521</v>
      </c>
      <c r="B2388" s="30" t="s">
        <v>5548</v>
      </c>
      <c r="C2388" s="30" t="s">
        <v>5540</v>
      </c>
      <c r="D2388" s="30" t="s">
        <v>7052</v>
      </c>
      <c r="E2388" s="30" t="s">
        <v>4810</v>
      </c>
      <c r="F2388" s="454">
        <f t="shared" si="1100"/>
        <v>18.32</v>
      </c>
      <c r="G2388" s="529">
        <v>18.32</v>
      </c>
      <c r="H2388" s="487">
        <f t="shared" si="1101"/>
        <v>14.66</v>
      </c>
      <c r="I2388" s="706"/>
      <c r="J2388" s="669" t="s">
        <v>5805</v>
      </c>
      <c r="K2388" s="15"/>
      <c r="L2388"/>
      <c r="M2388" s="49">
        <f t="shared" si="1102"/>
        <v>18.32</v>
      </c>
      <c r="N2388" s="41">
        <v>9.32</v>
      </c>
      <c r="O2388" s="187"/>
      <c r="P2388" s="183"/>
      <c r="Q2388" s="184"/>
      <c r="R2388" s="184"/>
      <c r="S2388" s="184" t="s">
        <v>4180</v>
      </c>
      <c r="T2388" s="178" t="s">
        <v>4180</v>
      </c>
      <c r="U2388" s="185" t="s">
        <v>1017</v>
      </c>
      <c r="V2388" s="184"/>
      <c r="W2388" s="180"/>
      <c r="X2388" s="180"/>
      <c r="Z2388" s="180"/>
      <c r="AA2388" s="184" t="s">
        <v>1017</v>
      </c>
      <c r="AB2388" s="184"/>
      <c r="AC2388" s="180"/>
      <c r="AD2388" s="182"/>
      <c r="AE2388" s="181"/>
      <c r="AF2388" s="180"/>
      <c r="AG2388" s="201"/>
      <c r="AH2388" s="212" t="str">
        <f t="shared" ref="AH2388:AH2393" si="1106">IF(ISERROR(SEARCH("K erstmals 201",D2388)),"",RIGHT(D2388,4))</f>
        <v/>
      </c>
      <c r="AI2388" s="214" t="str">
        <f t="shared" si="1094"/>
        <v/>
      </c>
      <c r="AJ2388" s="214" t="str">
        <f t="shared" si="1095"/>
        <v/>
      </c>
      <c r="AK2388" s="214" t="str">
        <f t="shared" si="1096"/>
        <v/>
      </c>
      <c r="AL2388" s="214" t="str">
        <f t="shared" si="1097"/>
        <v/>
      </c>
      <c r="AM2388" s="214" t="str">
        <f t="shared" si="1098"/>
        <v/>
      </c>
      <c r="AN2388" s="213" t="str">
        <f t="shared" si="1081"/>
        <v/>
      </c>
      <c r="AO2388" s="213" t="str">
        <f t="shared" si="1082"/>
        <v/>
      </c>
      <c r="AP2388" s="213" t="str">
        <f t="shared" si="1083"/>
        <v/>
      </c>
      <c r="AQ2388" s="215" t="str">
        <f t="shared" si="1084"/>
        <v/>
      </c>
      <c r="AR2388" s="216" t="str">
        <f t="shared" si="1085"/>
        <v>BiK82M2y----08</v>
      </c>
      <c r="AS2388" s="215" t="str">
        <f t="shared" si="1086"/>
        <v/>
      </c>
      <c r="AT2388">
        <f t="shared" si="1087"/>
        <v>14</v>
      </c>
      <c r="AU2388" s="216" t="str">
        <f t="shared" si="1088"/>
        <v>0,15-0,5 MW, Bonusregeln M2, y</v>
      </c>
      <c r="AV2388" s="215" t="str">
        <f t="shared" si="1089"/>
        <v/>
      </c>
      <c r="AW2388" s="216" t="str">
        <f t="shared" si="1090"/>
        <v>Anteil Nicht-KWK</v>
      </c>
      <c r="AX2388" s="215" t="str">
        <f t="shared" si="1091"/>
        <v/>
      </c>
      <c r="AY2388" t="str">
        <f t="shared" si="1092"/>
        <v/>
      </c>
      <c r="AZ2388" t="str">
        <f t="shared" si="1093"/>
        <v/>
      </c>
    </row>
    <row r="2389" spans="1:52" s="178" customFormat="1" x14ac:dyDescent="0.25">
      <c r="A2389" s="610" t="s">
        <v>5603</v>
      </c>
      <c r="B2389" s="30" t="s">
        <v>5548</v>
      </c>
      <c r="C2389" s="30" t="s">
        <v>5540</v>
      </c>
      <c r="D2389" s="30" t="s">
        <v>7125</v>
      </c>
      <c r="E2389" s="30" t="s">
        <v>4812</v>
      </c>
      <c r="F2389" s="454">
        <f t="shared" si="1100"/>
        <v>20.32</v>
      </c>
      <c r="G2389" s="529">
        <v>20.32</v>
      </c>
      <c r="H2389" s="487">
        <f t="shared" si="1101"/>
        <v>16.260000000000002</v>
      </c>
      <c r="I2389" s="706"/>
      <c r="J2389" s="669" t="s">
        <v>5805</v>
      </c>
      <c r="K2389" s="15"/>
      <c r="L2389"/>
      <c r="M2389" s="49">
        <f t="shared" si="1102"/>
        <v>20.32</v>
      </c>
      <c r="N2389" s="41">
        <v>9.32</v>
      </c>
      <c r="O2389" s="187" t="s">
        <v>1017</v>
      </c>
      <c r="P2389" s="183"/>
      <c r="Q2389" s="184"/>
      <c r="R2389" s="184"/>
      <c r="S2389" s="184" t="s">
        <v>4180</v>
      </c>
      <c r="T2389" s="178" t="s">
        <v>4180</v>
      </c>
      <c r="U2389" s="185" t="s">
        <v>1017</v>
      </c>
      <c r="V2389" s="184"/>
      <c r="W2389" s="180"/>
      <c r="X2389" s="180"/>
      <c r="Z2389" s="180"/>
      <c r="AA2389" s="184" t="s">
        <v>1017</v>
      </c>
      <c r="AB2389" s="184"/>
      <c r="AC2389" s="180"/>
      <c r="AD2389" s="182"/>
      <c r="AE2389" s="181"/>
      <c r="AF2389" s="180"/>
      <c r="AG2389" s="201"/>
      <c r="AH2389" s="212" t="str">
        <f t="shared" si="1106"/>
        <v/>
      </c>
      <c r="AI2389" s="214" t="str">
        <f t="shared" si="1094"/>
        <v/>
      </c>
      <c r="AJ2389" s="214" t="str">
        <f t="shared" si="1095"/>
        <v/>
      </c>
      <c r="AK2389" s="214" t="str">
        <f t="shared" si="1096"/>
        <v/>
      </c>
      <c r="AL2389" s="214" t="str">
        <f t="shared" si="1097"/>
        <v/>
      </c>
      <c r="AM2389" s="214" t="str">
        <f t="shared" si="1098"/>
        <v/>
      </c>
      <c r="AN2389" s="213" t="str">
        <f t="shared" si="1081"/>
        <v/>
      </c>
      <c r="AO2389" s="213" t="str">
        <f t="shared" si="1082"/>
        <v/>
      </c>
      <c r="AP2389" s="213" t="str">
        <f t="shared" si="1083"/>
        <v/>
      </c>
      <c r="AQ2389" s="215" t="str">
        <f t="shared" si="1084"/>
        <v/>
      </c>
      <c r="AR2389" s="216" t="str">
        <f t="shared" si="1085"/>
        <v>BiK82M2KWKy-08</v>
      </c>
      <c r="AS2389" s="215" t="str">
        <f t="shared" si="1086"/>
        <v/>
      </c>
      <c r="AT2389">
        <f t="shared" si="1087"/>
        <v>14</v>
      </c>
      <c r="AU2389" s="216" t="str">
        <f t="shared" si="1088"/>
        <v>0,15-0,5 MW, Bonusregeln M2, y und KWK</v>
      </c>
      <c r="AV2389" s="215" t="str">
        <f t="shared" si="1089"/>
        <v/>
      </c>
      <c r="AW2389" s="216" t="str">
        <f t="shared" si="1090"/>
        <v>Anteil KWK</v>
      </c>
      <c r="AX2389" s="215" t="str">
        <f t="shared" si="1091"/>
        <v/>
      </c>
      <c r="AY2389" t="str">
        <f t="shared" si="1092"/>
        <v/>
      </c>
      <c r="AZ2389" t="str">
        <f t="shared" si="1093"/>
        <v/>
      </c>
    </row>
    <row r="2390" spans="1:52" s="178" customFormat="1" x14ac:dyDescent="0.25">
      <c r="A2390" s="610" t="s">
        <v>5604</v>
      </c>
      <c r="B2390" s="30" t="s">
        <v>5548</v>
      </c>
      <c r="C2390" s="30" t="s">
        <v>5540</v>
      </c>
      <c r="D2390" s="109" t="s">
        <v>7053</v>
      </c>
      <c r="E2390" s="30" t="s">
        <v>4331</v>
      </c>
      <c r="F2390" s="454">
        <f t="shared" si="1100"/>
        <v>21.32</v>
      </c>
      <c r="G2390" s="529">
        <v>21.32</v>
      </c>
      <c r="H2390" s="487">
        <f t="shared" si="1101"/>
        <v>17.059999999999999</v>
      </c>
      <c r="I2390" s="706"/>
      <c r="J2390" s="669" t="s">
        <v>5805</v>
      </c>
      <c r="K2390" s="15"/>
      <c r="L2390"/>
      <c r="M2390" s="49">
        <f t="shared" si="1102"/>
        <v>21.32</v>
      </c>
      <c r="N2390" s="41">
        <v>9.32</v>
      </c>
      <c r="O2390" s="187"/>
      <c r="P2390" s="184" t="s">
        <v>1017</v>
      </c>
      <c r="Q2390" s="184"/>
      <c r="R2390" s="184"/>
      <c r="S2390" s="184" t="s">
        <v>4180</v>
      </c>
      <c r="T2390" s="178" t="s">
        <v>4180</v>
      </c>
      <c r="U2390" s="185" t="s">
        <v>1017</v>
      </c>
      <c r="V2390" s="184"/>
      <c r="W2390" s="180"/>
      <c r="X2390" s="180"/>
      <c r="Z2390" s="180"/>
      <c r="AA2390" s="184" t="s">
        <v>1017</v>
      </c>
      <c r="AB2390" s="184"/>
      <c r="AC2390" s="180"/>
      <c r="AD2390" s="182"/>
      <c r="AE2390" s="181"/>
      <c r="AF2390" s="180"/>
      <c r="AG2390" s="201"/>
      <c r="AH2390" s="212" t="str">
        <f t="shared" si="1106"/>
        <v/>
      </c>
      <c r="AI2390" s="214" t="str">
        <f t="shared" si="1094"/>
        <v/>
      </c>
      <c r="AJ2390" s="214" t="str">
        <f t="shared" si="1095"/>
        <v/>
      </c>
      <c r="AK2390" s="214" t="str">
        <f t="shared" si="1096"/>
        <v/>
      </c>
      <c r="AL2390" s="214" t="str">
        <f t="shared" si="1097"/>
        <v/>
      </c>
      <c r="AM2390" s="214" t="str">
        <f t="shared" si="1098"/>
        <v/>
      </c>
      <c r="AN2390" s="213" t="str">
        <f t="shared" si="1081"/>
        <v/>
      </c>
      <c r="AO2390" s="213" t="str">
        <f t="shared" si="1082"/>
        <v/>
      </c>
      <c r="AP2390" s="213" t="str">
        <f t="shared" si="1083"/>
        <v/>
      </c>
      <c r="AQ2390" s="215" t="str">
        <f t="shared" si="1084"/>
        <v/>
      </c>
      <c r="AR2390" s="216" t="str">
        <f t="shared" si="1085"/>
        <v>BiK82M2KA3y-08</v>
      </c>
      <c r="AS2390" s="215" t="str">
        <f t="shared" si="1086"/>
        <v/>
      </c>
      <c r="AT2390">
        <f t="shared" si="1087"/>
        <v>14</v>
      </c>
      <c r="AU2390" s="216" t="str">
        <f t="shared" si="1088"/>
        <v>0,15-0,5 MW, Bonusregeln M2, y und K wenn Anlage 3 erfüllt</v>
      </c>
      <c r="AV2390" s="215" t="str">
        <f t="shared" si="1089"/>
        <v/>
      </c>
      <c r="AW2390" s="216" t="str">
        <f t="shared" si="1090"/>
        <v>Anteil KWK gemäß Anlage 3</v>
      </c>
      <c r="AX2390" s="215" t="str">
        <f t="shared" si="1091"/>
        <v/>
      </c>
      <c r="AY2390" t="str">
        <f t="shared" si="1092"/>
        <v/>
      </c>
      <c r="AZ2390" t="str">
        <f t="shared" si="1093"/>
        <v/>
      </c>
    </row>
    <row r="2391" spans="1:52" s="178" customFormat="1" x14ac:dyDescent="0.25">
      <c r="A2391" s="610" t="s">
        <v>5605</v>
      </c>
      <c r="B2391" s="30" t="s">
        <v>5548</v>
      </c>
      <c r="C2391" s="30" t="s">
        <v>5540</v>
      </c>
      <c r="D2391" s="30" t="s">
        <v>7054</v>
      </c>
      <c r="E2391" s="30" t="s">
        <v>674</v>
      </c>
      <c r="F2391" s="454">
        <f t="shared" si="1100"/>
        <v>21.32</v>
      </c>
      <c r="G2391" s="529">
        <v>21.32</v>
      </c>
      <c r="H2391" s="487">
        <f t="shared" si="1101"/>
        <v>17.059999999999999</v>
      </c>
      <c r="I2391" s="706"/>
      <c r="J2391" s="669" t="s">
        <v>5805</v>
      </c>
      <c r="K2391" s="15"/>
      <c r="L2391"/>
      <c r="M2391" s="49">
        <f t="shared" si="1102"/>
        <v>21.32</v>
      </c>
      <c r="N2391" s="41">
        <v>9.32</v>
      </c>
      <c r="O2391" s="187"/>
      <c r="P2391" s="183"/>
      <c r="Q2391" s="184" t="s">
        <v>1017</v>
      </c>
      <c r="R2391" s="184"/>
      <c r="S2391" s="184" t="s">
        <v>4180</v>
      </c>
      <c r="T2391" s="178" t="s">
        <v>4180</v>
      </c>
      <c r="U2391" s="185" t="s">
        <v>1017</v>
      </c>
      <c r="V2391" s="184"/>
      <c r="W2391" s="180"/>
      <c r="X2391" s="180"/>
      <c r="Z2391" s="180"/>
      <c r="AA2391" s="184" t="s">
        <v>1017</v>
      </c>
      <c r="AB2391" s="184"/>
      <c r="AC2391" s="180"/>
      <c r="AD2391" s="182"/>
      <c r="AE2391" s="181"/>
      <c r="AF2391" s="180"/>
      <c r="AG2391" s="201"/>
      <c r="AH2391" s="212" t="str">
        <f t="shared" si="1106"/>
        <v/>
      </c>
      <c r="AI2391" s="214" t="str">
        <f t="shared" si="1094"/>
        <v/>
      </c>
      <c r="AJ2391" s="214" t="str">
        <f t="shared" si="1095"/>
        <v/>
      </c>
      <c r="AK2391" s="214" t="str">
        <f t="shared" si="1096"/>
        <v/>
      </c>
      <c r="AL2391" s="214" t="str">
        <f t="shared" si="1097"/>
        <v/>
      </c>
      <c r="AM2391" s="214" t="str">
        <f t="shared" si="1098"/>
        <v/>
      </c>
      <c r="AN2391" s="213" t="str">
        <f t="shared" si="1081"/>
        <v/>
      </c>
      <c r="AO2391" s="213" t="str">
        <f t="shared" si="1082"/>
        <v/>
      </c>
      <c r="AP2391" s="213" t="str">
        <f t="shared" si="1083"/>
        <v/>
      </c>
      <c r="AQ2391" s="215" t="str">
        <f t="shared" si="1084"/>
        <v/>
      </c>
      <c r="AR2391" s="216" t="str">
        <f t="shared" si="1085"/>
        <v>BiK82M2K09y-08</v>
      </c>
      <c r="AS2391" s="215" t="str">
        <f t="shared" si="1086"/>
        <v/>
      </c>
      <c r="AT2391">
        <f t="shared" si="1087"/>
        <v>14</v>
      </c>
      <c r="AU2391" s="216" t="str">
        <f t="shared" si="1088"/>
        <v>0,15-0,5 MW, Bonusregeln M2, y und K erstmals 2009</v>
      </c>
      <c r="AV2391" s="215" t="str">
        <f t="shared" si="1089"/>
        <v/>
      </c>
      <c r="AW2391" s="216" t="str">
        <f t="shared" si="1090"/>
        <v>Anteil KWK, erstmals 2009</v>
      </c>
      <c r="AX2391" s="215" t="str">
        <f t="shared" si="1091"/>
        <v/>
      </c>
      <c r="AY2391" t="str">
        <f t="shared" si="1092"/>
        <v/>
      </c>
      <c r="AZ2391" t="str">
        <f t="shared" si="1093"/>
        <v/>
      </c>
    </row>
    <row r="2392" spans="1:52" s="178" customFormat="1" x14ac:dyDescent="0.25">
      <c r="A2392" s="610" t="s">
        <v>3189</v>
      </c>
      <c r="B2392" s="30" t="s">
        <v>5548</v>
      </c>
      <c r="C2392" s="30" t="s">
        <v>5540</v>
      </c>
      <c r="D2392" s="30" t="s">
        <v>7055</v>
      </c>
      <c r="E2392" s="30" t="s">
        <v>3567</v>
      </c>
      <c r="F2392" s="454">
        <f t="shared" si="1100"/>
        <v>21.29</v>
      </c>
      <c r="G2392" s="529">
        <v>21.29</v>
      </c>
      <c r="H2392" s="487">
        <f t="shared" si="1101"/>
        <v>17.03</v>
      </c>
      <c r="I2392" s="706"/>
      <c r="J2392" s="669" t="s">
        <v>5805</v>
      </c>
      <c r="K2392" s="15"/>
      <c r="L2392"/>
      <c r="M2392" s="49">
        <f t="shared" si="1102"/>
        <v>21.29</v>
      </c>
      <c r="N2392" s="41">
        <v>9.32</v>
      </c>
      <c r="O2392" s="187"/>
      <c r="P2392" s="183"/>
      <c r="Q2392" s="184"/>
      <c r="R2392" s="184" t="s">
        <v>1017</v>
      </c>
      <c r="S2392" s="184" t="s">
        <v>4180</v>
      </c>
      <c r="T2392" s="178" t="s">
        <v>4180</v>
      </c>
      <c r="U2392" s="185" t="s">
        <v>1017</v>
      </c>
      <c r="V2392" s="184"/>
      <c r="W2392" s="180"/>
      <c r="X2392" s="180"/>
      <c r="Z2392" s="180"/>
      <c r="AA2392" s="184" t="s">
        <v>1017</v>
      </c>
      <c r="AB2392" s="184"/>
      <c r="AC2392" s="180"/>
      <c r="AD2392" s="182"/>
      <c r="AE2392" s="181"/>
      <c r="AF2392" s="180"/>
      <c r="AG2392" s="201"/>
      <c r="AH2392" s="212" t="str">
        <f t="shared" si="1106"/>
        <v>2010</v>
      </c>
      <c r="AI2392" s="214" t="str">
        <f t="shared" si="1094"/>
        <v/>
      </c>
      <c r="AJ2392" s="214" t="str">
        <f t="shared" si="1095"/>
        <v/>
      </c>
      <c r="AK2392" s="214" t="str">
        <f t="shared" si="1096"/>
        <v/>
      </c>
      <c r="AL2392" s="214" t="str">
        <f t="shared" si="1097"/>
        <v/>
      </c>
      <c r="AM2392" s="214" t="str">
        <f t="shared" si="1098"/>
        <v/>
      </c>
      <c r="AN2392" s="213" t="str">
        <f t="shared" si="1081"/>
        <v>2010</v>
      </c>
      <c r="AO2392" s="213" t="str">
        <f t="shared" si="1082"/>
        <v>2010</v>
      </c>
      <c r="AP2392" s="213" t="str">
        <f t="shared" si="1083"/>
        <v>2010</v>
      </c>
      <c r="AQ2392" s="215" t="str">
        <f t="shared" si="1084"/>
        <v/>
      </c>
      <c r="AR2392" s="216" t="str">
        <f t="shared" si="1085"/>
        <v>BiK82M2K10y-08</v>
      </c>
      <c r="AS2392" s="215" t="str">
        <f t="shared" si="1086"/>
        <v/>
      </c>
      <c r="AT2392">
        <f t="shared" si="1087"/>
        <v>14</v>
      </c>
      <c r="AU2392" s="216" t="str">
        <f t="shared" si="1088"/>
        <v>0,15-0,5 MW, Bonusregeln M2, y und K erstmals 2010</v>
      </c>
      <c r="AV2392" s="215" t="str">
        <f t="shared" si="1089"/>
        <v/>
      </c>
      <c r="AW2392" s="216" t="str">
        <f t="shared" si="1090"/>
        <v>Anteil KWK, erstmals 2010</v>
      </c>
      <c r="AX2392" s="215" t="str">
        <f t="shared" si="1091"/>
        <v/>
      </c>
      <c r="AY2392" t="str">
        <f t="shared" si="1092"/>
        <v/>
      </c>
      <c r="AZ2392" t="str">
        <f t="shared" si="1093"/>
        <v/>
      </c>
    </row>
    <row r="2393" spans="1:52" s="178" customFormat="1" x14ac:dyDescent="0.25">
      <c r="A2393" s="610" t="s">
        <v>3465</v>
      </c>
      <c r="B2393" s="30" t="s">
        <v>5548</v>
      </c>
      <c r="C2393" s="30" t="s">
        <v>5540</v>
      </c>
      <c r="D2393" s="30" t="s">
        <v>7056</v>
      </c>
      <c r="E2393" s="30" t="s">
        <v>3055</v>
      </c>
      <c r="F2393" s="454">
        <f t="shared" si="1100"/>
        <v>21.259999999999998</v>
      </c>
      <c r="G2393" s="529">
        <v>21.259999999999998</v>
      </c>
      <c r="H2393" s="487">
        <f t="shared" si="1101"/>
        <v>17.010000000000002</v>
      </c>
      <c r="I2393" s="706"/>
      <c r="J2393" s="669" t="s">
        <v>5805</v>
      </c>
      <c r="K2393" s="15"/>
      <c r="L2393"/>
      <c r="M2393" s="49">
        <f t="shared" si="1102"/>
        <v>21.259999999999998</v>
      </c>
      <c r="N2393" s="41">
        <v>9.32</v>
      </c>
      <c r="O2393" s="187"/>
      <c r="P2393" s="183"/>
      <c r="Q2393" s="184"/>
      <c r="S2393" s="184" t="s">
        <v>1017</v>
      </c>
      <c r="T2393" s="178" t="s">
        <v>4180</v>
      </c>
      <c r="U2393" s="185" t="s">
        <v>1017</v>
      </c>
      <c r="V2393" s="184"/>
      <c r="W2393" s="180"/>
      <c r="X2393" s="180"/>
      <c r="Z2393" s="180"/>
      <c r="AA2393" s="184" t="s">
        <v>1017</v>
      </c>
      <c r="AB2393" s="184"/>
      <c r="AC2393" s="180"/>
      <c r="AD2393" s="182"/>
      <c r="AE2393" s="181"/>
      <c r="AF2393" s="180"/>
      <c r="AG2393" s="201"/>
      <c r="AH2393" s="212" t="str">
        <f t="shared" si="1106"/>
        <v>2011</v>
      </c>
      <c r="AI2393" s="214" t="str">
        <f t="shared" si="1094"/>
        <v/>
      </c>
      <c r="AJ2393" s="214" t="str">
        <f t="shared" si="1095"/>
        <v/>
      </c>
      <c r="AK2393" s="214" t="str">
        <f t="shared" si="1096"/>
        <v/>
      </c>
      <c r="AL2393" s="214" t="str">
        <f t="shared" si="1097"/>
        <v/>
      </c>
      <c r="AM2393" s="214" t="str">
        <f t="shared" si="1098"/>
        <v/>
      </c>
      <c r="AN2393" s="213" t="str">
        <f t="shared" si="1081"/>
        <v>2011</v>
      </c>
      <c r="AO2393" s="213" t="str">
        <f t="shared" si="1082"/>
        <v>2011</v>
      </c>
      <c r="AP2393" s="213" t="str">
        <f t="shared" si="1083"/>
        <v>2011</v>
      </c>
      <c r="AQ2393" s="215" t="str">
        <f t="shared" si="1084"/>
        <v/>
      </c>
      <c r="AR2393" s="216" t="str">
        <f t="shared" si="1085"/>
        <v>BiK82M2K11y-08</v>
      </c>
      <c r="AS2393" s="215" t="str">
        <f t="shared" si="1086"/>
        <v/>
      </c>
      <c r="AT2393">
        <f t="shared" si="1087"/>
        <v>14</v>
      </c>
      <c r="AU2393" s="216" t="str">
        <f t="shared" si="1088"/>
        <v>0,15-0,5 MW, Bonusregeln M2, y und K erstmals 2011</v>
      </c>
      <c r="AV2393" s="215" t="str">
        <f t="shared" si="1089"/>
        <v/>
      </c>
      <c r="AW2393" s="216" t="str">
        <f t="shared" si="1090"/>
        <v>Anteil KWK, erstmals 2011</v>
      </c>
      <c r="AX2393" s="215" t="str">
        <f t="shared" si="1091"/>
        <v/>
      </c>
      <c r="AY2393" t="str">
        <f t="shared" si="1092"/>
        <v>x</v>
      </c>
      <c r="AZ2393" t="str">
        <f t="shared" si="1093"/>
        <v/>
      </c>
    </row>
    <row r="2394" spans="1:52" s="178" customFormat="1" x14ac:dyDescent="0.25">
      <c r="A2394" s="625" t="s">
        <v>1897</v>
      </c>
      <c r="B2394" s="219" t="s">
        <v>5548</v>
      </c>
      <c r="C2394" s="219" t="s">
        <v>5540</v>
      </c>
      <c r="D2394" s="219" t="s">
        <v>7057</v>
      </c>
      <c r="E2394" s="219" t="s">
        <v>1980</v>
      </c>
      <c r="F2394" s="455">
        <f t="shared" si="1100"/>
        <v>21.23</v>
      </c>
      <c r="G2394" s="530">
        <v>21.23</v>
      </c>
      <c r="H2394" s="488">
        <f t="shared" si="1101"/>
        <v>16.98</v>
      </c>
      <c r="I2394" s="707"/>
      <c r="J2394" s="669" t="s">
        <v>5805</v>
      </c>
      <c r="K2394" s="15"/>
      <c r="L2394"/>
      <c r="M2394" s="49">
        <f t="shared" si="1102"/>
        <v>21.23</v>
      </c>
      <c r="N2394" s="41">
        <v>9.32</v>
      </c>
      <c r="O2394" s="187"/>
      <c r="P2394" s="183"/>
      <c r="Q2394" s="184"/>
      <c r="S2394" s="184" t="s">
        <v>4180</v>
      </c>
      <c r="T2394" s="178" t="s">
        <v>1017</v>
      </c>
      <c r="U2394" s="185" t="s">
        <v>1017</v>
      </c>
      <c r="V2394" s="184"/>
      <c r="W2394" s="180"/>
      <c r="X2394" s="180"/>
      <c r="Z2394" s="180"/>
      <c r="AA2394" s="184" t="s">
        <v>1017</v>
      </c>
      <c r="AB2394" s="184"/>
      <c r="AC2394" s="180"/>
      <c r="AD2394" s="182"/>
      <c r="AE2394" s="181"/>
      <c r="AF2394" s="180"/>
      <c r="AG2394" s="201"/>
      <c r="AH2394" s="217" t="s">
        <v>4179</v>
      </c>
      <c r="AI2394" s="214" t="str">
        <f t="shared" si="1094"/>
        <v/>
      </c>
      <c r="AJ2394" s="214" t="str">
        <f t="shared" si="1095"/>
        <v/>
      </c>
      <c r="AK2394" s="214" t="str">
        <f t="shared" si="1096"/>
        <v/>
      </c>
      <c r="AL2394" s="214" t="str">
        <f t="shared" si="1097"/>
        <v/>
      </c>
      <c r="AM2394" s="214" t="str">
        <f t="shared" si="1098"/>
        <v/>
      </c>
      <c r="AN2394" s="213" t="str">
        <f t="shared" si="1081"/>
        <v>2012</v>
      </c>
      <c r="AO2394" s="213" t="str">
        <f t="shared" si="1082"/>
        <v>2012</v>
      </c>
      <c r="AP2394" s="213" t="str">
        <f t="shared" si="1083"/>
        <v>2012</v>
      </c>
      <c r="AQ2394" s="215" t="str">
        <f t="shared" si="1084"/>
        <v/>
      </c>
      <c r="AR2394" s="216" t="str">
        <f t="shared" si="1085"/>
        <v>BiK82M2K12y-08</v>
      </c>
      <c r="AS2394" s="215" t="str">
        <f t="shared" si="1086"/>
        <v/>
      </c>
      <c r="AT2394">
        <f t="shared" si="1087"/>
        <v>14</v>
      </c>
      <c r="AU2394" s="216" t="str">
        <f t="shared" si="1088"/>
        <v>0,15-0,5 MW, Bonusregeln M2, y und K erstmals 2012</v>
      </c>
      <c r="AV2394" s="215" t="str">
        <f t="shared" si="1089"/>
        <v/>
      </c>
      <c r="AW2394" s="216" t="str">
        <f t="shared" si="1090"/>
        <v>Anteil KWK, erstmals 2012</v>
      </c>
      <c r="AX2394" s="215" t="str">
        <f t="shared" si="1091"/>
        <v/>
      </c>
      <c r="AY2394" t="str">
        <f t="shared" si="1092"/>
        <v/>
      </c>
      <c r="AZ2394" t="str">
        <f t="shared" si="1093"/>
        <v>x</v>
      </c>
    </row>
    <row r="2395" spans="1:52" s="178" customFormat="1" x14ac:dyDescent="0.25">
      <c r="A2395" s="610" t="s">
        <v>4054</v>
      </c>
      <c r="B2395" s="30" t="s">
        <v>5548</v>
      </c>
      <c r="C2395" s="30" t="s">
        <v>5540</v>
      </c>
      <c r="D2395" s="30" t="s">
        <v>7058</v>
      </c>
      <c r="E2395" s="30" t="s">
        <v>4810</v>
      </c>
      <c r="F2395" s="454">
        <f t="shared" si="1100"/>
        <v>18.32</v>
      </c>
      <c r="G2395" s="529">
        <v>18.32</v>
      </c>
      <c r="H2395" s="487">
        <f t="shared" si="1101"/>
        <v>14.66</v>
      </c>
      <c r="I2395" s="706"/>
      <c r="J2395" s="669" t="s">
        <v>5805</v>
      </c>
      <c r="K2395" s="15"/>
      <c r="L2395"/>
      <c r="M2395" s="49">
        <f t="shared" si="1102"/>
        <v>18.32</v>
      </c>
      <c r="N2395" s="41">
        <v>9.32</v>
      </c>
      <c r="O2395" s="186"/>
      <c r="P2395" s="177"/>
      <c r="S2395" s="178" t="s">
        <v>4180</v>
      </c>
      <c r="T2395" s="178" t="s">
        <v>4180</v>
      </c>
      <c r="U2395" s="179"/>
      <c r="W2395" s="180"/>
      <c r="X2395" s="180"/>
      <c r="Z2395" s="180"/>
      <c r="AA2395" s="184"/>
      <c r="AB2395" s="178" t="s">
        <v>1017</v>
      </c>
      <c r="AC2395" s="180"/>
      <c r="AD2395" s="182"/>
      <c r="AE2395" s="200"/>
      <c r="AF2395" s="180"/>
      <c r="AG2395" s="201"/>
      <c r="AH2395" s="212" t="str">
        <f t="shared" ref="AH2395:AH2400" si="1107">IF(ISERROR(SEARCH("K erstmals 201",D2395)),"",RIGHT(D2395,4))</f>
        <v/>
      </c>
      <c r="AI2395" s="214" t="str">
        <f t="shared" si="1094"/>
        <v/>
      </c>
      <c r="AJ2395" s="214" t="str">
        <f t="shared" si="1095"/>
        <v/>
      </c>
      <c r="AK2395" s="214" t="str">
        <f t="shared" si="1096"/>
        <v/>
      </c>
      <c r="AL2395" s="214" t="str">
        <f t="shared" si="1097"/>
        <v/>
      </c>
      <c r="AM2395" s="214" t="str">
        <f t="shared" si="1098"/>
        <v/>
      </c>
      <c r="AN2395" s="213" t="str">
        <f t="shared" si="1081"/>
        <v/>
      </c>
      <c r="AO2395" s="213" t="str">
        <f t="shared" si="1082"/>
        <v/>
      </c>
      <c r="AP2395" s="213" t="str">
        <f t="shared" si="1083"/>
        <v/>
      </c>
      <c r="AQ2395" s="215" t="str">
        <f t="shared" si="1084"/>
        <v/>
      </c>
      <c r="AR2395" s="216" t="str">
        <f t="shared" si="1085"/>
        <v>BiK82L------08</v>
      </c>
      <c r="AS2395" s="215" t="str">
        <f t="shared" si="1086"/>
        <v/>
      </c>
      <c r="AT2395">
        <f t="shared" si="1087"/>
        <v>14</v>
      </c>
      <c r="AU2395" s="216" t="str">
        <f t="shared" si="1088"/>
        <v>0,15-0,5 MW, Bonusregel L</v>
      </c>
      <c r="AV2395" s="215" t="str">
        <f t="shared" si="1089"/>
        <v/>
      </c>
      <c r="AW2395" s="216" t="str">
        <f t="shared" si="1090"/>
        <v>Anteil Nicht-KWK</v>
      </c>
      <c r="AX2395" s="215" t="str">
        <f t="shared" si="1091"/>
        <v/>
      </c>
      <c r="AY2395" t="str">
        <f t="shared" si="1092"/>
        <v/>
      </c>
      <c r="AZ2395" t="str">
        <f t="shared" si="1093"/>
        <v/>
      </c>
    </row>
    <row r="2396" spans="1:52" x14ac:dyDescent="0.25">
      <c r="A2396" s="610" t="s">
        <v>4055</v>
      </c>
      <c r="B2396" s="30" t="s">
        <v>5548</v>
      </c>
      <c r="C2396" s="30" t="s">
        <v>5540</v>
      </c>
      <c r="D2396" s="30" t="s">
        <v>7126</v>
      </c>
      <c r="E2396" s="30" t="s">
        <v>4812</v>
      </c>
      <c r="F2396" s="454">
        <f t="shared" si="1100"/>
        <v>20.32</v>
      </c>
      <c r="G2396" s="529">
        <v>20.32</v>
      </c>
      <c r="H2396" s="487">
        <f t="shared" si="1101"/>
        <v>16.260000000000002</v>
      </c>
      <c r="I2396" s="706"/>
      <c r="J2396" s="669" t="s">
        <v>5805</v>
      </c>
      <c r="K2396" s="15"/>
      <c r="M2396" s="49">
        <f t="shared" si="1102"/>
        <v>20.32</v>
      </c>
      <c r="N2396" s="41">
        <v>9.32</v>
      </c>
      <c r="O2396" s="186" t="s">
        <v>1017</v>
      </c>
      <c r="P2396" s="177"/>
      <c r="Q2396" s="178"/>
      <c r="R2396" s="178"/>
      <c r="S2396" s="178" t="s">
        <v>4180</v>
      </c>
      <c r="T2396" t="s">
        <v>4180</v>
      </c>
      <c r="U2396" s="179"/>
      <c r="V2396" s="178"/>
      <c r="W2396" s="180"/>
      <c r="X2396" s="180"/>
      <c r="Y2396" s="178"/>
      <c r="Z2396" s="180"/>
      <c r="AA2396" s="184"/>
      <c r="AB2396" s="178" t="s">
        <v>1017</v>
      </c>
      <c r="AC2396" s="180"/>
      <c r="AD2396" s="182"/>
      <c r="AE2396" s="200"/>
      <c r="AF2396" s="180"/>
      <c r="AG2396" s="201"/>
      <c r="AH2396" s="212" t="str">
        <f t="shared" si="1107"/>
        <v/>
      </c>
      <c r="AI2396" s="214" t="str">
        <f t="shared" si="1094"/>
        <v/>
      </c>
      <c r="AJ2396" s="214" t="str">
        <f t="shared" si="1095"/>
        <v/>
      </c>
      <c r="AK2396" s="214" t="str">
        <f t="shared" si="1096"/>
        <v/>
      </c>
      <c r="AL2396" s="214" t="str">
        <f t="shared" si="1097"/>
        <v/>
      </c>
      <c r="AM2396" s="214" t="str">
        <f t="shared" si="1098"/>
        <v/>
      </c>
      <c r="AN2396" s="213" t="str">
        <f t="shared" si="1081"/>
        <v/>
      </c>
      <c r="AO2396" s="213" t="str">
        <f t="shared" si="1082"/>
        <v/>
      </c>
      <c r="AP2396" s="213" t="str">
        <f t="shared" si="1083"/>
        <v/>
      </c>
      <c r="AQ2396" s="215" t="str">
        <f t="shared" si="1084"/>
        <v/>
      </c>
      <c r="AR2396" s="216" t="str">
        <f t="shared" si="1085"/>
        <v>BiK82LKWK---08</v>
      </c>
      <c r="AS2396" s="215" t="str">
        <f t="shared" si="1086"/>
        <v/>
      </c>
      <c r="AT2396">
        <f t="shared" si="1087"/>
        <v>14</v>
      </c>
      <c r="AU2396" s="216" t="str">
        <f t="shared" si="1088"/>
        <v>0,15-0,5 MW, Bonusregeln L und KWK</v>
      </c>
      <c r="AV2396" s="215" t="str">
        <f t="shared" si="1089"/>
        <v/>
      </c>
      <c r="AW2396" s="216" t="str">
        <f t="shared" si="1090"/>
        <v>Anteil KWK</v>
      </c>
      <c r="AX2396" s="215" t="str">
        <f t="shared" si="1091"/>
        <v/>
      </c>
      <c r="AY2396" t="str">
        <f t="shared" si="1092"/>
        <v/>
      </c>
      <c r="AZ2396" t="str">
        <f t="shared" si="1093"/>
        <v/>
      </c>
    </row>
    <row r="2397" spans="1:52" x14ac:dyDescent="0.25">
      <c r="A2397" s="610" t="s">
        <v>4056</v>
      </c>
      <c r="B2397" s="30" t="s">
        <v>5548</v>
      </c>
      <c r="C2397" s="30" t="s">
        <v>5540</v>
      </c>
      <c r="D2397" s="30" t="s">
        <v>7059</v>
      </c>
      <c r="E2397" s="30" t="s">
        <v>4331</v>
      </c>
      <c r="F2397" s="454">
        <f t="shared" si="1100"/>
        <v>21.32</v>
      </c>
      <c r="G2397" s="529">
        <v>21.32</v>
      </c>
      <c r="H2397" s="487">
        <f t="shared" si="1101"/>
        <v>17.059999999999999</v>
      </c>
      <c r="I2397" s="706"/>
      <c r="J2397" s="669" t="s">
        <v>5805</v>
      </c>
      <c r="K2397" s="15"/>
      <c r="M2397" s="49">
        <f t="shared" si="1102"/>
        <v>21.32</v>
      </c>
      <c r="N2397" s="41">
        <v>9.32</v>
      </c>
      <c r="O2397" s="186"/>
      <c r="P2397" s="178" t="s">
        <v>1017</v>
      </c>
      <c r="Q2397" s="178"/>
      <c r="R2397" s="178"/>
      <c r="S2397" s="178" t="s">
        <v>4180</v>
      </c>
      <c r="T2397" t="s">
        <v>4180</v>
      </c>
      <c r="U2397" s="179"/>
      <c r="V2397" s="178"/>
      <c r="W2397" s="180"/>
      <c r="X2397" s="180"/>
      <c r="Y2397" s="178"/>
      <c r="Z2397" s="180"/>
      <c r="AA2397" s="184"/>
      <c r="AB2397" s="178" t="s">
        <v>1017</v>
      </c>
      <c r="AC2397" s="180"/>
      <c r="AD2397" s="182"/>
      <c r="AE2397" s="200"/>
      <c r="AF2397" s="180"/>
      <c r="AG2397" s="201"/>
      <c r="AH2397" s="212" t="str">
        <f t="shared" si="1107"/>
        <v/>
      </c>
      <c r="AI2397" s="214" t="str">
        <f t="shared" si="1094"/>
        <v/>
      </c>
      <c r="AJ2397" s="214" t="str">
        <f t="shared" si="1095"/>
        <v/>
      </c>
      <c r="AK2397" s="214" t="str">
        <f t="shared" si="1096"/>
        <v/>
      </c>
      <c r="AL2397" s="214" t="str">
        <f t="shared" si="1097"/>
        <v/>
      </c>
      <c r="AM2397" s="214" t="str">
        <f t="shared" si="1098"/>
        <v/>
      </c>
      <c r="AN2397" s="213" t="str">
        <f t="shared" si="1081"/>
        <v/>
      </c>
      <c r="AO2397" s="213" t="str">
        <f t="shared" si="1082"/>
        <v/>
      </c>
      <c r="AP2397" s="213" t="str">
        <f t="shared" si="1083"/>
        <v/>
      </c>
      <c r="AQ2397" s="215" t="str">
        <f t="shared" si="1084"/>
        <v/>
      </c>
      <c r="AR2397" s="216" t="str">
        <f t="shared" si="1085"/>
        <v>BiK82LKA3---08</v>
      </c>
      <c r="AS2397" s="215" t="str">
        <f t="shared" si="1086"/>
        <v/>
      </c>
      <c r="AT2397">
        <f t="shared" si="1087"/>
        <v>14</v>
      </c>
      <c r="AU2397" s="216" t="str">
        <f t="shared" si="1088"/>
        <v>0,15-0,5 MW, Bonusregeln L und K wenn Anlage 3 erfüllt</v>
      </c>
      <c r="AV2397" s="215" t="str">
        <f t="shared" si="1089"/>
        <v/>
      </c>
      <c r="AW2397" s="216" t="str">
        <f t="shared" si="1090"/>
        <v>Anteil KWK gemäß Anlage 3</v>
      </c>
      <c r="AX2397" s="215" t="str">
        <f t="shared" si="1091"/>
        <v/>
      </c>
      <c r="AY2397" t="str">
        <f t="shared" si="1092"/>
        <v/>
      </c>
      <c r="AZ2397" t="str">
        <f t="shared" si="1093"/>
        <v/>
      </c>
    </row>
    <row r="2398" spans="1:52" x14ac:dyDescent="0.25">
      <c r="A2398" s="610" t="s">
        <v>4057</v>
      </c>
      <c r="B2398" s="30" t="s">
        <v>5548</v>
      </c>
      <c r="C2398" s="30" t="s">
        <v>5540</v>
      </c>
      <c r="D2398" s="30" t="s">
        <v>7060</v>
      </c>
      <c r="E2398" s="30" t="s">
        <v>674</v>
      </c>
      <c r="F2398" s="454">
        <f t="shared" si="1100"/>
        <v>21.32</v>
      </c>
      <c r="G2398" s="529">
        <v>21.32</v>
      </c>
      <c r="H2398" s="487">
        <f t="shared" si="1101"/>
        <v>17.059999999999999</v>
      </c>
      <c r="I2398" s="706"/>
      <c r="J2398" s="669" t="s">
        <v>5805</v>
      </c>
      <c r="K2398" s="15"/>
      <c r="M2398" s="49">
        <f t="shared" si="1102"/>
        <v>21.32</v>
      </c>
      <c r="N2398" s="41">
        <v>9.32</v>
      </c>
      <c r="O2398" s="186"/>
      <c r="P2398" s="177"/>
      <c r="Q2398" s="178" t="s">
        <v>1017</v>
      </c>
      <c r="R2398" s="178"/>
      <c r="S2398" s="178" t="s">
        <v>4180</v>
      </c>
      <c r="T2398" t="s">
        <v>4180</v>
      </c>
      <c r="U2398" s="179"/>
      <c r="V2398" s="178"/>
      <c r="W2398" s="180"/>
      <c r="X2398" s="180"/>
      <c r="Y2398" s="178"/>
      <c r="Z2398" s="180"/>
      <c r="AA2398" s="184"/>
      <c r="AB2398" s="178" t="s">
        <v>1017</v>
      </c>
      <c r="AC2398" s="180"/>
      <c r="AD2398" s="182"/>
      <c r="AE2398" s="200"/>
      <c r="AF2398" s="180"/>
      <c r="AG2398" s="201"/>
      <c r="AH2398" s="212" t="str">
        <f t="shared" si="1107"/>
        <v/>
      </c>
      <c r="AI2398" s="214" t="str">
        <f t="shared" si="1094"/>
        <v/>
      </c>
      <c r="AJ2398" s="214" t="str">
        <f t="shared" si="1095"/>
        <v/>
      </c>
      <c r="AK2398" s="214" t="str">
        <f t="shared" si="1096"/>
        <v/>
      </c>
      <c r="AL2398" s="214" t="str">
        <f t="shared" si="1097"/>
        <v/>
      </c>
      <c r="AM2398" s="214" t="str">
        <f t="shared" si="1098"/>
        <v/>
      </c>
      <c r="AN2398" s="213" t="str">
        <f t="shared" si="1081"/>
        <v/>
      </c>
      <c r="AO2398" s="213" t="str">
        <f t="shared" si="1082"/>
        <v/>
      </c>
      <c r="AP2398" s="213" t="str">
        <f t="shared" si="1083"/>
        <v/>
      </c>
      <c r="AQ2398" s="215" t="str">
        <f t="shared" si="1084"/>
        <v/>
      </c>
      <c r="AR2398" s="216" t="str">
        <f t="shared" si="1085"/>
        <v>BiK82LK09---08</v>
      </c>
      <c r="AS2398" s="215" t="str">
        <f t="shared" si="1086"/>
        <v/>
      </c>
      <c r="AT2398">
        <f t="shared" si="1087"/>
        <v>14</v>
      </c>
      <c r="AU2398" s="216" t="str">
        <f t="shared" si="1088"/>
        <v>0,15-0,5 MW, Bonusregeln L und K erstmals 2009</v>
      </c>
      <c r="AV2398" s="215" t="str">
        <f t="shared" si="1089"/>
        <v/>
      </c>
      <c r="AW2398" s="216" t="str">
        <f t="shared" si="1090"/>
        <v>Anteil KWK, erstmals 2009</v>
      </c>
      <c r="AX2398" s="215" t="str">
        <f t="shared" si="1091"/>
        <v/>
      </c>
      <c r="AY2398" t="str">
        <f t="shared" si="1092"/>
        <v/>
      </c>
      <c r="AZ2398" t="str">
        <f t="shared" si="1093"/>
        <v/>
      </c>
    </row>
    <row r="2399" spans="1:52" x14ac:dyDescent="0.25">
      <c r="A2399" s="610" t="s">
        <v>3190</v>
      </c>
      <c r="B2399" s="30" t="s">
        <v>5548</v>
      </c>
      <c r="C2399" s="30" t="s">
        <v>5540</v>
      </c>
      <c r="D2399" s="30" t="s">
        <v>7061</v>
      </c>
      <c r="E2399" s="30" t="s">
        <v>3567</v>
      </c>
      <c r="F2399" s="454">
        <f t="shared" si="1100"/>
        <v>21.29</v>
      </c>
      <c r="G2399" s="529">
        <v>21.29</v>
      </c>
      <c r="H2399" s="487">
        <f t="shared" si="1101"/>
        <v>17.03</v>
      </c>
      <c r="I2399" s="706"/>
      <c r="J2399" s="669" t="s">
        <v>5805</v>
      </c>
      <c r="K2399" s="15"/>
      <c r="M2399" s="49">
        <f t="shared" si="1102"/>
        <v>21.29</v>
      </c>
      <c r="N2399" s="41">
        <v>9.32</v>
      </c>
      <c r="O2399" s="186"/>
      <c r="P2399" s="177"/>
      <c r="Q2399" s="178"/>
      <c r="R2399" s="178" t="s">
        <v>1017</v>
      </c>
      <c r="S2399" s="178" t="s">
        <v>4180</v>
      </c>
      <c r="T2399" t="s">
        <v>4180</v>
      </c>
      <c r="U2399" s="179"/>
      <c r="V2399" s="178"/>
      <c r="W2399" s="180"/>
      <c r="X2399" s="180"/>
      <c r="Y2399" s="178"/>
      <c r="Z2399" s="180"/>
      <c r="AA2399" s="184"/>
      <c r="AB2399" s="178" t="s">
        <v>1017</v>
      </c>
      <c r="AC2399" s="180"/>
      <c r="AD2399" s="182"/>
      <c r="AE2399" s="200"/>
      <c r="AF2399" s="180"/>
      <c r="AG2399" s="201"/>
      <c r="AH2399" s="212" t="str">
        <f t="shared" si="1107"/>
        <v>2010</v>
      </c>
      <c r="AI2399" s="214" t="str">
        <f t="shared" si="1094"/>
        <v/>
      </c>
      <c r="AJ2399" s="214" t="str">
        <f t="shared" si="1095"/>
        <v/>
      </c>
      <c r="AK2399" s="214" t="str">
        <f t="shared" si="1096"/>
        <v/>
      </c>
      <c r="AL2399" s="214" t="str">
        <f t="shared" si="1097"/>
        <v/>
      </c>
      <c r="AM2399" s="214" t="str">
        <f t="shared" si="1098"/>
        <v/>
      </c>
      <c r="AN2399" s="213" t="str">
        <f t="shared" si="1081"/>
        <v>2010</v>
      </c>
      <c r="AO2399" s="213" t="str">
        <f t="shared" si="1082"/>
        <v>2010</v>
      </c>
      <c r="AP2399" s="213" t="str">
        <f t="shared" si="1083"/>
        <v>2010</v>
      </c>
      <c r="AQ2399" s="215" t="str">
        <f t="shared" si="1084"/>
        <v/>
      </c>
      <c r="AR2399" s="216" t="str">
        <f t="shared" si="1085"/>
        <v>BiK82LK10---08</v>
      </c>
      <c r="AS2399" s="215" t="str">
        <f t="shared" si="1086"/>
        <v/>
      </c>
      <c r="AT2399">
        <f t="shared" si="1087"/>
        <v>14</v>
      </c>
      <c r="AU2399" s="216" t="str">
        <f t="shared" si="1088"/>
        <v>0,15-0,5 MW, Bonusregeln L und K erstmals 2010</v>
      </c>
      <c r="AV2399" s="215" t="str">
        <f t="shared" si="1089"/>
        <v/>
      </c>
      <c r="AW2399" s="216" t="str">
        <f t="shared" si="1090"/>
        <v>Anteil KWK, erstmals 2010</v>
      </c>
      <c r="AX2399" s="215" t="str">
        <f t="shared" si="1091"/>
        <v/>
      </c>
      <c r="AY2399" t="str">
        <f t="shared" si="1092"/>
        <v/>
      </c>
      <c r="AZ2399" t="str">
        <f t="shared" si="1093"/>
        <v/>
      </c>
    </row>
    <row r="2400" spans="1:52" s="178" customFormat="1" x14ac:dyDescent="0.25">
      <c r="A2400" s="610" t="s">
        <v>3466</v>
      </c>
      <c r="B2400" s="30" t="s">
        <v>5548</v>
      </c>
      <c r="C2400" s="30" t="s">
        <v>5540</v>
      </c>
      <c r="D2400" s="30" t="s">
        <v>7062</v>
      </c>
      <c r="E2400" s="30" t="s">
        <v>3055</v>
      </c>
      <c r="F2400" s="454">
        <f t="shared" si="1100"/>
        <v>21.259999999999998</v>
      </c>
      <c r="G2400" s="529">
        <v>21.259999999999998</v>
      </c>
      <c r="H2400" s="487">
        <f t="shared" si="1101"/>
        <v>17.010000000000002</v>
      </c>
      <c r="I2400" s="706"/>
      <c r="J2400" s="669" t="s">
        <v>5805</v>
      </c>
      <c r="K2400" s="15"/>
      <c r="L2400"/>
      <c r="M2400" s="49">
        <f t="shared" si="1102"/>
        <v>21.259999999999998</v>
      </c>
      <c r="N2400" s="41">
        <v>9.32</v>
      </c>
      <c r="O2400" s="186"/>
      <c r="P2400" s="177"/>
      <c r="S2400" s="178" t="s">
        <v>1017</v>
      </c>
      <c r="T2400" s="178" t="s">
        <v>4180</v>
      </c>
      <c r="U2400" s="179"/>
      <c r="W2400" s="180"/>
      <c r="X2400" s="180"/>
      <c r="Z2400" s="180"/>
      <c r="AA2400" s="184"/>
      <c r="AB2400" s="178" t="s">
        <v>1017</v>
      </c>
      <c r="AC2400" s="180"/>
      <c r="AD2400" s="182"/>
      <c r="AE2400" s="200"/>
      <c r="AF2400" s="180"/>
      <c r="AG2400" s="201"/>
      <c r="AH2400" s="212" t="str">
        <f t="shared" si="1107"/>
        <v>2011</v>
      </c>
      <c r="AI2400" s="214" t="str">
        <f t="shared" si="1094"/>
        <v/>
      </c>
      <c r="AJ2400" s="214" t="str">
        <f t="shared" si="1095"/>
        <v/>
      </c>
      <c r="AK2400" s="214" t="str">
        <f t="shared" si="1096"/>
        <v/>
      </c>
      <c r="AL2400" s="214" t="str">
        <f t="shared" si="1097"/>
        <v/>
      </c>
      <c r="AM2400" s="214" t="str">
        <f t="shared" si="1098"/>
        <v/>
      </c>
      <c r="AN2400" s="213" t="str">
        <f t="shared" si="1081"/>
        <v>2011</v>
      </c>
      <c r="AO2400" s="213" t="str">
        <f t="shared" si="1082"/>
        <v>2011</v>
      </c>
      <c r="AP2400" s="213" t="str">
        <f t="shared" si="1083"/>
        <v>2011</v>
      </c>
      <c r="AQ2400" s="215" t="str">
        <f t="shared" si="1084"/>
        <v/>
      </c>
      <c r="AR2400" s="216" t="str">
        <f t="shared" si="1085"/>
        <v>BiK82LK11---08</v>
      </c>
      <c r="AS2400" s="215" t="str">
        <f t="shared" si="1086"/>
        <v/>
      </c>
      <c r="AT2400">
        <f t="shared" si="1087"/>
        <v>14</v>
      </c>
      <c r="AU2400" s="216" t="str">
        <f t="shared" si="1088"/>
        <v>0,15-0,5 MW, Bonusregeln L und K erstmals 2011</v>
      </c>
      <c r="AV2400" s="215" t="str">
        <f t="shared" si="1089"/>
        <v/>
      </c>
      <c r="AW2400" s="216" t="str">
        <f t="shared" si="1090"/>
        <v>Anteil KWK, erstmals 2011</v>
      </c>
      <c r="AX2400" s="215" t="str">
        <f t="shared" si="1091"/>
        <v/>
      </c>
      <c r="AY2400" t="str">
        <f t="shared" si="1092"/>
        <v>x</v>
      </c>
      <c r="AZ2400" t="str">
        <f t="shared" si="1093"/>
        <v/>
      </c>
    </row>
    <row r="2401" spans="1:52" s="178" customFormat="1" x14ac:dyDescent="0.25">
      <c r="A2401" s="625" t="s">
        <v>1898</v>
      </c>
      <c r="B2401" s="219" t="s">
        <v>5548</v>
      </c>
      <c r="C2401" s="219" t="s">
        <v>5540</v>
      </c>
      <c r="D2401" s="219" t="s">
        <v>7063</v>
      </c>
      <c r="E2401" s="219" t="s">
        <v>1980</v>
      </c>
      <c r="F2401" s="455">
        <f t="shared" si="1100"/>
        <v>21.23</v>
      </c>
      <c r="G2401" s="530">
        <v>21.23</v>
      </c>
      <c r="H2401" s="488">
        <f t="shared" si="1101"/>
        <v>16.98</v>
      </c>
      <c r="I2401" s="707"/>
      <c r="J2401" s="669" t="s">
        <v>5805</v>
      </c>
      <c r="K2401" s="15"/>
      <c r="L2401"/>
      <c r="M2401" s="49">
        <f t="shared" si="1102"/>
        <v>21.23</v>
      </c>
      <c r="N2401" s="41">
        <v>9.32</v>
      </c>
      <c r="O2401" s="186"/>
      <c r="P2401" s="177"/>
      <c r="S2401" s="178" t="s">
        <v>4180</v>
      </c>
      <c r="T2401" s="178" t="s">
        <v>1017</v>
      </c>
      <c r="U2401" s="179"/>
      <c r="W2401" s="180"/>
      <c r="X2401" s="180"/>
      <c r="Z2401" s="180"/>
      <c r="AA2401" s="184"/>
      <c r="AB2401" s="178" t="s">
        <v>1017</v>
      </c>
      <c r="AC2401" s="180"/>
      <c r="AD2401" s="182"/>
      <c r="AE2401" s="200"/>
      <c r="AF2401" s="180"/>
      <c r="AG2401" s="201"/>
      <c r="AH2401" s="217" t="s">
        <v>4179</v>
      </c>
      <c r="AI2401" s="214" t="str">
        <f t="shared" si="1094"/>
        <v/>
      </c>
      <c r="AJ2401" s="214" t="str">
        <f t="shared" si="1095"/>
        <v/>
      </c>
      <c r="AK2401" s="214" t="str">
        <f t="shared" si="1096"/>
        <v/>
      </c>
      <c r="AL2401" s="214" t="str">
        <f t="shared" si="1097"/>
        <v/>
      </c>
      <c r="AM2401" s="214" t="str">
        <f t="shared" si="1098"/>
        <v/>
      </c>
      <c r="AN2401" s="213" t="str">
        <f t="shared" si="1081"/>
        <v>2012</v>
      </c>
      <c r="AO2401" s="213" t="str">
        <f t="shared" si="1082"/>
        <v>2012</v>
      </c>
      <c r="AP2401" s="213" t="str">
        <f t="shared" si="1083"/>
        <v>2012</v>
      </c>
      <c r="AQ2401" s="215" t="str">
        <f t="shared" si="1084"/>
        <v/>
      </c>
      <c r="AR2401" s="216" t="str">
        <f t="shared" si="1085"/>
        <v>BiK82LK12---08</v>
      </c>
      <c r="AS2401" s="215" t="str">
        <f t="shared" si="1086"/>
        <v/>
      </c>
      <c r="AT2401">
        <f t="shared" si="1087"/>
        <v>14</v>
      </c>
      <c r="AU2401" s="216" t="str">
        <f t="shared" si="1088"/>
        <v>0,15-0,5 MW, Bonusregeln L und K erstmals 2012</v>
      </c>
      <c r="AV2401" s="215" t="str">
        <f t="shared" si="1089"/>
        <v/>
      </c>
      <c r="AW2401" s="216" t="str">
        <f t="shared" si="1090"/>
        <v>Anteil KWK, erstmals 2012</v>
      </c>
      <c r="AX2401" s="215" t="str">
        <f t="shared" si="1091"/>
        <v/>
      </c>
      <c r="AY2401" t="str">
        <f t="shared" si="1092"/>
        <v/>
      </c>
      <c r="AZ2401" t="str">
        <f t="shared" si="1093"/>
        <v>x</v>
      </c>
    </row>
    <row r="2402" spans="1:52" s="178" customFormat="1" x14ac:dyDescent="0.25">
      <c r="A2402" s="610" t="s">
        <v>4058</v>
      </c>
      <c r="B2402" s="30" t="s">
        <v>5548</v>
      </c>
      <c r="C2402" s="30" t="s">
        <v>5540</v>
      </c>
      <c r="D2402" s="30" t="s">
        <v>7064</v>
      </c>
      <c r="E2402" s="30" t="s">
        <v>4810</v>
      </c>
      <c r="F2402" s="454">
        <f t="shared" si="1100"/>
        <v>19.32</v>
      </c>
      <c r="G2402" s="529">
        <v>19.32</v>
      </c>
      <c r="H2402" s="487">
        <f t="shared" si="1101"/>
        <v>15.46</v>
      </c>
      <c r="I2402" s="706"/>
      <c r="J2402" s="669" t="s">
        <v>5805</v>
      </c>
      <c r="K2402" s="15"/>
      <c r="L2402"/>
      <c r="M2402" s="49">
        <f t="shared" si="1102"/>
        <v>19.32</v>
      </c>
      <c r="N2402" s="41">
        <v>9.32</v>
      </c>
      <c r="O2402" s="187"/>
      <c r="P2402" s="183"/>
      <c r="Q2402" s="184"/>
      <c r="R2402" s="184"/>
      <c r="S2402" s="184" t="s">
        <v>4180</v>
      </c>
      <c r="T2402" s="178" t="s">
        <v>4180</v>
      </c>
      <c r="U2402" s="185" t="s">
        <v>1017</v>
      </c>
      <c r="V2402" s="184"/>
      <c r="W2402" s="180"/>
      <c r="X2402" s="180"/>
      <c r="Z2402" s="180"/>
      <c r="AA2402" s="184"/>
      <c r="AB2402" s="184" t="s">
        <v>1017</v>
      </c>
      <c r="AC2402" s="180"/>
      <c r="AD2402" s="182"/>
      <c r="AE2402" s="181"/>
      <c r="AF2402" s="180"/>
      <c r="AG2402" s="201"/>
      <c r="AH2402" s="212" t="str">
        <f t="shared" ref="AH2402:AH2407" si="1108">IF(ISERROR(SEARCH("K erstmals 201",D2402)),"",RIGHT(D2402,4))</f>
        <v/>
      </c>
      <c r="AI2402" s="214" t="str">
        <f t="shared" si="1094"/>
        <v/>
      </c>
      <c r="AJ2402" s="214" t="str">
        <f t="shared" si="1095"/>
        <v/>
      </c>
      <c r="AK2402" s="214" t="str">
        <f t="shared" si="1096"/>
        <v/>
      </c>
      <c r="AL2402" s="214" t="str">
        <f t="shared" si="1097"/>
        <v/>
      </c>
      <c r="AM2402" s="214" t="str">
        <f t="shared" si="1098"/>
        <v/>
      </c>
      <c r="AN2402" s="213" t="str">
        <f t="shared" si="1081"/>
        <v/>
      </c>
      <c r="AO2402" s="213" t="str">
        <f t="shared" si="1082"/>
        <v/>
      </c>
      <c r="AP2402" s="213" t="str">
        <f t="shared" si="1083"/>
        <v/>
      </c>
      <c r="AQ2402" s="215" t="str">
        <f t="shared" si="1084"/>
        <v/>
      </c>
      <c r="AR2402" s="216" t="str">
        <f t="shared" si="1085"/>
        <v>BiK82Ly-----08</v>
      </c>
      <c r="AS2402" s="215" t="str">
        <f t="shared" si="1086"/>
        <v/>
      </c>
      <c r="AT2402">
        <f t="shared" si="1087"/>
        <v>14</v>
      </c>
      <c r="AU2402" s="216" t="str">
        <f t="shared" si="1088"/>
        <v>0,15-0,5 MW, Bonusregeln L, y</v>
      </c>
      <c r="AV2402" s="215" t="str">
        <f t="shared" si="1089"/>
        <v/>
      </c>
      <c r="AW2402" s="216" t="str">
        <f t="shared" si="1090"/>
        <v>Anteil Nicht-KWK</v>
      </c>
      <c r="AX2402" s="215" t="str">
        <f t="shared" si="1091"/>
        <v/>
      </c>
      <c r="AY2402" t="str">
        <f t="shared" si="1092"/>
        <v/>
      </c>
      <c r="AZ2402" t="str">
        <f t="shared" si="1093"/>
        <v/>
      </c>
    </row>
    <row r="2403" spans="1:52" s="178" customFormat="1" x14ac:dyDescent="0.25">
      <c r="A2403" s="610" t="s">
        <v>4059</v>
      </c>
      <c r="B2403" s="30" t="s">
        <v>5548</v>
      </c>
      <c r="C2403" s="30" t="s">
        <v>5540</v>
      </c>
      <c r="D2403" s="30" t="s">
        <v>7127</v>
      </c>
      <c r="E2403" s="30" t="s">
        <v>4812</v>
      </c>
      <c r="F2403" s="454">
        <f t="shared" si="1100"/>
        <v>21.32</v>
      </c>
      <c r="G2403" s="529">
        <v>21.32</v>
      </c>
      <c r="H2403" s="487">
        <f t="shared" si="1101"/>
        <v>17.059999999999999</v>
      </c>
      <c r="I2403" s="706"/>
      <c r="J2403" s="669" t="s">
        <v>5805</v>
      </c>
      <c r="K2403" s="15"/>
      <c r="L2403"/>
      <c r="M2403" s="49">
        <f t="shared" si="1102"/>
        <v>21.32</v>
      </c>
      <c r="N2403" s="41">
        <v>9.32</v>
      </c>
      <c r="O2403" s="187" t="s">
        <v>1017</v>
      </c>
      <c r="P2403" s="183"/>
      <c r="Q2403" s="184"/>
      <c r="R2403" s="184"/>
      <c r="S2403" s="184" t="s">
        <v>4180</v>
      </c>
      <c r="T2403" s="178" t="s">
        <v>4180</v>
      </c>
      <c r="U2403" s="185" t="s">
        <v>1017</v>
      </c>
      <c r="V2403" s="184"/>
      <c r="W2403" s="180"/>
      <c r="X2403" s="180"/>
      <c r="Z2403" s="180"/>
      <c r="AA2403" s="184"/>
      <c r="AB2403" s="184" t="s">
        <v>1017</v>
      </c>
      <c r="AC2403" s="180"/>
      <c r="AD2403" s="182"/>
      <c r="AE2403" s="181"/>
      <c r="AF2403" s="180"/>
      <c r="AG2403" s="201"/>
      <c r="AH2403" s="212" t="str">
        <f t="shared" si="1108"/>
        <v/>
      </c>
      <c r="AI2403" s="214" t="str">
        <f t="shared" si="1094"/>
        <v/>
      </c>
      <c r="AJ2403" s="214" t="str">
        <f t="shared" si="1095"/>
        <v/>
      </c>
      <c r="AK2403" s="214" t="str">
        <f t="shared" si="1096"/>
        <v/>
      </c>
      <c r="AL2403" s="214" t="str">
        <f t="shared" si="1097"/>
        <v/>
      </c>
      <c r="AM2403" s="214" t="str">
        <f t="shared" si="1098"/>
        <v/>
      </c>
      <c r="AN2403" s="213" t="str">
        <f t="shared" si="1081"/>
        <v/>
      </c>
      <c r="AO2403" s="213" t="str">
        <f t="shared" si="1082"/>
        <v/>
      </c>
      <c r="AP2403" s="213" t="str">
        <f t="shared" si="1083"/>
        <v/>
      </c>
      <c r="AQ2403" s="215" t="str">
        <f t="shared" si="1084"/>
        <v/>
      </c>
      <c r="AR2403" s="216" t="str">
        <f t="shared" si="1085"/>
        <v>BiK82LKWKy--08</v>
      </c>
      <c r="AS2403" s="215" t="str">
        <f t="shared" si="1086"/>
        <v/>
      </c>
      <c r="AT2403">
        <f t="shared" si="1087"/>
        <v>14</v>
      </c>
      <c r="AU2403" s="216" t="str">
        <f t="shared" si="1088"/>
        <v>0,15-0,5 MW, Bonusregeln L, y und KWK</v>
      </c>
      <c r="AV2403" s="215" t="str">
        <f t="shared" si="1089"/>
        <v/>
      </c>
      <c r="AW2403" s="216" t="str">
        <f t="shared" si="1090"/>
        <v>Anteil KWK</v>
      </c>
      <c r="AX2403" s="215" t="str">
        <f t="shared" si="1091"/>
        <v/>
      </c>
      <c r="AY2403" t="str">
        <f t="shared" si="1092"/>
        <v/>
      </c>
      <c r="AZ2403" t="str">
        <f t="shared" si="1093"/>
        <v/>
      </c>
    </row>
    <row r="2404" spans="1:52" s="178" customFormat="1" x14ac:dyDescent="0.25">
      <c r="A2404" s="610" t="s">
        <v>4060</v>
      </c>
      <c r="B2404" s="30" t="s">
        <v>5548</v>
      </c>
      <c r="C2404" s="30" t="s">
        <v>5540</v>
      </c>
      <c r="D2404" s="109" t="s">
        <v>7065</v>
      </c>
      <c r="E2404" s="30" t="s">
        <v>4331</v>
      </c>
      <c r="F2404" s="454">
        <f t="shared" si="1100"/>
        <v>22.32</v>
      </c>
      <c r="G2404" s="529">
        <v>22.32</v>
      </c>
      <c r="H2404" s="487">
        <f t="shared" si="1101"/>
        <v>17.86</v>
      </c>
      <c r="I2404" s="706"/>
      <c r="J2404" s="669" t="s">
        <v>5805</v>
      </c>
      <c r="K2404" s="15"/>
      <c r="L2404"/>
      <c r="M2404" s="49">
        <f t="shared" si="1102"/>
        <v>22.32</v>
      </c>
      <c r="N2404" s="41">
        <v>9.32</v>
      </c>
      <c r="O2404" s="187"/>
      <c r="P2404" s="184" t="s">
        <v>1017</v>
      </c>
      <c r="Q2404" s="184"/>
      <c r="R2404" s="184"/>
      <c r="S2404" s="184" t="s">
        <v>4180</v>
      </c>
      <c r="T2404" s="178" t="s">
        <v>4180</v>
      </c>
      <c r="U2404" s="185" t="s">
        <v>1017</v>
      </c>
      <c r="V2404" s="184"/>
      <c r="W2404" s="180"/>
      <c r="X2404" s="180"/>
      <c r="Z2404" s="180"/>
      <c r="AA2404" s="184"/>
      <c r="AB2404" s="184" t="s">
        <v>1017</v>
      </c>
      <c r="AC2404" s="180"/>
      <c r="AD2404" s="182"/>
      <c r="AE2404" s="181"/>
      <c r="AF2404" s="180"/>
      <c r="AG2404" s="201"/>
      <c r="AH2404" s="212" t="str">
        <f t="shared" si="1108"/>
        <v/>
      </c>
      <c r="AI2404" s="214" t="str">
        <f t="shared" si="1094"/>
        <v/>
      </c>
      <c r="AJ2404" s="214" t="str">
        <f t="shared" si="1095"/>
        <v/>
      </c>
      <c r="AK2404" s="214" t="str">
        <f t="shared" si="1096"/>
        <v/>
      </c>
      <c r="AL2404" s="214" t="str">
        <f t="shared" si="1097"/>
        <v/>
      </c>
      <c r="AM2404" s="214" t="str">
        <f t="shared" si="1098"/>
        <v/>
      </c>
      <c r="AN2404" s="213" t="str">
        <f t="shared" si="1081"/>
        <v/>
      </c>
      <c r="AO2404" s="213" t="str">
        <f t="shared" si="1082"/>
        <v/>
      </c>
      <c r="AP2404" s="213" t="str">
        <f t="shared" si="1083"/>
        <v/>
      </c>
      <c r="AQ2404" s="215" t="str">
        <f t="shared" si="1084"/>
        <v/>
      </c>
      <c r="AR2404" s="216" t="str">
        <f t="shared" si="1085"/>
        <v>BiK82LKA3y--08</v>
      </c>
      <c r="AS2404" s="215" t="str">
        <f t="shared" si="1086"/>
        <v/>
      </c>
      <c r="AT2404">
        <f t="shared" si="1087"/>
        <v>14</v>
      </c>
      <c r="AU2404" s="216" t="str">
        <f t="shared" si="1088"/>
        <v>0,15-0,5 MW, Bonusregeln L, y und K wenn Anlage 3 erfüllt</v>
      </c>
      <c r="AV2404" s="215" t="str">
        <f t="shared" si="1089"/>
        <v/>
      </c>
      <c r="AW2404" s="216" t="str">
        <f t="shared" si="1090"/>
        <v>Anteil KWK gemäß Anlage 3</v>
      </c>
      <c r="AX2404" s="215" t="str">
        <f t="shared" si="1091"/>
        <v/>
      </c>
      <c r="AY2404" t="str">
        <f t="shared" si="1092"/>
        <v/>
      </c>
      <c r="AZ2404" t="str">
        <f t="shared" si="1093"/>
        <v/>
      </c>
    </row>
    <row r="2405" spans="1:52" s="178" customFormat="1" x14ac:dyDescent="0.25">
      <c r="A2405" s="610" t="s">
        <v>4061</v>
      </c>
      <c r="B2405" s="30" t="s">
        <v>5548</v>
      </c>
      <c r="C2405" s="30" t="s">
        <v>5540</v>
      </c>
      <c r="D2405" s="30" t="s">
        <v>7066</v>
      </c>
      <c r="E2405" s="30" t="s">
        <v>674</v>
      </c>
      <c r="F2405" s="454">
        <f t="shared" si="1100"/>
        <v>22.32</v>
      </c>
      <c r="G2405" s="529">
        <v>22.32</v>
      </c>
      <c r="H2405" s="487">
        <f t="shared" si="1101"/>
        <v>17.86</v>
      </c>
      <c r="I2405" s="706"/>
      <c r="J2405" s="669" t="s">
        <v>5805</v>
      </c>
      <c r="K2405" s="15"/>
      <c r="L2405"/>
      <c r="M2405" s="49">
        <f t="shared" si="1102"/>
        <v>22.32</v>
      </c>
      <c r="N2405" s="41">
        <v>9.32</v>
      </c>
      <c r="O2405" s="187"/>
      <c r="P2405" s="183"/>
      <c r="Q2405" s="184" t="s">
        <v>1017</v>
      </c>
      <c r="R2405" s="184"/>
      <c r="S2405" s="184" t="s">
        <v>4180</v>
      </c>
      <c r="T2405" s="178" t="s">
        <v>4180</v>
      </c>
      <c r="U2405" s="185" t="s">
        <v>1017</v>
      </c>
      <c r="V2405" s="184"/>
      <c r="W2405" s="180"/>
      <c r="X2405" s="180"/>
      <c r="Z2405" s="180"/>
      <c r="AA2405" s="184"/>
      <c r="AB2405" s="184" t="s">
        <v>1017</v>
      </c>
      <c r="AC2405" s="180"/>
      <c r="AD2405" s="182"/>
      <c r="AE2405" s="181"/>
      <c r="AF2405" s="180"/>
      <c r="AG2405" s="201"/>
      <c r="AH2405" s="212" t="str">
        <f t="shared" si="1108"/>
        <v/>
      </c>
      <c r="AI2405" s="214" t="str">
        <f t="shared" si="1094"/>
        <v/>
      </c>
      <c r="AJ2405" s="214" t="str">
        <f t="shared" si="1095"/>
        <v/>
      </c>
      <c r="AK2405" s="214" t="str">
        <f t="shared" si="1096"/>
        <v/>
      </c>
      <c r="AL2405" s="214" t="str">
        <f t="shared" si="1097"/>
        <v/>
      </c>
      <c r="AM2405" s="214" t="str">
        <f t="shared" si="1098"/>
        <v/>
      </c>
      <c r="AN2405" s="213" t="str">
        <f t="shared" si="1081"/>
        <v/>
      </c>
      <c r="AO2405" s="213" t="str">
        <f t="shared" si="1082"/>
        <v/>
      </c>
      <c r="AP2405" s="213" t="str">
        <f t="shared" si="1083"/>
        <v/>
      </c>
      <c r="AQ2405" s="215" t="str">
        <f t="shared" si="1084"/>
        <v/>
      </c>
      <c r="AR2405" s="216" t="str">
        <f t="shared" si="1085"/>
        <v>BiK82LK09y--08</v>
      </c>
      <c r="AS2405" s="215" t="str">
        <f t="shared" si="1086"/>
        <v/>
      </c>
      <c r="AT2405">
        <f t="shared" si="1087"/>
        <v>14</v>
      </c>
      <c r="AU2405" s="216" t="str">
        <f t="shared" si="1088"/>
        <v>0,15-0,5 MW, Bonusregeln L, y und K erstmals 2009</v>
      </c>
      <c r="AV2405" s="215" t="str">
        <f t="shared" si="1089"/>
        <v/>
      </c>
      <c r="AW2405" s="216" t="str">
        <f t="shared" si="1090"/>
        <v>Anteil KWK, erstmals 2009</v>
      </c>
      <c r="AX2405" s="215" t="str">
        <f t="shared" si="1091"/>
        <v/>
      </c>
      <c r="AY2405" t="str">
        <f t="shared" si="1092"/>
        <v/>
      </c>
      <c r="AZ2405" t="str">
        <f t="shared" si="1093"/>
        <v/>
      </c>
    </row>
    <row r="2406" spans="1:52" s="178" customFormat="1" x14ac:dyDescent="0.25">
      <c r="A2406" s="610" t="s">
        <v>3191</v>
      </c>
      <c r="B2406" s="30" t="s">
        <v>5548</v>
      </c>
      <c r="C2406" s="30" t="s">
        <v>5540</v>
      </c>
      <c r="D2406" s="30" t="s">
        <v>7067</v>
      </c>
      <c r="E2406" s="30" t="s">
        <v>3567</v>
      </c>
      <c r="F2406" s="454">
        <f t="shared" si="1100"/>
        <v>22.29</v>
      </c>
      <c r="G2406" s="529">
        <v>22.29</v>
      </c>
      <c r="H2406" s="487">
        <f t="shared" si="1101"/>
        <v>17.829999999999998</v>
      </c>
      <c r="I2406" s="706"/>
      <c r="J2406" s="669" t="s">
        <v>5805</v>
      </c>
      <c r="K2406" s="15"/>
      <c r="L2406"/>
      <c r="M2406" s="49">
        <f t="shared" si="1102"/>
        <v>22.29</v>
      </c>
      <c r="N2406" s="41">
        <v>9.32</v>
      </c>
      <c r="O2406" s="187"/>
      <c r="P2406" s="183"/>
      <c r="Q2406" s="184"/>
      <c r="R2406" s="184" t="s">
        <v>1017</v>
      </c>
      <c r="S2406" s="184" t="s">
        <v>4180</v>
      </c>
      <c r="T2406" s="178" t="s">
        <v>4180</v>
      </c>
      <c r="U2406" s="185" t="s">
        <v>1017</v>
      </c>
      <c r="V2406" s="184"/>
      <c r="W2406" s="180"/>
      <c r="X2406" s="180"/>
      <c r="Z2406" s="180"/>
      <c r="AA2406" s="184"/>
      <c r="AB2406" s="184" t="s">
        <v>1017</v>
      </c>
      <c r="AC2406" s="180"/>
      <c r="AD2406" s="182"/>
      <c r="AE2406" s="181"/>
      <c r="AF2406" s="180"/>
      <c r="AG2406" s="201"/>
      <c r="AH2406" s="212" t="str">
        <f t="shared" si="1108"/>
        <v>2010</v>
      </c>
      <c r="AI2406" s="214" t="str">
        <f t="shared" si="1094"/>
        <v/>
      </c>
      <c r="AJ2406" s="214" t="str">
        <f t="shared" si="1095"/>
        <v/>
      </c>
      <c r="AK2406" s="214" t="str">
        <f t="shared" si="1096"/>
        <v/>
      </c>
      <c r="AL2406" s="214" t="str">
        <f t="shared" si="1097"/>
        <v/>
      </c>
      <c r="AM2406" s="214" t="str">
        <f t="shared" si="1098"/>
        <v/>
      </c>
      <c r="AN2406" s="213" t="str">
        <f t="shared" si="1081"/>
        <v>2010</v>
      </c>
      <c r="AO2406" s="213" t="str">
        <f t="shared" si="1082"/>
        <v>2010</v>
      </c>
      <c r="AP2406" s="213" t="str">
        <f t="shared" si="1083"/>
        <v>2010</v>
      </c>
      <c r="AQ2406" s="215" t="str">
        <f t="shared" si="1084"/>
        <v/>
      </c>
      <c r="AR2406" s="216" t="str">
        <f t="shared" si="1085"/>
        <v>BiK82LK10y--08</v>
      </c>
      <c r="AS2406" s="215" t="str">
        <f t="shared" si="1086"/>
        <v/>
      </c>
      <c r="AT2406">
        <f t="shared" si="1087"/>
        <v>14</v>
      </c>
      <c r="AU2406" s="216" t="str">
        <f t="shared" si="1088"/>
        <v>0,15-0,5 MW, Bonusregeln L, y und K erstmals 2010</v>
      </c>
      <c r="AV2406" s="215" t="str">
        <f t="shared" si="1089"/>
        <v/>
      </c>
      <c r="AW2406" s="216" t="str">
        <f t="shared" si="1090"/>
        <v>Anteil KWK, erstmals 2010</v>
      </c>
      <c r="AX2406" s="215" t="str">
        <f t="shared" si="1091"/>
        <v/>
      </c>
      <c r="AY2406" t="str">
        <f t="shared" si="1092"/>
        <v/>
      </c>
      <c r="AZ2406" t="str">
        <f t="shared" si="1093"/>
        <v/>
      </c>
    </row>
    <row r="2407" spans="1:52" s="178" customFormat="1" x14ac:dyDescent="0.25">
      <c r="A2407" s="610" t="s">
        <v>3467</v>
      </c>
      <c r="B2407" s="30" t="s">
        <v>5548</v>
      </c>
      <c r="C2407" s="30" t="s">
        <v>5540</v>
      </c>
      <c r="D2407" s="30" t="s">
        <v>7068</v>
      </c>
      <c r="E2407" s="30" t="s">
        <v>3055</v>
      </c>
      <c r="F2407" s="454">
        <f t="shared" si="1100"/>
        <v>22.259999999999998</v>
      </c>
      <c r="G2407" s="529">
        <v>22.259999999999998</v>
      </c>
      <c r="H2407" s="487">
        <f t="shared" si="1101"/>
        <v>17.809999999999999</v>
      </c>
      <c r="I2407" s="706"/>
      <c r="J2407" s="669" t="s">
        <v>5805</v>
      </c>
      <c r="K2407" s="15"/>
      <c r="L2407"/>
      <c r="M2407" s="49">
        <f t="shared" si="1102"/>
        <v>22.259999999999998</v>
      </c>
      <c r="N2407" s="41">
        <v>9.32</v>
      </c>
      <c r="O2407" s="187"/>
      <c r="P2407" s="183"/>
      <c r="Q2407" s="184"/>
      <c r="S2407" s="184" t="s">
        <v>1017</v>
      </c>
      <c r="T2407" s="178" t="s">
        <v>4180</v>
      </c>
      <c r="U2407" s="185" t="s">
        <v>1017</v>
      </c>
      <c r="V2407" s="184"/>
      <c r="W2407" s="180"/>
      <c r="X2407" s="180"/>
      <c r="Z2407" s="180"/>
      <c r="AA2407" s="184"/>
      <c r="AB2407" s="184" t="s">
        <v>1017</v>
      </c>
      <c r="AC2407" s="180"/>
      <c r="AD2407" s="182"/>
      <c r="AE2407" s="181"/>
      <c r="AF2407" s="180"/>
      <c r="AG2407" s="201"/>
      <c r="AH2407" s="212" t="str">
        <f t="shared" si="1108"/>
        <v>2011</v>
      </c>
      <c r="AI2407" s="214" t="str">
        <f t="shared" si="1094"/>
        <v/>
      </c>
      <c r="AJ2407" s="214" t="str">
        <f t="shared" si="1095"/>
        <v/>
      </c>
      <c r="AK2407" s="214" t="str">
        <f t="shared" si="1096"/>
        <v/>
      </c>
      <c r="AL2407" s="214" t="str">
        <f t="shared" si="1097"/>
        <v/>
      </c>
      <c r="AM2407" s="214" t="str">
        <f t="shared" si="1098"/>
        <v/>
      </c>
      <c r="AN2407" s="213" t="str">
        <f t="shared" si="1081"/>
        <v>2011</v>
      </c>
      <c r="AO2407" s="213" t="str">
        <f t="shared" si="1082"/>
        <v>2011</v>
      </c>
      <c r="AP2407" s="213" t="str">
        <f t="shared" si="1083"/>
        <v>2011</v>
      </c>
      <c r="AQ2407" s="215" t="str">
        <f t="shared" si="1084"/>
        <v/>
      </c>
      <c r="AR2407" s="216" t="str">
        <f t="shared" si="1085"/>
        <v>BiK82LK11y--08</v>
      </c>
      <c r="AS2407" s="215" t="str">
        <f t="shared" si="1086"/>
        <v/>
      </c>
      <c r="AT2407">
        <f t="shared" si="1087"/>
        <v>14</v>
      </c>
      <c r="AU2407" s="216" t="str">
        <f t="shared" si="1088"/>
        <v>0,15-0,5 MW, Bonusregeln L, y und K erstmals 2011</v>
      </c>
      <c r="AV2407" s="215" t="str">
        <f t="shared" si="1089"/>
        <v/>
      </c>
      <c r="AW2407" s="216" t="str">
        <f t="shared" si="1090"/>
        <v>Anteil KWK, erstmals 2011</v>
      </c>
      <c r="AX2407" s="215" t="str">
        <f t="shared" si="1091"/>
        <v/>
      </c>
      <c r="AY2407" t="str">
        <f t="shared" si="1092"/>
        <v>x</v>
      </c>
      <c r="AZ2407" t="str">
        <f t="shared" si="1093"/>
        <v/>
      </c>
    </row>
    <row r="2408" spans="1:52" s="178" customFormat="1" x14ac:dyDescent="0.25">
      <c r="A2408" s="625" t="s">
        <v>1899</v>
      </c>
      <c r="B2408" s="219" t="s">
        <v>5548</v>
      </c>
      <c r="C2408" s="219" t="s">
        <v>5540</v>
      </c>
      <c r="D2408" s="219" t="s">
        <v>7069</v>
      </c>
      <c r="E2408" s="219" t="s">
        <v>1980</v>
      </c>
      <c r="F2408" s="455">
        <f t="shared" si="1100"/>
        <v>22.23</v>
      </c>
      <c r="G2408" s="530">
        <v>22.23</v>
      </c>
      <c r="H2408" s="488">
        <f t="shared" si="1101"/>
        <v>17.78</v>
      </c>
      <c r="I2408" s="707"/>
      <c r="J2408" s="669" t="s">
        <v>5805</v>
      </c>
      <c r="K2408" s="15"/>
      <c r="L2408"/>
      <c r="M2408" s="49">
        <f t="shared" si="1102"/>
        <v>22.23</v>
      </c>
      <c r="N2408" s="41">
        <v>9.32</v>
      </c>
      <c r="O2408" s="187"/>
      <c r="P2408" s="183"/>
      <c r="Q2408" s="184"/>
      <c r="S2408" s="184" t="s">
        <v>4180</v>
      </c>
      <c r="T2408" s="178" t="s">
        <v>1017</v>
      </c>
      <c r="U2408" s="185" t="s">
        <v>1017</v>
      </c>
      <c r="V2408" s="184"/>
      <c r="W2408" s="180"/>
      <c r="X2408" s="180"/>
      <c r="Z2408" s="180"/>
      <c r="AA2408" s="184"/>
      <c r="AB2408" s="184" t="s">
        <v>1017</v>
      </c>
      <c r="AC2408" s="180"/>
      <c r="AD2408" s="182"/>
      <c r="AE2408" s="181"/>
      <c r="AF2408" s="180"/>
      <c r="AG2408" s="201"/>
      <c r="AH2408" s="217" t="s">
        <v>4179</v>
      </c>
      <c r="AI2408" s="214" t="str">
        <f t="shared" si="1094"/>
        <v/>
      </c>
      <c r="AJ2408" s="214" t="str">
        <f t="shared" si="1095"/>
        <v/>
      </c>
      <c r="AK2408" s="214" t="str">
        <f t="shared" si="1096"/>
        <v/>
      </c>
      <c r="AL2408" s="214" t="str">
        <f t="shared" si="1097"/>
        <v/>
      </c>
      <c r="AM2408" s="214" t="str">
        <f t="shared" si="1098"/>
        <v/>
      </c>
      <c r="AN2408" s="213" t="str">
        <f t="shared" si="1081"/>
        <v>2012</v>
      </c>
      <c r="AO2408" s="213" t="str">
        <f t="shared" si="1082"/>
        <v>2012</v>
      </c>
      <c r="AP2408" s="213" t="str">
        <f t="shared" si="1083"/>
        <v>2012</v>
      </c>
      <c r="AQ2408" s="215" t="str">
        <f t="shared" si="1084"/>
        <v/>
      </c>
      <c r="AR2408" s="216" t="str">
        <f t="shared" si="1085"/>
        <v>BiK82LK12y--08</v>
      </c>
      <c r="AS2408" s="215" t="str">
        <f t="shared" si="1086"/>
        <v/>
      </c>
      <c r="AT2408">
        <f t="shared" si="1087"/>
        <v>14</v>
      </c>
      <c r="AU2408" s="216" t="str">
        <f t="shared" si="1088"/>
        <v>0,15-0,5 MW, Bonusregeln L, y und K erstmals 2012</v>
      </c>
      <c r="AV2408" s="215" t="str">
        <f t="shared" si="1089"/>
        <v/>
      </c>
      <c r="AW2408" s="216" t="str">
        <f t="shared" si="1090"/>
        <v>Anteil KWK, erstmals 2012</v>
      </c>
      <c r="AX2408" s="215" t="str">
        <f t="shared" si="1091"/>
        <v/>
      </c>
      <c r="AY2408" t="str">
        <f t="shared" si="1092"/>
        <v/>
      </c>
      <c r="AZ2408" t="str">
        <f t="shared" si="1093"/>
        <v>x</v>
      </c>
    </row>
    <row r="2409" spans="1:52" s="178" customFormat="1" x14ac:dyDescent="0.25">
      <c r="A2409" s="610" t="s">
        <v>5606</v>
      </c>
      <c r="B2409" s="30" t="s">
        <v>5548</v>
      </c>
      <c r="C2409" s="30" t="s">
        <v>5540</v>
      </c>
      <c r="D2409" s="30" t="s">
        <v>7070</v>
      </c>
      <c r="E2409" s="30" t="s">
        <v>4810</v>
      </c>
      <c r="F2409" s="454">
        <f t="shared" si="1100"/>
        <v>19.32</v>
      </c>
      <c r="G2409" s="529">
        <v>19.32</v>
      </c>
      <c r="H2409" s="487">
        <f t="shared" si="1101"/>
        <v>15.46</v>
      </c>
      <c r="I2409" s="706"/>
      <c r="J2409" s="669" t="s">
        <v>5805</v>
      </c>
      <c r="K2409" s="15"/>
      <c r="L2409"/>
      <c r="M2409" s="49">
        <f t="shared" si="1102"/>
        <v>19.32</v>
      </c>
      <c r="N2409" s="41">
        <v>9.32</v>
      </c>
      <c r="O2409" s="186"/>
      <c r="P2409" s="177"/>
      <c r="S2409" s="178" t="s">
        <v>4180</v>
      </c>
      <c r="T2409" s="178" t="s">
        <v>4180</v>
      </c>
      <c r="U2409" s="179"/>
      <c r="W2409" s="180"/>
      <c r="X2409" s="180"/>
      <c r="Z2409" s="180"/>
      <c r="AA2409" s="184"/>
      <c r="AC2409" s="180"/>
      <c r="AD2409" s="199" t="s">
        <v>1017</v>
      </c>
      <c r="AE2409" s="200"/>
      <c r="AF2409" s="180"/>
      <c r="AG2409" s="201"/>
      <c r="AH2409" s="212" t="str">
        <f t="shared" ref="AH2409:AH2414" si="1109">IF(ISERROR(SEARCH("K erstmals 201",D2409)),"",RIGHT(D2409,4))</f>
        <v/>
      </c>
      <c r="AI2409" s="214" t="str">
        <f t="shared" si="1094"/>
        <v/>
      </c>
      <c r="AJ2409" s="214" t="str">
        <f t="shared" si="1095"/>
        <v/>
      </c>
      <c r="AK2409" s="214" t="str">
        <f t="shared" si="1096"/>
        <v/>
      </c>
      <c r="AL2409" s="214" t="str">
        <f t="shared" si="1097"/>
        <v/>
      </c>
      <c r="AM2409" s="214" t="str">
        <f t="shared" si="1098"/>
        <v/>
      </c>
      <c r="AN2409" s="213" t="str">
        <f t="shared" si="1081"/>
        <v/>
      </c>
      <c r="AO2409" s="213" t="str">
        <f t="shared" si="1082"/>
        <v/>
      </c>
      <c r="AP2409" s="213" t="str">
        <f t="shared" si="1083"/>
        <v/>
      </c>
      <c r="AQ2409" s="215" t="str">
        <f t="shared" si="1084"/>
        <v/>
      </c>
      <c r="AR2409" s="216" t="str">
        <f t="shared" si="1085"/>
        <v>BiK82X2-----08</v>
      </c>
      <c r="AS2409" s="215" t="str">
        <f t="shared" si="1086"/>
        <v/>
      </c>
      <c r="AT2409">
        <f t="shared" si="1087"/>
        <v>14</v>
      </c>
      <c r="AU2409" s="216" t="str">
        <f t="shared" si="1088"/>
        <v>0,15-0,5 MW, Bonusregel X2</v>
      </c>
      <c r="AV2409" s="215" t="str">
        <f t="shared" si="1089"/>
        <v/>
      </c>
      <c r="AW2409" s="216" t="str">
        <f t="shared" si="1090"/>
        <v>Anteil Nicht-KWK</v>
      </c>
      <c r="AX2409" s="215" t="str">
        <f t="shared" si="1091"/>
        <v/>
      </c>
      <c r="AY2409" t="str">
        <f t="shared" si="1092"/>
        <v/>
      </c>
      <c r="AZ2409" t="str">
        <f t="shared" si="1093"/>
        <v/>
      </c>
    </row>
    <row r="2410" spans="1:52" x14ac:dyDescent="0.25">
      <c r="A2410" s="610" t="s">
        <v>5607</v>
      </c>
      <c r="B2410" s="30" t="s">
        <v>5548</v>
      </c>
      <c r="C2410" s="30" t="s">
        <v>5540</v>
      </c>
      <c r="D2410" s="30" t="s">
        <v>7128</v>
      </c>
      <c r="E2410" s="30" t="s">
        <v>4812</v>
      </c>
      <c r="F2410" s="454">
        <f t="shared" si="1100"/>
        <v>21.32</v>
      </c>
      <c r="G2410" s="529">
        <v>21.32</v>
      </c>
      <c r="H2410" s="487">
        <f t="shared" si="1101"/>
        <v>17.059999999999999</v>
      </c>
      <c r="I2410" s="706"/>
      <c r="J2410" s="669" t="s">
        <v>5805</v>
      </c>
      <c r="K2410" s="15"/>
      <c r="M2410" s="49">
        <f t="shared" si="1102"/>
        <v>21.32</v>
      </c>
      <c r="N2410" s="41">
        <v>9.32</v>
      </c>
      <c r="O2410" s="186" t="s">
        <v>1017</v>
      </c>
      <c r="P2410" s="177"/>
      <c r="Q2410" s="178"/>
      <c r="R2410" s="178"/>
      <c r="S2410" s="178" t="s">
        <v>4180</v>
      </c>
      <c r="T2410" t="s">
        <v>4180</v>
      </c>
      <c r="U2410" s="179"/>
      <c r="V2410" s="178"/>
      <c r="W2410" s="180"/>
      <c r="X2410" s="180"/>
      <c r="Y2410" s="178"/>
      <c r="Z2410" s="180"/>
      <c r="AA2410" s="184"/>
      <c r="AB2410" s="178"/>
      <c r="AC2410" s="180"/>
      <c r="AD2410" s="199" t="s">
        <v>1017</v>
      </c>
      <c r="AE2410" s="200"/>
      <c r="AF2410" s="180"/>
      <c r="AG2410" s="201"/>
      <c r="AH2410" s="212" t="str">
        <f t="shared" si="1109"/>
        <v/>
      </c>
      <c r="AI2410" s="214" t="str">
        <f t="shared" si="1094"/>
        <v/>
      </c>
      <c r="AJ2410" s="214" t="str">
        <f t="shared" si="1095"/>
        <v/>
      </c>
      <c r="AK2410" s="214" t="str">
        <f t="shared" si="1096"/>
        <v/>
      </c>
      <c r="AL2410" s="214" t="str">
        <f t="shared" si="1097"/>
        <v/>
      </c>
      <c r="AM2410" s="214" t="str">
        <f t="shared" si="1098"/>
        <v/>
      </c>
      <c r="AN2410" s="213" t="str">
        <f t="shared" si="1081"/>
        <v/>
      </c>
      <c r="AO2410" s="213" t="str">
        <f t="shared" si="1082"/>
        <v/>
      </c>
      <c r="AP2410" s="213" t="str">
        <f t="shared" si="1083"/>
        <v/>
      </c>
      <c r="AQ2410" s="215" t="str">
        <f t="shared" si="1084"/>
        <v/>
      </c>
      <c r="AR2410" s="216" t="str">
        <f t="shared" si="1085"/>
        <v>BiK82X2KWK--08</v>
      </c>
      <c r="AS2410" s="215" t="str">
        <f t="shared" si="1086"/>
        <v/>
      </c>
      <c r="AT2410">
        <f t="shared" si="1087"/>
        <v>14</v>
      </c>
      <c r="AU2410" s="216" t="str">
        <f t="shared" si="1088"/>
        <v>0,15-0,5 MW, Bonusregeln X2 und KWK</v>
      </c>
      <c r="AV2410" s="215" t="str">
        <f t="shared" si="1089"/>
        <v/>
      </c>
      <c r="AW2410" s="216" t="str">
        <f t="shared" si="1090"/>
        <v>Anteil KWK</v>
      </c>
      <c r="AX2410" s="215" t="str">
        <f t="shared" si="1091"/>
        <v/>
      </c>
      <c r="AY2410" t="str">
        <f t="shared" si="1092"/>
        <v/>
      </c>
      <c r="AZ2410" t="str">
        <f t="shared" si="1093"/>
        <v/>
      </c>
    </row>
    <row r="2411" spans="1:52" x14ac:dyDescent="0.25">
      <c r="A2411" s="610" t="s">
        <v>5608</v>
      </c>
      <c r="B2411" s="30" t="s">
        <v>5548</v>
      </c>
      <c r="C2411" s="30" t="s">
        <v>5540</v>
      </c>
      <c r="D2411" s="30" t="s">
        <v>7071</v>
      </c>
      <c r="E2411" s="30" t="s">
        <v>4331</v>
      </c>
      <c r="F2411" s="454">
        <f t="shared" si="1100"/>
        <v>22.32</v>
      </c>
      <c r="G2411" s="529">
        <v>22.32</v>
      </c>
      <c r="H2411" s="487">
        <f t="shared" si="1101"/>
        <v>17.86</v>
      </c>
      <c r="I2411" s="706"/>
      <c r="J2411" s="669" t="s">
        <v>5805</v>
      </c>
      <c r="K2411" s="15"/>
      <c r="M2411" s="49">
        <f t="shared" si="1102"/>
        <v>22.32</v>
      </c>
      <c r="N2411" s="41">
        <v>9.32</v>
      </c>
      <c r="O2411" s="186"/>
      <c r="P2411" s="178" t="s">
        <v>1017</v>
      </c>
      <c r="Q2411" s="178"/>
      <c r="R2411" s="178"/>
      <c r="S2411" s="178" t="s">
        <v>4180</v>
      </c>
      <c r="T2411" t="s">
        <v>4180</v>
      </c>
      <c r="U2411" s="179"/>
      <c r="V2411" s="178"/>
      <c r="W2411" s="180"/>
      <c r="X2411" s="180"/>
      <c r="Y2411" s="178"/>
      <c r="Z2411" s="180"/>
      <c r="AA2411" s="184"/>
      <c r="AB2411" s="178"/>
      <c r="AC2411" s="180"/>
      <c r="AD2411" s="199" t="s">
        <v>1017</v>
      </c>
      <c r="AE2411" s="200"/>
      <c r="AF2411" s="180"/>
      <c r="AG2411" s="201"/>
      <c r="AH2411" s="212" t="str">
        <f t="shared" si="1109"/>
        <v/>
      </c>
      <c r="AI2411" s="214" t="str">
        <f t="shared" si="1094"/>
        <v/>
      </c>
      <c r="AJ2411" s="214" t="str">
        <f t="shared" si="1095"/>
        <v/>
      </c>
      <c r="AK2411" s="214" t="str">
        <f t="shared" si="1096"/>
        <v/>
      </c>
      <c r="AL2411" s="214" t="str">
        <f t="shared" si="1097"/>
        <v/>
      </c>
      <c r="AM2411" s="214" t="str">
        <f t="shared" si="1098"/>
        <v/>
      </c>
      <c r="AN2411" s="213" t="str">
        <f t="shared" si="1081"/>
        <v/>
      </c>
      <c r="AO2411" s="213" t="str">
        <f t="shared" si="1082"/>
        <v/>
      </c>
      <c r="AP2411" s="213" t="str">
        <f t="shared" si="1083"/>
        <v/>
      </c>
      <c r="AQ2411" s="215" t="str">
        <f t="shared" si="1084"/>
        <v/>
      </c>
      <c r="AR2411" s="216" t="str">
        <f t="shared" si="1085"/>
        <v>BiK82X2KA3--08</v>
      </c>
      <c r="AS2411" s="215" t="str">
        <f t="shared" si="1086"/>
        <v/>
      </c>
      <c r="AT2411">
        <f t="shared" si="1087"/>
        <v>14</v>
      </c>
      <c r="AU2411" s="216" t="str">
        <f t="shared" si="1088"/>
        <v>0,15-0,5 MW, Bonusregeln X2 und K wenn Anlage 3 erfüllt</v>
      </c>
      <c r="AV2411" s="215" t="str">
        <f t="shared" si="1089"/>
        <v/>
      </c>
      <c r="AW2411" s="216" t="str">
        <f t="shared" si="1090"/>
        <v>Anteil KWK gemäß Anlage 3</v>
      </c>
      <c r="AX2411" s="215" t="str">
        <f t="shared" si="1091"/>
        <v/>
      </c>
      <c r="AY2411" t="str">
        <f t="shared" si="1092"/>
        <v/>
      </c>
      <c r="AZ2411" t="str">
        <f t="shared" si="1093"/>
        <v/>
      </c>
    </row>
    <row r="2412" spans="1:52" x14ac:dyDescent="0.25">
      <c r="A2412" s="610" t="s">
        <v>5609</v>
      </c>
      <c r="B2412" s="30" t="s">
        <v>5548</v>
      </c>
      <c r="C2412" s="30" t="s">
        <v>5540</v>
      </c>
      <c r="D2412" s="30" t="s">
        <v>7072</v>
      </c>
      <c r="E2412" s="30" t="s">
        <v>674</v>
      </c>
      <c r="F2412" s="454">
        <f t="shared" si="1100"/>
        <v>22.32</v>
      </c>
      <c r="G2412" s="529">
        <v>22.32</v>
      </c>
      <c r="H2412" s="487">
        <f t="shared" si="1101"/>
        <v>17.86</v>
      </c>
      <c r="I2412" s="706"/>
      <c r="J2412" s="669" t="s">
        <v>5805</v>
      </c>
      <c r="K2412" s="15"/>
      <c r="M2412" s="49">
        <f t="shared" si="1102"/>
        <v>22.32</v>
      </c>
      <c r="N2412" s="41">
        <v>9.32</v>
      </c>
      <c r="O2412" s="186"/>
      <c r="P2412" s="177"/>
      <c r="Q2412" s="178" t="s">
        <v>1017</v>
      </c>
      <c r="R2412" s="178"/>
      <c r="S2412" s="178" t="s">
        <v>4180</v>
      </c>
      <c r="T2412" t="s">
        <v>4180</v>
      </c>
      <c r="U2412" s="179"/>
      <c r="V2412" s="178"/>
      <c r="W2412" s="180"/>
      <c r="X2412" s="180"/>
      <c r="Y2412" s="178"/>
      <c r="Z2412" s="180"/>
      <c r="AA2412" s="184"/>
      <c r="AB2412" s="178"/>
      <c r="AC2412" s="180"/>
      <c r="AD2412" s="199" t="s">
        <v>1017</v>
      </c>
      <c r="AE2412" s="200"/>
      <c r="AF2412" s="180"/>
      <c r="AG2412" s="201"/>
      <c r="AH2412" s="212" t="str">
        <f t="shared" si="1109"/>
        <v/>
      </c>
      <c r="AI2412" s="214" t="str">
        <f t="shared" si="1094"/>
        <v/>
      </c>
      <c r="AJ2412" s="214" t="str">
        <f t="shared" si="1095"/>
        <v/>
      </c>
      <c r="AK2412" s="214" t="str">
        <f t="shared" si="1096"/>
        <v/>
      </c>
      <c r="AL2412" s="214" t="str">
        <f t="shared" si="1097"/>
        <v/>
      </c>
      <c r="AM2412" s="214" t="str">
        <f t="shared" si="1098"/>
        <v/>
      </c>
      <c r="AN2412" s="213" t="str">
        <f t="shared" si="1081"/>
        <v/>
      </c>
      <c r="AO2412" s="213" t="str">
        <f t="shared" si="1082"/>
        <v/>
      </c>
      <c r="AP2412" s="213" t="str">
        <f t="shared" si="1083"/>
        <v/>
      </c>
      <c r="AQ2412" s="215" t="str">
        <f t="shared" si="1084"/>
        <v/>
      </c>
      <c r="AR2412" s="216" t="str">
        <f t="shared" si="1085"/>
        <v>BiK82X2K09--08</v>
      </c>
      <c r="AS2412" s="215" t="str">
        <f t="shared" si="1086"/>
        <v/>
      </c>
      <c r="AT2412">
        <f t="shared" si="1087"/>
        <v>14</v>
      </c>
      <c r="AU2412" s="216" t="str">
        <f t="shared" si="1088"/>
        <v>0,15-0,5 MW, Bonusregeln X2 und K erstmals 2009</v>
      </c>
      <c r="AV2412" s="215" t="str">
        <f t="shared" si="1089"/>
        <v/>
      </c>
      <c r="AW2412" s="216" t="str">
        <f t="shared" si="1090"/>
        <v>Anteil KWK, erstmals 2009</v>
      </c>
      <c r="AX2412" s="215" t="str">
        <f t="shared" si="1091"/>
        <v/>
      </c>
      <c r="AY2412" t="str">
        <f t="shared" si="1092"/>
        <v/>
      </c>
      <c r="AZ2412" t="str">
        <f t="shared" si="1093"/>
        <v/>
      </c>
    </row>
    <row r="2413" spans="1:52" x14ac:dyDescent="0.25">
      <c r="A2413" s="610" t="s">
        <v>3192</v>
      </c>
      <c r="B2413" s="30" t="s">
        <v>5548</v>
      </c>
      <c r="C2413" s="30" t="s">
        <v>5540</v>
      </c>
      <c r="D2413" s="30" t="s">
        <v>7073</v>
      </c>
      <c r="E2413" s="30" t="s">
        <v>3567</v>
      </c>
      <c r="F2413" s="454">
        <f t="shared" si="1100"/>
        <v>22.29</v>
      </c>
      <c r="G2413" s="529">
        <v>22.29</v>
      </c>
      <c r="H2413" s="487">
        <f t="shared" si="1101"/>
        <v>17.829999999999998</v>
      </c>
      <c r="I2413" s="706"/>
      <c r="J2413" s="669" t="s">
        <v>5805</v>
      </c>
      <c r="K2413" s="15"/>
      <c r="M2413" s="49">
        <f t="shared" si="1102"/>
        <v>22.29</v>
      </c>
      <c r="N2413" s="41">
        <v>9.32</v>
      </c>
      <c r="O2413" s="186"/>
      <c r="P2413" s="177"/>
      <c r="Q2413" s="178"/>
      <c r="R2413" s="178" t="s">
        <v>1017</v>
      </c>
      <c r="S2413" s="178" t="s">
        <v>4180</v>
      </c>
      <c r="T2413" t="s">
        <v>4180</v>
      </c>
      <c r="U2413" s="179"/>
      <c r="V2413" s="178"/>
      <c r="W2413" s="180"/>
      <c r="X2413" s="180"/>
      <c r="Y2413" s="178"/>
      <c r="Z2413" s="180"/>
      <c r="AA2413" s="184"/>
      <c r="AB2413" s="178"/>
      <c r="AC2413" s="180"/>
      <c r="AD2413" s="199" t="s">
        <v>1017</v>
      </c>
      <c r="AE2413" s="200"/>
      <c r="AF2413" s="180"/>
      <c r="AG2413" s="201"/>
      <c r="AH2413" s="212" t="str">
        <f t="shared" si="1109"/>
        <v>2010</v>
      </c>
      <c r="AI2413" s="214" t="str">
        <f t="shared" si="1094"/>
        <v/>
      </c>
      <c r="AJ2413" s="214" t="str">
        <f t="shared" si="1095"/>
        <v/>
      </c>
      <c r="AK2413" s="214" t="str">
        <f t="shared" si="1096"/>
        <v/>
      </c>
      <c r="AL2413" s="214" t="str">
        <f t="shared" si="1097"/>
        <v/>
      </c>
      <c r="AM2413" s="214" t="str">
        <f t="shared" si="1098"/>
        <v/>
      </c>
      <c r="AN2413" s="213" t="str">
        <f t="shared" si="1081"/>
        <v>2010</v>
      </c>
      <c r="AO2413" s="213" t="str">
        <f t="shared" si="1082"/>
        <v>2010</v>
      </c>
      <c r="AP2413" s="213" t="str">
        <f t="shared" si="1083"/>
        <v>2010</v>
      </c>
      <c r="AQ2413" s="215" t="str">
        <f t="shared" si="1084"/>
        <v/>
      </c>
      <c r="AR2413" s="216" t="str">
        <f t="shared" si="1085"/>
        <v>BiK82X2K10--08</v>
      </c>
      <c r="AS2413" s="215" t="str">
        <f t="shared" si="1086"/>
        <v/>
      </c>
      <c r="AT2413">
        <f t="shared" si="1087"/>
        <v>14</v>
      </c>
      <c r="AU2413" s="216" t="str">
        <f t="shared" si="1088"/>
        <v>0,15-0,5 MW, Bonusregeln X2 und K erstmals 2010</v>
      </c>
      <c r="AV2413" s="215" t="str">
        <f t="shared" si="1089"/>
        <v/>
      </c>
      <c r="AW2413" s="216" t="str">
        <f t="shared" si="1090"/>
        <v>Anteil KWK, erstmals 2010</v>
      </c>
      <c r="AX2413" s="215" t="str">
        <f t="shared" si="1091"/>
        <v/>
      </c>
      <c r="AY2413" t="str">
        <f t="shared" si="1092"/>
        <v/>
      </c>
      <c r="AZ2413" t="str">
        <f t="shared" si="1093"/>
        <v/>
      </c>
    </row>
    <row r="2414" spans="1:52" s="178" customFormat="1" x14ac:dyDescent="0.25">
      <c r="A2414" s="610" t="s">
        <v>3468</v>
      </c>
      <c r="B2414" s="30" t="s">
        <v>5548</v>
      </c>
      <c r="C2414" s="30" t="s">
        <v>5540</v>
      </c>
      <c r="D2414" s="30" t="s">
        <v>7074</v>
      </c>
      <c r="E2414" s="30" t="s">
        <v>3055</v>
      </c>
      <c r="F2414" s="454">
        <f t="shared" si="1100"/>
        <v>22.259999999999998</v>
      </c>
      <c r="G2414" s="529">
        <v>22.259999999999998</v>
      </c>
      <c r="H2414" s="487">
        <f t="shared" si="1101"/>
        <v>17.809999999999999</v>
      </c>
      <c r="I2414" s="706"/>
      <c r="J2414" s="669" t="s">
        <v>5805</v>
      </c>
      <c r="K2414" s="15"/>
      <c r="L2414"/>
      <c r="M2414" s="49">
        <f t="shared" si="1102"/>
        <v>22.259999999999998</v>
      </c>
      <c r="N2414" s="41">
        <v>9.32</v>
      </c>
      <c r="O2414" s="186"/>
      <c r="P2414" s="177"/>
      <c r="S2414" s="178" t="s">
        <v>1017</v>
      </c>
      <c r="T2414" s="178" t="s">
        <v>4180</v>
      </c>
      <c r="U2414" s="179"/>
      <c r="W2414" s="180"/>
      <c r="X2414" s="180"/>
      <c r="Z2414" s="180"/>
      <c r="AA2414" s="184"/>
      <c r="AC2414" s="180"/>
      <c r="AD2414" s="199" t="s">
        <v>1017</v>
      </c>
      <c r="AE2414" s="200"/>
      <c r="AF2414" s="180"/>
      <c r="AG2414" s="201"/>
      <c r="AH2414" s="212" t="str">
        <f t="shared" si="1109"/>
        <v>2011</v>
      </c>
      <c r="AI2414" s="214" t="str">
        <f t="shared" si="1094"/>
        <v/>
      </c>
      <c r="AJ2414" s="214" t="str">
        <f t="shared" si="1095"/>
        <v/>
      </c>
      <c r="AK2414" s="214" t="str">
        <f t="shared" si="1096"/>
        <v/>
      </c>
      <c r="AL2414" s="214" t="str">
        <f t="shared" si="1097"/>
        <v/>
      </c>
      <c r="AM2414" s="214" t="str">
        <f t="shared" si="1098"/>
        <v/>
      </c>
      <c r="AN2414" s="213" t="str">
        <f t="shared" si="1081"/>
        <v>2011</v>
      </c>
      <c r="AO2414" s="213" t="str">
        <f t="shared" si="1082"/>
        <v>2011</v>
      </c>
      <c r="AP2414" s="213" t="str">
        <f t="shared" si="1083"/>
        <v>2011</v>
      </c>
      <c r="AQ2414" s="215" t="str">
        <f t="shared" si="1084"/>
        <v/>
      </c>
      <c r="AR2414" s="216" t="str">
        <f t="shared" si="1085"/>
        <v>BiK82X2K11--08</v>
      </c>
      <c r="AS2414" s="215" t="str">
        <f t="shared" si="1086"/>
        <v/>
      </c>
      <c r="AT2414">
        <f t="shared" si="1087"/>
        <v>14</v>
      </c>
      <c r="AU2414" s="216" t="str">
        <f t="shared" si="1088"/>
        <v>0,15-0,5 MW, Bonusregeln X2 und K erstmals 2011</v>
      </c>
      <c r="AV2414" s="215" t="str">
        <f t="shared" si="1089"/>
        <v/>
      </c>
      <c r="AW2414" s="216" t="str">
        <f t="shared" si="1090"/>
        <v>Anteil KWK, erstmals 2011</v>
      </c>
      <c r="AX2414" s="215" t="str">
        <f t="shared" si="1091"/>
        <v/>
      </c>
      <c r="AY2414" t="str">
        <f t="shared" si="1092"/>
        <v>x</v>
      </c>
      <c r="AZ2414" t="str">
        <f t="shared" si="1093"/>
        <v/>
      </c>
    </row>
    <row r="2415" spans="1:52" s="178" customFormat="1" x14ac:dyDescent="0.25">
      <c r="A2415" s="625" t="s">
        <v>1900</v>
      </c>
      <c r="B2415" s="219" t="s">
        <v>5548</v>
      </c>
      <c r="C2415" s="219" t="s">
        <v>5540</v>
      </c>
      <c r="D2415" s="219" t="s">
        <v>7075</v>
      </c>
      <c r="E2415" s="219" t="s">
        <v>1980</v>
      </c>
      <c r="F2415" s="455">
        <f t="shared" si="1100"/>
        <v>22.23</v>
      </c>
      <c r="G2415" s="530">
        <v>22.23</v>
      </c>
      <c r="H2415" s="488">
        <f t="shared" si="1101"/>
        <v>17.78</v>
      </c>
      <c r="I2415" s="707"/>
      <c r="J2415" s="669" t="s">
        <v>5805</v>
      </c>
      <c r="K2415" s="15"/>
      <c r="L2415"/>
      <c r="M2415" s="49">
        <f t="shared" si="1102"/>
        <v>22.23</v>
      </c>
      <c r="N2415" s="41">
        <v>9.32</v>
      </c>
      <c r="O2415" s="186"/>
      <c r="P2415" s="177"/>
      <c r="S2415" s="178" t="s">
        <v>4180</v>
      </c>
      <c r="T2415" s="178" t="s">
        <v>1017</v>
      </c>
      <c r="U2415" s="179"/>
      <c r="W2415" s="180"/>
      <c r="X2415" s="180"/>
      <c r="Z2415" s="180"/>
      <c r="AA2415" s="184"/>
      <c r="AC2415" s="180"/>
      <c r="AD2415" s="199" t="s">
        <v>1017</v>
      </c>
      <c r="AE2415" s="200"/>
      <c r="AF2415" s="180"/>
      <c r="AG2415" s="201"/>
      <c r="AH2415" s="217" t="s">
        <v>4179</v>
      </c>
      <c r="AI2415" s="214" t="str">
        <f t="shared" si="1094"/>
        <v/>
      </c>
      <c r="AJ2415" s="214" t="str">
        <f t="shared" si="1095"/>
        <v/>
      </c>
      <c r="AK2415" s="214" t="str">
        <f t="shared" si="1096"/>
        <v/>
      </c>
      <c r="AL2415" s="214" t="str">
        <f t="shared" si="1097"/>
        <v/>
      </c>
      <c r="AM2415" s="214" t="str">
        <f t="shared" si="1098"/>
        <v/>
      </c>
      <c r="AN2415" s="213" t="str">
        <f t="shared" si="1081"/>
        <v>2012</v>
      </c>
      <c r="AO2415" s="213" t="str">
        <f t="shared" si="1082"/>
        <v>2012</v>
      </c>
      <c r="AP2415" s="213" t="str">
        <f t="shared" si="1083"/>
        <v>2012</v>
      </c>
      <c r="AQ2415" s="215" t="str">
        <f t="shared" si="1084"/>
        <v/>
      </c>
      <c r="AR2415" s="216" t="str">
        <f t="shared" si="1085"/>
        <v>BiK82X2K12--08</v>
      </c>
      <c r="AS2415" s="215" t="str">
        <f t="shared" si="1086"/>
        <v/>
      </c>
      <c r="AT2415">
        <f t="shared" si="1087"/>
        <v>14</v>
      </c>
      <c r="AU2415" s="216" t="str">
        <f t="shared" si="1088"/>
        <v>0,15-0,5 MW, Bonusregeln X2 und K erstmals 2012</v>
      </c>
      <c r="AV2415" s="215" t="str">
        <f t="shared" si="1089"/>
        <v/>
      </c>
      <c r="AW2415" s="216" t="str">
        <f t="shared" si="1090"/>
        <v>Anteil KWK, erstmals 2012</v>
      </c>
      <c r="AX2415" s="215" t="str">
        <f t="shared" si="1091"/>
        <v/>
      </c>
      <c r="AY2415" t="str">
        <f t="shared" si="1092"/>
        <v/>
      </c>
      <c r="AZ2415" t="str">
        <f t="shared" si="1093"/>
        <v>x</v>
      </c>
    </row>
    <row r="2416" spans="1:52" s="178" customFormat="1" x14ac:dyDescent="0.25">
      <c r="A2416" s="610" t="s">
        <v>5610</v>
      </c>
      <c r="B2416" s="30" t="s">
        <v>5548</v>
      </c>
      <c r="C2416" s="30" t="s">
        <v>5540</v>
      </c>
      <c r="D2416" s="30" t="s">
        <v>7076</v>
      </c>
      <c r="E2416" s="30" t="s">
        <v>4810</v>
      </c>
      <c r="F2416" s="454">
        <f t="shared" si="1100"/>
        <v>20.32</v>
      </c>
      <c r="G2416" s="529">
        <v>20.32</v>
      </c>
      <c r="H2416" s="487">
        <f t="shared" si="1101"/>
        <v>16.260000000000002</v>
      </c>
      <c r="I2416" s="706"/>
      <c r="J2416" s="669" t="s">
        <v>5805</v>
      </c>
      <c r="K2416" s="15"/>
      <c r="L2416"/>
      <c r="M2416" s="49">
        <f t="shared" si="1102"/>
        <v>20.32</v>
      </c>
      <c r="N2416" s="41">
        <v>9.32</v>
      </c>
      <c r="O2416" s="187"/>
      <c r="P2416" s="183"/>
      <c r="Q2416" s="184"/>
      <c r="R2416" s="184"/>
      <c r="S2416" s="184" t="s">
        <v>4180</v>
      </c>
      <c r="T2416" s="178" t="s">
        <v>4180</v>
      </c>
      <c r="U2416" s="185" t="s">
        <v>1017</v>
      </c>
      <c r="V2416" s="184"/>
      <c r="W2416" s="180"/>
      <c r="X2416" s="180"/>
      <c r="Z2416" s="180"/>
      <c r="AA2416" s="184"/>
      <c r="AC2416" s="180"/>
      <c r="AD2416" s="182" t="s">
        <v>1017</v>
      </c>
      <c r="AE2416" s="181"/>
      <c r="AF2416" s="180"/>
      <c r="AG2416" s="201"/>
      <c r="AH2416" s="212" t="str">
        <f t="shared" ref="AH2416:AH2421" si="1110">IF(ISERROR(SEARCH("K erstmals 201",D2416)),"",RIGHT(D2416,4))</f>
        <v/>
      </c>
      <c r="AI2416" s="214" t="str">
        <f t="shared" si="1094"/>
        <v/>
      </c>
      <c r="AJ2416" s="214" t="str">
        <f t="shared" si="1095"/>
        <v/>
      </c>
      <c r="AK2416" s="214" t="str">
        <f t="shared" si="1096"/>
        <v/>
      </c>
      <c r="AL2416" s="214" t="str">
        <f t="shared" si="1097"/>
        <v/>
      </c>
      <c r="AM2416" s="214" t="str">
        <f t="shared" si="1098"/>
        <v/>
      </c>
      <c r="AN2416" s="213" t="str">
        <f t="shared" si="1081"/>
        <v/>
      </c>
      <c r="AO2416" s="213" t="str">
        <f t="shared" si="1082"/>
        <v/>
      </c>
      <c r="AP2416" s="213" t="str">
        <f t="shared" si="1083"/>
        <v/>
      </c>
      <c r="AQ2416" s="215" t="str">
        <f t="shared" si="1084"/>
        <v/>
      </c>
      <c r="AR2416" s="216" t="str">
        <f t="shared" si="1085"/>
        <v>BiK82X2y----08</v>
      </c>
      <c r="AS2416" s="215" t="str">
        <f t="shared" si="1086"/>
        <v/>
      </c>
      <c r="AT2416">
        <f t="shared" si="1087"/>
        <v>14</v>
      </c>
      <c r="AU2416" s="216" t="str">
        <f t="shared" si="1088"/>
        <v>0,15-0,5 MW, Bonusregeln X2, y</v>
      </c>
      <c r="AV2416" s="215" t="str">
        <f t="shared" si="1089"/>
        <v/>
      </c>
      <c r="AW2416" s="216" t="str">
        <f t="shared" si="1090"/>
        <v>Anteil Nicht-KWK</v>
      </c>
      <c r="AX2416" s="215" t="str">
        <f t="shared" si="1091"/>
        <v/>
      </c>
      <c r="AY2416" t="str">
        <f t="shared" si="1092"/>
        <v/>
      </c>
      <c r="AZ2416" t="str">
        <f t="shared" si="1093"/>
        <v/>
      </c>
    </row>
    <row r="2417" spans="1:52" s="178" customFormat="1" x14ac:dyDescent="0.25">
      <c r="A2417" s="610" t="s">
        <v>3660</v>
      </c>
      <c r="B2417" s="30" t="s">
        <v>5548</v>
      </c>
      <c r="C2417" s="30" t="s">
        <v>5540</v>
      </c>
      <c r="D2417" s="30" t="s">
        <v>7129</v>
      </c>
      <c r="E2417" s="30" t="s">
        <v>4812</v>
      </c>
      <c r="F2417" s="454">
        <f t="shared" si="1100"/>
        <v>22.32</v>
      </c>
      <c r="G2417" s="529">
        <v>22.32</v>
      </c>
      <c r="H2417" s="487">
        <f t="shared" si="1101"/>
        <v>17.86</v>
      </c>
      <c r="I2417" s="706"/>
      <c r="J2417" s="669" t="s">
        <v>5805</v>
      </c>
      <c r="K2417" s="15"/>
      <c r="L2417"/>
      <c r="M2417" s="49">
        <f t="shared" si="1102"/>
        <v>22.32</v>
      </c>
      <c r="N2417" s="41">
        <v>9.32</v>
      </c>
      <c r="O2417" s="187" t="s">
        <v>1017</v>
      </c>
      <c r="P2417" s="183"/>
      <c r="Q2417" s="184"/>
      <c r="R2417" s="184"/>
      <c r="S2417" s="184" t="s">
        <v>4180</v>
      </c>
      <c r="T2417" s="178" t="s">
        <v>4180</v>
      </c>
      <c r="U2417" s="185" t="s">
        <v>1017</v>
      </c>
      <c r="V2417" s="184"/>
      <c r="W2417" s="180"/>
      <c r="X2417" s="180"/>
      <c r="Z2417" s="180"/>
      <c r="AA2417" s="184"/>
      <c r="AC2417" s="180"/>
      <c r="AD2417" s="182" t="s">
        <v>1017</v>
      </c>
      <c r="AE2417" s="181"/>
      <c r="AF2417" s="180"/>
      <c r="AG2417" s="201"/>
      <c r="AH2417" s="212" t="str">
        <f t="shared" si="1110"/>
        <v/>
      </c>
      <c r="AI2417" s="214" t="str">
        <f t="shared" si="1094"/>
        <v/>
      </c>
      <c r="AJ2417" s="214" t="str">
        <f t="shared" si="1095"/>
        <v/>
      </c>
      <c r="AK2417" s="214" t="str">
        <f t="shared" si="1096"/>
        <v/>
      </c>
      <c r="AL2417" s="214" t="str">
        <f t="shared" si="1097"/>
        <v/>
      </c>
      <c r="AM2417" s="214" t="str">
        <f t="shared" si="1098"/>
        <v/>
      </c>
      <c r="AN2417" s="213" t="str">
        <f t="shared" si="1081"/>
        <v/>
      </c>
      <c r="AO2417" s="213" t="str">
        <f t="shared" si="1082"/>
        <v/>
      </c>
      <c r="AP2417" s="213" t="str">
        <f t="shared" si="1083"/>
        <v/>
      </c>
      <c r="AQ2417" s="215" t="str">
        <f t="shared" si="1084"/>
        <v/>
      </c>
      <c r="AR2417" s="216" t="str">
        <f t="shared" si="1085"/>
        <v>BiK82X2KWKy-08</v>
      </c>
      <c r="AS2417" s="215" t="str">
        <f t="shared" si="1086"/>
        <v/>
      </c>
      <c r="AT2417">
        <f t="shared" si="1087"/>
        <v>14</v>
      </c>
      <c r="AU2417" s="216" t="str">
        <f t="shared" si="1088"/>
        <v>0,15-0,5 MW, Bonusregeln X2, y und KWK</v>
      </c>
      <c r="AV2417" s="215" t="str">
        <f t="shared" si="1089"/>
        <v/>
      </c>
      <c r="AW2417" s="216" t="str">
        <f t="shared" si="1090"/>
        <v>Anteil KWK</v>
      </c>
      <c r="AX2417" s="215" t="str">
        <f t="shared" si="1091"/>
        <v/>
      </c>
      <c r="AY2417" t="str">
        <f t="shared" si="1092"/>
        <v/>
      </c>
      <c r="AZ2417" t="str">
        <f t="shared" si="1093"/>
        <v/>
      </c>
    </row>
    <row r="2418" spans="1:52" s="178" customFormat="1" x14ac:dyDescent="0.25">
      <c r="A2418" s="610" t="s">
        <v>3661</v>
      </c>
      <c r="B2418" s="30" t="s">
        <v>5548</v>
      </c>
      <c r="C2418" s="30" t="s">
        <v>5540</v>
      </c>
      <c r="D2418" s="109" t="s">
        <v>7077</v>
      </c>
      <c r="E2418" s="30" t="s">
        <v>4331</v>
      </c>
      <c r="F2418" s="454">
        <f t="shared" si="1100"/>
        <v>23.32</v>
      </c>
      <c r="G2418" s="529">
        <v>23.32</v>
      </c>
      <c r="H2418" s="487">
        <f t="shared" si="1101"/>
        <v>18.66</v>
      </c>
      <c r="I2418" s="706"/>
      <c r="J2418" s="669" t="s">
        <v>5805</v>
      </c>
      <c r="K2418" s="15"/>
      <c r="L2418"/>
      <c r="M2418" s="49">
        <f t="shared" si="1102"/>
        <v>23.32</v>
      </c>
      <c r="N2418" s="41">
        <v>9.32</v>
      </c>
      <c r="O2418" s="187"/>
      <c r="P2418" s="184" t="s">
        <v>1017</v>
      </c>
      <c r="Q2418" s="184"/>
      <c r="R2418" s="184"/>
      <c r="S2418" s="184" t="s">
        <v>4180</v>
      </c>
      <c r="T2418" s="178" t="s">
        <v>4180</v>
      </c>
      <c r="U2418" s="185" t="s">
        <v>1017</v>
      </c>
      <c r="V2418" s="184"/>
      <c r="W2418" s="180"/>
      <c r="X2418" s="180"/>
      <c r="Z2418" s="180"/>
      <c r="AA2418" s="184"/>
      <c r="AC2418" s="180"/>
      <c r="AD2418" s="182" t="s">
        <v>1017</v>
      </c>
      <c r="AE2418" s="181"/>
      <c r="AF2418" s="180"/>
      <c r="AG2418" s="201"/>
      <c r="AH2418" s="212" t="str">
        <f t="shared" si="1110"/>
        <v/>
      </c>
      <c r="AI2418" s="214" t="str">
        <f t="shared" si="1094"/>
        <v/>
      </c>
      <c r="AJ2418" s="214" t="str">
        <f t="shared" si="1095"/>
        <v/>
      </c>
      <c r="AK2418" s="214" t="str">
        <f t="shared" si="1096"/>
        <v/>
      </c>
      <c r="AL2418" s="214" t="str">
        <f t="shared" si="1097"/>
        <v/>
      </c>
      <c r="AM2418" s="214" t="str">
        <f t="shared" si="1098"/>
        <v/>
      </c>
      <c r="AN2418" s="213" t="str">
        <f t="shared" si="1081"/>
        <v/>
      </c>
      <c r="AO2418" s="213" t="str">
        <f t="shared" si="1082"/>
        <v/>
      </c>
      <c r="AP2418" s="213" t="str">
        <f t="shared" si="1083"/>
        <v/>
      </c>
      <c r="AQ2418" s="215" t="str">
        <f t="shared" si="1084"/>
        <v/>
      </c>
      <c r="AR2418" s="216" t="str">
        <f t="shared" si="1085"/>
        <v>BiK82X2KA3y-08</v>
      </c>
      <c r="AS2418" s="215" t="str">
        <f t="shared" si="1086"/>
        <v/>
      </c>
      <c r="AT2418">
        <f t="shared" si="1087"/>
        <v>14</v>
      </c>
      <c r="AU2418" s="216" t="str">
        <f t="shared" si="1088"/>
        <v>0,15-0,5 MW, Bonusregeln X2, y und K wenn Anlage 3 erfüllt</v>
      </c>
      <c r="AV2418" s="215" t="str">
        <f t="shared" si="1089"/>
        <v/>
      </c>
      <c r="AW2418" s="216" t="str">
        <f t="shared" si="1090"/>
        <v>Anteil KWK gemäß Anlage 3</v>
      </c>
      <c r="AX2418" s="215" t="str">
        <f t="shared" si="1091"/>
        <v/>
      </c>
      <c r="AY2418" t="str">
        <f t="shared" si="1092"/>
        <v/>
      </c>
      <c r="AZ2418" t="str">
        <f t="shared" si="1093"/>
        <v/>
      </c>
    </row>
    <row r="2419" spans="1:52" s="178" customFormat="1" x14ac:dyDescent="0.25">
      <c r="A2419" s="610" t="s">
        <v>3662</v>
      </c>
      <c r="B2419" s="30" t="s">
        <v>5548</v>
      </c>
      <c r="C2419" s="30" t="s">
        <v>5540</v>
      </c>
      <c r="D2419" s="30" t="s">
        <v>7078</v>
      </c>
      <c r="E2419" s="30" t="s">
        <v>674</v>
      </c>
      <c r="F2419" s="454">
        <f t="shared" si="1100"/>
        <v>23.32</v>
      </c>
      <c r="G2419" s="529">
        <v>23.32</v>
      </c>
      <c r="H2419" s="487">
        <f t="shared" si="1101"/>
        <v>18.66</v>
      </c>
      <c r="I2419" s="706"/>
      <c r="J2419" s="669" t="s">
        <v>5805</v>
      </c>
      <c r="K2419" s="15"/>
      <c r="L2419"/>
      <c r="M2419" s="49">
        <f t="shared" si="1102"/>
        <v>23.32</v>
      </c>
      <c r="N2419" s="41">
        <v>9.32</v>
      </c>
      <c r="O2419" s="187"/>
      <c r="P2419" s="183"/>
      <c r="Q2419" s="184" t="s">
        <v>1017</v>
      </c>
      <c r="R2419" s="184"/>
      <c r="S2419" s="184" t="s">
        <v>4180</v>
      </c>
      <c r="T2419" s="178" t="s">
        <v>4180</v>
      </c>
      <c r="U2419" s="185" t="s">
        <v>1017</v>
      </c>
      <c r="V2419" s="184"/>
      <c r="W2419" s="180"/>
      <c r="X2419" s="180"/>
      <c r="Z2419" s="180"/>
      <c r="AA2419" s="184"/>
      <c r="AC2419" s="180"/>
      <c r="AD2419" s="182" t="s">
        <v>1017</v>
      </c>
      <c r="AE2419" s="181"/>
      <c r="AF2419" s="180"/>
      <c r="AG2419" s="201"/>
      <c r="AH2419" s="212" t="str">
        <f t="shared" si="1110"/>
        <v/>
      </c>
      <c r="AI2419" s="214" t="str">
        <f t="shared" si="1094"/>
        <v/>
      </c>
      <c r="AJ2419" s="214" t="str">
        <f t="shared" si="1095"/>
        <v/>
      </c>
      <c r="AK2419" s="214" t="str">
        <f t="shared" si="1096"/>
        <v/>
      </c>
      <c r="AL2419" s="214" t="str">
        <f t="shared" si="1097"/>
        <v/>
      </c>
      <c r="AM2419" s="214" t="str">
        <f t="shared" si="1098"/>
        <v/>
      </c>
      <c r="AN2419" s="213" t="str">
        <f t="shared" si="1081"/>
        <v/>
      </c>
      <c r="AO2419" s="213" t="str">
        <f t="shared" si="1082"/>
        <v/>
      </c>
      <c r="AP2419" s="213" t="str">
        <f t="shared" si="1083"/>
        <v/>
      </c>
      <c r="AQ2419" s="215" t="str">
        <f t="shared" si="1084"/>
        <v/>
      </c>
      <c r="AR2419" s="216" t="str">
        <f t="shared" si="1085"/>
        <v>BiK82X2K09y-08</v>
      </c>
      <c r="AS2419" s="215" t="str">
        <f t="shared" si="1086"/>
        <v/>
      </c>
      <c r="AT2419">
        <f t="shared" si="1087"/>
        <v>14</v>
      </c>
      <c r="AU2419" s="216" t="str">
        <f t="shared" si="1088"/>
        <v>0,15-0,5 MW, Bonusregeln X2, y und K erstmals 2009</v>
      </c>
      <c r="AV2419" s="215" t="str">
        <f t="shared" si="1089"/>
        <v/>
      </c>
      <c r="AW2419" s="216" t="str">
        <f t="shared" si="1090"/>
        <v>Anteil KWK, erstmals 2009</v>
      </c>
      <c r="AX2419" s="215" t="str">
        <f t="shared" si="1091"/>
        <v/>
      </c>
      <c r="AY2419" t="str">
        <f t="shared" si="1092"/>
        <v/>
      </c>
      <c r="AZ2419" t="str">
        <f t="shared" si="1093"/>
        <v/>
      </c>
    </row>
    <row r="2420" spans="1:52" s="178" customFormat="1" x14ac:dyDescent="0.25">
      <c r="A2420" s="610" t="s">
        <v>3264</v>
      </c>
      <c r="B2420" s="30" t="s">
        <v>5548</v>
      </c>
      <c r="C2420" s="30" t="s">
        <v>5540</v>
      </c>
      <c r="D2420" s="30" t="s">
        <v>7079</v>
      </c>
      <c r="E2420" s="30" t="s">
        <v>3567</v>
      </c>
      <c r="F2420" s="454">
        <f t="shared" si="1100"/>
        <v>23.29</v>
      </c>
      <c r="G2420" s="529">
        <v>23.29</v>
      </c>
      <c r="H2420" s="487">
        <f t="shared" si="1101"/>
        <v>18.63</v>
      </c>
      <c r="I2420" s="706"/>
      <c r="J2420" s="669" t="s">
        <v>5805</v>
      </c>
      <c r="K2420" s="15"/>
      <c r="L2420"/>
      <c r="M2420" s="49">
        <f t="shared" si="1102"/>
        <v>23.29</v>
      </c>
      <c r="N2420" s="41">
        <v>9.32</v>
      </c>
      <c r="O2420" s="187"/>
      <c r="P2420" s="183"/>
      <c r="Q2420" s="184"/>
      <c r="R2420" s="184" t="s">
        <v>1017</v>
      </c>
      <c r="S2420" s="184" t="s">
        <v>4180</v>
      </c>
      <c r="T2420" s="178" t="s">
        <v>4180</v>
      </c>
      <c r="U2420" s="185" t="s">
        <v>1017</v>
      </c>
      <c r="V2420" s="184"/>
      <c r="W2420" s="180"/>
      <c r="X2420" s="180"/>
      <c r="Z2420" s="180"/>
      <c r="AA2420" s="184"/>
      <c r="AC2420" s="180"/>
      <c r="AD2420" s="182" t="s">
        <v>1017</v>
      </c>
      <c r="AE2420" s="181"/>
      <c r="AF2420" s="180"/>
      <c r="AG2420" s="201"/>
      <c r="AH2420" s="212" t="str">
        <f t="shared" si="1110"/>
        <v>2010</v>
      </c>
      <c r="AI2420" s="214" t="str">
        <f t="shared" si="1094"/>
        <v/>
      </c>
      <c r="AJ2420" s="214" t="str">
        <f t="shared" si="1095"/>
        <v/>
      </c>
      <c r="AK2420" s="214" t="str">
        <f t="shared" si="1096"/>
        <v/>
      </c>
      <c r="AL2420" s="214" t="str">
        <f t="shared" si="1097"/>
        <v/>
      </c>
      <c r="AM2420" s="214" t="str">
        <f t="shared" si="1098"/>
        <v/>
      </c>
      <c r="AN2420" s="213" t="str">
        <f t="shared" si="1081"/>
        <v>2010</v>
      </c>
      <c r="AO2420" s="213" t="str">
        <f t="shared" si="1082"/>
        <v>2010</v>
      </c>
      <c r="AP2420" s="213" t="str">
        <f t="shared" si="1083"/>
        <v>2010</v>
      </c>
      <c r="AQ2420" s="215" t="str">
        <f t="shared" si="1084"/>
        <v/>
      </c>
      <c r="AR2420" s="216" t="str">
        <f t="shared" si="1085"/>
        <v>BiK82X2K10y-08</v>
      </c>
      <c r="AS2420" s="215" t="str">
        <f t="shared" si="1086"/>
        <v/>
      </c>
      <c r="AT2420">
        <f t="shared" si="1087"/>
        <v>14</v>
      </c>
      <c r="AU2420" s="216" t="str">
        <f t="shared" si="1088"/>
        <v>0,15-0,5 MW, Bonusregeln X2, y und K erstmals 2010</v>
      </c>
      <c r="AV2420" s="215" t="str">
        <f t="shared" si="1089"/>
        <v/>
      </c>
      <c r="AW2420" s="216" t="str">
        <f t="shared" si="1090"/>
        <v>Anteil KWK, erstmals 2010</v>
      </c>
      <c r="AX2420" s="215" t="str">
        <f t="shared" si="1091"/>
        <v/>
      </c>
      <c r="AY2420" t="str">
        <f t="shared" si="1092"/>
        <v/>
      </c>
      <c r="AZ2420" t="str">
        <f t="shared" si="1093"/>
        <v/>
      </c>
    </row>
    <row r="2421" spans="1:52" s="178" customFormat="1" x14ac:dyDescent="0.25">
      <c r="A2421" s="610" t="s">
        <v>3469</v>
      </c>
      <c r="B2421" s="30" t="s">
        <v>5548</v>
      </c>
      <c r="C2421" s="30" t="s">
        <v>5540</v>
      </c>
      <c r="D2421" s="30" t="s">
        <v>7080</v>
      </c>
      <c r="E2421" s="30" t="s">
        <v>3055</v>
      </c>
      <c r="F2421" s="454">
        <f t="shared" si="1100"/>
        <v>23.259999999999998</v>
      </c>
      <c r="G2421" s="529">
        <v>23.259999999999998</v>
      </c>
      <c r="H2421" s="487">
        <f t="shared" si="1101"/>
        <v>18.61</v>
      </c>
      <c r="I2421" s="706"/>
      <c r="J2421" s="669" t="s">
        <v>5805</v>
      </c>
      <c r="K2421" s="15"/>
      <c r="L2421"/>
      <c r="M2421" s="49">
        <f t="shared" si="1102"/>
        <v>23.259999999999998</v>
      </c>
      <c r="N2421" s="41">
        <v>9.32</v>
      </c>
      <c r="O2421" s="187"/>
      <c r="P2421" s="183"/>
      <c r="Q2421" s="184"/>
      <c r="S2421" s="184" t="s">
        <v>1017</v>
      </c>
      <c r="T2421" s="178" t="s">
        <v>4180</v>
      </c>
      <c r="U2421" s="185" t="s">
        <v>1017</v>
      </c>
      <c r="V2421" s="184"/>
      <c r="W2421" s="180"/>
      <c r="X2421" s="180"/>
      <c r="Z2421" s="180"/>
      <c r="AA2421" s="184"/>
      <c r="AC2421" s="180"/>
      <c r="AD2421" s="182" t="s">
        <v>1017</v>
      </c>
      <c r="AE2421" s="181"/>
      <c r="AF2421" s="180"/>
      <c r="AG2421" s="201"/>
      <c r="AH2421" s="212" t="str">
        <f t="shared" si="1110"/>
        <v>2011</v>
      </c>
      <c r="AI2421" s="214" t="str">
        <f t="shared" si="1094"/>
        <v/>
      </c>
      <c r="AJ2421" s="214" t="str">
        <f t="shared" si="1095"/>
        <v/>
      </c>
      <c r="AK2421" s="214" t="str">
        <f t="shared" si="1096"/>
        <v/>
      </c>
      <c r="AL2421" s="214" t="str">
        <f t="shared" si="1097"/>
        <v/>
      </c>
      <c r="AM2421" s="214" t="str">
        <f t="shared" si="1098"/>
        <v/>
      </c>
      <c r="AN2421" s="213" t="str">
        <f t="shared" ref="AN2421:AN2484" si="1111">IF(ISERROR(SEARCH("K1",A2421)),"","20"&amp;MID(A2421,SEARCH("K1",A2421)+1,2))</f>
        <v>2011</v>
      </c>
      <c r="AO2421" s="213" t="str">
        <f t="shared" ref="AO2421:AO2484" si="1112">IF(ISERROR(SEARCH("erstmals 201",E2421)),"",MID(E2421,SEARCH("erstmals ",E2421)+9,4))</f>
        <v>2011</v>
      </c>
      <c r="AP2421" s="213" t="str">
        <f t="shared" ref="AP2421:AP2484" si="1113">IF(R2421="x","2010",IF(S2421="x","2011",IF(T2421="x","2012","")))</f>
        <v>2011</v>
      </c>
      <c r="AQ2421" s="215" t="str">
        <f t="shared" ref="AQ2421:AQ2484" si="1114">IF(OR(AH2421&lt;&gt;AN2421,AH2421&lt;&gt;AO2421,AH2421&lt;&gt;AP2421),"DIFF","")</f>
        <v/>
      </c>
      <c r="AR2421" s="216" t="str">
        <f t="shared" ref="AR2421:AR2484" si="1115">IF(A2421="","",IF(ISERROR(SEARCH("K1",A2421)),A2421,LEFT(A2421,SEARCH("K1",A2421)+1)&amp;RIGHT(AH2421,1)&amp;MID(A2421,SEARCH("K1",A2421)+3,14)))</f>
        <v>BiK82X2K11y-08</v>
      </c>
      <c r="AS2421" s="215" t="str">
        <f t="shared" ref="AS2421:AS2484" si="1116">IF(OR(A2421&lt;&gt;AR2421),"DIFF","")</f>
        <v/>
      </c>
      <c r="AT2421">
        <f t="shared" ref="AT2421:AT2484" si="1117">LEN(AR2421)</f>
        <v>14</v>
      </c>
      <c r="AU2421" s="216" t="str">
        <f t="shared" ref="AU2421:AU2484" si="1118">IF(D2421="","",IF(OR(A2421="",ISERROR(SEARCH("erstmals 201",D2421))),D2421,LEFT(D2421,SEARCH("erstmals 201",D2421)+8) &amp; AH2421 &amp; MID(D2421,SEARCH("erstmals 201",D2421)+13,255)))</f>
        <v>0,15-0,5 MW, Bonusregeln X2, y und K erstmals 2011</v>
      </c>
      <c r="AV2421" s="215" t="str">
        <f t="shared" ref="AV2421:AV2484" si="1119">IF(OR(D2421&lt;&gt;AU2421),"DIFF","")</f>
        <v/>
      </c>
      <c r="AW2421" s="216" t="str">
        <f t="shared" ref="AW2421:AW2484" si="1120">IF(E2421="","",IF(OR(E2421="",ISERROR(SEARCH("erstmals 201",E2421))),E2421,LEFT(E2421,SEARCH("erstmals 201",E2421)+8) &amp; AH2421 &amp; MID(E2421,SEARCH("erstmals 201",E2421)+13,255)))</f>
        <v>Anteil KWK, erstmals 2011</v>
      </c>
      <c r="AX2421" s="215" t="str">
        <f t="shared" ref="AX2421:AX2484" si="1121">IF(OR(E2421&lt;&gt;AW2421),"DIFF","")</f>
        <v/>
      </c>
      <c r="AY2421" t="str">
        <f t="shared" ref="AY2421:AY2484" si="1122">IF(AH2421="2011","x",IF(AH2421="2012","","" &amp; S2421))</f>
        <v>x</v>
      </c>
      <c r="AZ2421" t="str">
        <f t="shared" ref="AZ2421:AZ2484" si="1123">IF(AH2421="2012","x",IF(AH2421="2011","","" &amp; T2421))</f>
        <v/>
      </c>
    </row>
    <row r="2422" spans="1:52" s="178" customFormat="1" x14ac:dyDescent="0.25">
      <c r="A2422" s="625" t="s">
        <v>1901</v>
      </c>
      <c r="B2422" s="219" t="s">
        <v>5548</v>
      </c>
      <c r="C2422" s="219" t="s">
        <v>5540</v>
      </c>
      <c r="D2422" s="219" t="s">
        <v>7081</v>
      </c>
      <c r="E2422" s="219" t="s">
        <v>1980</v>
      </c>
      <c r="F2422" s="455">
        <f t="shared" si="1100"/>
        <v>23.23</v>
      </c>
      <c r="G2422" s="530">
        <v>23.23</v>
      </c>
      <c r="H2422" s="488">
        <f t="shared" si="1101"/>
        <v>18.579999999999998</v>
      </c>
      <c r="I2422" s="707"/>
      <c r="J2422" s="669" t="s">
        <v>5805</v>
      </c>
      <c r="K2422" s="15"/>
      <c r="L2422"/>
      <c r="M2422" s="49">
        <f t="shared" si="1102"/>
        <v>23.23</v>
      </c>
      <c r="N2422" s="41">
        <v>9.32</v>
      </c>
      <c r="O2422" s="187"/>
      <c r="P2422" s="183"/>
      <c r="Q2422" s="184"/>
      <c r="S2422" s="184" t="s">
        <v>4180</v>
      </c>
      <c r="T2422" s="178" t="s">
        <v>1017</v>
      </c>
      <c r="U2422" s="185" t="s">
        <v>1017</v>
      </c>
      <c r="V2422" s="184"/>
      <c r="W2422" s="180"/>
      <c r="X2422" s="180"/>
      <c r="Z2422" s="180"/>
      <c r="AA2422" s="184"/>
      <c r="AC2422" s="180"/>
      <c r="AD2422" s="182" t="s">
        <v>1017</v>
      </c>
      <c r="AE2422" s="181"/>
      <c r="AF2422" s="180"/>
      <c r="AG2422" s="201"/>
      <c r="AH2422" s="217" t="s">
        <v>4179</v>
      </c>
      <c r="AI2422" s="214" t="str">
        <f t="shared" ref="AI2422:AI2485" si="1124">IF(AND($AH2422&lt;&gt;"",AH2422 =AH2421),"Gleich","")</f>
        <v/>
      </c>
      <c r="AJ2422" s="214" t="str">
        <f t="shared" ref="AJ2422:AJ2485" si="1125">IF(AND($AH2422&lt;&gt;"",A2422 =A2421),"Gleich","")</f>
        <v/>
      </c>
      <c r="AK2422" s="214" t="str">
        <f t="shared" ref="AK2422:AK2485" si="1126">IF(AND($AH2422&lt;&gt;"",D2422 =D2421),"Gleich","")</f>
        <v/>
      </c>
      <c r="AL2422" s="214" t="str">
        <f t="shared" ref="AL2422:AL2485" si="1127">IF(AND($AH2422&lt;&gt;"",E2422 =E2421),"Gleich","")</f>
        <v/>
      </c>
      <c r="AM2422" s="214" t="str">
        <f t="shared" ref="AM2422:AM2485" si="1128">IF(AND($AH2422&lt;&gt;"",F2422 =F2421),"Gleich","")</f>
        <v/>
      </c>
      <c r="AN2422" s="213" t="str">
        <f t="shared" si="1111"/>
        <v>2012</v>
      </c>
      <c r="AO2422" s="213" t="str">
        <f t="shared" si="1112"/>
        <v>2012</v>
      </c>
      <c r="AP2422" s="213" t="str">
        <f t="shared" si="1113"/>
        <v>2012</v>
      </c>
      <c r="AQ2422" s="215" t="str">
        <f t="shared" si="1114"/>
        <v/>
      </c>
      <c r="AR2422" s="216" t="str">
        <f t="shared" si="1115"/>
        <v>BiK82X2K12y-08</v>
      </c>
      <c r="AS2422" s="215" t="str">
        <f t="shared" si="1116"/>
        <v/>
      </c>
      <c r="AT2422">
        <f t="shared" si="1117"/>
        <v>14</v>
      </c>
      <c r="AU2422" s="216" t="str">
        <f t="shared" si="1118"/>
        <v>0,15-0,5 MW, Bonusregeln X2, y und K erstmals 2012</v>
      </c>
      <c r="AV2422" s="215" t="str">
        <f t="shared" si="1119"/>
        <v/>
      </c>
      <c r="AW2422" s="216" t="str">
        <f t="shared" si="1120"/>
        <v>Anteil KWK, erstmals 2012</v>
      </c>
      <c r="AX2422" s="215" t="str">
        <f t="shared" si="1121"/>
        <v/>
      </c>
      <c r="AY2422" t="str">
        <f t="shared" si="1122"/>
        <v/>
      </c>
      <c r="AZ2422" t="str">
        <f t="shared" si="1123"/>
        <v>x</v>
      </c>
    </row>
    <row r="2423" spans="1:52" s="178" customFormat="1" x14ac:dyDescent="0.25">
      <c r="A2423" s="609" t="s">
        <v>3683</v>
      </c>
      <c r="B2423" s="1" t="s">
        <v>5548</v>
      </c>
      <c r="C2423" s="2" t="s">
        <v>5540</v>
      </c>
      <c r="D2423" s="1" t="s">
        <v>7130</v>
      </c>
      <c r="E2423" s="1" t="s">
        <v>4810</v>
      </c>
      <c r="F2423" s="456">
        <f t="shared" si="1100"/>
        <v>11.32</v>
      </c>
      <c r="G2423" s="531">
        <v>11.32</v>
      </c>
      <c r="H2423" s="489">
        <f t="shared" si="1101"/>
        <v>9.06</v>
      </c>
      <c r="I2423" s="708"/>
      <c r="J2423" s="669" t="s">
        <v>5805</v>
      </c>
      <c r="K2423" s="15"/>
      <c r="L2423"/>
      <c r="M2423" s="49">
        <f t="shared" si="1102"/>
        <v>11.32</v>
      </c>
      <c r="N2423" s="41">
        <v>9.32</v>
      </c>
      <c r="O2423" s="54"/>
      <c r="P2423" s="15"/>
      <c r="Q2423"/>
      <c r="R2423"/>
      <c r="S2423" t="s">
        <v>4180</v>
      </c>
      <c r="T2423" s="178" t="s">
        <v>4180</v>
      </c>
      <c r="U2423" s="55"/>
      <c r="V2423"/>
      <c r="W2423" s="65"/>
      <c r="X2423" s="65"/>
      <c r="Y2423"/>
      <c r="Z2423" s="65"/>
      <c r="AA2423"/>
      <c r="AB2423"/>
      <c r="AC2423" s="65"/>
      <c r="AD2423" s="92"/>
      <c r="AE2423" s="124" t="s">
        <v>1017</v>
      </c>
      <c r="AF2423" s="65"/>
      <c r="AG2423" s="91"/>
      <c r="AH2423" s="212" t="str">
        <f t="shared" ref="AH2423:AH2428" si="1129">IF(ISERROR(SEARCH("K erstmals 201",D2423)),"",RIGHT(D2423,4))</f>
        <v/>
      </c>
      <c r="AI2423" s="214" t="str">
        <f t="shared" si="1124"/>
        <v/>
      </c>
      <c r="AJ2423" s="214" t="str">
        <f t="shared" si="1125"/>
        <v/>
      </c>
      <c r="AK2423" s="214" t="str">
        <f t="shared" si="1126"/>
        <v/>
      </c>
      <c r="AL2423" s="214" t="str">
        <f t="shared" si="1127"/>
        <v/>
      </c>
      <c r="AM2423" s="214" t="str">
        <f t="shared" si="1128"/>
        <v/>
      </c>
      <c r="AN2423" s="213" t="str">
        <f t="shared" si="1111"/>
        <v/>
      </c>
      <c r="AO2423" s="213" t="str">
        <f t="shared" si="1112"/>
        <v/>
      </c>
      <c r="AP2423" s="213" t="str">
        <f t="shared" si="1113"/>
        <v/>
      </c>
      <c r="AQ2423" s="215" t="str">
        <f t="shared" si="1114"/>
        <v/>
      </c>
      <c r="AR2423" s="216" t="str">
        <f t="shared" si="1115"/>
        <v>BiK82b------08</v>
      </c>
      <c r="AS2423" s="215" t="str">
        <f t="shared" si="1116"/>
        <v/>
      </c>
      <c r="AT2423">
        <f t="shared" si="1117"/>
        <v>14</v>
      </c>
      <c r="AU2423" s="216" t="str">
        <f t="shared" si="1118"/>
        <v>0,15-0,5 MW, Bonusregel b</v>
      </c>
      <c r="AV2423" s="215" t="str">
        <f t="shared" si="1119"/>
        <v/>
      </c>
      <c r="AW2423" s="216" t="str">
        <f t="shared" si="1120"/>
        <v>Anteil Nicht-KWK</v>
      </c>
      <c r="AX2423" s="215" t="str">
        <f t="shared" si="1121"/>
        <v/>
      </c>
      <c r="AY2423" t="str">
        <f t="shared" si="1122"/>
        <v/>
      </c>
      <c r="AZ2423" t="str">
        <f t="shared" si="1123"/>
        <v/>
      </c>
    </row>
    <row r="2424" spans="1:52" x14ac:dyDescent="0.25">
      <c r="A2424" s="609" t="s">
        <v>3684</v>
      </c>
      <c r="B2424" s="1" t="s">
        <v>5548</v>
      </c>
      <c r="C2424" s="2" t="s">
        <v>5540</v>
      </c>
      <c r="D2424" s="36" t="s">
        <v>7131</v>
      </c>
      <c r="E2424" s="1" t="s">
        <v>4812</v>
      </c>
      <c r="F2424" s="456">
        <f t="shared" si="1100"/>
        <v>13.32</v>
      </c>
      <c r="G2424" s="531">
        <v>13.32</v>
      </c>
      <c r="H2424" s="489">
        <f t="shared" si="1101"/>
        <v>10.66</v>
      </c>
      <c r="I2424" s="708"/>
      <c r="J2424" s="669" t="s">
        <v>5805</v>
      </c>
      <c r="K2424" s="15"/>
      <c r="M2424" s="49">
        <f t="shared" si="1102"/>
        <v>13.32</v>
      </c>
      <c r="N2424" s="41">
        <v>9.32</v>
      </c>
      <c r="O2424" s="54" t="s">
        <v>1017</v>
      </c>
      <c r="P2424" s="15"/>
      <c r="S2424" t="s">
        <v>4180</v>
      </c>
      <c r="T2424" t="s">
        <v>4180</v>
      </c>
      <c r="U2424" s="55"/>
      <c r="W2424" s="65"/>
      <c r="X2424" s="65"/>
      <c r="Z2424" s="65"/>
      <c r="AC2424" s="65"/>
      <c r="AD2424" s="92"/>
      <c r="AE2424" s="124" t="s">
        <v>1017</v>
      </c>
      <c r="AF2424" s="65"/>
      <c r="AG2424" s="91"/>
      <c r="AH2424" s="212" t="str">
        <f t="shared" si="1129"/>
        <v/>
      </c>
      <c r="AI2424" s="214" t="str">
        <f t="shared" si="1124"/>
        <v/>
      </c>
      <c r="AJ2424" s="214" t="str">
        <f t="shared" si="1125"/>
        <v/>
      </c>
      <c r="AK2424" s="214" t="str">
        <f t="shared" si="1126"/>
        <v/>
      </c>
      <c r="AL2424" s="214" t="str">
        <f t="shared" si="1127"/>
        <v/>
      </c>
      <c r="AM2424" s="214" t="str">
        <f t="shared" si="1128"/>
        <v/>
      </c>
      <c r="AN2424" s="213" t="str">
        <f t="shared" si="1111"/>
        <v/>
      </c>
      <c r="AO2424" s="213" t="str">
        <f t="shared" si="1112"/>
        <v/>
      </c>
      <c r="AP2424" s="213" t="str">
        <f t="shared" si="1113"/>
        <v/>
      </c>
      <c r="AQ2424" s="215" t="str">
        <f t="shared" si="1114"/>
        <v/>
      </c>
      <c r="AR2424" s="216" t="str">
        <f t="shared" si="1115"/>
        <v>BiK82bKWK---08</v>
      </c>
      <c r="AS2424" s="215" t="str">
        <f t="shared" si="1116"/>
        <v/>
      </c>
      <c r="AT2424">
        <f t="shared" si="1117"/>
        <v>14</v>
      </c>
      <c r="AU2424" s="216" t="str">
        <f t="shared" si="1118"/>
        <v>0,15-0,5 MW, Bonusregeln b und KWK</v>
      </c>
      <c r="AV2424" s="215" t="str">
        <f t="shared" si="1119"/>
        <v/>
      </c>
      <c r="AW2424" s="216" t="str">
        <f t="shared" si="1120"/>
        <v>Anteil KWK</v>
      </c>
      <c r="AX2424" s="215" t="str">
        <f t="shared" si="1121"/>
        <v/>
      </c>
      <c r="AY2424" t="str">
        <f t="shared" si="1122"/>
        <v/>
      </c>
      <c r="AZ2424" t="str">
        <f t="shared" si="1123"/>
        <v/>
      </c>
    </row>
    <row r="2425" spans="1:52" x14ac:dyDescent="0.25">
      <c r="A2425" s="610" t="s">
        <v>2341</v>
      </c>
      <c r="B2425" s="17" t="s">
        <v>5548</v>
      </c>
      <c r="C2425" s="30" t="s">
        <v>5540</v>
      </c>
      <c r="D2425" s="30" t="s">
        <v>7132</v>
      </c>
      <c r="E2425" s="30" t="s">
        <v>4331</v>
      </c>
      <c r="F2425" s="454">
        <f t="shared" si="1100"/>
        <v>14.32</v>
      </c>
      <c r="G2425" s="529">
        <v>14.32</v>
      </c>
      <c r="H2425" s="487">
        <f t="shared" si="1101"/>
        <v>11.46</v>
      </c>
      <c r="I2425" s="706"/>
      <c r="J2425" s="669" t="s">
        <v>5805</v>
      </c>
      <c r="K2425" s="15"/>
      <c r="M2425" s="49">
        <f t="shared" si="1102"/>
        <v>14.32</v>
      </c>
      <c r="N2425" s="41">
        <v>9.32</v>
      </c>
      <c r="O2425" s="54"/>
      <c r="P2425" t="s">
        <v>1017</v>
      </c>
      <c r="S2425" t="s">
        <v>4180</v>
      </c>
      <c r="T2425" t="s">
        <v>4180</v>
      </c>
      <c r="U2425" s="55"/>
      <c r="W2425" s="65"/>
      <c r="X2425" s="65"/>
      <c r="Z2425" s="65"/>
      <c r="AC2425" s="65"/>
      <c r="AD2425" s="92"/>
      <c r="AE2425" s="124" t="s">
        <v>1017</v>
      </c>
      <c r="AF2425" s="65"/>
      <c r="AG2425" s="91"/>
      <c r="AH2425" s="212" t="str">
        <f t="shared" si="1129"/>
        <v/>
      </c>
      <c r="AI2425" s="214" t="str">
        <f t="shared" si="1124"/>
        <v/>
      </c>
      <c r="AJ2425" s="214" t="str">
        <f t="shared" si="1125"/>
        <v/>
      </c>
      <c r="AK2425" s="214" t="str">
        <f t="shared" si="1126"/>
        <v/>
      </c>
      <c r="AL2425" s="214" t="str">
        <f t="shared" si="1127"/>
        <v/>
      </c>
      <c r="AM2425" s="214" t="str">
        <f t="shared" si="1128"/>
        <v/>
      </c>
      <c r="AN2425" s="213" t="str">
        <f t="shared" si="1111"/>
        <v/>
      </c>
      <c r="AO2425" s="213" t="str">
        <f t="shared" si="1112"/>
        <v/>
      </c>
      <c r="AP2425" s="213" t="str">
        <f t="shared" si="1113"/>
        <v/>
      </c>
      <c r="AQ2425" s="215" t="str">
        <f t="shared" si="1114"/>
        <v/>
      </c>
      <c r="AR2425" s="216" t="str">
        <f t="shared" si="1115"/>
        <v>BiK82bKA3---08</v>
      </c>
      <c r="AS2425" s="215" t="str">
        <f t="shared" si="1116"/>
        <v/>
      </c>
      <c r="AT2425">
        <f t="shared" si="1117"/>
        <v>14</v>
      </c>
      <c r="AU2425" s="216" t="str">
        <f t="shared" si="1118"/>
        <v>0,15-0,5 MW, Bonusregeln b und K wenn Anlage 3 erfüllt</v>
      </c>
      <c r="AV2425" s="215" t="str">
        <f t="shared" si="1119"/>
        <v/>
      </c>
      <c r="AW2425" s="216" t="str">
        <f t="shared" si="1120"/>
        <v>Anteil KWK gemäß Anlage 3</v>
      </c>
      <c r="AX2425" s="215" t="str">
        <f t="shared" si="1121"/>
        <v/>
      </c>
      <c r="AY2425" t="str">
        <f t="shared" si="1122"/>
        <v/>
      </c>
      <c r="AZ2425" t="str">
        <f t="shared" si="1123"/>
        <v/>
      </c>
    </row>
    <row r="2426" spans="1:52" x14ac:dyDescent="0.25">
      <c r="A2426" s="610" t="s">
        <v>2870</v>
      </c>
      <c r="B2426" s="17" t="s">
        <v>5548</v>
      </c>
      <c r="C2426" s="17" t="s">
        <v>5540</v>
      </c>
      <c r="D2426" s="30" t="s">
        <v>7133</v>
      </c>
      <c r="E2426" s="17" t="s">
        <v>674</v>
      </c>
      <c r="F2426" s="454">
        <f t="shared" si="1100"/>
        <v>14.32</v>
      </c>
      <c r="G2426" s="529">
        <v>14.32</v>
      </c>
      <c r="H2426" s="487">
        <f t="shared" si="1101"/>
        <v>11.46</v>
      </c>
      <c r="I2426" s="706"/>
      <c r="J2426" s="669" t="s">
        <v>5805</v>
      </c>
      <c r="K2426" s="15"/>
      <c r="M2426" s="49">
        <f t="shared" si="1102"/>
        <v>14.32</v>
      </c>
      <c r="N2426" s="41">
        <v>9.32</v>
      </c>
      <c r="O2426" s="54"/>
      <c r="P2426" s="15"/>
      <c r="Q2426" t="s">
        <v>1017</v>
      </c>
      <c r="S2426" t="s">
        <v>4180</v>
      </c>
      <c r="T2426" t="s">
        <v>4180</v>
      </c>
      <c r="U2426" s="55"/>
      <c r="W2426" s="65"/>
      <c r="X2426" s="65"/>
      <c r="Z2426" s="65"/>
      <c r="AC2426" s="65"/>
      <c r="AD2426" s="92"/>
      <c r="AE2426" s="124" t="s">
        <v>1017</v>
      </c>
      <c r="AF2426" s="65"/>
      <c r="AG2426" s="91"/>
      <c r="AH2426" s="212" t="str">
        <f t="shared" si="1129"/>
        <v/>
      </c>
      <c r="AI2426" s="214" t="str">
        <f t="shared" si="1124"/>
        <v/>
      </c>
      <c r="AJ2426" s="214" t="str">
        <f t="shared" si="1125"/>
        <v/>
      </c>
      <c r="AK2426" s="214" t="str">
        <f t="shared" si="1126"/>
        <v/>
      </c>
      <c r="AL2426" s="214" t="str">
        <f t="shared" si="1127"/>
        <v/>
      </c>
      <c r="AM2426" s="214" t="str">
        <f t="shared" si="1128"/>
        <v/>
      </c>
      <c r="AN2426" s="213" t="str">
        <f t="shared" si="1111"/>
        <v/>
      </c>
      <c r="AO2426" s="213" t="str">
        <f t="shared" si="1112"/>
        <v/>
      </c>
      <c r="AP2426" s="213" t="str">
        <f t="shared" si="1113"/>
        <v/>
      </c>
      <c r="AQ2426" s="215" t="str">
        <f t="shared" si="1114"/>
        <v/>
      </c>
      <c r="AR2426" s="216" t="str">
        <f t="shared" si="1115"/>
        <v>BiK82bK09---08</v>
      </c>
      <c r="AS2426" s="215" t="str">
        <f t="shared" si="1116"/>
        <v/>
      </c>
      <c r="AT2426">
        <f t="shared" si="1117"/>
        <v>14</v>
      </c>
      <c r="AU2426" s="216" t="str">
        <f t="shared" si="1118"/>
        <v>0,15-0,5 MW, Bonusregeln b und K erstmals 2009</v>
      </c>
      <c r="AV2426" s="215" t="str">
        <f t="shared" si="1119"/>
        <v/>
      </c>
      <c r="AW2426" s="216" t="str">
        <f t="shared" si="1120"/>
        <v>Anteil KWK, erstmals 2009</v>
      </c>
      <c r="AX2426" s="215" t="str">
        <f t="shared" si="1121"/>
        <v/>
      </c>
      <c r="AY2426" t="str">
        <f t="shared" si="1122"/>
        <v/>
      </c>
      <c r="AZ2426" t="str">
        <f t="shared" si="1123"/>
        <v/>
      </c>
    </row>
    <row r="2427" spans="1:52" x14ac:dyDescent="0.25">
      <c r="A2427" s="610" t="s">
        <v>3265</v>
      </c>
      <c r="B2427" s="17" t="s">
        <v>5548</v>
      </c>
      <c r="C2427" s="17" t="s">
        <v>5540</v>
      </c>
      <c r="D2427" s="30" t="s">
        <v>7134</v>
      </c>
      <c r="E2427" s="30" t="s">
        <v>3567</v>
      </c>
      <c r="F2427" s="454">
        <f t="shared" ref="F2427:F2490" si="1130">M2427</f>
        <v>14.290000000000001</v>
      </c>
      <c r="G2427" s="529">
        <v>14.290000000000001</v>
      </c>
      <c r="H2427" s="487">
        <f t="shared" ref="H2427:H2490" si="1131">IF(ISNUMBER(G2427),ROUND(0.8*G2427,2),"")</f>
        <v>11.43</v>
      </c>
      <c r="I2427" s="706"/>
      <c r="J2427" s="669" t="s">
        <v>5805</v>
      </c>
      <c r="K2427" s="15"/>
      <c r="M2427" s="49">
        <f t="shared" ref="M2427:M2490" si="1132">N2427+SUMIF(O2427:AG2427,"x",O$2170:AG$2170)</f>
        <v>14.290000000000001</v>
      </c>
      <c r="N2427" s="41">
        <v>9.32</v>
      </c>
      <c r="O2427" s="54"/>
      <c r="P2427" s="15"/>
      <c r="R2427" t="s">
        <v>1017</v>
      </c>
      <c r="S2427" t="s">
        <v>4180</v>
      </c>
      <c r="T2427" t="s">
        <v>4180</v>
      </c>
      <c r="U2427" s="55"/>
      <c r="W2427" s="65"/>
      <c r="X2427" s="65"/>
      <c r="Z2427" s="65"/>
      <c r="AC2427" s="65"/>
      <c r="AD2427" s="92"/>
      <c r="AE2427" s="124" t="s">
        <v>1017</v>
      </c>
      <c r="AF2427" s="65"/>
      <c r="AG2427" s="91"/>
      <c r="AH2427" s="212" t="str">
        <f t="shared" si="1129"/>
        <v>2010</v>
      </c>
      <c r="AI2427" s="214" t="str">
        <f t="shared" si="1124"/>
        <v/>
      </c>
      <c r="AJ2427" s="214" t="str">
        <f t="shared" si="1125"/>
        <v/>
      </c>
      <c r="AK2427" s="214" t="str">
        <f t="shared" si="1126"/>
        <v/>
      </c>
      <c r="AL2427" s="214" t="str">
        <f t="shared" si="1127"/>
        <v/>
      </c>
      <c r="AM2427" s="214" t="str">
        <f t="shared" si="1128"/>
        <v/>
      </c>
      <c r="AN2427" s="213" t="str">
        <f t="shared" si="1111"/>
        <v>2010</v>
      </c>
      <c r="AO2427" s="213" t="str">
        <f t="shared" si="1112"/>
        <v>2010</v>
      </c>
      <c r="AP2427" s="213" t="str">
        <f t="shared" si="1113"/>
        <v>2010</v>
      </c>
      <c r="AQ2427" s="215" t="str">
        <f t="shared" si="1114"/>
        <v/>
      </c>
      <c r="AR2427" s="216" t="str">
        <f t="shared" si="1115"/>
        <v>BiK82bK10---08</v>
      </c>
      <c r="AS2427" s="215" t="str">
        <f t="shared" si="1116"/>
        <v/>
      </c>
      <c r="AT2427">
        <f t="shared" si="1117"/>
        <v>14</v>
      </c>
      <c r="AU2427" s="216" t="str">
        <f t="shared" si="1118"/>
        <v>0,15-0,5 MW, Bonusregeln b und K erstmals 2010</v>
      </c>
      <c r="AV2427" s="215" t="str">
        <f t="shared" si="1119"/>
        <v/>
      </c>
      <c r="AW2427" s="216" t="str">
        <f t="shared" si="1120"/>
        <v>Anteil KWK, erstmals 2010</v>
      </c>
      <c r="AX2427" s="215" t="str">
        <f t="shared" si="1121"/>
        <v/>
      </c>
      <c r="AY2427" t="str">
        <f t="shared" si="1122"/>
        <v/>
      </c>
      <c r="AZ2427" t="str">
        <f t="shared" si="1123"/>
        <v/>
      </c>
    </row>
    <row r="2428" spans="1:52" x14ac:dyDescent="0.25">
      <c r="A2428" s="610" t="s">
        <v>3470</v>
      </c>
      <c r="B2428" s="17" t="s">
        <v>5548</v>
      </c>
      <c r="C2428" s="17" t="s">
        <v>5540</v>
      </c>
      <c r="D2428" s="30" t="s">
        <v>7135</v>
      </c>
      <c r="E2428" s="30" t="s">
        <v>3055</v>
      </c>
      <c r="F2428" s="454">
        <f t="shared" si="1130"/>
        <v>14.26</v>
      </c>
      <c r="G2428" s="529">
        <v>14.26</v>
      </c>
      <c r="H2428" s="487">
        <f t="shared" si="1131"/>
        <v>11.41</v>
      </c>
      <c r="I2428" s="706"/>
      <c r="J2428" s="669" t="s">
        <v>5805</v>
      </c>
      <c r="K2428" s="15"/>
      <c r="M2428" s="49">
        <f t="shared" si="1132"/>
        <v>14.26</v>
      </c>
      <c r="N2428" s="41">
        <v>9.32</v>
      </c>
      <c r="O2428" s="54"/>
      <c r="P2428" s="15"/>
      <c r="S2428" t="s">
        <v>1017</v>
      </c>
      <c r="T2428" t="s">
        <v>4180</v>
      </c>
      <c r="U2428" s="55"/>
      <c r="W2428" s="65"/>
      <c r="X2428" s="65"/>
      <c r="Z2428" s="65"/>
      <c r="AC2428" s="65"/>
      <c r="AD2428" s="92"/>
      <c r="AE2428" s="124" t="s">
        <v>1017</v>
      </c>
      <c r="AF2428" s="65"/>
      <c r="AG2428" s="91"/>
      <c r="AH2428" s="212" t="str">
        <f t="shared" si="1129"/>
        <v>2011</v>
      </c>
      <c r="AI2428" s="214" t="str">
        <f t="shared" si="1124"/>
        <v/>
      </c>
      <c r="AJ2428" s="214" t="str">
        <f t="shared" si="1125"/>
        <v/>
      </c>
      <c r="AK2428" s="214" t="str">
        <f t="shared" si="1126"/>
        <v/>
      </c>
      <c r="AL2428" s="214" t="str">
        <f t="shared" si="1127"/>
        <v/>
      </c>
      <c r="AM2428" s="214" t="str">
        <f t="shared" si="1128"/>
        <v/>
      </c>
      <c r="AN2428" s="213" t="str">
        <f t="shared" si="1111"/>
        <v>2011</v>
      </c>
      <c r="AO2428" s="213" t="str">
        <f t="shared" si="1112"/>
        <v>2011</v>
      </c>
      <c r="AP2428" s="213" t="str">
        <f t="shared" si="1113"/>
        <v>2011</v>
      </c>
      <c r="AQ2428" s="215" t="str">
        <f t="shared" si="1114"/>
        <v/>
      </c>
      <c r="AR2428" s="216" t="str">
        <f t="shared" si="1115"/>
        <v>BiK82bK11---08</v>
      </c>
      <c r="AS2428" s="215" t="str">
        <f t="shared" si="1116"/>
        <v/>
      </c>
      <c r="AT2428">
        <f t="shared" si="1117"/>
        <v>14</v>
      </c>
      <c r="AU2428" s="216" t="str">
        <f t="shared" si="1118"/>
        <v>0,15-0,5 MW, Bonusregeln b und K erstmals 2011</v>
      </c>
      <c r="AV2428" s="215" t="str">
        <f t="shared" si="1119"/>
        <v/>
      </c>
      <c r="AW2428" s="216" t="str">
        <f t="shared" si="1120"/>
        <v>Anteil KWK, erstmals 2011</v>
      </c>
      <c r="AX2428" s="215" t="str">
        <f t="shared" si="1121"/>
        <v/>
      </c>
      <c r="AY2428" t="str">
        <f t="shared" si="1122"/>
        <v>x</v>
      </c>
      <c r="AZ2428" t="str">
        <f t="shared" si="1123"/>
        <v/>
      </c>
    </row>
    <row r="2429" spans="1:52" x14ac:dyDescent="0.25">
      <c r="A2429" s="625" t="s">
        <v>1902</v>
      </c>
      <c r="B2429" s="221" t="s">
        <v>5548</v>
      </c>
      <c r="C2429" s="221" t="s">
        <v>5540</v>
      </c>
      <c r="D2429" s="219" t="s">
        <v>7136</v>
      </c>
      <c r="E2429" s="219" t="s">
        <v>1980</v>
      </c>
      <c r="F2429" s="455">
        <f t="shared" si="1130"/>
        <v>14.23</v>
      </c>
      <c r="G2429" s="530">
        <v>14.23</v>
      </c>
      <c r="H2429" s="488">
        <f t="shared" si="1131"/>
        <v>11.38</v>
      </c>
      <c r="I2429" s="707"/>
      <c r="J2429" s="669" t="s">
        <v>5805</v>
      </c>
      <c r="K2429" s="15"/>
      <c r="M2429" s="49">
        <f t="shared" si="1132"/>
        <v>14.23</v>
      </c>
      <c r="N2429" s="41">
        <v>9.32</v>
      </c>
      <c r="O2429" s="54"/>
      <c r="P2429" s="15"/>
      <c r="S2429" t="s">
        <v>4180</v>
      </c>
      <c r="T2429" t="s">
        <v>1017</v>
      </c>
      <c r="U2429" s="55"/>
      <c r="W2429" s="65"/>
      <c r="X2429" s="65"/>
      <c r="Z2429" s="65"/>
      <c r="AC2429" s="65"/>
      <c r="AD2429" s="92"/>
      <c r="AE2429" s="124" t="s">
        <v>1017</v>
      </c>
      <c r="AF2429" s="65"/>
      <c r="AG2429" s="91"/>
      <c r="AH2429" s="217" t="s">
        <v>4179</v>
      </c>
      <c r="AI2429" s="214" t="str">
        <f t="shared" si="1124"/>
        <v/>
      </c>
      <c r="AJ2429" s="214" t="str">
        <f t="shared" si="1125"/>
        <v/>
      </c>
      <c r="AK2429" s="214" t="str">
        <f t="shared" si="1126"/>
        <v/>
      </c>
      <c r="AL2429" s="214" t="str">
        <f t="shared" si="1127"/>
        <v/>
      </c>
      <c r="AM2429" s="214" t="str">
        <f t="shared" si="1128"/>
        <v/>
      </c>
      <c r="AN2429" s="213" t="str">
        <f t="shared" si="1111"/>
        <v>2012</v>
      </c>
      <c r="AO2429" s="213" t="str">
        <f t="shared" si="1112"/>
        <v>2012</v>
      </c>
      <c r="AP2429" s="213" t="str">
        <f t="shared" si="1113"/>
        <v>2012</v>
      </c>
      <c r="AQ2429" s="215" t="str">
        <f t="shared" si="1114"/>
        <v/>
      </c>
      <c r="AR2429" s="216" t="str">
        <f t="shared" si="1115"/>
        <v>BiK82bK12---08</v>
      </c>
      <c r="AS2429" s="215" t="str">
        <f t="shared" si="1116"/>
        <v/>
      </c>
      <c r="AT2429">
        <f t="shared" si="1117"/>
        <v>14</v>
      </c>
      <c r="AU2429" s="216" t="str">
        <f t="shared" si="1118"/>
        <v>0,15-0,5 MW, Bonusregeln b und K erstmals 2012</v>
      </c>
      <c r="AV2429" s="215" t="str">
        <f t="shared" si="1119"/>
        <v/>
      </c>
      <c r="AW2429" s="216" t="str">
        <f t="shared" si="1120"/>
        <v>Anteil KWK, erstmals 2012</v>
      </c>
      <c r="AX2429" s="215" t="str">
        <f t="shared" si="1121"/>
        <v/>
      </c>
      <c r="AY2429" t="str">
        <f t="shared" si="1122"/>
        <v/>
      </c>
      <c r="AZ2429" t="str">
        <f t="shared" si="1123"/>
        <v>x</v>
      </c>
    </row>
    <row r="2430" spans="1:52" x14ac:dyDescent="0.25">
      <c r="A2430" s="610" t="s">
        <v>4087</v>
      </c>
      <c r="B2430" s="17" t="s">
        <v>5548</v>
      </c>
      <c r="C2430" s="17" t="s">
        <v>5540</v>
      </c>
      <c r="D2430" s="30" t="s">
        <v>7137</v>
      </c>
      <c r="E2430" s="17" t="s">
        <v>4810</v>
      </c>
      <c r="F2430" s="454">
        <f t="shared" si="1130"/>
        <v>12.32</v>
      </c>
      <c r="G2430" s="529">
        <v>12.32</v>
      </c>
      <c r="H2430" s="487">
        <f t="shared" si="1131"/>
        <v>9.86</v>
      </c>
      <c r="I2430" s="706"/>
      <c r="J2430" s="669" t="s">
        <v>5805</v>
      </c>
      <c r="K2430" s="15"/>
      <c r="M2430" s="49">
        <f t="shared" si="1132"/>
        <v>12.32</v>
      </c>
      <c r="N2430" s="41">
        <v>9.32</v>
      </c>
      <c r="O2430" s="54"/>
      <c r="P2430" s="15"/>
      <c r="S2430" t="s">
        <v>4180</v>
      </c>
      <c r="T2430" t="s">
        <v>4180</v>
      </c>
      <c r="U2430" s="55" t="s">
        <v>1017</v>
      </c>
      <c r="W2430" s="65"/>
      <c r="X2430" s="65"/>
      <c r="Z2430" s="65"/>
      <c r="AC2430" s="65"/>
      <c r="AD2430" s="92"/>
      <c r="AE2430" s="124" t="s">
        <v>1017</v>
      </c>
      <c r="AF2430" s="65"/>
      <c r="AG2430" s="91"/>
      <c r="AH2430" s="212" t="str">
        <f t="shared" ref="AH2430:AH2435" si="1133">IF(ISERROR(SEARCH("K erstmals 201",D2430)),"",RIGHT(D2430,4))</f>
        <v/>
      </c>
      <c r="AI2430" s="214" t="str">
        <f t="shared" si="1124"/>
        <v/>
      </c>
      <c r="AJ2430" s="214" t="str">
        <f t="shared" si="1125"/>
        <v/>
      </c>
      <c r="AK2430" s="214" t="str">
        <f t="shared" si="1126"/>
        <v/>
      </c>
      <c r="AL2430" s="214" t="str">
        <f t="shared" si="1127"/>
        <v/>
      </c>
      <c r="AM2430" s="214" t="str">
        <f t="shared" si="1128"/>
        <v/>
      </c>
      <c r="AN2430" s="213" t="str">
        <f t="shared" si="1111"/>
        <v/>
      </c>
      <c r="AO2430" s="213" t="str">
        <f t="shared" si="1112"/>
        <v/>
      </c>
      <c r="AP2430" s="213" t="str">
        <f t="shared" si="1113"/>
        <v/>
      </c>
      <c r="AQ2430" s="215" t="str">
        <f t="shared" si="1114"/>
        <v/>
      </c>
      <c r="AR2430" s="216" t="str">
        <f t="shared" si="1115"/>
        <v>BiK82by-----08</v>
      </c>
      <c r="AS2430" s="215" t="str">
        <f t="shared" si="1116"/>
        <v/>
      </c>
      <c r="AT2430">
        <f t="shared" si="1117"/>
        <v>14</v>
      </c>
      <c r="AU2430" s="216" t="str">
        <f t="shared" si="1118"/>
        <v>0,15-0,5 MW, Bonusregeln b, y</v>
      </c>
      <c r="AV2430" s="215" t="str">
        <f t="shared" si="1119"/>
        <v/>
      </c>
      <c r="AW2430" s="216" t="str">
        <f t="shared" si="1120"/>
        <v>Anteil Nicht-KWK</v>
      </c>
      <c r="AX2430" s="215" t="str">
        <f t="shared" si="1121"/>
        <v/>
      </c>
      <c r="AY2430" t="str">
        <f t="shared" si="1122"/>
        <v/>
      </c>
      <c r="AZ2430" t="str">
        <f t="shared" si="1123"/>
        <v/>
      </c>
    </row>
    <row r="2431" spans="1:52" x14ac:dyDescent="0.25">
      <c r="A2431" s="610" t="s">
        <v>4088</v>
      </c>
      <c r="B2431" s="17" t="s">
        <v>5548</v>
      </c>
      <c r="C2431" s="17" t="s">
        <v>5540</v>
      </c>
      <c r="D2431" s="30" t="s">
        <v>7138</v>
      </c>
      <c r="E2431" s="17" t="s">
        <v>4812</v>
      </c>
      <c r="F2431" s="454">
        <f t="shared" si="1130"/>
        <v>14.32</v>
      </c>
      <c r="G2431" s="529">
        <v>14.32</v>
      </c>
      <c r="H2431" s="487">
        <f t="shared" si="1131"/>
        <v>11.46</v>
      </c>
      <c r="I2431" s="706"/>
      <c r="J2431" s="669" t="s">
        <v>5805</v>
      </c>
      <c r="K2431" s="15"/>
      <c r="M2431" s="49">
        <f t="shared" si="1132"/>
        <v>14.32</v>
      </c>
      <c r="N2431" s="41">
        <v>9.32</v>
      </c>
      <c r="O2431" s="54" t="s">
        <v>1017</v>
      </c>
      <c r="P2431" s="15"/>
      <c r="S2431" t="s">
        <v>4180</v>
      </c>
      <c r="T2431" t="s">
        <v>4180</v>
      </c>
      <c r="U2431" s="55" t="s">
        <v>1017</v>
      </c>
      <c r="W2431" s="65"/>
      <c r="X2431" s="65"/>
      <c r="Z2431" s="65"/>
      <c r="AC2431" s="65"/>
      <c r="AD2431" s="92"/>
      <c r="AE2431" s="124" t="s">
        <v>1017</v>
      </c>
      <c r="AF2431" s="65"/>
      <c r="AG2431" s="91"/>
      <c r="AH2431" s="212" t="str">
        <f t="shared" si="1133"/>
        <v/>
      </c>
      <c r="AI2431" s="214" t="str">
        <f t="shared" si="1124"/>
        <v/>
      </c>
      <c r="AJ2431" s="214" t="str">
        <f t="shared" si="1125"/>
        <v/>
      </c>
      <c r="AK2431" s="214" t="str">
        <f t="shared" si="1126"/>
        <v/>
      </c>
      <c r="AL2431" s="214" t="str">
        <f t="shared" si="1127"/>
        <v/>
      </c>
      <c r="AM2431" s="214" t="str">
        <f t="shared" si="1128"/>
        <v/>
      </c>
      <c r="AN2431" s="213" t="str">
        <f t="shared" si="1111"/>
        <v/>
      </c>
      <c r="AO2431" s="213" t="str">
        <f t="shared" si="1112"/>
        <v/>
      </c>
      <c r="AP2431" s="213" t="str">
        <f t="shared" si="1113"/>
        <v/>
      </c>
      <c r="AQ2431" s="215" t="str">
        <f t="shared" si="1114"/>
        <v/>
      </c>
      <c r="AR2431" s="216" t="str">
        <f t="shared" si="1115"/>
        <v>BiK82bKWKy--08</v>
      </c>
      <c r="AS2431" s="215" t="str">
        <f t="shared" si="1116"/>
        <v/>
      </c>
      <c r="AT2431">
        <f t="shared" si="1117"/>
        <v>14</v>
      </c>
      <c r="AU2431" s="216" t="str">
        <f t="shared" si="1118"/>
        <v>0,15-0,5 MW, Bonusregeln b, y und KWK</v>
      </c>
      <c r="AV2431" s="215" t="str">
        <f t="shared" si="1119"/>
        <v/>
      </c>
      <c r="AW2431" s="216" t="str">
        <f t="shared" si="1120"/>
        <v>Anteil KWK</v>
      </c>
      <c r="AX2431" s="215" t="str">
        <f t="shared" si="1121"/>
        <v/>
      </c>
      <c r="AY2431" t="str">
        <f t="shared" si="1122"/>
        <v/>
      </c>
      <c r="AZ2431" t="str">
        <f t="shared" si="1123"/>
        <v/>
      </c>
    </row>
    <row r="2432" spans="1:52" s="12" customFormat="1" x14ac:dyDescent="0.25">
      <c r="A2432" s="610" t="s">
        <v>4089</v>
      </c>
      <c r="B2432" s="17" t="s">
        <v>5548</v>
      </c>
      <c r="C2432" s="30" t="s">
        <v>5540</v>
      </c>
      <c r="D2432" s="30" t="s">
        <v>7139</v>
      </c>
      <c r="E2432" s="30" t="s">
        <v>4331</v>
      </c>
      <c r="F2432" s="454">
        <f t="shared" si="1130"/>
        <v>15.32</v>
      </c>
      <c r="G2432" s="529">
        <v>15.32</v>
      </c>
      <c r="H2432" s="487">
        <f t="shared" si="1131"/>
        <v>12.26</v>
      </c>
      <c r="I2432" s="706"/>
      <c r="J2432" s="669" t="s">
        <v>5805</v>
      </c>
      <c r="K2432" s="15"/>
      <c r="L2432"/>
      <c r="M2432" s="49">
        <f t="shared" si="1132"/>
        <v>15.32</v>
      </c>
      <c r="N2432" s="41">
        <v>9.32</v>
      </c>
      <c r="O2432" s="54"/>
      <c r="P2432" t="s">
        <v>1017</v>
      </c>
      <c r="Q2432"/>
      <c r="R2432"/>
      <c r="S2432" t="s">
        <v>4180</v>
      </c>
      <c r="T2432" s="12" t="s">
        <v>4180</v>
      </c>
      <c r="U2432" s="55" t="s">
        <v>1017</v>
      </c>
      <c r="V2432"/>
      <c r="W2432" s="65"/>
      <c r="X2432" s="65"/>
      <c r="Y2432"/>
      <c r="Z2432" s="65"/>
      <c r="AA2432"/>
      <c r="AB2432"/>
      <c r="AC2432" s="65"/>
      <c r="AD2432" s="92"/>
      <c r="AE2432" s="124" t="s">
        <v>1017</v>
      </c>
      <c r="AF2432" s="65"/>
      <c r="AG2432" s="91"/>
      <c r="AH2432" s="212" t="str">
        <f t="shared" si="1133"/>
        <v/>
      </c>
      <c r="AI2432" s="214" t="str">
        <f t="shared" si="1124"/>
        <v/>
      </c>
      <c r="AJ2432" s="214" t="str">
        <f t="shared" si="1125"/>
        <v/>
      </c>
      <c r="AK2432" s="214" t="str">
        <f t="shared" si="1126"/>
        <v/>
      </c>
      <c r="AL2432" s="214" t="str">
        <f t="shared" si="1127"/>
        <v/>
      </c>
      <c r="AM2432" s="214" t="str">
        <f t="shared" si="1128"/>
        <v/>
      </c>
      <c r="AN2432" s="213" t="str">
        <f t="shared" si="1111"/>
        <v/>
      </c>
      <c r="AO2432" s="213" t="str">
        <f t="shared" si="1112"/>
        <v/>
      </c>
      <c r="AP2432" s="213" t="str">
        <f t="shared" si="1113"/>
        <v/>
      </c>
      <c r="AQ2432" s="215" t="str">
        <f t="shared" si="1114"/>
        <v/>
      </c>
      <c r="AR2432" s="216" t="str">
        <f t="shared" si="1115"/>
        <v>BiK82bKA3y--08</v>
      </c>
      <c r="AS2432" s="215" t="str">
        <f t="shared" si="1116"/>
        <v/>
      </c>
      <c r="AT2432">
        <f t="shared" si="1117"/>
        <v>14</v>
      </c>
      <c r="AU2432" s="216" t="str">
        <f t="shared" si="1118"/>
        <v>0,15-0,5 MW, Bonusregeln b, y und K wenn Anlage 3 erfüllt</v>
      </c>
      <c r="AV2432" s="215" t="str">
        <f t="shared" si="1119"/>
        <v/>
      </c>
      <c r="AW2432" s="216" t="str">
        <f t="shared" si="1120"/>
        <v>Anteil KWK gemäß Anlage 3</v>
      </c>
      <c r="AX2432" s="215" t="str">
        <f t="shared" si="1121"/>
        <v/>
      </c>
      <c r="AY2432" t="str">
        <f t="shared" si="1122"/>
        <v/>
      </c>
      <c r="AZ2432" t="str">
        <f t="shared" si="1123"/>
        <v/>
      </c>
    </row>
    <row r="2433" spans="1:52" x14ac:dyDescent="0.25">
      <c r="A2433" s="610" t="s">
        <v>4090</v>
      </c>
      <c r="B2433" s="17" t="s">
        <v>5548</v>
      </c>
      <c r="C2433" s="17" t="s">
        <v>5540</v>
      </c>
      <c r="D2433" s="30" t="s">
        <v>7140</v>
      </c>
      <c r="E2433" s="17" t="s">
        <v>674</v>
      </c>
      <c r="F2433" s="454">
        <f t="shared" si="1130"/>
        <v>15.32</v>
      </c>
      <c r="G2433" s="529">
        <v>15.32</v>
      </c>
      <c r="H2433" s="487">
        <f t="shared" si="1131"/>
        <v>12.26</v>
      </c>
      <c r="I2433" s="706"/>
      <c r="J2433" s="669" t="s">
        <v>5805</v>
      </c>
      <c r="K2433" s="15"/>
      <c r="M2433" s="49">
        <f t="shared" si="1132"/>
        <v>15.32</v>
      </c>
      <c r="N2433" s="41">
        <v>9.32</v>
      </c>
      <c r="O2433" s="54"/>
      <c r="P2433" s="15"/>
      <c r="Q2433" t="s">
        <v>1017</v>
      </c>
      <c r="S2433" t="s">
        <v>4180</v>
      </c>
      <c r="T2433" t="s">
        <v>4180</v>
      </c>
      <c r="U2433" s="55" t="s">
        <v>1017</v>
      </c>
      <c r="W2433" s="65"/>
      <c r="X2433" s="65"/>
      <c r="Z2433" s="65"/>
      <c r="AC2433" s="65"/>
      <c r="AD2433" s="92"/>
      <c r="AE2433" s="124" t="s">
        <v>1017</v>
      </c>
      <c r="AF2433" s="65"/>
      <c r="AG2433" s="91"/>
      <c r="AH2433" s="212" t="str">
        <f t="shared" si="1133"/>
        <v/>
      </c>
      <c r="AI2433" s="214" t="str">
        <f t="shared" si="1124"/>
        <v/>
      </c>
      <c r="AJ2433" s="214" t="str">
        <f t="shared" si="1125"/>
        <v/>
      </c>
      <c r="AK2433" s="214" t="str">
        <f t="shared" si="1126"/>
        <v/>
      </c>
      <c r="AL2433" s="214" t="str">
        <f t="shared" si="1127"/>
        <v/>
      </c>
      <c r="AM2433" s="214" t="str">
        <f t="shared" si="1128"/>
        <v/>
      </c>
      <c r="AN2433" s="213" t="str">
        <f t="shared" si="1111"/>
        <v/>
      </c>
      <c r="AO2433" s="213" t="str">
        <f t="shared" si="1112"/>
        <v/>
      </c>
      <c r="AP2433" s="213" t="str">
        <f t="shared" si="1113"/>
        <v/>
      </c>
      <c r="AQ2433" s="215" t="str">
        <f t="shared" si="1114"/>
        <v/>
      </c>
      <c r="AR2433" s="216" t="str">
        <f t="shared" si="1115"/>
        <v>BiK82bK09y--08</v>
      </c>
      <c r="AS2433" s="215" t="str">
        <f t="shared" si="1116"/>
        <v/>
      </c>
      <c r="AT2433">
        <f t="shared" si="1117"/>
        <v>14</v>
      </c>
      <c r="AU2433" s="216" t="str">
        <f t="shared" si="1118"/>
        <v>0,15-0,5 MW, Bonusregeln b, y und K erstmals 2009</v>
      </c>
      <c r="AV2433" s="215" t="str">
        <f t="shared" si="1119"/>
        <v/>
      </c>
      <c r="AW2433" s="216" t="str">
        <f t="shared" si="1120"/>
        <v>Anteil KWK, erstmals 2009</v>
      </c>
      <c r="AX2433" s="215" t="str">
        <f t="shared" si="1121"/>
        <v/>
      </c>
      <c r="AY2433" t="str">
        <f t="shared" si="1122"/>
        <v/>
      </c>
      <c r="AZ2433" t="str">
        <f t="shared" si="1123"/>
        <v/>
      </c>
    </row>
    <row r="2434" spans="1:52" x14ac:dyDescent="0.25">
      <c r="A2434" s="610" t="s">
        <v>3266</v>
      </c>
      <c r="B2434" s="17" t="s">
        <v>5548</v>
      </c>
      <c r="C2434" s="17" t="s">
        <v>5540</v>
      </c>
      <c r="D2434" s="30" t="s">
        <v>7141</v>
      </c>
      <c r="E2434" s="30" t="s">
        <v>3567</v>
      </c>
      <c r="F2434" s="454">
        <f t="shared" si="1130"/>
        <v>15.290000000000001</v>
      </c>
      <c r="G2434" s="529">
        <v>15.290000000000001</v>
      </c>
      <c r="H2434" s="487">
        <f t="shared" si="1131"/>
        <v>12.23</v>
      </c>
      <c r="I2434" s="706"/>
      <c r="J2434" s="669" t="s">
        <v>5805</v>
      </c>
      <c r="K2434" s="15"/>
      <c r="M2434" s="49">
        <f t="shared" si="1132"/>
        <v>15.290000000000001</v>
      </c>
      <c r="N2434" s="41">
        <v>9.32</v>
      </c>
      <c r="O2434" s="54"/>
      <c r="P2434" s="15"/>
      <c r="R2434" t="s">
        <v>1017</v>
      </c>
      <c r="S2434" t="s">
        <v>4180</v>
      </c>
      <c r="T2434" t="s">
        <v>4180</v>
      </c>
      <c r="U2434" s="55" t="s">
        <v>1017</v>
      </c>
      <c r="W2434" s="65"/>
      <c r="X2434" s="65"/>
      <c r="Z2434" s="65"/>
      <c r="AC2434" s="65"/>
      <c r="AD2434" s="92"/>
      <c r="AE2434" s="124" t="s">
        <v>1017</v>
      </c>
      <c r="AF2434" s="65"/>
      <c r="AG2434" s="91"/>
      <c r="AH2434" s="212" t="str">
        <f t="shared" si="1133"/>
        <v>2010</v>
      </c>
      <c r="AI2434" s="214" t="str">
        <f t="shared" si="1124"/>
        <v/>
      </c>
      <c r="AJ2434" s="214" t="str">
        <f t="shared" si="1125"/>
        <v/>
      </c>
      <c r="AK2434" s="214" t="str">
        <f t="shared" si="1126"/>
        <v/>
      </c>
      <c r="AL2434" s="214" t="str">
        <f t="shared" si="1127"/>
        <v/>
      </c>
      <c r="AM2434" s="214" t="str">
        <f t="shared" si="1128"/>
        <v/>
      </c>
      <c r="AN2434" s="213" t="str">
        <f t="shared" si="1111"/>
        <v>2010</v>
      </c>
      <c r="AO2434" s="213" t="str">
        <f t="shared" si="1112"/>
        <v>2010</v>
      </c>
      <c r="AP2434" s="213" t="str">
        <f t="shared" si="1113"/>
        <v>2010</v>
      </c>
      <c r="AQ2434" s="215" t="str">
        <f t="shared" si="1114"/>
        <v/>
      </c>
      <c r="AR2434" s="216" t="str">
        <f t="shared" si="1115"/>
        <v>BiK82bK10y--08</v>
      </c>
      <c r="AS2434" s="215" t="str">
        <f t="shared" si="1116"/>
        <v/>
      </c>
      <c r="AT2434">
        <f t="shared" si="1117"/>
        <v>14</v>
      </c>
      <c r="AU2434" s="216" t="str">
        <f t="shared" si="1118"/>
        <v>0,15-0,5 MW, Bonusregeln b, y und K erstmals 2010</v>
      </c>
      <c r="AV2434" s="215" t="str">
        <f t="shared" si="1119"/>
        <v/>
      </c>
      <c r="AW2434" s="216" t="str">
        <f t="shared" si="1120"/>
        <v>Anteil KWK, erstmals 2010</v>
      </c>
      <c r="AX2434" s="215" t="str">
        <f t="shared" si="1121"/>
        <v/>
      </c>
      <c r="AY2434" t="str">
        <f t="shared" si="1122"/>
        <v/>
      </c>
      <c r="AZ2434" t="str">
        <f t="shared" si="1123"/>
        <v/>
      </c>
    </row>
    <row r="2435" spans="1:52" x14ac:dyDescent="0.25">
      <c r="A2435" s="610" t="s">
        <v>3471</v>
      </c>
      <c r="B2435" s="17" t="s">
        <v>5548</v>
      </c>
      <c r="C2435" s="17" t="s">
        <v>5540</v>
      </c>
      <c r="D2435" s="30" t="s">
        <v>7142</v>
      </c>
      <c r="E2435" s="30" t="s">
        <v>3055</v>
      </c>
      <c r="F2435" s="454">
        <f t="shared" si="1130"/>
        <v>15.26</v>
      </c>
      <c r="G2435" s="529">
        <v>15.26</v>
      </c>
      <c r="H2435" s="487">
        <f t="shared" si="1131"/>
        <v>12.21</v>
      </c>
      <c r="I2435" s="706"/>
      <c r="J2435" s="669" t="s">
        <v>5805</v>
      </c>
      <c r="K2435" s="15"/>
      <c r="M2435" s="49">
        <f t="shared" si="1132"/>
        <v>15.26</v>
      </c>
      <c r="N2435" s="41">
        <v>9.32</v>
      </c>
      <c r="O2435" s="54"/>
      <c r="P2435" s="15"/>
      <c r="S2435" t="s">
        <v>1017</v>
      </c>
      <c r="T2435" t="s">
        <v>4180</v>
      </c>
      <c r="U2435" s="55" t="s">
        <v>1017</v>
      </c>
      <c r="W2435" s="65"/>
      <c r="X2435" s="65"/>
      <c r="Z2435" s="65"/>
      <c r="AC2435" s="65"/>
      <c r="AD2435" s="92"/>
      <c r="AE2435" s="124" t="s">
        <v>1017</v>
      </c>
      <c r="AF2435" s="65"/>
      <c r="AG2435" s="91"/>
      <c r="AH2435" s="212" t="str">
        <f t="shared" si="1133"/>
        <v>2011</v>
      </c>
      <c r="AI2435" s="214" t="str">
        <f t="shared" si="1124"/>
        <v/>
      </c>
      <c r="AJ2435" s="214" t="str">
        <f t="shared" si="1125"/>
        <v/>
      </c>
      <c r="AK2435" s="214" t="str">
        <f t="shared" si="1126"/>
        <v/>
      </c>
      <c r="AL2435" s="214" t="str">
        <f t="shared" si="1127"/>
        <v/>
      </c>
      <c r="AM2435" s="214" t="str">
        <f t="shared" si="1128"/>
        <v/>
      </c>
      <c r="AN2435" s="213" t="str">
        <f t="shared" si="1111"/>
        <v>2011</v>
      </c>
      <c r="AO2435" s="213" t="str">
        <f t="shared" si="1112"/>
        <v>2011</v>
      </c>
      <c r="AP2435" s="213" t="str">
        <f t="shared" si="1113"/>
        <v>2011</v>
      </c>
      <c r="AQ2435" s="215" t="str">
        <f t="shared" si="1114"/>
        <v/>
      </c>
      <c r="AR2435" s="216" t="str">
        <f t="shared" si="1115"/>
        <v>BiK82bK11y--08</v>
      </c>
      <c r="AS2435" s="215" t="str">
        <f t="shared" si="1116"/>
        <v/>
      </c>
      <c r="AT2435">
        <f t="shared" si="1117"/>
        <v>14</v>
      </c>
      <c r="AU2435" s="216" t="str">
        <f t="shared" si="1118"/>
        <v>0,15-0,5 MW, Bonusregeln b, y und K erstmals 2011</v>
      </c>
      <c r="AV2435" s="215" t="str">
        <f t="shared" si="1119"/>
        <v/>
      </c>
      <c r="AW2435" s="216" t="str">
        <f t="shared" si="1120"/>
        <v>Anteil KWK, erstmals 2011</v>
      </c>
      <c r="AX2435" s="215" t="str">
        <f t="shared" si="1121"/>
        <v/>
      </c>
      <c r="AY2435" t="str">
        <f t="shared" si="1122"/>
        <v>x</v>
      </c>
      <c r="AZ2435" t="str">
        <f t="shared" si="1123"/>
        <v/>
      </c>
    </row>
    <row r="2436" spans="1:52" x14ac:dyDescent="0.25">
      <c r="A2436" s="625" t="s">
        <v>1903</v>
      </c>
      <c r="B2436" s="221" t="s">
        <v>5548</v>
      </c>
      <c r="C2436" s="221" t="s">
        <v>5540</v>
      </c>
      <c r="D2436" s="219" t="s">
        <v>7143</v>
      </c>
      <c r="E2436" s="219" t="s">
        <v>1980</v>
      </c>
      <c r="F2436" s="455">
        <f t="shared" si="1130"/>
        <v>15.23</v>
      </c>
      <c r="G2436" s="530">
        <v>15.23</v>
      </c>
      <c r="H2436" s="488">
        <f t="shared" si="1131"/>
        <v>12.18</v>
      </c>
      <c r="I2436" s="707"/>
      <c r="J2436" s="669" t="s">
        <v>5805</v>
      </c>
      <c r="K2436" s="15"/>
      <c r="M2436" s="49">
        <f t="shared" si="1132"/>
        <v>15.23</v>
      </c>
      <c r="N2436" s="41">
        <v>9.32</v>
      </c>
      <c r="O2436" s="54"/>
      <c r="P2436" s="15"/>
      <c r="S2436" t="s">
        <v>4180</v>
      </c>
      <c r="T2436" t="s">
        <v>1017</v>
      </c>
      <c r="U2436" s="55" t="s">
        <v>1017</v>
      </c>
      <c r="W2436" s="65"/>
      <c r="X2436" s="65"/>
      <c r="Z2436" s="65"/>
      <c r="AC2436" s="65"/>
      <c r="AD2436" s="92"/>
      <c r="AE2436" s="124" t="s">
        <v>1017</v>
      </c>
      <c r="AF2436" s="65"/>
      <c r="AG2436" s="91"/>
      <c r="AH2436" s="217" t="s">
        <v>4179</v>
      </c>
      <c r="AI2436" s="214" t="str">
        <f t="shared" si="1124"/>
        <v/>
      </c>
      <c r="AJ2436" s="214" t="str">
        <f t="shared" si="1125"/>
        <v/>
      </c>
      <c r="AK2436" s="214" t="str">
        <f t="shared" si="1126"/>
        <v/>
      </c>
      <c r="AL2436" s="214" t="str">
        <f t="shared" si="1127"/>
        <v/>
      </c>
      <c r="AM2436" s="214" t="str">
        <f t="shared" si="1128"/>
        <v/>
      </c>
      <c r="AN2436" s="213" t="str">
        <f t="shared" si="1111"/>
        <v>2012</v>
      </c>
      <c r="AO2436" s="213" t="str">
        <f t="shared" si="1112"/>
        <v>2012</v>
      </c>
      <c r="AP2436" s="213" t="str">
        <f t="shared" si="1113"/>
        <v>2012</v>
      </c>
      <c r="AQ2436" s="215" t="str">
        <f t="shared" si="1114"/>
        <v/>
      </c>
      <c r="AR2436" s="216" t="str">
        <f t="shared" si="1115"/>
        <v>BiK82bK12y--08</v>
      </c>
      <c r="AS2436" s="215" t="str">
        <f t="shared" si="1116"/>
        <v/>
      </c>
      <c r="AT2436">
        <f t="shared" si="1117"/>
        <v>14</v>
      </c>
      <c r="AU2436" s="216" t="str">
        <f t="shared" si="1118"/>
        <v>0,15-0,5 MW, Bonusregeln b, y und K erstmals 2012</v>
      </c>
      <c r="AV2436" s="215" t="str">
        <f t="shared" si="1119"/>
        <v/>
      </c>
      <c r="AW2436" s="216" t="str">
        <f t="shared" si="1120"/>
        <v>Anteil KWK, erstmals 2012</v>
      </c>
      <c r="AX2436" s="215" t="str">
        <f t="shared" si="1121"/>
        <v/>
      </c>
      <c r="AY2436" t="str">
        <f t="shared" si="1122"/>
        <v/>
      </c>
      <c r="AZ2436" t="str">
        <f t="shared" si="1123"/>
        <v>x</v>
      </c>
    </row>
    <row r="2437" spans="1:52" x14ac:dyDescent="0.25">
      <c r="A2437" s="609" t="s">
        <v>3685</v>
      </c>
      <c r="B2437" s="1" t="s">
        <v>5548</v>
      </c>
      <c r="C2437" s="2" t="s">
        <v>5540</v>
      </c>
      <c r="D2437" s="1" t="s">
        <v>7144</v>
      </c>
      <c r="E2437" s="1" t="s">
        <v>4810</v>
      </c>
      <c r="F2437" s="456">
        <f t="shared" si="1130"/>
        <v>17.32</v>
      </c>
      <c r="G2437" s="531">
        <v>17.32</v>
      </c>
      <c r="H2437" s="489">
        <f t="shared" si="1131"/>
        <v>13.86</v>
      </c>
      <c r="I2437" s="708"/>
      <c r="J2437" s="669" t="s">
        <v>5805</v>
      </c>
      <c r="K2437" s="15"/>
      <c r="M2437" s="49">
        <f t="shared" si="1132"/>
        <v>17.32</v>
      </c>
      <c r="N2437" s="41">
        <v>9.32</v>
      </c>
      <c r="O2437" s="54"/>
      <c r="P2437" s="15"/>
      <c r="S2437" t="s">
        <v>4180</v>
      </c>
      <c r="T2437" t="s">
        <v>4180</v>
      </c>
      <c r="U2437" s="55"/>
      <c r="V2437" t="s">
        <v>1017</v>
      </c>
      <c r="W2437" s="65"/>
      <c r="X2437" s="65"/>
      <c r="Z2437" s="65"/>
      <c r="AA2437" s="12"/>
      <c r="AC2437" s="65"/>
      <c r="AD2437" s="27"/>
      <c r="AE2437" s="124" t="s">
        <v>1017</v>
      </c>
      <c r="AF2437" s="65"/>
      <c r="AG2437" s="91"/>
      <c r="AH2437" s="212" t="str">
        <f t="shared" ref="AH2437:AH2442" si="1134">IF(ISERROR(SEARCH("K erstmals 201",D2437)),"",RIGHT(D2437,4))</f>
        <v/>
      </c>
      <c r="AI2437" s="214" t="str">
        <f t="shared" si="1124"/>
        <v/>
      </c>
      <c r="AJ2437" s="214" t="str">
        <f t="shared" si="1125"/>
        <v/>
      </c>
      <c r="AK2437" s="214" t="str">
        <f t="shared" si="1126"/>
        <v/>
      </c>
      <c r="AL2437" s="214" t="str">
        <f t="shared" si="1127"/>
        <v/>
      </c>
      <c r="AM2437" s="214" t="str">
        <f t="shared" si="1128"/>
        <v/>
      </c>
      <c r="AN2437" s="213" t="str">
        <f t="shared" si="1111"/>
        <v/>
      </c>
      <c r="AO2437" s="213" t="str">
        <f t="shared" si="1112"/>
        <v/>
      </c>
      <c r="AP2437" s="213" t="str">
        <f t="shared" si="1113"/>
        <v/>
      </c>
      <c r="AQ2437" s="215" t="str">
        <f t="shared" si="1114"/>
        <v/>
      </c>
      <c r="AR2437" s="216" t="str">
        <f t="shared" si="1115"/>
        <v>BiK82a1b----08</v>
      </c>
      <c r="AS2437" s="215" t="str">
        <f t="shared" si="1116"/>
        <v/>
      </c>
      <c r="AT2437">
        <f t="shared" si="1117"/>
        <v>14</v>
      </c>
      <c r="AU2437" s="216" t="str">
        <f t="shared" si="1118"/>
        <v>0,15-0,5 MW, Bonusregeln a1 und b</v>
      </c>
      <c r="AV2437" s="215" t="str">
        <f t="shared" si="1119"/>
        <v/>
      </c>
      <c r="AW2437" s="216" t="str">
        <f t="shared" si="1120"/>
        <v>Anteil Nicht-KWK</v>
      </c>
      <c r="AX2437" s="215" t="str">
        <f t="shared" si="1121"/>
        <v/>
      </c>
      <c r="AY2437" t="str">
        <f t="shared" si="1122"/>
        <v/>
      </c>
      <c r="AZ2437" t="str">
        <f t="shared" si="1123"/>
        <v/>
      </c>
    </row>
    <row r="2438" spans="1:52" s="178" customFormat="1" x14ac:dyDescent="0.25">
      <c r="A2438" s="609" t="s">
        <v>3686</v>
      </c>
      <c r="B2438" s="1" t="s">
        <v>5548</v>
      </c>
      <c r="C2438" s="2" t="s">
        <v>5540</v>
      </c>
      <c r="D2438" s="1" t="s">
        <v>7145</v>
      </c>
      <c r="E2438" s="1" t="s">
        <v>4812</v>
      </c>
      <c r="F2438" s="456">
        <f t="shared" si="1130"/>
        <v>19.32</v>
      </c>
      <c r="G2438" s="531">
        <v>19.32</v>
      </c>
      <c r="H2438" s="489">
        <f t="shared" si="1131"/>
        <v>15.46</v>
      </c>
      <c r="I2438" s="708"/>
      <c r="J2438" s="669" t="s">
        <v>5805</v>
      </c>
      <c r="K2438" s="15"/>
      <c r="L2438"/>
      <c r="M2438" s="49">
        <f t="shared" si="1132"/>
        <v>19.32</v>
      </c>
      <c r="N2438" s="41">
        <v>9.32</v>
      </c>
      <c r="O2438" s="54" t="s">
        <v>1017</v>
      </c>
      <c r="P2438" s="15"/>
      <c r="Q2438"/>
      <c r="R2438"/>
      <c r="S2438" t="s">
        <v>4180</v>
      </c>
      <c r="T2438" s="178" t="s">
        <v>4180</v>
      </c>
      <c r="U2438" s="55"/>
      <c r="V2438" t="s">
        <v>1017</v>
      </c>
      <c r="W2438" s="65"/>
      <c r="X2438" s="65"/>
      <c r="Y2438"/>
      <c r="Z2438" s="65"/>
      <c r="AA2438" s="12"/>
      <c r="AB2438"/>
      <c r="AC2438" s="65"/>
      <c r="AD2438" s="27"/>
      <c r="AE2438" s="124" t="s">
        <v>1017</v>
      </c>
      <c r="AF2438" s="65"/>
      <c r="AG2438" s="91"/>
      <c r="AH2438" s="212" t="str">
        <f t="shared" si="1134"/>
        <v/>
      </c>
      <c r="AI2438" s="214" t="str">
        <f t="shared" si="1124"/>
        <v/>
      </c>
      <c r="AJ2438" s="214" t="str">
        <f t="shared" si="1125"/>
        <v/>
      </c>
      <c r="AK2438" s="214" t="str">
        <f t="shared" si="1126"/>
        <v/>
      </c>
      <c r="AL2438" s="214" t="str">
        <f t="shared" si="1127"/>
        <v/>
      </c>
      <c r="AM2438" s="214" t="str">
        <f t="shared" si="1128"/>
        <v/>
      </c>
      <c r="AN2438" s="213" t="str">
        <f t="shared" si="1111"/>
        <v/>
      </c>
      <c r="AO2438" s="213" t="str">
        <f t="shared" si="1112"/>
        <v/>
      </c>
      <c r="AP2438" s="213" t="str">
        <f t="shared" si="1113"/>
        <v/>
      </c>
      <c r="AQ2438" s="215" t="str">
        <f t="shared" si="1114"/>
        <v/>
      </c>
      <c r="AR2438" s="216" t="str">
        <f t="shared" si="1115"/>
        <v>BiK82a1bKWK-08</v>
      </c>
      <c r="AS2438" s="215" t="str">
        <f t="shared" si="1116"/>
        <v/>
      </c>
      <c r="AT2438">
        <f t="shared" si="1117"/>
        <v>14</v>
      </c>
      <c r="AU2438" s="216" t="str">
        <f t="shared" si="1118"/>
        <v>0,15-0,5 MW, Bonusregeln a1, b und KWK</v>
      </c>
      <c r="AV2438" s="215" t="str">
        <f t="shared" si="1119"/>
        <v/>
      </c>
      <c r="AW2438" s="216" t="str">
        <f t="shared" si="1120"/>
        <v>Anteil KWK</v>
      </c>
      <c r="AX2438" s="215" t="str">
        <f t="shared" si="1121"/>
        <v/>
      </c>
      <c r="AY2438" t="str">
        <f t="shared" si="1122"/>
        <v/>
      </c>
      <c r="AZ2438" t="str">
        <f t="shared" si="1123"/>
        <v/>
      </c>
    </row>
    <row r="2439" spans="1:52" s="178" customFormat="1" x14ac:dyDescent="0.25">
      <c r="A2439" s="610" t="s">
        <v>2342</v>
      </c>
      <c r="B2439" s="17" t="s">
        <v>5548</v>
      </c>
      <c r="C2439" s="30" t="s">
        <v>5540</v>
      </c>
      <c r="D2439" s="30" t="s">
        <v>7146</v>
      </c>
      <c r="E2439" s="30" t="s">
        <v>4331</v>
      </c>
      <c r="F2439" s="454">
        <f t="shared" si="1130"/>
        <v>20.32</v>
      </c>
      <c r="G2439" s="529">
        <v>20.32</v>
      </c>
      <c r="H2439" s="487">
        <f t="shared" si="1131"/>
        <v>16.260000000000002</v>
      </c>
      <c r="I2439" s="706"/>
      <c r="J2439" s="669" t="s">
        <v>5805</v>
      </c>
      <c r="K2439" s="15"/>
      <c r="L2439"/>
      <c r="M2439" s="49">
        <f t="shared" si="1132"/>
        <v>20.32</v>
      </c>
      <c r="N2439" s="41">
        <v>9.32</v>
      </c>
      <c r="O2439" s="54"/>
      <c r="P2439" t="s">
        <v>1017</v>
      </c>
      <c r="Q2439"/>
      <c r="R2439"/>
      <c r="S2439" t="s">
        <v>4180</v>
      </c>
      <c r="T2439" s="178" t="s">
        <v>4180</v>
      </c>
      <c r="U2439" s="55"/>
      <c r="V2439" t="s">
        <v>1017</v>
      </c>
      <c r="W2439" s="65"/>
      <c r="X2439" s="65"/>
      <c r="Y2439"/>
      <c r="Z2439" s="65"/>
      <c r="AA2439" s="12"/>
      <c r="AB2439"/>
      <c r="AC2439" s="65"/>
      <c r="AD2439" s="27"/>
      <c r="AE2439" s="124" t="s">
        <v>1017</v>
      </c>
      <c r="AF2439" s="65"/>
      <c r="AG2439" s="91"/>
      <c r="AH2439" s="212" t="str">
        <f t="shared" si="1134"/>
        <v/>
      </c>
      <c r="AI2439" s="214" t="str">
        <f t="shared" si="1124"/>
        <v/>
      </c>
      <c r="AJ2439" s="214" t="str">
        <f t="shared" si="1125"/>
        <v/>
      </c>
      <c r="AK2439" s="214" t="str">
        <f t="shared" si="1126"/>
        <v/>
      </c>
      <c r="AL2439" s="214" t="str">
        <f t="shared" si="1127"/>
        <v/>
      </c>
      <c r="AM2439" s="214" t="str">
        <f t="shared" si="1128"/>
        <v/>
      </c>
      <c r="AN2439" s="213" t="str">
        <f t="shared" si="1111"/>
        <v/>
      </c>
      <c r="AO2439" s="213" t="str">
        <f t="shared" si="1112"/>
        <v/>
      </c>
      <c r="AP2439" s="213" t="str">
        <f t="shared" si="1113"/>
        <v/>
      </c>
      <c r="AQ2439" s="215" t="str">
        <f t="shared" si="1114"/>
        <v/>
      </c>
      <c r="AR2439" s="216" t="str">
        <f t="shared" si="1115"/>
        <v>BiK82a1bKA3-08</v>
      </c>
      <c r="AS2439" s="215" t="str">
        <f t="shared" si="1116"/>
        <v/>
      </c>
      <c r="AT2439">
        <f t="shared" si="1117"/>
        <v>14</v>
      </c>
      <c r="AU2439" s="216" t="str">
        <f t="shared" si="1118"/>
        <v>0,15-0,5 MW, Bonusregeln a1, b und K wenn Anlage 3 erfüllt</v>
      </c>
      <c r="AV2439" s="215" t="str">
        <f t="shared" si="1119"/>
        <v/>
      </c>
      <c r="AW2439" s="216" t="str">
        <f t="shared" si="1120"/>
        <v>Anteil KWK gemäß Anlage 3</v>
      </c>
      <c r="AX2439" s="215" t="str">
        <f t="shared" si="1121"/>
        <v/>
      </c>
      <c r="AY2439" t="str">
        <f t="shared" si="1122"/>
        <v/>
      </c>
      <c r="AZ2439" t="str">
        <f t="shared" si="1123"/>
        <v/>
      </c>
    </row>
    <row r="2440" spans="1:52" s="178" customFormat="1" x14ac:dyDescent="0.25">
      <c r="A2440" s="610" t="s">
        <v>2871</v>
      </c>
      <c r="B2440" s="17" t="s">
        <v>5548</v>
      </c>
      <c r="C2440" s="17" t="s">
        <v>5540</v>
      </c>
      <c r="D2440" s="30" t="s">
        <v>7147</v>
      </c>
      <c r="E2440" s="17" t="s">
        <v>674</v>
      </c>
      <c r="F2440" s="454">
        <f t="shared" si="1130"/>
        <v>20.32</v>
      </c>
      <c r="G2440" s="529">
        <v>20.32</v>
      </c>
      <c r="H2440" s="487">
        <f t="shared" si="1131"/>
        <v>16.260000000000002</v>
      </c>
      <c r="I2440" s="706"/>
      <c r="J2440" s="669" t="s">
        <v>5805</v>
      </c>
      <c r="K2440" s="15"/>
      <c r="L2440"/>
      <c r="M2440" s="49">
        <f t="shared" si="1132"/>
        <v>20.32</v>
      </c>
      <c r="N2440" s="41">
        <v>9.32</v>
      </c>
      <c r="O2440" s="54"/>
      <c r="P2440" s="15"/>
      <c r="Q2440" t="s">
        <v>1017</v>
      </c>
      <c r="R2440"/>
      <c r="S2440" t="s">
        <v>4180</v>
      </c>
      <c r="T2440" s="178" t="s">
        <v>4180</v>
      </c>
      <c r="U2440" s="55"/>
      <c r="V2440" t="s">
        <v>1017</v>
      </c>
      <c r="W2440" s="65"/>
      <c r="X2440" s="65"/>
      <c r="Y2440"/>
      <c r="Z2440" s="65"/>
      <c r="AA2440" s="12"/>
      <c r="AB2440"/>
      <c r="AC2440" s="65"/>
      <c r="AD2440" s="27"/>
      <c r="AE2440" s="124" t="s">
        <v>1017</v>
      </c>
      <c r="AF2440" s="65"/>
      <c r="AG2440" s="91"/>
      <c r="AH2440" s="212" t="str">
        <f t="shared" si="1134"/>
        <v/>
      </c>
      <c r="AI2440" s="214" t="str">
        <f t="shared" si="1124"/>
        <v/>
      </c>
      <c r="AJ2440" s="214" t="str">
        <f t="shared" si="1125"/>
        <v/>
      </c>
      <c r="AK2440" s="214" t="str">
        <f t="shared" si="1126"/>
        <v/>
      </c>
      <c r="AL2440" s="214" t="str">
        <f t="shared" si="1127"/>
        <v/>
      </c>
      <c r="AM2440" s="214" t="str">
        <f t="shared" si="1128"/>
        <v/>
      </c>
      <c r="AN2440" s="213" t="str">
        <f t="shared" si="1111"/>
        <v/>
      </c>
      <c r="AO2440" s="213" t="str">
        <f t="shared" si="1112"/>
        <v/>
      </c>
      <c r="AP2440" s="213" t="str">
        <f t="shared" si="1113"/>
        <v/>
      </c>
      <c r="AQ2440" s="215" t="str">
        <f t="shared" si="1114"/>
        <v/>
      </c>
      <c r="AR2440" s="216" t="str">
        <f t="shared" si="1115"/>
        <v>BiK82a1bK09-08</v>
      </c>
      <c r="AS2440" s="215" t="str">
        <f t="shared" si="1116"/>
        <v/>
      </c>
      <c r="AT2440">
        <f t="shared" si="1117"/>
        <v>14</v>
      </c>
      <c r="AU2440" s="216" t="str">
        <f t="shared" si="1118"/>
        <v>0,15-0,5 MW, Bonusregeln a1, b und K erstmals 2009</v>
      </c>
      <c r="AV2440" s="215" t="str">
        <f t="shared" si="1119"/>
        <v/>
      </c>
      <c r="AW2440" s="216" t="str">
        <f t="shared" si="1120"/>
        <v>Anteil KWK, erstmals 2009</v>
      </c>
      <c r="AX2440" s="215" t="str">
        <f t="shared" si="1121"/>
        <v/>
      </c>
      <c r="AY2440" t="str">
        <f t="shared" si="1122"/>
        <v/>
      </c>
      <c r="AZ2440" t="str">
        <f t="shared" si="1123"/>
        <v/>
      </c>
    </row>
    <row r="2441" spans="1:52" s="178" customFormat="1" x14ac:dyDescent="0.25">
      <c r="A2441" s="610" t="s">
        <v>3267</v>
      </c>
      <c r="B2441" s="17" t="s">
        <v>5548</v>
      </c>
      <c r="C2441" s="17" t="s">
        <v>5540</v>
      </c>
      <c r="D2441" s="30" t="s">
        <v>7148</v>
      </c>
      <c r="E2441" s="30" t="s">
        <v>3567</v>
      </c>
      <c r="F2441" s="454">
        <f t="shared" si="1130"/>
        <v>20.29</v>
      </c>
      <c r="G2441" s="529">
        <v>20.29</v>
      </c>
      <c r="H2441" s="487">
        <f t="shared" si="1131"/>
        <v>16.23</v>
      </c>
      <c r="I2441" s="706"/>
      <c r="J2441" s="669" t="s">
        <v>5805</v>
      </c>
      <c r="K2441" s="15"/>
      <c r="L2441"/>
      <c r="M2441" s="49">
        <f t="shared" si="1132"/>
        <v>20.29</v>
      </c>
      <c r="N2441" s="41">
        <v>9.32</v>
      </c>
      <c r="O2441" s="54"/>
      <c r="P2441" s="15"/>
      <c r="Q2441"/>
      <c r="R2441" t="s">
        <v>1017</v>
      </c>
      <c r="S2441" t="s">
        <v>4180</v>
      </c>
      <c r="T2441" s="178" t="s">
        <v>4180</v>
      </c>
      <c r="U2441" s="55"/>
      <c r="V2441" t="s">
        <v>1017</v>
      </c>
      <c r="W2441" s="65"/>
      <c r="X2441" s="65"/>
      <c r="Y2441"/>
      <c r="Z2441" s="65"/>
      <c r="AA2441" s="12"/>
      <c r="AB2441"/>
      <c r="AC2441" s="65"/>
      <c r="AD2441" s="27"/>
      <c r="AE2441" s="124" t="s">
        <v>1017</v>
      </c>
      <c r="AF2441" s="65"/>
      <c r="AG2441" s="91"/>
      <c r="AH2441" s="212" t="str">
        <f t="shared" si="1134"/>
        <v>2010</v>
      </c>
      <c r="AI2441" s="214" t="str">
        <f t="shared" si="1124"/>
        <v/>
      </c>
      <c r="AJ2441" s="214" t="str">
        <f t="shared" si="1125"/>
        <v/>
      </c>
      <c r="AK2441" s="214" t="str">
        <f t="shared" si="1126"/>
        <v/>
      </c>
      <c r="AL2441" s="214" t="str">
        <f t="shared" si="1127"/>
        <v/>
      </c>
      <c r="AM2441" s="214" t="str">
        <f t="shared" si="1128"/>
        <v/>
      </c>
      <c r="AN2441" s="213" t="str">
        <f t="shared" si="1111"/>
        <v>2010</v>
      </c>
      <c r="AO2441" s="213" t="str">
        <f t="shared" si="1112"/>
        <v>2010</v>
      </c>
      <c r="AP2441" s="213" t="str">
        <f t="shared" si="1113"/>
        <v>2010</v>
      </c>
      <c r="AQ2441" s="215" t="str">
        <f t="shared" si="1114"/>
        <v/>
      </c>
      <c r="AR2441" s="216" t="str">
        <f t="shared" si="1115"/>
        <v>BiK82a1bK10-08</v>
      </c>
      <c r="AS2441" s="215" t="str">
        <f t="shared" si="1116"/>
        <v/>
      </c>
      <c r="AT2441">
        <f t="shared" si="1117"/>
        <v>14</v>
      </c>
      <c r="AU2441" s="216" t="str">
        <f t="shared" si="1118"/>
        <v>0,15-0,5 MW, Bonusregeln a1, b und K erstmals 2010</v>
      </c>
      <c r="AV2441" s="215" t="str">
        <f t="shared" si="1119"/>
        <v/>
      </c>
      <c r="AW2441" s="216" t="str">
        <f t="shared" si="1120"/>
        <v>Anteil KWK, erstmals 2010</v>
      </c>
      <c r="AX2441" s="215" t="str">
        <f t="shared" si="1121"/>
        <v/>
      </c>
      <c r="AY2441" t="str">
        <f t="shared" si="1122"/>
        <v/>
      </c>
      <c r="AZ2441" t="str">
        <f t="shared" si="1123"/>
        <v/>
      </c>
    </row>
    <row r="2442" spans="1:52" s="178" customFormat="1" x14ac:dyDescent="0.25">
      <c r="A2442" s="610" t="s">
        <v>3472</v>
      </c>
      <c r="B2442" s="17" t="s">
        <v>5548</v>
      </c>
      <c r="C2442" s="17" t="s">
        <v>5540</v>
      </c>
      <c r="D2442" s="30" t="s">
        <v>7149</v>
      </c>
      <c r="E2442" s="30" t="s">
        <v>3055</v>
      </c>
      <c r="F2442" s="454">
        <f t="shared" si="1130"/>
        <v>20.259999999999998</v>
      </c>
      <c r="G2442" s="529">
        <v>20.259999999999998</v>
      </c>
      <c r="H2442" s="487">
        <f t="shared" si="1131"/>
        <v>16.21</v>
      </c>
      <c r="I2442" s="706"/>
      <c r="J2442" s="669" t="s">
        <v>5805</v>
      </c>
      <c r="K2442" s="15"/>
      <c r="L2442"/>
      <c r="M2442" s="49">
        <f t="shared" si="1132"/>
        <v>20.259999999999998</v>
      </c>
      <c r="N2442" s="41">
        <v>9.32</v>
      </c>
      <c r="O2442" s="54"/>
      <c r="P2442" s="15"/>
      <c r="Q2442"/>
      <c r="R2442"/>
      <c r="S2442" t="s">
        <v>1017</v>
      </c>
      <c r="T2442" s="178" t="s">
        <v>4180</v>
      </c>
      <c r="U2442" s="55"/>
      <c r="V2442" t="s">
        <v>1017</v>
      </c>
      <c r="W2442" s="65"/>
      <c r="X2442" s="65"/>
      <c r="Y2442"/>
      <c r="Z2442" s="65"/>
      <c r="AA2442" s="12"/>
      <c r="AB2442"/>
      <c r="AC2442" s="65"/>
      <c r="AD2442" s="27"/>
      <c r="AE2442" s="124" t="s">
        <v>1017</v>
      </c>
      <c r="AF2442" s="65"/>
      <c r="AG2442" s="91"/>
      <c r="AH2442" s="212" t="str">
        <f t="shared" si="1134"/>
        <v>2011</v>
      </c>
      <c r="AI2442" s="214" t="str">
        <f t="shared" si="1124"/>
        <v/>
      </c>
      <c r="AJ2442" s="214" t="str">
        <f t="shared" si="1125"/>
        <v/>
      </c>
      <c r="AK2442" s="214" t="str">
        <f t="shared" si="1126"/>
        <v/>
      </c>
      <c r="AL2442" s="214" t="str">
        <f t="shared" si="1127"/>
        <v/>
      </c>
      <c r="AM2442" s="214" t="str">
        <f t="shared" si="1128"/>
        <v/>
      </c>
      <c r="AN2442" s="213" t="str">
        <f t="shared" si="1111"/>
        <v>2011</v>
      </c>
      <c r="AO2442" s="213" t="str">
        <f t="shared" si="1112"/>
        <v>2011</v>
      </c>
      <c r="AP2442" s="213" t="str">
        <f t="shared" si="1113"/>
        <v>2011</v>
      </c>
      <c r="AQ2442" s="215" t="str">
        <f t="shared" si="1114"/>
        <v/>
      </c>
      <c r="AR2442" s="216" t="str">
        <f t="shared" si="1115"/>
        <v>BiK82a1bK11-08</v>
      </c>
      <c r="AS2442" s="215" t="str">
        <f t="shared" si="1116"/>
        <v/>
      </c>
      <c r="AT2442">
        <f t="shared" si="1117"/>
        <v>14</v>
      </c>
      <c r="AU2442" s="216" t="str">
        <f t="shared" si="1118"/>
        <v>0,15-0,5 MW, Bonusregeln a1, b und K erstmals 2011</v>
      </c>
      <c r="AV2442" s="215" t="str">
        <f t="shared" si="1119"/>
        <v/>
      </c>
      <c r="AW2442" s="216" t="str">
        <f t="shared" si="1120"/>
        <v>Anteil KWK, erstmals 2011</v>
      </c>
      <c r="AX2442" s="215" t="str">
        <f t="shared" si="1121"/>
        <v/>
      </c>
      <c r="AY2442" t="str">
        <f t="shared" si="1122"/>
        <v>x</v>
      </c>
      <c r="AZ2442" t="str">
        <f t="shared" si="1123"/>
        <v/>
      </c>
    </row>
    <row r="2443" spans="1:52" s="178" customFormat="1" x14ac:dyDescent="0.25">
      <c r="A2443" s="625" t="s">
        <v>1904</v>
      </c>
      <c r="B2443" s="221" t="s">
        <v>5548</v>
      </c>
      <c r="C2443" s="221" t="s">
        <v>5540</v>
      </c>
      <c r="D2443" s="219" t="s">
        <v>7150</v>
      </c>
      <c r="E2443" s="219" t="s">
        <v>1980</v>
      </c>
      <c r="F2443" s="455">
        <f t="shared" si="1130"/>
        <v>20.23</v>
      </c>
      <c r="G2443" s="530">
        <v>20.23</v>
      </c>
      <c r="H2443" s="488">
        <f t="shared" si="1131"/>
        <v>16.18</v>
      </c>
      <c r="I2443" s="707"/>
      <c r="J2443" s="669" t="s">
        <v>5805</v>
      </c>
      <c r="K2443" s="15"/>
      <c r="L2443"/>
      <c r="M2443" s="49">
        <f t="shared" si="1132"/>
        <v>20.23</v>
      </c>
      <c r="N2443" s="41">
        <v>9.32</v>
      </c>
      <c r="O2443" s="54"/>
      <c r="P2443" s="15"/>
      <c r="Q2443"/>
      <c r="R2443"/>
      <c r="S2443" t="s">
        <v>4180</v>
      </c>
      <c r="T2443" s="178" t="s">
        <v>1017</v>
      </c>
      <c r="U2443" s="55"/>
      <c r="V2443" t="s">
        <v>1017</v>
      </c>
      <c r="W2443" s="65"/>
      <c r="X2443" s="65"/>
      <c r="Y2443"/>
      <c r="Z2443" s="65"/>
      <c r="AA2443" s="12"/>
      <c r="AB2443"/>
      <c r="AC2443" s="65"/>
      <c r="AD2443" s="27"/>
      <c r="AE2443" s="124" t="s">
        <v>1017</v>
      </c>
      <c r="AF2443" s="65"/>
      <c r="AG2443" s="91"/>
      <c r="AH2443" s="217" t="s">
        <v>4179</v>
      </c>
      <c r="AI2443" s="214" t="str">
        <f t="shared" si="1124"/>
        <v/>
      </c>
      <c r="AJ2443" s="214" t="str">
        <f t="shared" si="1125"/>
        <v/>
      </c>
      <c r="AK2443" s="214" t="str">
        <f t="shared" si="1126"/>
        <v/>
      </c>
      <c r="AL2443" s="214" t="str">
        <f t="shared" si="1127"/>
        <v/>
      </c>
      <c r="AM2443" s="214" t="str">
        <f t="shared" si="1128"/>
        <v/>
      </c>
      <c r="AN2443" s="213" t="str">
        <f t="shared" si="1111"/>
        <v>2012</v>
      </c>
      <c r="AO2443" s="213" t="str">
        <f t="shared" si="1112"/>
        <v>2012</v>
      </c>
      <c r="AP2443" s="213" t="str">
        <f t="shared" si="1113"/>
        <v>2012</v>
      </c>
      <c r="AQ2443" s="215" t="str">
        <f t="shared" si="1114"/>
        <v/>
      </c>
      <c r="AR2443" s="216" t="str">
        <f t="shared" si="1115"/>
        <v>BiK82a1bK12-08</v>
      </c>
      <c r="AS2443" s="215" t="str">
        <f t="shared" si="1116"/>
        <v/>
      </c>
      <c r="AT2443">
        <f t="shared" si="1117"/>
        <v>14</v>
      </c>
      <c r="AU2443" s="216" t="str">
        <f t="shared" si="1118"/>
        <v>0,15-0,5 MW, Bonusregeln a1, b und K erstmals 2012</v>
      </c>
      <c r="AV2443" s="215" t="str">
        <f t="shared" si="1119"/>
        <v/>
      </c>
      <c r="AW2443" s="216" t="str">
        <f t="shared" si="1120"/>
        <v>Anteil KWK, erstmals 2012</v>
      </c>
      <c r="AX2443" s="215" t="str">
        <f t="shared" si="1121"/>
        <v/>
      </c>
      <c r="AY2443" t="str">
        <f t="shared" si="1122"/>
        <v/>
      </c>
      <c r="AZ2443" t="str">
        <f t="shared" si="1123"/>
        <v>x</v>
      </c>
    </row>
    <row r="2444" spans="1:52" s="178" customFormat="1" x14ac:dyDescent="0.25">
      <c r="A2444" s="610" t="s">
        <v>4091</v>
      </c>
      <c r="B2444" s="17" t="s">
        <v>5548</v>
      </c>
      <c r="C2444" s="17" t="s">
        <v>5540</v>
      </c>
      <c r="D2444" s="30" t="s">
        <v>7151</v>
      </c>
      <c r="E2444" s="17" t="s">
        <v>4810</v>
      </c>
      <c r="F2444" s="454">
        <f t="shared" si="1130"/>
        <v>18.32</v>
      </c>
      <c r="G2444" s="529">
        <v>18.32</v>
      </c>
      <c r="H2444" s="487">
        <f t="shared" si="1131"/>
        <v>14.66</v>
      </c>
      <c r="I2444" s="706"/>
      <c r="J2444" s="669" t="s">
        <v>5805</v>
      </c>
      <c r="K2444" s="15"/>
      <c r="L2444"/>
      <c r="M2444" s="49">
        <f t="shared" si="1132"/>
        <v>18.32</v>
      </c>
      <c r="N2444" s="41">
        <v>9.32</v>
      </c>
      <c r="O2444" s="54"/>
      <c r="P2444" s="15"/>
      <c r="Q2444"/>
      <c r="R2444"/>
      <c r="S2444" t="s">
        <v>4180</v>
      </c>
      <c r="T2444" s="178" t="s">
        <v>4180</v>
      </c>
      <c r="U2444" s="55" t="s">
        <v>1017</v>
      </c>
      <c r="V2444" t="s">
        <v>1017</v>
      </c>
      <c r="W2444" s="65"/>
      <c r="X2444" s="65"/>
      <c r="Y2444"/>
      <c r="Z2444" s="65"/>
      <c r="AA2444" s="12"/>
      <c r="AB2444"/>
      <c r="AC2444" s="65"/>
      <c r="AD2444" s="27"/>
      <c r="AE2444" s="124" t="s">
        <v>1017</v>
      </c>
      <c r="AF2444" s="65"/>
      <c r="AG2444" s="91"/>
      <c r="AH2444" s="212" t="str">
        <f t="shared" ref="AH2444:AH2449" si="1135">IF(ISERROR(SEARCH("K erstmals 201",D2444)),"",RIGHT(D2444,4))</f>
        <v/>
      </c>
      <c r="AI2444" s="214" t="str">
        <f t="shared" si="1124"/>
        <v/>
      </c>
      <c r="AJ2444" s="214" t="str">
        <f t="shared" si="1125"/>
        <v/>
      </c>
      <c r="AK2444" s="214" t="str">
        <f t="shared" si="1126"/>
        <v/>
      </c>
      <c r="AL2444" s="214" t="str">
        <f t="shared" si="1127"/>
        <v/>
      </c>
      <c r="AM2444" s="214" t="str">
        <f t="shared" si="1128"/>
        <v/>
      </c>
      <c r="AN2444" s="213" t="str">
        <f t="shared" si="1111"/>
        <v/>
      </c>
      <c r="AO2444" s="213" t="str">
        <f t="shared" si="1112"/>
        <v/>
      </c>
      <c r="AP2444" s="213" t="str">
        <f t="shared" si="1113"/>
        <v/>
      </c>
      <c r="AQ2444" s="215" t="str">
        <f t="shared" si="1114"/>
        <v/>
      </c>
      <c r="AR2444" s="216" t="str">
        <f t="shared" si="1115"/>
        <v>BiK82a1by---08</v>
      </c>
      <c r="AS2444" s="215" t="str">
        <f t="shared" si="1116"/>
        <v/>
      </c>
      <c r="AT2444">
        <f t="shared" si="1117"/>
        <v>14</v>
      </c>
      <c r="AU2444" s="216" t="str">
        <f t="shared" si="1118"/>
        <v>0,15-0,5 MW, Bonusregeln a1, b, y</v>
      </c>
      <c r="AV2444" s="215" t="str">
        <f t="shared" si="1119"/>
        <v/>
      </c>
      <c r="AW2444" s="216" t="str">
        <f t="shared" si="1120"/>
        <v>Anteil Nicht-KWK</v>
      </c>
      <c r="AX2444" s="215" t="str">
        <f t="shared" si="1121"/>
        <v/>
      </c>
      <c r="AY2444" t="str">
        <f t="shared" si="1122"/>
        <v/>
      </c>
      <c r="AZ2444" t="str">
        <f t="shared" si="1123"/>
        <v/>
      </c>
    </row>
    <row r="2445" spans="1:52" s="178" customFormat="1" x14ac:dyDescent="0.25">
      <c r="A2445" s="610" t="s">
        <v>4092</v>
      </c>
      <c r="B2445" s="17" t="s">
        <v>5548</v>
      </c>
      <c r="C2445" s="17" t="s">
        <v>5540</v>
      </c>
      <c r="D2445" s="30" t="s">
        <v>7152</v>
      </c>
      <c r="E2445" s="17" t="s">
        <v>4812</v>
      </c>
      <c r="F2445" s="454">
        <f t="shared" si="1130"/>
        <v>20.32</v>
      </c>
      <c r="G2445" s="529">
        <v>20.32</v>
      </c>
      <c r="H2445" s="487">
        <f t="shared" si="1131"/>
        <v>16.260000000000002</v>
      </c>
      <c r="I2445" s="706"/>
      <c r="J2445" s="669" t="s">
        <v>5805</v>
      </c>
      <c r="K2445" s="15"/>
      <c r="L2445"/>
      <c r="M2445" s="49">
        <f t="shared" si="1132"/>
        <v>20.32</v>
      </c>
      <c r="N2445" s="41">
        <v>9.32</v>
      </c>
      <c r="O2445" s="54" t="s">
        <v>1017</v>
      </c>
      <c r="P2445" s="15"/>
      <c r="Q2445"/>
      <c r="R2445"/>
      <c r="S2445" t="s">
        <v>4180</v>
      </c>
      <c r="T2445" s="178" t="s">
        <v>4180</v>
      </c>
      <c r="U2445" s="55" t="s">
        <v>1017</v>
      </c>
      <c r="V2445" t="s">
        <v>1017</v>
      </c>
      <c r="W2445" s="65"/>
      <c r="X2445" s="65"/>
      <c r="Y2445"/>
      <c r="Z2445" s="65"/>
      <c r="AA2445" s="12"/>
      <c r="AB2445"/>
      <c r="AC2445" s="65"/>
      <c r="AD2445" s="27"/>
      <c r="AE2445" s="124" t="s">
        <v>1017</v>
      </c>
      <c r="AF2445" s="65"/>
      <c r="AG2445" s="91"/>
      <c r="AH2445" s="212" t="str">
        <f t="shared" si="1135"/>
        <v/>
      </c>
      <c r="AI2445" s="214" t="str">
        <f t="shared" si="1124"/>
        <v/>
      </c>
      <c r="AJ2445" s="214" t="str">
        <f t="shared" si="1125"/>
        <v/>
      </c>
      <c r="AK2445" s="214" t="str">
        <f t="shared" si="1126"/>
        <v/>
      </c>
      <c r="AL2445" s="214" t="str">
        <f t="shared" si="1127"/>
        <v/>
      </c>
      <c r="AM2445" s="214" t="str">
        <f t="shared" si="1128"/>
        <v/>
      </c>
      <c r="AN2445" s="213" t="str">
        <f t="shared" si="1111"/>
        <v/>
      </c>
      <c r="AO2445" s="213" t="str">
        <f t="shared" si="1112"/>
        <v/>
      </c>
      <c r="AP2445" s="213" t="str">
        <f t="shared" si="1113"/>
        <v/>
      </c>
      <c r="AQ2445" s="215" t="str">
        <f t="shared" si="1114"/>
        <v/>
      </c>
      <c r="AR2445" s="216" t="str">
        <f t="shared" si="1115"/>
        <v>BiK82a1bKWKy08</v>
      </c>
      <c r="AS2445" s="215" t="str">
        <f t="shared" si="1116"/>
        <v/>
      </c>
      <c r="AT2445">
        <f t="shared" si="1117"/>
        <v>14</v>
      </c>
      <c r="AU2445" s="216" t="str">
        <f t="shared" si="1118"/>
        <v>0,15-0,5 MW, Bonusregeln a1, b, y und KWK</v>
      </c>
      <c r="AV2445" s="215" t="str">
        <f t="shared" si="1119"/>
        <v/>
      </c>
      <c r="AW2445" s="216" t="str">
        <f t="shared" si="1120"/>
        <v>Anteil KWK</v>
      </c>
      <c r="AX2445" s="215" t="str">
        <f t="shared" si="1121"/>
        <v/>
      </c>
      <c r="AY2445" t="str">
        <f t="shared" si="1122"/>
        <v/>
      </c>
      <c r="AZ2445" t="str">
        <f t="shared" si="1123"/>
        <v/>
      </c>
    </row>
    <row r="2446" spans="1:52" s="178" customFormat="1" x14ac:dyDescent="0.25">
      <c r="A2446" s="610" t="s">
        <v>4093</v>
      </c>
      <c r="B2446" s="17" t="s">
        <v>5548</v>
      </c>
      <c r="C2446" s="30" t="s">
        <v>5540</v>
      </c>
      <c r="D2446" s="30" t="s">
        <v>7153</v>
      </c>
      <c r="E2446" s="30" t="s">
        <v>4331</v>
      </c>
      <c r="F2446" s="454">
        <f t="shared" si="1130"/>
        <v>21.32</v>
      </c>
      <c r="G2446" s="529">
        <v>21.32</v>
      </c>
      <c r="H2446" s="487">
        <f t="shared" si="1131"/>
        <v>17.059999999999999</v>
      </c>
      <c r="I2446" s="706"/>
      <c r="J2446" s="669" t="s">
        <v>5805</v>
      </c>
      <c r="K2446" s="15"/>
      <c r="L2446"/>
      <c r="M2446" s="49">
        <f t="shared" si="1132"/>
        <v>21.32</v>
      </c>
      <c r="N2446" s="41">
        <v>9.32</v>
      </c>
      <c r="O2446" s="54"/>
      <c r="P2446" t="s">
        <v>1017</v>
      </c>
      <c r="Q2446"/>
      <c r="R2446"/>
      <c r="S2446" t="s">
        <v>4180</v>
      </c>
      <c r="T2446" s="178" t="s">
        <v>4180</v>
      </c>
      <c r="U2446" s="55" t="s">
        <v>1017</v>
      </c>
      <c r="V2446" t="s">
        <v>1017</v>
      </c>
      <c r="W2446" s="65"/>
      <c r="X2446" s="65"/>
      <c r="Y2446"/>
      <c r="Z2446" s="65"/>
      <c r="AA2446" s="12"/>
      <c r="AB2446"/>
      <c r="AC2446" s="65"/>
      <c r="AD2446" s="27"/>
      <c r="AE2446" s="124" t="s">
        <v>1017</v>
      </c>
      <c r="AF2446" s="65"/>
      <c r="AG2446" s="91"/>
      <c r="AH2446" s="212" t="str">
        <f t="shared" si="1135"/>
        <v/>
      </c>
      <c r="AI2446" s="214" t="str">
        <f t="shared" si="1124"/>
        <v/>
      </c>
      <c r="AJ2446" s="214" t="str">
        <f t="shared" si="1125"/>
        <v/>
      </c>
      <c r="AK2446" s="214" t="str">
        <f t="shared" si="1126"/>
        <v/>
      </c>
      <c r="AL2446" s="214" t="str">
        <f t="shared" si="1127"/>
        <v/>
      </c>
      <c r="AM2446" s="214" t="str">
        <f t="shared" si="1128"/>
        <v/>
      </c>
      <c r="AN2446" s="213" t="str">
        <f t="shared" si="1111"/>
        <v/>
      </c>
      <c r="AO2446" s="213" t="str">
        <f t="shared" si="1112"/>
        <v/>
      </c>
      <c r="AP2446" s="213" t="str">
        <f t="shared" si="1113"/>
        <v/>
      </c>
      <c r="AQ2446" s="215" t="str">
        <f t="shared" si="1114"/>
        <v/>
      </c>
      <c r="AR2446" s="216" t="str">
        <f t="shared" si="1115"/>
        <v>BiK82a1bKA3y08</v>
      </c>
      <c r="AS2446" s="215" t="str">
        <f t="shared" si="1116"/>
        <v/>
      </c>
      <c r="AT2446">
        <f t="shared" si="1117"/>
        <v>14</v>
      </c>
      <c r="AU2446" s="216" t="str">
        <f t="shared" si="1118"/>
        <v>0,15-0,5 MW, Bonusregeln a1, b, y und K wenn Anlage 3 erfüllt</v>
      </c>
      <c r="AV2446" s="215" t="str">
        <f t="shared" si="1119"/>
        <v/>
      </c>
      <c r="AW2446" s="216" t="str">
        <f t="shared" si="1120"/>
        <v>Anteil KWK gemäß Anlage 3</v>
      </c>
      <c r="AX2446" s="215" t="str">
        <f t="shared" si="1121"/>
        <v/>
      </c>
      <c r="AY2446" t="str">
        <f t="shared" si="1122"/>
        <v/>
      </c>
      <c r="AZ2446" t="str">
        <f t="shared" si="1123"/>
        <v/>
      </c>
    </row>
    <row r="2447" spans="1:52" x14ac:dyDescent="0.25">
      <c r="A2447" s="610" t="s">
        <v>4094</v>
      </c>
      <c r="B2447" s="17" t="s">
        <v>5548</v>
      </c>
      <c r="C2447" s="17" t="s">
        <v>5540</v>
      </c>
      <c r="D2447" s="30" t="s">
        <v>7154</v>
      </c>
      <c r="E2447" s="17" t="s">
        <v>674</v>
      </c>
      <c r="F2447" s="454">
        <f t="shared" si="1130"/>
        <v>21.32</v>
      </c>
      <c r="G2447" s="529">
        <v>21.32</v>
      </c>
      <c r="H2447" s="487">
        <f t="shared" si="1131"/>
        <v>17.059999999999999</v>
      </c>
      <c r="I2447" s="706"/>
      <c r="J2447" s="669" t="s">
        <v>5805</v>
      </c>
      <c r="K2447" s="15"/>
      <c r="M2447" s="49">
        <f t="shared" si="1132"/>
        <v>21.32</v>
      </c>
      <c r="N2447" s="41">
        <v>9.32</v>
      </c>
      <c r="O2447" s="54"/>
      <c r="P2447" s="15"/>
      <c r="Q2447" t="s">
        <v>1017</v>
      </c>
      <c r="S2447" t="s">
        <v>4180</v>
      </c>
      <c r="T2447" t="s">
        <v>4180</v>
      </c>
      <c r="U2447" s="55" t="s">
        <v>1017</v>
      </c>
      <c r="V2447" t="s">
        <v>1017</v>
      </c>
      <c r="W2447" s="65"/>
      <c r="X2447" s="65"/>
      <c r="Z2447" s="65"/>
      <c r="AA2447" s="12"/>
      <c r="AC2447" s="65"/>
      <c r="AD2447" s="27"/>
      <c r="AE2447" s="124" t="s">
        <v>1017</v>
      </c>
      <c r="AF2447" s="65"/>
      <c r="AG2447" s="91"/>
      <c r="AH2447" s="212" t="str">
        <f t="shared" si="1135"/>
        <v/>
      </c>
      <c r="AI2447" s="214" t="str">
        <f t="shared" si="1124"/>
        <v/>
      </c>
      <c r="AJ2447" s="214" t="str">
        <f t="shared" si="1125"/>
        <v/>
      </c>
      <c r="AK2447" s="214" t="str">
        <f t="shared" si="1126"/>
        <v/>
      </c>
      <c r="AL2447" s="214" t="str">
        <f t="shared" si="1127"/>
        <v/>
      </c>
      <c r="AM2447" s="214" t="str">
        <f t="shared" si="1128"/>
        <v/>
      </c>
      <c r="AN2447" s="213" t="str">
        <f t="shared" si="1111"/>
        <v/>
      </c>
      <c r="AO2447" s="213" t="str">
        <f t="shared" si="1112"/>
        <v/>
      </c>
      <c r="AP2447" s="213" t="str">
        <f t="shared" si="1113"/>
        <v/>
      </c>
      <c r="AQ2447" s="215" t="str">
        <f t="shared" si="1114"/>
        <v/>
      </c>
      <c r="AR2447" s="216" t="str">
        <f t="shared" si="1115"/>
        <v>BiK82a1bK09y08</v>
      </c>
      <c r="AS2447" s="215" t="str">
        <f t="shared" si="1116"/>
        <v/>
      </c>
      <c r="AT2447">
        <f t="shared" si="1117"/>
        <v>14</v>
      </c>
      <c r="AU2447" s="216" t="str">
        <f t="shared" si="1118"/>
        <v>0,15-0,5 MW, Bonusregeln a1, b, y und K erstmals 2009</v>
      </c>
      <c r="AV2447" s="215" t="str">
        <f t="shared" si="1119"/>
        <v/>
      </c>
      <c r="AW2447" s="216" t="str">
        <f t="shared" si="1120"/>
        <v>Anteil KWK, erstmals 2009</v>
      </c>
      <c r="AX2447" s="215" t="str">
        <f t="shared" si="1121"/>
        <v/>
      </c>
      <c r="AY2447" t="str">
        <f t="shared" si="1122"/>
        <v/>
      </c>
      <c r="AZ2447" t="str">
        <f t="shared" si="1123"/>
        <v/>
      </c>
    </row>
    <row r="2448" spans="1:52" x14ac:dyDescent="0.25">
      <c r="A2448" s="610" t="s">
        <v>3268</v>
      </c>
      <c r="B2448" s="17" t="s">
        <v>5548</v>
      </c>
      <c r="C2448" s="17" t="s">
        <v>5540</v>
      </c>
      <c r="D2448" s="30" t="s">
        <v>7155</v>
      </c>
      <c r="E2448" s="30" t="s">
        <v>3567</v>
      </c>
      <c r="F2448" s="454">
        <f t="shared" si="1130"/>
        <v>21.29</v>
      </c>
      <c r="G2448" s="529">
        <v>21.29</v>
      </c>
      <c r="H2448" s="487">
        <f t="shared" si="1131"/>
        <v>17.03</v>
      </c>
      <c r="I2448" s="706"/>
      <c r="J2448" s="669" t="s">
        <v>5805</v>
      </c>
      <c r="K2448" s="15"/>
      <c r="M2448" s="49">
        <f t="shared" si="1132"/>
        <v>21.29</v>
      </c>
      <c r="N2448" s="41">
        <v>9.32</v>
      </c>
      <c r="O2448" s="54"/>
      <c r="P2448" s="15"/>
      <c r="R2448" t="s">
        <v>1017</v>
      </c>
      <c r="S2448" t="s">
        <v>4180</v>
      </c>
      <c r="T2448" t="s">
        <v>4180</v>
      </c>
      <c r="U2448" s="55" t="s">
        <v>1017</v>
      </c>
      <c r="V2448" t="s">
        <v>1017</v>
      </c>
      <c r="W2448" s="65"/>
      <c r="X2448" s="65"/>
      <c r="Z2448" s="65"/>
      <c r="AA2448" s="12"/>
      <c r="AC2448" s="65"/>
      <c r="AD2448" s="27"/>
      <c r="AE2448" s="124" t="s">
        <v>1017</v>
      </c>
      <c r="AF2448" s="65"/>
      <c r="AG2448" s="91"/>
      <c r="AH2448" s="212" t="str">
        <f t="shared" si="1135"/>
        <v>2010</v>
      </c>
      <c r="AI2448" s="214" t="str">
        <f t="shared" si="1124"/>
        <v/>
      </c>
      <c r="AJ2448" s="214" t="str">
        <f t="shared" si="1125"/>
        <v/>
      </c>
      <c r="AK2448" s="214" t="str">
        <f t="shared" si="1126"/>
        <v/>
      </c>
      <c r="AL2448" s="214" t="str">
        <f t="shared" si="1127"/>
        <v/>
      </c>
      <c r="AM2448" s="214" t="str">
        <f t="shared" si="1128"/>
        <v/>
      </c>
      <c r="AN2448" s="213" t="str">
        <f t="shared" si="1111"/>
        <v>2010</v>
      </c>
      <c r="AO2448" s="213" t="str">
        <f t="shared" si="1112"/>
        <v>2010</v>
      </c>
      <c r="AP2448" s="213" t="str">
        <f t="shared" si="1113"/>
        <v>2010</v>
      </c>
      <c r="AQ2448" s="215" t="str">
        <f t="shared" si="1114"/>
        <v/>
      </c>
      <c r="AR2448" s="216" t="str">
        <f t="shared" si="1115"/>
        <v>BiK82a1bK10y08</v>
      </c>
      <c r="AS2448" s="215" t="str">
        <f t="shared" si="1116"/>
        <v/>
      </c>
      <c r="AT2448">
        <f t="shared" si="1117"/>
        <v>14</v>
      </c>
      <c r="AU2448" s="216" t="str">
        <f t="shared" si="1118"/>
        <v>0,15-0,5 MW, Bonusregeln a1, b, y und K erstmals 2010</v>
      </c>
      <c r="AV2448" s="215" t="str">
        <f t="shared" si="1119"/>
        <v/>
      </c>
      <c r="AW2448" s="216" t="str">
        <f t="shared" si="1120"/>
        <v>Anteil KWK, erstmals 2010</v>
      </c>
      <c r="AX2448" s="215" t="str">
        <f t="shared" si="1121"/>
        <v/>
      </c>
      <c r="AY2448" t="str">
        <f t="shared" si="1122"/>
        <v/>
      </c>
      <c r="AZ2448" t="str">
        <f t="shared" si="1123"/>
        <v/>
      </c>
    </row>
    <row r="2449" spans="1:52" x14ac:dyDescent="0.25">
      <c r="A2449" s="610" t="s">
        <v>3473</v>
      </c>
      <c r="B2449" s="17" t="s">
        <v>5548</v>
      </c>
      <c r="C2449" s="17" t="s">
        <v>5540</v>
      </c>
      <c r="D2449" s="30" t="s">
        <v>7156</v>
      </c>
      <c r="E2449" s="30" t="s">
        <v>3055</v>
      </c>
      <c r="F2449" s="454">
        <f t="shared" si="1130"/>
        <v>21.259999999999998</v>
      </c>
      <c r="G2449" s="529">
        <v>21.259999999999998</v>
      </c>
      <c r="H2449" s="487">
        <f t="shared" si="1131"/>
        <v>17.010000000000002</v>
      </c>
      <c r="I2449" s="706"/>
      <c r="J2449" s="669" t="s">
        <v>5805</v>
      </c>
      <c r="K2449" s="15"/>
      <c r="M2449" s="49">
        <f t="shared" si="1132"/>
        <v>21.259999999999998</v>
      </c>
      <c r="N2449" s="41">
        <v>9.32</v>
      </c>
      <c r="O2449" s="54"/>
      <c r="P2449" s="15"/>
      <c r="S2449" t="s">
        <v>1017</v>
      </c>
      <c r="T2449" t="s">
        <v>4180</v>
      </c>
      <c r="U2449" s="55" t="s">
        <v>1017</v>
      </c>
      <c r="V2449" t="s">
        <v>1017</v>
      </c>
      <c r="W2449" s="65"/>
      <c r="X2449" s="65"/>
      <c r="Z2449" s="65"/>
      <c r="AA2449" s="12"/>
      <c r="AC2449" s="65"/>
      <c r="AD2449" s="27"/>
      <c r="AE2449" s="124" t="s">
        <v>1017</v>
      </c>
      <c r="AF2449" s="65"/>
      <c r="AG2449" s="91"/>
      <c r="AH2449" s="212" t="str">
        <f t="shared" si="1135"/>
        <v>2011</v>
      </c>
      <c r="AI2449" s="214" t="str">
        <f t="shared" si="1124"/>
        <v/>
      </c>
      <c r="AJ2449" s="214" t="str">
        <f t="shared" si="1125"/>
        <v/>
      </c>
      <c r="AK2449" s="214" t="str">
        <f t="shared" si="1126"/>
        <v/>
      </c>
      <c r="AL2449" s="214" t="str">
        <f t="shared" si="1127"/>
        <v/>
      </c>
      <c r="AM2449" s="214" t="str">
        <f t="shared" si="1128"/>
        <v/>
      </c>
      <c r="AN2449" s="213" t="str">
        <f t="shared" si="1111"/>
        <v>2011</v>
      </c>
      <c r="AO2449" s="213" t="str">
        <f t="shared" si="1112"/>
        <v>2011</v>
      </c>
      <c r="AP2449" s="213" t="str">
        <f t="shared" si="1113"/>
        <v>2011</v>
      </c>
      <c r="AQ2449" s="215" t="str">
        <f t="shared" si="1114"/>
        <v/>
      </c>
      <c r="AR2449" s="216" t="str">
        <f t="shared" si="1115"/>
        <v>BiK82a1bK11y08</v>
      </c>
      <c r="AS2449" s="215" t="str">
        <f t="shared" si="1116"/>
        <v/>
      </c>
      <c r="AT2449">
        <f t="shared" si="1117"/>
        <v>14</v>
      </c>
      <c r="AU2449" s="216" t="str">
        <f t="shared" si="1118"/>
        <v>0,15-0,5 MW, Bonusregeln a1, b, y und K erstmals 2011</v>
      </c>
      <c r="AV2449" s="215" t="str">
        <f t="shared" si="1119"/>
        <v/>
      </c>
      <c r="AW2449" s="216" t="str">
        <f t="shared" si="1120"/>
        <v>Anteil KWK, erstmals 2011</v>
      </c>
      <c r="AX2449" s="215" t="str">
        <f t="shared" si="1121"/>
        <v/>
      </c>
      <c r="AY2449" t="str">
        <f t="shared" si="1122"/>
        <v>x</v>
      </c>
      <c r="AZ2449" t="str">
        <f t="shared" si="1123"/>
        <v/>
      </c>
    </row>
    <row r="2450" spans="1:52" x14ac:dyDescent="0.25">
      <c r="A2450" s="625" t="s">
        <v>1905</v>
      </c>
      <c r="B2450" s="221" t="s">
        <v>5548</v>
      </c>
      <c r="C2450" s="221" t="s">
        <v>5540</v>
      </c>
      <c r="D2450" s="219" t="s">
        <v>7157</v>
      </c>
      <c r="E2450" s="219" t="s">
        <v>1980</v>
      </c>
      <c r="F2450" s="455">
        <f t="shared" si="1130"/>
        <v>21.23</v>
      </c>
      <c r="G2450" s="530">
        <v>21.23</v>
      </c>
      <c r="H2450" s="488">
        <f t="shared" si="1131"/>
        <v>16.98</v>
      </c>
      <c r="I2450" s="707"/>
      <c r="J2450" s="669" t="s">
        <v>5805</v>
      </c>
      <c r="K2450" s="15"/>
      <c r="M2450" s="49">
        <f t="shared" si="1132"/>
        <v>21.23</v>
      </c>
      <c r="N2450" s="41">
        <v>9.32</v>
      </c>
      <c r="O2450" s="54"/>
      <c r="P2450" s="15"/>
      <c r="S2450" t="s">
        <v>4180</v>
      </c>
      <c r="T2450" t="s">
        <v>1017</v>
      </c>
      <c r="U2450" s="55" t="s">
        <v>1017</v>
      </c>
      <c r="V2450" t="s">
        <v>1017</v>
      </c>
      <c r="W2450" s="65"/>
      <c r="X2450" s="65"/>
      <c r="Z2450" s="65"/>
      <c r="AA2450" s="12"/>
      <c r="AC2450" s="65"/>
      <c r="AD2450" s="27"/>
      <c r="AE2450" s="124" t="s">
        <v>1017</v>
      </c>
      <c r="AF2450" s="65"/>
      <c r="AG2450" s="91"/>
      <c r="AH2450" s="217" t="s">
        <v>4179</v>
      </c>
      <c r="AI2450" s="214" t="str">
        <f t="shared" si="1124"/>
        <v/>
      </c>
      <c r="AJ2450" s="214" t="str">
        <f t="shared" si="1125"/>
        <v/>
      </c>
      <c r="AK2450" s="214" t="str">
        <f t="shared" si="1126"/>
        <v/>
      </c>
      <c r="AL2450" s="214" t="str">
        <f t="shared" si="1127"/>
        <v/>
      </c>
      <c r="AM2450" s="214" t="str">
        <f t="shared" si="1128"/>
        <v/>
      </c>
      <c r="AN2450" s="213" t="str">
        <f t="shared" si="1111"/>
        <v>2012</v>
      </c>
      <c r="AO2450" s="213" t="str">
        <f t="shared" si="1112"/>
        <v>2012</v>
      </c>
      <c r="AP2450" s="213" t="str">
        <f t="shared" si="1113"/>
        <v>2012</v>
      </c>
      <c r="AQ2450" s="215" t="str">
        <f t="shared" si="1114"/>
        <v/>
      </c>
      <c r="AR2450" s="216" t="str">
        <f t="shared" si="1115"/>
        <v>BiK82a1bK12y08</v>
      </c>
      <c r="AS2450" s="215" t="str">
        <f t="shared" si="1116"/>
        <v/>
      </c>
      <c r="AT2450">
        <f t="shared" si="1117"/>
        <v>14</v>
      </c>
      <c r="AU2450" s="216" t="str">
        <f t="shared" si="1118"/>
        <v>0,15-0,5 MW, Bonusregeln a1, b, y und K erstmals 2012</v>
      </c>
      <c r="AV2450" s="215" t="str">
        <f t="shared" si="1119"/>
        <v/>
      </c>
      <c r="AW2450" s="216" t="str">
        <f t="shared" si="1120"/>
        <v>Anteil KWK, erstmals 2012</v>
      </c>
      <c r="AX2450" s="215" t="str">
        <f t="shared" si="1121"/>
        <v/>
      </c>
      <c r="AY2450" t="str">
        <f t="shared" si="1122"/>
        <v/>
      </c>
      <c r="AZ2450" t="str">
        <f t="shared" si="1123"/>
        <v>x</v>
      </c>
    </row>
    <row r="2451" spans="1:52" x14ac:dyDescent="0.25">
      <c r="A2451" s="610" t="s">
        <v>2224</v>
      </c>
      <c r="B2451" s="30" t="s">
        <v>5548</v>
      </c>
      <c r="C2451" s="30" t="s">
        <v>5540</v>
      </c>
      <c r="D2451" s="30" t="s">
        <v>7158</v>
      </c>
      <c r="E2451" s="30" t="s">
        <v>4810</v>
      </c>
      <c r="F2451" s="454">
        <f t="shared" si="1130"/>
        <v>18.32</v>
      </c>
      <c r="G2451" s="529">
        <v>18.32</v>
      </c>
      <c r="H2451" s="487">
        <f t="shared" si="1131"/>
        <v>14.66</v>
      </c>
      <c r="I2451" s="706"/>
      <c r="J2451" s="669" t="s">
        <v>5805</v>
      </c>
      <c r="K2451" s="15"/>
      <c r="M2451" s="49">
        <f t="shared" si="1132"/>
        <v>18.32</v>
      </c>
      <c r="N2451" s="41">
        <v>9.32</v>
      </c>
      <c r="O2451" s="186"/>
      <c r="P2451" s="177"/>
      <c r="Q2451" s="178"/>
      <c r="R2451" s="178"/>
      <c r="S2451" s="178" t="s">
        <v>4180</v>
      </c>
      <c r="T2451" t="s">
        <v>4180</v>
      </c>
      <c r="U2451" s="179"/>
      <c r="V2451" s="178"/>
      <c r="W2451" s="180"/>
      <c r="X2451" s="180"/>
      <c r="Y2451" s="178" t="s">
        <v>1017</v>
      </c>
      <c r="Z2451" s="180"/>
      <c r="AA2451" s="184"/>
      <c r="AB2451" s="178"/>
      <c r="AC2451" s="180"/>
      <c r="AD2451" s="182"/>
      <c r="AE2451" s="200" t="s">
        <v>1017</v>
      </c>
      <c r="AF2451" s="180"/>
      <c r="AG2451" s="201"/>
      <c r="AH2451" s="212" t="str">
        <f t="shared" ref="AH2451:AH2456" si="1136">IF(ISERROR(SEARCH("K erstmals 201",D2451)),"",RIGHT(D2451,4))</f>
        <v/>
      </c>
      <c r="AI2451" s="214" t="str">
        <f t="shared" si="1124"/>
        <v/>
      </c>
      <c r="AJ2451" s="214" t="str">
        <f t="shared" si="1125"/>
        <v/>
      </c>
      <c r="AK2451" s="214" t="str">
        <f t="shared" si="1126"/>
        <v/>
      </c>
      <c r="AL2451" s="214" t="str">
        <f t="shared" si="1127"/>
        <v/>
      </c>
      <c r="AM2451" s="214" t="str">
        <f t="shared" si="1128"/>
        <v/>
      </c>
      <c r="AN2451" s="213" t="str">
        <f t="shared" si="1111"/>
        <v/>
      </c>
      <c r="AO2451" s="213" t="str">
        <f t="shared" si="1112"/>
        <v/>
      </c>
      <c r="AP2451" s="213" t="str">
        <f t="shared" si="1113"/>
        <v/>
      </c>
      <c r="AQ2451" s="215" t="str">
        <f t="shared" si="1114"/>
        <v/>
      </c>
      <c r="AR2451" s="216" t="str">
        <f t="shared" si="1115"/>
        <v>BiK82Gb-----08</v>
      </c>
      <c r="AS2451" s="215" t="str">
        <f t="shared" si="1116"/>
        <v/>
      </c>
      <c r="AT2451">
        <f t="shared" si="1117"/>
        <v>14</v>
      </c>
      <c r="AU2451" s="216" t="str">
        <f t="shared" si="1118"/>
        <v>0,15-0,5 MW, Bonusregeln G, b</v>
      </c>
      <c r="AV2451" s="215" t="str">
        <f t="shared" si="1119"/>
        <v/>
      </c>
      <c r="AW2451" s="216" t="str">
        <f t="shared" si="1120"/>
        <v>Anteil Nicht-KWK</v>
      </c>
      <c r="AX2451" s="215" t="str">
        <f t="shared" si="1121"/>
        <v/>
      </c>
      <c r="AY2451" t="str">
        <f t="shared" si="1122"/>
        <v/>
      </c>
      <c r="AZ2451" t="str">
        <f t="shared" si="1123"/>
        <v/>
      </c>
    </row>
    <row r="2452" spans="1:52" s="178" customFormat="1" x14ac:dyDescent="0.25">
      <c r="A2452" s="610" t="s">
        <v>2225</v>
      </c>
      <c r="B2452" s="30" t="s">
        <v>5548</v>
      </c>
      <c r="C2452" s="30" t="s">
        <v>5540</v>
      </c>
      <c r="D2452" s="30" t="s">
        <v>7159</v>
      </c>
      <c r="E2452" s="30" t="s">
        <v>4812</v>
      </c>
      <c r="F2452" s="454">
        <f t="shared" si="1130"/>
        <v>20.32</v>
      </c>
      <c r="G2452" s="529">
        <v>20.32</v>
      </c>
      <c r="H2452" s="487">
        <f t="shared" si="1131"/>
        <v>16.260000000000002</v>
      </c>
      <c r="I2452" s="706"/>
      <c r="J2452" s="669" t="s">
        <v>5805</v>
      </c>
      <c r="K2452" s="15"/>
      <c r="L2452"/>
      <c r="M2452" s="49">
        <f t="shared" si="1132"/>
        <v>20.32</v>
      </c>
      <c r="N2452" s="41">
        <v>9.32</v>
      </c>
      <c r="O2452" s="186" t="s">
        <v>1017</v>
      </c>
      <c r="P2452" s="177"/>
      <c r="S2452" s="178" t="s">
        <v>4180</v>
      </c>
      <c r="T2452" s="178" t="s">
        <v>4180</v>
      </c>
      <c r="U2452" s="179"/>
      <c r="W2452" s="180"/>
      <c r="X2452" s="180"/>
      <c r="Y2452" s="178" t="s">
        <v>1017</v>
      </c>
      <c r="Z2452" s="180"/>
      <c r="AA2452" s="184"/>
      <c r="AC2452" s="180"/>
      <c r="AD2452" s="182"/>
      <c r="AE2452" s="200" t="s">
        <v>1017</v>
      </c>
      <c r="AF2452" s="180"/>
      <c r="AG2452" s="201"/>
      <c r="AH2452" s="212" t="str">
        <f t="shared" si="1136"/>
        <v/>
      </c>
      <c r="AI2452" s="214" t="str">
        <f t="shared" si="1124"/>
        <v/>
      </c>
      <c r="AJ2452" s="214" t="str">
        <f t="shared" si="1125"/>
        <v/>
      </c>
      <c r="AK2452" s="214" t="str">
        <f t="shared" si="1126"/>
        <v/>
      </c>
      <c r="AL2452" s="214" t="str">
        <f t="shared" si="1127"/>
        <v/>
      </c>
      <c r="AM2452" s="214" t="str">
        <f t="shared" si="1128"/>
        <v/>
      </c>
      <c r="AN2452" s="213" t="str">
        <f t="shared" si="1111"/>
        <v/>
      </c>
      <c r="AO2452" s="213" t="str">
        <f t="shared" si="1112"/>
        <v/>
      </c>
      <c r="AP2452" s="213" t="str">
        <f t="shared" si="1113"/>
        <v/>
      </c>
      <c r="AQ2452" s="215" t="str">
        <f t="shared" si="1114"/>
        <v/>
      </c>
      <c r="AR2452" s="216" t="str">
        <f t="shared" si="1115"/>
        <v>BiK82GbKWK--08</v>
      </c>
      <c r="AS2452" s="215" t="str">
        <f t="shared" si="1116"/>
        <v/>
      </c>
      <c r="AT2452">
        <f t="shared" si="1117"/>
        <v>14</v>
      </c>
      <c r="AU2452" s="216" t="str">
        <f t="shared" si="1118"/>
        <v>0,15-0,5 MW, Bonusregeln G, b und KWK</v>
      </c>
      <c r="AV2452" s="215" t="str">
        <f t="shared" si="1119"/>
        <v/>
      </c>
      <c r="AW2452" s="216" t="str">
        <f t="shared" si="1120"/>
        <v>Anteil KWK</v>
      </c>
      <c r="AX2452" s="215" t="str">
        <f t="shared" si="1121"/>
        <v/>
      </c>
      <c r="AY2452" t="str">
        <f t="shared" si="1122"/>
        <v/>
      </c>
      <c r="AZ2452" t="str">
        <f t="shared" si="1123"/>
        <v/>
      </c>
    </row>
    <row r="2453" spans="1:52" s="178" customFormat="1" x14ac:dyDescent="0.25">
      <c r="A2453" s="610" t="s">
        <v>2226</v>
      </c>
      <c r="B2453" s="30" t="s">
        <v>5548</v>
      </c>
      <c r="C2453" s="30" t="s">
        <v>5540</v>
      </c>
      <c r="D2453" s="30" t="s">
        <v>7160</v>
      </c>
      <c r="E2453" s="30" t="s">
        <v>4331</v>
      </c>
      <c r="F2453" s="454">
        <f t="shared" si="1130"/>
        <v>21.32</v>
      </c>
      <c r="G2453" s="529">
        <v>21.32</v>
      </c>
      <c r="H2453" s="487">
        <f t="shared" si="1131"/>
        <v>17.059999999999999</v>
      </c>
      <c r="I2453" s="706"/>
      <c r="J2453" s="669" t="s">
        <v>5805</v>
      </c>
      <c r="K2453" s="15"/>
      <c r="L2453"/>
      <c r="M2453" s="49">
        <f t="shared" si="1132"/>
        <v>21.32</v>
      </c>
      <c r="N2453" s="41">
        <v>9.32</v>
      </c>
      <c r="O2453" s="186"/>
      <c r="P2453" s="178" t="s">
        <v>1017</v>
      </c>
      <c r="S2453" s="178" t="s">
        <v>4180</v>
      </c>
      <c r="T2453" s="178" t="s">
        <v>4180</v>
      </c>
      <c r="U2453" s="179"/>
      <c r="W2453" s="180"/>
      <c r="X2453" s="180"/>
      <c r="Y2453" s="178" t="s">
        <v>1017</v>
      </c>
      <c r="Z2453" s="180"/>
      <c r="AA2453" s="184"/>
      <c r="AC2453" s="180"/>
      <c r="AD2453" s="182"/>
      <c r="AE2453" s="200" t="s">
        <v>1017</v>
      </c>
      <c r="AF2453" s="180"/>
      <c r="AG2453" s="201"/>
      <c r="AH2453" s="212" t="str">
        <f t="shared" si="1136"/>
        <v/>
      </c>
      <c r="AI2453" s="214" t="str">
        <f t="shared" si="1124"/>
        <v/>
      </c>
      <c r="AJ2453" s="214" t="str">
        <f t="shared" si="1125"/>
        <v/>
      </c>
      <c r="AK2453" s="214" t="str">
        <f t="shared" si="1126"/>
        <v/>
      </c>
      <c r="AL2453" s="214" t="str">
        <f t="shared" si="1127"/>
        <v/>
      </c>
      <c r="AM2453" s="214" t="str">
        <f t="shared" si="1128"/>
        <v/>
      </c>
      <c r="AN2453" s="213" t="str">
        <f t="shared" si="1111"/>
        <v/>
      </c>
      <c r="AO2453" s="213" t="str">
        <f t="shared" si="1112"/>
        <v/>
      </c>
      <c r="AP2453" s="213" t="str">
        <f t="shared" si="1113"/>
        <v/>
      </c>
      <c r="AQ2453" s="215" t="str">
        <f t="shared" si="1114"/>
        <v/>
      </c>
      <c r="AR2453" s="216" t="str">
        <f t="shared" si="1115"/>
        <v>BiK82GbKA3--08</v>
      </c>
      <c r="AS2453" s="215" t="str">
        <f t="shared" si="1116"/>
        <v/>
      </c>
      <c r="AT2453">
        <f t="shared" si="1117"/>
        <v>14</v>
      </c>
      <c r="AU2453" s="216" t="str">
        <f t="shared" si="1118"/>
        <v>0,15-0,5 MW, Bonusregeln G, b und K wenn Anlage 3 erfüllt</v>
      </c>
      <c r="AV2453" s="215" t="str">
        <f t="shared" si="1119"/>
        <v/>
      </c>
      <c r="AW2453" s="216" t="str">
        <f t="shared" si="1120"/>
        <v>Anteil KWK gemäß Anlage 3</v>
      </c>
      <c r="AX2453" s="215" t="str">
        <f t="shared" si="1121"/>
        <v/>
      </c>
      <c r="AY2453" t="str">
        <f t="shared" si="1122"/>
        <v/>
      </c>
      <c r="AZ2453" t="str">
        <f t="shared" si="1123"/>
        <v/>
      </c>
    </row>
    <row r="2454" spans="1:52" s="178" customFormat="1" x14ac:dyDescent="0.25">
      <c r="A2454" s="610" t="s">
        <v>2227</v>
      </c>
      <c r="B2454" s="30" t="s">
        <v>5548</v>
      </c>
      <c r="C2454" s="30" t="s">
        <v>5540</v>
      </c>
      <c r="D2454" s="30" t="s">
        <v>7161</v>
      </c>
      <c r="E2454" s="30" t="s">
        <v>674</v>
      </c>
      <c r="F2454" s="454">
        <f t="shared" si="1130"/>
        <v>21.32</v>
      </c>
      <c r="G2454" s="529">
        <v>21.32</v>
      </c>
      <c r="H2454" s="487">
        <f t="shared" si="1131"/>
        <v>17.059999999999999</v>
      </c>
      <c r="I2454" s="706"/>
      <c r="J2454" s="669" t="s">
        <v>5805</v>
      </c>
      <c r="K2454" s="15"/>
      <c r="L2454"/>
      <c r="M2454" s="49">
        <f t="shared" si="1132"/>
        <v>21.32</v>
      </c>
      <c r="N2454" s="41">
        <v>9.32</v>
      </c>
      <c r="O2454" s="186"/>
      <c r="P2454" s="177"/>
      <c r="Q2454" s="178" t="s">
        <v>1017</v>
      </c>
      <c r="S2454" s="178" t="s">
        <v>4180</v>
      </c>
      <c r="T2454" s="178" t="s">
        <v>4180</v>
      </c>
      <c r="U2454" s="179"/>
      <c r="W2454" s="180"/>
      <c r="X2454" s="180"/>
      <c r="Y2454" s="178" t="s">
        <v>1017</v>
      </c>
      <c r="Z2454" s="180"/>
      <c r="AA2454" s="184"/>
      <c r="AC2454" s="180"/>
      <c r="AD2454" s="182"/>
      <c r="AE2454" s="200" t="s">
        <v>1017</v>
      </c>
      <c r="AF2454" s="180"/>
      <c r="AG2454" s="201"/>
      <c r="AH2454" s="212" t="str">
        <f t="shared" si="1136"/>
        <v/>
      </c>
      <c r="AI2454" s="214" t="str">
        <f t="shared" si="1124"/>
        <v/>
      </c>
      <c r="AJ2454" s="214" t="str">
        <f t="shared" si="1125"/>
        <v/>
      </c>
      <c r="AK2454" s="214" t="str">
        <f t="shared" si="1126"/>
        <v/>
      </c>
      <c r="AL2454" s="214" t="str">
        <f t="shared" si="1127"/>
        <v/>
      </c>
      <c r="AM2454" s="214" t="str">
        <f t="shared" si="1128"/>
        <v/>
      </c>
      <c r="AN2454" s="213" t="str">
        <f t="shared" si="1111"/>
        <v/>
      </c>
      <c r="AO2454" s="213" t="str">
        <f t="shared" si="1112"/>
        <v/>
      </c>
      <c r="AP2454" s="213" t="str">
        <f t="shared" si="1113"/>
        <v/>
      </c>
      <c r="AQ2454" s="215" t="str">
        <f t="shared" si="1114"/>
        <v/>
      </c>
      <c r="AR2454" s="216" t="str">
        <f t="shared" si="1115"/>
        <v>BiK82GbK09--08</v>
      </c>
      <c r="AS2454" s="215" t="str">
        <f t="shared" si="1116"/>
        <v/>
      </c>
      <c r="AT2454">
        <f t="shared" si="1117"/>
        <v>14</v>
      </c>
      <c r="AU2454" s="216" t="str">
        <f t="shared" si="1118"/>
        <v>0,15-0,5 MW, Bonusregeln G, b und K erstmals 2009</v>
      </c>
      <c r="AV2454" s="215" t="str">
        <f t="shared" si="1119"/>
        <v/>
      </c>
      <c r="AW2454" s="216" t="str">
        <f t="shared" si="1120"/>
        <v>Anteil KWK, erstmals 2009</v>
      </c>
      <c r="AX2454" s="215" t="str">
        <f t="shared" si="1121"/>
        <v/>
      </c>
      <c r="AY2454" t="str">
        <f t="shared" si="1122"/>
        <v/>
      </c>
      <c r="AZ2454" t="str">
        <f t="shared" si="1123"/>
        <v/>
      </c>
    </row>
    <row r="2455" spans="1:52" s="178" customFormat="1" x14ac:dyDescent="0.25">
      <c r="A2455" s="610" t="s">
        <v>3269</v>
      </c>
      <c r="B2455" s="30" t="s">
        <v>5548</v>
      </c>
      <c r="C2455" s="30" t="s">
        <v>5540</v>
      </c>
      <c r="D2455" s="30" t="s">
        <v>7162</v>
      </c>
      <c r="E2455" s="30" t="s">
        <v>3567</v>
      </c>
      <c r="F2455" s="454">
        <f t="shared" si="1130"/>
        <v>21.29</v>
      </c>
      <c r="G2455" s="529">
        <v>21.29</v>
      </c>
      <c r="H2455" s="487">
        <f t="shared" si="1131"/>
        <v>17.03</v>
      </c>
      <c r="I2455" s="706"/>
      <c r="J2455" s="669" t="s">
        <v>5805</v>
      </c>
      <c r="K2455" s="15"/>
      <c r="L2455"/>
      <c r="M2455" s="49">
        <f t="shared" si="1132"/>
        <v>21.29</v>
      </c>
      <c r="N2455" s="41">
        <v>9.32</v>
      </c>
      <c r="O2455" s="186"/>
      <c r="P2455" s="177"/>
      <c r="R2455" s="178" t="s">
        <v>1017</v>
      </c>
      <c r="S2455" s="178" t="s">
        <v>4180</v>
      </c>
      <c r="T2455" s="178" t="s">
        <v>4180</v>
      </c>
      <c r="U2455" s="179"/>
      <c r="W2455" s="180"/>
      <c r="X2455" s="180"/>
      <c r="Y2455" s="178" t="s">
        <v>1017</v>
      </c>
      <c r="Z2455" s="180"/>
      <c r="AA2455" s="184"/>
      <c r="AC2455" s="180"/>
      <c r="AD2455" s="182"/>
      <c r="AE2455" s="200" t="s">
        <v>1017</v>
      </c>
      <c r="AF2455" s="180"/>
      <c r="AG2455" s="201"/>
      <c r="AH2455" s="212" t="str">
        <f t="shared" si="1136"/>
        <v>2010</v>
      </c>
      <c r="AI2455" s="214" t="str">
        <f t="shared" si="1124"/>
        <v/>
      </c>
      <c r="AJ2455" s="214" t="str">
        <f t="shared" si="1125"/>
        <v/>
      </c>
      <c r="AK2455" s="214" t="str">
        <f t="shared" si="1126"/>
        <v/>
      </c>
      <c r="AL2455" s="214" t="str">
        <f t="shared" si="1127"/>
        <v/>
      </c>
      <c r="AM2455" s="214" t="str">
        <f t="shared" si="1128"/>
        <v/>
      </c>
      <c r="AN2455" s="213" t="str">
        <f t="shared" si="1111"/>
        <v>2010</v>
      </c>
      <c r="AO2455" s="213" t="str">
        <f t="shared" si="1112"/>
        <v>2010</v>
      </c>
      <c r="AP2455" s="213" t="str">
        <f t="shared" si="1113"/>
        <v>2010</v>
      </c>
      <c r="AQ2455" s="215" t="str">
        <f t="shared" si="1114"/>
        <v/>
      </c>
      <c r="AR2455" s="216" t="str">
        <f t="shared" si="1115"/>
        <v>BiK82GbK10--08</v>
      </c>
      <c r="AS2455" s="215" t="str">
        <f t="shared" si="1116"/>
        <v/>
      </c>
      <c r="AT2455">
        <f t="shared" si="1117"/>
        <v>14</v>
      </c>
      <c r="AU2455" s="216" t="str">
        <f t="shared" si="1118"/>
        <v>0,15-0,5 MW, Bonusregeln G, b und K erstmals 2010</v>
      </c>
      <c r="AV2455" s="215" t="str">
        <f t="shared" si="1119"/>
        <v/>
      </c>
      <c r="AW2455" s="216" t="str">
        <f t="shared" si="1120"/>
        <v>Anteil KWK, erstmals 2010</v>
      </c>
      <c r="AX2455" s="215" t="str">
        <f t="shared" si="1121"/>
        <v/>
      </c>
      <c r="AY2455" t="str">
        <f t="shared" si="1122"/>
        <v/>
      </c>
      <c r="AZ2455" t="str">
        <f t="shared" si="1123"/>
        <v/>
      </c>
    </row>
    <row r="2456" spans="1:52" s="178" customFormat="1" x14ac:dyDescent="0.25">
      <c r="A2456" s="610" t="s">
        <v>3474</v>
      </c>
      <c r="B2456" s="30" t="s">
        <v>5548</v>
      </c>
      <c r="C2456" s="30" t="s">
        <v>5540</v>
      </c>
      <c r="D2456" s="30" t="s">
        <v>7163</v>
      </c>
      <c r="E2456" s="30" t="s">
        <v>3055</v>
      </c>
      <c r="F2456" s="454">
        <f t="shared" si="1130"/>
        <v>21.259999999999998</v>
      </c>
      <c r="G2456" s="529">
        <v>21.259999999999998</v>
      </c>
      <c r="H2456" s="487">
        <f t="shared" si="1131"/>
        <v>17.010000000000002</v>
      </c>
      <c r="I2456" s="706"/>
      <c r="J2456" s="669" t="s">
        <v>5805</v>
      </c>
      <c r="K2456" s="15"/>
      <c r="L2456"/>
      <c r="M2456" s="49">
        <f t="shared" si="1132"/>
        <v>21.259999999999998</v>
      </c>
      <c r="N2456" s="41">
        <v>9.32</v>
      </c>
      <c r="O2456" s="186"/>
      <c r="P2456" s="177"/>
      <c r="S2456" s="178" t="s">
        <v>1017</v>
      </c>
      <c r="T2456" s="178" t="s">
        <v>4180</v>
      </c>
      <c r="U2456" s="179"/>
      <c r="W2456" s="180"/>
      <c r="X2456" s="180"/>
      <c r="Y2456" s="178" t="s">
        <v>1017</v>
      </c>
      <c r="Z2456" s="180"/>
      <c r="AA2456" s="184"/>
      <c r="AC2456" s="180"/>
      <c r="AD2456" s="182"/>
      <c r="AE2456" s="200" t="s">
        <v>1017</v>
      </c>
      <c r="AF2456" s="180"/>
      <c r="AG2456" s="201"/>
      <c r="AH2456" s="212" t="str">
        <f t="shared" si="1136"/>
        <v>2011</v>
      </c>
      <c r="AI2456" s="214" t="str">
        <f t="shared" si="1124"/>
        <v/>
      </c>
      <c r="AJ2456" s="214" t="str">
        <f t="shared" si="1125"/>
        <v/>
      </c>
      <c r="AK2456" s="214" t="str">
        <f t="shared" si="1126"/>
        <v/>
      </c>
      <c r="AL2456" s="214" t="str">
        <f t="shared" si="1127"/>
        <v/>
      </c>
      <c r="AM2456" s="214" t="str">
        <f t="shared" si="1128"/>
        <v/>
      </c>
      <c r="AN2456" s="213" t="str">
        <f t="shared" si="1111"/>
        <v>2011</v>
      </c>
      <c r="AO2456" s="213" t="str">
        <f t="shared" si="1112"/>
        <v>2011</v>
      </c>
      <c r="AP2456" s="213" t="str">
        <f t="shared" si="1113"/>
        <v>2011</v>
      </c>
      <c r="AQ2456" s="215" t="str">
        <f t="shared" si="1114"/>
        <v/>
      </c>
      <c r="AR2456" s="216" t="str">
        <f t="shared" si="1115"/>
        <v>BiK82GbK11--08</v>
      </c>
      <c r="AS2456" s="215" t="str">
        <f t="shared" si="1116"/>
        <v/>
      </c>
      <c r="AT2456">
        <f t="shared" si="1117"/>
        <v>14</v>
      </c>
      <c r="AU2456" s="216" t="str">
        <f t="shared" si="1118"/>
        <v>0,15-0,5 MW, Bonusregeln G, b und K erstmals 2011</v>
      </c>
      <c r="AV2456" s="215" t="str">
        <f t="shared" si="1119"/>
        <v/>
      </c>
      <c r="AW2456" s="216" t="str">
        <f t="shared" si="1120"/>
        <v>Anteil KWK, erstmals 2011</v>
      </c>
      <c r="AX2456" s="215" t="str">
        <f t="shared" si="1121"/>
        <v/>
      </c>
      <c r="AY2456" t="str">
        <f t="shared" si="1122"/>
        <v>x</v>
      </c>
      <c r="AZ2456" t="str">
        <f t="shared" si="1123"/>
        <v/>
      </c>
    </row>
    <row r="2457" spans="1:52" s="178" customFormat="1" x14ac:dyDescent="0.25">
      <c r="A2457" s="625" t="s">
        <v>1906</v>
      </c>
      <c r="B2457" s="219" t="s">
        <v>5548</v>
      </c>
      <c r="C2457" s="219" t="s">
        <v>5540</v>
      </c>
      <c r="D2457" s="219" t="s">
        <v>7164</v>
      </c>
      <c r="E2457" s="219" t="s">
        <v>1980</v>
      </c>
      <c r="F2457" s="455">
        <f t="shared" si="1130"/>
        <v>21.23</v>
      </c>
      <c r="G2457" s="530">
        <v>21.23</v>
      </c>
      <c r="H2457" s="488">
        <f t="shared" si="1131"/>
        <v>16.98</v>
      </c>
      <c r="I2457" s="707"/>
      <c r="J2457" s="669" t="s">
        <v>5805</v>
      </c>
      <c r="K2457" s="15"/>
      <c r="L2457"/>
      <c r="M2457" s="49">
        <f t="shared" si="1132"/>
        <v>21.23</v>
      </c>
      <c r="N2457" s="41">
        <v>9.32</v>
      </c>
      <c r="O2457" s="186"/>
      <c r="P2457" s="177"/>
      <c r="S2457" s="178" t="s">
        <v>4180</v>
      </c>
      <c r="T2457" s="178" t="s">
        <v>1017</v>
      </c>
      <c r="U2457" s="179"/>
      <c r="W2457" s="180"/>
      <c r="X2457" s="180"/>
      <c r="Y2457" s="178" t="s">
        <v>1017</v>
      </c>
      <c r="Z2457" s="180"/>
      <c r="AA2457" s="184"/>
      <c r="AC2457" s="180"/>
      <c r="AD2457" s="182"/>
      <c r="AE2457" s="200" t="s">
        <v>1017</v>
      </c>
      <c r="AF2457" s="180"/>
      <c r="AG2457" s="201"/>
      <c r="AH2457" s="217" t="s">
        <v>4179</v>
      </c>
      <c r="AI2457" s="214" t="str">
        <f t="shared" si="1124"/>
        <v/>
      </c>
      <c r="AJ2457" s="214" t="str">
        <f t="shared" si="1125"/>
        <v/>
      </c>
      <c r="AK2457" s="214" t="str">
        <f t="shared" si="1126"/>
        <v/>
      </c>
      <c r="AL2457" s="214" t="str">
        <f t="shared" si="1127"/>
        <v/>
      </c>
      <c r="AM2457" s="214" t="str">
        <f t="shared" si="1128"/>
        <v/>
      </c>
      <c r="AN2457" s="213" t="str">
        <f t="shared" si="1111"/>
        <v>2012</v>
      </c>
      <c r="AO2457" s="213" t="str">
        <f t="shared" si="1112"/>
        <v>2012</v>
      </c>
      <c r="AP2457" s="213" t="str">
        <f t="shared" si="1113"/>
        <v>2012</v>
      </c>
      <c r="AQ2457" s="215" t="str">
        <f t="shared" si="1114"/>
        <v/>
      </c>
      <c r="AR2457" s="216" t="str">
        <f t="shared" si="1115"/>
        <v>BiK82GbK12--08</v>
      </c>
      <c r="AS2457" s="215" t="str">
        <f t="shared" si="1116"/>
        <v/>
      </c>
      <c r="AT2457">
        <f t="shared" si="1117"/>
        <v>14</v>
      </c>
      <c r="AU2457" s="216" t="str">
        <f t="shared" si="1118"/>
        <v>0,15-0,5 MW, Bonusregeln G, b und K erstmals 2012</v>
      </c>
      <c r="AV2457" s="215" t="str">
        <f t="shared" si="1119"/>
        <v/>
      </c>
      <c r="AW2457" s="216" t="str">
        <f t="shared" si="1120"/>
        <v>Anteil KWK, erstmals 2012</v>
      </c>
      <c r="AX2457" s="215" t="str">
        <f t="shared" si="1121"/>
        <v/>
      </c>
      <c r="AY2457" t="str">
        <f t="shared" si="1122"/>
        <v/>
      </c>
      <c r="AZ2457" t="str">
        <f t="shared" si="1123"/>
        <v>x</v>
      </c>
    </row>
    <row r="2458" spans="1:52" s="178" customFormat="1" x14ac:dyDescent="0.25">
      <c r="A2458" s="610" t="s">
        <v>2228</v>
      </c>
      <c r="B2458" s="30" t="s">
        <v>5548</v>
      </c>
      <c r="C2458" s="30" t="s">
        <v>5540</v>
      </c>
      <c r="D2458" s="30" t="s">
        <v>7165</v>
      </c>
      <c r="E2458" s="30" t="s">
        <v>4810</v>
      </c>
      <c r="F2458" s="454">
        <f t="shared" si="1130"/>
        <v>19.32</v>
      </c>
      <c r="G2458" s="529">
        <v>19.32</v>
      </c>
      <c r="H2458" s="487">
        <f t="shared" si="1131"/>
        <v>15.46</v>
      </c>
      <c r="I2458" s="706"/>
      <c r="J2458" s="669" t="s">
        <v>5805</v>
      </c>
      <c r="K2458" s="15"/>
      <c r="L2458"/>
      <c r="M2458" s="49">
        <f t="shared" si="1132"/>
        <v>19.32</v>
      </c>
      <c r="N2458" s="41">
        <v>9.32</v>
      </c>
      <c r="O2458" s="187"/>
      <c r="P2458" s="183"/>
      <c r="Q2458" s="184"/>
      <c r="R2458" s="184"/>
      <c r="S2458" s="184" t="s">
        <v>4180</v>
      </c>
      <c r="T2458" s="178" t="s">
        <v>4180</v>
      </c>
      <c r="U2458" s="185" t="s">
        <v>1017</v>
      </c>
      <c r="V2458" s="184"/>
      <c r="W2458" s="180"/>
      <c r="X2458" s="180"/>
      <c r="Y2458" s="184" t="s">
        <v>1017</v>
      </c>
      <c r="Z2458" s="180"/>
      <c r="AA2458" s="184"/>
      <c r="AB2458" s="184"/>
      <c r="AC2458" s="180"/>
      <c r="AD2458" s="182"/>
      <c r="AE2458" s="181" t="s">
        <v>1017</v>
      </c>
      <c r="AF2458" s="180"/>
      <c r="AG2458" s="201"/>
      <c r="AH2458" s="212" t="str">
        <f t="shared" ref="AH2458:AH2463" si="1137">IF(ISERROR(SEARCH("K erstmals 201",D2458)),"",RIGHT(D2458,4))</f>
        <v/>
      </c>
      <c r="AI2458" s="214" t="str">
        <f t="shared" si="1124"/>
        <v/>
      </c>
      <c r="AJ2458" s="214" t="str">
        <f t="shared" si="1125"/>
        <v/>
      </c>
      <c r="AK2458" s="214" t="str">
        <f t="shared" si="1126"/>
        <v/>
      </c>
      <c r="AL2458" s="214" t="str">
        <f t="shared" si="1127"/>
        <v/>
      </c>
      <c r="AM2458" s="214" t="str">
        <f t="shared" si="1128"/>
        <v/>
      </c>
      <c r="AN2458" s="213" t="str">
        <f t="shared" si="1111"/>
        <v/>
      </c>
      <c r="AO2458" s="213" t="str">
        <f t="shared" si="1112"/>
        <v/>
      </c>
      <c r="AP2458" s="213" t="str">
        <f t="shared" si="1113"/>
        <v/>
      </c>
      <c r="AQ2458" s="215" t="str">
        <f t="shared" si="1114"/>
        <v/>
      </c>
      <c r="AR2458" s="216" t="str">
        <f t="shared" si="1115"/>
        <v>BiK82Gby----08</v>
      </c>
      <c r="AS2458" s="215" t="str">
        <f t="shared" si="1116"/>
        <v/>
      </c>
      <c r="AT2458">
        <f t="shared" si="1117"/>
        <v>14</v>
      </c>
      <c r="AU2458" s="216" t="str">
        <f t="shared" si="1118"/>
        <v>0,15-0,5 MW, Bonusregeln G, y, b</v>
      </c>
      <c r="AV2458" s="215" t="str">
        <f t="shared" si="1119"/>
        <v/>
      </c>
      <c r="AW2458" s="216" t="str">
        <f t="shared" si="1120"/>
        <v>Anteil Nicht-KWK</v>
      </c>
      <c r="AX2458" s="215" t="str">
        <f t="shared" si="1121"/>
        <v/>
      </c>
      <c r="AY2458" t="str">
        <f t="shared" si="1122"/>
        <v/>
      </c>
      <c r="AZ2458" t="str">
        <f t="shared" si="1123"/>
        <v/>
      </c>
    </row>
    <row r="2459" spans="1:52" s="178" customFormat="1" x14ac:dyDescent="0.25">
      <c r="A2459" s="610" t="s">
        <v>2229</v>
      </c>
      <c r="B2459" s="30" t="s">
        <v>5548</v>
      </c>
      <c r="C2459" s="30" t="s">
        <v>5540</v>
      </c>
      <c r="D2459" s="30" t="s">
        <v>7166</v>
      </c>
      <c r="E2459" s="30" t="s">
        <v>4812</v>
      </c>
      <c r="F2459" s="454">
        <f t="shared" si="1130"/>
        <v>21.32</v>
      </c>
      <c r="G2459" s="529">
        <v>21.32</v>
      </c>
      <c r="H2459" s="487">
        <f t="shared" si="1131"/>
        <v>17.059999999999999</v>
      </c>
      <c r="I2459" s="706"/>
      <c r="J2459" s="669" t="s">
        <v>5805</v>
      </c>
      <c r="K2459" s="15"/>
      <c r="L2459"/>
      <c r="M2459" s="49">
        <f t="shared" si="1132"/>
        <v>21.32</v>
      </c>
      <c r="N2459" s="41">
        <v>9.32</v>
      </c>
      <c r="O2459" s="187" t="s">
        <v>1017</v>
      </c>
      <c r="P2459" s="183"/>
      <c r="Q2459" s="184"/>
      <c r="R2459" s="184"/>
      <c r="S2459" s="184" t="s">
        <v>4180</v>
      </c>
      <c r="T2459" s="178" t="s">
        <v>4180</v>
      </c>
      <c r="U2459" s="185" t="s">
        <v>1017</v>
      </c>
      <c r="V2459" s="184"/>
      <c r="W2459" s="180"/>
      <c r="X2459" s="180"/>
      <c r="Y2459" s="184" t="s">
        <v>1017</v>
      </c>
      <c r="Z2459" s="180"/>
      <c r="AA2459" s="184"/>
      <c r="AB2459" s="184"/>
      <c r="AC2459" s="180"/>
      <c r="AD2459" s="182"/>
      <c r="AE2459" s="181" t="s">
        <v>1017</v>
      </c>
      <c r="AF2459" s="180"/>
      <c r="AG2459" s="201"/>
      <c r="AH2459" s="212" t="str">
        <f t="shared" si="1137"/>
        <v/>
      </c>
      <c r="AI2459" s="214" t="str">
        <f t="shared" si="1124"/>
        <v/>
      </c>
      <c r="AJ2459" s="214" t="str">
        <f t="shared" si="1125"/>
        <v/>
      </c>
      <c r="AK2459" s="214" t="str">
        <f t="shared" si="1126"/>
        <v/>
      </c>
      <c r="AL2459" s="214" t="str">
        <f t="shared" si="1127"/>
        <v/>
      </c>
      <c r="AM2459" s="214" t="str">
        <f t="shared" si="1128"/>
        <v/>
      </c>
      <c r="AN2459" s="213" t="str">
        <f t="shared" si="1111"/>
        <v/>
      </c>
      <c r="AO2459" s="213" t="str">
        <f t="shared" si="1112"/>
        <v/>
      </c>
      <c r="AP2459" s="213" t="str">
        <f t="shared" si="1113"/>
        <v/>
      </c>
      <c r="AQ2459" s="215" t="str">
        <f t="shared" si="1114"/>
        <v/>
      </c>
      <c r="AR2459" s="216" t="str">
        <f t="shared" si="1115"/>
        <v>BiK82GbKWKy-08</v>
      </c>
      <c r="AS2459" s="215" t="str">
        <f t="shared" si="1116"/>
        <v/>
      </c>
      <c r="AT2459">
        <f t="shared" si="1117"/>
        <v>14</v>
      </c>
      <c r="AU2459" s="216" t="str">
        <f t="shared" si="1118"/>
        <v>0,15-0,5 MW, Bonusregeln G, y, b und KWK</v>
      </c>
      <c r="AV2459" s="215" t="str">
        <f t="shared" si="1119"/>
        <v/>
      </c>
      <c r="AW2459" s="216" t="str">
        <f t="shared" si="1120"/>
        <v>Anteil KWK</v>
      </c>
      <c r="AX2459" s="215" t="str">
        <f t="shared" si="1121"/>
        <v/>
      </c>
      <c r="AY2459" t="str">
        <f t="shared" si="1122"/>
        <v/>
      </c>
      <c r="AZ2459" t="str">
        <f t="shared" si="1123"/>
        <v/>
      </c>
    </row>
    <row r="2460" spans="1:52" s="178" customFormat="1" x14ac:dyDescent="0.25">
      <c r="A2460" s="610" t="s">
        <v>2230</v>
      </c>
      <c r="B2460" s="30" t="s">
        <v>5548</v>
      </c>
      <c r="C2460" s="30" t="s">
        <v>5540</v>
      </c>
      <c r="D2460" s="109" t="s">
        <v>7167</v>
      </c>
      <c r="E2460" s="30" t="s">
        <v>4331</v>
      </c>
      <c r="F2460" s="454">
        <f t="shared" si="1130"/>
        <v>22.32</v>
      </c>
      <c r="G2460" s="529">
        <v>22.32</v>
      </c>
      <c r="H2460" s="487">
        <f t="shared" si="1131"/>
        <v>17.86</v>
      </c>
      <c r="I2460" s="706"/>
      <c r="J2460" s="669" t="s">
        <v>5805</v>
      </c>
      <c r="K2460" s="15"/>
      <c r="L2460"/>
      <c r="M2460" s="49">
        <f t="shared" si="1132"/>
        <v>22.32</v>
      </c>
      <c r="N2460" s="41">
        <v>9.32</v>
      </c>
      <c r="O2460" s="187"/>
      <c r="P2460" s="184" t="s">
        <v>1017</v>
      </c>
      <c r="Q2460" s="184"/>
      <c r="R2460" s="184"/>
      <c r="S2460" s="184" t="s">
        <v>4180</v>
      </c>
      <c r="T2460" s="178" t="s">
        <v>4180</v>
      </c>
      <c r="U2460" s="185" t="s">
        <v>1017</v>
      </c>
      <c r="V2460" s="184"/>
      <c r="W2460" s="180"/>
      <c r="X2460" s="180"/>
      <c r="Y2460" s="184" t="s">
        <v>1017</v>
      </c>
      <c r="Z2460" s="180"/>
      <c r="AA2460" s="184"/>
      <c r="AB2460" s="184"/>
      <c r="AC2460" s="180"/>
      <c r="AD2460" s="182"/>
      <c r="AE2460" s="181" t="s">
        <v>1017</v>
      </c>
      <c r="AF2460" s="180"/>
      <c r="AG2460" s="201"/>
      <c r="AH2460" s="212" t="str">
        <f t="shared" si="1137"/>
        <v/>
      </c>
      <c r="AI2460" s="214" t="str">
        <f t="shared" si="1124"/>
        <v/>
      </c>
      <c r="AJ2460" s="214" t="str">
        <f t="shared" si="1125"/>
        <v/>
      </c>
      <c r="AK2460" s="214" t="str">
        <f t="shared" si="1126"/>
        <v/>
      </c>
      <c r="AL2460" s="214" t="str">
        <f t="shared" si="1127"/>
        <v/>
      </c>
      <c r="AM2460" s="214" t="str">
        <f t="shared" si="1128"/>
        <v/>
      </c>
      <c r="AN2460" s="213" t="str">
        <f t="shared" si="1111"/>
        <v/>
      </c>
      <c r="AO2460" s="213" t="str">
        <f t="shared" si="1112"/>
        <v/>
      </c>
      <c r="AP2460" s="213" t="str">
        <f t="shared" si="1113"/>
        <v/>
      </c>
      <c r="AQ2460" s="215" t="str">
        <f t="shared" si="1114"/>
        <v/>
      </c>
      <c r="AR2460" s="216" t="str">
        <f t="shared" si="1115"/>
        <v>BiK82GbKA3y-08</v>
      </c>
      <c r="AS2460" s="215" t="str">
        <f t="shared" si="1116"/>
        <v/>
      </c>
      <c r="AT2460">
        <f t="shared" si="1117"/>
        <v>14</v>
      </c>
      <c r="AU2460" s="216" t="str">
        <f t="shared" si="1118"/>
        <v>0,15-0,5 MW, Bonusregeln G, y, b und K wenn Anlage 3 erfüllt</v>
      </c>
      <c r="AV2460" s="215" t="str">
        <f t="shared" si="1119"/>
        <v/>
      </c>
      <c r="AW2460" s="216" t="str">
        <f t="shared" si="1120"/>
        <v>Anteil KWK gemäß Anlage 3</v>
      </c>
      <c r="AX2460" s="215" t="str">
        <f t="shared" si="1121"/>
        <v/>
      </c>
      <c r="AY2460" t="str">
        <f t="shared" si="1122"/>
        <v/>
      </c>
      <c r="AZ2460" t="str">
        <f t="shared" si="1123"/>
        <v/>
      </c>
    </row>
    <row r="2461" spans="1:52" x14ac:dyDescent="0.25">
      <c r="A2461" s="610" t="s">
        <v>2231</v>
      </c>
      <c r="B2461" s="30" t="s">
        <v>5548</v>
      </c>
      <c r="C2461" s="30" t="s">
        <v>5540</v>
      </c>
      <c r="D2461" s="30" t="s">
        <v>7168</v>
      </c>
      <c r="E2461" s="30" t="s">
        <v>674</v>
      </c>
      <c r="F2461" s="454">
        <f t="shared" si="1130"/>
        <v>22.32</v>
      </c>
      <c r="G2461" s="529">
        <v>22.32</v>
      </c>
      <c r="H2461" s="487">
        <f t="shared" si="1131"/>
        <v>17.86</v>
      </c>
      <c r="I2461" s="706"/>
      <c r="J2461" s="669" t="s">
        <v>5805</v>
      </c>
      <c r="K2461" s="15"/>
      <c r="M2461" s="49">
        <f t="shared" si="1132"/>
        <v>22.32</v>
      </c>
      <c r="N2461" s="41">
        <v>9.32</v>
      </c>
      <c r="O2461" s="187"/>
      <c r="P2461" s="183"/>
      <c r="Q2461" s="184" t="s">
        <v>1017</v>
      </c>
      <c r="R2461" s="184"/>
      <c r="S2461" s="184" t="s">
        <v>4180</v>
      </c>
      <c r="T2461" t="s">
        <v>4180</v>
      </c>
      <c r="U2461" s="185" t="s">
        <v>1017</v>
      </c>
      <c r="V2461" s="184"/>
      <c r="W2461" s="180"/>
      <c r="X2461" s="180"/>
      <c r="Y2461" s="184" t="s">
        <v>1017</v>
      </c>
      <c r="Z2461" s="180"/>
      <c r="AA2461" s="184"/>
      <c r="AB2461" s="184"/>
      <c r="AC2461" s="180"/>
      <c r="AD2461" s="182"/>
      <c r="AE2461" s="181" t="s">
        <v>1017</v>
      </c>
      <c r="AF2461" s="180"/>
      <c r="AG2461" s="201"/>
      <c r="AH2461" s="212" t="str">
        <f t="shared" si="1137"/>
        <v/>
      </c>
      <c r="AI2461" s="214" t="str">
        <f t="shared" si="1124"/>
        <v/>
      </c>
      <c r="AJ2461" s="214" t="str">
        <f t="shared" si="1125"/>
        <v/>
      </c>
      <c r="AK2461" s="214" t="str">
        <f t="shared" si="1126"/>
        <v/>
      </c>
      <c r="AL2461" s="214" t="str">
        <f t="shared" si="1127"/>
        <v/>
      </c>
      <c r="AM2461" s="214" t="str">
        <f t="shared" si="1128"/>
        <v/>
      </c>
      <c r="AN2461" s="213" t="str">
        <f t="shared" si="1111"/>
        <v/>
      </c>
      <c r="AO2461" s="213" t="str">
        <f t="shared" si="1112"/>
        <v/>
      </c>
      <c r="AP2461" s="213" t="str">
        <f t="shared" si="1113"/>
        <v/>
      </c>
      <c r="AQ2461" s="215" t="str">
        <f t="shared" si="1114"/>
        <v/>
      </c>
      <c r="AR2461" s="216" t="str">
        <f t="shared" si="1115"/>
        <v>BiK82GbK09y-08</v>
      </c>
      <c r="AS2461" s="215" t="str">
        <f t="shared" si="1116"/>
        <v/>
      </c>
      <c r="AT2461">
        <f t="shared" si="1117"/>
        <v>14</v>
      </c>
      <c r="AU2461" s="216" t="str">
        <f t="shared" si="1118"/>
        <v>0,15-0,5 MW, Bonusregeln G, y, b und K erstmals 2009</v>
      </c>
      <c r="AV2461" s="215" t="str">
        <f t="shared" si="1119"/>
        <v/>
      </c>
      <c r="AW2461" s="216" t="str">
        <f t="shared" si="1120"/>
        <v>Anteil KWK, erstmals 2009</v>
      </c>
      <c r="AX2461" s="215" t="str">
        <f t="shared" si="1121"/>
        <v/>
      </c>
      <c r="AY2461" t="str">
        <f t="shared" si="1122"/>
        <v/>
      </c>
      <c r="AZ2461" t="str">
        <f t="shared" si="1123"/>
        <v/>
      </c>
    </row>
    <row r="2462" spans="1:52" x14ac:dyDescent="0.25">
      <c r="A2462" s="610" t="s">
        <v>3270</v>
      </c>
      <c r="B2462" s="30" t="s">
        <v>5548</v>
      </c>
      <c r="C2462" s="30" t="s">
        <v>5540</v>
      </c>
      <c r="D2462" s="30" t="s">
        <v>7169</v>
      </c>
      <c r="E2462" s="30" t="s">
        <v>3567</v>
      </c>
      <c r="F2462" s="454">
        <f t="shared" si="1130"/>
        <v>22.29</v>
      </c>
      <c r="G2462" s="529">
        <v>22.29</v>
      </c>
      <c r="H2462" s="487">
        <f t="shared" si="1131"/>
        <v>17.829999999999998</v>
      </c>
      <c r="I2462" s="706"/>
      <c r="J2462" s="669" t="s">
        <v>5805</v>
      </c>
      <c r="K2462" s="15"/>
      <c r="M2462" s="49">
        <f t="shared" si="1132"/>
        <v>22.29</v>
      </c>
      <c r="N2462" s="41">
        <v>9.32</v>
      </c>
      <c r="O2462" s="187"/>
      <c r="P2462" s="183"/>
      <c r="Q2462" s="184"/>
      <c r="R2462" s="184" t="s">
        <v>1017</v>
      </c>
      <c r="S2462" s="184" t="s">
        <v>4180</v>
      </c>
      <c r="T2462" t="s">
        <v>4180</v>
      </c>
      <c r="U2462" s="185" t="s">
        <v>1017</v>
      </c>
      <c r="V2462" s="184"/>
      <c r="W2462" s="180"/>
      <c r="X2462" s="180"/>
      <c r="Y2462" s="184" t="s">
        <v>1017</v>
      </c>
      <c r="Z2462" s="180"/>
      <c r="AA2462" s="184"/>
      <c r="AB2462" s="184"/>
      <c r="AC2462" s="180"/>
      <c r="AD2462" s="182"/>
      <c r="AE2462" s="181" t="s">
        <v>1017</v>
      </c>
      <c r="AF2462" s="180"/>
      <c r="AG2462" s="201"/>
      <c r="AH2462" s="212" t="str">
        <f t="shared" si="1137"/>
        <v>2010</v>
      </c>
      <c r="AI2462" s="214" t="str">
        <f t="shared" si="1124"/>
        <v/>
      </c>
      <c r="AJ2462" s="214" t="str">
        <f t="shared" si="1125"/>
        <v/>
      </c>
      <c r="AK2462" s="214" t="str">
        <f t="shared" si="1126"/>
        <v/>
      </c>
      <c r="AL2462" s="214" t="str">
        <f t="shared" si="1127"/>
        <v/>
      </c>
      <c r="AM2462" s="214" t="str">
        <f t="shared" si="1128"/>
        <v/>
      </c>
      <c r="AN2462" s="213" t="str">
        <f t="shared" si="1111"/>
        <v>2010</v>
      </c>
      <c r="AO2462" s="213" t="str">
        <f t="shared" si="1112"/>
        <v>2010</v>
      </c>
      <c r="AP2462" s="213" t="str">
        <f t="shared" si="1113"/>
        <v>2010</v>
      </c>
      <c r="AQ2462" s="215" t="str">
        <f t="shared" si="1114"/>
        <v/>
      </c>
      <c r="AR2462" s="216" t="str">
        <f t="shared" si="1115"/>
        <v>BiK82GbK10y-08</v>
      </c>
      <c r="AS2462" s="215" t="str">
        <f t="shared" si="1116"/>
        <v/>
      </c>
      <c r="AT2462">
        <f t="shared" si="1117"/>
        <v>14</v>
      </c>
      <c r="AU2462" s="216" t="str">
        <f t="shared" si="1118"/>
        <v>0,15-0,5 MW, Bonusregeln G, y, b und K erstmals 2010</v>
      </c>
      <c r="AV2462" s="215" t="str">
        <f t="shared" si="1119"/>
        <v/>
      </c>
      <c r="AW2462" s="216" t="str">
        <f t="shared" si="1120"/>
        <v>Anteil KWK, erstmals 2010</v>
      </c>
      <c r="AX2462" s="215" t="str">
        <f t="shared" si="1121"/>
        <v/>
      </c>
      <c r="AY2462" t="str">
        <f t="shared" si="1122"/>
        <v/>
      </c>
      <c r="AZ2462" t="str">
        <f t="shared" si="1123"/>
        <v/>
      </c>
    </row>
    <row r="2463" spans="1:52" x14ac:dyDescent="0.25">
      <c r="A2463" s="610" t="s">
        <v>3475</v>
      </c>
      <c r="B2463" s="30" t="s">
        <v>5548</v>
      </c>
      <c r="C2463" s="30" t="s">
        <v>5540</v>
      </c>
      <c r="D2463" s="30" t="s">
        <v>7170</v>
      </c>
      <c r="E2463" s="30" t="s">
        <v>3055</v>
      </c>
      <c r="F2463" s="454">
        <f t="shared" si="1130"/>
        <v>22.259999999999998</v>
      </c>
      <c r="G2463" s="529">
        <v>22.259999999999998</v>
      </c>
      <c r="H2463" s="487">
        <f t="shared" si="1131"/>
        <v>17.809999999999999</v>
      </c>
      <c r="I2463" s="706"/>
      <c r="J2463" s="669" t="s">
        <v>5805</v>
      </c>
      <c r="K2463" s="15"/>
      <c r="M2463" s="49">
        <f t="shared" si="1132"/>
        <v>22.259999999999998</v>
      </c>
      <c r="N2463" s="41">
        <v>9.32</v>
      </c>
      <c r="O2463" s="187"/>
      <c r="P2463" s="183"/>
      <c r="Q2463" s="184"/>
      <c r="R2463" s="178"/>
      <c r="S2463" s="184" t="s">
        <v>1017</v>
      </c>
      <c r="T2463" t="s">
        <v>4180</v>
      </c>
      <c r="U2463" s="185" t="s">
        <v>1017</v>
      </c>
      <c r="V2463" s="184"/>
      <c r="W2463" s="180"/>
      <c r="X2463" s="180"/>
      <c r="Y2463" s="184" t="s">
        <v>1017</v>
      </c>
      <c r="Z2463" s="180"/>
      <c r="AA2463" s="184"/>
      <c r="AB2463" s="184"/>
      <c r="AC2463" s="180"/>
      <c r="AD2463" s="182"/>
      <c r="AE2463" s="181" t="s">
        <v>1017</v>
      </c>
      <c r="AF2463" s="180"/>
      <c r="AG2463" s="201"/>
      <c r="AH2463" s="212" t="str">
        <f t="shared" si="1137"/>
        <v>2011</v>
      </c>
      <c r="AI2463" s="214" t="str">
        <f t="shared" si="1124"/>
        <v/>
      </c>
      <c r="AJ2463" s="214" t="str">
        <f t="shared" si="1125"/>
        <v/>
      </c>
      <c r="AK2463" s="214" t="str">
        <f t="shared" si="1126"/>
        <v/>
      </c>
      <c r="AL2463" s="214" t="str">
        <f t="shared" si="1127"/>
        <v/>
      </c>
      <c r="AM2463" s="214" t="str">
        <f t="shared" si="1128"/>
        <v/>
      </c>
      <c r="AN2463" s="213" t="str">
        <f t="shared" si="1111"/>
        <v>2011</v>
      </c>
      <c r="AO2463" s="213" t="str">
        <f t="shared" si="1112"/>
        <v>2011</v>
      </c>
      <c r="AP2463" s="213" t="str">
        <f t="shared" si="1113"/>
        <v>2011</v>
      </c>
      <c r="AQ2463" s="215" t="str">
        <f t="shared" si="1114"/>
        <v/>
      </c>
      <c r="AR2463" s="216" t="str">
        <f t="shared" si="1115"/>
        <v>BiK82GbK11y-08</v>
      </c>
      <c r="AS2463" s="215" t="str">
        <f t="shared" si="1116"/>
        <v/>
      </c>
      <c r="AT2463">
        <f t="shared" si="1117"/>
        <v>14</v>
      </c>
      <c r="AU2463" s="216" t="str">
        <f t="shared" si="1118"/>
        <v>0,15-0,5 MW, Bonusregeln G, y, b und K erstmals 2011</v>
      </c>
      <c r="AV2463" s="215" t="str">
        <f t="shared" si="1119"/>
        <v/>
      </c>
      <c r="AW2463" s="216" t="str">
        <f t="shared" si="1120"/>
        <v>Anteil KWK, erstmals 2011</v>
      </c>
      <c r="AX2463" s="215" t="str">
        <f t="shared" si="1121"/>
        <v/>
      </c>
      <c r="AY2463" t="str">
        <f t="shared" si="1122"/>
        <v>x</v>
      </c>
      <c r="AZ2463" t="str">
        <f t="shared" si="1123"/>
        <v/>
      </c>
    </row>
    <row r="2464" spans="1:52" x14ac:dyDescent="0.25">
      <c r="A2464" s="625" t="s">
        <v>1907</v>
      </c>
      <c r="B2464" s="219" t="s">
        <v>5548</v>
      </c>
      <c r="C2464" s="219" t="s">
        <v>5540</v>
      </c>
      <c r="D2464" s="219" t="s">
        <v>7171</v>
      </c>
      <c r="E2464" s="219" t="s">
        <v>1980</v>
      </c>
      <c r="F2464" s="455">
        <f t="shared" si="1130"/>
        <v>22.23</v>
      </c>
      <c r="G2464" s="530">
        <v>22.23</v>
      </c>
      <c r="H2464" s="488">
        <f t="shared" si="1131"/>
        <v>17.78</v>
      </c>
      <c r="I2464" s="707"/>
      <c r="J2464" s="669" t="s">
        <v>5805</v>
      </c>
      <c r="K2464" s="15"/>
      <c r="M2464" s="49">
        <f t="shared" si="1132"/>
        <v>22.23</v>
      </c>
      <c r="N2464" s="41">
        <v>9.32</v>
      </c>
      <c r="O2464" s="187"/>
      <c r="P2464" s="183"/>
      <c r="Q2464" s="184"/>
      <c r="R2464" s="178"/>
      <c r="S2464" s="184" t="s">
        <v>4180</v>
      </c>
      <c r="T2464" t="s">
        <v>1017</v>
      </c>
      <c r="U2464" s="185" t="s">
        <v>1017</v>
      </c>
      <c r="V2464" s="184"/>
      <c r="W2464" s="180"/>
      <c r="X2464" s="180"/>
      <c r="Y2464" s="184" t="s">
        <v>1017</v>
      </c>
      <c r="Z2464" s="180"/>
      <c r="AA2464" s="184"/>
      <c r="AB2464" s="184"/>
      <c r="AC2464" s="180"/>
      <c r="AD2464" s="182"/>
      <c r="AE2464" s="181" t="s">
        <v>1017</v>
      </c>
      <c r="AF2464" s="180"/>
      <c r="AG2464" s="201"/>
      <c r="AH2464" s="217" t="s">
        <v>4179</v>
      </c>
      <c r="AI2464" s="214" t="str">
        <f t="shared" si="1124"/>
        <v/>
      </c>
      <c r="AJ2464" s="214" t="str">
        <f t="shared" si="1125"/>
        <v/>
      </c>
      <c r="AK2464" s="214" t="str">
        <f t="shared" si="1126"/>
        <v/>
      </c>
      <c r="AL2464" s="214" t="str">
        <f t="shared" si="1127"/>
        <v/>
      </c>
      <c r="AM2464" s="214" t="str">
        <f t="shared" si="1128"/>
        <v/>
      </c>
      <c r="AN2464" s="213" t="str">
        <f t="shared" si="1111"/>
        <v>2012</v>
      </c>
      <c r="AO2464" s="213" t="str">
        <f t="shared" si="1112"/>
        <v>2012</v>
      </c>
      <c r="AP2464" s="213" t="str">
        <f t="shared" si="1113"/>
        <v>2012</v>
      </c>
      <c r="AQ2464" s="215" t="str">
        <f t="shared" si="1114"/>
        <v/>
      </c>
      <c r="AR2464" s="216" t="str">
        <f t="shared" si="1115"/>
        <v>BiK82GbK12y-08</v>
      </c>
      <c r="AS2464" s="215" t="str">
        <f t="shared" si="1116"/>
        <v/>
      </c>
      <c r="AT2464">
        <f t="shared" si="1117"/>
        <v>14</v>
      </c>
      <c r="AU2464" s="216" t="str">
        <f t="shared" si="1118"/>
        <v>0,15-0,5 MW, Bonusregeln G, y, b und K erstmals 2012</v>
      </c>
      <c r="AV2464" s="215" t="str">
        <f t="shared" si="1119"/>
        <v/>
      </c>
      <c r="AW2464" s="216" t="str">
        <f t="shared" si="1120"/>
        <v>Anteil KWK, erstmals 2012</v>
      </c>
      <c r="AX2464" s="215" t="str">
        <f t="shared" si="1121"/>
        <v/>
      </c>
      <c r="AY2464" t="str">
        <f t="shared" si="1122"/>
        <v/>
      </c>
      <c r="AZ2464" t="str">
        <f t="shared" si="1123"/>
        <v>x</v>
      </c>
    </row>
    <row r="2465" spans="1:52" x14ac:dyDescent="0.25">
      <c r="A2465" s="610" t="s">
        <v>4729</v>
      </c>
      <c r="B2465" s="30" t="s">
        <v>5548</v>
      </c>
      <c r="C2465" s="30" t="s">
        <v>5540</v>
      </c>
      <c r="D2465" s="30" t="s">
        <v>7172</v>
      </c>
      <c r="E2465" s="30" t="s">
        <v>4810</v>
      </c>
      <c r="F2465" s="454">
        <f t="shared" si="1130"/>
        <v>19.32</v>
      </c>
      <c r="G2465" s="529">
        <v>19.32</v>
      </c>
      <c r="H2465" s="487">
        <f t="shared" si="1131"/>
        <v>15.46</v>
      </c>
      <c r="I2465" s="706"/>
      <c r="J2465" s="669" t="s">
        <v>5805</v>
      </c>
      <c r="K2465" s="15"/>
      <c r="M2465" s="49">
        <f t="shared" si="1132"/>
        <v>19.32</v>
      </c>
      <c r="N2465" s="41">
        <v>9.32</v>
      </c>
      <c r="O2465" s="186"/>
      <c r="P2465" s="177"/>
      <c r="Q2465" s="178"/>
      <c r="R2465" s="178"/>
      <c r="S2465" s="178" t="s">
        <v>4180</v>
      </c>
      <c r="T2465" t="s">
        <v>4180</v>
      </c>
      <c r="U2465" s="179"/>
      <c r="V2465" s="178"/>
      <c r="W2465" s="180"/>
      <c r="X2465" s="180"/>
      <c r="Y2465" s="178"/>
      <c r="Z2465" s="180"/>
      <c r="AA2465" s="184" t="s">
        <v>1017</v>
      </c>
      <c r="AB2465" s="178"/>
      <c r="AC2465" s="180"/>
      <c r="AD2465" s="182"/>
      <c r="AE2465" s="181" t="s">
        <v>1017</v>
      </c>
      <c r="AF2465" s="180"/>
      <c r="AG2465" s="201"/>
      <c r="AH2465" s="212" t="str">
        <f t="shared" ref="AH2465:AH2470" si="1138">IF(ISERROR(SEARCH("K erstmals 201",D2465)),"",RIGHT(D2465,4))</f>
        <v/>
      </c>
      <c r="AI2465" s="214" t="str">
        <f t="shared" si="1124"/>
        <v/>
      </c>
      <c r="AJ2465" s="214" t="str">
        <f t="shared" si="1125"/>
        <v/>
      </c>
      <c r="AK2465" s="214" t="str">
        <f t="shared" si="1126"/>
        <v/>
      </c>
      <c r="AL2465" s="214" t="str">
        <f t="shared" si="1127"/>
        <v/>
      </c>
      <c r="AM2465" s="214" t="str">
        <f t="shared" si="1128"/>
        <v/>
      </c>
      <c r="AN2465" s="213" t="str">
        <f t="shared" si="1111"/>
        <v/>
      </c>
      <c r="AO2465" s="213" t="str">
        <f t="shared" si="1112"/>
        <v/>
      </c>
      <c r="AP2465" s="213" t="str">
        <f t="shared" si="1113"/>
        <v/>
      </c>
      <c r="AQ2465" s="215" t="str">
        <f t="shared" si="1114"/>
        <v/>
      </c>
      <c r="AR2465" s="216" t="str">
        <f t="shared" si="1115"/>
        <v>BiK82M2b----08</v>
      </c>
      <c r="AS2465" s="215" t="str">
        <f t="shared" si="1116"/>
        <v/>
      </c>
      <c r="AT2465">
        <f t="shared" si="1117"/>
        <v>14</v>
      </c>
      <c r="AU2465" s="216" t="str">
        <f t="shared" si="1118"/>
        <v>0,15-0,5 MW, Bonusregeln M2, b</v>
      </c>
      <c r="AV2465" s="215" t="str">
        <f t="shared" si="1119"/>
        <v/>
      </c>
      <c r="AW2465" s="216" t="str">
        <f t="shared" si="1120"/>
        <v>Anteil Nicht-KWK</v>
      </c>
      <c r="AX2465" s="215" t="str">
        <f t="shared" si="1121"/>
        <v/>
      </c>
      <c r="AY2465" t="str">
        <f t="shared" si="1122"/>
        <v/>
      </c>
      <c r="AZ2465" t="str">
        <f t="shared" si="1123"/>
        <v/>
      </c>
    </row>
    <row r="2466" spans="1:52" s="178" customFormat="1" x14ac:dyDescent="0.25">
      <c r="A2466" s="610" t="s">
        <v>4730</v>
      </c>
      <c r="B2466" s="30" t="s">
        <v>5548</v>
      </c>
      <c r="C2466" s="30" t="s">
        <v>5540</v>
      </c>
      <c r="D2466" s="30" t="s">
        <v>7173</v>
      </c>
      <c r="E2466" s="30" t="s">
        <v>4812</v>
      </c>
      <c r="F2466" s="454">
        <f t="shared" si="1130"/>
        <v>21.32</v>
      </c>
      <c r="G2466" s="529">
        <v>21.32</v>
      </c>
      <c r="H2466" s="487">
        <f t="shared" si="1131"/>
        <v>17.059999999999999</v>
      </c>
      <c r="I2466" s="706"/>
      <c r="J2466" s="669" t="s">
        <v>5805</v>
      </c>
      <c r="K2466" s="15"/>
      <c r="L2466"/>
      <c r="M2466" s="49">
        <f t="shared" si="1132"/>
        <v>21.32</v>
      </c>
      <c r="N2466" s="41">
        <v>9.32</v>
      </c>
      <c r="O2466" s="186" t="s">
        <v>1017</v>
      </c>
      <c r="P2466" s="177"/>
      <c r="S2466" s="178" t="s">
        <v>4180</v>
      </c>
      <c r="T2466" s="178" t="s">
        <v>4180</v>
      </c>
      <c r="U2466" s="179"/>
      <c r="W2466" s="180"/>
      <c r="X2466" s="180"/>
      <c r="Z2466" s="180"/>
      <c r="AA2466" s="184" t="s">
        <v>1017</v>
      </c>
      <c r="AC2466" s="180"/>
      <c r="AD2466" s="182"/>
      <c r="AE2466" s="181" t="s">
        <v>1017</v>
      </c>
      <c r="AF2466" s="180"/>
      <c r="AG2466" s="201"/>
      <c r="AH2466" s="212" t="str">
        <f t="shared" si="1138"/>
        <v/>
      </c>
      <c r="AI2466" s="214" t="str">
        <f t="shared" si="1124"/>
        <v/>
      </c>
      <c r="AJ2466" s="214" t="str">
        <f t="shared" si="1125"/>
        <v/>
      </c>
      <c r="AK2466" s="214" t="str">
        <f t="shared" si="1126"/>
        <v/>
      </c>
      <c r="AL2466" s="214" t="str">
        <f t="shared" si="1127"/>
        <v/>
      </c>
      <c r="AM2466" s="214" t="str">
        <f t="shared" si="1128"/>
        <v/>
      </c>
      <c r="AN2466" s="213" t="str">
        <f t="shared" si="1111"/>
        <v/>
      </c>
      <c r="AO2466" s="213" t="str">
        <f t="shared" si="1112"/>
        <v/>
      </c>
      <c r="AP2466" s="213" t="str">
        <f t="shared" si="1113"/>
        <v/>
      </c>
      <c r="AQ2466" s="215" t="str">
        <f t="shared" si="1114"/>
        <v/>
      </c>
      <c r="AR2466" s="216" t="str">
        <f t="shared" si="1115"/>
        <v>BiK82M2bKWK-08</v>
      </c>
      <c r="AS2466" s="215" t="str">
        <f t="shared" si="1116"/>
        <v/>
      </c>
      <c r="AT2466">
        <f t="shared" si="1117"/>
        <v>14</v>
      </c>
      <c r="AU2466" s="216" t="str">
        <f t="shared" si="1118"/>
        <v>0,15-0,5 MW, Bonusregeln M2, b und KWK</v>
      </c>
      <c r="AV2466" s="215" t="str">
        <f t="shared" si="1119"/>
        <v/>
      </c>
      <c r="AW2466" s="216" t="str">
        <f t="shared" si="1120"/>
        <v>Anteil KWK</v>
      </c>
      <c r="AX2466" s="215" t="str">
        <f t="shared" si="1121"/>
        <v/>
      </c>
      <c r="AY2466" t="str">
        <f t="shared" si="1122"/>
        <v/>
      </c>
      <c r="AZ2466" t="str">
        <f t="shared" si="1123"/>
        <v/>
      </c>
    </row>
    <row r="2467" spans="1:52" s="178" customFormat="1" x14ac:dyDescent="0.25">
      <c r="A2467" s="610" t="s">
        <v>4731</v>
      </c>
      <c r="B2467" s="30" t="s">
        <v>5548</v>
      </c>
      <c r="C2467" s="30" t="s">
        <v>5540</v>
      </c>
      <c r="D2467" s="30" t="s">
        <v>7174</v>
      </c>
      <c r="E2467" s="30" t="s">
        <v>4331</v>
      </c>
      <c r="F2467" s="454">
        <f t="shared" si="1130"/>
        <v>22.32</v>
      </c>
      <c r="G2467" s="529">
        <v>22.32</v>
      </c>
      <c r="H2467" s="487">
        <f t="shared" si="1131"/>
        <v>17.86</v>
      </c>
      <c r="I2467" s="706"/>
      <c r="J2467" s="669" t="s">
        <v>5805</v>
      </c>
      <c r="K2467" s="15"/>
      <c r="L2467"/>
      <c r="M2467" s="49">
        <f t="shared" si="1132"/>
        <v>22.32</v>
      </c>
      <c r="N2467" s="41">
        <v>9.32</v>
      </c>
      <c r="O2467" s="186"/>
      <c r="P2467" s="178" t="s">
        <v>1017</v>
      </c>
      <c r="S2467" s="178" t="s">
        <v>4180</v>
      </c>
      <c r="T2467" s="178" t="s">
        <v>4180</v>
      </c>
      <c r="U2467" s="179"/>
      <c r="W2467" s="180"/>
      <c r="X2467" s="180"/>
      <c r="Z2467" s="180"/>
      <c r="AA2467" s="184" t="s">
        <v>1017</v>
      </c>
      <c r="AC2467" s="180"/>
      <c r="AD2467" s="182"/>
      <c r="AE2467" s="181" t="s">
        <v>1017</v>
      </c>
      <c r="AF2467" s="180"/>
      <c r="AG2467" s="201"/>
      <c r="AH2467" s="212" t="str">
        <f t="shared" si="1138"/>
        <v/>
      </c>
      <c r="AI2467" s="214" t="str">
        <f t="shared" si="1124"/>
        <v/>
      </c>
      <c r="AJ2467" s="214" t="str">
        <f t="shared" si="1125"/>
        <v/>
      </c>
      <c r="AK2467" s="214" t="str">
        <f t="shared" si="1126"/>
        <v/>
      </c>
      <c r="AL2467" s="214" t="str">
        <f t="shared" si="1127"/>
        <v/>
      </c>
      <c r="AM2467" s="214" t="str">
        <f t="shared" si="1128"/>
        <v/>
      </c>
      <c r="AN2467" s="213" t="str">
        <f t="shared" si="1111"/>
        <v/>
      </c>
      <c r="AO2467" s="213" t="str">
        <f t="shared" si="1112"/>
        <v/>
      </c>
      <c r="AP2467" s="213" t="str">
        <f t="shared" si="1113"/>
        <v/>
      </c>
      <c r="AQ2467" s="215" t="str">
        <f t="shared" si="1114"/>
        <v/>
      </c>
      <c r="AR2467" s="216" t="str">
        <f t="shared" si="1115"/>
        <v>BiK82M2bKA3-08</v>
      </c>
      <c r="AS2467" s="215" t="str">
        <f t="shared" si="1116"/>
        <v/>
      </c>
      <c r="AT2467">
        <f t="shared" si="1117"/>
        <v>14</v>
      </c>
      <c r="AU2467" s="216" t="str">
        <f t="shared" si="1118"/>
        <v>0,15-0,5 MW, Bonusregeln M2, b und K wenn Anlage 3 erfüllt</v>
      </c>
      <c r="AV2467" s="215" t="str">
        <f t="shared" si="1119"/>
        <v/>
      </c>
      <c r="AW2467" s="216" t="str">
        <f t="shared" si="1120"/>
        <v>Anteil KWK gemäß Anlage 3</v>
      </c>
      <c r="AX2467" s="215" t="str">
        <f t="shared" si="1121"/>
        <v/>
      </c>
      <c r="AY2467" t="str">
        <f t="shared" si="1122"/>
        <v/>
      </c>
      <c r="AZ2467" t="str">
        <f t="shared" si="1123"/>
        <v/>
      </c>
    </row>
    <row r="2468" spans="1:52" s="178" customFormat="1" x14ac:dyDescent="0.25">
      <c r="A2468" s="610" t="s">
        <v>4732</v>
      </c>
      <c r="B2468" s="30" t="s">
        <v>5548</v>
      </c>
      <c r="C2468" s="30" t="s">
        <v>5540</v>
      </c>
      <c r="D2468" s="30" t="s">
        <v>7175</v>
      </c>
      <c r="E2468" s="30" t="s">
        <v>674</v>
      </c>
      <c r="F2468" s="454">
        <f t="shared" si="1130"/>
        <v>22.32</v>
      </c>
      <c r="G2468" s="529">
        <v>22.32</v>
      </c>
      <c r="H2468" s="487">
        <f t="shared" si="1131"/>
        <v>17.86</v>
      </c>
      <c r="I2468" s="706"/>
      <c r="J2468" s="669" t="s">
        <v>5805</v>
      </c>
      <c r="K2468" s="15"/>
      <c r="L2468"/>
      <c r="M2468" s="49">
        <f t="shared" si="1132"/>
        <v>22.32</v>
      </c>
      <c r="N2468" s="41">
        <v>9.32</v>
      </c>
      <c r="O2468" s="186"/>
      <c r="P2468" s="177"/>
      <c r="Q2468" s="178" t="s">
        <v>1017</v>
      </c>
      <c r="S2468" s="178" t="s">
        <v>4180</v>
      </c>
      <c r="T2468" s="178" t="s">
        <v>4180</v>
      </c>
      <c r="U2468" s="179"/>
      <c r="W2468" s="180"/>
      <c r="X2468" s="180"/>
      <c r="Z2468" s="180"/>
      <c r="AA2468" s="184" t="s">
        <v>1017</v>
      </c>
      <c r="AC2468" s="180"/>
      <c r="AD2468" s="182"/>
      <c r="AE2468" s="181" t="s">
        <v>1017</v>
      </c>
      <c r="AF2468" s="180"/>
      <c r="AG2468" s="201"/>
      <c r="AH2468" s="212" t="str">
        <f t="shared" si="1138"/>
        <v/>
      </c>
      <c r="AI2468" s="214" t="str">
        <f t="shared" si="1124"/>
        <v/>
      </c>
      <c r="AJ2468" s="214" t="str">
        <f t="shared" si="1125"/>
        <v/>
      </c>
      <c r="AK2468" s="214" t="str">
        <f t="shared" si="1126"/>
        <v/>
      </c>
      <c r="AL2468" s="214" t="str">
        <f t="shared" si="1127"/>
        <v/>
      </c>
      <c r="AM2468" s="214" t="str">
        <f t="shared" si="1128"/>
        <v/>
      </c>
      <c r="AN2468" s="213" t="str">
        <f t="shared" si="1111"/>
        <v/>
      </c>
      <c r="AO2468" s="213" t="str">
        <f t="shared" si="1112"/>
        <v/>
      </c>
      <c r="AP2468" s="213" t="str">
        <f t="shared" si="1113"/>
        <v/>
      </c>
      <c r="AQ2468" s="215" t="str">
        <f t="shared" si="1114"/>
        <v/>
      </c>
      <c r="AR2468" s="216" t="str">
        <f t="shared" si="1115"/>
        <v>BiK82M2bK09-08</v>
      </c>
      <c r="AS2468" s="215" t="str">
        <f t="shared" si="1116"/>
        <v/>
      </c>
      <c r="AT2468">
        <f t="shared" si="1117"/>
        <v>14</v>
      </c>
      <c r="AU2468" s="216" t="str">
        <f t="shared" si="1118"/>
        <v>0,15-0,5 MW, Bonusregeln M2, b und K erstmals 2009</v>
      </c>
      <c r="AV2468" s="215" t="str">
        <f t="shared" si="1119"/>
        <v/>
      </c>
      <c r="AW2468" s="216" t="str">
        <f t="shared" si="1120"/>
        <v>Anteil KWK, erstmals 2009</v>
      </c>
      <c r="AX2468" s="215" t="str">
        <f t="shared" si="1121"/>
        <v/>
      </c>
      <c r="AY2468" t="str">
        <f t="shared" si="1122"/>
        <v/>
      </c>
      <c r="AZ2468" t="str">
        <f t="shared" si="1123"/>
        <v/>
      </c>
    </row>
    <row r="2469" spans="1:52" s="178" customFormat="1" x14ac:dyDescent="0.25">
      <c r="A2469" s="610" t="s">
        <v>3271</v>
      </c>
      <c r="B2469" s="30" t="s">
        <v>5548</v>
      </c>
      <c r="C2469" s="30" t="s">
        <v>5540</v>
      </c>
      <c r="D2469" s="30" t="s">
        <v>7176</v>
      </c>
      <c r="E2469" s="30" t="s">
        <v>3567</v>
      </c>
      <c r="F2469" s="454">
        <f t="shared" si="1130"/>
        <v>22.29</v>
      </c>
      <c r="G2469" s="529">
        <v>22.29</v>
      </c>
      <c r="H2469" s="487">
        <f t="shared" si="1131"/>
        <v>17.829999999999998</v>
      </c>
      <c r="I2469" s="706"/>
      <c r="J2469" s="669" t="s">
        <v>5805</v>
      </c>
      <c r="K2469" s="15"/>
      <c r="L2469"/>
      <c r="M2469" s="49">
        <f t="shared" si="1132"/>
        <v>22.29</v>
      </c>
      <c r="N2469" s="41">
        <v>9.32</v>
      </c>
      <c r="O2469" s="186"/>
      <c r="P2469" s="177"/>
      <c r="R2469" s="178" t="s">
        <v>1017</v>
      </c>
      <c r="S2469" s="178" t="s">
        <v>4180</v>
      </c>
      <c r="T2469" s="178" t="s">
        <v>4180</v>
      </c>
      <c r="U2469" s="179"/>
      <c r="W2469" s="180"/>
      <c r="X2469" s="180"/>
      <c r="Z2469" s="180"/>
      <c r="AA2469" s="184" t="s">
        <v>1017</v>
      </c>
      <c r="AC2469" s="180"/>
      <c r="AD2469" s="182"/>
      <c r="AE2469" s="181" t="s">
        <v>1017</v>
      </c>
      <c r="AF2469" s="180"/>
      <c r="AG2469" s="201"/>
      <c r="AH2469" s="212" t="str">
        <f t="shared" si="1138"/>
        <v>2010</v>
      </c>
      <c r="AI2469" s="214" t="str">
        <f t="shared" si="1124"/>
        <v/>
      </c>
      <c r="AJ2469" s="214" t="str">
        <f t="shared" si="1125"/>
        <v/>
      </c>
      <c r="AK2469" s="214" t="str">
        <f t="shared" si="1126"/>
        <v/>
      </c>
      <c r="AL2469" s="214" t="str">
        <f t="shared" si="1127"/>
        <v/>
      </c>
      <c r="AM2469" s="214" t="str">
        <f t="shared" si="1128"/>
        <v/>
      </c>
      <c r="AN2469" s="213" t="str">
        <f t="shared" si="1111"/>
        <v>2010</v>
      </c>
      <c r="AO2469" s="213" t="str">
        <f t="shared" si="1112"/>
        <v>2010</v>
      </c>
      <c r="AP2469" s="213" t="str">
        <f t="shared" si="1113"/>
        <v>2010</v>
      </c>
      <c r="AQ2469" s="215" t="str">
        <f t="shared" si="1114"/>
        <v/>
      </c>
      <c r="AR2469" s="216" t="str">
        <f t="shared" si="1115"/>
        <v>BiK82M2bK10-08</v>
      </c>
      <c r="AS2469" s="215" t="str">
        <f t="shared" si="1116"/>
        <v/>
      </c>
      <c r="AT2469">
        <f t="shared" si="1117"/>
        <v>14</v>
      </c>
      <c r="AU2469" s="216" t="str">
        <f t="shared" si="1118"/>
        <v>0,15-0,5 MW, Bonusregeln M2, b und K erstmals 2010</v>
      </c>
      <c r="AV2469" s="215" t="str">
        <f t="shared" si="1119"/>
        <v/>
      </c>
      <c r="AW2469" s="216" t="str">
        <f t="shared" si="1120"/>
        <v>Anteil KWK, erstmals 2010</v>
      </c>
      <c r="AX2469" s="215" t="str">
        <f t="shared" si="1121"/>
        <v/>
      </c>
      <c r="AY2469" t="str">
        <f t="shared" si="1122"/>
        <v/>
      </c>
      <c r="AZ2469" t="str">
        <f t="shared" si="1123"/>
        <v/>
      </c>
    </row>
    <row r="2470" spans="1:52" s="178" customFormat="1" x14ac:dyDescent="0.25">
      <c r="A2470" s="610" t="s">
        <v>3476</v>
      </c>
      <c r="B2470" s="30" t="s">
        <v>5548</v>
      </c>
      <c r="C2470" s="30" t="s">
        <v>5540</v>
      </c>
      <c r="D2470" s="30" t="s">
        <v>7177</v>
      </c>
      <c r="E2470" s="30" t="s">
        <v>3055</v>
      </c>
      <c r="F2470" s="454">
        <f t="shared" si="1130"/>
        <v>22.259999999999998</v>
      </c>
      <c r="G2470" s="529">
        <v>22.259999999999998</v>
      </c>
      <c r="H2470" s="487">
        <f t="shared" si="1131"/>
        <v>17.809999999999999</v>
      </c>
      <c r="I2470" s="706"/>
      <c r="J2470" s="669" t="s">
        <v>5805</v>
      </c>
      <c r="K2470" s="15"/>
      <c r="L2470"/>
      <c r="M2470" s="49">
        <f t="shared" si="1132"/>
        <v>22.259999999999998</v>
      </c>
      <c r="N2470" s="41">
        <v>9.32</v>
      </c>
      <c r="O2470" s="186"/>
      <c r="P2470" s="177"/>
      <c r="S2470" s="178" t="s">
        <v>1017</v>
      </c>
      <c r="T2470" s="178" t="s">
        <v>4180</v>
      </c>
      <c r="U2470" s="179"/>
      <c r="W2470" s="180"/>
      <c r="X2470" s="180"/>
      <c r="Z2470" s="180"/>
      <c r="AA2470" s="184" t="s">
        <v>1017</v>
      </c>
      <c r="AC2470" s="180"/>
      <c r="AD2470" s="182"/>
      <c r="AE2470" s="181" t="s">
        <v>1017</v>
      </c>
      <c r="AF2470" s="180"/>
      <c r="AG2470" s="201"/>
      <c r="AH2470" s="212" t="str">
        <f t="shared" si="1138"/>
        <v>2011</v>
      </c>
      <c r="AI2470" s="214" t="str">
        <f t="shared" si="1124"/>
        <v/>
      </c>
      <c r="AJ2470" s="214" t="str">
        <f t="shared" si="1125"/>
        <v/>
      </c>
      <c r="AK2470" s="214" t="str">
        <f t="shared" si="1126"/>
        <v/>
      </c>
      <c r="AL2470" s="214" t="str">
        <f t="shared" si="1127"/>
        <v/>
      </c>
      <c r="AM2470" s="214" t="str">
        <f t="shared" si="1128"/>
        <v/>
      </c>
      <c r="AN2470" s="213" t="str">
        <f t="shared" si="1111"/>
        <v>2011</v>
      </c>
      <c r="AO2470" s="213" t="str">
        <f t="shared" si="1112"/>
        <v>2011</v>
      </c>
      <c r="AP2470" s="213" t="str">
        <f t="shared" si="1113"/>
        <v>2011</v>
      </c>
      <c r="AQ2470" s="215" t="str">
        <f t="shared" si="1114"/>
        <v/>
      </c>
      <c r="AR2470" s="216" t="str">
        <f t="shared" si="1115"/>
        <v>BiK82M2bK11-08</v>
      </c>
      <c r="AS2470" s="215" t="str">
        <f t="shared" si="1116"/>
        <v/>
      </c>
      <c r="AT2470">
        <f t="shared" si="1117"/>
        <v>14</v>
      </c>
      <c r="AU2470" s="216" t="str">
        <f t="shared" si="1118"/>
        <v>0,15-0,5 MW, Bonusregeln M2, b und K erstmals 2011</v>
      </c>
      <c r="AV2470" s="215" t="str">
        <f t="shared" si="1119"/>
        <v/>
      </c>
      <c r="AW2470" s="216" t="str">
        <f t="shared" si="1120"/>
        <v>Anteil KWK, erstmals 2011</v>
      </c>
      <c r="AX2470" s="215" t="str">
        <f t="shared" si="1121"/>
        <v/>
      </c>
      <c r="AY2470" t="str">
        <f t="shared" si="1122"/>
        <v>x</v>
      </c>
      <c r="AZ2470" t="str">
        <f t="shared" si="1123"/>
        <v/>
      </c>
    </row>
    <row r="2471" spans="1:52" s="178" customFormat="1" x14ac:dyDescent="0.25">
      <c r="A2471" s="625" t="s">
        <v>1908</v>
      </c>
      <c r="B2471" s="219" t="s">
        <v>5548</v>
      </c>
      <c r="C2471" s="219" t="s">
        <v>5540</v>
      </c>
      <c r="D2471" s="219" t="s">
        <v>7178</v>
      </c>
      <c r="E2471" s="219" t="s">
        <v>1980</v>
      </c>
      <c r="F2471" s="455">
        <f t="shared" si="1130"/>
        <v>22.23</v>
      </c>
      <c r="G2471" s="530">
        <v>22.23</v>
      </c>
      <c r="H2471" s="488">
        <f t="shared" si="1131"/>
        <v>17.78</v>
      </c>
      <c r="I2471" s="707"/>
      <c r="J2471" s="669" t="s">
        <v>5805</v>
      </c>
      <c r="K2471" s="15"/>
      <c r="L2471"/>
      <c r="M2471" s="49">
        <f t="shared" si="1132"/>
        <v>22.23</v>
      </c>
      <c r="N2471" s="41">
        <v>9.32</v>
      </c>
      <c r="O2471" s="186"/>
      <c r="P2471" s="177"/>
      <c r="S2471" s="178" t="s">
        <v>4180</v>
      </c>
      <c r="T2471" s="178" t="s">
        <v>1017</v>
      </c>
      <c r="U2471" s="179"/>
      <c r="W2471" s="180"/>
      <c r="X2471" s="180"/>
      <c r="Z2471" s="180"/>
      <c r="AA2471" s="184" t="s">
        <v>1017</v>
      </c>
      <c r="AC2471" s="180"/>
      <c r="AD2471" s="182"/>
      <c r="AE2471" s="181" t="s">
        <v>1017</v>
      </c>
      <c r="AF2471" s="180"/>
      <c r="AG2471" s="201"/>
      <c r="AH2471" s="217" t="s">
        <v>4179</v>
      </c>
      <c r="AI2471" s="214" t="str">
        <f t="shared" si="1124"/>
        <v/>
      </c>
      <c r="AJ2471" s="214" t="str">
        <f t="shared" si="1125"/>
        <v/>
      </c>
      <c r="AK2471" s="214" t="str">
        <f t="shared" si="1126"/>
        <v/>
      </c>
      <c r="AL2471" s="214" t="str">
        <f t="shared" si="1127"/>
        <v/>
      </c>
      <c r="AM2471" s="214" t="str">
        <f t="shared" si="1128"/>
        <v/>
      </c>
      <c r="AN2471" s="213" t="str">
        <f t="shared" si="1111"/>
        <v>2012</v>
      </c>
      <c r="AO2471" s="213" t="str">
        <f t="shared" si="1112"/>
        <v>2012</v>
      </c>
      <c r="AP2471" s="213" t="str">
        <f t="shared" si="1113"/>
        <v>2012</v>
      </c>
      <c r="AQ2471" s="215" t="str">
        <f t="shared" si="1114"/>
        <v/>
      </c>
      <c r="AR2471" s="216" t="str">
        <f t="shared" si="1115"/>
        <v>BiK82M2bK12-08</v>
      </c>
      <c r="AS2471" s="215" t="str">
        <f t="shared" si="1116"/>
        <v/>
      </c>
      <c r="AT2471">
        <f t="shared" si="1117"/>
        <v>14</v>
      </c>
      <c r="AU2471" s="216" t="str">
        <f t="shared" si="1118"/>
        <v>0,15-0,5 MW, Bonusregeln M2, b und K erstmals 2012</v>
      </c>
      <c r="AV2471" s="215" t="str">
        <f t="shared" si="1119"/>
        <v/>
      </c>
      <c r="AW2471" s="216" t="str">
        <f t="shared" si="1120"/>
        <v>Anteil KWK, erstmals 2012</v>
      </c>
      <c r="AX2471" s="215" t="str">
        <f t="shared" si="1121"/>
        <v/>
      </c>
      <c r="AY2471" t="str">
        <f t="shared" si="1122"/>
        <v/>
      </c>
      <c r="AZ2471" t="str">
        <f t="shared" si="1123"/>
        <v>x</v>
      </c>
    </row>
    <row r="2472" spans="1:52" s="178" customFormat="1" x14ac:dyDescent="0.25">
      <c r="A2472" s="610" t="s">
        <v>4733</v>
      </c>
      <c r="B2472" s="30" t="s">
        <v>5548</v>
      </c>
      <c r="C2472" s="30" t="s">
        <v>5540</v>
      </c>
      <c r="D2472" s="30" t="s">
        <v>7179</v>
      </c>
      <c r="E2472" s="30" t="s">
        <v>4810</v>
      </c>
      <c r="F2472" s="454">
        <f t="shared" si="1130"/>
        <v>20.32</v>
      </c>
      <c r="G2472" s="529">
        <v>20.32</v>
      </c>
      <c r="H2472" s="487">
        <f t="shared" si="1131"/>
        <v>16.260000000000002</v>
      </c>
      <c r="I2472" s="706"/>
      <c r="J2472" s="669" t="s">
        <v>5805</v>
      </c>
      <c r="K2472" s="15"/>
      <c r="L2472"/>
      <c r="M2472" s="49">
        <f t="shared" si="1132"/>
        <v>20.32</v>
      </c>
      <c r="N2472" s="41">
        <v>9.32</v>
      </c>
      <c r="O2472" s="187"/>
      <c r="P2472" s="183"/>
      <c r="Q2472" s="184"/>
      <c r="R2472" s="184"/>
      <c r="S2472" s="184" t="s">
        <v>4180</v>
      </c>
      <c r="T2472" s="178" t="s">
        <v>4180</v>
      </c>
      <c r="U2472" s="185" t="s">
        <v>1017</v>
      </c>
      <c r="V2472" s="184"/>
      <c r="W2472" s="180"/>
      <c r="X2472" s="180"/>
      <c r="Z2472" s="180"/>
      <c r="AA2472" s="184" t="s">
        <v>1017</v>
      </c>
      <c r="AB2472" s="184"/>
      <c r="AC2472" s="180"/>
      <c r="AD2472" s="182"/>
      <c r="AE2472" s="181" t="s">
        <v>1017</v>
      </c>
      <c r="AF2472" s="180"/>
      <c r="AG2472" s="201"/>
      <c r="AH2472" s="212" t="str">
        <f t="shared" ref="AH2472:AH2477" si="1139">IF(ISERROR(SEARCH("K erstmals 201",D2472)),"",RIGHT(D2472,4))</f>
        <v/>
      </c>
      <c r="AI2472" s="214" t="str">
        <f t="shared" si="1124"/>
        <v/>
      </c>
      <c r="AJ2472" s="214" t="str">
        <f t="shared" si="1125"/>
        <v/>
      </c>
      <c r="AK2472" s="214" t="str">
        <f t="shared" si="1126"/>
        <v/>
      </c>
      <c r="AL2472" s="214" t="str">
        <f t="shared" si="1127"/>
        <v/>
      </c>
      <c r="AM2472" s="214" t="str">
        <f t="shared" si="1128"/>
        <v/>
      </c>
      <c r="AN2472" s="213" t="str">
        <f t="shared" si="1111"/>
        <v/>
      </c>
      <c r="AO2472" s="213" t="str">
        <f t="shared" si="1112"/>
        <v/>
      </c>
      <c r="AP2472" s="213" t="str">
        <f t="shared" si="1113"/>
        <v/>
      </c>
      <c r="AQ2472" s="215" t="str">
        <f t="shared" si="1114"/>
        <v/>
      </c>
      <c r="AR2472" s="216" t="str">
        <f t="shared" si="1115"/>
        <v>BiK82M2by---08</v>
      </c>
      <c r="AS2472" s="215" t="str">
        <f t="shared" si="1116"/>
        <v/>
      </c>
      <c r="AT2472">
        <f t="shared" si="1117"/>
        <v>14</v>
      </c>
      <c r="AU2472" s="216" t="str">
        <f t="shared" si="1118"/>
        <v>0,15-0,5 MW, Bonusregeln M2, y, b</v>
      </c>
      <c r="AV2472" s="215" t="str">
        <f t="shared" si="1119"/>
        <v/>
      </c>
      <c r="AW2472" s="216" t="str">
        <f t="shared" si="1120"/>
        <v>Anteil Nicht-KWK</v>
      </c>
      <c r="AX2472" s="215" t="str">
        <f t="shared" si="1121"/>
        <v/>
      </c>
      <c r="AY2472" t="str">
        <f t="shared" si="1122"/>
        <v/>
      </c>
      <c r="AZ2472" t="str">
        <f t="shared" si="1123"/>
        <v/>
      </c>
    </row>
    <row r="2473" spans="1:52" s="178" customFormat="1" x14ac:dyDescent="0.25">
      <c r="A2473" s="610" t="s">
        <v>4734</v>
      </c>
      <c r="B2473" s="30" t="s">
        <v>5548</v>
      </c>
      <c r="C2473" s="30" t="s">
        <v>5540</v>
      </c>
      <c r="D2473" s="30" t="s">
        <v>7180</v>
      </c>
      <c r="E2473" s="30" t="s">
        <v>4812</v>
      </c>
      <c r="F2473" s="454">
        <f t="shared" si="1130"/>
        <v>22.32</v>
      </c>
      <c r="G2473" s="529">
        <v>22.32</v>
      </c>
      <c r="H2473" s="487">
        <f t="shared" si="1131"/>
        <v>17.86</v>
      </c>
      <c r="I2473" s="706"/>
      <c r="J2473" s="669" t="s">
        <v>5805</v>
      </c>
      <c r="K2473" s="15"/>
      <c r="L2473"/>
      <c r="M2473" s="49">
        <f t="shared" si="1132"/>
        <v>22.32</v>
      </c>
      <c r="N2473" s="41">
        <v>9.32</v>
      </c>
      <c r="O2473" s="187" t="s">
        <v>1017</v>
      </c>
      <c r="P2473" s="183"/>
      <c r="Q2473" s="184"/>
      <c r="R2473" s="184"/>
      <c r="S2473" s="184" t="s">
        <v>4180</v>
      </c>
      <c r="T2473" s="178" t="s">
        <v>4180</v>
      </c>
      <c r="U2473" s="185" t="s">
        <v>1017</v>
      </c>
      <c r="V2473" s="184"/>
      <c r="W2473" s="180"/>
      <c r="X2473" s="180"/>
      <c r="Z2473" s="180"/>
      <c r="AA2473" s="184" t="s">
        <v>1017</v>
      </c>
      <c r="AB2473" s="184"/>
      <c r="AC2473" s="180"/>
      <c r="AD2473" s="182"/>
      <c r="AE2473" s="181" t="s">
        <v>1017</v>
      </c>
      <c r="AF2473" s="180"/>
      <c r="AG2473" s="201"/>
      <c r="AH2473" s="212" t="str">
        <f t="shared" si="1139"/>
        <v/>
      </c>
      <c r="AI2473" s="214" t="str">
        <f t="shared" si="1124"/>
        <v/>
      </c>
      <c r="AJ2473" s="214" t="str">
        <f t="shared" si="1125"/>
        <v/>
      </c>
      <c r="AK2473" s="214" t="str">
        <f t="shared" si="1126"/>
        <v/>
      </c>
      <c r="AL2473" s="214" t="str">
        <f t="shared" si="1127"/>
        <v/>
      </c>
      <c r="AM2473" s="214" t="str">
        <f t="shared" si="1128"/>
        <v/>
      </c>
      <c r="AN2473" s="213" t="str">
        <f t="shared" si="1111"/>
        <v/>
      </c>
      <c r="AO2473" s="213" t="str">
        <f t="shared" si="1112"/>
        <v/>
      </c>
      <c r="AP2473" s="213" t="str">
        <f t="shared" si="1113"/>
        <v/>
      </c>
      <c r="AQ2473" s="215" t="str">
        <f t="shared" si="1114"/>
        <v/>
      </c>
      <c r="AR2473" s="216" t="str">
        <f t="shared" si="1115"/>
        <v>BiK82M2bKWKy08</v>
      </c>
      <c r="AS2473" s="215" t="str">
        <f t="shared" si="1116"/>
        <v/>
      </c>
      <c r="AT2473">
        <f t="shared" si="1117"/>
        <v>14</v>
      </c>
      <c r="AU2473" s="216" t="str">
        <f t="shared" si="1118"/>
        <v>0,15-0,5 MW, Bonusregeln M2, y, b und KWK</v>
      </c>
      <c r="AV2473" s="215" t="str">
        <f t="shared" si="1119"/>
        <v/>
      </c>
      <c r="AW2473" s="216" t="str">
        <f t="shared" si="1120"/>
        <v>Anteil KWK</v>
      </c>
      <c r="AX2473" s="215" t="str">
        <f t="shared" si="1121"/>
        <v/>
      </c>
      <c r="AY2473" t="str">
        <f t="shared" si="1122"/>
        <v/>
      </c>
      <c r="AZ2473" t="str">
        <f t="shared" si="1123"/>
        <v/>
      </c>
    </row>
    <row r="2474" spans="1:52" s="178" customFormat="1" x14ac:dyDescent="0.25">
      <c r="A2474" s="610" t="s">
        <v>4735</v>
      </c>
      <c r="B2474" s="30" t="s">
        <v>5548</v>
      </c>
      <c r="C2474" s="30" t="s">
        <v>5540</v>
      </c>
      <c r="D2474" s="109" t="s">
        <v>7181</v>
      </c>
      <c r="E2474" s="30" t="s">
        <v>4331</v>
      </c>
      <c r="F2474" s="454">
        <f t="shared" si="1130"/>
        <v>23.32</v>
      </c>
      <c r="G2474" s="529">
        <v>23.32</v>
      </c>
      <c r="H2474" s="487">
        <f t="shared" si="1131"/>
        <v>18.66</v>
      </c>
      <c r="I2474" s="706"/>
      <c r="J2474" s="669" t="s">
        <v>5805</v>
      </c>
      <c r="K2474" s="15"/>
      <c r="L2474"/>
      <c r="M2474" s="49">
        <f t="shared" si="1132"/>
        <v>23.32</v>
      </c>
      <c r="N2474" s="41">
        <v>9.32</v>
      </c>
      <c r="O2474" s="187"/>
      <c r="P2474" s="184" t="s">
        <v>1017</v>
      </c>
      <c r="Q2474" s="184"/>
      <c r="R2474" s="184"/>
      <c r="S2474" s="184" t="s">
        <v>4180</v>
      </c>
      <c r="T2474" s="178" t="s">
        <v>4180</v>
      </c>
      <c r="U2474" s="185" t="s">
        <v>1017</v>
      </c>
      <c r="V2474" s="184"/>
      <c r="W2474" s="180"/>
      <c r="X2474" s="180"/>
      <c r="Z2474" s="180"/>
      <c r="AA2474" s="184" t="s">
        <v>1017</v>
      </c>
      <c r="AB2474" s="184"/>
      <c r="AC2474" s="180"/>
      <c r="AD2474" s="182"/>
      <c r="AE2474" s="181" t="s">
        <v>1017</v>
      </c>
      <c r="AF2474" s="180"/>
      <c r="AG2474" s="201"/>
      <c r="AH2474" s="212" t="str">
        <f t="shared" si="1139"/>
        <v/>
      </c>
      <c r="AI2474" s="214" t="str">
        <f t="shared" si="1124"/>
        <v/>
      </c>
      <c r="AJ2474" s="214" t="str">
        <f t="shared" si="1125"/>
        <v/>
      </c>
      <c r="AK2474" s="214" t="str">
        <f t="shared" si="1126"/>
        <v/>
      </c>
      <c r="AL2474" s="214" t="str">
        <f t="shared" si="1127"/>
        <v/>
      </c>
      <c r="AM2474" s="214" t="str">
        <f t="shared" si="1128"/>
        <v/>
      </c>
      <c r="AN2474" s="213" t="str">
        <f t="shared" si="1111"/>
        <v/>
      </c>
      <c r="AO2474" s="213" t="str">
        <f t="shared" si="1112"/>
        <v/>
      </c>
      <c r="AP2474" s="213" t="str">
        <f t="shared" si="1113"/>
        <v/>
      </c>
      <c r="AQ2474" s="215" t="str">
        <f t="shared" si="1114"/>
        <v/>
      </c>
      <c r="AR2474" s="216" t="str">
        <f t="shared" si="1115"/>
        <v>BiK82M2bKA3y08</v>
      </c>
      <c r="AS2474" s="215" t="str">
        <f t="shared" si="1116"/>
        <v/>
      </c>
      <c r="AT2474">
        <f t="shared" si="1117"/>
        <v>14</v>
      </c>
      <c r="AU2474" s="216" t="str">
        <f t="shared" si="1118"/>
        <v>0,15-0,5 MW, Bonusregeln M2, y, b und K wenn Anlage 3 erfüllt</v>
      </c>
      <c r="AV2474" s="215" t="str">
        <f t="shared" si="1119"/>
        <v/>
      </c>
      <c r="AW2474" s="216" t="str">
        <f t="shared" si="1120"/>
        <v>Anteil KWK gemäß Anlage 3</v>
      </c>
      <c r="AX2474" s="215" t="str">
        <f t="shared" si="1121"/>
        <v/>
      </c>
      <c r="AY2474" t="str">
        <f t="shared" si="1122"/>
        <v/>
      </c>
      <c r="AZ2474" t="str">
        <f t="shared" si="1123"/>
        <v/>
      </c>
    </row>
    <row r="2475" spans="1:52" x14ac:dyDescent="0.25">
      <c r="A2475" s="610" t="s">
        <v>4736</v>
      </c>
      <c r="B2475" s="30" t="s">
        <v>5548</v>
      </c>
      <c r="C2475" s="30" t="s">
        <v>5540</v>
      </c>
      <c r="D2475" s="30" t="s">
        <v>7182</v>
      </c>
      <c r="E2475" s="30" t="s">
        <v>674</v>
      </c>
      <c r="F2475" s="454">
        <f t="shared" si="1130"/>
        <v>23.32</v>
      </c>
      <c r="G2475" s="529">
        <v>23.32</v>
      </c>
      <c r="H2475" s="487">
        <f t="shared" si="1131"/>
        <v>18.66</v>
      </c>
      <c r="I2475" s="706"/>
      <c r="J2475" s="669" t="s">
        <v>5805</v>
      </c>
      <c r="K2475" s="15"/>
      <c r="M2475" s="49">
        <f t="shared" si="1132"/>
        <v>23.32</v>
      </c>
      <c r="N2475" s="41">
        <v>9.32</v>
      </c>
      <c r="O2475" s="187"/>
      <c r="P2475" s="183"/>
      <c r="Q2475" s="184" t="s">
        <v>1017</v>
      </c>
      <c r="R2475" s="184"/>
      <c r="S2475" s="184" t="s">
        <v>4180</v>
      </c>
      <c r="T2475" t="s">
        <v>4180</v>
      </c>
      <c r="U2475" s="185" t="s">
        <v>1017</v>
      </c>
      <c r="V2475" s="184"/>
      <c r="W2475" s="180"/>
      <c r="X2475" s="180"/>
      <c r="Y2475" s="178"/>
      <c r="Z2475" s="180"/>
      <c r="AA2475" s="184" t="s">
        <v>1017</v>
      </c>
      <c r="AB2475" s="184"/>
      <c r="AC2475" s="180"/>
      <c r="AD2475" s="182"/>
      <c r="AE2475" s="181" t="s">
        <v>1017</v>
      </c>
      <c r="AF2475" s="180"/>
      <c r="AG2475" s="201"/>
      <c r="AH2475" s="212" t="str">
        <f t="shared" si="1139"/>
        <v/>
      </c>
      <c r="AI2475" s="214" t="str">
        <f t="shared" si="1124"/>
        <v/>
      </c>
      <c r="AJ2475" s="214" t="str">
        <f t="shared" si="1125"/>
        <v/>
      </c>
      <c r="AK2475" s="214" t="str">
        <f t="shared" si="1126"/>
        <v/>
      </c>
      <c r="AL2475" s="214" t="str">
        <f t="shared" si="1127"/>
        <v/>
      </c>
      <c r="AM2475" s="214" t="str">
        <f t="shared" si="1128"/>
        <v/>
      </c>
      <c r="AN2475" s="213" t="str">
        <f t="shared" si="1111"/>
        <v/>
      </c>
      <c r="AO2475" s="213" t="str">
        <f t="shared" si="1112"/>
        <v/>
      </c>
      <c r="AP2475" s="213" t="str">
        <f t="shared" si="1113"/>
        <v/>
      </c>
      <c r="AQ2475" s="215" t="str">
        <f t="shared" si="1114"/>
        <v/>
      </c>
      <c r="AR2475" s="216" t="str">
        <f t="shared" si="1115"/>
        <v>BiK82M2bK09y08</v>
      </c>
      <c r="AS2475" s="215" t="str">
        <f t="shared" si="1116"/>
        <v/>
      </c>
      <c r="AT2475">
        <f t="shared" si="1117"/>
        <v>14</v>
      </c>
      <c r="AU2475" s="216" t="str">
        <f t="shared" si="1118"/>
        <v>0,15-0,5 MW, Bonusregeln M2, y, b und K erstmals 2009</v>
      </c>
      <c r="AV2475" s="215" t="str">
        <f t="shared" si="1119"/>
        <v/>
      </c>
      <c r="AW2475" s="216" t="str">
        <f t="shared" si="1120"/>
        <v>Anteil KWK, erstmals 2009</v>
      </c>
      <c r="AX2475" s="215" t="str">
        <f t="shared" si="1121"/>
        <v/>
      </c>
      <c r="AY2475" t="str">
        <f t="shared" si="1122"/>
        <v/>
      </c>
      <c r="AZ2475" t="str">
        <f t="shared" si="1123"/>
        <v/>
      </c>
    </row>
    <row r="2476" spans="1:52" x14ac:dyDescent="0.25">
      <c r="A2476" s="610" t="s">
        <v>3272</v>
      </c>
      <c r="B2476" s="30" t="s">
        <v>5548</v>
      </c>
      <c r="C2476" s="30" t="s">
        <v>5540</v>
      </c>
      <c r="D2476" s="30" t="s">
        <v>7183</v>
      </c>
      <c r="E2476" s="30" t="s">
        <v>3567</v>
      </c>
      <c r="F2476" s="454">
        <f t="shared" si="1130"/>
        <v>23.29</v>
      </c>
      <c r="G2476" s="529">
        <v>23.29</v>
      </c>
      <c r="H2476" s="487">
        <f t="shared" si="1131"/>
        <v>18.63</v>
      </c>
      <c r="I2476" s="706"/>
      <c r="J2476" s="669" t="s">
        <v>5805</v>
      </c>
      <c r="K2476" s="15"/>
      <c r="M2476" s="49">
        <f t="shared" si="1132"/>
        <v>23.29</v>
      </c>
      <c r="N2476" s="41">
        <v>9.32</v>
      </c>
      <c r="O2476" s="187"/>
      <c r="P2476" s="183"/>
      <c r="Q2476" s="184"/>
      <c r="R2476" s="184" t="s">
        <v>1017</v>
      </c>
      <c r="S2476" s="184" t="s">
        <v>4180</v>
      </c>
      <c r="T2476" t="s">
        <v>4180</v>
      </c>
      <c r="U2476" s="185" t="s">
        <v>1017</v>
      </c>
      <c r="V2476" s="184"/>
      <c r="W2476" s="180"/>
      <c r="X2476" s="180"/>
      <c r="Y2476" s="178"/>
      <c r="Z2476" s="180"/>
      <c r="AA2476" s="184" t="s">
        <v>1017</v>
      </c>
      <c r="AB2476" s="184"/>
      <c r="AC2476" s="180"/>
      <c r="AD2476" s="182"/>
      <c r="AE2476" s="181" t="s">
        <v>1017</v>
      </c>
      <c r="AF2476" s="180"/>
      <c r="AG2476" s="201"/>
      <c r="AH2476" s="212" t="str">
        <f t="shared" si="1139"/>
        <v>2010</v>
      </c>
      <c r="AI2476" s="214" t="str">
        <f t="shared" si="1124"/>
        <v/>
      </c>
      <c r="AJ2476" s="214" t="str">
        <f t="shared" si="1125"/>
        <v/>
      </c>
      <c r="AK2476" s="214" t="str">
        <f t="shared" si="1126"/>
        <v/>
      </c>
      <c r="AL2476" s="214" t="str">
        <f t="shared" si="1127"/>
        <v/>
      </c>
      <c r="AM2476" s="214" t="str">
        <f t="shared" si="1128"/>
        <v/>
      </c>
      <c r="AN2476" s="213" t="str">
        <f t="shared" si="1111"/>
        <v>2010</v>
      </c>
      <c r="AO2476" s="213" t="str">
        <f t="shared" si="1112"/>
        <v>2010</v>
      </c>
      <c r="AP2476" s="213" t="str">
        <f t="shared" si="1113"/>
        <v>2010</v>
      </c>
      <c r="AQ2476" s="215" t="str">
        <f t="shared" si="1114"/>
        <v/>
      </c>
      <c r="AR2476" s="216" t="str">
        <f t="shared" si="1115"/>
        <v>BiK82M2bK10y08</v>
      </c>
      <c r="AS2476" s="215" t="str">
        <f t="shared" si="1116"/>
        <v/>
      </c>
      <c r="AT2476">
        <f t="shared" si="1117"/>
        <v>14</v>
      </c>
      <c r="AU2476" s="216" t="str">
        <f t="shared" si="1118"/>
        <v>0,15-0,5 MW, Bonusregeln M2, y, b und K erstmals 2010</v>
      </c>
      <c r="AV2476" s="215" t="str">
        <f t="shared" si="1119"/>
        <v/>
      </c>
      <c r="AW2476" s="216" t="str">
        <f t="shared" si="1120"/>
        <v>Anteil KWK, erstmals 2010</v>
      </c>
      <c r="AX2476" s="215" t="str">
        <f t="shared" si="1121"/>
        <v/>
      </c>
      <c r="AY2476" t="str">
        <f t="shared" si="1122"/>
        <v/>
      </c>
      <c r="AZ2476" t="str">
        <f t="shared" si="1123"/>
        <v/>
      </c>
    </row>
    <row r="2477" spans="1:52" x14ac:dyDescent="0.25">
      <c r="A2477" s="610" t="s">
        <v>3477</v>
      </c>
      <c r="B2477" s="30" t="s">
        <v>5548</v>
      </c>
      <c r="C2477" s="30" t="s">
        <v>5540</v>
      </c>
      <c r="D2477" s="30" t="s">
        <v>7184</v>
      </c>
      <c r="E2477" s="30" t="s">
        <v>3055</v>
      </c>
      <c r="F2477" s="454">
        <f t="shared" si="1130"/>
        <v>23.259999999999998</v>
      </c>
      <c r="G2477" s="529">
        <v>23.259999999999998</v>
      </c>
      <c r="H2477" s="487">
        <f t="shared" si="1131"/>
        <v>18.61</v>
      </c>
      <c r="I2477" s="706"/>
      <c r="J2477" s="669" t="s">
        <v>5805</v>
      </c>
      <c r="K2477" s="15"/>
      <c r="M2477" s="49">
        <f t="shared" si="1132"/>
        <v>23.259999999999998</v>
      </c>
      <c r="N2477" s="41">
        <v>9.32</v>
      </c>
      <c r="O2477" s="187"/>
      <c r="P2477" s="183"/>
      <c r="Q2477" s="184"/>
      <c r="R2477" s="178"/>
      <c r="S2477" s="184" t="s">
        <v>1017</v>
      </c>
      <c r="T2477" t="s">
        <v>4180</v>
      </c>
      <c r="U2477" s="185" t="s">
        <v>1017</v>
      </c>
      <c r="V2477" s="184"/>
      <c r="W2477" s="180"/>
      <c r="X2477" s="180"/>
      <c r="Y2477" s="178"/>
      <c r="Z2477" s="180"/>
      <c r="AA2477" s="184" t="s">
        <v>1017</v>
      </c>
      <c r="AB2477" s="184"/>
      <c r="AC2477" s="180"/>
      <c r="AD2477" s="182"/>
      <c r="AE2477" s="181" t="s">
        <v>1017</v>
      </c>
      <c r="AF2477" s="180"/>
      <c r="AG2477" s="201"/>
      <c r="AH2477" s="212" t="str">
        <f t="shared" si="1139"/>
        <v>2011</v>
      </c>
      <c r="AI2477" s="214" t="str">
        <f t="shared" si="1124"/>
        <v/>
      </c>
      <c r="AJ2477" s="214" t="str">
        <f t="shared" si="1125"/>
        <v/>
      </c>
      <c r="AK2477" s="214" t="str">
        <f t="shared" si="1126"/>
        <v/>
      </c>
      <c r="AL2477" s="214" t="str">
        <f t="shared" si="1127"/>
        <v/>
      </c>
      <c r="AM2477" s="214" t="str">
        <f t="shared" si="1128"/>
        <v/>
      </c>
      <c r="AN2477" s="213" t="str">
        <f t="shared" si="1111"/>
        <v>2011</v>
      </c>
      <c r="AO2477" s="213" t="str">
        <f t="shared" si="1112"/>
        <v>2011</v>
      </c>
      <c r="AP2477" s="213" t="str">
        <f t="shared" si="1113"/>
        <v>2011</v>
      </c>
      <c r="AQ2477" s="215" t="str">
        <f t="shared" si="1114"/>
        <v/>
      </c>
      <c r="AR2477" s="216" t="str">
        <f t="shared" si="1115"/>
        <v>BiK82M2bK11y08</v>
      </c>
      <c r="AS2477" s="215" t="str">
        <f t="shared" si="1116"/>
        <v/>
      </c>
      <c r="AT2477">
        <f t="shared" si="1117"/>
        <v>14</v>
      </c>
      <c r="AU2477" s="216" t="str">
        <f t="shared" si="1118"/>
        <v>0,15-0,5 MW, Bonusregeln M2, y, b und K erstmals 2011</v>
      </c>
      <c r="AV2477" s="215" t="str">
        <f t="shared" si="1119"/>
        <v/>
      </c>
      <c r="AW2477" s="216" t="str">
        <f t="shared" si="1120"/>
        <v>Anteil KWK, erstmals 2011</v>
      </c>
      <c r="AX2477" s="215" t="str">
        <f t="shared" si="1121"/>
        <v/>
      </c>
      <c r="AY2477" t="str">
        <f t="shared" si="1122"/>
        <v>x</v>
      </c>
      <c r="AZ2477" t="str">
        <f t="shared" si="1123"/>
        <v/>
      </c>
    </row>
    <row r="2478" spans="1:52" x14ac:dyDescent="0.25">
      <c r="A2478" s="625" t="s">
        <v>1909</v>
      </c>
      <c r="B2478" s="219" t="s">
        <v>5548</v>
      </c>
      <c r="C2478" s="219" t="s">
        <v>5540</v>
      </c>
      <c r="D2478" s="219" t="s">
        <v>7185</v>
      </c>
      <c r="E2478" s="219" t="s">
        <v>1980</v>
      </c>
      <c r="F2478" s="455">
        <f t="shared" si="1130"/>
        <v>23.23</v>
      </c>
      <c r="G2478" s="530">
        <v>23.23</v>
      </c>
      <c r="H2478" s="488">
        <f t="shared" si="1131"/>
        <v>18.579999999999998</v>
      </c>
      <c r="I2478" s="707"/>
      <c r="J2478" s="669" t="s">
        <v>5805</v>
      </c>
      <c r="K2478" s="15"/>
      <c r="M2478" s="49">
        <f t="shared" si="1132"/>
        <v>23.23</v>
      </c>
      <c r="N2478" s="41">
        <v>9.32</v>
      </c>
      <c r="O2478" s="187"/>
      <c r="P2478" s="183"/>
      <c r="Q2478" s="184"/>
      <c r="R2478" s="178"/>
      <c r="S2478" s="184" t="s">
        <v>4180</v>
      </c>
      <c r="T2478" t="s">
        <v>1017</v>
      </c>
      <c r="U2478" s="185" t="s">
        <v>1017</v>
      </c>
      <c r="V2478" s="184"/>
      <c r="W2478" s="180"/>
      <c r="X2478" s="180"/>
      <c r="Y2478" s="178"/>
      <c r="Z2478" s="180"/>
      <c r="AA2478" s="184" t="s">
        <v>1017</v>
      </c>
      <c r="AB2478" s="184"/>
      <c r="AC2478" s="180"/>
      <c r="AD2478" s="182"/>
      <c r="AE2478" s="181" t="s">
        <v>1017</v>
      </c>
      <c r="AF2478" s="180"/>
      <c r="AG2478" s="201"/>
      <c r="AH2478" s="217" t="s">
        <v>4179</v>
      </c>
      <c r="AI2478" s="214" t="str">
        <f t="shared" si="1124"/>
        <v/>
      </c>
      <c r="AJ2478" s="214" t="str">
        <f t="shared" si="1125"/>
        <v/>
      </c>
      <c r="AK2478" s="214" t="str">
        <f t="shared" si="1126"/>
        <v/>
      </c>
      <c r="AL2478" s="214" t="str">
        <f t="shared" si="1127"/>
        <v/>
      </c>
      <c r="AM2478" s="214" t="str">
        <f t="shared" si="1128"/>
        <v/>
      </c>
      <c r="AN2478" s="213" t="str">
        <f t="shared" si="1111"/>
        <v>2012</v>
      </c>
      <c r="AO2478" s="213" t="str">
        <f t="shared" si="1112"/>
        <v>2012</v>
      </c>
      <c r="AP2478" s="213" t="str">
        <f t="shared" si="1113"/>
        <v>2012</v>
      </c>
      <c r="AQ2478" s="215" t="str">
        <f t="shared" si="1114"/>
        <v/>
      </c>
      <c r="AR2478" s="216" t="str">
        <f t="shared" si="1115"/>
        <v>BiK82M2bK12y08</v>
      </c>
      <c r="AS2478" s="215" t="str">
        <f t="shared" si="1116"/>
        <v/>
      </c>
      <c r="AT2478">
        <f t="shared" si="1117"/>
        <v>14</v>
      </c>
      <c r="AU2478" s="216" t="str">
        <f t="shared" si="1118"/>
        <v>0,15-0,5 MW, Bonusregeln M2, y, b und K erstmals 2012</v>
      </c>
      <c r="AV2478" s="215" t="str">
        <f t="shared" si="1119"/>
        <v/>
      </c>
      <c r="AW2478" s="216" t="str">
        <f t="shared" si="1120"/>
        <v>Anteil KWK, erstmals 2012</v>
      </c>
      <c r="AX2478" s="215" t="str">
        <f t="shared" si="1121"/>
        <v/>
      </c>
      <c r="AY2478" t="str">
        <f t="shared" si="1122"/>
        <v/>
      </c>
      <c r="AZ2478" t="str">
        <f t="shared" si="1123"/>
        <v>x</v>
      </c>
    </row>
    <row r="2479" spans="1:52" x14ac:dyDescent="0.25">
      <c r="A2479" s="610" t="s">
        <v>2232</v>
      </c>
      <c r="B2479" s="30" t="s">
        <v>5548</v>
      </c>
      <c r="C2479" s="30" t="s">
        <v>5540</v>
      </c>
      <c r="D2479" s="30" t="s">
        <v>7186</v>
      </c>
      <c r="E2479" s="30" t="s">
        <v>4810</v>
      </c>
      <c r="F2479" s="454">
        <f t="shared" si="1130"/>
        <v>20.32</v>
      </c>
      <c r="G2479" s="529">
        <v>20.32</v>
      </c>
      <c r="H2479" s="487">
        <f t="shared" si="1131"/>
        <v>16.260000000000002</v>
      </c>
      <c r="I2479" s="706"/>
      <c r="J2479" s="669" t="s">
        <v>5805</v>
      </c>
      <c r="K2479" s="15"/>
      <c r="M2479" s="49">
        <f t="shared" si="1132"/>
        <v>20.32</v>
      </c>
      <c r="N2479" s="41">
        <v>9.32</v>
      </c>
      <c r="O2479" s="186"/>
      <c r="P2479" s="177"/>
      <c r="Q2479" s="178"/>
      <c r="R2479" s="178"/>
      <c r="S2479" s="178" t="s">
        <v>4180</v>
      </c>
      <c r="T2479" t="s">
        <v>4180</v>
      </c>
      <c r="U2479" s="179"/>
      <c r="V2479" s="178"/>
      <c r="W2479" s="180"/>
      <c r="X2479" s="180"/>
      <c r="Y2479" s="178"/>
      <c r="Z2479" s="180"/>
      <c r="AA2479" s="184"/>
      <c r="AB2479" s="178" t="s">
        <v>1017</v>
      </c>
      <c r="AC2479" s="180"/>
      <c r="AD2479" s="182"/>
      <c r="AE2479" s="181" t="s">
        <v>1017</v>
      </c>
      <c r="AF2479" s="180"/>
      <c r="AG2479" s="201"/>
      <c r="AH2479" s="212" t="str">
        <f t="shared" ref="AH2479:AH2484" si="1140">IF(ISERROR(SEARCH("K erstmals 201",D2479)),"",RIGHT(D2479,4))</f>
        <v/>
      </c>
      <c r="AI2479" s="214" t="str">
        <f t="shared" si="1124"/>
        <v/>
      </c>
      <c r="AJ2479" s="214" t="str">
        <f t="shared" si="1125"/>
        <v/>
      </c>
      <c r="AK2479" s="214" t="str">
        <f t="shared" si="1126"/>
        <v/>
      </c>
      <c r="AL2479" s="214" t="str">
        <f t="shared" si="1127"/>
        <v/>
      </c>
      <c r="AM2479" s="214" t="str">
        <f t="shared" si="1128"/>
        <v/>
      </c>
      <c r="AN2479" s="213" t="str">
        <f t="shared" si="1111"/>
        <v/>
      </c>
      <c r="AO2479" s="213" t="str">
        <f t="shared" si="1112"/>
        <v/>
      </c>
      <c r="AP2479" s="213" t="str">
        <f t="shared" si="1113"/>
        <v/>
      </c>
      <c r="AQ2479" s="215" t="str">
        <f t="shared" si="1114"/>
        <v/>
      </c>
      <c r="AR2479" s="216" t="str">
        <f t="shared" si="1115"/>
        <v>BiK82Lb-----08</v>
      </c>
      <c r="AS2479" s="215" t="str">
        <f t="shared" si="1116"/>
        <v/>
      </c>
      <c r="AT2479">
        <f t="shared" si="1117"/>
        <v>14</v>
      </c>
      <c r="AU2479" s="216" t="str">
        <f t="shared" si="1118"/>
        <v>0,15-0,5 MW, Bonusregeln L, b</v>
      </c>
      <c r="AV2479" s="215" t="str">
        <f t="shared" si="1119"/>
        <v/>
      </c>
      <c r="AW2479" s="216" t="str">
        <f t="shared" si="1120"/>
        <v>Anteil Nicht-KWK</v>
      </c>
      <c r="AX2479" s="215" t="str">
        <f t="shared" si="1121"/>
        <v/>
      </c>
      <c r="AY2479" t="str">
        <f t="shared" si="1122"/>
        <v/>
      </c>
      <c r="AZ2479" t="str">
        <f t="shared" si="1123"/>
        <v/>
      </c>
    </row>
    <row r="2480" spans="1:52" s="178" customFormat="1" x14ac:dyDescent="0.25">
      <c r="A2480" s="610" t="s">
        <v>2233</v>
      </c>
      <c r="B2480" s="30" t="s">
        <v>5548</v>
      </c>
      <c r="C2480" s="30" t="s">
        <v>5540</v>
      </c>
      <c r="D2480" s="30" t="s">
        <v>7187</v>
      </c>
      <c r="E2480" s="30" t="s">
        <v>4812</v>
      </c>
      <c r="F2480" s="454">
        <f t="shared" si="1130"/>
        <v>22.32</v>
      </c>
      <c r="G2480" s="529">
        <v>22.32</v>
      </c>
      <c r="H2480" s="487">
        <f t="shared" si="1131"/>
        <v>17.86</v>
      </c>
      <c r="I2480" s="706"/>
      <c r="J2480" s="669" t="s">
        <v>5805</v>
      </c>
      <c r="K2480" s="15"/>
      <c r="L2480"/>
      <c r="M2480" s="49">
        <f t="shared" si="1132"/>
        <v>22.32</v>
      </c>
      <c r="N2480" s="41">
        <v>9.32</v>
      </c>
      <c r="O2480" s="186" t="s">
        <v>1017</v>
      </c>
      <c r="P2480" s="177"/>
      <c r="S2480" s="178" t="s">
        <v>4180</v>
      </c>
      <c r="T2480" s="178" t="s">
        <v>4180</v>
      </c>
      <c r="U2480" s="179"/>
      <c r="W2480" s="180"/>
      <c r="X2480" s="180"/>
      <c r="Z2480" s="180"/>
      <c r="AA2480" s="184"/>
      <c r="AB2480" s="178" t="s">
        <v>1017</v>
      </c>
      <c r="AC2480" s="180"/>
      <c r="AD2480" s="182"/>
      <c r="AE2480" s="181" t="s">
        <v>1017</v>
      </c>
      <c r="AF2480" s="180"/>
      <c r="AG2480" s="201"/>
      <c r="AH2480" s="212" t="str">
        <f t="shared" si="1140"/>
        <v/>
      </c>
      <c r="AI2480" s="214" t="str">
        <f t="shared" si="1124"/>
        <v/>
      </c>
      <c r="AJ2480" s="214" t="str">
        <f t="shared" si="1125"/>
        <v/>
      </c>
      <c r="AK2480" s="214" t="str">
        <f t="shared" si="1126"/>
        <v/>
      </c>
      <c r="AL2480" s="214" t="str">
        <f t="shared" si="1127"/>
        <v/>
      </c>
      <c r="AM2480" s="214" t="str">
        <f t="shared" si="1128"/>
        <v/>
      </c>
      <c r="AN2480" s="213" t="str">
        <f t="shared" si="1111"/>
        <v/>
      </c>
      <c r="AO2480" s="213" t="str">
        <f t="shared" si="1112"/>
        <v/>
      </c>
      <c r="AP2480" s="213" t="str">
        <f t="shared" si="1113"/>
        <v/>
      </c>
      <c r="AQ2480" s="215" t="str">
        <f t="shared" si="1114"/>
        <v/>
      </c>
      <c r="AR2480" s="216" t="str">
        <f t="shared" si="1115"/>
        <v>BiK82LbKWK--08</v>
      </c>
      <c r="AS2480" s="215" t="str">
        <f t="shared" si="1116"/>
        <v/>
      </c>
      <c r="AT2480">
        <f t="shared" si="1117"/>
        <v>14</v>
      </c>
      <c r="AU2480" s="216" t="str">
        <f t="shared" si="1118"/>
        <v>0,15-0,5 MW, Bonusregeln L, b und KWK</v>
      </c>
      <c r="AV2480" s="215" t="str">
        <f t="shared" si="1119"/>
        <v/>
      </c>
      <c r="AW2480" s="216" t="str">
        <f t="shared" si="1120"/>
        <v>Anteil KWK</v>
      </c>
      <c r="AX2480" s="215" t="str">
        <f t="shared" si="1121"/>
        <v/>
      </c>
      <c r="AY2480" t="str">
        <f t="shared" si="1122"/>
        <v/>
      </c>
      <c r="AZ2480" t="str">
        <f t="shared" si="1123"/>
        <v/>
      </c>
    </row>
    <row r="2481" spans="1:52" s="178" customFormat="1" x14ac:dyDescent="0.25">
      <c r="A2481" s="610" t="s">
        <v>2234</v>
      </c>
      <c r="B2481" s="30" t="s">
        <v>5548</v>
      </c>
      <c r="C2481" s="30" t="s">
        <v>5540</v>
      </c>
      <c r="D2481" s="30" t="s">
        <v>7188</v>
      </c>
      <c r="E2481" s="30" t="s">
        <v>4331</v>
      </c>
      <c r="F2481" s="454">
        <f t="shared" si="1130"/>
        <v>23.32</v>
      </c>
      <c r="G2481" s="529">
        <v>23.32</v>
      </c>
      <c r="H2481" s="487">
        <f t="shared" si="1131"/>
        <v>18.66</v>
      </c>
      <c r="I2481" s="706"/>
      <c r="J2481" s="669" t="s">
        <v>5805</v>
      </c>
      <c r="K2481" s="15"/>
      <c r="L2481"/>
      <c r="M2481" s="49">
        <f t="shared" si="1132"/>
        <v>23.32</v>
      </c>
      <c r="N2481" s="41">
        <v>9.32</v>
      </c>
      <c r="O2481" s="186"/>
      <c r="P2481" s="178" t="s">
        <v>1017</v>
      </c>
      <c r="S2481" s="178" t="s">
        <v>4180</v>
      </c>
      <c r="T2481" s="178" t="s">
        <v>4180</v>
      </c>
      <c r="U2481" s="179"/>
      <c r="W2481" s="180"/>
      <c r="X2481" s="180"/>
      <c r="Z2481" s="180"/>
      <c r="AA2481" s="184"/>
      <c r="AB2481" s="178" t="s">
        <v>1017</v>
      </c>
      <c r="AC2481" s="180"/>
      <c r="AD2481" s="182"/>
      <c r="AE2481" s="181" t="s">
        <v>1017</v>
      </c>
      <c r="AF2481" s="180"/>
      <c r="AG2481" s="201"/>
      <c r="AH2481" s="212" t="str">
        <f t="shared" si="1140"/>
        <v/>
      </c>
      <c r="AI2481" s="214" t="str">
        <f t="shared" si="1124"/>
        <v/>
      </c>
      <c r="AJ2481" s="214" t="str">
        <f t="shared" si="1125"/>
        <v/>
      </c>
      <c r="AK2481" s="214" t="str">
        <f t="shared" si="1126"/>
        <v/>
      </c>
      <c r="AL2481" s="214" t="str">
        <f t="shared" si="1127"/>
        <v/>
      </c>
      <c r="AM2481" s="214" t="str">
        <f t="shared" si="1128"/>
        <v/>
      </c>
      <c r="AN2481" s="213" t="str">
        <f t="shared" si="1111"/>
        <v/>
      </c>
      <c r="AO2481" s="213" t="str">
        <f t="shared" si="1112"/>
        <v/>
      </c>
      <c r="AP2481" s="213" t="str">
        <f t="shared" si="1113"/>
        <v/>
      </c>
      <c r="AQ2481" s="215" t="str">
        <f t="shared" si="1114"/>
        <v/>
      </c>
      <c r="AR2481" s="216" t="str">
        <f t="shared" si="1115"/>
        <v>BiK82LbKA3--08</v>
      </c>
      <c r="AS2481" s="215" t="str">
        <f t="shared" si="1116"/>
        <v/>
      </c>
      <c r="AT2481">
        <f t="shared" si="1117"/>
        <v>14</v>
      </c>
      <c r="AU2481" s="216" t="str">
        <f t="shared" si="1118"/>
        <v>0,15-0,5 MW, Bonusregeln L, b und K wenn Anlage 3 erfüllt</v>
      </c>
      <c r="AV2481" s="215" t="str">
        <f t="shared" si="1119"/>
        <v/>
      </c>
      <c r="AW2481" s="216" t="str">
        <f t="shared" si="1120"/>
        <v>Anteil KWK gemäß Anlage 3</v>
      </c>
      <c r="AX2481" s="215" t="str">
        <f t="shared" si="1121"/>
        <v/>
      </c>
      <c r="AY2481" t="str">
        <f t="shared" si="1122"/>
        <v/>
      </c>
      <c r="AZ2481" t="str">
        <f t="shared" si="1123"/>
        <v/>
      </c>
    </row>
    <row r="2482" spans="1:52" s="178" customFormat="1" x14ac:dyDescent="0.25">
      <c r="A2482" s="610" t="s">
        <v>2235</v>
      </c>
      <c r="B2482" s="30" t="s">
        <v>5548</v>
      </c>
      <c r="C2482" s="30" t="s">
        <v>5540</v>
      </c>
      <c r="D2482" s="30" t="s">
        <v>7189</v>
      </c>
      <c r="E2482" s="30" t="s">
        <v>674</v>
      </c>
      <c r="F2482" s="454">
        <f t="shared" si="1130"/>
        <v>23.32</v>
      </c>
      <c r="G2482" s="529">
        <v>23.32</v>
      </c>
      <c r="H2482" s="487">
        <f t="shared" si="1131"/>
        <v>18.66</v>
      </c>
      <c r="I2482" s="706"/>
      <c r="J2482" s="669" t="s">
        <v>5805</v>
      </c>
      <c r="K2482" s="15"/>
      <c r="L2482"/>
      <c r="M2482" s="49">
        <f t="shared" si="1132"/>
        <v>23.32</v>
      </c>
      <c r="N2482" s="41">
        <v>9.32</v>
      </c>
      <c r="O2482" s="186"/>
      <c r="P2482" s="177"/>
      <c r="Q2482" s="178" t="s">
        <v>1017</v>
      </c>
      <c r="S2482" s="178" t="s">
        <v>4180</v>
      </c>
      <c r="T2482" s="178" t="s">
        <v>4180</v>
      </c>
      <c r="U2482" s="179"/>
      <c r="W2482" s="180"/>
      <c r="X2482" s="180"/>
      <c r="Z2482" s="180"/>
      <c r="AA2482" s="184"/>
      <c r="AB2482" s="178" t="s">
        <v>1017</v>
      </c>
      <c r="AC2482" s="180"/>
      <c r="AD2482" s="182"/>
      <c r="AE2482" s="181" t="s">
        <v>1017</v>
      </c>
      <c r="AF2482" s="180"/>
      <c r="AG2482" s="201"/>
      <c r="AH2482" s="212" t="str">
        <f t="shared" si="1140"/>
        <v/>
      </c>
      <c r="AI2482" s="214" t="str">
        <f t="shared" si="1124"/>
        <v/>
      </c>
      <c r="AJ2482" s="214" t="str">
        <f t="shared" si="1125"/>
        <v/>
      </c>
      <c r="AK2482" s="214" t="str">
        <f t="shared" si="1126"/>
        <v/>
      </c>
      <c r="AL2482" s="214" t="str">
        <f t="shared" si="1127"/>
        <v/>
      </c>
      <c r="AM2482" s="214" t="str">
        <f t="shared" si="1128"/>
        <v/>
      </c>
      <c r="AN2482" s="213" t="str">
        <f t="shared" si="1111"/>
        <v/>
      </c>
      <c r="AO2482" s="213" t="str">
        <f t="shared" si="1112"/>
        <v/>
      </c>
      <c r="AP2482" s="213" t="str">
        <f t="shared" si="1113"/>
        <v/>
      </c>
      <c r="AQ2482" s="215" t="str">
        <f t="shared" si="1114"/>
        <v/>
      </c>
      <c r="AR2482" s="216" t="str">
        <f t="shared" si="1115"/>
        <v>BiK82LbK09--08</v>
      </c>
      <c r="AS2482" s="215" t="str">
        <f t="shared" si="1116"/>
        <v/>
      </c>
      <c r="AT2482">
        <f t="shared" si="1117"/>
        <v>14</v>
      </c>
      <c r="AU2482" s="216" t="str">
        <f t="shared" si="1118"/>
        <v>0,15-0,5 MW, Bonusregeln L, b und K erstmals 2009</v>
      </c>
      <c r="AV2482" s="215" t="str">
        <f t="shared" si="1119"/>
        <v/>
      </c>
      <c r="AW2482" s="216" t="str">
        <f t="shared" si="1120"/>
        <v>Anteil KWK, erstmals 2009</v>
      </c>
      <c r="AX2482" s="215" t="str">
        <f t="shared" si="1121"/>
        <v/>
      </c>
      <c r="AY2482" t="str">
        <f t="shared" si="1122"/>
        <v/>
      </c>
      <c r="AZ2482" t="str">
        <f t="shared" si="1123"/>
        <v/>
      </c>
    </row>
    <row r="2483" spans="1:52" s="178" customFormat="1" x14ac:dyDescent="0.25">
      <c r="A2483" s="610" t="s">
        <v>3273</v>
      </c>
      <c r="B2483" s="30" t="s">
        <v>5548</v>
      </c>
      <c r="C2483" s="30" t="s">
        <v>5540</v>
      </c>
      <c r="D2483" s="30" t="s">
        <v>7190</v>
      </c>
      <c r="E2483" s="30" t="s">
        <v>3567</v>
      </c>
      <c r="F2483" s="454">
        <f t="shared" si="1130"/>
        <v>23.29</v>
      </c>
      <c r="G2483" s="529">
        <v>23.29</v>
      </c>
      <c r="H2483" s="487">
        <f t="shared" si="1131"/>
        <v>18.63</v>
      </c>
      <c r="I2483" s="706"/>
      <c r="J2483" s="669" t="s">
        <v>5805</v>
      </c>
      <c r="K2483" s="15"/>
      <c r="L2483"/>
      <c r="M2483" s="49">
        <f t="shared" si="1132"/>
        <v>23.29</v>
      </c>
      <c r="N2483" s="41">
        <v>9.32</v>
      </c>
      <c r="O2483" s="186"/>
      <c r="P2483" s="177"/>
      <c r="R2483" s="178" t="s">
        <v>1017</v>
      </c>
      <c r="S2483" s="178" t="s">
        <v>4180</v>
      </c>
      <c r="T2483" s="178" t="s">
        <v>4180</v>
      </c>
      <c r="U2483" s="179"/>
      <c r="W2483" s="180"/>
      <c r="X2483" s="180"/>
      <c r="Z2483" s="180"/>
      <c r="AA2483" s="184"/>
      <c r="AB2483" s="178" t="s">
        <v>1017</v>
      </c>
      <c r="AC2483" s="180"/>
      <c r="AD2483" s="182"/>
      <c r="AE2483" s="181" t="s">
        <v>1017</v>
      </c>
      <c r="AF2483" s="180"/>
      <c r="AG2483" s="201"/>
      <c r="AH2483" s="212" t="str">
        <f t="shared" si="1140"/>
        <v>2010</v>
      </c>
      <c r="AI2483" s="214" t="str">
        <f t="shared" si="1124"/>
        <v/>
      </c>
      <c r="AJ2483" s="214" t="str">
        <f t="shared" si="1125"/>
        <v/>
      </c>
      <c r="AK2483" s="214" t="str">
        <f t="shared" si="1126"/>
        <v/>
      </c>
      <c r="AL2483" s="214" t="str">
        <f t="shared" si="1127"/>
        <v/>
      </c>
      <c r="AM2483" s="214" t="str">
        <f t="shared" si="1128"/>
        <v/>
      </c>
      <c r="AN2483" s="213" t="str">
        <f t="shared" si="1111"/>
        <v>2010</v>
      </c>
      <c r="AO2483" s="213" t="str">
        <f t="shared" si="1112"/>
        <v>2010</v>
      </c>
      <c r="AP2483" s="213" t="str">
        <f t="shared" si="1113"/>
        <v>2010</v>
      </c>
      <c r="AQ2483" s="215" t="str">
        <f t="shared" si="1114"/>
        <v/>
      </c>
      <c r="AR2483" s="216" t="str">
        <f t="shared" si="1115"/>
        <v>BiK82LbK10--08</v>
      </c>
      <c r="AS2483" s="215" t="str">
        <f t="shared" si="1116"/>
        <v/>
      </c>
      <c r="AT2483">
        <f t="shared" si="1117"/>
        <v>14</v>
      </c>
      <c r="AU2483" s="216" t="str">
        <f t="shared" si="1118"/>
        <v>0,15-0,5 MW, Bonusregeln L, b und K erstmals 2010</v>
      </c>
      <c r="AV2483" s="215" t="str">
        <f t="shared" si="1119"/>
        <v/>
      </c>
      <c r="AW2483" s="216" t="str">
        <f t="shared" si="1120"/>
        <v>Anteil KWK, erstmals 2010</v>
      </c>
      <c r="AX2483" s="215" t="str">
        <f t="shared" si="1121"/>
        <v/>
      </c>
      <c r="AY2483" t="str">
        <f t="shared" si="1122"/>
        <v/>
      </c>
      <c r="AZ2483" t="str">
        <f t="shared" si="1123"/>
        <v/>
      </c>
    </row>
    <row r="2484" spans="1:52" s="178" customFormat="1" x14ac:dyDescent="0.25">
      <c r="A2484" s="610" t="s">
        <v>3478</v>
      </c>
      <c r="B2484" s="30" t="s">
        <v>5548</v>
      </c>
      <c r="C2484" s="30" t="s">
        <v>5540</v>
      </c>
      <c r="D2484" s="30" t="s">
        <v>7191</v>
      </c>
      <c r="E2484" s="30" t="s">
        <v>3055</v>
      </c>
      <c r="F2484" s="454">
        <f t="shared" si="1130"/>
        <v>23.259999999999998</v>
      </c>
      <c r="G2484" s="529">
        <v>23.259999999999998</v>
      </c>
      <c r="H2484" s="487">
        <f t="shared" si="1131"/>
        <v>18.61</v>
      </c>
      <c r="I2484" s="706"/>
      <c r="J2484" s="669" t="s">
        <v>5805</v>
      </c>
      <c r="K2484" s="15"/>
      <c r="L2484"/>
      <c r="M2484" s="49">
        <f t="shared" si="1132"/>
        <v>23.259999999999998</v>
      </c>
      <c r="N2484" s="41">
        <v>9.32</v>
      </c>
      <c r="O2484" s="186"/>
      <c r="P2484" s="177"/>
      <c r="S2484" s="178" t="s">
        <v>1017</v>
      </c>
      <c r="T2484" s="178" t="s">
        <v>4180</v>
      </c>
      <c r="U2484" s="179"/>
      <c r="W2484" s="180"/>
      <c r="X2484" s="180"/>
      <c r="Z2484" s="180"/>
      <c r="AA2484" s="184"/>
      <c r="AB2484" s="178" t="s">
        <v>1017</v>
      </c>
      <c r="AC2484" s="180"/>
      <c r="AD2484" s="182"/>
      <c r="AE2484" s="181" t="s">
        <v>1017</v>
      </c>
      <c r="AF2484" s="180"/>
      <c r="AG2484" s="201"/>
      <c r="AH2484" s="212" t="str">
        <f t="shared" si="1140"/>
        <v>2011</v>
      </c>
      <c r="AI2484" s="214" t="str">
        <f t="shared" si="1124"/>
        <v/>
      </c>
      <c r="AJ2484" s="214" t="str">
        <f t="shared" si="1125"/>
        <v/>
      </c>
      <c r="AK2484" s="214" t="str">
        <f t="shared" si="1126"/>
        <v/>
      </c>
      <c r="AL2484" s="214" t="str">
        <f t="shared" si="1127"/>
        <v/>
      </c>
      <c r="AM2484" s="214" t="str">
        <f t="shared" si="1128"/>
        <v/>
      </c>
      <c r="AN2484" s="213" t="str">
        <f t="shared" si="1111"/>
        <v>2011</v>
      </c>
      <c r="AO2484" s="213" t="str">
        <f t="shared" si="1112"/>
        <v>2011</v>
      </c>
      <c r="AP2484" s="213" t="str">
        <f t="shared" si="1113"/>
        <v>2011</v>
      </c>
      <c r="AQ2484" s="215" t="str">
        <f t="shared" si="1114"/>
        <v/>
      </c>
      <c r="AR2484" s="216" t="str">
        <f t="shared" si="1115"/>
        <v>BiK82LbK11--08</v>
      </c>
      <c r="AS2484" s="215" t="str">
        <f t="shared" si="1116"/>
        <v/>
      </c>
      <c r="AT2484">
        <f t="shared" si="1117"/>
        <v>14</v>
      </c>
      <c r="AU2484" s="216" t="str">
        <f t="shared" si="1118"/>
        <v>0,15-0,5 MW, Bonusregeln L, b und K erstmals 2011</v>
      </c>
      <c r="AV2484" s="215" t="str">
        <f t="shared" si="1119"/>
        <v/>
      </c>
      <c r="AW2484" s="216" t="str">
        <f t="shared" si="1120"/>
        <v>Anteil KWK, erstmals 2011</v>
      </c>
      <c r="AX2484" s="215" t="str">
        <f t="shared" si="1121"/>
        <v/>
      </c>
      <c r="AY2484" t="str">
        <f t="shared" si="1122"/>
        <v>x</v>
      </c>
      <c r="AZ2484" t="str">
        <f t="shared" si="1123"/>
        <v/>
      </c>
    </row>
    <row r="2485" spans="1:52" s="178" customFormat="1" x14ac:dyDescent="0.25">
      <c r="A2485" s="625" t="s">
        <v>1910</v>
      </c>
      <c r="B2485" s="219" t="s">
        <v>5548</v>
      </c>
      <c r="C2485" s="219" t="s">
        <v>5540</v>
      </c>
      <c r="D2485" s="219" t="s">
        <v>7192</v>
      </c>
      <c r="E2485" s="219" t="s">
        <v>1980</v>
      </c>
      <c r="F2485" s="455">
        <f t="shared" si="1130"/>
        <v>23.23</v>
      </c>
      <c r="G2485" s="530">
        <v>23.23</v>
      </c>
      <c r="H2485" s="488">
        <f t="shared" si="1131"/>
        <v>18.579999999999998</v>
      </c>
      <c r="I2485" s="707"/>
      <c r="J2485" s="669" t="s">
        <v>5805</v>
      </c>
      <c r="K2485" s="15"/>
      <c r="L2485"/>
      <c r="M2485" s="49">
        <f t="shared" si="1132"/>
        <v>23.23</v>
      </c>
      <c r="N2485" s="41">
        <v>9.32</v>
      </c>
      <c r="O2485" s="186"/>
      <c r="P2485" s="177"/>
      <c r="S2485" s="178" t="s">
        <v>4180</v>
      </c>
      <c r="T2485" s="178" t="s">
        <v>1017</v>
      </c>
      <c r="U2485" s="179"/>
      <c r="W2485" s="180"/>
      <c r="X2485" s="180"/>
      <c r="Z2485" s="180"/>
      <c r="AA2485" s="184"/>
      <c r="AB2485" s="178" t="s">
        <v>1017</v>
      </c>
      <c r="AC2485" s="180"/>
      <c r="AD2485" s="182"/>
      <c r="AE2485" s="181" t="s">
        <v>1017</v>
      </c>
      <c r="AF2485" s="180"/>
      <c r="AG2485" s="201"/>
      <c r="AH2485" s="217" t="s">
        <v>4179</v>
      </c>
      <c r="AI2485" s="214" t="str">
        <f t="shared" si="1124"/>
        <v/>
      </c>
      <c r="AJ2485" s="214" t="str">
        <f t="shared" si="1125"/>
        <v/>
      </c>
      <c r="AK2485" s="214" t="str">
        <f t="shared" si="1126"/>
        <v/>
      </c>
      <c r="AL2485" s="214" t="str">
        <f t="shared" si="1127"/>
        <v/>
      </c>
      <c r="AM2485" s="214" t="str">
        <f t="shared" si="1128"/>
        <v/>
      </c>
      <c r="AN2485" s="213" t="str">
        <f t="shared" ref="AN2485:AN2553" si="1141">IF(ISERROR(SEARCH("K1",A2485)),"","20"&amp;MID(A2485,SEARCH("K1",A2485)+1,2))</f>
        <v>2012</v>
      </c>
      <c r="AO2485" s="213" t="str">
        <f t="shared" ref="AO2485:AO2553" si="1142">IF(ISERROR(SEARCH("erstmals 201",E2485)),"",MID(E2485,SEARCH("erstmals ",E2485)+9,4))</f>
        <v>2012</v>
      </c>
      <c r="AP2485" s="213" t="str">
        <f t="shared" ref="AP2485:AP2553" si="1143">IF(R2485="x","2010",IF(S2485="x","2011",IF(T2485="x","2012","")))</f>
        <v>2012</v>
      </c>
      <c r="AQ2485" s="215" t="str">
        <f t="shared" ref="AQ2485:AQ2548" si="1144">IF(OR(AH2485&lt;&gt;AN2485,AH2485&lt;&gt;AO2485,AH2485&lt;&gt;AP2485),"DIFF","")</f>
        <v/>
      </c>
      <c r="AR2485" s="216" t="str">
        <f t="shared" ref="AR2485:AR2553" si="1145">IF(A2485="","",IF(ISERROR(SEARCH("K1",A2485)),A2485,LEFT(A2485,SEARCH("K1",A2485)+1)&amp;RIGHT(AH2485,1)&amp;MID(A2485,SEARCH("K1",A2485)+3,14)))</f>
        <v>BiK82LbK12--08</v>
      </c>
      <c r="AS2485" s="215" t="str">
        <f t="shared" ref="AS2485:AS2548" si="1146">IF(OR(A2485&lt;&gt;AR2485),"DIFF","")</f>
        <v/>
      </c>
      <c r="AT2485">
        <f t="shared" ref="AT2485:AT2553" si="1147">LEN(AR2485)</f>
        <v>14</v>
      </c>
      <c r="AU2485" s="216" t="str">
        <f t="shared" ref="AU2485:AU2553" si="1148">IF(D2485="","",IF(OR(A2485="",ISERROR(SEARCH("erstmals 201",D2485))),D2485,LEFT(D2485,SEARCH("erstmals 201",D2485)+8) &amp; AH2485 &amp; MID(D2485,SEARCH("erstmals 201",D2485)+13,255)))</f>
        <v>0,15-0,5 MW, Bonusregeln L, b und K erstmals 2012</v>
      </c>
      <c r="AV2485" s="215" t="str">
        <f t="shared" ref="AV2485:AV2548" si="1149">IF(OR(D2485&lt;&gt;AU2485),"DIFF","")</f>
        <v/>
      </c>
      <c r="AW2485" s="216" t="str">
        <f t="shared" ref="AW2485:AW2553" si="1150">IF(E2485="","",IF(OR(E2485="",ISERROR(SEARCH("erstmals 201",E2485))),E2485,LEFT(E2485,SEARCH("erstmals 201",E2485)+8) &amp; AH2485 &amp; MID(E2485,SEARCH("erstmals 201",E2485)+13,255)))</f>
        <v>Anteil KWK, erstmals 2012</v>
      </c>
      <c r="AX2485" s="215" t="str">
        <f t="shared" ref="AX2485:AX2548" si="1151">IF(OR(E2485&lt;&gt;AW2485),"DIFF","")</f>
        <v/>
      </c>
      <c r="AY2485" t="str">
        <f t="shared" ref="AY2485:AY2553" si="1152">IF(AH2485="2011","x",IF(AH2485="2012","","" &amp; S2485))</f>
        <v/>
      </c>
      <c r="AZ2485" t="str">
        <f t="shared" ref="AZ2485:AZ2553" si="1153">IF(AH2485="2012","x",IF(AH2485="2011","","" &amp; T2485))</f>
        <v>x</v>
      </c>
    </row>
    <row r="2486" spans="1:52" s="178" customFormat="1" x14ac:dyDescent="0.25">
      <c r="A2486" s="610" t="s">
        <v>2236</v>
      </c>
      <c r="B2486" s="30" t="s">
        <v>5548</v>
      </c>
      <c r="C2486" s="30" t="s">
        <v>5540</v>
      </c>
      <c r="D2486" s="30" t="s">
        <v>7193</v>
      </c>
      <c r="E2486" s="30" t="s">
        <v>4810</v>
      </c>
      <c r="F2486" s="454">
        <f t="shared" si="1130"/>
        <v>21.32</v>
      </c>
      <c r="G2486" s="529">
        <v>21.32</v>
      </c>
      <c r="H2486" s="487">
        <f t="shared" si="1131"/>
        <v>17.059999999999999</v>
      </c>
      <c r="I2486" s="706"/>
      <c r="J2486" s="669" t="s">
        <v>5805</v>
      </c>
      <c r="K2486" s="15"/>
      <c r="L2486"/>
      <c r="M2486" s="49">
        <f t="shared" si="1132"/>
        <v>21.32</v>
      </c>
      <c r="N2486" s="41">
        <v>9.32</v>
      </c>
      <c r="O2486" s="187"/>
      <c r="P2486" s="183"/>
      <c r="Q2486" s="184"/>
      <c r="R2486" s="184"/>
      <c r="S2486" s="184" t="s">
        <v>4180</v>
      </c>
      <c r="T2486" s="178" t="s">
        <v>4180</v>
      </c>
      <c r="U2486" s="185" t="s">
        <v>1017</v>
      </c>
      <c r="V2486" s="184"/>
      <c r="W2486" s="180"/>
      <c r="X2486" s="180"/>
      <c r="Z2486" s="180"/>
      <c r="AA2486" s="184"/>
      <c r="AB2486" s="184" t="s">
        <v>1017</v>
      </c>
      <c r="AC2486" s="180"/>
      <c r="AD2486" s="182"/>
      <c r="AE2486" s="181" t="s">
        <v>1017</v>
      </c>
      <c r="AF2486" s="180"/>
      <c r="AG2486" s="201"/>
      <c r="AH2486" s="212" t="str">
        <f t="shared" ref="AH2486:AH2491" si="1154">IF(ISERROR(SEARCH("K erstmals 201",D2486)),"",RIGHT(D2486,4))</f>
        <v/>
      </c>
      <c r="AI2486" s="214" t="str">
        <f t="shared" ref="AI2486:AI2549" si="1155">IF(AND($AH2486&lt;&gt;"",AH2486 =AH2485),"Gleich","")</f>
        <v/>
      </c>
      <c r="AJ2486" s="214" t="str">
        <f t="shared" ref="AJ2486:AJ2553" si="1156">IF(AND($AH2486&lt;&gt;"",A2486 =A2485),"Gleich","")</f>
        <v/>
      </c>
      <c r="AK2486" s="214" t="str">
        <f t="shared" ref="AK2486:AK2553" si="1157">IF(AND($AH2486&lt;&gt;"",D2486 =D2485),"Gleich","")</f>
        <v/>
      </c>
      <c r="AL2486" s="214" t="str">
        <f t="shared" ref="AL2486:AL2553" si="1158">IF(AND($AH2486&lt;&gt;"",E2486 =E2485),"Gleich","")</f>
        <v/>
      </c>
      <c r="AM2486" s="214" t="str">
        <f t="shared" ref="AM2486:AM2553" si="1159">IF(AND($AH2486&lt;&gt;"",F2486 =F2485),"Gleich","")</f>
        <v/>
      </c>
      <c r="AN2486" s="213" t="str">
        <f t="shared" si="1141"/>
        <v/>
      </c>
      <c r="AO2486" s="213" t="str">
        <f t="shared" si="1142"/>
        <v/>
      </c>
      <c r="AP2486" s="213" t="str">
        <f t="shared" si="1143"/>
        <v/>
      </c>
      <c r="AQ2486" s="215" t="str">
        <f t="shared" si="1144"/>
        <v/>
      </c>
      <c r="AR2486" s="216" t="str">
        <f t="shared" si="1145"/>
        <v>BiK82Lby----08</v>
      </c>
      <c r="AS2486" s="215" t="str">
        <f t="shared" si="1146"/>
        <v/>
      </c>
      <c r="AT2486">
        <f t="shared" si="1147"/>
        <v>14</v>
      </c>
      <c r="AU2486" s="216" t="str">
        <f t="shared" si="1148"/>
        <v>0,15-0,5 MW, Bonusregeln L, y, b</v>
      </c>
      <c r="AV2486" s="215" t="str">
        <f t="shared" si="1149"/>
        <v/>
      </c>
      <c r="AW2486" s="216" t="str">
        <f t="shared" si="1150"/>
        <v>Anteil Nicht-KWK</v>
      </c>
      <c r="AX2486" s="215" t="str">
        <f t="shared" si="1151"/>
        <v/>
      </c>
      <c r="AY2486" t="str">
        <f t="shared" si="1152"/>
        <v/>
      </c>
      <c r="AZ2486" t="str">
        <f t="shared" si="1153"/>
        <v/>
      </c>
    </row>
    <row r="2487" spans="1:52" s="178" customFormat="1" x14ac:dyDescent="0.25">
      <c r="A2487" s="610" t="s">
        <v>2237</v>
      </c>
      <c r="B2487" s="30" t="s">
        <v>5548</v>
      </c>
      <c r="C2487" s="30" t="s">
        <v>5540</v>
      </c>
      <c r="D2487" s="30" t="s">
        <v>7194</v>
      </c>
      <c r="E2487" s="30" t="s">
        <v>4812</v>
      </c>
      <c r="F2487" s="454">
        <f t="shared" si="1130"/>
        <v>23.32</v>
      </c>
      <c r="G2487" s="529">
        <v>23.32</v>
      </c>
      <c r="H2487" s="487">
        <f t="shared" si="1131"/>
        <v>18.66</v>
      </c>
      <c r="I2487" s="706"/>
      <c r="J2487" s="669" t="s">
        <v>5805</v>
      </c>
      <c r="K2487" s="15"/>
      <c r="L2487"/>
      <c r="M2487" s="49">
        <f t="shared" si="1132"/>
        <v>23.32</v>
      </c>
      <c r="N2487" s="41">
        <v>9.32</v>
      </c>
      <c r="O2487" s="187" t="s">
        <v>1017</v>
      </c>
      <c r="P2487" s="183"/>
      <c r="Q2487" s="184"/>
      <c r="R2487" s="184"/>
      <c r="S2487" s="184" t="s">
        <v>4180</v>
      </c>
      <c r="T2487" s="178" t="s">
        <v>4180</v>
      </c>
      <c r="U2487" s="185" t="s">
        <v>1017</v>
      </c>
      <c r="V2487" s="184"/>
      <c r="W2487" s="180"/>
      <c r="X2487" s="180"/>
      <c r="Z2487" s="180"/>
      <c r="AA2487" s="184"/>
      <c r="AB2487" s="184" t="s">
        <v>1017</v>
      </c>
      <c r="AC2487" s="180"/>
      <c r="AD2487" s="182"/>
      <c r="AE2487" s="181" t="s">
        <v>1017</v>
      </c>
      <c r="AF2487" s="180"/>
      <c r="AG2487" s="201"/>
      <c r="AH2487" s="212" t="str">
        <f t="shared" si="1154"/>
        <v/>
      </c>
      <c r="AI2487" s="214" t="str">
        <f t="shared" si="1155"/>
        <v/>
      </c>
      <c r="AJ2487" s="214" t="str">
        <f t="shared" si="1156"/>
        <v/>
      </c>
      <c r="AK2487" s="214" t="str">
        <f t="shared" si="1157"/>
        <v/>
      </c>
      <c r="AL2487" s="214" t="str">
        <f t="shared" si="1158"/>
        <v/>
      </c>
      <c r="AM2487" s="214" t="str">
        <f t="shared" si="1159"/>
        <v/>
      </c>
      <c r="AN2487" s="213" t="str">
        <f t="shared" si="1141"/>
        <v/>
      </c>
      <c r="AO2487" s="213" t="str">
        <f t="shared" si="1142"/>
        <v/>
      </c>
      <c r="AP2487" s="213" t="str">
        <f t="shared" si="1143"/>
        <v/>
      </c>
      <c r="AQ2487" s="215" t="str">
        <f t="shared" si="1144"/>
        <v/>
      </c>
      <c r="AR2487" s="216" t="str">
        <f t="shared" si="1145"/>
        <v>BiK82LbKWKy-08</v>
      </c>
      <c r="AS2487" s="215" t="str">
        <f t="shared" si="1146"/>
        <v/>
      </c>
      <c r="AT2487">
        <f t="shared" si="1147"/>
        <v>14</v>
      </c>
      <c r="AU2487" s="216" t="str">
        <f t="shared" si="1148"/>
        <v>0,15-0,5 MW, Bonusregeln L, y, b und KWK</v>
      </c>
      <c r="AV2487" s="215" t="str">
        <f t="shared" si="1149"/>
        <v/>
      </c>
      <c r="AW2487" s="216" t="str">
        <f t="shared" si="1150"/>
        <v>Anteil KWK</v>
      </c>
      <c r="AX2487" s="215" t="str">
        <f t="shared" si="1151"/>
        <v/>
      </c>
      <c r="AY2487" t="str">
        <f t="shared" si="1152"/>
        <v/>
      </c>
      <c r="AZ2487" t="str">
        <f t="shared" si="1153"/>
        <v/>
      </c>
    </row>
    <row r="2488" spans="1:52" s="178" customFormat="1" x14ac:dyDescent="0.25">
      <c r="A2488" s="610" t="s">
        <v>2238</v>
      </c>
      <c r="B2488" s="30" t="s">
        <v>5548</v>
      </c>
      <c r="C2488" s="30" t="s">
        <v>5540</v>
      </c>
      <c r="D2488" s="109" t="s">
        <v>7195</v>
      </c>
      <c r="E2488" s="30" t="s">
        <v>4331</v>
      </c>
      <c r="F2488" s="454">
        <f t="shared" si="1130"/>
        <v>24.32</v>
      </c>
      <c r="G2488" s="529">
        <v>24.32</v>
      </c>
      <c r="H2488" s="487">
        <f t="shared" si="1131"/>
        <v>19.46</v>
      </c>
      <c r="I2488" s="706"/>
      <c r="J2488" s="669" t="s">
        <v>5805</v>
      </c>
      <c r="K2488" s="15"/>
      <c r="L2488"/>
      <c r="M2488" s="49">
        <f t="shared" si="1132"/>
        <v>24.32</v>
      </c>
      <c r="N2488" s="41">
        <v>9.32</v>
      </c>
      <c r="O2488" s="187"/>
      <c r="P2488" s="184" t="s">
        <v>1017</v>
      </c>
      <c r="Q2488" s="184"/>
      <c r="R2488" s="184"/>
      <c r="S2488" s="184" t="s">
        <v>4180</v>
      </c>
      <c r="T2488" s="178" t="s">
        <v>4180</v>
      </c>
      <c r="U2488" s="185" t="s">
        <v>1017</v>
      </c>
      <c r="V2488" s="184"/>
      <c r="W2488" s="180"/>
      <c r="X2488" s="180"/>
      <c r="Z2488" s="180"/>
      <c r="AA2488" s="184"/>
      <c r="AB2488" s="184" t="s">
        <v>1017</v>
      </c>
      <c r="AC2488" s="180"/>
      <c r="AD2488" s="182"/>
      <c r="AE2488" s="181" t="s">
        <v>1017</v>
      </c>
      <c r="AF2488" s="180"/>
      <c r="AG2488" s="201"/>
      <c r="AH2488" s="212" t="str">
        <f t="shared" si="1154"/>
        <v/>
      </c>
      <c r="AI2488" s="214" t="str">
        <f t="shared" si="1155"/>
        <v/>
      </c>
      <c r="AJ2488" s="214" t="str">
        <f t="shared" si="1156"/>
        <v/>
      </c>
      <c r="AK2488" s="214" t="str">
        <f t="shared" si="1157"/>
        <v/>
      </c>
      <c r="AL2488" s="214" t="str">
        <f t="shared" si="1158"/>
        <v/>
      </c>
      <c r="AM2488" s="214" t="str">
        <f t="shared" si="1159"/>
        <v/>
      </c>
      <c r="AN2488" s="213" t="str">
        <f t="shared" si="1141"/>
        <v/>
      </c>
      <c r="AO2488" s="213" t="str">
        <f t="shared" si="1142"/>
        <v/>
      </c>
      <c r="AP2488" s="213" t="str">
        <f t="shared" si="1143"/>
        <v/>
      </c>
      <c r="AQ2488" s="215" t="str">
        <f t="shared" si="1144"/>
        <v/>
      </c>
      <c r="AR2488" s="216" t="str">
        <f t="shared" si="1145"/>
        <v>BiK82LbKA3y-08</v>
      </c>
      <c r="AS2488" s="215" t="str">
        <f t="shared" si="1146"/>
        <v/>
      </c>
      <c r="AT2488">
        <f t="shared" si="1147"/>
        <v>14</v>
      </c>
      <c r="AU2488" s="216" t="str">
        <f t="shared" si="1148"/>
        <v>0,15-0,5 MW, Bonusregeln L, y, b und K wenn Anlage 3 erfüllt</v>
      </c>
      <c r="AV2488" s="215" t="str">
        <f t="shared" si="1149"/>
        <v/>
      </c>
      <c r="AW2488" s="216" t="str">
        <f t="shared" si="1150"/>
        <v>Anteil KWK gemäß Anlage 3</v>
      </c>
      <c r="AX2488" s="215" t="str">
        <f t="shared" si="1151"/>
        <v/>
      </c>
      <c r="AY2488" t="str">
        <f t="shared" si="1152"/>
        <v/>
      </c>
      <c r="AZ2488" t="str">
        <f t="shared" si="1153"/>
        <v/>
      </c>
    </row>
    <row r="2489" spans="1:52" x14ac:dyDescent="0.25">
      <c r="A2489" s="610" t="s">
        <v>2239</v>
      </c>
      <c r="B2489" s="30" t="s">
        <v>5548</v>
      </c>
      <c r="C2489" s="30" t="s">
        <v>5540</v>
      </c>
      <c r="D2489" s="30" t="s">
        <v>7196</v>
      </c>
      <c r="E2489" s="30" t="s">
        <v>674</v>
      </c>
      <c r="F2489" s="454">
        <f t="shared" si="1130"/>
        <v>24.32</v>
      </c>
      <c r="G2489" s="529">
        <v>24.32</v>
      </c>
      <c r="H2489" s="487">
        <f t="shared" si="1131"/>
        <v>19.46</v>
      </c>
      <c r="I2489" s="706"/>
      <c r="J2489" s="669" t="s">
        <v>5805</v>
      </c>
      <c r="K2489" s="15"/>
      <c r="M2489" s="49">
        <f t="shared" si="1132"/>
        <v>24.32</v>
      </c>
      <c r="N2489" s="41">
        <v>9.32</v>
      </c>
      <c r="O2489" s="187"/>
      <c r="P2489" s="183"/>
      <c r="Q2489" s="184" t="s">
        <v>1017</v>
      </c>
      <c r="R2489" s="184"/>
      <c r="S2489" s="184" t="s">
        <v>4180</v>
      </c>
      <c r="T2489" t="s">
        <v>4180</v>
      </c>
      <c r="U2489" s="185" t="s">
        <v>1017</v>
      </c>
      <c r="V2489" s="184"/>
      <c r="W2489" s="180"/>
      <c r="X2489" s="180"/>
      <c r="Y2489" s="178"/>
      <c r="Z2489" s="180"/>
      <c r="AA2489" s="184"/>
      <c r="AB2489" s="184" t="s">
        <v>1017</v>
      </c>
      <c r="AC2489" s="180"/>
      <c r="AD2489" s="182"/>
      <c r="AE2489" s="181" t="s">
        <v>1017</v>
      </c>
      <c r="AF2489" s="180"/>
      <c r="AG2489" s="201"/>
      <c r="AH2489" s="212" t="str">
        <f t="shared" si="1154"/>
        <v/>
      </c>
      <c r="AI2489" s="214" t="str">
        <f t="shared" si="1155"/>
        <v/>
      </c>
      <c r="AJ2489" s="214" t="str">
        <f t="shared" si="1156"/>
        <v/>
      </c>
      <c r="AK2489" s="214" t="str">
        <f t="shared" si="1157"/>
        <v/>
      </c>
      <c r="AL2489" s="214" t="str">
        <f t="shared" si="1158"/>
        <v/>
      </c>
      <c r="AM2489" s="214" t="str">
        <f t="shared" si="1159"/>
        <v/>
      </c>
      <c r="AN2489" s="213" t="str">
        <f t="shared" si="1141"/>
        <v/>
      </c>
      <c r="AO2489" s="213" t="str">
        <f t="shared" si="1142"/>
        <v/>
      </c>
      <c r="AP2489" s="213" t="str">
        <f t="shared" si="1143"/>
        <v/>
      </c>
      <c r="AQ2489" s="215" t="str">
        <f t="shared" si="1144"/>
        <v/>
      </c>
      <c r="AR2489" s="216" t="str">
        <f t="shared" si="1145"/>
        <v>BiK82LbK09y-08</v>
      </c>
      <c r="AS2489" s="215" t="str">
        <f t="shared" si="1146"/>
        <v/>
      </c>
      <c r="AT2489">
        <f t="shared" si="1147"/>
        <v>14</v>
      </c>
      <c r="AU2489" s="216" t="str">
        <f t="shared" si="1148"/>
        <v>0,15-0,5 MW, Bonusregeln L, y, b und K erstmals 2009</v>
      </c>
      <c r="AV2489" s="215" t="str">
        <f t="shared" si="1149"/>
        <v/>
      </c>
      <c r="AW2489" s="216" t="str">
        <f t="shared" si="1150"/>
        <v>Anteil KWK, erstmals 2009</v>
      </c>
      <c r="AX2489" s="215" t="str">
        <f t="shared" si="1151"/>
        <v/>
      </c>
      <c r="AY2489" t="str">
        <f t="shared" si="1152"/>
        <v/>
      </c>
      <c r="AZ2489" t="str">
        <f t="shared" si="1153"/>
        <v/>
      </c>
    </row>
    <row r="2490" spans="1:52" x14ac:dyDescent="0.25">
      <c r="A2490" s="610" t="s">
        <v>3274</v>
      </c>
      <c r="B2490" s="30" t="s">
        <v>5548</v>
      </c>
      <c r="C2490" s="30" t="s">
        <v>5540</v>
      </c>
      <c r="D2490" s="30" t="s">
        <v>7197</v>
      </c>
      <c r="E2490" s="30" t="s">
        <v>3567</v>
      </c>
      <c r="F2490" s="454">
        <f t="shared" si="1130"/>
        <v>24.29</v>
      </c>
      <c r="G2490" s="529">
        <v>24.29</v>
      </c>
      <c r="H2490" s="487">
        <f t="shared" si="1131"/>
        <v>19.43</v>
      </c>
      <c r="I2490" s="706"/>
      <c r="J2490" s="669" t="s">
        <v>5805</v>
      </c>
      <c r="K2490" s="15"/>
      <c r="M2490" s="49">
        <f t="shared" si="1132"/>
        <v>24.29</v>
      </c>
      <c r="N2490" s="41">
        <v>9.32</v>
      </c>
      <c r="O2490" s="187"/>
      <c r="P2490" s="183"/>
      <c r="Q2490" s="184"/>
      <c r="R2490" s="184" t="s">
        <v>1017</v>
      </c>
      <c r="S2490" s="184" t="s">
        <v>4180</v>
      </c>
      <c r="T2490" t="s">
        <v>4180</v>
      </c>
      <c r="U2490" s="185" t="s">
        <v>1017</v>
      </c>
      <c r="V2490" s="184"/>
      <c r="W2490" s="180"/>
      <c r="X2490" s="180"/>
      <c r="Y2490" s="178"/>
      <c r="Z2490" s="180"/>
      <c r="AA2490" s="184"/>
      <c r="AB2490" s="184" t="s">
        <v>1017</v>
      </c>
      <c r="AC2490" s="180"/>
      <c r="AD2490" s="182"/>
      <c r="AE2490" s="181" t="s">
        <v>1017</v>
      </c>
      <c r="AF2490" s="180"/>
      <c r="AG2490" s="201"/>
      <c r="AH2490" s="212" t="str">
        <f t="shared" si="1154"/>
        <v>2010</v>
      </c>
      <c r="AI2490" s="214" t="str">
        <f t="shared" si="1155"/>
        <v/>
      </c>
      <c r="AJ2490" s="214" t="str">
        <f t="shared" si="1156"/>
        <v/>
      </c>
      <c r="AK2490" s="214" t="str">
        <f t="shared" si="1157"/>
        <v/>
      </c>
      <c r="AL2490" s="214" t="str">
        <f t="shared" si="1158"/>
        <v/>
      </c>
      <c r="AM2490" s="214" t="str">
        <f t="shared" si="1159"/>
        <v/>
      </c>
      <c r="AN2490" s="213" t="str">
        <f t="shared" si="1141"/>
        <v>2010</v>
      </c>
      <c r="AO2490" s="213" t="str">
        <f t="shared" si="1142"/>
        <v>2010</v>
      </c>
      <c r="AP2490" s="213" t="str">
        <f t="shared" si="1143"/>
        <v>2010</v>
      </c>
      <c r="AQ2490" s="215" t="str">
        <f t="shared" si="1144"/>
        <v/>
      </c>
      <c r="AR2490" s="216" t="str">
        <f t="shared" si="1145"/>
        <v>BiK82LbK10y-08</v>
      </c>
      <c r="AS2490" s="215" t="str">
        <f t="shared" si="1146"/>
        <v/>
      </c>
      <c r="AT2490">
        <f t="shared" si="1147"/>
        <v>14</v>
      </c>
      <c r="AU2490" s="216" t="str">
        <f t="shared" si="1148"/>
        <v>0,15-0,5 MW, Bonusregeln L, y, b und K erstmals 2010</v>
      </c>
      <c r="AV2490" s="215" t="str">
        <f t="shared" si="1149"/>
        <v/>
      </c>
      <c r="AW2490" s="216" t="str">
        <f t="shared" si="1150"/>
        <v>Anteil KWK, erstmals 2010</v>
      </c>
      <c r="AX2490" s="215" t="str">
        <f t="shared" si="1151"/>
        <v/>
      </c>
      <c r="AY2490" t="str">
        <f t="shared" si="1152"/>
        <v/>
      </c>
      <c r="AZ2490" t="str">
        <f t="shared" si="1153"/>
        <v/>
      </c>
    </row>
    <row r="2491" spans="1:52" x14ac:dyDescent="0.25">
      <c r="A2491" s="610" t="s">
        <v>3479</v>
      </c>
      <c r="B2491" s="30" t="s">
        <v>5548</v>
      </c>
      <c r="C2491" s="30" t="s">
        <v>5540</v>
      </c>
      <c r="D2491" s="30" t="s">
        <v>7198</v>
      </c>
      <c r="E2491" s="30" t="s">
        <v>3055</v>
      </c>
      <c r="F2491" s="454">
        <f t="shared" ref="F2491:F2553" si="1160">M2491</f>
        <v>24.259999999999998</v>
      </c>
      <c r="G2491" s="529">
        <v>24.259999999999998</v>
      </c>
      <c r="H2491" s="487">
        <f t="shared" ref="H2491:H2553" si="1161">IF(ISNUMBER(G2491),ROUND(0.8*G2491,2),"")</f>
        <v>19.41</v>
      </c>
      <c r="I2491" s="706"/>
      <c r="J2491" s="669" t="s">
        <v>5805</v>
      </c>
      <c r="K2491" s="15"/>
      <c r="M2491" s="49">
        <f t="shared" ref="M2491:M2553" si="1162">N2491+SUMIF(O2491:AG2491,"x",O$2170:AG$2170)</f>
        <v>24.259999999999998</v>
      </c>
      <c r="N2491" s="41">
        <v>9.32</v>
      </c>
      <c r="O2491" s="187"/>
      <c r="P2491" s="183"/>
      <c r="Q2491" s="184"/>
      <c r="R2491" s="178"/>
      <c r="S2491" s="184" t="s">
        <v>1017</v>
      </c>
      <c r="T2491" t="s">
        <v>4180</v>
      </c>
      <c r="U2491" s="185" t="s">
        <v>1017</v>
      </c>
      <c r="V2491" s="184"/>
      <c r="W2491" s="180"/>
      <c r="X2491" s="180"/>
      <c r="Y2491" s="178"/>
      <c r="Z2491" s="180"/>
      <c r="AA2491" s="184"/>
      <c r="AB2491" s="184" t="s">
        <v>1017</v>
      </c>
      <c r="AC2491" s="180"/>
      <c r="AD2491" s="182"/>
      <c r="AE2491" s="181" t="s">
        <v>1017</v>
      </c>
      <c r="AF2491" s="180"/>
      <c r="AG2491" s="201"/>
      <c r="AH2491" s="212" t="str">
        <f t="shared" si="1154"/>
        <v>2011</v>
      </c>
      <c r="AI2491" s="214" t="str">
        <f t="shared" si="1155"/>
        <v/>
      </c>
      <c r="AJ2491" s="214" t="str">
        <f t="shared" si="1156"/>
        <v/>
      </c>
      <c r="AK2491" s="214" t="str">
        <f t="shared" si="1157"/>
        <v/>
      </c>
      <c r="AL2491" s="214" t="str">
        <f t="shared" si="1158"/>
        <v/>
      </c>
      <c r="AM2491" s="214" t="str">
        <f t="shared" si="1159"/>
        <v/>
      </c>
      <c r="AN2491" s="213" t="str">
        <f t="shared" si="1141"/>
        <v>2011</v>
      </c>
      <c r="AO2491" s="213" t="str">
        <f t="shared" si="1142"/>
        <v>2011</v>
      </c>
      <c r="AP2491" s="213" t="str">
        <f t="shared" si="1143"/>
        <v>2011</v>
      </c>
      <c r="AQ2491" s="215" t="str">
        <f t="shared" si="1144"/>
        <v/>
      </c>
      <c r="AR2491" s="216" t="str">
        <f t="shared" si="1145"/>
        <v>BiK82LbK11y-08</v>
      </c>
      <c r="AS2491" s="215" t="str">
        <f t="shared" si="1146"/>
        <v/>
      </c>
      <c r="AT2491">
        <f t="shared" si="1147"/>
        <v>14</v>
      </c>
      <c r="AU2491" s="216" t="str">
        <f t="shared" si="1148"/>
        <v>0,15-0,5 MW, Bonusregeln L, y, b und K erstmals 2011</v>
      </c>
      <c r="AV2491" s="215" t="str">
        <f t="shared" si="1149"/>
        <v/>
      </c>
      <c r="AW2491" s="216" t="str">
        <f t="shared" si="1150"/>
        <v>Anteil KWK, erstmals 2011</v>
      </c>
      <c r="AX2491" s="215" t="str">
        <f t="shared" si="1151"/>
        <v/>
      </c>
      <c r="AY2491" t="str">
        <f t="shared" si="1152"/>
        <v>x</v>
      </c>
      <c r="AZ2491" t="str">
        <f t="shared" si="1153"/>
        <v/>
      </c>
    </row>
    <row r="2492" spans="1:52" x14ac:dyDescent="0.25">
      <c r="A2492" s="625" t="s">
        <v>1911</v>
      </c>
      <c r="B2492" s="219" t="s">
        <v>5548</v>
      </c>
      <c r="C2492" s="219" t="s">
        <v>5540</v>
      </c>
      <c r="D2492" s="219" t="s">
        <v>7199</v>
      </c>
      <c r="E2492" s="219" t="s">
        <v>1980</v>
      </c>
      <c r="F2492" s="455">
        <f t="shared" si="1160"/>
        <v>24.23</v>
      </c>
      <c r="G2492" s="530">
        <v>24.23</v>
      </c>
      <c r="H2492" s="488">
        <f t="shared" si="1161"/>
        <v>19.38</v>
      </c>
      <c r="I2492" s="707"/>
      <c r="J2492" s="669" t="s">
        <v>5805</v>
      </c>
      <c r="K2492" s="15"/>
      <c r="M2492" s="49">
        <f t="shared" si="1162"/>
        <v>24.23</v>
      </c>
      <c r="N2492" s="41">
        <v>9.32</v>
      </c>
      <c r="O2492" s="187"/>
      <c r="P2492" s="183"/>
      <c r="Q2492" s="184"/>
      <c r="R2492" s="178"/>
      <c r="S2492" s="184" t="s">
        <v>4180</v>
      </c>
      <c r="T2492" t="s">
        <v>1017</v>
      </c>
      <c r="U2492" s="185" t="s">
        <v>1017</v>
      </c>
      <c r="V2492" s="184"/>
      <c r="W2492" s="180"/>
      <c r="X2492" s="180"/>
      <c r="Y2492" s="178"/>
      <c r="Z2492" s="180"/>
      <c r="AA2492" s="184"/>
      <c r="AB2492" s="184" t="s">
        <v>1017</v>
      </c>
      <c r="AC2492" s="180"/>
      <c r="AD2492" s="182"/>
      <c r="AE2492" s="181" t="s">
        <v>1017</v>
      </c>
      <c r="AF2492" s="180"/>
      <c r="AG2492" s="201"/>
      <c r="AH2492" s="217" t="s">
        <v>4179</v>
      </c>
      <c r="AI2492" s="214" t="str">
        <f t="shared" si="1155"/>
        <v/>
      </c>
      <c r="AJ2492" s="214" t="str">
        <f t="shared" si="1156"/>
        <v/>
      </c>
      <c r="AK2492" s="214" t="str">
        <f t="shared" si="1157"/>
        <v/>
      </c>
      <c r="AL2492" s="214" t="str">
        <f t="shared" si="1158"/>
        <v/>
      </c>
      <c r="AM2492" s="214" t="str">
        <f t="shared" si="1159"/>
        <v/>
      </c>
      <c r="AN2492" s="213" t="str">
        <f t="shared" si="1141"/>
        <v>2012</v>
      </c>
      <c r="AO2492" s="213" t="str">
        <f t="shared" si="1142"/>
        <v>2012</v>
      </c>
      <c r="AP2492" s="213" t="str">
        <f t="shared" si="1143"/>
        <v>2012</v>
      </c>
      <c r="AQ2492" s="215" t="str">
        <f t="shared" si="1144"/>
        <v/>
      </c>
      <c r="AR2492" s="216" t="str">
        <f t="shared" si="1145"/>
        <v>BiK82LbK12y-08</v>
      </c>
      <c r="AS2492" s="215" t="str">
        <f t="shared" si="1146"/>
        <v/>
      </c>
      <c r="AT2492">
        <f t="shared" si="1147"/>
        <v>14</v>
      </c>
      <c r="AU2492" s="216" t="str">
        <f t="shared" si="1148"/>
        <v>0,15-0,5 MW, Bonusregeln L, y, b und K erstmals 2012</v>
      </c>
      <c r="AV2492" s="215" t="str">
        <f t="shared" si="1149"/>
        <v/>
      </c>
      <c r="AW2492" s="216" t="str">
        <f t="shared" si="1150"/>
        <v>Anteil KWK, erstmals 2012</v>
      </c>
      <c r="AX2492" s="215" t="str">
        <f t="shared" si="1151"/>
        <v/>
      </c>
      <c r="AY2492" t="str">
        <f t="shared" si="1152"/>
        <v/>
      </c>
      <c r="AZ2492" t="str">
        <f t="shared" si="1153"/>
        <v>x</v>
      </c>
    </row>
    <row r="2493" spans="1:52" x14ac:dyDescent="0.25">
      <c r="A2493" s="610" t="s">
        <v>4436</v>
      </c>
      <c r="B2493" s="30" t="s">
        <v>5548</v>
      </c>
      <c r="C2493" s="30" t="s">
        <v>5540</v>
      </c>
      <c r="D2493" s="30" t="s">
        <v>7200</v>
      </c>
      <c r="E2493" s="30" t="s">
        <v>4810</v>
      </c>
      <c r="F2493" s="454">
        <f t="shared" si="1160"/>
        <v>21.32</v>
      </c>
      <c r="G2493" s="529">
        <v>21.32</v>
      </c>
      <c r="H2493" s="487">
        <f t="shared" si="1161"/>
        <v>17.059999999999999</v>
      </c>
      <c r="I2493" s="706"/>
      <c r="J2493" s="669" t="s">
        <v>5805</v>
      </c>
      <c r="K2493" s="15"/>
      <c r="M2493" s="49">
        <f t="shared" si="1162"/>
        <v>21.32</v>
      </c>
      <c r="N2493" s="41">
        <v>9.32</v>
      </c>
      <c r="O2493" s="186"/>
      <c r="P2493" s="177"/>
      <c r="Q2493" s="178"/>
      <c r="R2493" s="178"/>
      <c r="S2493" s="178" t="s">
        <v>4180</v>
      </c>
      <c r="T2493" t="s">
        <v>4180</v>
      </c>
      <c r="U2493" s="179"/>
      <c r="V2493" s="178"/>
      <c r="W2493" s="180"/>
      <c r="X2493" s="180"/>
      <c r="Y2493" s="178"/>
      <c r="Z2493" s="180"/>
      <c r="AA2493" s="184"/>
      <c r="AB2493" s="178"/>
      <c r="AC2493" s="180"/>
      <c r="AD2493" s="182" t="s">
        <v>1017</v>
      </c>
      <c r="AE2493" s="181" t="s">
        <v>1017</v>
      </c>
      <c r="AF2493" s="180"/>
      <c r="AG2493" s="201"/>
      <c r="AH2493" s="212" t="str">
        <f t="shared" ref="AH2493:AH2498" si="1163">IF(ISERROR(SEARCH("K erstmals 201",D2493)),"",RIGHT(D2493,4))</f>
        <v/>
      </c>
      <c r="AI2493" s="214" t="str">
        <f t="shared" si="1155"/>
        <v/>
      </c>
      <c r="AJ2493" s="214" t="str">
        <f t="shared" si="1156"/>
        <v/>
      </c>
      <c r="AK2493" s="214" t="str">
        <f t="shared" si="1157"/>
        <v/>
      </c>
      <c r="AL2493" s="214" t="str">
        <f t="shared" si="1158"/>
        <v/>
      </c>
      <c r="AM2493" s="214" t="str">
        <f t="shared" si="1159"/>
        <v/>
      </c>
      <c r="AN2493" s="213" t="str">
        <f t="shared" si="1141"/>
        <v/>
      </c>
      <c r="AO2493" s="213" t="str">
        <f t="shared" si="1142"/>
        <v/>
      </c>
      <c r="AP2493" s="213" t="str">
        <f t="shared" si="1143"/>
        <v/>
      </c>
      <c r="AQ2493" s="215" t="str">
        <f t="shared" si="1144"/>
        <v/>
      </c>
      <c r="AR2493" s="216" t="str">
        <f t="shared" si="1145"/>
        <v>BiK82X2b----08</v>
      </c>
      <c r="AS2493" s="215" t="str">
        <f t="shared" si="1146"/>
        <v/>
      </c>
      <c r="AT2493">
        <f t="shared" si="1147"/>
        <v>14</v>
      </c>
      <c r="AU2493" s="216" t="str">
        <f t="shared" si="1148"/>
        <v>0,15-0,5 MW, Bonusregeln X2, b</v>
      </c>
      <c r="AV2493" s="215" t="str">
        <f t="shared" si="1149"/>
        <v/>
      </c>
      <c r="AW2493" s="216" t="str">
        <f t="shared" si="1150"/>
        <v>Anteil Nicht-KWK</v>
      </c>
      <c r="AX2493" s="215" t="str">
        <f t="shared" si="1151"/>
        <v/>
      </c>
      <c r="AY2493" t="str">
        <f t="shared" si="1152"/>
        <v/>
      </c>
      <c r="AZ2493" t="str">
        <f t="shared" si="1153"/>
        <v/>
      </c>
    </row>
    <row r="2494" spans="1:52" x14ac:dyDescent="0.25">
      <c r="A2494" s="610" t="s">
        <v>4437</v>
      </c>
      <c r="B2494" s="30" t="s">
        <v>5548</v>
      </c>
      <c r="C2494" s="30" t="s">
        <v>5540</v>
      </c>
      <c r="D2494" s="30" t="s">
        <v>7201</v>
      </c>
      <c r="E2494" s="30" t="s">
        <v>4812</v>
      </c>
      <c r="F2494" s="454">
        <f t="shared" si="1160"/>
        <v>23.32</v>
      </c>
      <c r="G2494" s="529">
        <v>23.32</v>
      </c>
      <c r="H2494" s="487">
        <f t="shared" si="1161"/>
        <v>18.66</v>
      </c>
      <c r="I2494" s="706"/>
      <c r="J2494" s="669" t="s">
        <v>5805</v>
      </c>
      <c r="K2494" s="15"/>
      <c r="M2494" s="49">
        <f t="shared" si="1162"/>
        <v>23.32</v>
      </c>
      <c r="N2494" s="41">
        <v>9.32</v>
      </c>
      <c r="O2494" s="186" t="s">
        <v>1017</v>
      </c>
      <c r="P2494" s="177"/>
      <c r="Q2494" s="178"/>
      <c r="R2494" s="178"/>
      <c r="S2494" s="178" t="s">
        <v>4180</v>
      </c>
      <c r="T2494" t="s">
        <v>4180</v>
      </c>
      <c r="U2494" s="179"/>
      <c r="V2494" s="178"/>
      <c r="W2494" s="180"/>
      <c r="X2494" s="180"/>
      <c r="Y2494" s="178"/>
      <c r="Z2494" s="180"/>
      <c r="AA2494" s="184"/>
      <c r="AB2494" s="178"/>
      <c r="AC2494" s="180"/>
      <c r="AD2494" s="182" t="s">
        <v>1017</v>
      </c>
      <c r="AE2494" s="181" t="s">
        <v>1017</v>
      </c>
      <c r="AF2494" s="180"/>
      <c r="AG2494" s="201"/>
      <c r="AH2494" s="212" t="str">
        <f t="shared" si="1163"/>
        <v/>
      </c>
      <c r="AI2494" s="214" t="str">
        <f t="shared" si="1155"/>
        <v/>
      </c>
      <c r="AJ2494" s="214" t="str">
        <f t="shared" si="1156"/>
        <v/>
      </c>
      <c r="AK2494" s="214" t="str">
        <f t="shared" si="1157"/>
        <v/>
      </c>
      <c r="AL2494" s="214" t="str">
        <f t="shared" si="1158"/>
        <v/>
      </c>
      <c r="AM2494" s="214" t="str">
        <f t="shared" si="1159"/>
        <v/>
      </c>
      <c r="AN2494" s="213" t="str">
        <f t="shared" si="1141"/>
        <v/>
      </c>
      <c r="AO2494" s="213" t="str">
        <f t="shared" si="1142"/>
        <v/>
      </c>
      <c r="AP2494" s="213" t="str">
        <f t="shared" si="1143"/>
        <v/>
      </c>
      <c r="AQ2494" s="215" t="str">
        <f t="shared" si="1144"/>
        <v/>
      </c>
      <c r="AR2494" s="216" t="str">
        <f t="shared" si="1145"/>
        <v>BiK82X2bKWK-08</v>
      </c>
      <c r="AS2494" s="215" t="str">
        <f t="shared" si="1146"/>
        <v/>
      </c>
      <c r="AT2494">
        <f t="shared" si="1147"/>
        <v>14</v>
      </c>
      <c r="AU2494" s="216" t="str">
        <f t="shared" si="1148"/>
        <v>0,15-0,5 MW, Bonusregeln X2, b und KWK</v>
      </c>
      <c r="AV2494" s="215" t="str">
        <f t="shared" si="1149"/>
        <v/>
      </c>
      <c r="AW2494" s="216" t="str">
        <f t="shared" si="1150"/>
        <v>Anteil KWK</v>
      </c>
      <c r="AX2494" s="215" t="str">
        <f t="shared" si="1151"/>
        <v/>
      </c>
      <c r="AY2494" t="str">
        <f t="shared" si="1152"/>
        <v/>
      </c>
      <c r="AZ2494" t="str">
        <f t="shared" si="1153"/>
        <v/>
      </c>
    </row>
    <row r="2495" spans="1:52" x14ac:dyDescent="0.25">
      <c r="A2495" s="610" t="s">
        <v>4438</v>
      </c>
      <c r="B2495" s="30" t="s">
        <v>5548</v>
      </c>
      <c r="C2495" s="30" t="s">
        <v>5540</v>
      </c>
      <c r="D2495" s="30" t="s">
        <v>7202</v>
      </c>
      <c r="E2495" s="30" t="s">
        <v>4331</v>
      </c>
      <c r="F2495" s="454">
        <f t="shared" si="1160"/>
        <v>24.32</v>
      </c>
      <c r="G2495" s="529">
        <v>24.32</v>
      </c>
      <c r="H2495" s="487">
        <f t="shared" si="1161"/>
        <v>19.46</v>
      </c>
      <c r="I2495" s="706"/>
      <c r="J2495" s="669" t="s">
        <v>5805</v>
      </c>
      <c r="K2495" s="15"/>
      <c r="M2495" s="49">
        <f t="shared" si="1162"/>
        <v>24.32</v>
      </c>
      <c r="N2495" s="41">
        <v>9.32</v>
      </c>
      <c r="O2495" s="186"/>
      <c r="P2495" s="178" t="s">
        <v>1017</v>
      </c>
      <c r="Q2495" s="178"/>
      <c r="R2495" s="178"/>
      <c r="S2495" s="178" t="s">
        <v>4180</v>
      </c>
      <c r="T2495" t="s">
        <v>4180</v>
      </c>
      <c r="U2495" s="179"/>
      <c r="V2495" s="178"/>
      <c r="W2495" s="180"/>
      <c r="X2495" s="180"/>
      <c r="Y2495" s="178"/>
      <c r="Z2495" s="180"/>
      <c r="AA2495" s="184"/>
      <c r="AB2495" s="178"/>
      <c r="AC2495" s="180"/>
      <c r="AD2495" s="199" t="s">
        <v>1017</v>
      </c>
      <c r="AE2495" s="181" t="s">
        <v>1017</v>
      </c>
      <c r="AF2495" s="180"/>
      <c r="AG2495" s="201"/>
      <c r="AH2495" s="212" t="str">
        <f t="shared" si="1163"/>
        <v/>
      </c>
      <c r="AI2495" s="214" t="str">
        <f t="shared" si="1155"/>
        <v/>
      </c>
      <c r="AJ2495" s="214" t="str">
        <f t="shared" si="1156"/>
        <v/>
      </c>
      <c r="AK2495" s="214" t="str">
        <f t="shared" si="1157"/>
        <v/>
      </c>
      <c r="AL2495" s="214" t="str">
        <f t="shared" si="1158"/>
        <v/>
      </c>
      <c r="AM2495" s="214" t="str">
        <f t="shared" si="1159"/>
        <v/>
      </c>
      <c r="AN2495" s="213" t="str">
        <f t="shared" si="1141"/>
        <v/>
      </c>
      <c r="AO2495" s="213" t="str">
        <f t="shared" si="1142"/>
        <v/>
      </c>
      <c r="AP2495" s="213" t="str">
        <f t="shared" si="1143"/>
        <v/>
      </c>
      <c r="AQ2495" s="215" t="str">
        <f t="shared" si="1144"/>
        <v/>
      </c>
      <c r="AR2495" s="216" t="str">
        <f t="shared" si="1145"/>
        <v>BiK82X2bKA3-08</v>
      </c>
      <c r="AS2495" s="215" t="str">
        <f t="shared" si="1146"/>
        <v/>
      </c>
      <c r="AT2495">
        <f t="shared" si="1147"/>
        <v>14</v>
      </c>
      <c r="AU2495" s="216" t="str">
        <f t="shared" si="1148"/>
        <v>0,15-0,5 MW, Bonusregeln X2, b und K wenn Anlage 3 erfüllt</v>
      </c>
      <c r="AV2495" s="215" t="str">
        <f t="shared" si="1149"/>
        <v/>
      </c>
      <c r="AW2495" s="216" t="str">
        <f t="shared" si="1150"/>
        <v>Anteil KWK gemäß Anlage 3</v>
      </c>
      <c r="AX2495" s="215" t="str">
        <f t="shared" si="1151"/>
        <v/>
      </c>
      <c r="AY2495" t="str">
        <f t="shared" si="1152"/>
        <v/>
      </c>
      <c r="AZ2495" t="str">
        <f t="shared" si="1153"/>
        <v/>
      </c>
    </row>
    <row r="2496" spans="1:52" x14ac:dyDescent="0.25">
      <c r="A2496" s="610" t="s">
        <v>4439</v>
      </c>
      <c r="B2496" s="30" t="s">
        <v>5548</v>
      </c>
      <c r="C2496" s="30" t="s">
        <v>5540</v>
      </c>
      <c r="D2496" s="30" t="s">
        <v>7203</v>
      </c>
      <c r="E2496" s="30" t="s">
        <v>674</v>
      </c>
      <c r="F2496" s="454">
        <f t="shared" si="1160"/>
        <v>24.32</v>
      </c>
      <c r="G2496" s="529">
        <v>24.32</v>
      </c>
      <c r="H2496" s="487">
        <f t="shared" si="1161"/>
        <v>19.46</v>
      </c>
      <c r="I2496" s="706"/>
      <c r="J2496" s="669" t="s">
        <v>5805</v>
      </c>
      <c r="K2496" s="15"/>
      <c r="M2496" s="49">
        <f t="shared" si="1162"/>
        <v>24.32</v>
      </c>
      <c r="N2496" s="41">
        <v>9.32</v>
      </c>
      <c r="O2496" s="186"/>
      <c r="P2496" s="177"/>
      <c r="Q2496" s="178" t="s">
        <v>1017</v>
      </c>
      <c r="R2496" s="178"/>
      <c r="S2496" s="178" t="s">
        <v>4180</v>
      </c>
      <c r="T2496" t="s">
        <v>4180</v>
      </c>
      <c r="U2496" s="179"/>
      <c r="V2496" s="178"/>
      <c r="W2496" s="180"/>
      <c r="X2496" s="180"/>
      <c r="Y2496" s="178"/>
      <c r="Z2496" s="180"/>
      <c r="AA2496" s="184"/>
      <c r="AB2496" s="178"/>
      <c r="AC2496" s="180"/>
      <c r="AD2496" s="199" t="s">
        <v>1017</v>
      </c>
      <c r="AE2496" s="181" t="s">
        <v>1017</v>
      </c>
      <c r="AF2496" s="180"/>
      <c r="AG2496" s="201"/>
      <c r="AH2496" s="212" t="str">
        <f t="shared" si="1163"/>
        <v/>
      </c>
      <c r="AI2496" s="214" t="str">
        <f t="shared" si="1155"/>
        <v/>
      </c>
      <c r="AJ2496" s="214" t="str">
        <f t="shared" si="1156"/>
        <v/>
      </c>
      <c r="AK2496" s="214" t="str">
        <f t="shared" si="1157"/>
        <v/>
      </c>
      <c r="AL2496" s="214" t="str">
        <f t="shared" si="1158"/>
        <v/>
      </c>
      <c r="AM2496" s="214" t="str">
        <f t="shared" si="1159"/>
        <v/>
      </c>
      <c r="AN2496" s="213" t="str">
        <f t="shared" si="1141"/>
        <v/>
      </c>
      <c r="AO2496" s="213" t="str">
        <f t="shared" si="1142"/>
        <v/>
      </c>
      <c r="AP2496" s="213" t="str">
        <f t="shared" si="1143"/>
        <v/>
      </c>
      <c r="AQ2496" s="215" t="str">
        <f t="shared" si="1144"/>
        <v/>
      </c>
      <c r="AR2496" s="216" t="str">
        <f t="shared" si="1145"/>
        <v>BiK82X2bK09-08</v>
      </c>
      <c r="AS2496" s="215" t="str">
        <f t="shared" si="1146"/>
        <v/>
      </c>
      <c r="AT2496">
        <f t="shared" si="1147"/>
        <v>14</v>
      </c>
      <c r="AU2496" s="216" t="str">
        <f t="shared" si="1148"/>
        <v>0,15-0,5 MW, Bonusregeln X2, b und K erstmals 2009</v>
      </c>
      <c r="AV2496" s="215" t="str">
        <f t="shared" si="1149"/>
        <v/>
      </c>
      <c r="AW2496" s="216" t="str">
        <f t="shared" si="1150"/>
        <v>Anteil KWK, erstmals 2009</v>
      </c>
      <c r="AX2496" s="215" t="str">
        <f t="shared" si="1151"/>
        <v/>
      </c>
      <c r="AY2496" t="str">
        <f t="shared" si="1152"/>
        <v/>
      </c>
      <c r="AZ2496" t="str">
        <f t="shared" si="1153"/>
        <v/>
      </c>
    </row>
    <row r="2497" spans="1:52" s="12" customFormat="1" x14ac:dyDescent="0.25">
      <c r="A2497" s="610" t="s">
        <v>3275</v>
      </c>
      <c r="B2497" s="30" t="s">
        <v>5548</v>
      </c>
      <c r="C2497" s="30" t="s">
        <v>5540</v>
      </c>
      <c r="D2497" s="30" t="s">
        <v>7204</v>
      </c>
      <c r="E2497" s="30" t="s">
        <v>3567</v>
      </c>
      <c r="F2497" s="454">
        <f t="shared" si="1160"/>
        <v>24.29</v>
      </c>
      <c r="G2497" s="529">
        <v>24.29</v>
      </c>
      <c r="H2497" s="487">
        <f t="shared" si="1161"/>
        <v>19.43</v>
      </c>
      <c r="I2497" s="706"/>
      <c r="J2497" s="669" t="s">
        <v>5805</v>
      </c>
      <c r="K2497" s="15"/>
      <c r="L2497"/>
      <c r="M2497" s="49">
        <f t="shared" si="1162"/>
        <v>24.29</v>
      </c>
      <c r="N2497" s="41">
        <v>9.32</v>
      </c>
      <c r="O2497" s="186"/>
      <c r="P2497" s="177"/>
      <c r="Q2497" s="178"/>
      <c r="R2497" s="178" t="s">
        <v>1017</v>
      </c>
      <c r="S2497" s="178" t="s">
        <v>4180</v>
      </c>
      <c r="T2497" s="12" t="s">
        <v>4180</v>
      </c>
      <c r="U2497" s="179"/>
      <c r="V2497" s="178"/>
      <c r="W2497" s="180"/>
      <c r="X2497" s="180"/>
      <c r="Y2497" s="178"/>
      <c r="Z2497" s="180"/>
      <c r="AA2497" s="184"/>
      <c r="AB2497" s="178"/>
      <c r="AC2497" s="180"/>
      <c r="AD2497" s="199" t="s">
        <v>1017</v>
      </c>
      <c r="AE2497" s="181" t="s">
        <v>1017</v>
      </c>
      <c r="AF2497" s="180"/>
      <c r="AG2497" s="201"/>
      <c r="AH2497" s="212" t="str">
        <f t="shared" si="1163"/>
        <v>2010</v>
      </c>
      <c r="AI2497" s="214" t="str">
        <f t="shared" si="1155"/>
        <v/>
      </c>
      <c r="AJ2497" s="214" t="str">
        <f t="shared" si="1156"/>
        <v/>
      </c>
      <c r="AK2497" s="214" t="str">
        <f t="shared" si="1157"/>
        <v/>
      </c>
      <c r="AL2497" s="214" t="str">
        <f t="shared" si="1158"/>
        <v/>
      </c>
      <c r="AM2497" s="214" t="str">
        <f t="shared" si="1159"/>
        <v/>
      </c>
      <c r="AN2497" s="213" t="str">
        <f t="shared" si="1141"/>
        <v>2010</v>
      </c>
      <c r="AO2497" s="213" t="str">
        <f t="shared" si="1142"/>
        <v>2010</v>
      </c>
      <c r="AP2497" s="213" t="str">
        <f t="shared" si="1143"/>
        <v>2010</v>
      </c>
      <c r="AQ2497" s="215" t="str">
        <f t="shared" si="1144"/>
        <v/>
      </c>
      <c r="AR2497" s="216" t="str">
        <f t="shared" si="1145"/>
        <v>BiK82X2bK10-08</v>
      </c>
      <c r="AS2497" s="215" t="str">
        <f t="shared" si="1146"/>
        <v/>
      </c>
      <c r="AT2497">
        <f t="shared" si="1147"/>
        <v>14</v>
      </c>
      <c r="AU2497" s="216" t="str">
        <f t="shared" si="1148"/>
        <v>0,15-0,5 MW, Bonusregeln X2, b und K erstmals 2010</v>
      </c>
      <c r="AV2497" s="215" t="str">
        <f t="shared" si="1149"/>
        <v/>
      </c>
      <c r="AW2497" s="216" t="str">
        <f t="shared" si="1150"/>
        <v>Anteil KWK, erstmals 2010</v>
      </c>
      <c r="AX2497" s="215" t="str">
        <f t="shared" si="1151"/>
        <v/>
      </c>
      <c r="AY2497" t="str">
        <f t="shared" si="1152"/>
        <v/>
      </c>
      <c r="AZ2497" t="str">
        <f t="shared" si="1153"/>
        <v/>
      </c>
    </row>
    <row r="2498" spans="1:52" x14ac:dyDescent="0.25">
      <c r="A2498" s="610" t="s">
        <v>3480</v>
      </c>
      <c r="B2498" s="30" t="s">
        <v>5548</v>
      </c>
      <c r="C2498" s="30" t="s">
        <v>5540</v>
      </c>
      <c r="D2498" s="30" t="s">
        <v>7205</v>
      </c>
      <c r="E2498" s="30" t="s">
        <v>3055</v>
      </c>
      <c r="F2498" s="454">
        <f t="shared" si="1160"/>
        <v>24.259999999999998</v>
      </c>
      <c r="G2498" s="529">
        <v>24.259999999999998</v>
      </c>
      <c r="H2498" s="487">
        <f t="shared" si="1161"/>
        <v>19.41</v>
      </c>
      <c r="I2498" s="706"/>
      <c r="J2498" s="669" t="s">
        <v>5805</v>
      </c>
      <c r="K2498" s="15"/>
      <c r="M2498" s="49">
        <f t="shared" si="1162"/>
        <v>24.259999999999998</v>
      </c>
      <c r="N2498" s="41">
        <v>9.32</v>
      </c>
      <c r="O2498" s="186"/>
      <c r="P2498" s="177"/>
      <c r="Q2498" s="178"/>
      <c r="R2498" s="178"/>
      <c r="S2498" s="178" t="s">
        <v>1017</v>
      </c>
      <c r="T2498" t="s">
        <v>4180</v>
      </c>
      <c r="U2498" s="179"/>
      <c r="V2498" s="178"/>
      <c r="W2498" s="180"/>
      <c r="X2498" s="180"/>
      <c r="Y2498" s="178"/>
      <c r="Z2498" s="180"/>
      <c r="AA2498" s="184"/>
      <c r="AB2498" s="178"/>
      <c r="AC2498" s="180"/>
      <c r="AD2498" s="199" t="s">
        <v>1017</v>
      </c>
      <c r="AE2498" s="181" t="s">
        <v>1017</v>
      </c>
      <c r="AF2498" s="180"/>
      <c r="AG2498" s="201"/>
      <c r="AH2498" s="212" t="str">
        <f t="shared" si="1163"/>
        <v>2011</v>
      </c>
      <c r="AI2498" s="214" t="str">
        <f t="shared" si="1155"/>
        <v/>
      </c>
      <c r="AJ2498" s="214" t="str">
        <f t="shared" si="1156"/>
        <v/>
      </c>
      <c r="AK2498" s="214" t="str">
        <f t="shared" si="1157"/>
        <v/>
      </c>
      <c r="AL2498" s="214" t="str">
        <f t="shared" si="1158"/>
        <v/>
      </c>
      <c r="AM2498" s="214" t="str">
        <f t="shared" si="1159"/>
        <v/>
      </c>
      <c r="AN2498" s="213" t="str">
        <f t="shared" si="1141"/>
        <v>2011</v>
      </c>
      <c r="AO2498" s="213" t="str">
        <f t="shared" si="1142"/>
        <v>2011</v>
      </c>
      <c r="AP2498" s="213" t="str">
        <f t="shared" si="1143"/>
        <v>2011</v>
      </c>
      <c r="AQ2498" s="215" t="str">
        <f t="shared" si="1144"/>
        <v/>
      </c>
      <c r="AR2498" s="216" t="str">
        <f t="shared" si="1145"/>
        <v>BiK82X2bK11-08</v>
      </c>
      <c r="AS2498" s="215" t="str">
        <f t="shared" si="1146"/>
        <v/>
      </c>
      <c r="AT2498">
        <f t="shared" si="1147"/>
        <v>14</v>
      </c>
      <c r="AU2498" s="216" t="str">
        <f t="shared" si="1148"/>
        <v>0,15-0,5 MW, Bonusregeln X2, b und K erstmals 2011</v>
      </c>
      <c r="AV2498" s="215" t="str">
        <f t="shared" si="1149"/>
        <v/>
      </c>
      <c r="AW2498" s="216" t="str">
        <f t="shared" si="1150"/>
        <v>Anteil KWK, erstmals 2011</v>
      </c>
      <c r="AX2498" s="215" t="str">
        <f t="shared" si="1151"/>
        <v/>
      </c>
      <c r="AY2498" t="str">
        <f t="shared" si="1152"/>
        <v>x</v>
      </c>
      <c r="AZ2498" t="str">
        <f t="shared" si="1153"/>
        <v/>
      </c>
    </row>
    <row r="2499" spans="1:52" x14ac:dyDescent="0.25">
      <c r="A2499" s="625" t="s">
        <v>1912</v>
      </c>
      <c r="B2499" s="219" t="s">
        <v>5548</v>
      </c>
      <c r="C2499" s="219" t="s">
        <v>5540</v>
      </c>
      <c r="D2499" s="219" t="s">
        <v>7206</v>
      </c>
      <c r="E2499" s="219" t="s">
        <v>1980</v>
      </c>
      <c r="F2499" s="455">
        <f t="shared" si="1160"/>
        <v>24.23</v>
      </c>
      <c r="G2499" s="530">
        <v>24.23</v>
      </c>
      <c r="H2499" s="488">
        <f t="shared" si="1161"/>
        <v>19.38</v>
      </c>
      <c r="I2499" s="707"/>
      <c r="J2499" s="669" t="s">
        <v>5805</v>
      </c>
      <c r="K2499" s="15"/>
      <c r="M2499" s="49">
        <f t="shared" si="1162"/>
        <v>24.23</v>
      </c>
      <c r="N2499" s="41">
        <v>9.32</v>
      </c>
      <c r="O2499" s="186"/>
      <c r="P2499" s="177"/>
      <c r="Q2499" s="178"/>
      <c r="R2499" s="178"/>
      <c r="S2499" s="178" t="s">
        <v>4180</v>
      </c>
      <c r="T2499" t="s">
        <v>1017</v>
      </c>
      <c r="U2499" s="179"/>
      <c r="V2499" s="178"/>
      <c r="W2499" s="180"/>
      <c r="X2499" s="180"/>
      <c r="Y2499" s="178"/>
      <c r="Z2499" s="180"/>
      <c r="AA2499" s="184"/>
      <c r="AB2499" s="178"/>
      <c r="AC2499" s="180"/>
      <c r="AD2499" s="199" t="s">
        <v>1017</v>
      </c>
      <c r="AE2499" s="181" t="s">
        <v>1017</v>
      </c>
      <c r="AF2499" s="180"/>
      <c r="AG2499" s="201"/>
      <c r="AH2499" s="217" t="s">
        <v>4179</v>
      </c>
      <c r="AI2499" s="214" t="str">
        <f t="shared" si="1155"/>
        <v/>
      </c>
      <c r="AJ2499" s="214" t="str">
        <f t="shared" si="1156"/>
        <v/>
      </c>
      <c r="AK2499" s="214" t="str">
        <f t="shared" si="1157"/>
        <v/>
      </c>
      <c r="AL2499" s="214" t="str">
        <f t="shared" si="1158"/>
        <v/>
      </c>
      <c r="AM2499" s="214" t="str">
        <f t="shared" si="1159"/>
        <v/>
      </c>
      <c r="AN2499" s="213" t="str">
        <f t="shared" si="1141"/>
        <v>2012</v>
      </c>
      <c r="AO2499" s="213" t="str">
        <f t="shared" si="1142"/>
        <v>2012</v>
      </c>
      <c r="AP2499" s="213" t="str">
        <f t="shared" si="1143"/>
        <v>2012</v>
      </c>
      <c r="AQ2499" s="215" t="str">
        <f t="shared" si="1144"/>
        <v/>
      </c>
      <c r="AR2499" s="216" t="str">
        <f t="shared" si="1145"/>
        <v>BiK82X2bK12-08</v>
      </c>
      <c r="AS2499" s="215" t="str">
        <f t="shared" si="1146"/>
        <v/>
      </c>
      <c r="AT2499">
        <f t="shared" si="1147"/>
        <v>14</v>
      </c>
      <c r="AU2499" s="216" t="str">
        <f t="shared" si="1148"/>
        <v>0,15-0,5 MW, Bonusregeln X2, b und K erstmals 2012</v>
      </c>
      <c r="AV2499" s="215" t="str">
        <f t="shared" si="1149"/>
        <v/>
      </c>
      <c r="AW2499" s="216" t="str">
        <f t="shared" si="1150"/>
        <v>Anteil KWK, erstmals 2012</v>
      </c>
      <c r="AX2499" s="215" t="str">
        <f t="shared" si="1151"/>
        <v/>
      </c>
      <c r="AY2499" t="str">
        <f t="shared" si="1152"/>
        <v/>
      </c>
      <c r="AZ2499" t="str">
        <f t="shared" si="1153"/>
        <v>x</v>
      </c>
    </row>
    <row r="2500" spans="1:52" x14ac:dyDescent="0.25">
      <c r="A2500" s="610" t="s">
        <v>4440</v>
      </c>
      <c r="B2500" s="30" t="s">
        <v>5548</v>
      </c>
      <c r="C2500" s="30" t="s">
        <v>5540</v>
      </c>
      <c r="D2500" s="30" t="s">
        <v>7207</v>
      </c>
      <c r="E2500" s="30" t="s">
        <v>4810</v>
      </c>
      <c r="F2500" s="454">
        <f t="shared" si="1160"/>
        <v>22.32</v>
      </c>
      <c r="G2500" s="529">
        <v>22.32</v>
      </c>
      <c r="H2500" s="487">
        <f t="shared" si="1161"/>
        <v>17.86</v>
      </c>
      <c r="I2500" s="706"/>
      <c r="J2500" s="669" t="s">
        <v>5805</v>
      </c>
      <c r="K2500" s="15"/>
      <c r="M2500" s="49">
        <f t="shared" si="1162"/>
        <v>22.32</v>
      </c>
      <c r="N2500" s="41">
        <v>9.32</v>
      </c>
      <c r="O2500" s="187"/>
      <c r="P2500" s="183"/>
      <c r="Q2500" s="184"/>
      <c r="R2500" s="184"/>
      <c r="S2500" s="184" t="s">
        <v>4180</v>
      </c>
      <c r="T2500" t="s">
        <v>4180</v>
      </c>
      <c r="U2500" s="185" t="s">
        <v>1017</v>
      </c>
      <c r="V2500" s="184"/>
      <c r="W2500" s="180"/>
      <c r="X2500" s="180"/>
      <c r="Y2500" s="178"/>
      <c r="Z2500" s="180"/>
      <c r="AA2500" s="184"/>
      <c r="AB2500" s="178"/>
      <c r="AC2500" s="180"/>
      <c r="AD2500" s="182" t="s">
        <v>1017</v>
      </c>
      <c r="AE2500" s="181" t="s">
        <v>1017</v>
      </c>
      <c r="AF2500" s="180"/>
      <c r="AG2500" s="201"/>
      <c r="AH2500" s="212" t="str">
        <f t="shared" ref="AH2500:AH2505" si="1164">IF(ISERROR(SEARCH("K erstmals 201",D2500)),"",RIGHT(D2500,4))</f>
        <v/>
      </c>
      <c r="AI2500" s="214" t="str">
        <f t="shared" si="1155"/>
        <v/>
      </c>
      <c r="AJ2500" s="214" t="str">
        <f t="shared" si="1156"/>
        <v/>
      </c>
      <c r="AK2500" s="214" t="str">
        <f t="shared" si="1157"/>
        <v/>
      </c>
      <c r="AL2500" s="214" t="str">
        <f t="shared" si="1158"/>
        <v/>
      </c>
      <c r="AM2500" s="214" t="str">
        <f t="shared" si="1159"/>
        <v/>
      </c>
      <c r="AN2500" s="213" t="str">
        <f t="shared" si="1141"/>
        <v/>
      </c>
      <c r="AO2500" s="213" t="str">
        <f t="shared" si="1142"/>
        <v/>
      </c>
      <c r="AP2500" s="213" t="str">
        <f t="shared" si="1143"/>
        <v/>
      </c>
      <c r="AQ2500" s="215" t="str">
        <f t="shared" si="1144"/>
        <v/>
      </c>
      <c r="AR2500" s="216" t="str">
        <f t="shared" si="1145"/>
        <v>BiK82X2by---08</v>
      </c>
      <c r="AS2500" s="215" t="str">
        <f t="shared" si="1146"/>
        <v/>
      </c>
      <c r="AT2500">
        <f t="shared" si="1147"/>
        <v>14</v>
      </c>
      <c r="AU2500" s="216" t="str">
        <f t="shared" si="1148"/>
        <v>0,15-0,5 MW, Bonusregeln X2, y, b</v>
      </c>
      <c r="AV2500" s="215" t="str">
        <f t="shared" si="1149"/>
        <v/>
      </c>
      <c r="AW2500" s="216" t="str">
        <f t="shared" si="1150"/>
        <v>Anteil Nicht-KWK</v>
      </c>
      <c r="AX2500" s="215" t="str">
        <f t="shared" si="1151"/>
        <v/>
      </c>
      <c r="AY2500" t="str">
        <f t="shared" si="1152"/>
        <v/>
      </c>
      <c r="AZ2500" t="str">
        <f t="shared" si="1153"/>
        <v/>
      </c>
    </row>
    <row r="2501" spans="1:52" x14ac:dyDescent="0.25">
      <c r="A2501" s="610" t="s">
        <v>4441</v>
      </c>
      <c r="B2501" s="30" t="s">
        <v>5548</v>
      </c>
      <c r="C2501" s="30" t="s">
        <v>5540</v>
      </c>
      <c r="D2501" s="30" t="s">
        <v>7208</v>
      </c>
      <c r="E2501" s="30" t="s">
        <v>4812</v>
      </c>
      <c r="F2501" s="454">
        <f t="shared" si="1160"/>
        <v>24.32</v>
      </c>
      <c r="G2501" s="529">
        <v>24.32</v>
      </c>
      <c r="H2501" s="487">
        <f t="shared" si="1161"/>
        <v>19.46</v>
      </c>
      <c r="I2501" s="706"/>
      <c r="J2501" s="669" t="s">
        <v>5805</v>
      </c>
      <c r="K2501" s="15"/>
      <c r="M2501" s="49">
        <f t="shared" si="1162"/>
        <v>24.32</v>
      </c>
      <c r="N2501" s="41">
        <v>9.32</v>
      </c>
      <c r="O2501" s="187" t="s">
        <v>1017</v>
      </c>
      <c r="P2501" s="183"/>
      <c r="Q2501" s="184"/>
      <c r="R2501" s="184"/>
      <c r="S2501" s="184" t="s">
        <v>4180</v>
      </c>
      <c r="T2501" t="s">
        <v>4180</v>
      </c>
      <c r="U2501" s="185" t="s">
        <v>1017</v>
      </c>
      <c r="V2501" s="184"/>
      <c r="W2501" s="180"/>
      <c r="X2501" s="180"/>
      <c r="Y2501" s="178"/>
      <c r="Z2501" s="180"/>
      <c r="AA2501" s="184"/>
      <c r="AB2501" s="178"/>
      <c r="AC2501" s="180"/>
      <c r="AD2501" s="182" t="s">
        <v>1017</v>
      </c>
      <c r="AE2501" s="181" t="s">
        <v>1017</v>
      </c>
      <c r="AF2501" s="180"/>
      <c r="AG2501" s="201"/>
      <c r="AH2501" s="212" t="str">
        <f t="shared" si="1164"/>
        <v/>
      </c>
      <c r="AI2501" s="214" t="str">
        <f t="shared" si="1155"/>
        <v/>
      </c>
      <c r="AJ2501" s="214" t="str">
        <f t="shared" si="1156"/>
        <v/>
      </c>
      <c r="AK2501" s="214" t="str">
        <f t="shared" si="1157"/>
        <v/>
      </c>
      <c r="AL2501" s="214" t="str">
        <f t="shared" si="1158"/>
        <v/>
      </c>
      <c r="AM2501" s="214" t="str">
        <f t="shared" si="1159"/>
        <v/>
      </c>
      <c r="AN2501" s="213" t="str">
        <f t="shared" si="1141"/>
        <v/>
      </c>
      <c r="AO2501" s="213" t="str">
        <f t="shared" si="1142"/>
        <v/>
      </c>
      <c r="AP2501" s="213" t="str">
        <f t="shared" si="1143"/>
        <v/>
      </c>
      <c r="AQ2501" s="215" t="str">
        <f t="shared" si="1144"/>
        <v/>
      </c>
      <c r="AR2501" s="216" t="str">
        <f t="shared" si="1145"/>
        <v>BiK82X2bKWKy08</v>
      </c>
      <c r="AS2501" s="215" t="str">
        <f t="shared" si="1146"/>
        <v/>
      </c>
      <c r="AT2501">
        <f t="shared" si="1147"/>
        <v>14</v>
      </c>
      <c r="AU2501" s="216" t="str">
        <f t="shared" si="1148"/>
        <v>0,15-0,5 MW, Bonusregeln X2, y, b und KWK</v>
      </c>
      <c r="AV2501" s="215" t="str">
        <f t="shared" si="1149"/>
        <v/>
      </c>
      <c r="AW2501" s="216" t="str">
        <f t="shared" si="1150"/>
        <v>Anteil KWK</v>
      </c>
      <c r="AX2501" s="215" t="str">
        <f t="shared" si="1151"/>
        <v/>
      </c>
      <c r="AY2501" t="str">
        <f t="shared" si="1152"/>
        <v/>
      </c>
      <c r="AZ2501" t="str">
        <f t="shared" si="1153"/>
        <v/>
      </c>
    </row>
    <row r="2502" spans="1:52" x14ac:dyDescent="0.25">
      <c r="A2502" s="610" t="s">
        <v>4442</v>
      </c>
      <c r="B2502" s="30" t="s">
        <v>5548</v>
      </c>
      <c r="C2502" s="30" t="s">
        <v>5540</v>
      </c>
      <c r="D2502" s="109" t="s">
        <v>7209</v>
      </c>
      <c r="E2502" s="30" t="s">
        <v>4331</v>
      </c>
      <c r="F2502" s="454">
        <f t="shared" si="1160"/>
        <v>25.32</v>
      </c>
      <c r="G2502" s="529">
        <v>25.32</v>
      </c>
      <c r="H2502" s="487">
        <f t="shared" si="1161"/>
        <v>20.260000000000002</v>
      </c>
      <c r="I2502" s="706"/>
      <c r="J2502" s="669" t="s">
        <v>5805</v>
      </c>
      <c r="K2502" s="15"/>
      <c r="M2502" s="49">
        <f t="shared" si="1162"/>
        <v>25.32</v>
      </c>
      <c r="N2502" s="41">
        <v>9.32</v>
      </c>
      <c r="O2502" s="187"/>
      <c r="P2502" s="184" t="s">
        <v>1017</v>
      </c>
      <c r="Q2502" s="184"/>
      <c r="R2502" s="184"/>
      <c r="S2502" s="184" t="s">
        <v>4180</v>
      </c>
      <c r="T2502" t="s">
        <v>4180</v>
      </c>
      <c r="U2502" s="185" t="s">
        <v>1017</v>
      </c>
      <c r="V2502" s="184"/>
      <c r="W2502" s="180"/>
      <c r="X2502" s="180"/>
      <c r="Y2502" s="178"/>
      <c r="Z2502" s="180"/>
      <c r="AA2502" s="184"/>
      <c r="AB2502" s="178"/>
      <c r="AC2502" s="180"/>
      <c r="AD2502" s="182" t="s">
        <v>1017</v>
      </c>
      <c r="AE2502" s="181" t="s">
        <v>1017</v>
      </c>
      <c r="AF2502" s="180"/>
      <c r="AG2502" s="201"/>
      <c r="AH2502" s="212" t="str">
        <f t="shared" si="1164"/>
        <v/>
      </c>
      <c r="AI2502" s="214" t="str">
        <f t="shared" si="1155"/>
        <v/>
      </c>
      <c r="AJ2502" s="214" t="str">
        <f t="shared" si="1156"/>
        <v/>
      </c>
      <c r="AK2502" s="214" t="str">
        <f t="shared" si="1157"/>
        <v/>
      </c>
      <c r="AL2502" s="214" t="str">
        <f t="shared" si="1158"/>
        <v/>
      </c>
      <c r="AM2502" s="214" t="str">
        <f t="shared" si="1159"/>
        <v/>
      </c>
      <c r="AN2502" s="213" t="str">
        <f t="shared" si="1141"/>
        <v/>
      </c>
      <c r="AO2502" s="213" t="str">
        <f t="shared" si="1142"/>
        <v/>
      </c>
      <c r="AP2502" s="213" t="str">
        <f t="shared" si="1143"/>
        <v/>
      </c>
      <c r="AQ2502" s="215" t="str">
        <f t="shared" si="1144"/>
        <v/>
      </c>
      <c r="AR2502" s="216" t="str">
        <f t="shared" si="1145"/>
        <v>BiK82X2bKA3y08</v>
      </c>
      <c r="AS2502" s="215" t="str">
        <f t="shared" si="1146"/>
        <v/>
      </c>
      <c r="AT2502">
        <f t="shared" si="1147"/>
        <v>14</v>
      </c>
      <c r="AU2502" s="216" t="str">
        <f t="shared" si="1148"/>
        <v>0,15-0,5 MW, Bonusregeln X2, y, b und K wenn Anlage 3 erfüllt</v>
      </c>
      <c r="AV2502" s="215" t="str">
        <f t="shared" si="1149"/>
        <v/>
      </c>
      <c r="AW2502" s="216" t="str">
        <f t="shared" si="1150"/>
        <v>Anteil KWK gemäß Anlage 3</v>
      </c>
      <c r="AX2502" s="215" t="str">
        <f t="shared" si="1151"/>
        <v/>
      </c>
      <c r="AY2502" t="str">
        <f t="shared" si="1152"/>
        <v/>
      </c>
      <c r="AZ2502" t="str">
        <f t="shared" si="1153"/>
        <v/>
      </c>
    </row>
    <row r="2503" spans="1:52" s="178" customFormat="1" x14ac:dyDescent="0.25">
      <c r="A2503" s="610" t="s">
        <v>4443</v>
      </c>
      <c r="B2503" s="30" t="s">
        <v>5548</v>
      </c>
      <c r="C2503" s="30" t="s">
        <v>5540</v>
      </c>
      <c r="D2503" s="30" t="s">
        <v>7210</v>
      </c>
      <c r="E2503" s="30" t="s">
        <v>674</v>
      </c>
      <c r="F2503" s="454">
        <f t="shared" si="1160"/>
        <v>25.32</v>
      </c>
      <c r="G2503" s="529">
        <v>25.32</v>
      </c>
      <c r="H2503" s="487">
        <f t="shared" si="1161"/>
        <v>20.260000000000002</v>
      </c>
      <c r="I2503" s="706"/>
      <c r="J2503" s="669" t="s">
        <v>5805</v>
      </c>
      <c r="K2503" s="15"/>
      <c r="L2503"/>
      <c r="M2503" s="49">
        <f t="shared" si="1162"/>
        <v>25.32</v>
      </c>
      <c r="N2503" s="41">
        <v>9.32</v>
      </c>
      <c r="O2503" s="187"/>
      <c r="P2503" s="183"/>
      <c r="Q2503" s="184" t="s">
        <v>1017</v>
      </c>
      <c r="R2503" s="184"/>
      <c r="S2503" s="184" t="s">
        <v>4180</v>
      </c>
      <c r="T2503" s="178" t="s">
        <v>4180</v>
      </c>
      <c r="U2503" s="185" t="s">
        <v>1017</v>
      </c>
      <c r="V2503" s="184"/>
      <c r="W2503" s="180"/>
      <c r="X2503" s="180"/>
      <c r="Z2503" s="180"/>
      <c r="AA2503" s="184"/>
      <c r="AC2503" s="180"/>
      <c r="AD2503" s="182" t="s">
        <v>1017</v>
      </c>
      <c r="AE2503" s="181" t="s">
        <v>1017</v>
      </c>
      <c r="AF2503" s="180"/>
      <c r="AG2503" s="201"/>
      <c r="AH2503" s="212" t="str">
        <f t="shared" si="1164"/>
        <v/>
      </c>
      <c r="AI2503" s="214" t="str">
        <f t="shared" si="1155"/>
        <v/>
      </c>
      <c r="AJ2503" s="214" t="str">
        <f t="shared" si="1156"/>
        <v/>
      </c>
      <c r="AK2503" s="214" t="str">
        <f t="shared" si="1157"/>
        <v/>
      </c>
      <c r="AL2503" s="214" t="str">
        <f t="shared" si="1158"/>
        <v/>
      </c>
      <c r="AM2503" s="214" t="str">
        <f t="shared" si="1159"/>
        <v/>
      </c>
      <c r="AN2503" s="213" t="str">
        <f t="shared" si="1141"/>
        <v/>
      </c>
      <c r="AO2503" s="213" t="str">
        <f t="shared" si="1142"/>
        <v/>
      </c>
      <c r="AP2503" s="213" t="str">
        <f t="shared" si="1143"/>
        <v/>
      </c>
      <c r="AQ2503" s="215" t="str">
        <f t="shared" si="1144"/>
        <v/>
      </c>
      <c r="AR2503" s="216" t="str">
        <f t="shared" si="1145"/>
        <v>BiK82X2bK09y08</v>
      </c>
      <c r="AS2503" s="215" t="str">
        <f t="shared" si="1146"/>
        <v/>
      </c>
      <c r="AT2503">
        <f t="shared" si="1147"/>
        <v>14</v>
      </c>
      <c r="AU2503" s="216" t="str">
        <f t="shared" si="1148"/>
        <v>0,15-0,5 MW, Bonusregeln X2, y, b und K erstmals 2009</v>
      </c>
      <c r="AV2503" s="215" t="str">
        <f t="shared" si="1149"/>
        <v/>
      </c>
      <c r="AW2503" s="216" t="str">
        <f t="shared" si="1150"/>
        <v>Anteil KWK, erstmals 2009</v>
      </c>
      <c r="AX2503" s="215" t="str">
        <f t="shared" si="1151"/>
        <v/>
      </c>
      <c r="AY2503" t="str">
        <f t="shared" si="1152"/>
        <v/>
      </c>
      <c r="AZ2503" t="str">
        <f t="shared" si="1153"/>
        <v/>
      </c>
    </row>
    <row r="2504" spans="1:52" s="178" customFormat="1" x14ac:dyDescent="0.25">
      <c r="A2504" s="610" t="s">
        <v>3276</v>
      </c>
      <c r="B2504" s="30" t="s">
        <v>5548</v>
      </c>
      <c r="C2504" s="30" t="s">
        <v>5540</v>
      </c>
      <c r="D2504" s="30" t="s">
        <v>7211</v>
      </c>
      <c r="E2504" s="30" t="s">
        <v>3567</v>
      </c>
      <c r="F2504" s="454">
        <f t="shared" si="1160"/>
        <v>25.29</v>
      </c>
      <c r="G2504" s="529">
        <v>25.29</v>
      </c>
      <c r="H2504" s="487">
        <f t="shared" si="1161"/>
        <v>20.23</v>
      </c>
      <c r="I2504" s="706"/>
      <c r="J2504" s="669" t="s">
        <v>5805</v>
      </c>
      <c r="K2504" s="15"/>
      <c r="L2504"/>
      <c r="M2504" s="49">
        <f t="shared" si="1162"/>
        <v>25.29</v>
      </c>
      <c r="N2504" s="41">
        <v>9.32</v>
      </c>
      <c r="O2504" s="187"/>
      <c r="P2504" s="183"/>
      <c r="Q2504" s="184"/>
      <c r="R2504" s="184" t="s">
        <v>1017</v>
      </c>
      <c r="S2504" s="184" t="s">
        <v>4180</v>
      </c>
      <c r="T2504" s="178" t="s">
        <v>4180</v>
      </c>
      <c r="U2504" s="185" t="s">
        <v>1017</v>
      </c>
      <c r="V2504" s="184"/>
      <c r="W2504" s="180"/>
      <c r="X2504" s="180"/>
      <c r="Z2504" s="180"/>
      <c r="AA2504" s="184"/>
      <c r="AC2504" s="180"/>
      <c r="AD2504" s="182" t="s">
        <v>1017</v>
      </c>
      <c r="AE2504" s="181" t="s">
        <v>1017</v>
      </c>
      <c r="AF2504" s="180"/>
      <c r="AG2504" s="201"/>
      <c r="AH2504" s="212" t="str">
        <f t="shared" si="1164"/>
        <v>2010</v>
      </c>
      <c r="AI2504" s="214" t="str">
        <f t="shared" si="1155"/>
        <v/>
      </c>
      <c r="AJ2504" s="214" t="str">
        <f t="shared" si="1156"/>
        <v/>
      </c>
      <c r="AK2504" s="214" t="str">
        <f t="shared" si="1157"/>
        <v/>
      </c>
      <c r="AL2504" s="214" t="str">
        <f t="shared" si="1158"/>
        <v/>
      </c>
      <c r="AM2504" s="214" t="str">
        <f t="shared" si="1159"/>
        <v/>
      </c>
      <c r="AN2504" s="213" t="str">
        <f t="shared" si="1141"/>
        <v>2010</v>
      </c>
      <c r="AO2504" s="213" t="str">
        <f t="shared" si="1142"/>
        <v>2010</v>
      </c>
      <c r="AP2504" s="213" t="str">
        <f t="shared" si="1143"/>
        <v>2010</v>
      </c>
      <c r="AQ2504" s="215" t="str">
        <f t="shared" si="1144"/>
        <v/>
      </c>
      <c r="AR2504" s="216" t="str">
        <f t="shared" si="1145"/>
        <v>BiK82X2bK10y08</v>
      </c>
      <c r="AS2504" s="215" t="str">
        <f t="shared" si="1146"/>
        <v/>
      </c>
      <c r="AT2504">
        <f t="shared" si="1147"/>
        <v>14</v>
      </c>
      <c r="AU2504" s="216" t="str">
        <f t="shared" si="1148"/>
        <v>0,15-0,5 MW, Bonusregeln X2, y, b und K erstmals 2010</v>
      </c>
      <c r="AV2504" s="215" t="str">
        <f t="shared" si="1149"/>
        <v/>
      </c>
      <c r="AW2504" s="216" t="str">
        <f t="shared" si="1150"/>
        <v>Anteil KWK, erstmals 2010</v>
      </c>
      <c r="AX2504" s="215" t="str">
        <f t="shared" si="1151"/>
        <v/>
      </c>
      <c r="AY2504" t="str">
        <f t="shared" si="1152"/>
        <v/>
      </c>
      <c r="AZ2504" t="str">
        <f t="shared" si="1153"/>
        <v/>
      </c>
    </row>
    <row r="2505" spans="1:52" s="178" customFormat="1" x14ac:dyDescent="0.25">
      <c r="A2505" s="610" t="s">
        <v>3481</v>
      </c>
      <c r="B2505" s="30" t="s">
        <v>5548</v>
      </c>
      <c r="C2505" s="30" t="s">
        <v>5540</v>
      </c>
      <c r="D2505" s="30" t="s">
        <v>7212</v>
      </c>
      <c r="E2505" s="30" t="s">
        <v>3055</v>
      </c>
      <c r="F2505" s="454">
        <f t="shared" si="1160"/>
        <v>25.259999999999998</v>
      </c>
      <c r="G2505" s="529">
        <v>25.259999999999998</v>
      </c>
      <c r="H2505" s="487">
        <f t="shared" si="1161"/>
        <v>20.21</v>
      </c>
      <c r="I2505" s="706"/>
      <c r="J2505" s="669" t="s">
        <v>5805</v>
      </c>
      <c r="K2505" s="15"/>
      <c r="L2505"/>
      <c r="M2505" s="49">
        <f t="shared" si="1162"/>
        <v>25.259999999999998</v>
      </c>
      <c r="N2505" s="41">
        <v>9.32</v>
      </c>
      <c r="O2505" s="187"/>
      <c r="P2505" s="183"/>
      <c r="Q2505" s="184"/>
      <c r="S2505" s="184" t="s">
        <v>1017</v>
      </c>
      <c r="T2505" s="178" t="s">
        <v>4180</v>
      </c>
      <c r="U2505" s="185" t="s">
        <v>1017</v>
      </c>
      <c r="V2505" s="184"/>
      <c r="W2505" s="180"/>
      <c r="X2505" s="180"/>
      <c r="Z2505" s="180"/>
      <c r="AA2505" s="184"/>
      <c r="AC2505" s="180"/>
      <c r="AD2505" s="182" t="s">
        <v>1017</v>
      </c>
      <c r="AE2505" s="181" t="s">
        <v>1017</v>
      </c>
      <c r="AF2505" s="180"/>
      <c r="AG2505" s="201"/>
      <c r="AH2505" s="212" t="str">
        <f t="shared" si="1164"/>
        <v>2011</v>
      </c>
      <c r="AI2505" s="214" t="str">
        <f t="shared" si="1155"/>
        <v/>
      </c>
      <c r="AJ2505" s="214" t="str">
        <f t="shared" si="1156"/>
        <v/>
      </c>
      <c r="AK2505" s="214" t="str">
        <f t="shared" si="1157"/>
        <v/>
      </c>
      <c r="AL2505" s="214" t="str">
        <f t="shared" si="1158"/>
        <v/>
      </c>
      <c r="AM2505" s="214" t="str">
        <f t="shared" si="1159"/>
        <v/>
      </c>
      <c r="AN2505" s="213" t="str">
        <f t="shared" si="1141"/>
        <v>2011</v>
      </c>
      <c r="AO2505" s="213" t="str">
        <f t="shared" si="1142"/>
        <v>2011</v>
      </c>
      <c r="AP2505" s="213" t="str">
        <f t="shared" si="1143"/>
        <v>2011</v>
      </c>
      <c r="AQ2505" s="215" t="str">
        <f t="shared" si="1144"/>
        <v/>
      </c>
      <c r="AR2505" s="216" t="str">
        <f t="shared" si="1145"/>
        <v>BiK82X2bK11y08</v>
      </c>
      <c r="AS2505" s="215" t="str">
        <f t="shared" si="1146"/>
        <v/>
      </c>
      <c r="AT2505">
        <f t="shared" si="1147"/>
        <v>14</v>
      </c>
      <c r="AU2505" s="216" t="str">
        <f t="shared" si="1148"/>
        <v>0,15-0,5 MW, Bonusregeln X2, y, b und K erstmals 2011</v>
      </c>
      <c r="AV2505" s="215" t="str">
        <f t="shared" si="1149"/>
        <v/>
      </c>
      <c r="AW2505" s="216" t="str">
        <f t="shared" si="1150"/>
        <v>Anteil KWK, erstmals 2011</v>
      </c>
      <c r="AX2505" s="215" t="str">
        <f t="shared" si="1151"/>
        <v/>
      </c>
      <c r="AY2505" t="str">
        <f t="shared" si="1152"/>
        <v>x</v>
      </c>
      <c r="AZ2505" t="str">
        <f t="shared" si="1153"/>
        <v/>
      </c>
    </row>
    <row r="2506" spans="1:52" s="178" customFormat="1" x14ac:dyDescent="0.25">
      <c r="A2506" s="625" t="s">
        <v>1913</v>
      </c>
      <c r="B2506" s="219" t="s">
        <v>5548</v>
      </c>
      <c r="C2506" s="219" t="s">
        <v>5540</v>
      </c>
      <c r="D2506" s="219" t="s">
        <v>7213</v>
      </c>
      <c r="E2506" s="219" t="s">
        <v>1980</v>
      </c>
      <c r="F2506" s="455">
        <f t="shared" si="1160"/>
        <v>25.23</v>
      </c>
      <c r="G2506" s="530">
        <v>25.23</v>
      </c>
      <c r="H2506" s="488">
        <f t="shared" si="1161"/>
        <v>20.18</v>
      </c>
      <c r="I2506" s="707"/>
      <c r="J2506" s="669" t="s">
        <v>5805</v>
      </c>
      <c r="K2506" s="15"/>
      <c r="L2506"/>
      <c r="M2506" s="49">
        <f t="shared" si="1162"/>
        <v>25.23</v>
      </c>
      <c r="N2506" s="41">
        <v>9.32</v>
      </c>
      <c r="O2506" s="187"/>
      <c r="P2506" s="183"/>
      <c r="Q2506" s="184"/>
      <c r="S2506" s="184" t="s">
        <v>4180</v>
      </c>
      <c r="T2506" s="178" t="s">
        <v>1017</v>
      </c>
      <c r="U2506" s="185" t="s">
        <v>1017</v>
      </c>
      <c r="V2506" s="184"/>
      <c r="W2506" s="180"/>
      <c r="X2506" s="180"/>
      <c r="Z2506" s="180"/>
      <c r="AA2506" s="184"/>
      <c r="AC2506" s="180"/>
      <c r="AD2506" s="182" t="s">
        <v>1017</v>
      </c>
      <c r="AE2506" s="181" t="s">
        <v>1017</v>
      </c>
      <c r="AF2506" s="180"/>
      <c r="AG2506" s="201"/>
      <c r="AH2506" s="217" t="s">
        <v>4179</v>
      </c>
      <c r="AI2506" s="214" t="str">
        <f t="shared" si="1155"/>
        <v/>
      </c>
      <c r="AJ2506" s="214" t="str">
        <f t="shared" si="1156"/>
        <v/>
      </c>
      <c r="AK2506" s="214" t="str">
        <f t="shared" si="1157"/>
        <v/>
      </c>
      <c r="AL2506" s="214" t="str">
        <f t="shared" si="1158"/>
        <v/>
      </c>
      <c r="AM2506" s="214" t="str">
        <f t="shared" si="1159"/>
        <v/>
      </c>
      <c r="AN2506" s="213" t="str">
        <f t="shared" si="1141"/>
        <v>2012</v>
      </c>
      <c r="AO2506" s="213" t="str">
        <f t="shared" si="1142"/>
        <v>2012</v>
      </c>
      <c r="AP2506" s="213" t="str">
        <f t="shared" si="1143"/>
        <v>2012</v>
      </c>
      <c r="AQ2506" s="215" t="str">
        <f t="shared" si="1144"/>
        <v/>
      </c>
      <c r="AR2506" s="216" t="str">
        <f t="shared" si="1145"/>
        <v>BiK82X2bK12y08</v>
      </c>
      <c r="AS2506" s="215" t="str">
        <f t="shared" si="1146"/>
        <v/>
      </c>
      <c r="AT2506">
        <f t="shared" si="1147"/>
        <v>14</v>
      </c>
      <c r="AU2506" s="216" t="str">
        <f t="shared" si="1148"/>
        <v>0,15-0,5 MW, Bonusregeln X2, y, b und K erstmals 2012</v>
      </c>
      <c r="AV2506" s="215" t="str">
        <f t="shared" si="1149"/>
        <v/>
      </c>
      <c r="AW2506" s="216" t="str">
        <f t="shared" si="1150"/>
        <v>Anteil KWK, erstmals 2012</v>
      </c>
      <c r="AX2506" s="215" t="str">
        <f t="shared" si="1151"/>
        <v/>
      </c>
      <c r="AY2506" t="str">
        <f t="shared" si="1152"/>
        <v/>
      </c>
      <c r="AZ2506" t="str">
        <f t="shared" si="1153"/>
        <v>x</v>
      </c>
    </row>
    <row r="2507" spans="1:52" s="178" customFormat="1" x14ac:dyDescent="0.25">
      <c r="A2507" s="609" t="s">
        <v>3687</v>
      </c>
      <c r="B2507" s="1" t="s">
        <v>5548</v>
      </c>
      <c r="C2507" s="2" t="s">
        <v>5540</v>
      </c>
      <c r="D2507" s="1" t="s">
        <v>5408</v>
      </c>
      <c r="E2507" s="1" t="s">
        <v>4810</v>
      </c>
      <c r="F2507" s="456">
        <f t="shared" si="1160"/>
        <v>8.3800000000000008</v>
      </c>
      <c r="G2507" s="531">
        <v>8.3800000000000008</v>
      </c>
      <c r="H2507" s="489">
        <f t="shared" si="1161"/>
        <v>6.7</v>
      </c>
      <c r="I2507" s="708"/>
      <c r="J2507" s="669" t="s">
        <v>5805</v>
      </c>
      <c r="K2507" s="15"/>
      <c r="L2507"/>
      <c r="M2507" s="49">
        <f t="shared" si="1162"/>
        <v>8.3800000000000008</v>
      </c>
      <c r="N2507" s="41">
        <v>8.3800000000000008</v>
      </c>
      <c r="O2507" s="54"/>
      <c r="P2507" s="74"/>
      <c r="Q2507"/>
      <c r="R2507"/>
      <c r="S2507" t="s">
        <v>4180</v>
      </c>
      <c r="T2507" s="178" t="s">
        <v>4180</v>
      </c>
      <c r="U2507" s="75"/>
      <c r="V2507" s="65"/>
      <c r="W2507"/>
      <c r="X2507"/>
      <c r="Y2507" s="65"/>
      <c r="Z2507" s="65"/>
      <c r="AA2507" s="65"/>
      <c r="AB2507" s="65"/>
      <c r="AC2507" s="65"/>
      <c r="AD2507" s="91"/>
      <c r="AE2507" s="124"/>
      <c r="AF2507" s="65"/>
      <c r="AG2507" s="91"/>
      <c r="AH2507" s="212" t="str">
        <f>IF(ISERROR(SEARCH("K erstmals 201",D2507)),"",RIGHT(D2507,4))</f>
        <v/>
      </c>
      <c r="AI2507" s="214" t="str">
        <f t="shared" si="1155"/>
        <v/>
      </c>
      <c r="AJ2507" s="214" t="str">
        <f t="shared" si="1156"/>
        <v/>
      </c>
      <c r="AK2507" s="214" t="str">
        <f t="shared" si="1157"/>
        <v/>
      </c>
      <c r="AL2507" s="214" t="str">
        <f t="shared" si="1158"/>
        <v/>
      </c>
      <c r="AM2507" s="214" t="str">
        <f t="shared" si="1159"/>
        <v/>
      </c>
      <c r="AN2507" s="213" t="str">
        <f t="shared" si="1141"/>
        <v/>
      </c>
      <c r="AO2507" s="213" t="str">
        <f t="shared" si="1142"/>
        <v/>
      </c>
      <c r="AP2507" s="213" t="str">
        <f t="shared" si="1143"/>
        <v/>
      </c>
      <c r="AQ2507" s="215" t="str">
        <f t="shared" si="1144"/>
        <v/>
      </c>
      <c r="AR2507" s="216" t="str">
        <f t="shared" si="1145"/>
        <v>BiK83-------08</v>
      </c>
      <c r="AS2507" s="215" t="str">
        <f t="shared" si="1146"/>
        <v/>
      </c>
      <c r="AT2507">
        <f t="shared" si="1147"/>
        <v>14</v>
      </c>
      <c r="AU2507" s="216" t="str">
        <f t="shared" si="1148"/>
        <v>0,5-5 MW</v>
      </c>
      <c r="AV2507" s="215" t="str">
        <f t="shared" si="1149"/>
        <v/>
      </c>
      <c r="AW2507" s="216" t="str">
        <f t="shared" si="1150"/>
        <v>Anteil Nicht-KWK</v>
      </c>
      <c r="AX2507" s="215" t="str">
        <f t="shared" si="1151"/>
        <v/>
      </c>
      <c r="AY2507" t="str">
        <f t="shared" si="1152"/>
        <v/>
      </c>
      <c r="AZ2507" t="str">
        <f t="shared" si="1153"/>
        <v/>
      </c>
    </row>
    <row r="2508" spans="1:52" s="178" customFormat="1" x14ac:dyDescent="0.25">
      <c r="A2508" s="609" t="s">
        <v>4124</v>
      </c>
      <c r="B2508" s="1" t="s">
        <v>5548</v>
      </c>
      <c r="C2508" s="2" t="s">
        <v>5540</v>
      </c>
      <c r="D2508" s="1" t="s">
        <v>6774</v>
      </c>
      <c r="E2508" s="1" t="s">
        <v>4812</v>
      </c>
      <c r="F2508" s="456">
        <f t="shared" si="1160"/>
        <v>10.38</v>
      </c>
      <c r="G2508" s="531">
        <v>10.38</v>
      </c>
      <c r="H2508" s="489">
        <f t="shared" si="1161"/>
        <v>8.3000000000000007</v>
      </c>
      <c r="I2508" s="708"/>
      <c r="J2508" s="669" t="s">
        <v>5805</v>
      </c>
      <c r="K2508" s="15"/>
      <c r="L2508"/>
      <c r="M2508" s="49">
        <f t="shared" si="1162"/>
        <v>10.38</v>
      </c>
      <c r="N2508" s="41">
        <v>8.3800000000000008</v>
      </c>
      <c r="O2508" s="54" t="s">
        <v>1017</v>
      </c>
      <c r="P2508" s="74"/>
      <c r="Q2508"/>
      <c r="R2508"/>
      <c r="S2508" t="s">
        <v>4180</v>
      </c>
      <c r="T2508" s="178" t="s">
        <v>4180</v>
      </c>
      <c r="U2508" s="75"/>
      <c r="V2508" s="65"/>
      <c r="W2508"/>
      <c r="X2508"/>
      <c r="Y2508" s="65"/>
      <c r="Z2508" s="65"/>
      <c r="AA2508" s="65"/>
      <c r="AB2508" s="65"/>
      <c r="AC2508" s="65"/>
      <c r="AD2508" s="91"/>
      <c r="AE2508" s="124"/>
      <c r="AF2508" s="65"/>
      <c r="AG2508" s="91"/>
      <c r="AH2508" s="212" t="str">
        <f>IF(ISERROR(SEARCH("K erstmals 201",D2508)),"",RIGHT(D2508,4))</f>
        <v/>
      </c>
      <c r="AI2508" s="214" t="str">
        <f t="shared" si="1155"/>
        <v/>
      </c>
      <c r="AJ2508" s="214" t="str">
        <f t="shared" si="1156"/>
        <v/>
      </c>
      <c r="AK2508" s="214" t="str">
        <f t="shared" si="1157"/>
        <v/>
      </c>
      <c r="AL2508" s="214" t="str">
        <f t="shared" si="1158"/>
        <v/>
      </c>
      <c r="AM2508" s="214" t="str">
        <f t="shared" si="1159"/>
        <v/>
      </c>
      <c r="AN2508" s="213" t="str">
        <f t="shared" si="1141"/>
        <v/>
      </c>
      <c r="AO2508" s="213" t="str">
        <f t="shared" si="1142"/>
        <v/>
      </c>
      <c r="AP2508" s="213" t="str">
        <f t="shared" si="1143"/>
        <v/>
      </c>
      <c r="AQ2508" s="215" t="str">
        <f t="shared" si="1144"/>
        <v/>
      </c>
      <c r="AR2508" s="216" t="str">
        <f t="shared" si="1145"/>
        <v>BiK83KWK----08</v>
      </c>
      <c r="AS2508" s="215" t="str">
        <f t="shared" si="1146"/>
        <v/>
      </c>
      <c r="AT2508">
        <f t="shared" si="1147"/>
        <v>14</v>
      </c>
      <c r="AU2508" s="216" t="str">
        <f t="shared" si="1148"/>
        <v>0,5-5 MW, Bonusregel KWK</v>
      </c>
      <c r="AV2508" s="215" t="str">
        <f t="shared" si="1149"/>
        <v/>
      </c>
      <c r="AW2508" s="216" t="str">
        <f t="shared" si="1150"/>
        <v>Anteil KWK</v>
      </c>
      <c r="AX2508" s="215" t="str">
        <f t="shared" si="1151"/>
        <v/>
      </c>
      <c r="AY2508" t="str">
        <f t="shared" si="1152"/>
        <v/>
      </c>
      <c r="AZ2508" t="str">
        <f t="shared" si="1153"/>
        <v/>
      </c>
    </row>
    <row r="2509" spans="1:52" s="178" customFormat="1" x14ac:dyDescent="0.25">
      <c r="A2509" s="610" t="s">
        <v>2872</v>
      </c>
      <c r="B2509" s="17" t="s">
        <v>5548</v>
      </c>
      <c r="C2509" s="17" t="s">
        <v>5540</v>
      </c>
      <c r="D2509" s="30" t="s">
        <v>6754</v>
      </c>
      <c r="E2509" s="17" t="s">
        <v>674</v>
      </c>
      <c r="F2509" s="454">
        <f t="shared" si="1160"/>
        <v>11.38</v>
      </c>
      <c r="G2509" s="529">
        <v>11.38</v>
      </c>
      <c r="H2509" s="487">
        <f t="shared" si="1161"/>
        <v>9.1</v>
      </c>
      <c r="I2509" s="706"/>
      <c r="J2509" s="669" t="s">
        <v>5805</v>
      </c>
      <c r="K2509" s="15"/>
      <c r="L2509"/>
      <c r="M2509" s="49">
        <f t="shared" si="1162"/>
        <v>11.38</v>
      </c>
      <c r="N2509" s="41">
        <v>8.3800000000000008</v>
      </c>
      <c r="O2509" s="54"/>
      <c r="P2509" s="74"/>
      <c r="Q2509" t="s">
        <v>1017</v>
      </c>
      <c r="R2509"/>
      <c r="S2509" t="s">
        <v>4180</v>
      </c>
      <c r="T2509" s="178" t="s">
        <v>4180</v>
      </c>
      <c r="U2509" s="75"/>
      <c r="V2509" s="65"/>
      <c r="W2509"/>
      <c r="X2509"/>
      <c r="Y2509" s="65"/>
      <c r="Z2509" s="65"/>
      <c r="AA2509" s="65"/>
      <c r="AB2509" s="65"/>
      <c r="AC2509" s="65"/>
      <c r="AD2509" s="91"/>
      <c r="AE2509" s="124"/>
      <c r="AF2509" s="65"/>
      <c r="AG2509" s="91"/>
      <c r="AH2509" s="212" t="str">
        <f>IF(ISERROR(SEARCH("K erstmals 201",D2509)),"",RIGHT(D2509,4))</f>
        <v/>
      </c>
      <c r="AI2509" s="214" t="str">
        <f t="shared" si="1155"/>
        <v/>
      </c>
      <c r="AJ2509" s="214" t="str">
        <f t="shared" si="1156"/>
        <v/>
      </c>
      <c r="AK2509" s="214" t="str">
        <f t="shared" si="1157"/>
        <v/>
      </c>
      <c r="AL2509" s="214" t="str">
        <f t="shared" si="1158"/>
        <v/>
      </c>
      <c r="AM2509" s="214" t="str">
        <f t="shared" si="1159"/>
        <v/>
      </c>
      <c r="AN2509" s="213" t="str">
        <f t="shared" si="1141"/>
        <v/>
      </c>
      <c r="AO2509" s="213" t="str">
        <f t="shared" si="1142"/>
        <v/>
      </c>
      <c r="AP2509" s="213" t="str">
        <f t="shared" si="1143"/>
        <v/>
      </c>
      <c r="AQ2509" s="215" t="str">
        <f t="shared" si="1144"/>
        <v/>
      </c>
      <c r="AR2509" s="216" t="str">
        <f t="shared" si="1145"/>
        <v>BiK83K09----08</v>
      </c>
      <c r="AS2509" s="215" t="str">
        <f t="shared" si="1146"/>
        <v/>
      </c>
      <c r="AT2509">
        <f t="shared" si="1147"/>
        <v>14</v>
      </c>
      <c r="AU2509" s="216" t="str">
        <f t="shared" si="1148"/>
        <v>0,5-5 MW, Bonusregel K erstmals 2009</v>
      </c>
      <c r="AV2509" s="215" t="str">
        <f t="shared" si="1149"/>
        <v/>
      </c>
      <c r="AW2509" s="216" t="str">
        <f t="shared" si="1150"/>
        <v>Anteil KWK, erstmals 2009</v>
      </c>
      <c r="AX2509" s="215" t="str">
        <f t="shared" si="1151"/>
        <v/>
      </c>
      <c r="AY2509" t="str">
        <f t="shared" si="1152"/>
        <v/>
      </c>
      <c r="AZ2509" t="str">
        <f t="shared" si="1153"/>
        <v/>
      </c>
    </row>
    <row r="2510" spans="1:52" s="178" customFormat="1" x14ac:dyDescent="0.25">
      <c r="A2510" s="610" t="s">
        <v>3277</v>
      </c>
      <c r="B2510" s="17" t="s">
        <v>5548</v>
      </c>
      <c r="C2510" s="17" t="s">
        <v>5540</v>
      </c>
      <c r="D2510" s="30" t="s">
        <v>6755</v>
      </c>
      <c r="E2510" s="30" t="s">
        <v>3567</v>
      </c>
      <c r="F2510" s="454">
        <f t="shared" si="1160"/>
        <v>11.350000000000001</v>
      </c>
      <c r="G2510" s="529">
        <v>11.350000000000001</v>
      </c>
      <c r="H2510" s="487">
        <f t="shared" si="1161"/>
        <v>9.08</v>
      </c>
      <c r="I2510" s="706"/>
      <c r="J2510" s="669" t="s">
        <v>5805</v>
      </c>
      <c r="K2510" s="15"/>
      <c r="L2510"/>
      <c r="M2510" s="49">
        <f t="shared" si="1162"/>
        <v>11.350000000000001</v>
      </c>
      <c r="N2510" s="41">
        <v>8.3800000000000008</v>
      </c>
      <c r="O2510" s="54"/>
      <c r="P2510" s="74"/>
      <c r="Q2510"/>
      <c r="R2510" t="s">
        <v>1017</v>
      </c>
      <c r="S2510" t="s">
        <v>4180</v>
      </c>
      <c r="T2510" s="178" t="s">
        <v>4180</v>
      </c>
      <c r="U2510" s="75"/>
      <c r="V2510" s="65"/>
      <c r="W2510"/>
      <c r="X2510"/>
      <c r="Y2510" s="65"/>
      <c r="Z2510" s="65"/>
      <c r="AA2510" s="65"/>
      <c r="AB2510" s="65"/>
      <c r="AC2510" s="65"/>
      <c r="AD2510" s="91"/>
      <c r="AE2510" s="124"/>
      <c r="AF2510" s="65"/>
      <c r="AG2510" s="91"/>
      <c r="AH2510" s="212" t="str">
        <f>IF(ISERROR(SEARCH("K erstmals 201",D2510)),"",RIGHT(D2510,4))</f>
        <v>2010</v>
      </c>
      <c r="AI2510" s="214" t="str">
        <f t="shared" si="1155"/>
        <v/>
      </c>
      <c r="AJ2510" s="214" t="str">
        <f t="shared" si="1156"/>
        <v/>
      </c>
      <c r="AK2510" s="214" t="str">
        <f t="shared" si="1157"/>
        <v/>
      </c>
      <c r="AL2510" s="214" t="str">
        <f t="shared" si="1158"/>
        <v/>
      </c>
      <c r="AM2510" s="214" t="str">
        <f t="shared" si="1159"/>
        <v/>
      </c>
      <c r="AN2510" s="213" t="str">
        <f t="shared" si="1141"/>
        <v>2010</v>
      </c>
      <c r="AO2510" s="213" t="str">
        <f t="shared" si="1142"/>
        <v>2010</v>
      </c>
      <c r="AP2510" s="213" t="str">
        <f t="shared" si="1143"/>
        <v>2010</v>
      </c>
      <c r="AQ2510" s="215" t="str">
        <f t="shared" si="1144"/>
        <v/>
      </c>
      <c r="AR2510" s="216" t="str">
        <f t="shared" si="1145"/>
        <v>BiK83K10----08</v>
      </c>
      <c r="AS2510" s="215" t="str">
        <f t="shared" si="1146"/>
        <v/>
      </c>
      <c r="AT2510">
        <f t="shared" si="1147"/>
        <v>14</v>
      </c>
      <c r="AU2510" s="216" t="str">
        <f t="shared" si="1148"/>
        <v>0,5-5 MW, Bonusregel K erstmals 2010</v>
      </c>
      <c r="AV2510" s="215" t="str">
        <f t="shared" si="1149"/>
        <v/>
      </c>
      <c r="AW2510" s="216" t="str">
        <f t="shared" si="1150"/>
        <v>Anteil KWK, erstmals 2010</v>
      </c>
      <c r="AX2510" s="215" t="str">
        <f t="shared" si="1151"/>
        <v/>
      </c>
      <c r="AY2510" t="str">
        <f t="shared" si="1152"/>
        <v/>
      </c>
      <c r="AZ2510" t="str">
        <f t="shared" si="1153"/>
        <v/>
      </c>
    </row>
    <row r="2511" spans="1:52" s="178" customFormat="1" x14ac:dyDescent="0.25">
      <c r="A2511" s="610" t="s">
        <v>3482</v>
      </c>
      <c r="B2511" s="17" t="s">
        <v>5548</v>
      </c>
      <c r="C2511" s="17" t="s">
        <v>5540</v>
      </c>
      <c r="D2511" s="30" t="s">
        <v>6756</v>
      </c>
      <c r="E2511" s="30" t="s">
        <v>3055</v>
      </c>
      <c r="F2511" s="454">
        <f t="shared" si="1160"/>
        <v>11.32</v>
      </c>
      <c r="G2511" s="529">
        <v>11.32</v>
      </c>
      <c r="H2511" s="487">
        <f t="shared" si="1161"/>
        <v>9.06</v>
      </c>
      <c r="I2511" s="706"/>
      <c r="J2511" s="669" t="s">
        <v>5805</v>
      </c>
      <c r="K2511" s="15"/>
      <c r="L2511"/>
      <c r="M2511" s="49">
        <f t="shared" si="1162"/>
        <v>11.32</v>
      </c>
      <c r="N2511" s="41">
        <v>8.3800000000000008</v>
      </c>
      <c r="O2511" s="54"/>
      <c r="P2511" s="74"/>
      <c r="Q2511"/>
      <c r="R2511"/>
      <c r="S2511" t="s">
        <v>1017</v>
      </c>
      <c r="T2511" s="178" t="s">
        <v>4180</v>
      </c>
      <c r="U2511" s="75"/>
      <c r="V2511" s="65"/>
      <c r="W2511"/>
      <c r="X2511"/>
      <c r="Y2511" s="65"/>
      <c r="Z2511" s="65"/>
      <c r="AA2511" s="65"/>
      <c r="AB2511" s="65"/>
      <c r="AC2511" s="65"/>
      <c r="AD2511" s="91"/>
      <c r="AE2511" s="124"/>
      <c r="AF2511" s="65"/>
      <c r="AG2511" s="91"/>
      <c r="AH2511" s="212" t="str">
        <f>IF(ISERROR(SEARCH("K erstmals 201",D2511)),"",RIGHT(D2511,4))</f>
        <v>2011</v>
      </c>
      <c r="AI2511" s="214" t="str">
        <f t="shared" si="1155"/>
        <v/>
      </c>
      <c r="AJ2511" s="214" t="str">
        <f t="shared" si="1156"/>
        <v/>
      </c>
      <c r="AK2511" s="214" t="str">
        <f t="shared" si="1157"/>
        <v/>
      </c>
      <c r="AL2511" s="214" t="str">
        <f t="shared" si="1158"/>
        <v/>
      </c>
      <c r="AM2511" s="214" t="str">
        <f t="shared" si="1159"/>
        <v/>
      </c>
      <c r="AN2511" s="213" t="str">
        <f t="shared" si="1141"/>
        <v>2011</v>
      </c>
      <c r="AO2511" s="213" t="str">
        <f t="shared" si="1142"/>
        <v>2011</v>
      </c>
      <c r="AP2511" s="213" t="str">
        <f t="shared" si="1143"/>
        <v>2011</v>
      </c>
      <c r="AQ2511" s="215" t="str">
        <f t="shared" si="1144"/>
        <v/>
      </c>
      <c r="AR2511" s="216" t="str">
        <f t="shared" si="1145"/>
        <v>BiK83K11----08</v>
      </c>
      <c r="AS2511" s="215" t="str">
        <f t="shared" si="1146"/>
        <v/>
      </c>
      <c r="AT2511">
        <f t="shared" si="1147"/>
        <v>14</v>
      </c>
      <c r="AU2511" s="216" t="str">
        <f t="shared" si="1148"/>
        <v>0,5-5 MW, Bonusregel K erstmals 2011</v>
      </c>
      <c r="AV2511" s="215" t="str">
        <f t="shared" si="1149"/>
        <v/>
      </c>
      <c r="AW2511" s="216" t="str">
        <f t="shared" si="1150"/>
        <v>Anteil KWK, erstmals 2011</v>
      </c>
      <c r="AX2511" s="215" t="str">
        <f t="shared" si="1151"/>
        <v/>
      </c>
      <c r="AY2511" t="str">
        <f t="shared" si="1152"/>
        <v>x</v>
      </c>
      <c r="AZ2511" t="str">
        <f t="shared" si="1153"/>
        <v/>
      </c>
    </row>
    <row r="2512" spans="1:52" s="178" customFormat="1" x14ac:dyDescent="0.25">
      <c r="A2512" s="625" t="s">
        <v>1914</v>
      </c>
      <c r="B2512" s="221" t="s">
        <v>5548</v>
      </c>
      <c r="C2512" s="221" t="s">
        <v>5540</v>
      </c>
      <c r="D2512" s="219" t="s">
        <v>6757</v>
      </c>
      <c r="E2512" s="219" t="s">
        <v>1980</v>
      </c>
      <c r="F2512" s="455">
        <f t="shared" si="1160"/>
        <v>11.290000000000001</v>
      </c>
      <c r="G2512" s="530">
        <v>11.290000000000001</v>
      </c>
      <c r="H2512" s="488">
        <f t="shared" si="1161"/>
        <v>9.0299999999999994</v>
      </c>
      <c r="I2512" s="707"/>
      <c r="J2512" s="669" t="s">
        <v>5805</v>
      </c>
      <c r="K2512" s="15"/>
      <c r="L2512"/>
      <c r="M2512" s="49">
        <f t="shared" si="1162"/>
        <v>11.290000000000001</v>
      </c>
      <c r="N2512" s="41">
        <v>8.3800000000000008</v>
      </c>
      <c r="O2512" s="54"/>
      <c r="P2512" s="74"/>
      <c r="Q2512"/>
      <c r="R2512"/>
      <c r="S2512" t="s">
        <v>4180</v>
      </c>
      <c r="T2512" s="178" t="s">
        <v>1017</v>
      </c>
      <c r="U2512" s="75"/>
      <c r="V2512" s="65"/>
      <c r="W2512"/>
      <c r="X2512"/>
      <c r="Y2512" s="65"/>
      <c r="Z2512" s="65"/>
      <c r="AA2512" s="65"/>
      <c r="AB2512" s="65"/>
      <c r="AC2512" s="65"/>
      <c r="AD2512" s="91"/>
      <c r="AE2512" s="124"/>
      <c r="AF2512" s="65"/>
      <c r="AG2512" s="91"/>
      <c r="AH2512" s="217" t="s">
        <v>4179</v>
      </c>
      <c r="AI2512" s="214" t="str">
        <f t="shared" si="1155"/>
        <v/>
      </c>
      <c r="AJ2512" s="214" t="str">
        <f t="shared" si="1156"/>
        <v/>
      </c>
      <c r="AK2512" s="214" t="str">
        <f t="shared" si="1157"/>
        <v/>
      </c>
      <c r="AL2512" s="214" t="str">
        <f t="shared" si="1158"/>
        <v/>
      </c>
      <c r="AM2512" s="214" t="str">
        <f t="shared" si="1159"/>
        <v/>
      </c>
      <c r="AN2512" s="213" t="str">
        <f t="shared" si="1141"/>
        <v>2012</v>
      </c>
      <c r="AO2512" s="213" t="str">
        <f t="shared" si="1142"/>
        <v>2012</v>
      </c>
      <c r="AP2512" s="213" t="str">
        <f t="shared" si="1143"/>
        <v>2012</v>
      </c>
      <c r="AQ2512" s="215" t="str">
        <f t="shared" si="1144"/>
        <v/>
      </c>
      <c r="AR2512" s="216" t="str">
        <f t="shared" si="1145"/>
        <v>BiK83K12----08</v>
      </c>
      <c r="AS2512" s="215" t="str">
        <f t="shared" si="1146"/>
        <v/>
      </c>
      <c r="AT2512">
        <f t="shared" si="1147"/>
        <v>14</v>
      </c>
      <c r="AU2512" s="216" t="str">
        <f t="shared" si="1148"/>
        <v>0,5-5 MW, Bonusregel K erstmals 2012</v>
      </c>
      <c r="AV2512" s="215" t="str">
        <f t="shared" si="1149"/>
        <v/>
      </c>
      <c r="AW2512" s="216" t="str">
        <f t="shared" si="1150"/>
        <v>Anteil KWK, erstmals 2012</v>
      </c>
      <c r="AX2512" s="215" t="str">
        <f t="shared" si="1151"/>
        <v/>
      </c>
      <c r="AY2512" t="str">
        <f t="shared" si="1152"/>
        <v/>
      </c>
      <c r="AZ2512" t="str">
        <f t="shared" si="1153"/>
        <v>x</v>
      </c>
    </row>
    <row r="2513" spans="1:52" x14ac:dyDescent="0.25">
      <c r="A2513" s="609" t="s">
        <v>4125</v>
      </c>
      <c r="B2513" s="1" t="s">
        <v>5548</v>
      </c>
      <c r="C2513" s="2" t="s">
        <v>5540</v>
      </c>
      <c r="D2513" s="1" t="s">
        <v>598</v>
      </c>
      <c r="E2513" s="1" t="s">
        <v>4810</v>
      </c>
      <c r="F2513" s="456">
        <f t="shared" si="1160"/>
        <v>12.38</v>
      </c>
      <c r="G2513" s="531">
        <v>12.38</v>
      </c>
      <c r="H2513" s="489">
        <f t="shared" si="1161"/>
        <v>9.9</v>
      </c>
      <c r="I2513" s="708"/>
      <c r="J2513" s="669" t="s">
        <v>5805</v>
      </c>
      <c r="K2513" s="15"/>
      <c r="M2513" s="49">
        <f t="shared" si="1162"/>
        <v>12.38</v>
      </c>
      <c r="N2513" s="41">
        <v>8.3800000000000008</v>
      </c>
      <c r="O2513" s="54"/>
      <c r="P2513" s="74"/>
      <c r="S2513" t="s">
        <v>4180</v>
      </c>
      <c r="T2513" t="s">
        <v>4180</v>
      </c>
      <c r="U2513" s="75"/>
      <c r="V2513" s="65"/>
      <c r="W2513" t="s">
        <v>1017</v>
      </c>
      <c r="Y2513" s="65"/>
      <c r="Z2513" s="65"/>
      <c r="AA2513" s="65"/>
      <c r="AB2513" s="65"/>
      <c r="AC2513" s="65"/>
      <c r="AD2513" s="91"/>
      <c r="AE2513" s="124"/>
      <c r="AF2513" s="65"/>
      <c r="AG2513" s="91"/>
      <c r="AH2513" s="212" t="str">
        <f>IF(ISERROR(SEARCH("K erstmals 201",D2513)),"",RIGHT(D2513,4))</f>
        <v/>
      </c>
      <c r="AI2513" s="214" t="str">
        <f t="shared" si="1155"/>
        <v/>
      </c>
      <c r="AJ2513" s="214" t="str">
        <f t="shared" si="1156"/>
        <v/>
      </c>
      <c r="AK2513" s="214" t="str">
        <f t="shared" si="1157"/>
        <v/>
      </c>
      <c r="AL2513" s="214" t="str">
        <f t="shared" si="1158"/>
        <v/>
      </c>
      <c r="AM2513" s="214" t="str">
        <f t="shared" si="1159"/>
        <v/>
      </c>
      <c r="AN2513" s="213" t="str">
        <f t="shared" si="1141"/>
        <v/>
      </c>
      <c r="AO2513" s="213" t="str">
        <f t="shared" si="1142"/>
        <v/>
      </c>
      <c r="AP2513" s="213" t="str">
        <f t="shared" si="1143"/>
        <v/>
      </c>
      <c r="AQ2513" s="215" t="str">
        <f t="shared" si="1144"/>
        <v/>
      </c>
      <c r="AR2513" s="216" t="str">
        <f t="shared" si="1145"/>
        <v>BiK83a2-----08</v>
      </c>
      <c r="AS2513" s="215" t="str">
        <f t="shared" si="1146"/>
        <v/>
      </c>
      <c r="AT2513">
        <f t="shared" si="1147"/>
        <v>14</v>
      </c>
      <c r="AU2513" s="216" t="str">
        <f t="shared" si="1148"/>
        <v>0,5-5 MW, Bonusregel a2</v>
      </c>
      <c r="AV2513" s="215" t="str">
        <f t="shared" si="1149"/>
        <v/>
      </c>
      <c r="AW2513" s="216" t="str">
        <f t="shared" si="1150"/>
        <v>Anteil Nicht-KWK</v>
      </c>
      <c r="AX2513" s="215" t="str">
        <f t="shared" si="1151"/>
        <v/>
      </c>
      <c r="AY2513" t="str">
        <f t="shared" si="1152"/>
        <v/>
      </c>
      <c r="AZ2513" t="str">
        <f t="shared" si="1153"/>
        <v/>
      </c>
    </row>
    <row r="2514" spans="1:52" x14ac:dyDescent="0.25">
      <c r="A2514" s="609" t="s">
        <v>4126</v>
      </c>
      <c r="B2514" s="1" t="s">
        <v>5548</v>
      </c>
      <c r="C2514" s="2" t="s">
        <v>5540</v>
      </c>
      <c r="D2514" s="1" t="s">
        <v>6775</v>
      </c>
      <c r="E2514" s="1" t="s">
        <v>4812</v>
      </c>
      <c r="F2514" s="456">
        <f t="shared" si="1160"/>
        <v>14.38</v>
      </c>
      <c r="G2514" s="531">
        <v>14.38</v>
      </c>
      <c r="H2514" s="489">
        <f t="shared" si="1161"/>
        <v>11.5</v>
      </c>
      <c r="I2514" s="708"/>
      <c r="J2514" s="669" t="s">
        <v>5805</v>
      </c>
      <c r="K2514" s="15"/>
      <c r="M2514" s="49">
        <f t="shared" si="1162"/>
        <v>14.38</v>
      </c>
      <c r="N2514" s="41">
        <v>8.3800000000000008</v>
      </c>
      <c r="O2514" s="54" t="s">
        <v>1017</v>
      </c>
      <c r="P2514" s="74"/>
      <c r="S2514" t="s">
        <v>4180</v>
      </c>
      <c r="T2514" t="s">
        <v>4180</v>
      </c>
      <c r="U2514" s="75"/>
      <c r="V2514" s="65"/>
      <c r="W2514" t="s">
        <v>1017</v>
      </c>
      <c r="Y2514" s="65"/>
      <c r="Z2514" s="65"/>
      <c r="AA2514" s="65"/>
      <c r="AB2514" s="65"/>
      <c r="AC2514" s="65"/>
      <c r="AD2514" s="91"/>
      <c r="AE2514" s="124"/>
      <c r="AF2514" s="65"/>
      <c r="AG2514" s="91"/>
      <c r="AH2514" s="212" t="str">
        <f>IF(ISERROR(SEARCH("K erstmals 201",D2514)),"",RIGHT(D2514,4))</f>
        <v/>
      </c>
      <c r="AI2514" s="214" t="str">
        <f t="shared" si="1155"/>
        <v/>
      </c>
      <c r="AJ2514" s="214" t="str">
        <f t="shared" si="1156"/>
        <v/>
      </c>
      <c r="AK2514" s="214" t="str">
        <f t="shared" si="1157"/>
        <v/>
      </c>
      <c r="AL2514" s="214" t="str">
        <f t="shared" si="1158"/>
        <v/>
      </c>
      <c r="AM2514" s="214" t="str">
        <f t="shared" si="1159"/>
        <v/>
      </c>
      <c r="AN2514" s="213" t="str">
        <f t="shared" si="1141"/>
        <v/>
      </c>
      <c r="AO2514" s="213" t="str">
        <f t="shared" si="1142"/>
        <v/>
      </c>
      <c r="AP2514" s="213" t="str">
        <f t="shared" si="1143"/>
        <v/>
      </c>
      <c r="AQ2514" s="215" t="str">
        <f t="shared" si="1144"/>
        <v/>
      </c>
      <c r="AR2514" s="216" t="str">
        <f t="shared" si="1145"/>
        <v>BiK83a2KWK--08</v>
      </c>
      <c r="AS2514" s="215" t="str">
        <f t="shared" si="1146"/>
        <v/>
      </c>
      <c r="AT2514">
        <f t="shared" si="1147"/>
        <v>14</v>
      </c>
      <c r="AU2514" s="216" t="str">
        <f t="shared" si="1148"/>
        <v>0,5-5 MW, Bonusregel a2 und KWK</v>
      </c>
      <c r="AV2514" s="215" t="str">
        <f t="shared" si="1149"/>
        <v/>
      </c>
      <c r="AW2514" s="216" t="str">
        <f t="shared" si="1150"/>
        <v>Anteil KWK</v>
      </c>
      <c r="AX2514" s="215" t="str">
        <f t="shared" si="1151"/>
        <v/>
      </c>
      <c r="AY2514" t="str">
        <f t="shared" si="1152"/>
        <v/>
      </c>
      <c r="AZ2514" t="str">
        <f t="shared" si="1153"/>
        <v/>
      </c>
    </row>
    <row r="2515" spans="1:52" x14ac:dyDescent="0.25">
      <c r="A2515" s="610" t="s">
        <v>959</v>
      </c>
      <c r="B2515" s="17" t="s">
        <v>5548</v>
      </c>
      <c r="C2515" s="17" t="s">
        <v>5540</v>
      </c>
      <c r="D2515" s="30" t="s">
        <v>6776</v>
      </c>
      <c r="E2515" s="17" t="s">
        <v>674</v>
      </c>
      <c r="F2515" s="454">
        <f t="shared" si="1160"/>
        <v>15.38</v>
      </c>
      <c r="G2515" s="529">
        <v>15.38</v>
      </c>
      <c r="H2515" s="487">
        <f t="shared" si="1161"/>
        <v>12.3</v>
      </c>
      <c r="I2515" s="706"/>
      <c r="J2515" s="669" t="s">
        <v>5805</v>
      </c>
      <c r="K2515" s="15"/>
      <c r="M2515" s="49">
        <f t="shared" si="1162"/>
        <v>15.38</v>
      </c>
      <c r="N2515" s="41">
        <v>8.3800000000000008</v>
      </c>
      <c r="O2515" s="54"/>
      <c r="P2515" s="74"/>
      <c r="Q2515" t="s">
        <v>1017</v>
      </c>
      <c r="S2515" t="s">
        <v>4180</v>
      </c>
      <c r="T2515" t="s">
        <v>4180</v>
      </c>
      <c r="U2515" s="75"/>
      <c r="V2515" s="65"/>
      <c r="W2515" t="s">
        <v>1017</v>
      </c>
      <c r="Y2515" s="65"/>
      <c r="Z2515" s="65"/>
      <c r="AA2515" s="65"/>
      <c r="AB2515" s="65"/>
      <c r="AC2515" s="65"/>
      <c r="AD2515" s="91"/>
      <c r="AE2515" s="124"/>
      <c r="AF2515" s="65"/>
      <c r="AG2515" s="91"/>
      <c r="AH2515" s="212" t="str">
        <f>IF(ISERROR(SEARCH("K erstmals 201",D2515)),"",RIGHT(D2515,4))</f>
        <v/>
      </c>
      <c r="AI2515" s="214" t="str">
        <f t="shared" si="1155"/>
        <v/>
      </c>
      <c r="AJ2515" s="214" t="str">
        <f t="shared" si="1156"/>
        <v/>
      </c>
      <c r="AK2515" s="214" t="str">
        <f t="shared" si="1157"/>
        <v/>
      </c>
      <c r="AL2515" s="214" t="str">
        <f t="shared" si="1158"/>
        <v/>
      </c>
      <c r="AM2515" s="214" t="str">
        <f t="shared" si="1159"/>
        <v/>
      </c>
      <c r="AN2515" s="213" t="str">
        <f t="shared" si="1141"/>
        <v/>
      </c>
      <c r="AO2515" s="213" t="str">
        <f t="shared" si="1142"/>
        <v/>
      </c>
      <c r="AP2515" s="213" t="str">
        <f t="shared" si="1143"/>
        <v/>
      </c>
      <c r="AQ2515" s="215" t="str">
        <f t="shared" si="1144"/>
        <v/>
      </c>
      <c r="AR2515" s="216" t="str">
        <f t="shared" si="1145"/>
        <v>BiK83a2K09--08</v>
      </c>
      <c r="AS2515" s="215" t="str">
        <f t="shared" si="1146"/>
        <v/>
      </c>
      <c r="AT2515">
        <f t="shared" si="1147"/>
        <v>14</v>
      </c>
      <c r="AU2515" s="216" t="str">
        <f t="shared" si="1148"/>
        <v>0,5-5 MW, Bonusregeln a2 und K erstmals 2009</v>
      </c>
      <c r="AV2515" s="215" t="str">
        <f t="shared" si="1149"/>
        <v/>
      </c>
      <c r="AW2515" s="216" t="str">
        <f t="shared" si="1150"/>
        <v>Anteil KWK, erstmals 2009</v>
      </c>
      <c r="AX2515" s="215" t="str">
        <f t="shared" si="1151"/>
        <v/>
      </c>
      <c r="AY2515" t="str">
        <f t="shared" si="1152"/>
        <v/>
      </c>
      <c r="AZ2515" t="str">
        <f t="shared" si="1153"/>
        <v/>
      </c>
    </row>
    <row r="2516" spans="1:52" x14ac:dyDescent="0.25">
      <c r="A2516" s="610" t="s">
        <v>3278</v>
      </c>
      <c r="B2516" s="17" t="s">
        <v>5548</v>
      </c>
      <c r="C2516" s="17" t="s">
        <v>5540</v>
      </c>
      <c r="D2516" s="30" t="s">
        <v>6777</v>
      </c>
      <c r="E2516" s="30" t="s">
        <v>3567</v>
      </c>
      <c r="F2516" s="454">
        <f t="shared" si="1160"/>
        <v>15.350000000000001</v>
      </c>
      <c r="G2516" s="529">
        <v>15.350000000000001</v>
      </c>
      <c r="H2516" s="487">
        <f t="shared" si="1161"/>
        <v>12.28</v>
      </c>
      <c r="I2516" s="706"/>
      <c r="J2516" s="669" t="s">
        <v>5805</v>
      </c>
      <c r="K2516" s="15"/>
      <c r="M2516" s="49">
        <f t="shared" si="1162"/>
        <v>15.350000000000001</v>
      </c>
      <c r="N2516" s="41">
        <v>8.3800000000000008</v>
      </c>
      <c r="O2516" s="54"/>
      <c r="P2516" s="74"/>
      <c r="R2516" t="s">
        <v>1017</v>
      </c>
      <c r="S2516" t="s">
        <v>4180</v>
      </c>
      <c r="T2516" t="s">
        <v>4180</v>
      </c>
      <c r="U2516" s="75"/>
      <c r="V2516" s="65"/>
      <c r="W2516" t="s">
        <v>1017</v>
      </c>
      <c r="Y2516" s="65"/>
      <c r="Z2516" s="65"/>
      <c r="AA2516" s="65"/>
      <c r="AB2516" s="65"/>
      <c r="AC2516" s="65"/>
      <c r="AD2516" s="91"/>
      <c r="AE2516" s="124"/>
      <c r="AF2516" s="65"/>
      <c r="AG2516" s="91"/>
      <c r="AH2516" s="212" t="str">
        <f>IF(ISERROR(SEARCH("K erstmals 201",D2516)),"",RIGHT(D2516,4))</f>
        <v>2010</v>
      </c>
      <c r="AI2516" s="214" t="str">
        <f t="shared" si="1155"/>
        <v/>
      </c>
      <c r="AJ2516" s="214" t="str">
        <f t="shared" si="1156"/>
        <v/>
      </c>
      <c r="AK2516" s="214" t="str">
        <f t="shared" si="1157"/>
        <v/>
      </c>
      <c r="AL2516" s="214" t="str">
        <f t="shared" si="1158"/>
        <v/>
      </c>
      <c r="AM2516" s="214" t="str">
        <f t="shared" si="1159"/>
        <v/>
      </c>
      <c r="AN2516" s="213" t="str">
        <f t="shared" si="1141"/>
        <v>2010</v>
      </c>
      <c r="AO2516" s="213" t="str">
        <f t="shared" si="1142"/>
        <v>2010</v>
      </c>
      <c r="AP2516" s="213" t="str">
        <f t="shared" si="1143"/>
        <v>2010</v>
      </c>
      <c r="AQ2516" s="215" t="str">
        <f t="shared" si="1144"/>
        <v/>
      </c>
      <c r="AR2516" s="216" t="str">
        <f t="shared" si="1145"/>
        <v>BiK83a2K10--08</v>
      </c>
      <c r="AS2516" s="215" t="str">
        <f t="shared" si="1146"/>
        <v/>
      </c>
      <c r="AT2516">
        <f t="shared" si="1147"/>
        <v>14</v>
      </c>
      <c r="AU2516" s="216" t="str">
        <f t="shared" si="1148"/>
        <v>0,5-5 MW, Bonusregeln a2 und K erstmals 2010</v>
      </c>
      <c r="AV2516" s="215" t="str">
        <f t="shared" si="1149"/>
        <v/>
      </c>
      <c r="AW2516" s="216" t="str">
        <f t="shared" si="1150"/>
        <v>Anteil KWK, erstmals 2010</v>
      </c>
      <c r="AX2516" s="215" t="str">
        <f t="shared" si="1151"/>
        <v/>
      </c>
      <c r="AY2516" t="str">
        <f t="shared" si="1152"/>
        <v/>
      </c>
      <c r="AZ2516" t="str">
        <f t="shared" si="1153"/>
        <v/>
      </c>
    </row>
    <row r="2517" spans="1:52" s="178" customFormat="1" x14ac:dyDescent="0.25">
      <c r="A2517" s="610" t="s">
        <v>3483</v>
      </c>
      <c r="B2517" s="17" t="s">
        <v>5548</v>
      </c>
      <c r="C2517" s="17" t="s">
        <v>5540</v>
      </c>
      <c r="D2517" s="30" t="s">
        <v>6778</v>
      </c>
      <c r="E2517" s="30" t="s">
        <v>3055</v>
      </c>
      <c r="F2517" s="454">
        <f t="shared" si="1160"/>
        <v>15.32</v>
      </c>
      <c r="G2517" s="529">
        <v>15.32</v>
      </c>
      <c r="H2517" s="487">
        <f t="shared" si="1161"/>
        <v>12.26</v>
      </c>
      <c r="I2517" s="706"/>
      <c r="J2517" s="669" t="s">
        <v>5805</v>
      </c>
      <c r="K2517" s="15"/>
      <c r="L2517"/>
      <c r="M2517" s="49">
        <f t="shared" si="1162"/>
        <v>15.32</v>
      </c>
      <c r="N2517" s="41">
        <v>8.3800000000000008</v>
      </c>
      <c r="O2517" s="54"/>
      <c r="P2517" s="74"/>
      <c r="Q2517"/>
      <c r="R2517"/>
      <c r="S2517" t="s">
        <v>1017</v>
      </c>
      <c r="T2517" s="178" t="s">
        <v>4180</v>
      </c>
      <c r="U2517" s="75"/>
      <c r="V2517" s="65"/>
      <c r="W2517" t="s">
        <v>1017</v>
      </c>
      <c r="X2517"/>
      <c r="Y2517" s="65"/>
      <c r="Z2517" s="65"/>
      <c r="AA2517" s="65"/>
      <c r="AB2517" s="65"/>
      <c r="AC2517" s="65"/>
      <c r="AD2517" s="91"/>
      <c r="AE2517" s="124"/>
      <c r="AF2517" s="65"/>
      <c r="AG2517" s="91"/>
      <c r="AH2517" s="212" t="str">
        <f>IF(ISERROR(SEARCH("K erstmals 201",D2517)),"",RIGHT(D2517,4))</f>
        <v>2011</v>
      </c>
      <c r="AI2517" s="214" t="str">
        <f t="shared" si="1155"/>
        <v/>
      </c>
      <c r="AJ2517" s="214" t="str">
        <f t="shared" si="1156"/>
        <v/>
      </c>
      <c r="AK2517" s="214" t="str">
        <f t="shared" si="1157"/>
        <v/>
      </c>
      <c r="AL2517" s="214" t="str">
        <f t="shared" si="1158"/>
        <v/>
      </c>
      <c r="AM2517" s="214" t="str">
        <f t="shared" si="1159"/>
        <v/>
      </c>
      <c r="AN2517" s="213" t="str">
        <f t="shared" si="1141"/>
        <v>2011</v>
      </c>
      <c r="AO2517" s="213" t="str">
        <f t="shared" si="1142"/>
        <v>2011</v>
      </c>
      <c r="AP2517" s="213" t="str">
        <f t="shared" si="1143"/>
        <v>2011</v>
      </c>
      <c r="AQ2517" s="215" t="str">
        <f t="shared" si="1144"/>
        <v/>
      </c>
      <c r="AR2517" s="216" t="str">
        <f t="shared" si="1145"/>
        <v>BiK83a2K11--08</v>
      </c>
      <c r="AS2517" s="215" t="str">
        <f t="shared" si="1146"/>
        <v/>
      </c>
      <c r="AT2517">
        <f t="shared" si="1147"/>
        <v>14</v>
      </c>
      <c r="AU2517" s="216" t="str">
        <f t="shared" si="1148"/>
        <v>0,5-5 MW, Bonusregeln a2 und K erstmals 2011</v>
      </c>
      <c r="AV2517" s="215" t="str">
        <f t="shared" si="1149"/>
        <v/>
      </c>
      <c r="AW2517" s="216" t="str">
        <f t="shared" si="1150"/>
        <v>Anteil KWK, erstmals 2011</v>
      </c>
      <c r="AX2517" s="215" t="str">
        <f t="shared" si="1151"/>
        <v/>
      </c>
      <c r="AY2517" t="str">
        <f t="shared" si="1152"/>
        <v>x</v>
      </c>
      <c r="AZ2517" t="str">
        <f t="shared" si="1153"/>
        <v/>
      </c>
    </row>
    <row r="2518" spans="1:52" s="178" customFormat="1" x14ac:dyDescent="0.25">
      <c r="A2518" s="625" t="s">
        <v>1915</v>
      </c>
      <c r="B2518" s="221" t="s">
        <v>5548</v>
      </c>
      <c r="C2518" s="221" t="s">
        <v>5540</v>
      </c>
      <c r="D2518" s="219" t="s">
        <v>6779</v>
      </c>
      <c r="E2518" s="219" t="s">
        <v>1980</v>
      </c>
      <c r="F2518" s="455">
        <f t="shared" si="1160"/>
        <v>15.290000000000001</v>
      </c>
      <c r="G2518" s="530">
        <v>15.290000000000001</v>
      </c>
      <c r="H2518" s="488">
        <f t="shared" si="1161"/>
        <v>12.23</v>
      </c>
      <c r="I2518" s="707"/>
      <c r="J2518" s="669" t="s">
        <v>5805</v>
      </c>
      <c r="K2518" s="15"/>
      <c r="L2518"/>
      <c r="M2518" s="49">
        <f t="shared" si="1162"/>
        <v>15.290000000000001</v>
      </c>
      <c r="N2518" s="41">
        <v>8.3800000000000008</v>
      </c>
      <c r="O2518" s="54"/>
      <c r="P2518" s="74"/>
      <c r="Q2518"/>
      <c r="R2518"/>
      <c r="S2518" t="s">
        <v>4180</v>
      </c>
      <c r="T2518" s="178" t="s">
        <v>1017</v>
      </c>
      <c r="U2518" s="75"/>
      <c r="V2518" s="65"/>
      <c r="W2518" t="s">
        <v>1017</v>
      </c>
      <c r="X2518"/>
      <c r="Y2518" s="65"/>
      <c r="Z2518" s="65"/>
      <c r="AA2518" s="65"/>
      <c r="AB2518" s="65"/>
      <c r="AC2518" s="65"/>
      <c r="AD2518" s="91"/>
      <c r="AE2518" s="124"/>
      <c r="AF2518" s="65"/>
      <c r="AG2518" s="91"/>
      <c r="AH2518" s="217" t="s">
        <v>4179</v>
      </c>
      <c r="AI2518" s="214" t="str">
        <f t="shared" si="1155"/>
        <v/>
      </c>
      <c r="AJ2518" s="214" t="str">
        <f t="shared" si="1156"/>
        <v/>
      </c>
      <c r="AK2518" s="214" t="str">
        <f t="shared" si="1157"/>
        <v/>
      </c>
      <c r="AL2518" s="214" t="str">
        <f t="shared" si="1158"/>
        <v/>
      </c>
      <c r="AM2518" s="214" t="str">
        <f t="shared" si="1159"/>
        <v/>
      </c>
      <c r="AN2518" s="213" t="str">
        <f t="shared" si="1141"/>
        <v>2012</v>
      </c>
      <c r="AO2518" s="213" t="str">
        <f t="shared" si="1142"/>
        <v>2012</v>
      </c>
      <c r="AP2518" s="213" t="str">
        <f t="shared" si="1143"/>
        <v>2012</v>
      </c>
      <c r="AQ2518" s="215" t="str">
        <f t="shared" si="1144"/>
        <v/>
      </c>
      <c r="AR2518" s="216" t="str">
        <f t="shared" si="1145"/>
        <v>BiK83a2K12--08</v>
      </c>
      <c r="AS2518" s="215" t="str">
        <f t="shared" si="1146"/>
        <v/>
      </c>
      <c r="AT2518">
        <f t="shared" si="1147"/>
        <v>14</v>
      </c>
      <c r="AU2518" s="216" t="str">
        <f t="shared" si="1148"/>
        <v>0,5-5 MW, Bonusregeln a2 und K erstmals 2012</v>
      </c>
      <c r="AV2518" s="215" t="str">
        <f t="shared" si="1149"/>
        <v/>
      </c>
      <c r="AW2518" s="216" t="str">
        <f t="shared" si="1150"/>
        <v>Anteil KWK, erstmals 2012</v>
      </c>
      <c r="AX2518" s="215" t="str">
        <f t="shared" si="1151"/>
        <v/>
      </c>
      <c r="AY2518" t="str">
        <f t="shared" si="1152"/>
        <v/>
      </c>
      <c r="AZ2518" t="str">
        <f t="shared" si="1153"/>
        <v>x</v>
      </c>
    </row>
    <row r="2519" spans="1:52" s="178" customFormat="1" x14ac:dyDescent="0.25">
      <c r="A2519" s="609" t="s">
        <v>4836</v>
      </c>
      <c r="B2519" s="1" t="s">
        <v>5548</v>
      </c>
      <c r="C2519" s="2" t="s">
        <v>5540</v>
      </c>
      <c r="D2519" s="1" t="s">
        <v>6762</v>
      </c>
      <c r="E2519" s="1" t="s">
        <v>4810</v>
      </c>
      <c r="F2519" s="456">
        <f t="shared" si="1160"/>
        <v>10.88</v>
      </c>
      <c r="G2519" s="531">
        <v>10.88</v>
      </c>
      <c r="H2519" s="489">
        <f t="shared" si="1161"/>
        <v>8.6999999999999993</v>
      </c>
      <c r="I2519" s="708"/>
      <c r="J2519" s="669" t="s">
        <v>5805</v>
      </c>
      <c r="K2519" s="15"/>
      <c r="L2519"/>
      <c r="M2519" s="49">
        <f t="shared" si="1162"/>
        <v>10.88</v>
      </c>
      <c r="N2519" s="41">
        <v>8.3800000000000008</v>
      </c>
      <c r="O2519" s="54"/>
      <c r="P2519" s="74"/>
      <c r="Q2519"/>
      <c r="R2519"/>
      <c r="S2519" t="s">
        <v>4180</v>
      </c>
      <c r="T2519" s="178" t="s">
        <v>4180</v>
      </c>
      <c r="U2519" s="75"/>
      <c r="V2519" s="65"/>
      <c r="W2519"/>
      <c r="X2519" t="s">
        <v>1017</v>
      </c>
      <c r="Y2519" s="65"/>
      <c r="Z2519" s="65"/>
      <c r="AA2519" s="65"/>
      <c r="AB2519" s="65"/>
      <c r="AC2519" s="65"/>
      <c r="AD2519" s="91"/>
      <c r="AE2519" s="124"/>
      <c r="AF2519" s="65"/>
      <c r="AG2519" s="91"/>
      <c r="AH2519" s="212" t="str">
        <f>IF(ISERROR(SEARCH("K erstmals 201",D2519)),"",RIGHT(D2519,4))</f>
        <v/>
      </c>
      <c r="AI2519" s="214" t="str">
        <f t="shared" si="1155"/>
        <v/>
      </c>
      <c r="AJ2519" s="214" t="str">
        <f t="shared" si="1156"/>
        <v/>
      </c>
      <c r="AK2519" s="214" t="str">
        <f t="shared" si="1157"/>
        <v/>
      </c>
      <c r="AL2519" s="214" t="str">
        <f t="shared" si="1158"/>
        <v/>
      </c>
      <c r="AM2519" s="214" t="str">
        <f t="shared" si="1159"/>
        <v/>
      </c>
      <c r="AN2519" s="213" t="str">
        <f t="shared" si="1141"/>
        <v/>
      </c>
      <c r="AO2519" s="213" t="str">
        <f t="shared" si="1142"/>
        <v/>
      </c>
      <c r="AP2519" s="213" t="str">
        <f t="shared" si="1143"/>
        <v/>
      </c>
      <c r="AQ2519" s="215" t="str">
        <f t="shared" si="1144"/>
        <v/>
      </c>
      <c r="AR2519" s="216" t="str">
        <f t="shared" si="1145"/>
        <v>BiK83a3-----08</v>
      </c>
      <c r="AS2519" s="215" t="str">
        <f t="shared" si="1146"/>
        <v/>
      </c>
      <c r="AT2519">
        <f t="shared" si="1147"/>
        <v>14</v>
      </c>
      <c r="AU2519" s="216" t="str">
        <f t="shared" si="1148"/>
        <v>0,5-5 MW, Bonusregel a3</v>
      </c>
      <c r="AV2519" s="215" t="str">
        <f t="shared" si="1149"/>
        <v/>
      </c>
      <c r="AW2519" s="216" t="str">
        <f t="shared" si="1150"/>
        <v>Anteil Nicht-KWK</v>
      </c>
      <c r="AX2519" s="215" t="str">
        <f t="shared" si="1151"/>
        <v/>
      </c>
      <c r="AY2519" t="str">
        <f t="shared" si="1152"/>
        <v/>
      </c>
      <c r="AZ2519" t="str">
        <f t="shared" si="1153"/>
        <v/>
      </c>
    </row>
    <row r="2520" spans="1:52" s="178" customFormat="1" x14ac:dyDescent="0.25">
      <c r="A2520" s="609" t="s">
        <v>4837</v>
      </c>
      <c r="B2520" s="1" t="s">
        <v>5548</v>
      </c>
      <c r="C2520" s="2" t="s">
        <v>5540</v>
      </c>
      <c r="D2520" s="1" t="s">
        <v>6780</v>
      </c>
      <c r="E2520" s="1" t="s">
        <v>4812</v>
      </c>
      <c r="F2520" s="456">
        <f t="shared" si="1160"/>
        <v>12.88</v>
      </c>
      <c r="G2520" s="531">
        <v>12.88</v>
      </c>
      <c r="H2520" s="489">
        <f t="shared" si="1161"/>
        <v>10.3</v>
      </c>
      <c r="I2520" s="708"/>
      <c r="J2520" s="669" t="s">
        <v>5805</v>
      </c>
      <c r="K2520" s="15"/>
      <c r="L2520"/>
      <c r="M2520" s="49">
        <f t="shared" si="1162"/>
        <v>12.88</v>
      </c>
      <c r="N2520" s="41">
        <v>8.3800000000000008</v>
      </c>
      <c r="O2520" s="54" t="s">
        <v>1017</v>
      </c>
      <c r="P2520" s="74"/>
      <c r="Q2520"/>
      <c r="R2520"/>
      <c r="S2520" t="s">
        <v>4180</v>
      </c>
      <c r="T2520" s="178" t="s">
        <v>4180</v>
      </c>
      <c r="U2520" s="75"/>
      <c r="V2520" s="65"/>
      <c r="W2520"/>
      <c r="X2520" t="s">
        <v>1017</v>
      </c>
      <c r="Y2520" s="65"/>
      <c r="Z2520" s="65"/>
      <c r="AA2520" s="65"/>
      <c r="AB2520" s="65"/>
      <c r="AC2520" s="65"/>
      <c r="AD2520" s="91"/>
      <c r="AE2520" s="124"/>
      <c r="AF2520" s="65"/>
      <c r="AG2520" s="91"/>
      <c r="AH2520" s="212" t="str">
        <f>IF(ISERROR(SEARCH("K erstmals 201",D2520)),"",RIGHT(D2520,4))</f>
        <v/>
      </c>
      <c r="AI2520" s="214" t="str">
        <f t="shared" si="1155"/>
        <v/>
      </c>
      <c r="AJ2520" s="214" t="str">
        <f t="shared" si="1156"/>
        <v/>
      </c>
      <c r="AK2520" s="214" t="str">
        <f t="shared" si="1157"/>
        <v/>
      </c>
      <c r="AL2520" s="214" t="str">
        <f t="shared" si="1158"/>
        <v/>
      </c>
      <c r="AM2520" s="214" t="str">
        <f t="shared" si="1159"/>
        <v/>
      </c>
      <c r="AN2520" s="213" t="str">
        <f t="shared" si="1141"/>
        <v/>
      </c>
      <c r="AO2520" s="213" t="str">
        <f t="shared" si="1142"/>
        <v/>
      </c>
      <c r="AP2520" s="213" t="str">
        <f t="shared" si="1143"/>
        <v/>
      </c>
      <c r="AQ2520" s="215" t="str">
        <f t="shared" si="1144"/>
        <v/>
      </c>
      <c r="AR2520" s="216" t="str">
        <f t="shared" si="1145"/>
        <v>BiK83a3KWK--08</v>
      </c>
      <c r="AS2520" s="215" t="str">
        <f t="shared" si="1146"/>
        <v/>
      </c>
      <c r="AT2520">
        <f t="shared" si="1147"/>
        <v>14</v>
      </c>
      <c r="AU2520" s="216" t="str">
        <f t="shared" si="1148"/>
        <v>0,5-5 MW, Bonusregel a3 und KWK</v>
      </c>
      <c r="AV2520" s="215" t="str">
        <f t="shared" si="1149"/>
        <v/>
      </c>
      <c r="AW2520" s="216" t="str">
        <f t="shared" si="1150"/>
        <v>Anteil KWK</v>
      </c>
      <c r="AX2520" s="215" t="str">
        <f t="shared" si="1151"/>
        <v/>
      </c>
      <c r="AY2520" t="str">
        <f t="shared" si="1152"/>
        <v/>
      </c>
      <c r="AZ2520" t="str">
        <f t="shared" si="1153"/>
        <v/>
      </c>
    </row>
    <row r="2521" spans="1:52" s="178" customFormat="1" x14ac:dyDescent="0.25">
      <c r="A2521" s="610" t="s">
        <v>960</v>
      </c>
      <c r="B2521" s="17" t="s">
        <v>5548</v>
      </c>
      <c r="C2521" s="17" t="s">
        <v>5540</v>
      </c>
      <c r="D2521" s="30" t="s">
        <v>6781</v>
      </c>
      <c r="E2521" s="17" t="s">
        <v>674</v>
      </c>
      <c r="F2521" s="454">
        <f t="shared" si="1160"/>
        <v>13.88</v>
      </c>
      <c r="G2521" s="529">
        <v>13.88</v>
      </c>
      <c r="H2521" s="487">
        <f t="shared" si="1161"/>
        <v>11.1</v>
      </c>
      <c r="I2521" s="706"/>
      <c r="J2521" s="669" t="s">
        <v>5805</v>
      </c>
      <c r="K2521" s="15"/>
      <c r="L2521"/>
      <c r="M2521" s="49">
        <f t="shared" si="1162"/>
        <v>13.88</v>
      </c>
      <c r="N2521" s="41">
        <v>8.3800000000000008</v>
      </c>
      <c r="O2521" s="54"/>
      <c r="P2521" s="74"/>
      <c r="Q2521" t="s">
        <v>1017</v>
      </c>
      <c r="R2521"/>
      <c r="S2521" t="s">
        <v>4180</v>
      </c>
      <c r="T2521" s="178" t="s">
        <v>4180</v>
      </c>
      <c r="U2521" s="75"/>
      <c r="V2521" s="65"/>
      <c r="W2521"/>
      <c r="X2521" t="s">
        <v>1017</v>
      </c>
      <c r="Y2521" s="65"/>
      <c r="Z2521" s="65"/>
      <c r="AA2521" s="65"/>
      <c r="AB2521" s="65"/>
      <c r="AC2521" s="65"/>
      <c r="AD2521" s="91"/>
      <c r="AE2521" s="124"/>
      <c r="AF2521" s="65"/>
      <c r="AG2521" s="91"/>
      <c r="AH2521" s="212" t="str">
        <f>IF(ISERROR(SEARCH("K erstmals 201",D2521)),"",RIGHT(D2521,4))</f>
        <v/>
      </c>
      <c r="AI2521" s="214" t="str">
        <f t="shared" si="1155"/>
        <v/>
      </c>
      <c r="AJ2521" s="214" t="str">
        <f t="shared" si="1156"/>
        <v/>
      </c>
      <c r="AK2521" s="214" t="str">
        <f t="shared" si="1157"/>
        <v/>
      </c>
      <c r="AL2521" s="214" t="str">
        <f t="shared" si="1158"/>
        <v/>
      </c>
      <c r="AM2521" s="214" t="str">
        <f t="shared" si="1159"/>
        <v/>
      </c>
      <c r="AN2521" s="213" t="str">
        <f t="shared" si="1141"/>
        <v/>
      </c>
      <c r="AO2521" s="213" t="str">
        <f t="shared" si="1142"/>
        <v/>
      </c>
      <c r="AP2521" s="213" t="str">
        <f t="shared" si="1143"/>
        <v/>
      </c>
      <c r="AQ2521" s="215" t="str">
        <f t="shared" si="1144"/>
        <v/>
      </c>
      <c r="AR2521" s="216" t="str">
        <f t="shared" si="1145"/>
        <v>BiK83a3K09--08</v>
      </c>
      <c r="AS2521" s="215" t="str">
        <f t="shared" si="1146"/>
        <v/>
      </c>
      <c r="AT2521">
        <f t="shared" si="1147"/>
        <v>14</v>
      </c>
      <c r="AU2521" s="216" t="str">
        <f t="shared" si="1148"/>
        <v>0,5-5 MW, Bonusregeln a3 und K erstmals 2009</v>
      </c>
      <c r="AV2521" s="215" t="str">
        <f t="shared" si="1149"/>
        <v/>
      </c>
      <c r="AW2521" s="216" t="str">
        <f t="shared" si="1150"/>
        <v>Anteil KWK, erstmals 2009</v>
      </c>
      <c r="AX2521" s="215" t="str">
        <f t="shared" si="1151"/>
        <v/>
      </c>
      <c r="AY2521" t="str">
        <f t="shared" si="1152"/>
        <v/>
      </c>
      <c r="AZ2521" t="str">
        <f t="shared" si="1153"/>
        <v/>
      </c>
    </row>
    <row r="2522" spans="1:52" s="178" customFormat="1" x14ac:dyDescent="0.25">
      <c r="A2522" s="610" t="s">
        <v>3279</v>
      </c>
      <c r="B2522" s="17" t="s">
        <v>5548</v>
      </c>
      <c r="C2522" s="17" t="s">
        <v>5540</v>
      </c>
      <c r="D2522" s="30" t="s">
        <v>6782</v>
      </c>
      <c r="E2522" s="30" t="s">
        <v>3567</v>
      </c>
      <c r="F2522" s="454">
        <f t="shared" si="1160"/>
        <v>13.850000000000001</v>
      </c>
      <c r="G2522" s="529">
        <v>13.850000000000001</v>
      </c>
      <c r="H2522" s="487">
        <f t="shared" si="1161"/>
        <v>11.08</v>
      </c>
      <c r="I2522" s="706"/>
      <c r="J2522" s="669" t="s">
        <v>5805</v>
      </c>
      <c r="K2522" s="15"/>
      <c r="L2522"/>
      <c r="M2522" s="49">
        <f t="shared" si="1162"/>
        <v>13.850000000000001</v>
      </c>
      <c r="N2522" s="41">
        <v>8.3800000000000008</v>
      </c>
      <c r="O2522" s="54"/>
      <c r="P2522" s="74"/>
      <c r="Q2522"/>
      <c r="R2522" t="s">
        <v>1017</v>
      </c>
      <c r="S2522" t="s">
        <v>4180</v>
      </c>
      <c r="T2522" s="178" t="s">
        <v>4180</v>
      </c>
      <c r="U2522" s="75"/>
      <c r="V2522" s="65"/>
      <c r="W2522"/>
      <c r="X2522" t="s">
        <v>1017</v>
      </c>
      <c r="Y2522" s="65"/>
      <c r="Z2522" s="65"/>
      <c r="AA2522" s="65"/>
      <c r="AB2522" s="65"/>
      <c r="AC2522" s="65"/>
      <c r="AD2522" s="91"/>
      <c r="AE2522" s="124"/>
      <c r="AF2522" s="65"/>
      <c r="AG2522" s="91"/>
      <c r="AH2522" s="212" t="str">
        <f>IF(ISERROR(SEARCH("K erstmals 201",D2522)),"",RIGHT(D2522,4))</f>
        <v>2010</v>
      </c>
      <c r="AI2522" s="214" t="str">
        <f t="shared" si="1155"/>
        <v/>
      </c>
      <c r="AJ2522" s="214" t="str">
        <f t="shared" si="1156"/>
        <v/>
      </c>
      <c r="AK2522" s="214" t="str">
        <f t="shared" si="1157"/>
        <v/>
      </c>
      <c r="AL2522" s="214" t="str">
        <f t="shared" si="1158"/>
        <v/>
      </c>
      <c r="AM2522" s="214" t="str">
        <f t="shared" si="1159"/>
        <v/>
      </c>
      <c r="AN2522" s="213" t="str">
        <f t="shared" si="1141"/>
        <v>2010</v>
      </c>
      <c r="AO2522" s="213" t="str">
        <f t="shared" si="1142"/>
        <v>2010</v>
      </c>
      <c r="AP2522" s="213" t="str">
        <f t="shared" si="1143"/>
        <v>2010</v>
      </c>
      <c r="AQ2522" s="215" t="str">
        <f t="shared" si="1144"/>
        <v/>
      </c>
      <c r="AR2522" s="216" t="str">
        <f t="shared" si="1145"/>
        <v>BiK83a3K10--08</v>
      </c>
      <c r="AS2522" s="215" t="str">
        <f t="shared" si="1146"/>
        <v/>
      </c>
      <c r="AT2522">
        <f t="shared" si="1147"/>
        <v>14</v>
      </c>
      <c r="AU2522" s="216" t="str">
        <f t="shared" si="1148"/>
        <v>0,5-5 MW, Bonusregeln a3 und K erstmals 2010</v>
      </c>
      <c r="AV2522" s="215" t="str">
        <f t="shared" si="1149"/>
        <v/>
      </c>
      <c r="AW2522" s="216" t="str">
        <f t="shared" si="1150"/>
        <v>Anteil KWK, erstmals 2010</v>
      </c>
      <c r="AX2522" s="215" t="str">
        <f t="shared" si="1151"/>
        <v/>
      </c>
      <c r="AY2522" t="str">
        <f t="shared" si="1152"/>
        <v/>
      </c>
      <c r="AZ2522" t="str">
        <f t="shared" si="1153"/>
        <v/>
      </c>
    </row>
    <row r="2523" spans="1:52" s="178" customFormat="1" x14ac:dyDescent="0.25">
      <c r="A2523" s="610" t="s">
        <v>3484</v>
      </c>
      <c r="B2523" s="17" t="s">
        <v>5548</v>
      </c>
      <c r="C2523" s="17" t="s">
        <v>5540</v>
      </c>
      <c r="D2523" s="30" t="s">
        <v>6783</v>
      </c>
      <c r="E2523" s="30" t="s">
        <v>3055</v>
      </c>
      <c r="F2523" s="454">
        <f t="shared" si="1160"/>
        <v>13.82</v>
      </c>
      <c r="G2523" s="529">
        <v>13.82</v>
      </c>
      <c r="H2523" s="487">
        <f t="shared" si="1161"/>
        <v>11.06</v>
      </c>
      <c r="I2523" s="706"/>
      <c r="J2523" s="669" t="s">
        <v>5805</v>
      </c>
      <c r="K2523" s="15"/>
      <c r="L2523"/>
      <c r="M2523" s="49">
        <f t="shared" si="1162"/>
        <v>13.82</v>
      </c>
      <c r="N2523" s="41">
        <v>8.3800000000000008</v>
      </c>
      <c r="O2523" s="54"/>
      <c r="P2523" s="74"/>
      <c r="Q2523"/>
      <c r="R2523"/>
      <c r="S2523" t="s">
        <v>1017</v>
      </c>
      <c r="T2523" s="178" t="s">
        <v>4180</v>
      </c>
      <c r="U2523" s="75"/>
      <c r="V2523" s="65"/>
      <c r="W2523"/>
      <c r="X2523" t="s">
        <v>1017</v>
      </c>
      <c r="Y2523" s="65"/>
      <c r="Z2523" s="65"/>
      <c r="AA2523" s="65"/>
      <c r="AB2523" s="65"/>
      <c r="AC2523" s="65"/>
      <c r="AD2523" s="91"/>
      <c r="AE2523" s="124"/>
      <c r="AF2523" s="65"/>
      <c r="AG2523" s="91"/>
      <c r="AH2523" s="212" t="str">
        <f>IF(ISERROR(SEARCH("K erstmals 201",D2523)),"",RIGHT(D2523,4))</f>
        <v>2011</v>
      </c>
      <c r="AI2523" s="214" t="str">
        <f t="shared" si="1155"/>
        <v/>
      </c>
      <c r="AJ2523" s="214" t="str">
        <f t="shared" si="1156"/>
        <v/>
      </c>
      <c r="AK2523" s="214" t="str">
        <f t="shared" si="1157"/>
        <v/>
      </c>
      <c r="AL2523" s="214" t="str">
        <f t="shared" si="1158"/>
        <v/>
      </c>
      <c r="AM2523" s="214" t="str">
        <f t="shared" si="1159"/>
        <v/>
      </c>
      <c r="AN2523" s="213" t="str">
        <f t="shared" si="1141"/>
        <v>2011</v>
      </c>
      <c r="AO2523" s="213" t="str">
        <f t="shared" si="1142"/>
        <v>2011</v>
      </c>
      <c r="AP2523" s="213" t="str">
        <f t="shared" si="1143"/>
        <v>2011</v>
      </c>
      <c r="AQ2523" s="215" t="str">
        <f t="shared" si="1144"/>
        <v/>
      </c>
      <c r="AR2523" s="216" t="str">
        <f t="shared" si="1145"/>
        <v>BiK83a3K11--08</v>
      </c>
      <c r="AS2523" s="215" t="str">
        <f t="shared" si="1146"/>
        <v/>
      </c>
      <c r="AT2523">
        <f t="shared" si="1147"/>
        <v>14</v>
      </c>
      <c r="AU2523" s="216" t="str">
        <f t="shared" si="1148"/>
        <v>0,5-5 MW, Bonusregeln a3 und K erstmals 2011</v>
      </c>
      <c r="AV2523" s="215" t="str">
        <f t="shared" si="1149"/>
        <v/>
      </c>
      <c r="AW2523" s="216" t="str">
        <f t="shared" si="1150"/>
        <v>Anteil KWK, erstmals 2011</v>
      </c>
      <c r="AX2523" s="215" t="str">
        <f t="shared" si="1151"/>
        <v/>
      </c>
      <c r="AY2523" t="str">
        <f t="shared" si="1152"/>
        <v>x</v>
      </c>
      <c r="AZ2523" t="str">
        <f t="shared" si="1153"/>
        <v/>
      </c>
    </row>
    <row r="2524" spans="1:52" s="178" customFormat="1" x14ac:dyDescent="0.25">
      <c r="A2524" s="625" t="s">
        <v>1916</v>
      </c>
      <c r="B2524" s="221" t="s">
        <v>5548</v>
      </c>
      <c r="C2524" s="221" t="s">
        <v>5540</v>
      </c>
      <c r="D2524" s="219" t="s">
        <v>6784</v>
      </c>
      <c r="E2524" s="219" t="s">
        <v>1980</v>
      </c>
      <c r="F2524" s="455">
        <f t="shared" si="1160"/>
        <v>13.790000000000001</v>
      </c>
      <c r="G2524" s="530">
        <v>13.790000000000001</v>
      </c>
      <c r="H2524" s="488">
        <f t="shared" si="1161"/>
        <v>11.03</v>
      </c>
      <c r="I2524" s="707"/>
      <c r="J2524" s="669" t="s">
        <v>5805</v>
      </c>
      <c r="K2524" s="15"/>
      <c r="L2524"/>
      <c r="M2524" s="49">
        <f t="shared" si="1162"/>
        <v>13.790000000000001</v>
      </c>
      <c r="N2524" s="41">
        <v>8.3800000000000008</v>
      </c>
      <c r="O2524" s="54"/>
      <c r="P2524" s="74"/>
      <c r="Q2524"/>
      <c r="R2524"/>
      <c r="S2524" t="s">
        <v>4180</v>
      </c>
      <c r="T2524" s="178" t="s">
        <v>1017</v>
      </c>
      <c r="U2524" s="75"/>
      <c r="V2524" s="65"/>
      <c r="W2524"/>
      <c r="X2524" t="s">
        <v>1017</v>
      </c>
      <c r="Y2524" s="65"/>
      <c r="Z2524" s="65"/>
      <c r="AA2524" s="65"/>
      <c r="AB2524" s="65"/>
      <c r="AC2524" s="65"/>
      <c r="AD2524" s="91"/>
      <c r="AE2524" s="124"/>
      <c r="AF2524" s="65"/>
      <c r="AG2524" s="91"/>
      <c r="AH2524" s="217" t="s">
        <v>4179</v>
      </c>
      <c r="AI2524" s="214" t="str">
        <f t="shared" si="1155"/>
        <v/>
      </c>
      <c r="AJ2524" s="214" t="str">
        <f t="shared" si="1156"/>
        <v/>
      </c>
      <c r="AK2524" s="214" t="str">
        <f t="shared" si="1157"/>
        <v/>
      </c>
      <c r="AL2524" s="214" t="str">
        <f t="shared" si="1158"/>
        <v/>
      </c>
      <c r="AM2524" s="214" t="str">
        <f t="shared" si="1159"/>
        <v/>
      </c>
      <c r="AN2524" s="213" t="str">
        <f t="shared" si="1141"/>
        <v>2012</v>
      </c>
      <c r="AO2524" s="213" t="str">
        <f t="shared" si="1142"/>
        <v>2012</v>
      </c>
      <c r="AP2524" s="213" t="str">
        <f t="shared" si="1143"/>
        <v>2012</v>
      </c>
      <c r="AQ2524" s="215" t="str">
        <f t="shared" si="1144"/>
        <v/>
      </c>
      <c r="AR2524" s="216" t="str">
        <f t="shared" si="1145"/>
        <v>BiK83a3K12--08</v>
      </c>
      <c r="AS2524" s="215" t="str">
        <f t="shared" si="1146"/>
        <v/>
      </c>
      <c r="AT2524">
        <f t="shared" si="1147"/>
        <v>14</v>
      </c>
      <c r="AU2524" s="216" t="str">
        <f t="shared" si="1148"/>
        <v>0,5-5 MW, Bonusregeln a3 und K erstmals 2012</v>
      </c>
      <c r="AV2524" s="215" t="str">
        <f t="shared" si="1149"/>
        <v/>
      </c>
      <c r="AW2524" s="216" t="str">
        <f t="shared" si="1150"/>
        <v>Anteil KWK, erstmals 2012</v>
      </c>
      <c r="AX2524" s="215" t="str">
        <f t="shared" si="1151"/>
        <v/>
      </c>
      <c r="AY2524" t="str">
        <f t="shared" si="1152"/>
        <v/>
      </c>
      <c r="AZ2524" t="str">
        <f t="shared" si="1153"/>
        <v>x</v>
      </c>
    </row>
    <row r="2525" spans="1:52" s="178" customFormat="1" x14ac:dyDescent="0.25">
      <c r="A2525" s="609" t="s">
        <v>4838</v>
      </c>
      <c r="B2525" s="1" t="s">
        <v>5548</v>
      </c>
      <c r="C2525" s="2" t="s">
        <v>5540</v>
      </c>
      <c r="D2525" s="1" t="s">
        <v>6785</v>
      </c>
      <c r="E2525" s="1" t="s">
        <v>4810</v>
      </c>
      <c r="F2525" s="456">
        <f t="shared" si="1160"/>
        <v>10.38</v>
      </c>
      <c r="G2525" s="531">
        <v>10.38</v>
      </c>
      <c r="H2525" s="489">
        <f t="shared" si="1161"/>
        <v>8.3000000000000007</v>
      </c>
      <c r="I2525" s="708"/>
      <c r="J2525" s="669" t="s">
        <v>5805</v>
      </c>
      <c r="K2525" s="15"/>
      <c r="L2525"/>
      <c r="M2525" s="49">
        <f t="shared" si="1162"/>
        <v>10.38</v>
      </c>
      <c r="N2525" s="41">
        <v>8.3800000000000008</v>
      </c>
      <c r="O2525" s="54"/>
      <c r="P2525" s="74"/>
      <c r="Q2525"/>
      <c r="R2525"/>
      <c r="S2525" t="s">
        <v>4180</v>
      </c>
      <c r="T2525" s="178" t="s">
        <v>4180</v>
      </c>
      <c r="U2525" s="75"/>
      <c r="V2525" s="65"/>
      <c r="W2525"/>
      <c r="X2525"/>
      <c r="Y2525" s="65"/>
      <c r="Z2525" s="65"/>
      <c r="AA2525" s="65"/>
      <c r="AB2525" s="65"/>
      <c r="AC2525" s="65"/>
      <c r="AD2525" s="91"/>
      <c r="AE2525" s="124" t="s">
        <v>1017</v>
      </c>
      <c r="AF2525" s="65"/>
      <c r="AG2525" s="91"/>
      <c r="AH2525" s="212" t="str">
        <f>IF(ISERROR(SEARCH("K erstmals 201",D2525)),"",RIGHT(D2525,4))</f>
        <v/>
      </c>
      <c r="AI2525" s="214" t="str">
        <f t="shared" si="1155"/>
        <v/>
      </c>
      <c r="AJ2525" s="214" t="str">
        <f t="shared" si="1156"/>
        <v/>
      </c>
      <c r="AK2525" s="214" t="str">
        <f t="shared" si="1157"/>
        <v/>
      </c>
      <c r="AL2525" s="214" t="str">
        <f t="shared" si="1158"/>
        <v/>
      </c>
      <c r="AM2525" s="214" t="str">
        <f t="shared" si="1159"/>
        <v/>
      </c>
      <c r="AN2525" s="213" t="str">
        <f t="shared" si="1141"/>
        <v/>
      </c>
      <c r="AO2525" s="213" t="str">
        <f t="shared" si="1142"/>
        <v/>
      </c>
      <c r="AP2525" s="213" t="str">
        <f t="shared" si="1143"/>
        <v/>
      </c>
      <c r="AQ2525" s="215" t="str">
        <f t="shared" si="1144"/>
        <v/>
      </c>
      <c r="AR2525" s="216" t="str">
        <f t="shared" si="1145"/>
        <v>BiK83b------08</v>
      </c>
      <c r="AS2525" s="215" t="str">
        <f t="shared" si="1146"/>
        <v/>
      </c>
      <c r="AT2525">
        <f t="shared" si="1147"/>
        <v>14</v>
      </c>
      <c r="AU2525" s="216" t="str">
        <f t="shared" si="1148"/>
        <v>0,5-5 MW, Bonusregel b</v>
      </c>
      <c r="AV2525" s="215" t="str">
        <f t="shared" si="1149"/>
        <v/>
      </c>
      <c r="AW2525" s="216" t="str">
        <f t="shared" si="1150"/>
        <v>Anteil Nicht-KWK</v>
      </c>
      <c r="AX2525" s="215" t="str">
        <f t="shared" si="1151"/>
        <v/>
      </c>
      <c r="AY2525" t="str">
        <f t="shared" si="1152"/>
        <v/>
      </c>
      <c r="AZ2525" t="str">
        <f t="shared" si="1153"/>
        <v/>
      </c>
    </row>
    <row r="2526" spans="1:52" s="178" customFormat="1" x14ac:dyDescent="0.25">
      <c r="A2526" s="609" t="s">
        <v>4839</v>
      </c>
      <c r="B2526" s="1" t="s">
        <v>5548</v>
      </c>
      <c r="C2526" s="2" t="s">
        <v>5540</v>
      </c>
      <c r="D2526" s="1" t="s">
        <v>6786</v>
      </c>
      <c r="E2526" s="1" t="s">
        <v>4812</v>
      </c>
      <c r="F2526" s="456">
        <f t="shared" si="1160"/>
        <v>12.38</v>
      </c>
      <c r="G2526" s="531">
        <v>12.38</v>
      </c>
      <c r="H2526" s="489">
        <f t="shared" si="1161"/>
        <v>9.9</v>
      </c>
      <c r="I2526" s="708"/>
      <c r="J2526" s="669" t="s">
        <v>5805</v>
      </c>
      <c r="K2526" s="15"/>
      <c r="L2526"/>
      <c r="M2526" s="49">
        <f t="shared" si="1162"/>
        <v>12.38</v>
      </c>
      <c r="N2526" s="41">
        <v>8.3800000000000008</v>
      </c>
      <c r="O2526" s="54" t="s">
        <v>1017</v>
      </c>
      <c r="P2526" s="74"/>
      <c r="Q2526"/>
      <c r="R2526"/>
      <c r="S2526" t="s">
        <v>4180</v>
      </c>
      <c r="T2526" s="178" t="s">
        <v>4180</v>
      </c>
      <c r="U2526" s="75"/>
      <c r="V2526" s="65"/>
      <c r="W2526"/>
      <c r="X2526"/>
      <c r="Y2526" s="65"/>
      <c r="Z2526" s="65"/>
      <c r="AA2526" s="65"/>
      <c r="AB2526" s="65"/>
      <c r="AC2526" s="65"/>
      <c r="AD2526" s="91"/>
      <c r="AE2526" s="124" t="s">
        <v>1017</v>
      </c>
      <c r="AF2526" s="65"/>
      <c r="AG2526" s="91"/>
      <c r="AH2526" s="212" t="str">
        <f>IF(ISERROR(SEARCH("K erstmals 201",D2526)),"",RIGHT(D2526,4))</f>
        <v/>
      </c>
      <c r="AI2526" s="214" t="str">
        <f t="shared" si="1155"/>
        <v/>
      </c>
      <c r="AJ2526" s="214" t="str">
        <f t="shared" si="1156"/>
        <v/>
      </c>
      <c r="AK2526" s="214" t="str">
        <f t="shared" si="1157"/>
        <v/>
      </c>
      <c r="AL2526" s="214" t="str">
        <f t="shared" si="1158"/>
        <v/>
      </c>
      <c r="AM2526" s="214" t="str">
        <f t="shared" si="1159"/>
        <v/>
      </c>
      <c r="AN2526" s="213" t="str">
        <f t="shared" si="1141"/>
        <v/>
      </c>
      <c r="AO2526" s="213" t="str">
        <f t="shared" si="1142"/>
        <v/>
      </c>
      <c r="AP2526" s="213" t="str">
        <f t="shared" si="1143"/>
        <v/>
      </c>
      <c r="AQ2526" s="215" t="str">
        <f t="shared" si="1144"/>
        <v/>
      </c>
      <c r="AR2526" s="216" t="str">
        <f t="shared" si="1145"/>
        <v>BiK83bKWK---08</v>
      </c>
      <c r="AS2526" s="215" t="str">
        <f t="shared" si="1146"/>
        <v/>
      </c>
      <c r="AT2526">
        <f t="shared" si="1147"/>
        <v>14</v>
      </c>
      <c r="AU2526" s="216" t="str">
        <f t="shared" si="1148"/>
        <v>0,5-5 MW, Bonusregel b und KWK</v>
      </c>
      <c r="AV2526" s="215" t="str">
        <f t="shared" si="1149"/>
        <v/>
      </c>
      <c r="AW2526" s="216" t="str">
        <f t="shared" si="1150"/>
        <v>Anteil KWK</v>
      </c>
      <c r="AX2526" s="215" t="str">
        <f t="shared" si="1151"/>
        <v/>
      </c>
      <c r="AY2526" t="str">
        <f t="shared" si="1152"/>
        <v/>
      </c>
      <c r="AZ2526" t="str">
        <f t="shared" si="1153"/>
        <v/>
      </c>
    </row>
    <row r="2527" spans="1:52" x14ac:dyDescent="0.25">
      <c r="A2527" s="610" t="s">
        <v>961</v>
      </c>
      <c r="B2527" s="17" t="s">
        <v>5548</v>
      </c>
      <c r="C2527" s="17" t="s">
        <v>5540</v>
      </c>
      <c r="D2527" s="30" t="s">
        <v>6787</v>
      </c>
      <c r="E2527" s="17" t="s">
        <v>674</v>
      </c>
      <c r="F2527" s="454">
        <f t="shared" si="1160"/>
        <v>13.38</v>
      </c>
      <c r="G2527" s="529">
        <v>13.38</v>
      </c>
      <c r="H2527" s="487">
        <f t="shared" si="1161"/>
        <v>10.7</v>
      </c>
      <c r="I2527" s="706"/>
      <c r="J2527" s="669" t="s">
        <v>5805</v>
      </c>
      <c r="K2527" s="15"/>
      <c r="M2527" s="49">
        <f t="shared" si="1162"/>
        <v>13.38</v>
      </c>
      <c r="N2527" s="41">
        <v>8.3800000000000008</v>
      </c>
      <c r="O2527" s="54"/>
      <c r="P2527" s="74"/>
      <c r="Q2527" t="s">
        <v>1017</v>
      </c>
      <c r="S2527" t="s">
        <v>4180</v>
      </c>
      <c r="T2527" t="s">
        <v>4180</v>
      </c>
      <c r="U2527" s="75"/>
      <c r="V2527" s="65"/>
      <c r="Y2527" s="65"/>
      <c r="Z2527" s="65"/>
      <c r="AA2527" s="65"/>
      <c r="AB2527" s="65"/>
      <c r="AC2527" s="65"/>
      <c r="AD2527" s="91"/>
      <c r="AE2527" s="124" t="s">
        <v>1017</v>
      </c>
      <c r="AF2527" s="65"/>
      <c r="AG2527" s="91"/>
      <c r="AH2527" s="212" t="str">
        <f>IF(ISERROR(SEARCH("K erstmals 201",D2527)),"",RIGHT(D2527,4))</f>
        <v/>
      </c>
      <c r="AI2527" s="214" t="str">
        <f t="shared" si="1155"/>
        <v/>
      </c>
      <c r="AJ2527" s="214" t="str">
        <f t="shared" si="1156"/>
        <v/>
      </c>
      <c r="AK2527" s="214" t="str">
        <f t="shared" si="1157"/>
        <v/>
      </c>
      <c r="AL2527" s="214" t="str">
        <f t="shared" si="1158"/>
        <v/>
      </c>
      <c r="AM2527" s="214" t="str">
        <f t="shared" si="1159"/>
        <v/>
      </c>
      <c r="AN2527" s="213" t="str">
        <f t="shared" si="1141"/>
        <v/>
      </c>
      <c r="AO2527" s="213" t="str">
        <f t="shared" si="1142"/>
        <v/>
      </c>
      <c r="AP2527" s="213" t="str">
        <f t="shared" si="1143"/>
        <v/>
      </c>
      <c r="AQ2527" s="215" t="str">
        <f t="shared" si="1144"/>
        <v/>
      </c>
      <c r="AR2527" s="216" t="str">
        <f t="shared" si="1145"/>
        <v>BiK83bK09---08</v>
      </c>
      <c r="AS2527" s="215" t="str">
        <f t="shared" si="1146"/>
        <v/>
      </c>
      <c r="AT2527">
        <f t="shared" si="1147"/>
        <v>14</v>
      </c>
      <c r="AU2527" s="216" t="str">
        <f t="shared" si="1148"/>
        <v>0,5-5 MW, Bonusregel b und K erstmals 2009</v>
      </c>
      <c r="AV2527" s="215" t="str">
        <f t="shared" si="1149"/>
        <v/>
      </c>
      <c r="AW2527" s="216" t="str">
        <f t="shared" si="1150"/>
        <v>Anteil KWK, erstmals 2009</v>
      </c>
      <c r="AX2527" s="215" t="str">
        <f t="shared" si="1151"/>
        <v/>
      </c>
      <c r="AY2527" t="str">
        <f t="shared" si="1152"/>
        <v/>
      </c>
      <c r="AZ2527" t="str">
        <f t="shared" si="1153"/>
        <v/>
      </c>
    </row>
    <row r="2528" spans="1:52" x14ac:dyDescent="0.25">
      <c r="A2528" s="610" t="s">
        <v>3280</v>
      </c>
      <c r="B2528" s="17" t="s">
        <v>5548</v>
      </c>
      <c r="C2528" s="17" t="s">
        <v>5540</v>
      </c>
      <c r="D2528" s="30" t="s">
        <v>6788</v>
      </c>
      <c r="E2528" s="30" t="s">
        <v>3567</v>
      </c>
      <c r="F2528" s="454">
        <f t="shared" si="1160"/>
        <v>13.350000000000001</v>
      </c>
      <c r="G2528" s="529">
        <v>13.350000000000001</v>
      </c>
      <c r="H2528" s="487">
        <f t="shared" si="1161"/>
        <v>10.68</v>
      </c>
      <c r="I2528" s="706"/>
      <c r="J2528" s="669" t="s">
        <v>5805</v>
      </c>
      <c r="K2528" s="15"/>
      <c r="M2528" s="49">
        <f t="shared" si="1162"/>
        <v>13.350000000000001</v>
      </c>
      <c r="N2528" s="41">
        <v>8.3800000000000008</v>
      </c>
      <c r="O2528" s="54"/>
      <c r="P2528" s="74"/>
      <c r="R2528" t="s">
        <v>1017</v>
      </c>
      <c r="S2528" t="s">
        <v>4180</v>
      </c>
      <c r="T2528" t="s">
        <v>4180</v>
      </c>
      <c r="U2528" s="75"/>
      <c r="V2528" s="65"/>
      <c r="Y2528" s="65"/>
      <c r="Z2528" s="65"/>
      <c r="AA2528" s="65"/>
      <c r="AB2528" s="65"/>
      <c r="AC2528" s="65"/>
      <c r="AD2528" s="91"/>
      <c r="AE2528" s="124" t="s">
        <v>1017</v>
      </c>
      <c r="AF2528" s="65"/>
      <c r="AG2528" s="91"/>
      <c r="AH2528" s="212" t="str">
        <f>IF(ISERROR(SEARCH("K erstmals 201",D2528)),"",RIGHT(D2528,4))</f>
        <v>2010</v>
      </c>
      <c r="AI2528" s="214" t="str">
        <f t="shared" si="1155"/>
        <v/>
      </c>
      <c r="AJ2528" s="214" t="str">
        <f t="shared" si="1156"/>
        <v/>
      </c>
      <c r="AK2528" s="214" t="str">
        <f t="shared" si="1157"/>
        <v/>
      </c>
      <c r="AL2528" s="214" t="str">
        <f t="shared" si="1158"/>
        <v/>
      </c>
      <c r="AM2528" s="214" t="str">
        <f t="shared" si="1159"/>
        <v/>
      </c>
      <c r="AN2528" s="213" t="str">
        <f t="shared" si="1141"/>
        <v>2010</v>
      </c>
      <c r="AO2528" s="213" t="str">
        <f t="shared" si="1142"/>
        <v>2010</v>
      </c>
      <c r="AP2528" s="213" t="str">
        <f t="shared" si="1143"/>
        <v>2010</v>
      </c>
      <c r="AQ2528" s="215" t="str">
        <f t="shared" si="1144"/>
        <v/>
      </c>
      <c r="AR2528" s="216" t="str">
        <f t="shared" si="1145"/>
        <v>BiK83bK10---08</v>
      </c>
      <c r="AS2528" s="215" t="str">
        <f t="shared" si="1146"/>
        <v/>
      </c>
      <c r="AT2528">
        <f t="shared" si="1147"/>
        <v>14</v>
      </c>
      <c r="AU2528" s="216" t="str">
        <f t="shared" si="1148"/>
        <v>0,5-5 MW, Bonusregel b und K erstmals 2010</v>
      </c>
      <c r="AV2528" s="215" t="str">
        <f t="shared" si="1149"/>
        <v/>
      </c>
      <c r="AW2528" s="216" t="str">
        <f t="shared" si="1150"/>
        <v>Anteil KWK, erstmals 2010</v>
      </c>
      <c r="AX2528" s="215" t="str">
        <f t="shared" si="1151"/>
        <v/>
      </c>
      <c r="AY2528" t="str">
        <f t="shared" si="1152"/>
        <v/>
      </c>
      <c r="AZ2528" t="str">
        <f t="shared" si="1153"/>
        <v/>
      </c>
    </row>
    <row r="2529" spans="1:52" x14ac:dyDescent="0.25">
      <c r="A2529" s="610" t="s">
        <v>3485</v>
      </c>
      <c r="B2529" s="17" t="s">
        <v>5548</v>
      </c>
      <c r="C2529" s="17" t="s">
        <v>5540</v>
      </c>
      <c r="D2529" s="30" t="s">
        <v>6789</v>
      </c>
      <c r="E2529" s="30" t="s">
        <v>3055</v>
      </c>
      <c r="F2529" s="454">
        <f t="shared" si="1160"/>
        <v>13.32</v>
      </c>
      <c r="G2529" s="529">
        <v>13.32</v>
      </c>
      <c r="H2529" s="487">
        <f t="shared" si="1161"/>
        <v>10.66</v>
      </c>
      <c r="I2529" s="706"/>
      <c r="J2529" s="669" t="s">
        <v>5805</v>
      </c>
      <c r="K2529" s="15"/>
      <c r="M2529" s="49">
        <f t="shared" si="1162"/>
        <v>13.32</v>
      </c>
      <c r="N2529" s="41">
        <v>8.3800000000000008</v>
      </c>
      <c r="O2529" s="54"/>
      <c r="P2529" s="74"/>
      <c r="S2529" t="s">
        <v>1017</v>
      </c>
      <c r="T2529" t="s">
        <v>4180</v>
      </c>
      <c r="U2529" s="75"/>
      <c r="V2529" s="65"/>
      <c r="Y2529" s="65"/>
      <c r="Z2529" s="65"/>
      <c r="AA2529" s="65"/>
      <c r="AB2529" s="65"/>
      <c r="AC2529" s="65"/>
      <c r="AD2529" s="91"/>
      <c r="AE2529" s="124" t="s">
        <v>1017</v>
      </c>
      <c r="AF2529" s="65"/>
      <c r="AG2529" s="91"/>
      <c r="AH2529" s="212" t="str">
        <f>IF(ISERROR(SEARCH("K erstmals 201",D2529)),"",RIGHT(D2529,4))</f>
        <v>2011</v>
      </c>
      <c r="AI2529" s="214" t="str">
        <f t="shared" si="1155"/>
        <v/>
      </c>
      <c r="AJ2529" s="214" t="str">
        <f t="shared" si="1156"/>
        <v/>
      </c>
      <c r="AK2529" s="214" t="str">
        <f t="shared" si="1157"/>
        <v/>
      </c>
      <c r="AL2529" s="214" t="str">
        <f t="shared" si="1158"/>
        <v/>
      </c>
      <c r="AM2529" s="214" t="str">
        <f t="shared" si="1159"/>
        <v/>
      </c>
      <c r="AN2529" s="213" t="str">
        <f t="shared" si="1141"/>
        <v>2011</v>
      </c>
      <c r="AO2529" s="213" t="str">
        <f t="shared" si="1142"/>
        <v>2011</v>
      </c>
      <c r="AP2529" s="213" t="str">
        <f t="shared" si="1143"/>
        <v>2011</v>
      </c>
      <c r="AQ2529" s="215" t="str">
        <f t="shared" si="1144"/>
        <v/>
      </c>
      <c r="AR2529" s="216" t="str">
        <f t="shared" si="1145"/>
        <v>BiK83bK11---08</v>
      </c>
      <c r="AS2529" s="215" t="str">
        <f t="shared" si="1146"/>
        <v/>
      </c>
      <c r="AT2529">
        <f t="shared" si="1147"/>
        <v>14</v>
      </c>
      <c r="AU2529" s="216" t="str">
        <f t="shared" si="1148"/>
        <v>0,5-5 MW, Bonusregel b und K erstmals 2011</v>
      </c>
      <c r="AV2529" s="215" t="str">
        <f t="shared" si="1149"/>
        <v/>
      </c>
      <c r="AW2529" s="216" t="str">
        <f t="shared" si="1150"/>
        <v>Anteil KWK, erstmals 2011</v>
      </c>
      <c r="AX2529" s="215" t="str">
        <f t="shared" si="1151"/>
        <v/>
      </c>
      <c r="AY2529" t="str">
        <f t="shared" si="1152"/>
        <v>x</v>
      </c>
      <c r="AZ2529" t="str">
        <f t="shared" si="1153"/>
        <v/>
      </c>
    </row>
    <row r="2530" spans="1:52" x14ac:dyDescent="0.25">
      <c r="A2530" s="625" t="s">
        <v>1917</v>
      </c>
      <c r="B2530" s="221" t="s">
        <v>5548</v>
      </c>
      <c r="C2530" s="221" t="s">
        <v>5540</v>
      </c>
      <c r="D2530" s="219" t="s">
        <v>6790</v>
      </c>
      <c r="E2530" s="219" t="s">
        <v>1980</v>
      </c>
      <c r="F2530" s="455">
        <f t="shared" si="1160"/>
        <v>13.290000000000001</v>
      </c>
      <c r="G2530" s="530">
        <v>13.290000000000001</v>
      </c>
      <c r="H2530" s="488">
        <f t="shared" si="1161"/>
        <v>10.63</v>
      </c>
      <c r="I2530" s="707"/>
      <c r="J2530" s="669" t="s">
        <v>5805</v>
      </c>
      <c r="K2530" s="15"/>
      <c r="M2530" s="49">
        <f t="shared" si="1162"/>
        <v>13.290000000000001</v>
      </c>
      <c r="N2530" s="41">
        <v>8.3800000000000008</v>
      </c>
      <c r="O2530" s="54"/>
      <c r="P2530" s="74"/>
      <c r="S2530" t="s">
        <v>4180</v>
      </c>
      <c r="T2530" t="s">
        <v>1017</v>
      </c>
      <c r="U2530" s="75"/>
      <c r="V2530" s="65"/>
      <c r="Y2530" s="65"/>
      <c r="Z2530" s="65"/>
      <c r="AA2530" s="65"/>
      <c r="AB2530" s="65"/>
      <c r="AC2530" s="65"/>
      <c r="AD2530" s="91"/>
      <c r="AE2530" s="124" t="s">
        <v>1017</v>
      </c>
      <c r="AF2530" s="65"/>
      <c r="AG2530" s="91"/>
      <c r="AH2530" s="217" t="s">
        <v>4179</v>
      </c>
      <c r="AI2530" s="214" t="str">
        <f t="shared" si="1155"/>
        <v/>
      </c>
      <c r="AJ2530" s="214" t="str">
        <f t="shared" si="1156"/>
        <v/>
      </c>
      <c r="AK2530" s="214" t="str">
        <f t="shared" si="1157"/>
        <v/>
      </c>
      <c r="AL2530" s="214" t="str">
        <f t="shared" si="1158"/>
        <v/>
      </c>
      <c r="AM2530" s="214" t="str">
        <f t="shared" si="1159"/>
        <v/>
      </c>
      <c r="AN2530" s="213" t="str">
        <f t="shared" si="1141"/>
        <v>2012</v>
      </c>
      <c r="AO2530" s="213" t="str">
        <f t="shared" si="1142"/>
        <v>2012</v>
      </c>
      <c r="AP2530" s="213" t="str">
        <f t="shared" si="1143"/>
        <v>2012</v>
      </c>
      <c r="AQ2530" s="215" t="str">
        <f t="shared" si="1144"/>
        <v/>
      </c>
      <c r="AR2530" s="216" t="str">
        <f t="shared" si="1145"/>
        <v>BiK83bK12---08</v>
      </c>
      <c r="AS2530" s="215" t="str">
        <f t="shared" si="1146"/>
        <v/>
      </c>
      <c r="AT2530">
        <f t="shared" si="1147"/>
        <v>14</v>
      </c>
      <c r="AU2530" s="216" t="str">
        <f t="shared" si="1148"/>
        <v>0,5-5 MW, Bonusregel b und K erstmals 2012</v>
      </c>
      <c r="AV2530" s="215" t="str">
        <f t="shared" si="1149"/>
        <v/>
      </c>
      <c r="AW2530" s="216" t="str">
        <f t="shared" si="1150"/>
        <v>Anteil KWK, erstmals 2012</v>
      </c>
      <c r="AX2530" s="215" t="str">
        <f t="shared" si="1151"/>
        <v/>
      </c>
      <c r="AY2530" t="str">
        <f t="shared" si="1152"/>
        <v/>
      </c>
      <c r="AZ2530" t="str">
        <f t="shared" si="1153"/>
        <v>x</v>
      </c>
    </row>
    <row r="2531" spans="1:52" x14ac:dyDescent="0.25">
      <c r="A2531" s="609" t="s">
        <v>4840</v>
      </c>
      <c r="B2531" s="1" t="s">
        <v>5548</v>
      </c>
      <c r="C2531" s="2" t="s">
        <v>5540</v>
      </c>
      <c r="D2531" s="1" t="s">
        <v>6791</v>
      </c>
      <c r="E2531" s="1" t="s">
        <v>4810</v>
      </c>
      <c r="F2531" s="456">
        <f t="shared" si="1160"/>
        <v>14.38</v>
      </c>
      <c r="G2531" s="531">
        <v>14.38</v>
      </c>
      <c r="H2531" s="489">
        <f t="shared" si="1161"/>
        <v>11.5</v>
      </c>
      <c r="I2531" s="708"/>
      <c r="J2531" s="669" t="s">
        <v>5805</v>
      </c>
      <c r="K2531" s="15"/>
      <c r="M2531" s="49">
        <f t="shared" si="1162"/>
        <v>14.38</v>
      </c>
      <c r="N2531" s="41">
        <v>8.3800000000000008</v>
      </c>
      <c r="O2531" s="54"/>
      <c r="P2531" s="74"/>
      <c r="S2531" t="s">
        <v>4180</v>
      </c>
      <c r="T2531" t="s">
        <v>4180</v>
      </c>
      <c r="U2531" s="75"/>
      <c r="V2531" s="65"/>
      <c r="W2531" t="s">
        <v>1017</v>
      </c>
      <c r="Y2531" s="65"/>
      <c r="Z2531" s="65"/>
      <c r="AA2531" s="65"/>
      <c r="AB2531" s="65"/>
      <c r="AC2531" s="65"/>
      <c r="AD2531" s="91"/>
      <c r="AE2531" s="124" t="s">
        <v>1017</v>
      </c>
      <c r="AF2531" s="65"/>
      <c r="AG2531" s="91"/>
      <c r="AH2531" s="212" t="str">
        <f>IF(ISERROR(SEARCH("K erstmals 201",D2531)),"",RIGHT(D2531,4))</f>
        <v/>
      </c>
      <c r="AI2531" s="214" t="str">
        <f t="shared" si="1155"/>
        <v/>
      </c>
      <c r="AJ2531" s="214" t="str">
        <f t="shared" si="1156"/>
        <v/>
      </c>
      <c r="AK2531" s="214" t="str">
        <f t="shared" si="1157"/>
        <v/>
      </c>
      <c r="AL2531" s="214" t="str">
        <f t="shared" si="1158"/>
        <v/>
      </c>
      <c r="AM2531" s="214" t="str">
        <f t="shared" si="1159"/>
        <v/>
      </c>
      <c r="AN2531" s="213" t="str">
        <f t="shared" si="1141"/>
        <v/>
      </c>
      <c r="AO2531" s="213" t="str">
        <f t="shared" si="1142"/>
        <v/>
      </c>
      <c r="AP2531" s="213" t="str">
        <f t="shared" si="1143"/>
        <v/>
      </c>
      <c r="AQ2531" s="215" t="str">
        <f t="shared" si="1144"/>
        <v/>
      </c>
      <c r="AR2531" s="216" t="str">
        <f t="shared" si="1145"/>
        <v>BiK83a2b----08</v>
      </c>
      <c r="AS2531" s="215" t="str">
        <f t="shared" si="1146"/>
        <v/>
      </c>
      <c r="AT2531">
        <f t="shared" si="1147"/>
        <v>14</v>
      </c>
      <c r="AU2531" s="216" t="str">
        <f t="shared" si="1148"/>
        <v>0,5-5 MW, Bonusregeln a2 und b</v>
      </c>
      <c r="AV2531" s="215" t="str">
        <f t="shared" si="1149"/>
        <v/>
      </c>
      <c r="AW2531" s="216" t="str">
        <f t="shared" si="1150"/>
        <v>Anteil Nicht-KWK</v>
      </c>
      <c r="AX2531" s="215" t="str">
        <f t="shared" si="1151"/>
        <v/>
      </c>
      <c r="AY2531" t="str">
        <f t="shared" si="1152"/>
        <v/>
      </c>
      <c r="AZ2531" t="str">
        <f t="shared" si="1153"/>
        <v/>
      </c>
    </row>
    <row r="2532" spans="1:52" s="178" customFormat="1" x14ac:dyDescent="0.25">
      <c r="A2532" s="609" t="s">
        <v>4841</v>
      </c>
      <c r="B2532" s="1" t="s">
        <v>5548</v>
      </c>
      <c r="C2532" s="2" t="s">
        <v>5540</v>
      </c>
      <c r="D2532" s="1" t="s">
        <v>6792</v>
      </c>
      <c r="E2532" s="1" t="s">
        <v>4812</v>
      </c>
      <c r="F2532" s="456">
        <f t="shared" si="1160"/>
        <v>16.380000000000003</v>
      </c>
      <c r="G2532" s="531">
        <v>16.380000000000003</v>
      </c>
      <c r="H2532" s="489">
        <f t="shared" si="1161"/>
        <v>13.1</v>
      </c>
      <c r="I2532" s="708"/>
      <c r="J2532" s="669" t="s">
        <v>5805</v>
      </c>
      <c r="K2532" s="15"/>
      <c r="L2532"/>
      <c r="M2532" s="49">
        <f t="shared" si="1162"/>
        <v>16.380000000000003</v>
      </c>
      <c r="N2532" s="41">
        <v>8.3800000000000008</v>
      </c>
      <c r="O2532" s="54" t="s">
        <v>1017</v>
      </c>
      <c r="P2532" s="74"/>
      <c r="Q2532"/>
      <c r="R2532"/>
      <c r="S2532" t="s">
        <v>4180</v>
      </c>
      <c r="T2532" s="178" t="s">
        <v>4180</v>
      </c>
      <c r="U2532" s="75"/>
      <c r="V2532" s="65"/>
      <c r="W2532" t="s">
        <v>1017</v>
      </c>
      <c r="X2532"/>
      <c r="Y2532" s="65"/>
      <c r="Z2532" s="65"/>
      <c r="AA2532" s="65"/>
      <c r="AB2532" s="65"/>
      <c r="AC2532" s="65"/>
      <c r="AD2532" s="91"/>
      <c r="AE2532" s="124" t="s">
        <v>1017</v>
      </c>
      <c r="AF2532" s="65"/>
      <c r="AG2532" s="91"/>
      <c r="AH2532" s="212" t="str">
        <f>IF(ISERROR(SEARCH("K erstmals 201",D2532)),"",RIGHT(D2532,4))</f>
        <v/>
      </c>
      <c r="AI2532" s="214" t="str">
        <f t="shared" si="1155"/>
        <v/>
      </c>
      <c r="AJ2532" s="214" t="str">
        <f t="shared" si="1156"/>
        <v/>
      </c>
      <c r="AK2532" s="214" t="str">
        <f t="shared" si="1157"/>
        <v/>
      </c>
      <c r="AL2532" s="214" t="str">
        <f t="shared" si="1158"/>
        <v/>
      </c>
      <c r="AM2532" s="214" t="str">
        <f t="shared" si="1159"/>
        <v/>
      </c>
      <c r="AN2532" s="213" t="str">
        <f t="shared" si="1141"/>
        <v/>
      </c>
      <c r="AO2532" s="213" t="str">
        <f t="shared" si="1142"/>
        <v/>
      </c>
      <c r="AP2532" s="213" t="str">
        <f t="shared" si="1143"/>
        <v/>
      </c>
      <c r="AQ2532" s="215" t="str">
        <f t="shared" si="1144"/>
        <v/>
      </c>
      <c r="AR2532" s="216" t="str">
        <f t="shared" si="1145"/>
        <v>BiK83a2bKWK-08</v>
      </c>
      <c r="AS2532" s="215" t="str">
        <f t="shared" si="1146"/>
        <v/>
      </c>
      <c r="AT2532">
        <f t="shared" si="1147"/>
        <v>14</v>
      </c>
      <c r="AU2532" s="216" t="str">
        <f t="shared" si="1148"/>
        <v>0,5-5 MW, Bonusregeln a2, b und KWK</v>
      </c>
      <c r="AV2532" s="215" t="str">
        <f t="shared" si="1149"/>
        <v/>
      </c>
      <c r="AW2532" s="216" t="str">
        <f t="shared" si="1150"/>
        <v>Anteil KWK</v>
      </c>
      <c r="AX2532" s="215" t="str">
        <f t="shared" si="1151"/>
        <v/>
      </c>
      <c r="AY2532" t="str">
        <f t="shared" si="1152"/>
        <v/>
      </c>
      <c r="AZ2532" t="str">
        <f t="shared" si="1153"/>
        <v/>
      </c>
    </row>
    <row r="2533" spans="1:52" s="178" customFormat="1" x14ac:dyDescent="0.25">
      <c r="A2533" s="610" t="s">
        <v>962</v>
      </c>
      <c r="B2533" s="17" t="s">
        <v>5548</v>
      </c>
      <c r="C2533" s="17" t="s">
        <v>5540</v>
      </c>
      <c r="D2533" s="30" t="s">
        <v>6793</v>
      </c>
      <c r="E2533" s="17" t="s">
        <v>674</v>
      </c>
      <c r="F2533" s="454">
        <f t="shared" si="1160"/>
        <v>17.380000000000003</v>
      </c>
      <c r="G2533" s="529">
        <v>17.380000000000003</v>
      </c>
      <c r="H2533" s="487">
        <f t="shared" si="1161"/>
        <v>13.9</v>
      </c>
      <c r="I2533" s="706"/>
      <c r="J2533" s="669" t="s">
        <v>5805</v>
      </c>
      <c r="K2533" s="15"/>
      <c r="L2533"/>
      <c r="M2533" s="49">
        <f t="shared" si="1162"/>
        <v>17.380000000000003</v>
      </c>
      <c r="N2533" s="41">
        <v>8.3800000000000008</v>
      </c>
      <c r="O2533" s="54"/>
      <c r="P2533" s="74"/>
      <c r="Q2533" t="s">
        <v>1017</v>
      </c>
      <c r="R2533"/>
      <c r="S2533" t="s">
        <v>4180</v>
      </c>
      <c r="T2533" s="178" t="s">
        <v>4180</v>
      </c>
      <c r="U2533" s="75"/>
      <c r="V2533" s="65"/>
      <c r="W2533" t="s">
        <v>1017</v>
      </c>
      <c r="X2533"/>
      <c r="Y2533" s="65"/>
      <c r="Z2533" s="65"/>
      <c r="AA2533" s="65"/>
      <c r="AB2533" s="65"/>
      <c r="AC2533" s="65"/>
      <c r="AD2533" s="91"/>
      <c r="AE2533" s="124" t="s">
        <v>1017</v>
      </c>
      <c r="AF2533" s="65"/>
      <c r="AG2533" s="91"/>
      <c r="AH2533" s="212" t="str">
        <f>IF(ISERROR(SEARCH("K erstmals 201",D2533)),"",RIGHT(D2533,4))</f>
        <v/>
      </c>
      <c r="AI2533" s="214" t="str">
        <f t="shared" si="1155"/>
        <v/>
      </c>
      <c r="AJ2533" s="214" t="str">
        <f t="shared" si="1156"/>
        <v/>
      </c>
      <c r="AK2533" s="214" t="str">
        <f t="shared" si="1157"/>
        <v/>
      </c>
      <c r="AL2533" s="214" t="str">
        <f t="shared" si="1158"/>
        <v/>
      </c>
      <c r="AM2533" s="214" t="str">
        <f t="shared" si="1159"/>
        <v/>
      </c>
      <c r="AN2533" s="213" t="str">
        <f t="shared" si="1141"/>
        <v/>
      </c>
      <c r="AO2533" s="213" t="str">
        <f t="shared" si="1142"/>
        <v/>
      </c>
      <c r="AP2533" s="213" t="str">
        <f t="shared" si="1143"/>
        <v/>
      </c>
      <c r="AQ2533" s="215" t="str">
        <f t="shared" si="1144"/>
        <v/>
      </c>
      <c r="AR2533" s="216" t="str">
        <f t="shared" si="1145"/>
        <v>BiK83a2bK09-08</v>
      </c>
      <c r="AS2533" s="215" t="str">
        <f t="shared" si="1146"/>
        <v/>
      </c>
      <c r="AT2533">
        <f t="shared" si="1147"/>
        <v>14</v>
      </c>
      <c r="AU2533" s="216" t="str">
        <f t="shared" si="1148"/>
        <v>0,5-5 MW, Bonusregeln a2, b und K erstmals 2009</v>
      </c>
      <c r="AV2533" s="215" t="str">
        <f t="shared" si="1149"/>
        <v/>
      </c>
      <c r="AW2533" s="216" t="str">
        <f t="shared" si="1150"/>
        <v>Anteil KWK, erstmals 2009</v>
      </c>
      <c r="AX2533" s="215" t="str">
        <f t="shared" si="1151"/>
        <v/>
      </c>
      <c r="AY2533" t="str">
        <f t="shared" si="1152"/>
        <v/>
      </c>
      <c r="AZ2533" t="str">
        <f t="shared" si="1153"/>
        <v/>
      </c>
    </row>
    <row r="2534" spans="1:52" s="178" customFormat="1" x14ac:dyDescent="0.25">
      <c r="A2534" s="610" t="s">
        <v>3281</v>
      </c>
      <c r="B2534" s="17" t="s">
        <v>5548</v>
      </c>
      <c r="C2534" s="17" t="s">
        <v>5540</v>
      </c>
      <c r="D2534" s="30" t="s">
        <v>6794</v>
      </c>
      <c r="E2534" s="30" t="s">
        <v>3567</v>
      </c>
      <c r="F2534" s="454">
        <f t="shared" si="1160"/>
        <v>17.350000000000001</v>
      </c>
      <c r="G2534" s="529">
        <v>17.350000000000001</v>
      </c>
      <c r="H2534" s="487">
        <f t="shared" si="1161"/>
        <v>13.88</v>
      </c>
      <c r="I2534" s="706"/>
      <c r="J2534" s="669" t="s">
        <v>5805</v>
      </c>
      <c r="K2534" s="15"/>
      <c r="L2534"/>
      <c r="M2534" s="49">
        <f t="shared" si="1162"/>
        <v>17.350000000000001</v>
      </c>
      <c r="N2534" s="41">
        <v>8.3800000000000008</v>
      </c>
      <c r="O2534" s="54"/>
      <c r="P2534" s="74"/>
      <c r="Q2534"/>
      <c r="R2534" t="s">
        <v>1017</v>
      </c>
      <c r="S2534" t="s">
        <v>4180</v>
      </c>
      <c r="T2534" s="178" t="s">
        <v>4180</v>
      </c>
      <c r="U2534" s="75"/>
      <c r="V2534" s="65"/>
      <c r="W2534" t="s">
        <v>1017</v>
      </c>
      <c r="X2534"/>
      <c r="Y2534" s="65"/>
      <c r="Z2534" s="65"/>
      <c r="AA2534" s="65"/>
      <c r="AB2534" s="65"/>
      <c r="AC2534" s="65"/>
      <c r="AD2534" s="91"/>
      <c r="AE2534" s="124" t="s">
        <v>1017</v>
      </c>
      <c r="AF2534" s="65"/>
      <c r="AG2534" s="91"/>
      <c r="AH2534" s="212" t="str">
        <f>IF(ISERROR(SEARCH("K erstmals 201",D2534)),"",RIGHT(D2534,4))</f>
        <v>2010</v>
      </c>
      <c r="AI2534" s="214" t="str">
        <f t="shared" si="1155"/>
        <v/>
      </c>
      <c r="AJ2534" s="214" t="str">
        <f t="shared" si="1156"/>
        <v/>
      </c>
      <c r="AK2534" s="214" t="str">
        <f t="shared" si="1157"/>
        <v/>
      </c>
      <c r="AL2534" s="214" t="str">
        <f t="shared" si="1158"/>
        <v/>
      </c>
      <c r="AM2534" s="214" t="str">
        <f t="shared" si="1159"/>
        <v/>
      </c>
      <c r="AN2534" s="213" t="str">
        <f t="shared" si="1141"/>
        <v>2010</v>
      </c>
      <c r="AO2534" s="213" t="str">
        <f t="shared" si="1142"/>
        <v>2010</v>
      </c>
      <c r="AP2534" s="213" t="str">
        <f t="shared" si="1143"/>
        <v>2010</v>
      </c>
      <c r="AQ2534" s="215" t="str">
        <f t="shared" si="1144"/>
        <v/>
      </c>
      <c r="AR2534" s="216" t="str">
        <f t="shared" si="1145"/>
        <v>BiK83a2bK10-08</v>
      </c>
      <c r="AS2534" s="215" t="str">
        <f t="shared" si="1146"/>
        <v/>
      </c>
      <c r="AT2534">
        <f t="shared" si="1147"/>
        <v>14</v>
      </c>
      <c r="AU2534" s="216" t="str">
        <f t="shared" si="1148"/>
        <v>0,5-5 MW, Bonusregeln a2, b und K erstmals 2010</v>
      </c>
      <c r="AV2534" s="215" t="str">
        <f t="shared" si="1149"/>
        <v/>
      </c>
      <c r="AW2534" s="216" t="str">
        <f t="shared" si="1150"/>
        <v>Anteil KWK, erstmals 2010</v>
      </c>
      <c r="AX2534" s="215" t="str">
        <f t="shared" si="1151"/>
        <v/>
      </c>
      <c r="AY2534" t="str">
        <f t="shared" si="1152"/>
        <v/>
      </c>
      <c r="AZ2534" t="str">
        <f t="shared" si="1153"/>
        <v/>
      </c>
    </row>
    <row r="2535" spans="1:52" s="178" customFormat="1" x14ac:dyDescent="0.25">
      <c r="A2535" s="610" t="s">
        <v>3486</v>
      </c>
      <c r="B2535" s="17" t="s">
        <v>5548</v>
      </c>
      <c r="C2535" s="17" t="s">
        <v>5540</v>
      </c>
      <c r="D2535" s="30" t="s">
        <v>6795</v>
      </c>
      <c r="E2535" s="30" t="s">
        <v>3055</v>
      </c>
      <c r="F2535" s="454">
        <f t="shared" si="1160"/>
        <v>17.32</v>
      </c>
      <c r="G2535" s="529">
        <v>17.32</v>
      </c>
      <c r="H2535" s="487">
        <f t="shared" si="1161"/>
        <v>13.86</v>
      </c>
      <c r="I2535" s="706"/>
      <c r="J2535" s="669" t="s">
        <v>5805</v>
      </c>
      <c r="K2535" s="15"/>
      <c r="L2535"/>
      <c r="M2535" s="49">
        <f t="shared" si="1162"/>
        <v>17.32</v>
      </c>
      <c r="N2535" s="41">
        <v>8.3800000000000008</v>
      </c>
      <c r="O2535" s="54"/>
      <c r="P2535" s="74"/>
      <c r="Q2535"/>
      <c r="R2535"/>
      <c r="S2535" t="s">
        <v>1017</v>
      </c>
      <c r="T2535" s="178" t="s">
        <v>4180</v>
      </c>
      <c r="U2535" s="75"/>
      <c r="V2535" s="65"/>
      <c r="W2535" t="s">
        <v>1017</v>
      </c>
      <c r="X2535"/>
      <c r="Y2535" s="65"/>
      <c r="Z2535" s="65"/>
      <c r="AA2535" s="65"/>
      <c r="AB2535" s="65"/>
      <c r="AC2535" s="65"/>
      <c r="AD2535" s="91"/>
      <c r="AE2535" s="124" t="s">
        <v>1017</v>
      </c>
      <c r="AF2535" s="65"/>
      <c r="AG2535" s="91"/>
      <c r="AH2535" s="212" t="str">
        <f>IF(ISERROR(SEARCH("K erstmals 201",D2535)),"",RIGHT(D2535,4))</f>
        <v>2011</v>
      </c>
      <c r="AI2535" s="214" t="str">
        <f t="shared" si="1155"/>
        <v/>
      </c>
      <c r="AJ2535" s="214" t="str">
        <f t="shared" si="1156"/>
        <v/>
      </c>
      <c r="AK2535" s="214" t="str">
        <f t="shared" si="1157"/>
        <v/>
      </c>
      <c r="AL2535" s="214" t="str">
        <f t="shared" si="1158"/>
        <v/>
      </c>
      <c r="AM2535" s="214" t="str">
        <f t="shared" si="1159"/>
        <v/>
      </c>
      <c r="AN2535" s="213" t="str">
        <f t="shared" si="1141"/>
        <v>2011</v>
      </c>
      <c r="AO2535" s="213" t="str">
        <f t="shared" si="1142"/>
        <v>2011</v>
      </c>
      <c r="AP2535" s="213" t="str">
        <f t="shared" si="1143"/>
        <v>2011</v>
      </c>
      <c r="AQ2535" s="215" t="str">
        <f t="shared" si="1144"/>
        <v/>
      </c>
      <c r="AR2535" s="216" t="str">
        <f t="shared" si="1145"/>
        <v>BiK83a2bK11-08</v>
      </c>
      <c r="AS2535" s="215" t="str">
        <f t="shared" si="1146"/>
        <v/>
      </c>
      <c r="AT2535">
        <f t="shared" si="1147"/>
        <v>14</v>
      </c>
      <c r="AU2535" s="216" t="str">
        <f t="shared" si="1148"/>
        <v>0,5-5 MW, Bonusregeln a2, b und K erstmals 2011</v>
      </c>
      <c r="AV2535" s="215" t="str">
        <f t="shared" si="1149"/>
        <v/>
      </c>
      <c r="AW2535" s="216" t="str">
        <f t="shared" si="1150"/>
        <v>Anteil KWK, erstmals 2011</v>
      </c>
      <c r="AX2535" s="215" t="str">
        <f t="shared" si="1151"/>
        <v/>
      </c>
      <c r="AY2535" t="str">
        <f t="shared" si="1152"/>
        <v>x</v>
      </c>
      <c r="AZ2535" t="str">
        <f t="shared" si="1153"/>
        <v/>
      </c>
    </row>
    <row r="2536" spans="1:52" s="178" customFormat="1" x14ac:dyDescent="0.25">
      <c r="A2536" s="625" t="s">
        <v>1918</v>
      </c>
      <c r="B2536" s="221" t="s">
        <v>5548</v>
      </c>
      <c r="C2536" s="221" t="s">
        <v>5540</v>
      </c>
      <c r="D2536" s="219" t="s">
        <v>6796</v>
      </c>
      <c r="E2536" s="219" t="s">
        <v>1980</v>
      </c>
      <c r="F2536" s="455">
        <f t="shared" si="1160"/>
        <v>17.29</v>
      </c>
      <c r="G2536" s="530">
        <v>17.29</v>
      </c>
      <c r="H2536" s="488">
        <f t="shared" si="1161"/>
        <v>13.83</v>
      </c>
      <c r="I2536" s="707"/>
      <c r="J2536" s="669" t="s">
        <v>5805</v>
      </c>
      <c r="K2536" s="15"/>
      <c r="L2536"/>
      <c r="M2536" s="49">
        <f t="shared" si="1162"/>
        <v>17.29</v>
      </c>
      <c r="N2536" s="41">
        <v>8.3800000000000008</v>
      </c>
      <c r="O2536" s="54"/>
      <c r="P2536" s="74"/>
      <c r="Q2536"/>
      <c r="R2536"/>
      <c r="S2536" t="s">
        <v>4180</v>
      </c>
      <c r="T2536" s="178" t="s">
        <v>1017</v>
      </c>
      <c r="U2536" s="75"/>
      <c r="V2536" s="65"/>
      <c r="W2536" t="s">
        <v>1017</v>
      </c>
      <c r="X2536"/>
      <c r="Y2536" s="65"/>
      <c r="Z2536" s="65"/>
      <c r="AA2536" s="65"/>
      <c r="AB2536" s="65"/>
      <c r="AC2536" s="65"/>
      <c r="AD2536" s="91"/>
      <c r="AE2536" s="124" t="s">
        <v>1017</v>
      </c>
      <c r="AF2536" s="65"/>
      <c r="AG2536" s="91"/>
      <c r="AH2536" s="217" t="s">
        <v>4179</v>
      </c>
      <c r="AI2536" s="214" t="str">
        <f t="shared" si="1155"/>
        <v/>
      </c>
      <c r="AJ2536" s="214" t="str">
        <f t="shared" si="1156"/>
        <v/>
      </c>
      <c r="AK2536" s="214" t="str">
        <f t="shared" si="1157"/>
        <v/>
      </c>
      <c r="AL2536" s="214" t="str">
        <f t="shared" si="1158"/>
        <v/>
      </c>
      <c r="AM2536" s="214" t="str">
        <f t="shared" si="1159"/>
        <v/>
      </c>
      <c r="AN2536" s="213" t="str">
        <f t="shared" si="1141"/>
        <v>2012</v>
      </c>
      <c r="AO2536" s="213" t="str">
        <f t="shared" si="1142"/>
        <v>2012</v>
      </c>
      <c r="AP2536" s="213" t="str">
        <f t="shared" si="1143"/>
        <v>2012</v>
      </c>
      <c r="AQ2536" s="215" t="str">
        <f t="shared" si="1144"/>
        <v/>
      </c>
      <c r="AR2536" s="216" t="str">
        <f t="shared" si="1145"/>
        <v>BiK83a2bK12-08</v>
      </c>
      <c r="AS2536" s="215" t="str">
        <f t="shared" si="1146"/>
        <v/>
      </c>
      <c r="AT2536">
        <f t="shared" si="1147"/>
        <v>14</v>
      </c>
      <c r="AU2536" s="216" t="str">
        <f t="shared" si="1148"/>
        <v>0,5-5 MW, Bonusregeln a2, b und K erstmals 2012</v>
      </c>
      <c r="AV2536" s="215" t="str">
        <f t="shared" si="1149"/>
        <v/>
      </c>
      <c r="AW2536" s="216" t="str">
        <f t="shared" si="1150"/>
        <v>Anteil KWK, erstmals 2012</v>
      </c>
      <c r="AX2536" s="215" t="str">
        <f t="shared" si="1151"/>
        <v/>
      </c>
      <c r="AY2536" t="str">
        <f t="shared" si="1152"/>
        <v/>
      </c>
      <c r="AZ2536" t="str">
        <f t="shared" si="1153"/>
        <v>x</v>
      </c>
    </row>
    <row r="2537" spans="1:52" s="178" customFormat="1" x14ac:dyDescent="0.25">
      <c r="A2537" s="609" t="s">
        <v>4842</v>
      </c>
      <c r="B2537" s="1" t="s">
        <v>5548</v>
      </c>
      <c r="C2537" s="2" t="s">
        <v>5540</v>
      </c>
      <c r="D2537" s="1" t="s">
        <v>6797</v>
      </c>
      <c r="E2537" s="1" t="s">
        <v>4810</v>
      </c>
      <c r="F2537" s="456">
        <f t="shared" si="1160"/>
        <v>12.88</v>
      </c>
      <c r="G2537" s="531">
        <v>12.88</v>
      </c>
      <c r="H2537" s="489">
        <f t="shared" si="1161"/>
        <v>10.3</v>
      </c>
      <c r="I2537" s="708"/>
      <c r="J2537" s="669" t="s">
        <v>5805</v>
      </c>
      <c r="K2537" s="15"/>
      <c r="L2537"/>
      <c r="M2537" s="49">
        <f t="shared" si="1162"/>
        <v>12.88</v>
      </c>
      <c r="N2537" s="41">
        <v>8.3800000000000008</v>
      </c>
      <c r="O2537" s="54"/>
      <c r="P2537" s="74"/>
      <c r="Q2537"/>
      <c r="R2537"/>
      <c r="S2537" t="s">
        <v>4180</v>
      </c>
      <c r="T2537" s="178" t="s">
        <v>4180</v>
      </c>
      <c r="U2537" s="75"/>
      <c r="V2537" s="65"/>
      <c r="W2537"/>
      <c r="X2537" t="s">
        <v>1017</v>
      </c>
      <c r="Y2537" s="65"/>
      <c r="Z2537" s="65"/>
      <c r="AA2537" s="65"/>
      <c r="AB2537" s="65"/>
      <c r="AC2537" s="65"/>
      <c r="AD2537" s="91"/>
      <c r="AE2537" s="124" t="s">
        <v>1017</v>
      </c>
      <c r="AF2537" s="65"/>
      <c r="AG2537" s="91"/>
      <c r="AH2537" s="212" t="str">
        <f>IF(ISERROR(SEARCH("K erstmals 201",D2537)),"",RIGHT(D2537,4))</f>
        <v/>
      </c>
      <c r="AI2537" s="214" t="str">
        <f t="shared" si="1155"/>
        <v/>
      </c>
      <c r="AJ2537" s="214" t="str">
        <f t="shared" si="1156"/>
        <v/>
      </c>
      <c r="AK2537" s="214" t="str">
        <f t="shared" si="1157"/>
        <v/>
      </c>
      <c r="AL2537" s="214" t="str">
        <f t="shared" si="1158"/>
        <v/>
      </c>
      <c r="AM2537" s="214" t="str">
        <f t="shared" si="1159"/>
        <v/>
      </c>
      <c r="AN2537" s="213" t="str">
        <f t="shared" si="1141"/>
        <v/>
      </c>
      <c r="AO2537" s="213" t="str">
        <f t="shared" si="1142"/>
        <v/>
      </c>
      <c r="AP2537" s="213" t="str">
        <f t="shared" si="1143"/>
        <v/>
      </c>
      <c r="AQ2537" s="215" t="str">
        <f t="shared" si="1144"/>
        <v/>
      </c>
      <c r="AR2537" s="216" t="str">
        <f t="shared" si="1145"/>
        <v>BiK83a3b----08</v>
      </c>
      <c r="AS2537" s="215" t="str">
        <f t="shared" si="1146"/>
        <v/>
      </c>
      <c r="AT2537">
        <f t="shared" si="1147"/>
        <v>14</v>
      </c>
      <c r="AU2537" s="216" t="str">
        <f t="shared" si="1148"/>
        <v>0,5-5 MW, Bonusregeln a3 und b</v>
      </c>
      <c r="AV2537" s="215" t="str">
        <f t="shared" si="1149"/>
        <v/>
      </c>
      <c r="AW2537" s="216" t="str">
        <f t="shared" si="1150"/>
        <v>Anteil Nicht-KWK</v>
      </c>
      <c r="AX2537" s="215" t="str">
        <f t="shared" si="1151"/>
        <v/>
      </c>
      <c r="AY2537" t="str">
        <f t="shared" si="1152"/>
        <v/>
      </c>
      <c r="AZ2537" t="str">
        <f t="shared" si="1153"/>
        <v/>
      </c>
    </row>
    <row r="2538" spans="1:52" s="178" customFormat="1" x14ac:dyDescent="0.25">
      <c r="A2538" s="609" t="s">
        <v>4843</v>
      </c>
      <c r="B2538" s="1" t="s">
        <v>5548</v>
      </c>
      <c r="C2538" s="2" t="s">
        <v>5540</v>
      </c>
      <c r="D2538" s="1" t="s">
        <v>6798</v>
      </c>
      <c r="E2538" s="1" t="s">
        <v>4812</v>
      </c>
      <c r="F2538" s="456">
        <f t="shared" si="1160"/>
        <v>14.88</v>
      </c>
      <c r="G2538" s="531">
        <v>14.88</v>
      </c>
      <c r="H2538" s="489">
        <f t="shared" si="1161"/>
        <v>11.9</v>
      </c>
      <c r="I2538" s="708"/>
      <c r="J2538" s="669" t="s">
        <v>5805</v>
      </c>
      <c r="K2538" s="15"/>
      <c r="L2538"/>
      <c r="M2538" s="49">
        <f t="shared" si="1162"/>
        <v>14.88</v>
      </c>
      <c r="N2538" s="41">
        <v>8.3800000000000008</v>
      </c>
      <c r="O2538" s="54" t="s">
        <v>1017</v>
      </c>
      <c r="P2538" s="74"/>
      <c r="Q2538"/>
      <c r="R2538"/>
      <c r="S2538" t="s">
        <v>4180</v>
      </c>
      <c r="T2538" s="178" t="s">
        <v>4180</v>
      </c>
      <c r="U2538" s="75"/>
      <c r="V2538" s="65"/>
      <c r="W2538"/>
      <c r="X2538" t="s">
        <v>1017</v>
      </c>
      <c r="Y2538" s="65"/>
      <c r="Z2538" s="65"/>
      <c r="AA2538" s="65"/>
      <c r="AB2538" s="65"/>
      <c r="AC2538" s="65"/>
      <c r="AD2538" s="91"/>
      <c r="AE2538" s="124" t="s">
        <v>1017</v>
      </c>
      <c r="AF2538" s="65"/>
      <c r="AG2538" s="91"/>
      <c r="AH2538" s="212" t="str">
        <f>IF(ISERROR(SEARCH("K erstmals 201",D2538)),"",RIGHT(D2538,4))</f>
        <v/>
      </c>
      <c r="AI2538" s="214" t="str">
        <f t="shared" si="1155"/>
        <v/>
      </c>
      <c r="AJ2538" s="214" t="str">
        <f t="shared" si="1156"/>
        <v/>
      </c>
      <c r="AK2538" s="214" t="str">
        <f t="shared" si="1157"/>
        <v/>
      </c>
      <c r="AL2538" s="214" t="str">
        <f t="shared" si="1158"/>
        <v/>
      </c>
      <c r="AM2538" s="214" t="str">
        <f t="shared" si="1159"/>
        <v/>
      </c>
      <c r="AN2538" s="213" t="str">
        <f t="shared" si="1141"/>
        <v/>
      </c>
      <c r="AO2538" s="213" t="str">
        <f t="shared" si="1142"/>
        <v/>
      </c>
      <c r="AP2538" s="213" t="str">
        <f t="shared" si="1143"/>
        <v/>
      </c>
      <c r="AQ2538" s="215" t="str">
        <f t="shared" si="1144"/>
        <v/>
      </c>
      <c r="AR2538" s="216" t="str">
        <f t="shared" si="1145"/>
        <v>BiK83a3bKWK-08</v>
      </c>
      <c r="AS2538" s="215" t="str">
        <f t="shared" si="1146"/>
        <v/>
      </c>
      <c r="AT2538">
        <f t="shared" si="1147"/>
        <v>14</v>
      </c>
      <c r="AU2538" s="216" t="str">
        <f t="shared" si="1148"/>
        <v>0,5-5 MW, Bonusregeln a3, b und KWK</v>
      </c>
      <c r="AV2538" s="215" t="str">
        <f t="shared" si="1149"/>
        <v/>
      </c>
      <c r="AW2538" s="216" t="str">
        <f t="shared" si="1150"/>
        <v>Anteil KWK</v>
      </c>
      <c r="AX2538" s="215" t="str">
        <f t="shared" si="1151"/>
        <v/>
      </c>
      <c r="AY2538" t="str">
        <f t="shared" si="1152"/>
        <v/>
      </c>
      <c r="AZ2538" t="str">
        <f t="shared" si="1153"/>
        <v/>
      </c>
    </row>
    <row r="2539" spans="1:52" s="178" customFormat="1" x14ac:dyDescent="0.25">
      <c r="A2539" s="610" t="s">
        <v>963</v>
      </c>
      <c r="B2539" s="17" t="s">
        <v>5548</v>
      </c>
      <c r="C2539" s="17" t="s">
        <v>5540</v>
      </c>
      <c r="D2539" s="30" t="s">
        <v>6799</v>
      </c>
      <c r="E2539" s="17" t="s">
        <v>674</v>
      </c>
      <c r="F2539" s="454">
        <f t="shared" si="1160"/>
        <v>15.88</v>
      </c>
      <c r="G2539" s="529">
        <v>15.88</v>
      </c>
      <c r="H2539" s="487">
        <f t="shared" si="1161"/>
        <v>12.7</v>
      </c>
      <c r="I2539" s="706"/>
      <c r="J2539" s="669" t="s">
        <v>5805</v>
      </c>
      <c r="K2539" s="15"/>
      <c r="L2539"/>
      <c r="M2539" s="49">
        <f t="shared" si="1162"/>
        <v>15.88</v>
      </c>
      <c r="N2539" s="41">
        <v>8.3800000000000008</v>
      </c>
      <c r="O2539" s="54"/>
      <c r="P2539" s="74"/>
      <c r="Q2539" t="s">
        <v>1017</v>
      </c>
      <c r="R2539"/>
      <c r="S2539" t="s">
        <v>4180</v>
      </c>
      <c r="T2539" s="178" t="s">
        <v>4180</v>
      </c>
      <c r="U2539" s="75"/>
      <c r="V2539" s="65"/>
      <c r="W2539"/>
      <c r="X2539" t="s">
        <v>1017</v>
      </c>
      <c r="Y2539" s="65"/>
      <c r="Z2539" s="65"/>
      <c r="AA2539" s="65"/>
      <c r="AB2539" s="65"/>
      <c r="AC2539" s="65"/>
      <c r="AD2539" s="91"/>
      <c r="AE2539" s="124" t="s">
        <v>1017</v>
      </c>
      <c r="AF2539" s="65"/>
      <c r="AG2539" s="91"/>
      <c r="AH2539" s="212" t="str">
        <f>IF(ISERROR(SEARCH("K erstmals 201",D2539)),"",RIGHT(D2539,4))</f>
        <v/>
      </c>
      <c r="AI2539" s="214" t="str">
        <f t="shared" si="1155"/>
        <v/>
      </c>
      <c r="AJ2539" s="214" t="str">
        <f t="shared" si="1156"/>
        <v/>
      </c>
      <c r="AK2539" s="214" t="str">
        <f t="shared" si="1157"/>
        <v/>
      </c>
      <c r="AL2539" s="214" t="str">
        <f t="shared" si="1158"/>
        <v/>
      </c>
      <c r="AM2539" s="214" t="str">
        <f t="shared" si="1159"/>
        <v/>
      </c>
      <c r="AN2539" s="213" t="str">
        <f t="shared" si="1141"/>
        <v/>
      </c>
      <c r="AO2539" s="213" t="str">
        <f t="shared" si="1142"/>
        <v/>
      </c>
      <c r="AP2539" s="213" t="str">
        <f t="shared" si="1143"/>
        <v/>
      </c>
      <c r="AQ2539" s="215" t="str">
        <f t="shared" si="1144"/>
        <v/>
      </c>
      <c r="AR2539" s="216" t="str">
        <f t="shared" si="1145"/>
        <v>BiK83a3bK09-08</v>
      </c>
      <c r="AS2539" s="215" t="str">
        <f t="shared" si="1146"/>
        <v/>
      </c>
      <c r="AT2539">
        <f t="shared" si="1147"/>
        <v>14</v>
      </c>
      <c r="AU2539" s="216" t="str">
        <f t="shared" si="1148"/>
        <v>0,5-5 MW, Bonusregeln a3, b und K erstmals 2009</v>
      </c>
      <c r="AV2539" s="215" t="str">
        <f t="shared" si="1149"/>
        <v/>
      </c>
      <c r="AW2539" s="216" t="str">
        <f t="shared" si="1150"/>
        <v>Anteil KWK, erstmals 2009</v>
      </c>
      <c r="AX2539" s="215" t="str">
        <f t="shared" si="1151"/>
        <v/>
      </c>
      <c r="AY2539" t="str">
        <f t="shared" si="1152"/>
        <v/>
      </c>
      <c r="AZ2539" t="str">
        <f t="shared" si="1153"/>
        <v/>
      </c>
    </row>
    <row r="2540" spans="1:52" s="178" customFormat="1" x14ac:dyDescent="0.25">
      <c r="A2540" s="610" t="s">
        <v>3282</v>
      </c>
      <c r="B2540" s="17" t="s">
        <v>5548</v>
      </c>
      <c r="C2540" s="17" t="s">
        <v>5540</v>
      </c>
      <c r="D2540" s="30" t="s">
        <v>6800</v>
      </c>
      <c r="E2540" s="30" t="s">
        <v>3567</v>
      </c>
      <c r="F2540" s="454">
        <f t="shared" si="1160"/>
        <v>15.850000000000001</v>
      </c>
      <c r="G2540" s="529">
        <v>15.850000000000001</v>
      </c>
      <c r="H2540" s="487">
        <f t="shared" si="1161"/>
        <v>12.68</v>
      </c>
      <c r="I2540" s="706"/>
      <c r="J2540" s="669" t="s">
        <v>5805</v>
      </c>
      <c r="K2540" s="15"/>
      <c r="L2540"/>
      <c r="M2540" s="49">
        <f t="shared" si="1162"/>
        <v>15.850000000000001</v>
      </c>
      <c r="N2540" s="41">
        <v>8.3800000000000008</v>
      </c>
      <c r="O2540" s="54"/>
      <c r="P2540" s="74"/>
      <c r="Q2540"/>
      <c r="R2540" t="s">
        <v>1017</v>
      </c>
      <c r="S2540" t="s">
        <v>4180</v>
      </c>
      <c r="T2540" s="178" t="s">
        <v>4180</v>
      </c>
      <c r="U2540" s="75"/>
      <c r="V2540" s="65"/>
      <c r="W2540"/>
      <c r="X2540" t="s">
        <v>1017</v>
      </c>
      <c r="Y2540" s="65"/>
      <c r="Z2540" s="65"/>
      <c r="AA2540" s="65"/>
      <c r="AB2540" s="65"/>
      <c r="AC2540" s="65"/>
      <c r="AD2540" s="91"/>
      <c r="AE2540" s="124" t="s">
        <v>1017</v>
      </c>
      <c r="AF2540" s="65"/>
      <c r="AG2540" s="91"/>
      <c r="AH2540" s="212" t="str">
        <f>IF(ISERROR(SEARCH("K erstmals 201",D2540)),"",RIGHT(D2540,4))</f>
        <v>2010</v>
      </c>
      <c r="AI2540" s="214" t="str">
        <f t="shared" si="1155"/>
        <v/>
      </c>
      <c r="AJ2540" s="214" t="str">
        <f t="shared" si="1156"/>
        <v/>
      </c>
      <c r="AK2540" s="214" t="str">
        <f t="shared" si="1157"/>
        <v/>
      </c>
      <c r="AL2540" s="214" t="str">
        <f t="shared" si="1158"/>
        <v/>
      </c>
      <c r="AM2540" s="214" t="str">
        <f t="shared" si="1159"/>
        <v/>
      </c>
      <c r="AN2540" s="213" t="str">
        <f t="shared" si="1141"/>
        <v>2010</v>
      </c>
      <c r="AO2540" s="213" t="str">
        <f t="shared" si="1142"/>
        <v>2010</v>
      </c>
      <c r="AP2540" s="213" t="str">
        <f t="shared" si="1143"/>
        <v>2010</v>
      </c>
      <c r="AQ2540" s="215" t="str">
        <f t="shared" si="1144"/>
        <v/>
      </c>
      <c r="AR2540" s="216" t="str">
        <f t="shared" si="1145"/>
        <v>BiK83a3bK10-08</v>
      </c>
      <c r="AS2540" s="215" t="str">
        <f t="shared" si="1146"/>
        <v/>
      </c>
      <c r="AT2540">
        <f t="shared" si="1147"/>
        <v>14</v>
      </c>
      <c r="AU2540" s="216" t="str">
        <f t="shared" si="1148"/>
        <v>0,5-5 MW, Bonusregeln a3, b und K erstmals 2010</v>
      </c>
      <c r="AV2540" s="215" t="str">
        <f t="shared" si="1149"/>
        <v/>
      </c>
      <c r="AW2540" s="216" t="str">
        <f t="shared" si="1150"/>
        <v>Anteil KWK, erstmals 2010</v>
      </c>
      <c r="AX2540" s="215" t="str">
        <f t="shared" si="1151"/>
        <v/>
      </c>
      <c r="AY2540" t="str">
        <f t="shared" si="1152"/>
        <v/>
      </c>
      <c r="AZ2540" t="str">
        <f t="shared" si="1153"/>
        <v/>
      </c>
    </row>
    <row r="2541" spans="1:52" x14ac:dyDescent="0.25">
      <c r="A2541" s="610" t="s">
        <v>3487</v>
      </c>
      <c r="B2541" s="17" t="s">
        <v>5548</v>
      </c>
      <c r="C2541" s="17" t="s">
        <v>5540</v>
      </c>
      <c r="D2541" s="30" t="s">
        <v>6801</v>
      </c>
      <c r="E2541" s="30" t="s">
        <v>3055</v>
      </c>
      <c r="F2541" s="454">
        <f t="shared" si="1160"/>
        <v>15.82</v>
      </c>
      <c r="G2541" s="529">
        <v>15.82</v>
      </c>
      <c r="H2541" s="487">
        <f t="shared" si="1161"/>
        <v>12.66</v>
      </c>
      <c r="I2541" s="706"/>
      <c r="J2541" s="669" t="s">
        <v>5805</v>
      </c>
      <c r="K2541" s="15"/>
      <c r="M2541" s="49">
        <f t="shared" si="1162"/>
        <v>15.82</v>
      </c>
      <c r="N2541" s="41">
        <v>8.3800000000000008</v>
      </c>
      <c r="O2541" s="54"/>
      <c r="P2541" s="74"/>
      <c r="S2541" t="s">
        <v>1017</v>
      </c>
      <c r="T2541" t="s">
        <v>4180</v>
      </c>
      <c r="U2541" s="75"/>
      <c r="V2541" s="65"/>
      <c r="X2541" t="s">
        <v>1017</v>
      </c>
      <c r="Y2541" s="65"/>
      <c r="Z2541" s="65"/>
      <c r="AA2541" s="65"/>
      <c r="AB2541" s="65"/>
      <c r="AC2541" s="65"/>
      <c r="AD2541" s="91"/>
      <c r="AE2541" s="124" t="s">
        <v>1017</v>
      </c>
      <c r="AF2541" s="65"/>
      <c r="AG2541" s="91"/>
      <c r="AH2541" s="212" t="str">
        <f>IF(ISERROR(SEARCH("K erstmals 201",D2541)),"",RIGHT(D2541,4))</f>
        <v>2011</v>
      </c>
      <c r="AI2541" s="214" t="str">
        <f t="shared" si="1155"/>
        <v/>
      </c>
      <c r="AJ2541" s="214" t="str">
        <f t="shared" si="1156"/>
        <v/>
      </c>
      <c r="AK2541" s="214" t="str">
        <f t="shared" si="1157"/>
        <v/>
      </c>
      <c r="AL2541" s="214" t="str">
        <f t="shared" si="1158"/>
        <v/>
      </c>
      <c r="AM2541" s="214" t="str">
        <f t="shared" si="1159"/>
        <v/>
      </c>
      <c r="AN2541" s="213" t="str">
        <f t="shared" si="1141"/>
        <v>2011</v>
      </c>
      <c r="AO2541" s="213" t="str">
        <f t="shared" si="1142"/>
        <v>2011</v>
      </c>
      <c r="AP2541" s="213" t="str">
        <f t="shared" si="1143"/>
        <v>2011</v>
      </c>
      <c r="AQ2541" s="215" t="str">
        <f t="shared" si="1144"/>
        <v/>
      </c>
      <c r="AR2541" s="216" t="str">
        <f t="shared" si="1145"/>
        <v>BiK83a3bK11-08</v>
      </c>
      <c r="AS2541" s="215" t="str">
        <f t="shared" si="1146"/>
        <v/>
      </c>
      <c r="AT2541">
        <f t="shared" si="1147"/>
        <v>14</v>
      </c>
      <c r="AU2541" s="216" t="str">
        <f t="shared" si="1148"/>
        <v>0,5-5 MW, Bonusregeln a3, b und K erstmals 2011</v>
      </c>
      <c r="AV2541" s="215" t="str">
        <f t="shared" si="1149"/>
        <v/>
      </c>
      <c r="AW2541" s="216" t="str">
        <f t="shared" si="1150"/>
        <v>Anteil KWK, erstmals 2011</v>
      </c>
      <c r="AX2541" s="215" t="str">
        <f t="shared" si="1151"/>
        <v/>
      </c>
      <c r="AY2541" t="str">
        <f t="shared" si="1152"/>
        <v>x</v>
      </c>
      <c r="AZ2541" t="str">
        <f t="shared" si="1153"/>
        <v/>
      </c>
    </row>
    <row r="2542" spans="1:52" x14ac:dyDescent="0.25">
      <c r="A2542" s="625" t="s">
        <v>1919</v>
      </c>
      <c r="B2542" s="221" t="s">
        <v>5548</v>
      </c>
      <c r="C2542" s="221" t="s">
        <v>5540</v>
      </c>
      <c r="D2542" s="219" t="s">
        <v>6802</v>
      </c>
      <c r="E2542" s="219" t="s">
        <v>1980</v>
      </c>
      <c r="F2542" s="455">
        <f t="shared" si="1160"/>
        <v>15.790000000000001</v>
      </c>
      <c r="G2542" s="530">
        <v>15.790000000000001</v>
      </c>
      <c r="H2542" s="488">
        <f t="shared" si="1161"/>
        <v>12.63</v>
      </c>
      <c r="I2542" s="707"/>
      <c r="J2542" s="669" t="s">
        <v>5805</v>
      </c>
      <c r="K2542" s="15"/>
      <c r="M2542" s="49">
        <f t="shared" si="1162"/>
        <v>15.790000000000001</v>
      </c>
      <c r="N2542" s="41">
        <v>8.3800000000000008</v>
      </c>
      <c r="O2542" s="54"/>
      <c r="P2542" s="74"/>
      <c r="S2542" t="s">
        <v>4180</v>
      </c>
      <c r="T2542" t="s">
        <v>1017</v>
      </c>
      <c r="U2542" s="75"/>
      <c r="V2542" s="65"/>
      <c r="X2542" t="s">
        <v>1017</v>
      </c>
      <c r="Y2542" s="65"/>
      <c r="Z2542" s="65"/>
      <c r="AA2542" s="65"/>
      <c r="AB2542" s="65"/>
      <c r="AC2542" s="65"/>
      <c r="AD2542" s="91"/>
      <c r="AE2542" s="124" t="s">
        <v>1017</v>
      </c>
      <c r="AF2542" s="65"/>
      <c r="AG2542" s="91"/>
      <c r="AH2542" s="217" t="s">
        <v>4179</v>
      </c>
      <c r="AI2542" s="214" t="str">
        <f t="shared" si="1155"/>
        <v/>
      </c>
      <c r="AJ2542" s="214" t="str">
        <f t="shared" si="1156"/>
        <v/>
      </c>
      <c r="AK2542" s="214" t="str">
        <f t="shared" si="1157"/>
        <v/>
      </c>
      <c r="AL2542" s="214" t="str">
        <f t="shared" si="1158"/>
        <v/>
      </c>
      <c r="AM2542" s="214" t="str">
        <f t="shared" si="1159"/>
        <v/>
      </c>
      <c r="AN2542" s="213" t="str">
        <f t="shared" si="1141"/>
        <v>2012</v>
      </c>
      <c r="AO2542" s="213" t="str">
        <f t="shared" si="1142"/>
        <v>2012</v>
      </c>
      <c r="AP2542" s="213" t="str">
        <f t="shared" si="1143"/>
        <v>2012</v>
      </c>
      <c r="AQ2542" s="215" t="str">
        <f t="shared" si="1144"/>
        <v/>
      </c>
      <c r="AR2542" s="216" t="str">
        <f t="shared" si="1145"/>
        <v>BiK83a3bK12-08</v>
      </c>
      <c r="AS2542" s="215" t="str">
        <f t="shared" si="1146"/>
        <v/>
      </c>
      <c r="AT2542">
        <f t="shared" si="1147"/>
        <v>14</v>
      </c>
      <c r="AU2542" s="216" t="str">
        <f t="shared" si="1148"/>
        <v>0,5-5 MW, Bonusregeln a3, b und K erstmals 2012</v>
      </c>
      <c r="AV2542" s="215" t="str">
        <f t="shared" si="1149"/>
        <v/>
      </c>
      <c r="AW2542" s="216" t="str">
        <f t="shared" si="1150"/>
        <v>Anteil KWK, erstmals 2012</v>
      </c>
      <c r="AX2542" s="215" t="str">
        <f t="shared" si="1151"/>
        <v/>
      </c>
      <c r="AY2542" t="str">
        <f t="shared" si="1152"/>
        <v/>
      </c>
      <c r="AZ2542" t="str">
        <f t="shared" si="1153"/>
        <v>x</v>
      </c>
    </row>
    <row r="2543" spans="1:52" x14ac:dyDescent="0.25">
      <c r="A2543" s="609" t="s">
        <v>4844</v>
      </c>
      <c r="B2543" s="1" t="s">
        <v>5548</v>
      </c>
      <c r="C2543" s="2" t="s">
        <v>5540</v>
      </c>
      <c r="D2543" s="1" t="s">
        <v>1776</v>
      </c>
      <c r="E2543" s="1" t="s">
        <v>4810</v>
      </c>
      <c r="F2543" s="456">
        <f t="shared" si="1160"/>
        <v>7.91</v>
      </c>
      <c r="G2543" s="531">
        <v>7.91</v>
      </c>
      <c r="H2543" s="489">
        <f t="shared" si="1161"/>
        <v>6.33</v>
      </c>
      <c r="I2543" s="708"/>
      <c r="J2543" s="669" t="s">
        <v>5805</v>
      </c>
      <c r="K2543" s="15"/>
      <c r="M2543" s="49">
        <f t="shared" si="1162"/>
        <v>7.91</v>
      </c>
      <c r="N2543" s="41">
        <v>7.91</v>
      </c>
      <c r="O2543" s="54"/>
      <c r="P2543" s="74"/>
      <c r="S2543" t="s">
        <v>4180</v>
      </c>
      <c r="T2543" t="s">
        <v>4180</v>
      </c>
      <c r="U2543" s="75"/>
      <c r="V2543" s="65"/>
      <c r="W2543" s="65"/>
      <c r="X2543" s="65"/>
      <c r="Y2543" s="65"/>
      <c r="Z2543" s="65"/>
      <c r="AA2543" s="65"/>
      <c r="AB2543" s="65"/>
      <c r="AC2543" s="65"/>
      <c r="AD2543" s="91"/>
      <c r="AE2543" s="196"/>
      <c r="AF2543" s="65"/>
      <c r="AG2543" s="91"/>
      <c r="AH2543" s="212" t="str">
        <f>IF(ISERROR(SEARCH("K erstmals 201",D2543)),"",RIGHT(D2543,4))</f>
        <v/>
      </c>
      <c r="AI2543" s="214" t="str">
        <f t="shared" si="1155"/>
        <v/>
      </c>
      <c r="AJ2543" s="214" t="str">
        <f t="shared" si="1156"/>
        <v/>
      </c>
      <c r="AK2543" s="214" t="str">
        <f t="shared" si="1157"/>
        <v/>
      </c>
      <c r="AL2543" s="214" t="str">
        <f t="shared" si="1158"/>
        <v/>
      </c>
      <c r="AM2543" s="214" t="str">
        <f t="shared" si="1159"/>
        <v/>
      </c>
      <c r="AN2543" s="213" t="str">
        <f t="shared" si="1141"/>
        <v/>
      </c>
      <c r="AO2543" s="213" t="str">
        <f t="shared" si="1142"/>
        <v/>
      </c>
      <c r="AP2543" s="213" t="str">
        <f t="shared" si="1143"/>
        <v/>
      </c>
      <c r="AQ2543" s="215" t="str">
        <f t="shared" si="1144"/>
        <v/>
      </c>
      <c r="AR2543" s="216" t="str">
        <f t="shared" si="1145"/>
        <v>BiK84-------08</v>
      </c>
      <c r="AS2543" s="215" t="str">
        <f t="shared" si="1146"/>
        <v/>
      </c>
      <c r="AT2543">
        <f t="shared" si="1147"/>
        <v>14</v>
      </c>
      <c r="AU2543" s="216" t="str">
        <f t="shared" si="1148"/>
        <v>5-20 MW</v>
      </c>
      <c r="AV2543" s="215" t="str">
        <f t="shared" si="1149"/>
        <v/>
      </c>
      <c r="AW2543" s="216" t="str">
        <f t="shared" si="1150"/>
        <v>Anteil Nicht-KWK</v>
      </c>
      <c r="AX2543" s="215" t="str">
        <f t="shared" si="1151"/>
        <v/>
      </c>
      <c r="AY2543" t="str">
        <f t="shared" si="1152"/>
        <v/>
      </c>
      <c r="AZ2543" t="str">
        <f t="shared" si="1153"/>
        <v/>
      </c>
    </row>
    <row r="2544" spans="1:52" x14ac:dyDescent="0.25">
      <c r="A2544" s="609" t="s">
        <v>4845</v>
      </c>
      <c r="B2544" s="1" t="s">
        <v>5548</v>
      </c>
      <c r="C2544" s="2" t="s">
        <v>5540</v>
      </c>
      <c r="D2544" s="1" t="s">
        <v>7367</v>
      </c>
      <c r="E2544" s="1" t="s">
        <v>4812</v>
      </c>
      <c r="F2544" s="456">
        <f t="shared" si="1160"/>
        <v>9.91</v>
      </c>
      <c r="G2544" s="531">
        <v>9.91</v>
      </c>
      <c r="H2544" s="489">
        <f t="shared" si="1161"/>
        <v>7.93</v>
      </c>
      <c r="I2544" s="708"/>
      <c r="J2544" s="669" t="s">
        <v>5805</v>
      </c>
      <c r="K2544" s="15"/>
      <c r="M2544" s="49">
        <f t="shared" si="1162"/>
        <v>9.91</v>
      </c>
      <c r="N2544" s="41">
        <v>7.91</v>
      </c>
      <c r="O2544" s="54" t="s">
        <v>1017</v>
      </c>
      <c r="P2544" s="74"/>
      <c r="S2544" t="s">
        <v>4180</v>
      </c>
      <c r="T2544" t="s">
        <v>4180</v>
      </c>
      <c r="U2544" s="75"/>
      <c r="V2544" s="65"/>
      <c r="W2544" s="65"/>
      <c r="X2544" s="65"/>
      <c r="Y2544" s="65"/>
      <c r="Z2544" s="65"/>
      <c r="AA2544" s="65"/>
      <c r="AB2544" s="65"/>
      <c r="AC2544" s="65"/>
      <c r="AD2544" s="91"/>
      <c r="AE2544" s="196"/>
      <c r="AF2544" s="65"/>
      <c r="AG2544" s="91"/>
      <c r="AH2544" s="212" t="str">
        <f>IF(ISERROR(SEARCH("K erstmals 201",D2544)),"",RIGHT(D2544,4))</f>
        <v/>
      </c>
      <c r="AI2544" s="214" t="str">
        <f t="shared" si="1155"/>
        <v/>
      </c>
      <c r="AJ2544" s="214" t="str">
        <f t="shared" si="1156"/>
        <v/>
      </c>
      <c r="AK2544" s="214" t="str">
        <f t="shared" si="1157"/>
        <v/>
      </c>
      <c r="AL2544" s="214" t="str">
        <f t="shared" si="1158"/>
        <v/>
      </c>
      <c r="AM2544" s="214" t="str">
        <f t="shared" si="1159"/>
        <v/>
      </c>
      <c r="AN2544" s="213" t="str">
        <f t="shared" si="1141"/>
        <v/>
      </c>
      <c r="AO2544" s="213" t="str">
        <f t="shared" si="1142"/>
        <v/>
      </c>
      <c r="AP2544" s="213" t="str">
        <f t="shared" si="1143"/>
        <v/>
      </c>
      <c r="AQ2544" s="215" t="str">
        <f t="shared" si="1144"/>
        <v/>
      </c>
      <c r="AR2544" s="216" t="str">
        <f t="shared" si="1145"/>
        <v>BiK84KWK----08</v>
      </c>
      <c r="AS2544" s="215" t="str">
        <f t="shared" si="1146"/>
        <v/>
      </c>
      <c r="AT2544">
        <f t="shared" si="1147"/>
        <v>14</v>
      </c>
      <c r="AU2544" s="216" t="str">
        <f t="shared" si="1148"/>
        <v>5-20 MW, Bonusregel KWK</v>
      </c>
      <c r="AV2544" s="215" t="str">
        <f t="shared" si="1149"/>
        <v/>
      </c>
      <c r="AW2544" s="216" t="str">
        <f t="shared" si="1150"/>
        <v>Anteil KWK</v>
      </c>
      <c r="AX2544" s="215" t="str">
        <f t="shared" si="1151"/>
        <v/>
      </c>
      <c r="AY2544" t="str">
        <f t="shared" si="1152"/>
        <v/>
      </c>
      <c r="AZ2544" t="str">
        <f t="shared" si="1153"/>
        <v/>
      </c>
    </row>
    <row r="2545" spans="1:52" x14ac:dyDescent="0.25">
      <c r="A2545" s="610" t="s">
        <v>964</v>
      </c>
      <c r="B2545" s="17" t="s">
        <v>5548</v>
      </c>
      <c r="C2545" s="17" t="s">
        <v>5540</v>
      </c>
      <c r="D2545" s="30" t="s">
        <v>7363</v>
      </c>
      <c r="E2545" s="17" t="s">
        <v>674</v>
      </c>
      <c r="F2545" s="454">
        <f t="shared" si="1160"/>
        <v>10.91</v>
      </c>
      <c r="G2545" s="529">
        <v>10.91</v>
      </c>
      <c r="H2545" s="487">
        <f t="shared" si="1161"/>
        <v>8.73</v>
      </c>
      <c r="I2545" s="706"/>
      <c r="J2545" s="669" t="s">
        <v>5805</v>
      </c>
      <c r="K2545" s="15"/>
      <c r="M2545" s="49">
        <f t="shared" si="1162"/>
        <v>10.91</v>
      </c>
      <c r="N2545" s="41">
        <v>7.91</v>
      </c>
      <c r="O2545" s="54"/>
      <c r="P2545" s="74"/>
      <c r="Q2545" t="s">
        <v>1017</v>
      </c>
      <c r="S2545" t="s">
        <v>4180</v>
      </c>
      <c r="T2545" t="s">
        <v>4180</v>
      </c>
      <c r="U2545" s="75"/>
      <c r="V2545" s="65"/>
      <c r="W2545" s="65"/>
      <c r="X2545" s="65"/>
      <c r="Y2545" s="65"/>
      <c r="Z2545" s="65"/>
      <c r="AA2545" s="65"/>
      <c r="AB2545" s="65"/>
      <c r="AC2545" s="65"/>
      <c r="AD2545" s="91"/>
      <c r="AE2545" s="196"/>
      <c r="AF2545" s="65"/>
      <c r="AG2545" s="91"/>
      <c r="AH2545" s="212" t="str">
        <f>IF(ISERROR(SEARCH("K erstmals 201",D2545)),"",RIGHT(D2545,4))</f>
        <v/>
      </c>
      <c r="AI2545" s="214" t="str">
        <f t="shared" si="1155"/>
        <v/>
      </c>
      <c r="AJ2545" s="214" t="str">
        <f t="shared" si="1156"/>
        <v/>
      </c>
      <c r="AK2545" s="214" t="str">
        <f t="shared" si="1157"/>
        <v/>
      </c>
      <c r="AL2545" s="214" t="str">
        <f t="shared" si="1158"/>
        <v/>
      </c>
      <c r="AM2545" s="214" t="str">
        <f t="shared" si="1159"/>
        <v/>
      </c>
      <c r="AN2545" s="213" t="str">
        <f t="shared" si="1141"/>
        <v/>
      </c>
      <c r="AO2545" s="213" t="str">
        <f t="shared" si="1142"/>
        <v/>
      </c>
      <c r="AP2545" s="213" t="str">
        <f t="shared" si="1143"/>
        <v/>
      </c>
      <c r="AQ2545" s="215" t="str">
        <f t="shared" si="1144"/>
        <v/>
      </c>
      <c r="AR2545" s="216" t="str">
        <f t="shared" si="1145"/>
        <v>BiK84K09----08</v>
      </c>
      <c r="AS2545" s="215" t="str">
        <f t="shared" si="1146"/>
        <v/>
      </c>
      <c r="AT2545">
        <f t="shared" si="1147"/>
        <v>14</v>
      </c>
      <c r="AU2545" s="216" t="str">
        <f t="shared" si="1148"/>
        <v>5-20 MW, Bonusregel K erstmals 2009</v>
      </c>
      <c r="AV2545" s="215" t="str">
        <f t="shared" si="1149"/>
        <v/>
      </c>
      <c r="AW2545" s="216" t="str">
        <f t="shared" si="1150"/>
        <v>Anteil KWK, erstmals 2009</v>
      </c>
      <c r="AX2545" s="215" t="str">
        <f t="shared" si="1151"/>
        <v/>
      </c>
      <c r="AY2545" t="str">
        <f t="shared" si="1152"/>
        <v/>
      </c>
      <c r="AZ2545" t="str">
        <f t="shared" si="1153"/>
        <v/>
      </c>
    </row>
    <row r="2546" spans="1:52" s="178" customFormat="1" x14ac:dyDescent="0.25">
      <c r="A2546" s="610" t="s">
        <v>3283</v>
      </c>
      <c r="B2546" s="17" t="s">
        <v>5548</v>
      </c>
      <c r="C2546" s="17" t="s">
        <v>5540</v>
      </c>
      <c r="D2546" s="30" t="s">
        <v>7364</v>
      </c>
      <c r="E2546" s="30" t="s">
        <v>3567</v>
      </c>
      <c r="F2546" s="454">
        <f t="shared" si="1160"/>
        <v>10.88</v>
      </c>
      <c r="G2546" s="529">
        <v>10.88</v>
      </c>
      <c r="H2546" s="487">
        <f t="shared" si="1161"/>
        <v>8.6999999999999993</v>
      </c>
      <c r="I2546" s="706"/>
      <c r="J2546" s="669" t="s">
        <v>5805</v>
      </c>
      <c r="K2546" s="15"/>
      <c r="L2546"/>
      <c r="M2546" s="49">
        <f t="shared" si="1162"/>
        <v>10.88</v>
      </c>
      <c r="N2546" s="41">
        <v>7.91</v>
      </c>
      <c r="O2546" s="54"/>
      <c r="P2546" s="74"/>
      <c r="Q2546"/>
      <c r="R2546" t="s">
        <v>1017</v>
      </c>
      <c r="S2546" t="s">
        <v>4180</v>
      </c>
      <c r="T2546" s="178" t="s">
        <v>4180</v>
      </c>
      <c r="U2546" s="75"/>
      <c r="V2546" s="65"/>
      <c r="W2546" s="65"/>
      <c r="X2546" s="65"/>
      <c r="Y2546" s="65"/>
      <c r="Z2546" s="65"/>
      <c r="AA2546" s="65"/>
      <c r="AB2546" s="65"/>
      <c r="AC2546" s="65"/>
      <c r="AD2546" s="91"/>
      <c r="AE2546" s="196"/>
      <c r="AF2546" s="65"/>
      <c r="AG2546" s="91"/>
      <c r="AH2546" s="212" t="str">
        <f>IF(ISERROR(SEARCH("K erstmals 201",D2546)),"",RIGHT(D2546,4))</f>
        <v>2010</v>
      </c>
      <c r="AI2546" s="214" t="str">
        <f t="shared" si="1155"/>
        <v/>
      </c>
      <c r="AJ2546" s="214" t="str">
        <f t="shared" si="1156"/>
        <v/>
      </c>
      <c r="AK2546" s="214" t="str">
        <f t="shared" si="1157"/>
        <v/>
      </c>
      <c r="AL2546" s="214" t="str">
        <f t="shared" si="1158"/>
        <v/>
      </c>
      <c r="AM2546" s="214" t="str">
        <f t="shared" si="1159"/>
        <v/>
      </c>
      <c r="AN2546" s="213" t="str">
        <f t="shared" si="1141"/>
        <v>2010</v>
      </c>
      <c r="AO2546" s="213" t="str">
        <f t="shared" si="1142"/>
        <v>2010</v>
      </c>
      <c r="AP2546" s="213" t="str">
        <f t="shared" si="1143"/>
        <v>2010</v>
      </c>
      <c r="AQ2546" s="215" t="str">
        <f t="shared" si="1144"/>
        <v/>
      </c>
      <c r="AR2546" s="216" t="str">
        <f t="shared" si="1145"/>
        <v>BiK84K10----08</v>
      </c>
      <c r="AS2546" s="215" t="str">
        <f t="shared" si="1146"/>
        <v/>
      </c>
      <c r="AT2546">
        <f t="shared" si="1147"/>
        <v>14</v>
      </c>
      <c r="AU2546" s="216" t="str">
        <f t="shared" si="1148"/>
        <v>5-20 MW, Bonusregel K erstmals 2010</v>
      </c>
      <c r="AV2546" s="215" t="str">
        <f t="shared" si="1149"/>
        <v/>
      </c>
      <c r="AW2546" s="216" t="str">
        <f t="shared" si="1150"/>
        <v>Anteil KWK, erstmals 2010</v>
      </c>
      <c r="AX2546" s="215" t="str">
        <f t="shared" si="1151"/>
        <v/>
      </c>
      <c r="AY2546" t="str">
        <f t="shared" si="1152"/>
        <v/>
      </c>
      <c r="AZ2546" t="str">
        <f t="shared" si="1153"/>
        <v/>
      </c>
    </row>
    <row r="2547" spans="1:52" s="178" customFormat="1" x14ac:dyDescent="0.25">
      <c r="A2547" s="610" t="s">
        <v>3488</v>
      </c>
      <c r="B2547" s="17" t="s">
        <v>5548</v>
      </c>
      <c r="C2547" s="17" t="s">
        <v>5540</v>
      </c>
      <c r="D2547" s="30" t="s">
        <v>7365</v>
      </c>
      <c r="E2547" s="30" t="s">
        <v>3055</v>
      </c>
      <c r="F2547" s="454">
        <f t="shared" si="1160"/>
        <v>10.85</v>
      </c>
      <c r="G2547" s="529">
        <v>10.85</v>
      </c>
      <c r="H2547" s="487">
        <f t="shared" si="1161"/>
        <v>8.68</v>
      </c>
      <c r="I2547" s="706"/>
      <c r="J2547" s="669" t="s">
        <v>5805</v>
      </c>
      <c r="K2547" s="15"/>
      <c r="L2547"/>
      <c r="M2547" s="49">
        <f t="shared" si="1162"/>
        <v>10.85</v>
      </c>
      <c r="N2547" s="41">
        <v>7.91</v>
      </c>
      <c r="O2547" s="54"/>
      <c r="P2547" s="74"/>
      <c r="Q2547"/>
      <c r="R2547"/>
      <c r="S2547" t="s">
        <v>1017</v>
      </c>
      <c r="T2547" s="178" t="s">
        <v>4180</v>
      </c>
      <c r="U2547" s="75"/>
      <c r="V2547" s="65"/>
      <c r="W2547" s="65"/>
      <c r="X2547" s="65"/>
      <c r="Y2547" s="65"/>
      <c r="Z2547" s="65"/>
      <c r="AA2547" s="65"/>
      <c r="AB2547" s="65"/>
      <c r="AC2547" s="65"/>
      <c r="AD2547" s="91"/>
      <c r="AE2547" s="196"/>
      <c r="AF2547" s="65"/>
      <c r="AG2547" s="91"/>
      <c r="AH2547" s="212" t="str">
        <f>IF(ISERROR(SEARCH("K erstmals 201",D2547)),"",RIGHT(D2547,4))</f>
        <v>2011</v>
      </c>
      <c r="AI2547" s="214" t="str">
        <f t="shared" si="1155"/>
        <v/>
      </c>
      <c r="AJ2547" s="214" t="str">
        <f t="shared" si="1156"/>
        <v/>
      </c>
      <c r="AK2547" s="214" t="str">
        <f t="shared" si="1157"/>
        <v/>
      </c>
      <c r="AL2547" s="214" t="str">
        <f t="shared" si="1158"/>
        <v/>
      </c>
      <c r="AM2547" s="214" t="str">
        <f t="shared" si="1159"/>
        <v/>
      </c>
      <c r="AN2547" s="213" t="str">
        <f t="shared" si="1141"/>
        <v>2011</v>
      </c>
      <c r="AO2547" s="213" t="str">
        <f t="shared" si="1142"/>
        <v>2011</v>
      </c>
      <c r="AP2547" s="213" t="str">
        <f t="shared" si="1143"/>
        <v>2011</v>
      </c>
      <c r="AQ2547" s="215" t="str">
        <f t="shared" si="1144"/>
        <v/>
      </c>
      <c r="AR2547" s="216" t="str">
        <f t="shared" si="1145"/>
        <v>BiK84K11----08</v>
      </c>
      <c r="AS2547" s="215" t="str">
        <f t="shared" si="1146"/>
        <v/>
      </c>
      <c r="AT2547">
        <f t="shared" si="1147"/>
        <v>14</v>
      </c>
      <c r="AU2547" s="216" t="str">
        <f t="shared" si="1148"/>
        <v>5-20 MW, Bonusregel K erstmals 2011</v>
      </c>
      <c r="AV2547" s="215" t="str">
        <f t="shared" si="1149"/>
        <v/>
      </c>
      <c r="AW2547" s="216" t="str">
        <f t="shared" si="1150"/>
        <v>Anteil KWK, erstmals 2011</v>
      </c>
      <c r="AX2547" s="215" t="str">
        <f t="shared" si="1151"/>
        <v/>
      </c>
      <c r="AY2547" t="str">
        <f t="shared" si="1152"/>
        <v>x</v>
      </c>
      <c r="AZ2547" t="str">
        <f t="shared" si="1153"/>
        <v/>
      </c>
    </row>
    <row r="2548" spans="1:52" s="178" customFormat="1" x14ac:dyDescent="0.25">
      <c r="A2548" s="625" t="s">
        <v>1920</v>
      </c>
      <c r="B2548" s="221" t="s">
        <v>5548</v>
      </c>
      <c r="C2548" s="221" t="s">
        <v>5540</v>
      </c>
      <c r="D2548" s="219" t="s">
        <v>7366</v>
      </c>
      <c r="E2548" s="219" t="s">
        <v>1980</v>
      </c>
      <c r="F2548" s="455">
        <f t="shared" si="1160"/>
        <v>10.82</v>
      </c>
      <c r="G2548" s="530">
        <v>10.82</v>
      </c>
      <c r="H2548" s="488">
        <f t="shared" si="1161"/>
        <v>8.66</v>
      </c>
      <c r="I2548" s="707"/>
      <c r="J2548" s="669" t="s">
        <v>5805</v>
      </c>
      <c r="K2548" s="15"/>
      <c r="L2548"/>
      <c r="M2548" s="49">
        <f t="shared" si="1162"/>
        <v>10.82</v>
      </c>
      <c r="N2548" s="41">
        <v>7.91</v>
      </c>
      <c r="O2548" s="54"/>
      <c r="P2548" s="74"/>
      <c r="Q2548"/>
      <c r="R2548"/>
      <c r="S2548" t="s">
        <v>4180</v>
      </c>
      <c r="T2548" s="178" t="s">
        <v>1017</v>
      </c>
      <c r="U2548" s="75"/>
      <c r="V2548" s="65"/>
      <c r="W2548" s="65"/>
      <c r="X2548" s="65"/>
      <c r="Y2548" s="65"/>
      <c r="Z2548" s="65"/>
      <c r="AA2548" s="65"/>
      <c r="AB2548" s="65"/>
      <c r="AC2548" s="65"/>
      <c r="AD2548" s="91"/>
      <c r="AE2548" s="196"/>
      <c r="AF2548" s="65"/>
      <c r="AG2548" s="91"/>
      <c r="AH2548" s="217" t="s">
        <v>4179</v>
      </c>
      <c r="AI2548" s="214" t="str">
        <f t="shared" si="1155"/>
        <v/>
      </c>
      <c r="AJ2548" s="214" t="str">
        <f t="shared" si="1156"/>
        <v/>
      </c>
      <c r="AK2548" s="214" t="str">
        <f t="shared" si="1157"/>
        <v/>
      </c>
      <c r="AL2548" s="214" t="str">
        <f t="shared" si="1158"/>
        <v/>
      </c>
      <c r="AM2548" s="214" t="str">
        <f t="shared" si="1159"/>
        <v/>
      </c>
      <c r="AN2548" s="213" t="str">
        <f t="shared" si="1141"/>
        <v>2012</v>
      </c>
      <c r="AO2548" s="213" t="str">
        <f t="shared" si="1142"/>
        <v>2012</v>
      </c>
      <c r="AP2548" s="213" t="str">
        <f t="shared" si="1143"/>
        <v>2012</v>
      </c>
      <c r="AQ2548" s="215" t="str">
        <f t="shared" si="1144"/>
        <v/>
      </c>
      <c r="AR2548" s="216" t="str">
        <f t="shared" si="1145"/>
        <v>BiK84K12----08</v>
      </c>
      <c r="AS2548" s="215" t="str">
        <f t="shared" si="1146"/>
        <v/>
      </c>
      <c r="AT2548">
        <f t="shared" si="1147"/>
        <v>14</v>
      </c>
      <c r="AU2548" s="216" t="str">
        <f t="shared" si="1148"/>
        <v>5-20 MW, Bonusregel K erstmals 2012</v>
      </c>
      <c r="AV2548" s="215" t="str">
        <f t="shared" si="1149"/>
        <v/>
      </c>
      <c r="AW2548" s="216" t="str">
        <f t="shared" si="1150"/>
        <v>Anteil KWK, erstmals 2012</v>
      </c>
      <c r="AX2548" s="215" t="str">
        <f t="shared" si="1151"/>
        <v/>
      </c>
      <c r="AY2548" t="str">
        <f t="shared" si="1152"/>
        <v/>
      </c>
      <c r="AZ2548" t="str">
        <f t="shared" si="1153"/>
        <v>x</v>
      </c>
    </row>
    <row r="2549" spans="1:52" s="178" customFormat="1" x14ac:dyDescent="0.25">
      <c r="A2549" s="608" t="s">
        <v>4846</v>
      </c>
      <c r="B2549" s="1" t="s">
        <v>5548</v>
      </c>
      <c r="C2549" s="2" t="s">
        <v>5540</v>
      </c>
      <c r="D2549" s="34" t="s">
        <v>7391</v>
      </c>
      <c r="E2549" s="2" t="s">
        <v>4180</v>
      </c>
      <c r="F2549" s="456">
        <f t="shared" si="1160"/>
        <v>3.66</v>
      </c>
      <c r="G2549" s="531">
        <v>3.66</v>
      </c>
      <c r="H2549" s="489">
        <f t="shared" si="1161"/>
        <v>2.93</v>
      </c>
      <c r="I2549" s="708"/>
      <c r="J2549" s="669" t="s">
        <v>5805</v>
      </c>
      <c r="K2549" s="15"/>
      <c r="L2549"/>
      <c r="M2549" s="49">
        <f t="shared" si="1162"/>
        <v>3.66</v>
      </c>
      <c r="N2549" s="41">
        <v>3.66</v>
      </c>
      <c r="O2549" s="54"/>
      <c r="P2549" s="74"/>
      <c r="Q2549" s="12"/>
      <c r="R2549" s="12"/>
      <c r="S2549" s="12" t="s">
        <v>4180</v>
      </c>
      <c r="T2549" s="178" t="s">
        <v>4180</v>
      </c>
      <c r="U2549" s="75"/>
      <c r="V2549" s="65"/>
      <c r="W2549" s="65"/>
      <c r="X2549" s="65"/>
      <c r="Y2549" s="65"/>
      <c r="Z2549" s="65"/>
      <c r="AA2549" s="65"/>
      <c r="AB2549" s="65"/>
      <c r="AC2549" s="65"/>
      <c r="AD2549" s="91"/>
      <c r="AE2549" s="196"/>
      <c r="AF2549" s="65"/>
      <c r="AG2549" s="91"/>
      <c r="AH2549" s="212" t="str">
        <f>IF(ISERROR(SEARCH("K erstmals 201",D2549)),"",RIGHT(D2549,4))</f>
        <v/>
      </c>
      <c r="AI2549" s="214" t="str">
        <f t="shared" si="1155"/>
        <v/>
      </c>
      <c r="AJ2549" s="214" t="str">
        <f t="shared" si="1156"/>
        <v/>
      </c>
      <c r="AK2549" s="214" t="str">
        <f t="shared" si="1157"/>
        <v/>
      </c>
      <c r="AL2549" s="214" t="str">
        <f t="shared" si="1158"/>
        <v/>
      </c>
      <c r="AM2549" s="214" t="str">
        <f t="shared" si="1159"/>
        <v/>
      </c>
      <c r="AN2549" s="213" t="str">
        <f t="shared" si="1141"/>
        <v/>
      </c>
      <c r="AO2549" s="213" t="str">
        <f t="shared" si="1142"/>
        <v/>
      </c>
      <c r="AP2549" s="213" t="str">
        <f t="shared" si="1143"/>
        <v/>
      </c>
      <c r="AQ2549" s="215" t="str">
        <f t="shared" ref="AQ2549:AQ2553" si="1165">IF(OR(AH2549&lt;&gt;AN2549,AH2549&lt;&gt;AO2549,AH2549&lt;&gt;AP2549),"DIFF","")</f>
        <v/>
      </c>
      <c r="AR2549" s="216" t="str">
        <f t="shared" si="1145"/>
        <v>BiK85-------08</v>
      </c>
      <c r="AS2549" s="215" t="str">
        <f t="shared" ref="AS2549:AS2553" si="1166">IF(OR(A2549&lt;&gt;AR2549),"DIFF","")</f>
        <v/>
      </c>
      <c r="AT2549">
        <f t="shared" si="1147"/>
        <v>14</v>
      </c>
      <c r="AU2549" s="216" t="str">
        <f t="shared" si="1148"/>
        <v>&lt; 20 MW, Altholz</v>
      </c>
      <c r="AV2549" s="215" t="str">
        <f t="shared" ref="AV2549:AV2553" si="1167">IF(OR(D2549&lt;&gt;AU2549),"DIFF","")</f>
        <v/>
      </c>
      <c r="AW2549" s="216" t="str">
        <f t="shared" si="1150"/>
        <v/>
      </c>
      <c r="AX2549" s="215" t="str">
        <f t="shared" ref="AX2549:AX2553" si="1168">IF(OR(E2549&lt;&gt;AW2549),"DIFF","")</f>
        <v/>
      </c>
      <c r="AY2549" t="str">
        <f t="shared" si="1152"/>
        <v/>
      </c>
      <c r="AZ2549" t="str">
        <f t="shared" si="1153"/>
        <v/>
      </c>
    </row>
    <row r="2550" spans="1:52" s="178" customFormat="1" x14ac:dyDescent="0.25">
      <c r="A2550" s="610" t="s">
        <v>965</v>
      </c>
      <c r="B2550" s="17" t="s">
        <v>5548</v>
      </c>
      <c r="C2550" s="21" t="s">
        <v>5540</v>
      </c>
      <c r="D2550" s="21" t="s">
        <v>7392</v>
      </c>
      <c r="E2550" s="17" t="s">
        <v>674</v>
      </c>
      <c r="F2550" s="454">
        <f t="shared" si="1160"/>
        <v>6.66</v>
      </c>
      <c r="G2550" s="529">
        <v>6.66</v>
      </c>
      <c r="H2550" s="487">
        <f t="shared" si="1161"/>
        <v>5.33</v>
      </c>
      <c r="I2550" s="706"/>
      <c r="J2550" s="669" t="s">
        <v>5805</v>
      </c>
      <c r="K2550" s="15"/>
      <c r="L2550"/>
      <c r="M2550" s="49">
        <f t="shared" si="1162"/>
        <v>6.66</v>
      </c>
      <c r="N2550" s="41">
        <v>3.66</v>
      </c>
      <c r="O2550" s="54"/>
      <c r="P2550" s="74"/>
      <c r="Q2550" s="12" t="s">
        <v>1017</v>
      </c>
      <c r="R2550" s="12"/>
      <c r="S2550" s="12" t="s">
        <v>4180</v>
      </c>
      <c r="T2550" s="178" t="s">
        <v>4180</v>
      </c>
      <c r="U2550" s="75"/>
      <c r="V2550" s="65"/>
      <c r="W2550" s="65"/>
      <c r="X2550" s="65"/>
      <c r="Y2550" s="65"/>
      <c r="Z2550" s="65"/>
      <c r="AA2550" s="65"/>
      <c r="AB2550" s="65"/>
      <c r="AC2550" s="65"/>
      <c r="AD2550" s="91"/>
      <c r="AE2550" s="196"/>
      <c r="AF2550" s="65"/>
      <c r="AG2550" s="91"/>
      <c r="AH2550" s="212" t="str">
        <f>IF(ISERROR(SEARCH("K erstmals 201",D2550)),"",RIGHT(D2550,4))</f>
        <v/>
      </c>
      <c r="AI2550" s="214" t="str">
        <f t="shared" ref="AI2550:AI2553" si="1169">IF(AND($AH2550&lt;&gt;"",AH2550 =AH2549),"Gleich","")</f>
        <v/>
      </c>
      <c r="AJ2550" s="214" t="str">
        <f t="shared" si="1156"/>
        <v/>
      </c>
      <c r="AK2550" s="214" t="str">
        <f t="shared" si="1157"/>
        <v/>
      </c>
      <c r="AL2550" s="214" t="str">
        <f t="shared" si="1158"/>
        <v/>
      </c>
      <c r="AM2550" s="214" t="str">
        <f t="shared" si="1159"/>
        <v/>
      </c>
      <c r="AN2550" s="213" t="str">
        <f t="shared" si="1141"/>
        <v/>
      </c>
      <c r="AO2550" s="213" t="str">
        <f t="shared" si="1142"/>
        <v/>
      </c>
      <c r="AP2550" s="213" t="str">
        <f t="shared" si="1143"/>
        <v/>
      </c>
      <c r="AQ2550" s="215" t="str">
        <f t="shared" si="1165"/>
        <v/>
      </c>
      <c r="AR2550" s="216" t="str">
        <f t="shared" si="1145"/>
        <v>BiK85K09----08</v>
      </c>
      <c r="AS2550" s="215" t="str">
        <f t="shared" si="1166"/>
        <v/>
      </c>
      <c r="AT2550">
        <f t="shared" si="1147"/>
        <v>14</v>
      </c>
      <c r="AU2550" s="216" t="str">
        <f t="shared" si="1148"/>
        <v>&lt; 20 MW, Altholz, Bonusregel K erstmals 2009</v>
      </c>
      <c r="AV2550" s="215" t="str">
        <f t="shared" si="1167"/>
        <v/>
      </c>
      <c r="AW2550" s="216" t="str">
        <f t="shared" si="1150"/>
        <v>Anteil KWK, erstmals 2009</v>
      </c>
      <c r="AX2550" s="215" t="str">
        <f t="shared" si="1168"/>
        <v/>
      </c>
      <c r="AY2550" t="str">
        <f t="shared" si="1152"/>
        <v/>
      </c>
      <c r="AZ2550" t="str">
        <f t="shared" si="1153"/>
        <v/>
      </c>
    </row>
    <row r="2551" spans="1:52" s="178" customFormat="1" x14ac:dyDescent="0.25">
      <c r="A2551" s="610" t="s">
        <v>3284</v>
      </c>
      <c r="B2551" s="17" t="s">
        <v>5548</v>
      </c>
      <c r="C2551" s="21" t="s">
        <v>5540</v>
      </c>
      <c r="D2551" s="21" t="s">
        <v>7388</v>
      </c>
      <c r="E2551" s="30" t="s">
        <v>3567</v>
      </c>
      <c r="F2551" s="454">
        <f t="shared" si="1160"/>
        <v>6.6300000000000008</v>
      </c>
      <c r="G2551" s="529">
        <v>6.6300000000000008</v>
      </c>
      <c r="H2551" s="487">
        <f t="shared" si="1161"/>
        <v>5.3</v>
      </c>
      <c r="I2551" s="706"/>
      <c r="J2551" s="669" t="s">
        <v>5805</v>
      </c>
      <c r="K2551" s="15"/>
      <c r="L2551"/>
      <c r="M2551" s="49">
        <f t="shared" si="1162"/>
        <v>6.6300000000000008</v>
      </c>
      <c r="N2551" s="41">
        <v>3.66</v>
      </c>
      <c r="O2551" s="54"/>
      <c r="P2551" s="74"/>
      <c r="Q2551" s="12"/>
      <c r="R2551" s="12" t="s">
        <v>1017</v>
      </c>
      <c r="S2551" s="12" t="s">
        <v>4180</v>
      </c>
      <c r="T2551" s="178" t="s">
        <v>4180</v>
      </c>
      <c r="U2551" s="75"/>
      <c r="V2551" s="65"/>
      <c r="W2551" s="65"/>
      <c r="X2551" s="65"/>
      <c r="Y2551" s="65"/>
      <c r="Z2551" s="65"/>
      <c r="AA2551" s="65"/>
      <c r="AB2551" s="65"/>
      <c r="AC2551" s="65"/>
      <c r="AD2551" s="91"/>
      <c r="AE2551" s="196"/>
      <c r="AF2551" s="65"/>
      <c r="AG2551" s="91"/>
      <c r="AH2551" s="212" t="str">
        <f>IF(ISERROR(SEARCH("K erstmals 201",D2551)),"",RIGHT(D2551,4))</f>
        <v>2010</v>
      </c>
      <c r="AI2551" s="214" t="str">
        <f t="shared" si="1169"/>
        <v/>
      </c>
      <c r="AJ2551" s="214" t="str">
        <f t="shared" si="1156"/>
        <v/>
      </c>
      <c r="AK2551" s="214" t="str">
        <f t="shared" si="1157"/>
        <v/>
      </c>
      <c r="AL2551" s="214" t="str">
        <f t="shared" si="1158"/>
        <v/>
      </c>
      <c r="AM2551" s="214" t="str">
        <f t="shared" si="1159"/>
        <v/>
      </c>
      <c r="AN2551" s="213" t="str">
        <f t="shared" si="1141"/>
        <v>2010</v>
      </c>
      <c r="AO2551" s="213" t="str">
        <f t="shared" si="1142"/>
        <v>2010</v>
      </c>
      <c r="AP2551" s="213" t="str">
        <f t="shared" si="1143"/>
        <v>2010</v>
      </c>
      <c r="AQ2551" s="215" t="str">
        <f t="shared" si="1165"/>
        <v/>
      </c>
      <c r="AR2551" s="216" t="str">
        <f t="shared" si="1145"/>
        <v>BiK85K10----08</v>
      </c>
      <c r="AS2551" s="215" t="str">
        <f t="shared" si="1166"/>
        <v/>
      </c>
      <c r="AT2551">
        <f t="shared" si="1147"/>
        <v>14</v>
      </c>
      <c r="AU2551" s="216" t="str">
        <f t="shared" si="1148"/>
        <v>&lt; 20 MW, Altholz, Bonusregel K erstmals 2010</v>
      </c>
      <c r="AV2551" s="215" t="str">
        <f t="shared" si="1167"/>
        <v/>
      </c>
      <c r="AW2551" s="216" t="str">
        <f t="shared" si="1150"/>
        <v>Anteil KWK, erstmals 2010</v>
      </c>
      <c r="AX2551" s="215" t="str">
        <f t="shared" si="1168"/>
        <v/>
      </c>
      <c r="AY2551" t="str">
        <f t="shared" si="1152"/>
        <v/>
      </c>
      <c r="AZ2551" t="str">
        <f t="shared" si="1153"/>
        <v/>
      </c>
    </row>
    <row r="2552" spans="1:52" s="178" customFormat="1" x14ac:dyDescent="0.25">
      <c r="A2552" s="610" t="s">
        <v>3489</v>
      </c>
      <c r="B2552" s="17" t="s">
        <v>5548</v>
      </c>
      <c r="C2552" s="21" t="s">
        <v>5540</v>
      </c>
      <c r="D2552" s="21" t="s">
        <v>7389</v>
      </c>
      <c r="E2552" s="30" t="s">
        <v>3055</v>
      </c>
      <c r="F2552" s="454">
        <f t="shared" si="1160"/>
        <v>6.6</v>
      </c>
      <c r="G2552" s="529">
        <v>6.6</v>
      </c>
      <c r="H2552" s="487">
        <f t="shared" si="1161"/>
        <v>5.28</v>
      </c>
      <c r="I2552" s="706"/>
      <c r="J2552" s="669" t="s">
        <v>5805</v>
      </c>
      <c r="K2552" s="15"/>
      <c r="L2552"/>
      <c r="M2552" s="49">
        <f t="shared" si="1162"/>
        <v>6.6</v>
      </c>
      <c r="N2552" s="41">
        <v>3.66</v>
      </c>
      <c r="O2552" s="54"/>
      <c r="P2552" s="74"/>
      <c r="Q2552" s="12"/>
      <c r="R2552" s="12"/>
      <c r="S2552" s="12" t="s">
        <v>1017</v>
      </c>
      <c r="T2552" s="178" t="s">
        <v>4180</v>
      </c>
      <c r="U2552" s="75"/>
      <c r="V2552" s="65"/>
      <c r="W2552" s="65"/>
      <c r="X2552" s="65"/>
      <c r="Y2552" s="65"/>
      <c r="Z2552" s="65"/>
      <c r="AA2552" s="65"/>
      <c r="AB2552" s="65"/>
      <c r="AC2552" s="65"/>
      <c r="AD2552" s="91"/>
      <c r="AE2552" s="196"/>
      <c r="AF2552" s="65"/>
      <c r="AG2552" s="91"/>
      <c r="AH2552" s="212" t="str">
        <f>IF(ISERROR(SEARCH("K erstmals 201",D2552)),"",RIGHT(D2552,4))</f>
        <v>2011</v>
      </c>
      <c r="AI2552" s="214" t="str">
        <f t="shared" si="1169"/>
        <v/>
      </c>
      <c r="AJ2552" s="214" t="str">
        <f t="shared" si="1156"/>
        <v/>
      </c>
      <c r="AK2552" s="214" t="str">
        <f t="shared" si="1157"/>
        <v/>
      </c>
      <c r="AL2552" s="214" t="str">
        <f t="shared" si="1158"/>
        <v/>
      </c>
      <c r="AM2552" s="214" t="str">
        <f t="shared" si="1159"/>
        <v/>
      </c>
      <c r="AN2552" s="213" t="str">
        <f t="shared" si="1141"/>
        <v>2011</v>
      </c>
      <c r="AO2552" s="213" t="str">
        <f t="shared" si="1142"/>
        <v>2011</v>
      </c>
      <c r="AP2552" s="213" t="str">
        <f t="shared" si="1143"/>
        <v>2011</v>
      </c>
      <c r="AQ2552" s="215" t="str">
        <f t="shared" si="1165"/>
        <v/>
      </c>
      <c r="AR2552" s="216" t="str">
        <f t="shared" si="1145"/>
        <v>BiK85K11----08</v>
      </c>
      <c r="AS2552" s="215" t="str">
        <f t="shared" si="1166"/>
        <v/>
      </c>
      <c r="AT2552">
        <f t="shared" si="1147"/>
        <v>14</v>
      </c>
      <c r="AU2552" s="216" t="str">
        <f t="shared" si="1148"/>
        <v>&lt; 20 MW, Altholz, Bonusregel K erstmals 2011</v>
      </c>
      <c r="AV2552" s="215" t="str">
        <f t="shared" si="1167"/>
        <v/>
      </c>
      <c r="AW2552" s="216" t="str">
        <f t="shared" si="1150"/>
        <v>Anteil KWK, erstmals 2011</v>
      </c>
      <c r="AX2552" s="215" t="str">
        <f t="shared" si="1168"/>
        <v/>
      </c>
      <c r="AY2552" t="str">
        <f t="shared" si="1152"/>
        <v>x</v>
      </c>
      <c r="AZ2552" t="str">
        <f t="shared" si="1153"/>
        <v/>
      </c>
    </row>
    <row r="2553" spans="1:52" s="178" customFormat="1" x14ac:dyDescent="0.25">
      <c r="A2553" s="625" t="s">
        <v>1921</v>
      </c>
      <c r="B2553" s="221" t="s">
        <v>5548</v>
      </c>
      <c r="C2553" s="220" t="s">
        <v>5540</v>
      </c>
      <c r="D2553" s="220" t="s">
        <v>7390</v>
      </c>
      <c r="E2553" s="219" t="s">
        <v>1980</v>
      </c>
      <c r="F2553" s="455">
        <f t="shared" si="1160"/>
        <v>6.57</v>
      </c>
      <c r="G2553" s="530">
        <v>6.57</v>
      </c>
      <c r="H2553" s="488">
        <f t="shared" si="1161"/>
        <v>5.26</v>
      </c>
      <c r="I2553" s="707"/>
      <c r="J2553" s="669" t="s">
        <v>5805</v>
      </c>
      <c r="K2553" s="15"/>
      <c r="L2553"/>
      <c r="M2553" s="49">
        <f t="shared" si="1162"/>
        <v>6.57</v>
      </c>
      <c r="N2553" s="41">
        <v>3.66</v>
      </c>
      <c r="O2553" s="54"/>
      <c r="P2553" s="74"/>
      <c r="Q2553" s="12"/>
      <c r="R2553" s="12"/>
      <c r="S2553" s="12" t="s">
        <v>4180</v>
      </c>
      <c r="T2553" s="178" t="s">
        <v>1017</v>
      </c>
      <c r="U2553" s="75"/>
      <c r="V2553" s="65"/>
      <c r="W2553" s="65"/>
      <c r="X2553" s="65"/>
      <c r="Y2553" s="65"/>
      <c r="Z2553" s="65"/>
      <c r="AA2553" s="65"/>
      <c r="AB2553" s="65"/>
      <c r="AC2553" s="65"/>
      <c r="AD2553" s="91"/>
      <c r="AE2553" s="196"/>
      <c r="AF2553" s="65"/>
      <c r="AG2553" s="91"/>
      <c r="AH2553" s="217" t="s">
        <v>4179</v>
      </c>
      <c r="AI2553" s="214" t="str">
        <f t="shared" si="1169"/>
        <v/>
      </c>
      <c r="AJ2553" s="214" t="str">
        <f t="shared" si="1156"/>
        <v/>
      </c>
      <c r="AK2553" s="214" t="str">
        <f t="shared" si="1157"/>
        <v/>
      </c>
      <c r="AL2553" s="214" t="str">
        <f t="shared" si="1158"/>
        <v/>
      </c>
      <c r="AM2553" s="214" t="str">
        <f t="shared" si="1159"/>
        <v/>
      </c>
      <c r="AN2553" s="213" t="str">
        <f t="shared" si="1141"/>
        <v>2012</v>
      </c>
      <c r="AO2553" s="213" t="str">
        <f t="shared" si="1142"/>
        <v>2012</v>
      </c>
      <c r="AP2553" s="213" t="str">
        <f t="shared" si="1143"/>
        <v>2012</v>
      </c>
      <c r="AQ2553" s="215" t="str">
        <f t="shared" si="1165"/>
        <v/>
      </c>
      <c r="AR2553" s="216" t="str">
        <f t="shared" si="1145"/>
        <v>BiK85K12----08</v>
      </c>
      <c r="AS2553" s="215" t="str">
        <f t="shared" si="1166"/>
        <v/>
      </c>
      <c r="AT2553">
        <f t="shared" si="1147"/>
        <v>14</v>
      </c>
      <c r="AU2553" s="216" t="str">
        <f t="shared" si="1148"/>
        <v>&lt; 20 MW, Altholz, Bonusregel K erstmals 2012</v>
      </c>
      <c r="AV2553" s="215" t="str">
        <f t="shared" si="1167"/>
        <v/>
      </c>
      <c r="AW2553" s="216" t="str">
        <f t="shared" si="1150"/>
        <v>Anteil KWK, erstmals 2012</v>
      </c>
      <c r="AX2553" s="215" t="str">
        <f t="shared" si="1168"/>
        <v/>
      </c>
      <c r="AY2553" t="str">
        <f t="shared" si="1152"/>
        <v/>
      </c>
      <c r="AZ2553" t="str">
        <f t="shared" si="1153"/>
        <v>x</v>
      </c>
    </row>
    <row r="2554" spans="1:52" x14ac:dyDescent="0.25">
      <c r="A2554" s="254"/>
      <c r="G2554" s="537"/>
      <c r="J2554" s="669" t="s">
        <v>4180</v>
      </c>
    </row>
    <row r="2555" spans="1:52" x14ac:dyDescent="0.25">
      <c r="A2555" s="615" t="s">
        <v>5636</v>
      </c>
      <c r="B2555" s="375" t="s">
        <v>5548</v>
      </c>
      <c r="C2555" s="375" t="s">
        <v>5540</v>
      </c>
      <c r="D2555" s="375" t="s">
        <v>6859</v>
      </c>
      <c r="E2555" s="375" t="s">
        <v>2827</v>
      </c>
      <c r="F2555" s="459">
        <f t="shared" ref="F2555:F2569" si="1170">M2555</f>
        <v>26.55</v>
      </c>
      <c r="G2555" s="535">
        <f t="shared" ref="G2555:G2569" si="1171">F2555</f>
        <v>26.55</v>
      </c>
      <c r="H2555" s="500">
        <f t="shared" ref="H2555:H2569" si="1172">IF(ISNUMBER(G2555),ROUND(0.8*G2555,2),"")</f>
        <v>21.24</v>
      </c>
      <c r="I2555" s="711"/>
      <c r="J2555" s="669" t="s">
        <v>5805</v>
      </c>
      <c r="K2555" s="15"/>
      <c r="M2555" s="387">
        <f t="shared" ref="M2555:M2569" si="1173">N2555+SUMIF(U2555:AG2555,"x",U$1741:AG$1741)+T2555</f>
        <v>26.55</v>
      </c>
      <c r="N2555" s="41">
        <v>11.67</v>
      </c>
      <c r="O2555" s="391"/>
      <c r="P2555" s="392" t="s">
        <v>2828</v>
      </c>
      <c r="Q2555" s="392"/>
      <c r="R2555" s="392">
        <v>2013</v>
      </c>
      <c r="S2555" s="392"/>
      <c r="T2555" s="674">
        <f t="shared" ref="T2555:T2569" si="1174">ROUND($Q$2170*0.99^($R2555-$Q$2167),2)</f>
        <v>2.88</v>
      </c>
      <c r="U2555" s="185" t="s">
        <v>1017</v>
      </c>
      <c r="V2555" s="184"/>
      <c r="W2555" s="180"/>
      <c r="X2555" s="180"/>
      <c r="Y2555" s="178"/>
      <c r="Z2555" s="184" t="s">
        <v>1017</v>
      </c>
      <c r="AA2555" s="180"/>
      <c r="AB2555" s="184"/>
      <c r="AC2555" s="184"/>
      <c r="AD2555" s="201"/>
      <c r="AE2555" s="181"/>
      <c r="AF2555" s="180"/>
      <c r="AG2555" s="201"/>
      <c r="AH2555" s="217"/>
      <c r="AI2555" s="214"/>
      <c r="AJ2555" s="214"/>
      <c r="AK2555" s="214"/>
      <c r="AL2555" s="214"/>
      <c r="AM2555" s="214"/>
      <c r="AN2555" s="213"/>
      <c r="AO2555" s="213"/>
      <c r="AP2555" s="213"/>
      <c r="AQ2555" s="215"/>
      <c r="AR2555" s="216"/>
      <c r="AS2555" s="215"/>
      <c r="AU2555" s="216"/>
      <c r="AV2555" s="215"/>
      <c r="AW2555" s="216"/>
      <c r="AX2555" s="215"/>
    </row>
    <row r="2556" spans="1:52" x14ac:dyDescent="0.25">
      <c r="A2556" s="615" t="s">
        <v>5635</v>
      </c>
      <c r="B2556" s="375" t="s">
        <v>5548</v>
      </c>
      <c r="C2556" s="375" t="s">
        <v>5540</v>
      </c>
      <c r="D2556" s="375" t="s">
        <v>7083</v>
      </c>
      <c r="E2556" s="375" t="s">
        <v>2827</v>
      </c>
      <c r="F2556" s="459">
        <f t="shared" si="1170"/>
        <v>21.2</v>
      </c>
      <c r="G2556" s="535">
        <f t="shared" si="1171"/>
        <v>21.2</v>
      </c>
      <c r="H2556" s="500">
        <f t="shared" si="1172"/>
        <v>16.96</v>
      </c>
      <c r="I2556" s="711"/>
      <c r="J2556" s="669" t="s">
        <v>5805</v>
      </c>
      <c r="K2556" s="15"/>
      <c r="M2556" s="387">
        <f t="shared" si="1173"/>
        <v>21.2</v>
      </c>
      <c r="N2556" s="41">
        <v>9.32</v>
      </c>
      <c r="O2556" s="391"/>
      <c r="P2556" s="392" t="s">
        <v>2828</v>
      </c>
      <c r="Q2556" s="392"/>
      <c r="R2556" s="392">
        <v>2013</v>
      </c>
      <c r="S2556" s="392"/>
      <c r="T2556" s="674">
        <f t="shared" si="1174"/>
        <v>2.88</v>
      </c>
      <c r="U2556" s="185" t="s">
        <v>1017</v>
      </c>
      <c r="V2556" s="184"/>
      <c r="W2556" s="180"/>
      <c r="X2556" s="180"/>
      <c r="Y2556" s="178"/>
      <c r="Z2556" s="180"/>
      <c r="AA2556" s="184" t="s">
        <v>1017</v>
      </c>
      <c r="AB2556" s="184"/>
      <c r="AC2556" s="180"/>
      <c r="AD2556" s="182"/>
      <c r="AE2556" s="181"/>
      <c r="AF2556" s="180"/>
      <c r="AG2556" s="201"/>
      <c r="AH2556" s="217"/>
      <c r="AI2556" s="214"/>
      <c r="AJ2556" s="214"/>
      <c r="AK2556" s="214"/>
      <c r="AL2556" s="214"/>
      <c r="AM2556" s="214"/>
      <c r="AN2556" s="213"/>
      <c r="AO2556" s="213"/>
      <c r="AP2556" s="213"/>
      <c r="AQ2556" s="215"/>
      <c r="AR2556" s="216"/>
      <c r="AS2556" s="215"/>
      <c r="AU2556" s="216"/>
      <c r="AV2556" s="215"/>
      <c r="AW2556" s="216"/>
      <c r="AX2556" s="215"/>
    </row>
    <row r="2557" spans="1:52" s="178" customFormat="1" x14ac:dyDescent="0.25">
      <c r="A2557" s="615" t="s">
        <v>5634</v>
      </c>
      <c r="B2557" s="375" t="s">
        <v>5548</v>
      </c>
      <c r="C2557" s="375" t="s">
        <v>5540</v>
      </c>
      <c r="D2557" s="375" t="s">
        <v>6805</v>
      </c>
      <c r="E2557" s="375" t="s">
        <v>2827</v>
      </c>
      <c r="F2557" s="459">
        <f t="shared" si="1170"/>
        <v>15.260000000000002</v>
      </c>
      <c r="G2557" s="535">
        <f t="shared" si="1171"/>
        <v>15.260000000000002</v>
      </c>
      <c r="H2557" s="500">
        <f t="shared" si="1172"/>
        <v>12.21</v>
      </c>
      <c r="I2557" s="711"/>
      <c r="J2557" s="669" t="s">
        <v>5805</v>
      </c>
      <c r="K2557" s="15"/>
      <c r="L2557"/>
      <c r="M2557" s="387">
        <f t="shared" si="1173"/>
        <v>15.260000000000002</v>
      </c>
      <c r="N2557" s="41">
        <v>8.3800000000000008</v>
      </c>
      <c r="O2557" s="391"/>
      <c r="P2557" s="392" t="s">
        <v>2828</v>
      </c>
      <c r="Q2557" s="392"/>
      <c r="R2557" s="392">
        <v>2013</v>
      </c>
      <c r="S2557" s="392"/>
      <c r="T2557" s="674">
        <f t="shared" si="1174"/>
        <v>2.88</v>
      </c>
      <c r="U2557" s="75"/>
      <c r="V2557" s="65"/>
      <c r="W2557" t="s">
        <v>1017</v>
      </c>
      <c r="X2557"/>
      <c r="Y2557" s="65"/>
      <c r="Z2557" s="65"/>
      <c r="AA2557" s="65"/>
      <c r="AB2557" s="65"/>
      <c r="AC2557" s="65"/>
      <c r="AD2557" s="91"/>
      <c r="AE2557" s="124"/>
      <c r="AF2557" s="65"/>
      <c r="AG2557" s="91"/>
      <c r="AH2557" s="217" t="s">
        <v>4179</v>
      </c>
      <c r="AI2557" s="214" t="str">
        <f>IF(AND($AH2557&lt;&gt;"",AH2557 =AH2556),"Gleich","")</f>
        <v/>
      </c>
      <c r="AJ2557" s="214" t="str">
        <f>IF(AND($AH2557&lt;&gt;"",A2557 =A2556),"Gleich","")</f>
        <v/>
      </c>
      <c r="AK2557" s="214" t="str">
        <f>IF(AND($AH2557&lt;&gt;"",D2557 =D2556),"Gleich","")</f>
        <v/>
      </c>
      <c r="AL2557" s="214" t="str">
        <f>IF(AND($AH2557&lt;&gt;"",E2557 =E2556),"Gleich","")</f>
        <v>Gleich</v>
      </c>
      <c r="AM2557" s="214" t="str">
        <f>IF(AND($AH2557&lt;&gt;"",F2557 =F2556),"Gleich","")</f>
        <v/>
      </c>
      <c r="AN2557" s="213" t="str">
        <f>IF(ISERROR(SEARCH("K1",A2557)),"","20"&amp;MID(A2557,SEARCH("K1",A2557)+1,2))</f>
        <v>2013</v>
      </c>
      <c r="AO2557" s="213" t="str">
        <f>IF(ISERROR(SEARCH("erstmals 201",E2557)),"",MID(E2557,SEARCH("erstmals ",E2557)+9,4))</f>
        <v>2013</v>
      </c>
      <c r="AP2557" s="213" t="str">
        <f>IF(R2557="x","2010",IF(S2557="x","2011",IF(T2557="x","2012","")))</f>
        <v/>
      </c>
      <c r="AQ2557" s="215" t="str">
        <f>IF(OR(AH2557&lt;&gt;AN2557,AH2557&lt;&gt;AO2557,AH2557&lt;&gt;AP2557),"DIFF","")</f>
        <v>DIFF</v>
      </c>
      <c r="AR2557" s="216" t="str">
        <f>IF(A2557="","",IF(ISERROR(SEARCH("K1",A2557)),A2557,LEFT(A2557,SEARCH("K1",A2557)+1)&amp;RIGHT(AH2557,1)&amp;MID(A2557,SEARCH("K1",A2557)+3,14)))</f>
        <v>BiK83a2K12--08</v>
      </c>
      <c r="AS2557" s="215" t="str">
        <f>IF(OR(A2557&lt;&gt;AR2557),"DIFF","")</f>
        <v>DIFF</v>
      </c>
      <c r="AT2557">
        <f>LEN(AR2557)</f>
        <v>14</v>
      </c>
      <c r="AU2557" s="216" t="str">
        <f>IF(D2557="","",IF(OR(A2557="",ISERROR(SEARCH("erstmals 201",D2557))),D2557,LEFT(D2557,SEARCH("erstmals 201",D2557)+8) &amp; AH2557 &amp; MID(D2557,SEARCH("erstmals 201",D2557)+13,255)))</f>
        <v>0,5-5 MW, Bonusregeln a2 und K erstmals 2012</v>
      </c>
      <c r="AV2557" s="215" t="str">
        <f>IF(OR(D2557&lt;&gt;AU2557),"DIFF","")</f>
        <v>DIFF</v>
      </c>
      <c r="AW2557" s="216" t="str">
        <f>IF(E2557="","",IF(OR(E2557="",ISERROR(SEARCH("erstmals 201",E2557))),E2557,LEFT(E2557,SEARCH("erstmals 201",E2557)+8) &amp; AH2557 &amp; MID(E2557,SEARCH("erstmals 201",E2557)+13,255)))</f>
        <v>Anteil KWK, erstmals 2012</v>
      </c>
      <c r="AX2557" s="215" t="str">
        <f>IF(OR(E2557&lt;&gt;AW2557),"DIFF","")</f>
        <v>DIFF</v>
      </c>
      <c r="AY2557" t="str">
        <f>IF(AH2557="2011","x",IF(AH2557="2012","","" &amp; S2557))</f>
        <v/>
      </c>
      <c r="AZ2557" t="str">
        <f>IF(AH2557="2012","x",IF(AH2557="2011","","" &amp; T2557))</f>
        <v>x</v>
      </c>
    </row>
    <row r="2558" spans="1:52" s="178" customFormat="1" x14ac:dyDescent="0.25">
      <c r="A2558" s="615" t="s">
        <v>7858</v>
      </c>
      <c r="B2558" s="375" t="s">
        <v>5548</v>
      </c>
      <c r="C2558" s="375" t="s">
        <v>5540</v>
      </c>
      <c r="D2558" s="375" t="s">
        <v>7859</v>
      </c>
      <c r="E2558" s="375" t="s">
        <v>5807</v>
      </c>
      <c r="F2558" s="459">
        <f t="shared" si="1170"/>
        <v>15.18</v>
      </c>
      <c r="G2558" s="535">
        <f t="shared" si="1171"/>
        <v>15.18</v>
      </c>
      <c r="H2558" s="500">
        <f t="shared" si="1172"/>
        <v>12.14</v>
      </c>
      <c r="I2558" s="711"/>
      <c r="J2558" s="669">
        <v>44681</v>
      </c>
      <c r="K2558" s="769"/>
      <c r="L2558" s="774"/>
      <c r="M2558" s="387">
        <f t="shared" si="1173"/>
        <v>15.18</v>
      </c>
      <c r="N2558" s="41">
        <v>8.3800000000000008</v>
      </c>
      <c r="O2558" s="391"/>
      <c r="P2558" s="392" t="s">
        <v>2828</v>
      </c>
      <c r="Q2558" s="392"/>
      <c r="R2558" s="392">
        <v>2016</v>
      </c>
      <c r="S2558" s="392"/>
      <c r="T2558" s="674">
        <f t="shared" si="1174"/>
        <v>2.8</v>
      </c>
      <c r="U2558" s="776"/>
      <c r="V2558" s="775"/>
      <c r="W2558" s="774" t="s">
        <v>1017</v>
      </c>
      <c r="X2558" s="774"/>
      <c r="Y2558" s="775"/>
      <c r="Z2558" s="775"/>
      <c r="AA2558" s="775"/>
      <c r="AB2558" s="775"/>
      <c r="AC2558" s="775"/>
      <c r="AD2558" s="777"/>
      <c r="AE2558" s="778"/>
      <c r="AF2558" s="775"/>
      <c r="AG2558" s="777"/>
      <c r="AH2558" s="773"/>
      <c r="AI2558" s="771"/>
      <c r="AJ2558" s="771"/>
      <c r="AK2558" s="771"/>
      <c r="AL2558" s="771"/>
      <c r="AM2558" s="771"/>
      <c r="AN2558" s="770"/>
      <c r="AO2558" s="770"/>
      <c r="AP2558" s="770"/>
      <c r="AQ2558" s="772"/>
      <c r="AR2558" s="216"/>
      <c r="AS2558" s="772"/>
      <c r="AT2558" s="774"/>
      <c r="AU2558" s="216"/>
      <c r="AV2558" s="772"/>
      <c r="AW2558" s="216"/>
      <c r="AX2558" s="772"/>
      <c r="AY2558" s="774"/>
      <c r="AZ2558" s="774"/>
    </row>
    <row r="2559" spans="1:52" s="178" customFormat="1" x14ac:dyDescent="0.25">
      <c r="A2559" s="615" t="s">
        <v>8203</v>
      </c>
      <c r="B2559" s="375" t="s">
        <v>5548</v>
      </c>
      <c r="C2559" s="375" t="s">
        <v>5540</v>
      </c>
      <c r="D2559" s="375" t="s">
        <v>8201</v>
      </c>
      <c r="E2559" s="375" t="s">
        <v>5807</v>
      </c>
      <c r="F2559" s="459">
        <f>M2559</f>
        <v>22.470000000000002</v>
      </c>
      <c r="G2559" s="535">
        <f>F2559</f>
        <v>22.470000000000002</v>
      </c>
      <c r="H2559" s="500">
        <f>IF(ISNUMBER(G2559),ROUND(0.8*G2559,2),"")</f>
        <v>17.98</v>
      </c>
      <c r="I2559" s="711"/>
      <c r="J2559" s="669">
        <v>44896</v>
      </c>
      <c r="K2559" s="769"/>
      <c r="L2559" s="774"/>
      <c r="M2559" s="387">
        <f>N2559+SUMIF(U2559:AG2559,"x",U$1741:AG$1741)+T2559</f>
        <v>22.470000000000002</v>
      </c>
      <c r="N2559" s="41">
        <v>11.67</v>
      </c>
      <c r="O2559" s="391"/>
      <c r="P2559" s="392" t="s">
        <v>2828</v>
      </c>
      <c r="Q2559" s="392"/>
      <c r="R2559" s="392">
        <v>2016</v>
      </c>
      <c r="S2559" s="392"/>
      <c r="T2559" s="674">
        <f>ROUND($Q$2170*0.99^($R2559-$Q$2167),2)</f>
        <v>2.8</v>
      </c>
      <c r="U2559" s="185" t="s">
        <v>1017</v>
      </c>
      <c r="V2559" s="184"/>
      <c r="W2559" s="180"/>
      <c r="X2559" s="180"/>
      <c r="Y2559" s="184" t="s">
        <v>1017</v>
      </c>
      <c r="Z2559" s="184"/>
      <c r="AA2559" s="180"/>
      <c r="AB2559" s="184"/>
      <c r="AC2559" s="184"/>
      <c r="AD2559" s="201"/>
      <c r="AE2559" s="181"/>
      <c r="AF2559" s="180"/>
      <c r="AG2559" s="201"/>
      <c r="AH2559" s="773"/>
      <c r="AI2559" s="771"/>
      <c r="AJ2559" s="771"/>
      <c r="AK2559" s="771"/>
      <c r="AL2559" s="771"/>
      <c r="AM2559" s="771"/>
      <c r="AN2559" s="770"/>
      <c r="AO2559" s="770"/>
      <c r="AP2559" s="770"/>
      <c r="AQ2559" s="772"/>
      <c r="AR2559" s="216"/>
      <c r="AS2559" s="772"/>
      <c r="AT2559" s="774"/>
      <c r="AU2559" s="216"/>
      <c r="AV2559" s="772"/>
      <c r="AW2559" s="216"/>
      <c r="AX2559" s="772"/>
      <c r="AY2559" s="774"/>
      <c r="AZ2559" s="774"/>
    </row>
    <row r="2560" spans="1:52" s="178" customFormat="1" x14ac:dyDescent="0.25">
      <c r="A2560" s="615" t="s">
        <v>6184</v>
      </c>
      <c r="B2560" s="375" t="s">
        <v>5548</v>
      </c>
      <c r="C2560" s="375" t="s">
        <v>5540</v>
      </c>
      <c r="D2560" s="375" t="s">
        <v>7022</v>
      </c>
      <c r="E2560" s="375" t="s">
        <v>5807</v>
      </c>
      <c r="F2560" s="459">
        <f t="shared" si="1170"/>
        <v>26.470000000000002</v>
      </c>
      <c r="G2560" s="535">
        <f t="shared" si="1171"/>
        <v>26.470000000000002</v>
      </c>
      <c r="H2560" s="500">
        <f t="shared" si="1172"/>
        <v>21.18</v>
      </c>
      <c r="I2560" s="711"/>
      <c r="J2560" s="669">
        <v>42993</v>
      </c>
      <c r="K2560" s="15"/>
      <c r="L2560"/>
      <c r="M2560" s="387">
        <f t="shared" si="1173"/>
        <v>26.470000000000002</v>
      </c>
      <c r="N2560" s="41">
        <v>11.67</v>
      </c>
      <c r="O2560" s="391"/>
      <c r="P2560" s="392" t="s">
        <v>2828</v>
      </c>
      <c r="Q2560" s="392"/>
      <c r="R2560" s="392">
        <v>2016</v>
      </c>
      <c r="S2560" s="392"/>
      <c r="T2560" s="674">
        <f t="shared" si="1174"/>
        <v>2.8</v>
      </c>
      <c r="U2560" s="185" t="s">
        <v>1017</v>
      </c>
      <c r="V2560" s="184"/>
      <c r="W2560" s="180"/>
      <c r="X2560" s="180"/>
      <c r="Z2560" s="184" t="s">
        <v>1017</v>
      </c>
      <c r="AA2560" s="180"/>
      <c r="AB2560" s="184"/>
      <c r="AC2560" s="184"/>
      <c r="AD2560" s="201"/>
      <c r="AE2560" s="181"/>
      <c r="AF2560" s="180"/>
      <c r="AG2560" s="201"/>
      <c r="AH2560" s="217"/>
      <c r="AI2560" s="214"/>
      <c r="AJ2560" s="214"/>
      <c r="AK2560" s="214"/>
      <c r="AL2560" s="214"/>
      <c r="AM2560" s="214"/>
      <c r="AN2560" s="213"/>
      <c r="AO2560" s="213"/>
      <c r="AP2560" s="213"/>
      <c r="AQ2560" s="215"/>
      <c r="AR2560" s="216"/>
      <c r="AS2560" s="215"/>
      <c r="AT2560"/>
      <c r="AU2560" s="216"/>
      <c r="AV2560" s="215"/>
      <c r="AW2560" s="216"/>
      <c r="AX2560" s="215"/>
      <c r="AY2560"/>
      <c r="AZ2560"/>
    </row>
    <row r="2561" spans="1:52" s="178" customFormat="1" x14ac:dyDescent="0.25">
      <c r="A2561" s="615" t="s">
        <v>8200</v>
      </c>
      <c r="B2561" s="375" t="s">
        <v>5548</v>
      </c>
      <c r="C2561" s="375" t="s">
        <v>5540</v>
      </c>
      <c r="D2561" s="375" t="s">
        <v>8202</v>
      </c>
      <c r="E2561" s="375" t="s">
        <v>5807</v>
      </c>
      <c r="F2561" s="459">
        <f>M2561</f>
        <v>20.12</v>
      </c>
      <c r="G2561" s="535">
        <f>F2561</f>
        <v>20.12</v>
      </c>
      <c r="H2561" s="500">
        <f>IF(ISNUMBER(G2561),ROUND(0.8*G2561,2),"")</f>
        <v>16.100000000000001</v>
      </c>
      <c r="I2561" s="711"/>
      <c r="J2561" s="669">
        <v>44896</v>
      </c>
      <c r="K2561" s="769"/>
      <c r="L2561" s="774"/>
      <c r="M2561" s="387">
        <f>N2561+SUMIF(U2561:AG2561,"x",U$1741:AG$1741)+T2561</f>
        <v>20.12</v>
      </c>
      <c r="N2561" s="41">
        <v>9.32</v>
      </c>
      <c r="O2561" s="391"/>
      <c r="P2561" s="392" t="s">
        <v>2828</v>
      </c>
      <c r="Q2561" s="392"/>
      <c r="R2561" s="392">
        <v>2016</v>
      </c>
      <c r="S2561" s="392"/>
      <c r="T2561" s="674">
        <f>ROUND($Q$2170*0.99^($R2561-$Q$2167),2)</f>
        <v>2.8</v>
      </c>
      <c r="U2561" s="185" t="s">
        <v>1017</v>
      </c>
      <c r="V2561" s="184"/>
      <c r="W2561" s="180"/>
      <c r="X2561" s="180"/>
      <c r="Y2561" s="184" t="s">
        <v>1017</v>
      </c>
      <c r="Z2561" s="180"/>
      <c r="AA2561" s="184"/>
      <c r="AB2561" s="184"/>
      <c r="AC2561" s="180"/>
      <c r="AD2561" s="182"/>
      <c r="AE2561" s="181"/>
      <c r="AF2561" s="180"/>
      <c r="AG2561" s="201"/>
      <c r="AH2561" s="773"/>
      <c r="AI2561" s="771"/>
      <c r="AJ2561" s="771"/>
      <c r="AK2561" s="771"/>
      <c r="AL2561" s="771"/>
      <c r="AM2561" s="771"/>
      <c r="AN2561" s="770"/>
      <c r="AO2561" s="770"/>
      <c r="AP2561" s="770"/>
      <c r="AQ2561" s="772"/>
      <c r="AR2561" s="216"/>
      <c r="AS2561" s="772"/>
      <c r="AT2561" s="774"/>
      <c r="AU2561" s="216"/>
      <c r="AV2561" s="772"/>
      <c r="AW2561" s="216"/>
      <c r="AX2561" s="772"/>
      <c r="AY2561" s="774"/>
      <c r="AZ2561" s="774"/>
    </row>
    <row r="2562" spans="1:52" s="178" customFormat="1" x14ac:dyDescent="0.25">
      <c r="A2562" s="615" t="s">
        <v>6185</v>
      </c>
      <c r="B2562" s="375" t="s">
        <v>5548</v>
      </c>
      <c r="C2562" s="375" t="s">
        <v>5540</v>
      </c>
      <c r="D2562" s="375" t="s">
        <v>7241</v>
      </c>
      <c r="E2562" s="375" t="s">
        <v>5807</v>
      </c>
      <c r="F2562" s="459">
        <f t="shared" si="1170"/>
        <v>21.12</v>
      </c>
      <c r="G2562" s="535">
        <f t="shared" si="1171"/>
        <v>21.12</v>
      </c>
      <c r="H2562" s="500">
        <f t="shared" si="1172"/>
        <v>16.899999999999999</v>
      </c>
      <c r="I2562" s="711"/>
      <c r="J2562" s="669">
        <v>42993</v>
      </c>
      <c r="K2562" s="15"/>
      <c r="L2562"/>
      <c r="M2562" s="387">
        <f t="shared" si="1173"/>
        <v>21.12</v>
      </c>
      <c r="N2562" s="41">
        <v>9.32</v>
      </c>
      <c r="O2562" s="391"/>
      <c r="P2562" s="392" t="s">
        <v>2828</v>
      </c>
      <c r="Q2562" s="392"/>
      <c r="R2562" s="392">
        <v>2016</v>
      </c>
      <c r="S2562" s="392"/>
      <c r="T2562" s="674">
        <f>ROUND($Q$2170*0.99^($R2562-$Q$2167),2)</f>
        <v>2.8</v>
      </c>
      <c r="U2562" s="185" t="s">
        <v>1017</v>
      </c>
      <c r="V2562" s="184"/>
      <c r="W2562" s="180"/>
      <c r="X2562" s="180"/>
      <c r="Z2562" s="180"/>
      <c r="AA2562" s="184" t="s">
        <v>1017</v>
      </c>
      <c r="AB2562" s="184"/>
      <c r="AC2562" s="180"/>
      <c r="AD2562" s="182"/>
      <c r="AE2562" s="181"/>
      <c r="AF2562" s="180"/>
      <c r="AG2562" s="201"/>
      <c r="AH2562" s="217"/>
      <c r="AI2562" s="214"/>
      <c r="AJ2562" s="214"/>
      <c r="AK2562" s="214"/>
      <c r="AL2562" s="214"/>
      <c r="AM2562" s="214"/>
      <c r="AN2562" s="213"/>
      <c r="AO2562" s="213"/>
      <c r="AP2562" s="213"/>
      <c r="AQ2562" s="215"/>
      <c r="AR2562" s="216"/>
      <c r="AS2562" s="215"/>
      <c r="AT2562"/>
      <c r="AU2562" s="216"/>
      <c r="AV2562" s="215"/>
      <c r="AW2562" s="216"/>
      <c r="AX2562" s="215"/>
      <c r="AY2562"/>
      <c r="AZ2562"/>
    </row>
    <row r="2563" spans="1:52" s="178" customFormat="1" x14ac:dyDescent="0.25">
      <c r="A2563" s="615" t="s">
        <v>6357</v>
      </c>
      <c r="B2563" s="375" t="s">
        <v>5548</v>
      </c>
      <c r="C2563" s="375" t="s">
        <v>5540</v>
      </c>
      <c r="D2563" s="375" t="s">
        <v>6867</v>
      </c>
      <c r="E2563" s="375" t="s">
        <v>6158</v>
      </c>
      <c r="F2563" s="459">
        <f t="shared" si="1170"/>
        <v>26.44</v>
      </c>
      <c r="G2563" s="535">
        <f t="shared" si="1171"/>
        <v>26.44</v>
      </c>
      <c r="H2563" s="500">
        <f t="shared" si="1172"/>
        <v>21.15</v>
      </c>
      <c r="I2563" s="711"/>
      <c r="J2563" s="669">
        <v>43318</v>
      </c>
      <c r="K2563" s="769"/>
      <c r="L2563" s="774"/>
      <c r="M2563" s="387">
        <f t="shared" si="1173"/>
        <v>26.44</v>
      </c>
      <c r="N2563" s="41">
        <v>11.67</v>
      </c>
      <c r="O2563" s="391"/>
      <c r="P2563" s="392" t="s">
        <v>2828</v>
      </c>
      <c r="Q2563" s="392"/>
      <c r="R2563" s="392">
        <v>2017</v>
      </c>
      <c r="S2563" s="392"/>
      <c r="T2563" s="674">
        <f t="shared" si="1174"/>
        <v>2.77</v>
      </c>
      <c r="U2563" s="185" t="s">
        <v>1017</v>
      </c>
      <c r="V2563" s="184"/>
      <c r="W2563" s="180"/>
      <c r="X2563" s="180"/>
      <c r="Z2563" s="184" t="s">
        <v>1017</v>
      </c>
      <c r="AA2563" s="180"/>
      <c r="AB2563" s="184"/>
      <c r="AC2563" s="184"/>
      <c r="AD2563" s="201"/>
      <c r="AE2563" s="181"/>
      <c r="AF2563" s="180"/>
      <c r="AG2563" s="201"/>
      <c r="AH2563" s="773"/>
      <c r="AI2563" s="771"/>
      <c r="AJ2563" s="771"/>
      <c r="AK2563" s="771"/>
      <c r="AL2563" s="771"/>
      <c r="AM2563" s="771"/>
      <c r="AN2563" s="770"/>
      <c r="AO2563" s="770"/>
      <c r="AP2563" s="770"/>
      <c r="AQ2563" s="772"/>
      <c r="AR2563" s="216"/>
      <c r="AS2563" s="772"/>
      <c r="AT2563" s="774"/>
      <c r="AU2563" s="216"/>
      <c r="AV2563" s="772"/>
      <c r="AW2563" s="216"/>
      <c r="AX2563" s="772"/>
      <c r="AY2563" s="774"/>
      <c r="AZ2563" s="774"/>
    </row>
    <row r="2564" spans="1:52" s="178" customFormat="1" x14ac:dyDescent="0.25">
      <c r="A2564" s="615" t="s">
        <v>6358</v>
      </c>
      <c r="B2564" s="375" t="s">
        <v>5548</v>
      </c>
      <c r="C2564" s="375" t="s">
        <v>5540</v>
      </c>
      <c r="D2564" s="375" t="s">
        <v>7090</v>
      </c>
      <c r="E2564" s="375" t="s">
        <v>6158</v>
      </c>
      <c r="F2564" s="459">
        <f t="shared" si="1170"/>
        <v>21.09</v>
      </c>
      <c r="G2564" s="535">
        <f t="shared" si="1171"/>
        <v>21.09</v>
      </c>
      <c r="H2564" s="500">
        <f t="shared" si="1172"/>
        <v>16.87</v>
      </c>
      <c r="I2564" s="711"/>
      <c r="J2564" s="669">
        <v>43318</v>
      </c>
      <c r="K2564" s="769"/>
      <c r="L2564" s="774"/>
      <c r="M2564" s="387">
        <f t="shared" si="1173"/>
        <v>21.09</v>
      </c>
      <c r="N2564" s="41">
        <v>9.32</v>
      </c>
      <c r="O2564" s="391"/>
      <c r="P2564" s="392" t="s">
        <v>2828</v>
      </c>
      <c r="Q2564" s="392"/>
      <c r="R2564" s="392">
        <v>2017</v>
      </c>
      <c r="S2564" s="392"/>
      <c r="T2564" s="674">
        <f t="shared" si="1174"/>
        <v>2.77</v>
      </c>
      <c r="U2564" s="185" t="s">
        <v>1017</v>
      </c>
      <c r="V2564" s="184"/>
      <c r="W2564" s="180"/>
      <c r="X2564" s="180"/>
      <c r="Z2564" s="180"/>
      <c r="AA2564" s="184" t="s">
        <v>1017</v>
      </c>
      <c r="AB2564" s="184"/>
      <c r="AC2564" s="180"/>
      <c r="AD2564" s="182"/>
      <c r="AE2564" s="181"/>
      <c r="AF2564" s="180"/>
      <c r="AG2564" s="201"/>
      <c r="AH2564" s="773"/>
      <c r="AI2564" s="771"/>
      <c r="AJ2564" s="771"/>
      <c r="AK2564" s="771"/>
      <c r="AL2564" s="771"/>
      <c r="AM2564" s="771"/>
      <c r="AN2564" s="770"/>
      <c r="AO2564" s="770"/>
      <c r="AP2564" s="770"/>
      <c r="AQ2564" s="772"/>
      <c r="AR2564" s="216"/>
      <c r="AS2564" s="772"/>
      <c r="AT2564" s="774"/>
      <c r="AU2564" s="216"/>
      <c r="AV2564" s="772"/>
      <c r="AW2564" s="216"/>
      <c r="AX2564" s="772"/>
      <c r="AY2564" s="774"/>
      <c r="AZ2564" s="774"/>
    </row>
    <row r="2565" spans="1:52" s="178" customFormat="1" x14ac:dyDescent="0.25">
      <c r="A2565" s="615" t="s">
        <v>6608</v>
      </c>
      <c r="B2565" s="375" t="s">
        <v>5548</v>
      </c>
      <c r="C2565" s="375" t="s">
        <v>5540</v>
      </c>
      <c r="D2565" s="375" t="s">
        <v>6864</v>
      </c>
      <c r="E2565" s="375" t="s">
        <v>6158</v>
      </c>
      <c r="F2565" s="459">
        <f t="shared" si="1170"/>
        <v>25.44</v>
      </c>
      <c r="G2565" s="535">
        <f t="shared" si="1171"/>
        <v>25.44</v>
      </c>
      <c r="H2565" s="500">
        <f t="shared" si="1172"/>
        <v>20.350000000000001</v>
      </c>
      <c r="I2565" s="711"/>
      <c r="J2565" s="669">
        <v>43951</v>
      </c>
      <c r="K2565" s="769"/>
      <c r="L2565" s="774"/>
      <c r="M2565" s="387">
        <f t="shared" si="1173"/>
        <v>25.44</v>
      </c>
      <c r="N2565" s="41">
        <v>11.67</v>
      </c>
      <c r="O2565" s="391"/>
      <c r="P2565" s="392" t="s">
        <v>2828</v>
      </c>
      <c r="Q2565" s="392"/>
      <c r="R2565" s="392">
        <v>2017</v>
      </c>
      <c r="S2565" s="392"/>
      <c r="T2565" s="674">
        <f t="shared" si="1174"/>
        <v>2.77</v>
      </c>
      <c r="U2565" s="185"/>
      <c r="V2565" s="184"/>
      <c r="W2565" s="180"/>
      <c r="X2565" s="180"/>
      <c r="Z2565" s="184" t="s">
        <v>1017</v>
      </c>
      <c r="AA2565" s="180"/>
      <c r="AB2565" s="184"/>
      <c r="AC2565" s="184"/>
      <c r="AD2565" s="201"/>
      <c r="AE2565" s="181"/>
      <c r="AF2565" s="180"/>
      <c r="AG2565" s="201"/>
      <c r="AH2565" s="773"/>
      <c r="AI2565" s="771"/>
      <c r="AJ2565" s="771"/>
      <c r="AK2565" s="771"/>
      <c r="AL2565" s="771"/>
      <c r="AM2565" s="771"/>
      <c r="AN2565" s="770"/>
      <c r="AO2565" s="770"/>
      <c r="AP2565" s="770"/>
      <c r="AQ2565" s="772"/>
      <c r="AR2565" s="216"/>
      <c r="AS2565" s="772"/>
      <c r="AT2565" s="774"/>
      <c r="AU2565" s="216"/>
      <c r="AV2565" s="772"/>
      <c r="AW2565" s="216"/>
      <c r="AX2565" s="772"/>
      <c r="AY2565" s="774"/>
      <c r="AZ2565" s="774"/>
    </row>
    <row r="2566" spans="1:52" s="178" customFormat="1" x14ac:dyDescent="0.25">
      <c r="A2566" s="615" t="s">
        <v>6609</v>
      </c>
      <c r="B2566" s="375" t="s">
        <v>5548</v>
      </c>
      <c r="C2566" s="375" t="s">
        <v>5540</v>
      </c>
      <c r="D2566" s="375" t="s">
        <v>7243</v>
      </c>
      <c r="E2566" s="375" t="s">
        <v>6158</v>
      </c>
      <c r="F2566" s="459">
        <f t="shared" si="1170"/>
        <v>20.09</v>
      </c>
      <c r="G2566" s="535">
        <f t="shared" si="1171"/>
        <v>20.09</v>
      </c>
      <c r="H2566" s="500">
        <f t="shared" si="1172"/>
        <v>16.07</v>
      </c>
      <c r="I2566" s="711"/>
      <c r="J2566" s="669">
        <v>43951</v>
      </c>
      <c r="K2566" s="769"/>
      <c r="L2566" s="774"/>
      <c r="M2566" s="387">
        <f t="shared" si="1173"/>
        <v>20.09</v>
      </c>
      <c r="N2566" s="41">
        <v>9.32</v>
      </c>
      <c r="O2566" s="391"/>
      <c r="P2566" s="392" t="s">
        <v>2828</v>
      </c>
      <c r="Q2566" s="392"/>
      <c r="R2566" s="392">
        <v>2017</v>
      </c>
      <c r="S2566" s="392"/>
      <c r="T2566" s="674">
        <f t="shared" si="1174"/>
        <v>2.77</v>
      </c>
      <c r="U2566" s="185"/>
      <c r="V2566" s="184"/>
      <c r="W2566" s="180"/>
      <c r="X2566" s="180"/>
      <c r="Z2566" s="180"/>
      <c r="AA2566" s="184" t="s">
        <v>1017</v>
      </c>
      <c r="AB2566" s="184"/>
      <c r="AC2566" s="180"/>
      <c r="AD2566" s="182"/>
      <c r="AE2566" s="181"/>
      <c r="AF2566" s="180"/>
      <c r="AG2566" s="201"/>
      <c r="AH2566" s="773"/>
      <c r="AI2566" s="771"/>
      <c r="AJ2566" s="771"/>
      <c r="AK2566" s="771"/>
      <c r="AL2566" s="771"/>
      <c r="AM2566" s="771"/>
      <c r="AN2566" s="770"/>
      <c r="AO2566" s="770"/>
      <c r="AP2566" s="770"/>
      <c r="AQ2566" s="772"/>
      <c r="AR2566" s="216"/>
      <c r="AS2566" s="772"/>
      <c r="AT2566" s="774"/>
      <c r="AU2566" s="216"/>
      <c r="AV2566" s="772"/>
      <c r="AW2566" s="216"/>
      <c r="AX2566" s="772"/>
      <c r="AY2566" s="774"/>
      <c r="AZ2566" s="774"/>
    </row>
    <row r="2567" spans="1:52" s="774" customFormat="1" x14ac:dyDescent="0.25">
      <c r="A2567" s="615" t="s">
        <v>7861</v>
      </c>
      <c r="B2567" s="372" t="s">
        <v>5548</v>
      </c>
      <c r="C2567" s="372" t="s">
        <v>5540</v>
      </c>
      <c r="D2567" s="372" t="s">
        <v>7862</v>
      </c>
      <c r="E2567" s="372" t="s">
        <v>7863</v>
      </c>
      <c r="F2567" s="459">
        <f t="shared" si="1170"/>
        <v>26.330000000000002</v>
      </c>
      <c r="G2567" s="525">
        <f t="shared" si="1171"/>
        <v>26.330000000000002</v>
      </c>
      <c r="H2567" s="374">
        <f t="shared" si="1172"/>
        <v>21.06</v>
      </c>
      <c r="I2567" s="711"/>
      <c r="J2567" s="669">
        <v>44681</v>
      </c>
      <c r="K2567" s="769"/>
      <c r="M2567" s="880">
        <f t="shared" si="1173"/>
        <v>26.330000000000002</v>
      </c>
      <c r="N2567" s="866">
        <v>11.67</v>
      </c>
      <c r="O2567" s="391"/>
      <c r="P2567" s="120" t="s">
        <v>2828</v>
      </c>
      <c r="Q2567" s="120"/>
      <c r="R2567" s="120">
        <v>2021</v>
      </c>
      <c r="S2567" s="120"/>
      <c r="T2567" s="674">
        <f t="shared" si="1174"/>
        <v>2.66</v>
      </c>
      <c r="U2567" s="179" t="s">
        <v>1017</v>
      </c>
      <c r="V2567" s="178"/>
      <c r="W2567" s="180"/>
      <c r="X2567" s="180"/>
      <c r="Y2567" s="178"/>
      <c r="Z2567" s="178" t="s">
        <v>1017</v>
      </c>
      <c r="AA2567" s="180"/>
      <c r="AB2567" s="178"/>
      <c r="AC2567" s="178"/>
      <c r="AD2567" s="180"/>
      <c r="AE2567" s="200"/>
      <c r="AF2567" s="180"/>
      <c r="AG2567" s="180"/>
      <c r="AH2567" s="1044"/>
      <c r="AI2567" s="771"/>
      <c r="AJ2567" s="771"/>
      <c r="AK2567" s="771"/>
      <c r="AL2567" s="771"/>
      <c r="AM2567" s="771"/>
      <c r="AN2567" s="770"/>
      <c r="AO2567" s="770"/>
      <c r="AP2567" s="770"/>
      <c r="AQ2567" s="772"/>
      <c r="AR2567" s="216"/>
      <c r="AS2567" s="772"/>
      <c r="AU2567" s="216"/>
      <c r="AV2567" s="772"/>
      <c r="AW2567" s="216"/>
      <c r="AX2567" s="772"/>
    </row>
    <row r="2568" spans="1:52" s="774" customFormat="1" x14ac:dyDescent="0.25">
      <c r="A2568" s="615" t="s">
        <v>7864</v>
      </c>
      <c r="B2568" s="372" t="s">
        <v>5548</v>
      </c>
      <c r="C2568" s="372" t="s">
        <v>5540</v>
      </c>
      <c r="D2568" s="372" t="s">
        <v>7865</v>
      </c>
      <c r="E2568" s="372" t="s">
        <v>7863</v>
      </c>
      <c r="F2568" s="459">
        <f t="shared" si="1170"/>
        <v>20.98</v>
      </c>
      <c r="G2568" s="525">
        <f t="shared" si="1171"/>
        <v>20.98</v>
      </c>
      <c r="H2568" s="374">
        <f t="shared" si="1172"/>
        <v>16.78</v>
      </c>
      <c r="I2568" s="711"/>
      <c r="J2568" s="669">
        <v>44681</v>
      </c>
      <c r="K2568" s="769"/>
      <c r="M2568" s="880">
        <f t="shared" si="1173"/>
        <v>20.98</v>
      </c>
      <c r="N2568" s="866">
        <v>9.32</v>
      </c>
      <c r="O2568" s="391"/>
      <c r="P2568" s="120" t="s">
        <v>2828</v>
      </c>
      <c r="Q2568" s="120"/>
      <c r="R2568" s="120">
        <v>2021</v>
      </c>
      <c r="S2568" s="120"/>
      <c r="T2568" s="674">
        <f t="shared" si="1174"/>
        <v>2.66</v>
      </c>
      <c r="U2568" s="179" t="s">
        <v>1017</v>
      </c>
      <c r="V2568" s="178"/>
      <c r="W2568" s="180"/>
      <c r="X2568" s="180"/>
      <c r="Y2568" s="178"/>
      <c r="Z2568" s="180"/>
      <c r="AA2568" s="178" t="s">
        <v>1017</v>
      </c>
      <c r="AB2568" s="178"/>
      <c r="AC2568" s="180"/>
      <c r="AD2568" s="178"/>
      <c r="AE2568" s="200"/>
      <c r="AF2568" s="180"/>
      <c r="AG2568" s="180"/>
      <c r="AH2568" s="1044"/>
      <c r="AI2568" s="771"/>
      <c r="AJ2568" s="771"/>
      <c r="AK2568" s="771"/>
      <c r="AL2568" s="771"/>
      <c r="AM2568" s="771"/>
      <c r="AN2568" s="770"/>
      <c r="AO2568" s="770"/>
      <c r="AP2568" s="770"/>
      <c r="AQ2568" s="772"/>
      <c r="AR2568" s="216"/>
      <c r="AS2568" s="772"/>
      <c r="AU2568" s="216"/>
      <c r="AV2568" s="772"/>
      <c r="AW2568" s="216"/>
      <c r="AX2568" s="772"/>
    </row>
    <row r="2569" spans="1:52" s="178" customFormat="1" x14ac:dyDescent="0.25">
      <c r="A2569" s="615" t="s">
        <v>7866</v>
      </c>
      <c r="B2569" s="372" t="s">
        <v>5548</v>
      </c>
      <c r="C2569" s="372" t="s">
        <v>5540</v>
      </c>
      <c r="D2569" s="372" t="s">
        <v>7867</v>
      </c>
      <c r="E2569" s="372" t="s">
        <v>7863</v>
      </c>
      <c r="F2569" s="459">
        <f t="shared" si="1170"/>
        <v>15.040000000000001</v>
      </c>
      <c r="G2569" s="525">
        <f t="shared" si="1171"/>
        <v>15.040000000000001</v>
      </c>
      <c r="H2569" s="374">
        <f t="shared" si="1172"/>
        <v>12.03</v>
      </c>
      <c r="I2569" s="711"/>
      <c r="J2569" s="669">
        <v>44681</v>
      </c>
      <c r="K2569" s="769"/>
      <c r="L2569" s="774"/>
      <c r="M2569" s="880">
        <f t="shared" si="1173"/>
        <v>15.040000000000001</v>
      </c>
      <c r="N2569" s="866">
        <v>8.3800000000000008</v>
      </c>
      <c r="O2569" s="391"/>
      <c r="P2569" s="120" t="s">
        <v>2828</v>
      </c>
      <c r="Q2569" s="120"/>
      <c r="R2569" s="120">
        <v>2021</v>
      </c>
      <c r="S2569" s="120"/>
      <c r="T2569" s="674">
        <f t="shared" si="1174"/>
        <v>2.66</v>
      </c>
      <c r="U2569" s="776"/>
      <c r="V2569" s="775"/>
      <c r="W2569" s="774" t="s">
        <v>1017</v>
      </c>
      <c r="X2569" s="774"/>
      <c r="Y2569" s="775"/>
      <c r="Z2569" s="775"/>
      <c r="AA2569" s="775"/>
      <c r="AB2569" s="775"/>
      <c r="AC2569" s="775"/>
      <c r="AD2569" s="775"/>
      <c r="AE2569" s="778"/>
      <c r="AF2569" s="775"/>
      <c r="AG2569" s="775"/>
      <c r="AH2569" s="1044" t="s">
        <v>4179</v>
      </c>
      <c r="AI2569" s="771" t="str">
        <f>IF(AND($AH2569&lt;&gt;"",AH2569 =AH2568),"Gleich","")</f>
        <v/>
      </c>
      <c r="AJ2569" s="771" t="str">
        <f>IF(AND($AH2569&lt;&gt;"",A2569 =A2568),"Gleich","")</f>
        <v/>
      </c>
      <c r="AK2569" s="771" t="str">
        <f>IF(AND($AH2569&lt;&gt;"",D2569 =D2568),"Gleich","")</f>
        <v/>
      </c>
      <c r="AL2569" s="771" t="str">
        <f>IF(AND($AH2569&lt;&gt;"",E2569 =E2568),"Gleich","")</f>
        <v>Gleich</v>
      </c>
      <c r="AM2569" s="771" t="str">
        <f>IF(AND($AH2569&lt;&gt;"",F2569 =F2568),"Gleich","")</f>
        <v/>
      </c>
      <c r="AN2569" s="770" t="str">
        <f>IF(ISERROR(SEARCH("K1",A2569)),"","20"&amp;MID(A2569,SEARCH("K1",A2569)+1,2))</f>
        <v/>
      </c>
      <c r="AO2569" s="770" t="str">
        <f>IF(ISERROR(SEARCH("erstmals 201",E2569)),"",MID(E2569,SEARCH("erstmals ",E2569)+9,4))</f>
        <v/>
      </c>
      <c r="AP2569" s="770" t="str">
        <f>IF(R2569="x","2010",IF(S2569="x","2011",IF(T2569="x","2012","")))</f>
        <v/>
      </c>
      <c r="AQ2569" s="772" t="str">
        <f>IF(OR(AH2569&lt;&gt;AN2569,AH2569&lt;&gt;AO2569,AH2569&lt;&gt;AP2569),"DIFF","")</f>
        <v>DIFF</v>
      </c>
      <c r="AR2569" s="216" t="str">
        <f>IF(A2569="","",IF(ISERROR(SEARCH("K1",A2569)),A2569,LEFT(A2569,SEARCH("K1",A2569)+1)&amp;RIGHT(AH2569,1)&amp;MID(A2569,SEARCH("K1",A2569)+3,14)))</f>
        <v>BiK83a2K21--08</v>
      </c>
      <c r="AS2569" s="772" t="str">
        <f>IF(OR(A2569&lt;&gt;AR2569),"DIFF","")</f>
        <v/>
      </c>
      <c r="AT2569" s="774">
        <f>LEN(AR2569)</f>
        <v>14</v>
      </c>
      <c r="AU2569" s="216" t="str">
        <f>IF(D2569="","",IF(OR(A2569="",ISERROR(SEARCH("erstmals 201",D2569))),D2569,LEFT(D2569,SEARCH("erstmals 201",D2569)+8) &amp; AH2569 &amp; MID(D2569,SEARCH("erstmals 201",D2569)+13,255)))</f>
        <v>0,5-5 MW, Bonusregeln a2 und K erstmals 2021</v>
      </c>
      <c r="AV2569" s="772" t="str">
        <f>IF(OR(D2569&lt;&gt;AU2569),"DIFF","")</f>
        <v/>
      </c>
      <c r="AW2569" s="216" t="str">
        <f>IF(E2569="","",IF(OR(E2569="",ISERROR(SEARCH("erstmals 201",E2569))),E2569,LEFT(E2569,SEARCH("erstmals 201",E2569)+8) &amp; AH2569 &amp; MID(E2569,SEARCH("erstmals 201",E2569)+13,255)))</f>
        <v>Anteil KWK, erstmals 2021</v>
      </c>
      <c r="AX2569" s="772" t="str">
        <f>IF(OR(E2569&lt;&gt;AW2569),"DIFF","")</f>
        <v/>
      </c>
      <c r="AY2569" s="774" t="str">
        <f>IF(AH2569="2011","x",IF(AH2569="2012","","" &amp; S2569))</f>
        <v/>
      </c>
      <c r="AZ2569" s="774" t="str">
        <f>IF(AH2569="2012","x",IF(AH2569="2011","","" &amp; T2569))</f>
        <v>x</v>
      </c>
    </row>
    <row r="2570" spans="1:52" s="178" customFormat="1" x14ac:dyDescent="0.25">
      <c r="A2570" s="608" t="s">
        <v>4180</v>
      </c>
      <c r="B2570" s="2"/>
      <c r="C2570" s="34"/>
      <c r="D2570" s="34" t="s">
        <v>4180</v>
      </c>
      <c r="E2570" s="34" t="s">
        <v>4180</v>
      </c>
      <c r="F2570" s="456"/>
      <c r="G2570" s="543"/>
      <c r="H2570" s="499"/>
      <c r="I2570" s="715"/>
      <c r="J2570" s="669" t="s">
        <v>4180</v>
      </c>
      <c r="K2570" s="15"/>
      <c r="L2570"/>
      <c r="M2570" s="29"/>
      <c r="N2570" s="29"/>
      <c r="O2570" s="54"/>
      <c r="P2570" s="23"/>
      <c r="Q2570" s="12"/>
      <c r="R2570" s="12"/>
      <c r="S2570" s="12" t="s">
        <v>4180</v>
      </c>
      <c r="T2570" s="178" t="s">
        <v>4180</v>
      </c>
      <c r="U2570" s="58"/>
      <c r="V2570" s="12"/>
      <c r="W2570" s="12"/>
      <c r="X2570" s="12"/>
      <c r="Y2570" s="12"/>
      <c r="Z2570" s="12"/>
      <c r="AA2570" s="12"/>
      <c r="AB2570" s="12"/>
      <c r="AC2570" s="12"/>
      <c r="AD2570" s="27"/>
      <c r="AE2570" s="94"/>
      <c r="AF2570" s="12"/>
      <c r="AG2570" s="12"/>
      <c r="AH2570" s="212" t="str">
        <f>IF(ISERROR(SEARCH("K erstmals 201",D2570)),"",RIGHT(D2570,4))</f>
        <v/>
      </c>
      <c r="AI2570" s="214" t="str">
        <f>IF(AND($AH2570&lt;&gt;"",AH2570 =AH2547),"Gleich","")</f>
        <v/>
      </c>
      <c r="AJ2570" s="214" t="str">
        <f>IF(AND($AH2570&lt;&gt;"",A2570 =A2547),"Gleich","")</f>
        <v/>
      </c>
      <c r="AK2570" s="214" t="str">
        <f>IF(AND($AH2570&lt;&gt;"",D2570 =D2547),"Gleich","")</f>
        <v/>
      </c>
      <c r="AL2570" s="214" t="str">
        <f>IF(AND($AH2570&lt;&gt;"",E2570 =E2547),"Gleich","")</f>
        <v/>
      </c>
      <c r="AM2570" s="214" t="str">
        <f>IF(AND($AH2570&lt;&gt;"",F2570 =F2547),"Gleich","")</f>
        <v/>
      </c>
      <c r="AN2570" s="213" t="str">
        <f>IF(ISERROR(SEARCH("K1",A2570)),"","20"&amp;MID(A2570,SEARCH("K1",A2570)+1,2))</f>
        <v/>
      </c>
      <c r="AO2570" s="213" t="str">
        <f>IF(ISERROR(SEARCH("erstmals 201",E2570)),"",MID(E2570,SEARCH("erstmals ",E2570)+9,4))</f>
        <v/>
      </c>
      <c r="AP2570" s="213" t="str">
        <f>IF(R2570="x","2010",IF(S2570="x","2011",IF(T2570="x","2012","")))</f>
        <v/>
      </c>
      <c r="AQ2570" s="215" t="str">
        <f>IF(OR(AH2570&lt;&gt;AN2570,AH2570&lt;&gt;AO2570,AH2570&lt;&gt;AP2570),"DIFF","")</f>
        <v/>
      </c>
      <c r="AR2570" s="216" t="str">
        <f>IF(A2570="","",IF(ISERROR(SEARCH("K1",A2570)),A2570,LEFT(A2570,SEARCH("K1",A2570)+1)&amp;RIGHT(AH2570,1)&amp;MID(A2570,SEARCH("K1",A2570)+3,14)))</f>
        <v/>
      </c>
      <c r="AS2570" s="215" t="str">
        <f>IF(OR(A2570&lt;&gt;AR2570),"DIFF","")</f>
        <v/>
      </c>
      <c r="AT2570">
        <f>LEN(AR2570)</f>
        <v>0</v>
      </c>
      <c r="AU2570" s="216" t="str">
        <f>IF(D2570="","",IF(OR(A2570="",ISERROR(SEARCH("erstmals 201",D2570))),D2570,LEFT(D2570,SEARCH("erstmals 201",D2570)+8) &amp; AH2570 &amp; MID(D2570,SEARCH("erstmals 201",D2570)+13,255)))</f>
        <v/>
      </c>
      <c r="AV2570" s="215" t="str">
        <f>IF(OR(D2570&lt;&gt;AU2570),"DIFF","")</f>
        <v/>
      </c>
      <c r="AW2570" s="216" t="str">
        <f>IF(E2570="","",IF(OR(E2570="",ISERROR(SEARCH("erstmals 201",E2570))),E2570,LEFT(E2570,SEARCH("erstmals 201",E2570)+8) &amp; AH2570 &amp; MID(E2570,SEARCH("erstmals 201",E2570)+13,255)))</f>
        <v/>
      </c>
      <c r="AX2570" s="215" t="str">
        <f>IF(OR(E2570&lt;&gt;AW2570),"DIFF","")</f>
        <v/>
      </c>
      <c r="AY2570" t="str">
        <f>IF(AH2570="2011","x",IF(AH2570="2012","","" &amp; S2570))</f>
        <v/>
      </c>
      <c r="AZ2570" t="str">
        <f>IF(AH2570="2012","x",IF(AH2570="2011","","" &amp; T2570))</f>
        <v/>
      </c>
    </row>
    <row r="2571" spans="1:52" ht="17.25" customHeight="1" x14ac:dyDescent="0.25">
      <c r="A2571" s="609"/>
      <c r="B2571" s="1"/>
      <c r="C2571" s="1"/>
      <c r="D2571" s="2"/>
      <c r="E2571" s="1"/>
      <c r="F2571" s="457"/>
      <c r="G2571" s="532"/>
      <c r="H2571" s="490"/>
      <c r="I2571" s="709"/>
      <c r="J2571" s="669" t="s">
        <v>4180</v>
      </c>
      <c r="K2571" s="29"/>
      <c r="M2571" s="68" t="s">
        <v>1035</v>
      </c>
      <c r="N2571" s="39"/>
      <c r="O2571" s="29"/>
      <c r="P2571" s="29"/>
    </row>
    <row r="2572" spans="1:52" s="12" customFormat="1" x14ac:dyDescent="0.25">
      <c r="A2572" s="608"/>
      <c r="B2572" s="2"/>
      <c r="C2572" s="22"/>
      <c r="D2572" s="22"/>
      <c r="E2572" s="34"/>
      <c r="F2572" s="456"/>
      <c r="G2572" s="531"/>
      <c r="H2572" s="489"/>
      <c r="I2572" s="708"/>
      <c r="J2572" s="669" t="s">
        <v>4180</v>
      </c>
      <c r="K2572" s="29"/>
      <c r="L2572" s="29"/>
      <c r="M2572" s="29"/>
      <c r="N2572" s="29"/>
      <c r="O2572" s="43" t="s">
        <v>2660</v>
      </c>
      <c r="P2572" s="29"/>
      <c r="Q2572"/>
      <c r="R2572" s="55"/>
      <c r="S2572" s="43" t="s">
        <v>776</v>
      </c>
      <c r="T2572"/>
      <c r="U2572"/>
      <c r="V2572"/>
      <c r="W2572"/>
      <c r="X2572"/>
      <c r="Y2572"/>
      <c r="Z2572"/>
      <c r="AA2572" s="50"/>
      <c r="AB2572" s="72" t="s">
        <v>777</v>
      </c>
      <c r="AC2572"/>
      <c r="AD2572" s="50"/>
    </row>
    <row r="2573" spans="1:52" s="12" customFormat="1" ht="79.5" x14ac:dyDescent="0.25">
      <c r="A2573" s="608"/>
      <c r="B2573" s="2"/>
      <c r="C2573" s="22"/>
      <c r="D2573" s="22"/>
      <c r="E2573" s="34"/>
      <c r="F2573" s="456"/>
      <c r="G2573" s="531"/>
      <c r="H2573" s="489"/>
      <c r="I2573" s="708"/>
      <c r="J2573" s="669" t="s">
        <v>4180</v>
      </c>
      <c r="K2573" s="29"/>
      <c r="L2573" s="29"/>
      <c r="M2573" s="48" t="s">
        <v>2914</v>
      </c>
      <c r="N2573" s="42" t="s">
        <v>2913</v>
      </c>
      <c r="O2573" s="44" t="s">
        <v>4852</v>
      </c>
      <c r="P2573" s="63"/>
      <c r="Q2573" s="63"/>
      <c r="R2573" s="80" t="s">
        <v>4854</v>
      </c>
      <c r="S2573" s="42" t="s">
        <v>1021</v>
      </c>
      <c r="T2573" s="42" t="s">
        <v>1029</v>
      </c>
      <c r="U2573" s="42" t="s">
        <v>786</v>
      </c>
      <c r="V2573" s="79" t="s">
        <v>4884</v>
      </c>
      <c r="W2573" s="79" t="s">
        <v>5520</v>
      </c>
      <c r="X2573" s="79" t="s">
        <v>5521</v>
      </c>
      <c r="Y2573" s="79" t="s">
        <v>5522</v>
      </c>
      <c r="Z2573" s="79" t="s">
        <v>4853</v>
      </c>
      <c r="AA2573" s="81" t="s">
        <v>770</v>
      </c>
      <c r="AB2573" s="42" t="s">
        <v>772</v>
      </c>
      <c r="AC2573" s="42" t="s">
        <v>773</v>
      </c>
      <c r="AD2573" s="51" t="s">
        <v>774</v>
      </c>
    </row>
    <row r="2574" spans="1:52" s="12" customFormat="1" ht="34.5" x14ac:dyDescent="0.25">
      <c r="A2574" s="608"/>
      <c r="B2574" s="2"/>
      <c r="C2574" s="22"/>
      <c r="D2574" s="22"/>
      <c r="E2574" s="34"/>
      <c r="F2574" s="456"/>
      <c r="G2574" s="531"/>
      <c r="H2574" s="489"/>
      <c r="I2574" s="708"/>
      <c r="J2574" s="669" t="s">
        <v>4180</v>
      </c>
      <c r="K2574" s="29"/>
      <c r="L2574" s="29"/>
      <c r="M2574" s="46"/>
      <c r="N2574" s="42"/>
      <c r="O2574" s="44" t="s">
        <v>1033</v>
      </c>
      <c r="P2574" s="63"/>
      <c r="Q2574" s="63"/>
      <c r="R2574" s="56" t="s">
        <v>1034</v>
      </c>
      <c r="S2574" s="44" t="s">
        <v>1019</v>
      </c>
      <c r="T2574" s="42" t="s">
        <v>1020</v>
      </c>
      <c r="U2574" s="42" t="s">
        <v>1022</v>
      </c>
      <c r="V2574" s="42" t="s">
        <v>1023</v>
      </c>
      <c r="W2574" s="42" t="s">
        <v>1024</v>
      </c>
      <c r="X2574" s="42" t="s">
        <v>1025</v>
      </c>
      <c r="Y2574" s="42" t="s">
        <v>1026</v>
      </c>
      <c r="Z2574" s="42" t="s">
        <v>1028</v>
      </c>
      <c r="AA2574" s="51" t="s">
        <v>1027</v>
      </c>
      <c r="AB2574" s="42" t="s">
        <v>1032</v>
      </c>
      <c r="AC2574" s="42" t="s">
        <v>1030</v>
      </c>
      <c r="AD2574" s="51" t="s">
        <v>1031</v>
      </c>
    </row>
    <row r="2575" spans="1:52" x14ac:dyDescent="0.25">
      <c r="A2575" s="609"/>
      <c r="B2575" s="1"/>
      <c r="C2575" s="1"/>
      <c r="D2575" s="2"/>
      <c r="E2575" s="1"/>
      <c r="F2575" s="457"/>
      <c r="G2575" s="532"/>
      <c r="H2575" s="490"/>
      <c r="I2575" s="709"/>
      <c r="J2575" s="669" t="s">
        <v>4180</v>
      </c>
      <c r="L2575" s="71"/>
      <c r="M2575" s="47"/>
      <c r="N2575" s="40"/>
      <c r="O2575" s="45">
        <v>3</v>
      </c>
      <c r="P2575" s="64"/>
      <c r="Q2575" s="64"/>
      <c r="R2575" s="57">
        <v>1</v>
      </c>
      <c r="S2575" s="40">
        <v>6</v>
      </c>
      <c r="T2575" s="40">
        <v>4</v>
      </c>
      <c r="U2575" s="40">
        <v>2.5</v>
      </c>
      <c r="V2575" s="40">
        <v>7</v>
      </c>
      <c r="W2575" s="40">
        <v>11</v>
      </c>
      <c r="X2575" s="40">
        <v>8</v>
      </c>
      <c r="Y2575" s="40">
        <v>9</v>
      </c>
      <c r="Z2575" s="40">
        <v>13</v>
      </c>
      <c r="AA2575" s="52">
        <v>10</v>
      </c>
      <c r="AB2575" s="45">
        <v>2</v>
      </c>
      <c r="AC2575" s="40">
        <v>1</v>
      </c>
      <c r="AD2575" s="52">
        <v>2</v>
      </c>
    </row>
    <row r="2576" spans="1:52" x14ac:dyDescent="0.25">
      <c r="A2576" s="610" t="s">
        <v>3307</v>
      </c>
      <c r="B2576" s="17" t="s">
        <v>5548</v>
      </c>
      <c r="C2576" s="17" t="s">
        <v>5405</v>
      </c>
      <c r="D2576" s="17" t="s">
        <v>1780</v>
      </c>
      <c r="E2576" s="17" t="s">
        <v>4810</v>
      </c>
      <c r="F2576" s="454">
        <v>11.67</v>
      </c>
      <c r="G2576" s="529">
        <v>11.67</v>
      </c>
      <c r="H2576" s="487">
        <f t="shared" ref="H2576:H2639" si="1175">IF(ISNUMBER(G2576),ROUND(0.8*G2576,2),"")</f>
        <v>9.34</v>
      </c>
      <c r="I2576" s="706"/>
      <c r="J2576" s="669" t="s">
        <v>5805</v>
      </c>
      <c r="K2576" s="23"/>
      <c r="L2576" s="70" t="str">
        <f t="shared" ref="L2576:L2639" si="1176">IF(F2576=M2576,"",FALSE)</f>
        <v/>
      </c>
      <c r="M2576" s="49">
        <f t="shared" ref="M2576:M2639" si="1177">N2576+SUMIF(O2576:AD2576,"x",O$2575:AD$2575)</f>
        <v>11.67</v>
      </c>
      <c r="N2576" s="41">
        <v>11.67</v>
      </c>
      <c r="O2576" s="60"/>
      <c r="P2576" s="65"/>
      <c r="Q2576" s="65"/>
      <c r="R2576" s="69"/>
      <c r="T2576" s="65"/>
      <c r="U2576" s="65"/>
      <c r="X2576" s="65"/>
      <c r="AA2576" s="66"/>
      <c r="AD2576" s="62"/>
    </row>
    <row r="2577" spans="1:30" x14ac:dyDescent="0.25">
      <c r="A2577" s="610" t="s">
        <v>3308</v>
      </c>
      <c r="B2577" s="17" t="s">
        <v>5548</v>
      </c>
      <c r="C2577" s="17" t="s">
        <v>5405</v>
      </c>
      <c r="D2577" s="17" t="s">
        <v>7247</v>
      </c>
      <c r="E2577" s="17" t="s">
        <v>4812</v>
      </c>
      <c r="F2577" s="454">
        <v>14.67</v>
      </c>
      <c r="G2577" s="529">
        <v>14.67</v>
      </c>
      <c r="H2577" s="487">
        <f t="shared" si="1175"/>
        <v>11.74</v>
      </c>
      <c r="I2577" s="706"/>
      <c r="J2577" s="669" t="s">
        <v>5805</v>
      </c>
      <c r="K2577" s="23"/>
      <c r="L2577" s="70" t="str">
        <f t="shared" si="1176"/>
        <v/>
      </c>
      <c r="M2577" s="49">
        <f t="shared" si="1177"/>
        <v>14.67</v>
      </c>
      <c r="N2577" s="41">
        <v>11.67</v>
      </c>
      <c r="O2577" s="43" t="s">
        <v>1017</v>
      </c>
      <c r="P2577" s="91"/>
      <c r="Q2577" s="91"/>
      <c r="R2577" s="55"/>
      <c r="S2577" s="92"/>
      <c r="T2577" s="91"/>
      <c r="U2577" s="91"/>
      <c r="V2577" s="92"/>
      <c r="W2577" s="92"/>
      <c r="X2577" s="91"/>
      <c r="Y2577" s="92"/>
      <c r="Z2577" s="92"/>
      <c r="AA2577" s="67"/>
      <c r="AB2577" s="92"/>
      <c r="AC2577" s="92"/>
      <c r="AD2577" s="50"/>
    </row>
    <row r="2578" spans="1:30" x14ac:dyDescent="0.25">
      <c r="A2578" s="610" t="s">
        <v>2674</v>
      </c>
      <c r="B2578" s="17" t="s">
        <v>5548</v>
      </c>
      <c r="C2578" s="17" t="s">
        <v>5405</v>
      </c>
      <c r="D2578" s="30" t="s">
        <v>7248</v>
      </c>
      <c r="E2578" s="17" t="s">
        <v>4810</v>
      </c>
      <c r="F2578" s="454">
        <v>12.67</v>
      </c>
      <c r="G2578" s="529">
        <v>12.67</v>
      </c>
      <c r="H2578" s="487">
        <f t="shared" si="1175"/>
        <v>10.14</v>
      </c>
      <c r="I2578" s="706"/>
      <c r="J2578" s="669" t="s">
        <v>5805</v>
      </c>
      <c r="K2578" s="23"/>
      <c r="L2578" s="70" t="str">
        <f t="shared" si="1176"/>
        <v/>
      </c>
      <c r="M2578" s="49">
        <f t="shared" si="1177"/>
        <v>12.67</v>
      </c>
      <c r="N2578" s="41">
        <v>11.67</v>
      </c>
      <c r="O2578" s="61"/>
      <c r="P2578" s="65"/>
      <c r="Q2578" s="65"/>
      <c r="R2578" s="55" t="s">
        <v>1017</v>
      </c>
      <c r="T2578" s="65"/>
      <c r="U2578" s="65"/>
      <c r="X2578" s="65"/>
      <c r="AA2578" s="67"/>
      <c r="AD2578" s="50"/>
    </row>
    <row r="2579" spans="1:30" x14ac:dyDescent="0.25">
      <c r="A2579" s="610" t="s">
        <v>2675</v>
      </c>
      <c r="B2579" s="17" t="s">
        <v>5548</v>
      </c>
      <c r="C2579" s="17" t="s">
        <v>5405</v>
      </c>
      <c r="D2579" s="30" t="s">
        <v>7249</v>
      </c>
      <c r="E2579" s="17" t="s">
        <v>4812</v>
      </c>
      <c r="F2579" s="454">
        <v>15.67</v>
      </c>
      <c r="G2579" s="529">
        <v>15.67</v>
      </c>
      <c r="H2579" s="487">
        <f t="shared" si="1175"/>
        <v>12.54</v>
      </c>
      <c r="I2579" s="706"/>
      <c r="J2579" s="669" t="s">
        <v>5805</v>
      </c>
      <c r="K2579" s="23"/>
      <c r="L2579" s="70" t="str">
        <f t="shared" si="1176"/>
        <v/>
      </c>
      <c r="M2579" s="49">
        <f t="shared" si="1177"/>
        <v>15.67</v>
      </c>
      <c r="N2579" s="41">
        <v>11.67</v>
      </c>
      <c r="O2579" s="43" t="s">
        <v>1017</v>
      </c>
      <c r="P2579" s="65"/>
      <c r="Q2579" s="65"/>
      <c r="R2579" s="55" t="s">
        <v>1017</v>
      </c>
      <c r="T2579" s="65"/>
      <c r="U2579" s="65"/>
      <c r="X2579" s="65"/>
      <c r="AA2579" s="67"/>
      <c r="AD2579" s="50"/>
    </row>
    <row r="2580" spans="1:30" x14ac:dyDescent="0.25">
      <c r="A2580" s="610" t="s">
        <v>3326</v>
      </c>
      <c r="B2580" s="17" t="s">
        <v>5548</v>
      </c>
      <c r="C2580" s="17" t="s">
        <v>5405</v>
      </c>
      <c r="D2580" s="17" t="s">
        <v>6881</v>
      </c>
      <c r="E2580" s="17" t="s">
        <v>4810</v>
      </c>
      <c r="F2580" s="454">
        <v>17.670000000000002</v>
      </c>
      <c r="G2580" s="529">
        <v>17.670000000000002</v>
      </c>
      <c r="H2580" s="487">
        <f t="shared" si="1175"/>
        <v>14.14</v>
      </c>
      <c r="I2580" s="706"/>
      <c r="J2580" s="669" t="s">
        <v>5805</v>
      </c>
      <c r="K2580" s="23"/>
      <c r="L2580" s="70" t="str">
        <f t="shared" si="1176"/>
        <v/>
      </c>
      <c r="M2580" s="49">
        <f t="shared" si="1177"/>
        <v>17.670000000000002</v>
      </c>
      <c r="N2580" s="41">
        <v>11.67</v>
      </c>
      <c r="O2580" s="61"/>
      <c r="P2580" s="65"/>
      <c r="Q2580" s="65"/>
      <c r="R2580" s="55"/>
      <c r="S2580" t="s">
        <v>1017</v>
      </c>
      <c r="T2580" s="65"/>
      <c r="U2580" s="65"/>
      <c r="X2580" s="65"/>
      <c r="AA2580" s="67"/>
      <c r="AD2580" s="50"/>
    </row>
    <row r="2581" spans="1:30" x14ac:dyDescent="0.25">
      <c r="A2581" s="610" t="s">
        <v>3327</v>
      </c>
      <c r="B2581" s="17" t="s">
        <v>5548</v>
      </c>
      <c r="C2581" s="17" t="s">
        <v>5405</v>
      </c>
      <c r="D2581" s="17" t="s">
        <v>7250</v>
      </c>
      <c r="E2581" s="17" t="s">
        <v>4812</v>
      </c>
      <c r="F2581" s="454">
        <v>20.67</v>
      </c>
      <c r="G2581" s="529">
        <v>20.67</v>
      </c>
      <c r="H2581" s="487">
        <f t="shared" si="1175"/>
        <v>16.54</v>
      </c>
      <c r="I2581" s="706"/>
      <c r="J2581" s="669" t="s">
        <v>5805</v>
      </c>
      <c r="K2581" s="23"/>
      <c r="L2581" s="70" t="str">
        <f t="shared" si="1176"/>
        <v/>
      </c>
      <c r="M2581" s="49">
        <f t="shared" si="1177"/>
        <v>20.67</v>
      </c>
      <c r="N2581" s="41">
        <v>11.67</v>
      </c>
      <c r="O2581" s="43" t="s">
        <v>1017</v>
      </c>
      <c r="P2581" s="65"/>
      <c r="Q2581" s="65"/>
      <c r="R2581" s="55"/>
      <c r="S2581" t="s">
        <v>1017</v>
      </c>
      <c r="T2581" s="65"/>
      <c r="U2581" s="65"/>
      <c r="X2581" s="65"/>
      <c r="AA2581" s="67"/>
      <c r="AD2581" s="50"/>
    </row>
    <row r="2582" spans="1:30" x14ac:dyDescent="0.25">
      <c r="A2582" s="610" t="s">
        <v>566</v>
      </c>
      <c r="B2582" s="17" t="s">
        <v>5548</v>
      </c>
      <c r="C2582" s="17" t="s">
        <v>5405</v>
      </c>
      <c r="D2582" s="30" t="s">
        <v>7251</v>
      </c>
      <c r="E2582" s="17" t="s">
        <v>4810</v>
      </c>
      <c r="F2582" s="454">
        <v>18.670000000000002</v>
      </c>
      <c r="G2582" s="529">
        <v>18.670000000000002</v>
      </c>
      <c r="H2582" s="487">
        <f t="shared" si="1175"/>
        <v>14.94</v>
      </c>
      <c r="I2582" s="706"/>
      <c r="J2582" s="669" t="s">
        <v>5805</v>
      </c>
      <c r="K2582" s="23"/>
      <c r="L2582" s="70" t="str">
        <f t="shared" si="1176"/>
        <v/>
      </c>
      <c r="M2582" s="49">
        <f t="shared" si="1177"/>
        <v>18.670000000000002</v>
      </c>
      <c r="N2582" s="41">
        <v>11.67</v>
      </c>
      <c r="O2582" s="61"/>
      <c r="P2582" s="65"/>
      <c r="Q2582" s="65"/>
      <c r="R2582" s="55" t="s">
        <v>1017</v>
      </c>
      <c r="S2582" t="s">
        <v>1017</v>
      </c>
      <c r="T2582" s="65"/>
      <c r="U2582" s="65"/>
      <c r="X2582" s="65"/>
      <c r="AA2582" s="67"/>
      <c r="AD2582" s="50"/>
    </row>
    <row r="2583" spans="1:30" x14ac:dyDescent="0.25">
      <c r="A2583" s="610" t="s">
        <v>567</v>
      </c>
      <c r="B2583" s="17" t="s">
        <v>5548</v>
      </c>
      <c r="C2583" s="17" t="s">
        <v>5405</v>
      </c>
      <c r="D2583" s="30" t="s">
        <v>7252</v>
      </c>
      <c r="E2583" s="17" t="s">
        <v>4812</v>
      </c>
      <c r="F2583" s="454">
        <v>21.67</v>
      </c>
      <c r="G2583" s="529">
        <v>21.67</v>
      </c>
      <c r="H2583" s="487">
        <f t="shared" si="1175"/>
        <v>17.34</v>
      </c>
      <c r="I2583" s="706"/>
      <c r="J2583" s="669" t="s">
        <v>5805</v>
      </c>
      <c r="K2583" s="23"/>
      <c r="L2583" s="70" t="str">
        <f t="shared" si="1176"/>
        <v/>
      </c>
      <c r="M2583" s="49">
        <f t="shared" si="1177"/>
        <v>21.67</v>
      </c>
      <c r="N2583" s="41">
        <v>11.67</v>
      </c>
      <c r="O2583" s="43" t="s">
        <v>1017</v>
      </c>
      <c r="P2583" s="65"/>
      <c r="Q2583" s="65"/>
      <c r="R2583" s="55" t="s">
        <v>1017</v>
      </c>
      <c r="S2583" t="s">
        <v>1017</v>
      </c>
      <c r="T2583" s="65"/>
      <c r="U2583" s="65"/>
      <c r="X2583" s="65"/>
      <c r="AA2583" s="67"/>
      <c r="AD2583" s="50"/>
    </row>
    <row r="2584" spans="1:30" s="12" customFormat="1" x14ac:dyDescent="0.25">
      <c r="A2584" s="610" t="s">
        <v>3334</v>
      </c>
      <c r="B2584" s="17" t="s">
        <v>5548</v>
      </c>
      <c r="C2584" s="17" t="s">
        <v>5405</v>
      </c>
      <c r="D2584" s="17" t="s">
        <v>6810</v>
      </c>
      <c r="E2584" s="17" t="s">
        <v>4810</v>
      </c>
      <c r="F2584" s="454">
        <v>18.670000000000002</v>
      </c>
      <c r="G2584" s="529">
        <v>18.670000000000002</v>
      </c>
      <c r="H2584" s="487">
        <f t="shared" si="1175"/>
        <v>14.94</v>
      </c>
      <c r="I2584" s="706"/>
      <c r="J2584" s="669" t="s">
        <v>5805</v>
      </c>
      <c r="K2584" s="23"/>
      <c r="L2584" s="70" t="str">
        <f t="shared" si="1176"/>
        <v/>
      </c>
      <c r="M2584" s="49">
        <f t="shared" si="1177"/>
        <v>18.670000000000002</v>
      </c>
      <c r="N2584" s="41">
        <v>11.67</v>
      </c>
      <c r="O2584" s="61"/>
      <c r="P2584" s="65"/>
      <c r="Q2584" s="65"/>
      <c r="R2584" s="58"/>
      <c r="T2584" s="65"/>
      <c r="U2584" s="65"/>
      <c r="V2584" s="12" t="s">
        <v>1017</v>
      </c>
      <c r="X2584" s="65"/>
      <c r="AA2584" s="67"/>
      <c r="AD2584" s="53"/>
    </row>
    <row r="2585" spans="1:30" s="12" customFormat="1" x14ac:dyDescent="0.25">
      <c r="A2585" s="610" t="s">
        <v>3335</v>
      </c>
      <c r="B2585" s="17" t="s">
        <v>5548</v>
      </c>
      <c r="C2585" s="17" t="s">
        <v>5405</v>
      </c>
      <c r="D2585" s="17" t="s">
        <v>7253</v>
      </c>
      <c r="E2585" s="17" t="s">
        <v>4812</v>
      </c>
      <c r="F2585" s="454">
        <v>21.67</v>
      </c>
      <c r="G2585" s="529">
        <v>21.67</v>
      </c>
      <c r="H2585" s="487">
        <f t="shared" si="1175"/>
        <v>17.34</v>
      </c>
      <c r="I2585" s="706"/>
      <c r="J2585" s="669" t="s">
        <v>5805</v>
      </c>
      <c r="K2585" s="23"/>
      <c r="L2585" s="70" t="str">
        <f t="shared" si="1176"/>
        <v/>
      </c>
      <c r="M2585" s="49">
        <f t="shared" si="1177"/>
        <v>21.67</v>
      </c>
      <c r="N2585" s="41">
        <v>11.67</v>
      </c>
      <c r="O2585" s="43" t="s">
        <v>1017</v>
      </c>
      <c r="P2585" s="65"/>
      <c r="Q2585" s="65"/>
      <c r="R2585" s="58"/>
      <c r="T2585" s="65"/>
      <c r="U2585" s="65"/>
      <c r="V2585" s="12" t="s">
        <v>1017</v>
      </c>
      <c r="X2585" s="65"/>
      <c r="AA2585" s="67"/>
      <c r="AD2585" s="53"/>
    </row>
    <row r="2586" spans="1:30" s="12" customFormat="1" x14ac:dyDescent="0.25">
      <c r="A2586" s="610" t="s">
        <v>4297</v>
      </c>
      <c r="B2586" s="17" t="s">
        <v>5548</v>
      </c>
      <c r="C2586" s="17" t="s">
        <v>5405</v>
      </c>
      <c r="D2586" s="17" t="s">
        <v>7254</v>
      </c>
      <c r="E2586" s="17" t="s">
        <v>4810</v>
      </c>
      <c r="F2586" s="454">
        <v>19.670000000000002</v>
      </c>
      <c r="G2586" s="529">
        <v>19.670000000000002</v>
      </c>
      <c r="H2586" s="487">
        <f t="shared" si="1175"/>
        <v>15.74</v>
      </c>
      <c r="I2586" s="706"/>
      <c r="J2586" s="669" t="s">
        <v>5805</v>
      </c>
      <c r="K2586" s="23"/>
      <c r="L2586" s="70" t="str">
        <f t="shared" si="1176"/>
        <v/>
      </c>
      <c r="M2586" s="49">
        <f t="shared" si="1177"/>
        <v>19.670000000000002</v>
      </c>
      <c r="N2586" s="41">
        <v>11.67</v>
      </c>
      <c r="O2586" s="61"/>
      <c r="P2586" s="65"/>
      <c r="Q2586" s="65"/>
      <c r="R2586" s="58" t="s">
        <v>1017</v>
      </c>
      <c r="T2586" s="65"/>
      <c r="U2586" s="65"/>
      <c r="V2586" s="12" t="s">
        <v>1017</v>
      </c>
      <c r="X2586" s="65"/>
      <c r="AA2586" s="67"/>
      <c r="AD2586" s="53"/>
    </row>
    <row r="2587" spans="1:30" s="12" customFormat="1" x14ac:dyDescent="0.25">
      <c r="A2587" s="610" t="s">
        <v>4298</v>
      </c>
      <c r="B2587" s="17" t="s">
        <v>5548</v>
      </c>
      <c r="C2587" s="17" t="s">
        <v>5405</v>
      </c>
      <c r="D2587" s="17" t="s">
        <v>7255</v>
      </c>
      <c r="E2587" s="17" t="s">
        <v>4812</v>
      </c>
      <c r="F2587" s="454">
        <v>22.67</v>
      </c>
      <c r="G2587" s="529">
        <v>22.67</v>
      </c>
      <c r="H2587" s="487">
        <f t="shared" si="1175"/>
        <v>18.14</v>
      </c>
      <c r="I2587" s="706"/>
      <c r="J2587" s="669" t="s">
        <v>5805</v>
      </c>
      <c r="K2587" s="23"/>
      <c r="L2587" s="70" t="str">
        <f t="shared" si="1176"/>
        <v/>
      </c>
      <c r="M2587" s="49">
        <f t="shared" si="1177"/>
        <v>22.67</v>
      </c>
      <c r="N2587" s="41">
        <v>11.67</v>
      </c>
      <c r="O2587" s="43" t="s">
        <v>1017</v>
      </c>
      <c r="P2587" s="65"/>
      <c r="Q2587" s="65"/>
      <c r="R2587" s="58" t="s">
        <v>1017</v>
      </c>
      <c r="T2587" s="65"/>
      <c r="U2587" s="65"/>
      <c r="V2587" s="12" t="s">
        <v>1017</v>
      </c>
      <c r="X2587" s="65"/>
      <c r="AA2587" s="67"/>
      <c r="AD2587" s="53"/>
    </row>
    <row r="2588" spans="1:30" s="12" customFormat="1" x14ac:dyDescent="0.25">
      <c r="A2588" s="610" t="s">
        <v>3342</v>
      </c>
      <c r="B2588" s="17" t="s">
        <v>5548</v>
      </c>
      <c r="C2588" s="17" t="s">
        <v>5405</v>
      </c>
      <c r="D2588" s="17" t="s">
        <v>6834</v>
      </c>
      <c r="E2588" s="17" t="s">
        <v>4810</v>
      </c>
      <c r="F2588" s="454">
        <v>20.67</v>
      </c>
      <c r="G2588" s="529">
        <v>20.67</v>
      </c>
      <c r="H2588" s="487">
        <f t="shared" si="1175"/>
        <v>16.54</v>
      </c>
      <c r="I2588" s="706"/>
      <c r="J2588" s="669" t="s">
        <v>5805</v>
      </c>
      <c r="K2588" s="23"/>
      <c r="L2588" s="70" t="str">
        <f t="shared" si="1176"/>
        <v/>
      </c>
      <c r="M2588" s="49">
        <f t="shared" si="1177"/>
        <v>20.67</v>
      </c>
      <c r="N2588" s="41">
        <v>11.67</v>
      </c>
      <c r="O2588" s="61"/>
      <c r="P2588" s="65"/>
      <c r="Q2588" s="65"/>
      <c r="R2588" s="58"/>
      <c r="T2588" s="65"/>
      <c r="U2588" s="65"/>
      <c r="X2588" s="65"/>
      <c r="Y2588" s="12" t="s">
        <v>1017</v>
      </c>
      <c r="AA2588" s="67"/>
      <c r="AD2588" s="53"/>
    </row>
    <row r="2589" spans="1:30" s="12" customFormat="1" x14ac:dyDescent="0.25">
      <c r="A2589" s="610" t="s">
        <v>3343</v>
      </c>
      <c r="B2589" s="17" t="s">
        <v>5548</v>
      </c>
      <c r="C2589" s="17" t="s">
        <v>5405</v>
      </c>
      <c r="D2589" s="17" t="s">
        <v>7256</v>
      </c>
      <c r="E2589" s="17" t="s">
        <v>4812</v>
      </c>
      <c r="F2589" s="454">
        <v>23.67</v>
      </c>
      <c r="G2589" s="529">
        <v>23.67</v>
      </c>
      <c r="H2589" s="487">
        <f t="shared" si="1175"/>
        <v>18.940000000000001</v>
      </c>
      <c r="I2589" s="706"/>
      <c r="J2589" s="669" t="s">
        <v>5805</v>
      </c>
      <c r="K2589" s="23"/>
      <c r="L2589" s="70" t="str">
        <f t="shared" si="1176"/>
        <v/>
      </c>
      <c r="M2589" s="49">
        <f t="shared" si="1177"/>
        <v>23.67</v>
      </c>
      <c r="N2589" s="41">
        <v>11.67</v>
      </c>
      <c r="O2589" s="43" t="s">
        <v>1017</v>
      </c>
      <c r="P2589" s="65"/>
      <c r="Q2589" s="65"/>
      <c r="R2589" s="58"/>
      <c r="T2589" s="65"/>
      <c r="U2589" s="65"/>
      <c r="X2589" s="65"/>
      <c r="Y2589" s="12" t="s">
        <v>1017</v>
      </c>
      <c r="AA2589" s="67"/>
      <c r="AD2589" s="53"/>
    </row>
    <row r="2590" spans="1:30" s="12" customFormat="1" x14ac:dyDescent="0.25">
      <c r="A2590" s="610" t="s">
        <v>4305</v>
      </c>
      <c r="B2590" s="17" t="s">
        <v>5548</v>
      </c>
      <c r="C2590" s="17" t="s">
        <v>5405</v>
      </c>
      <c r="D2590" s="17" t="s">
        <v>7257</v>
      </c>
      <c r="E2590" s="17" t="s">
        <v>4810</v>
      </c>
      <c r="F2590" s="454">
        <v>21.67</v>
      </c>
      <c r="G2590" s="529">
        <v>21.67</v>
      </c>
      <c r="H2590" s="487">
        <f t="shared" si="1175"/>
        <v>17.34</v>
      </c>
      <c r="I2590" s="706"/>
      <c r="J2590" s="669" t="s">
        <v>5805</v>
      </c>
      <c r="K2590" s="23"/>
      <c r="L2590" s="70" t="str">
        <f t="shared" si="1176"/>
        <v/>
      </c>
      <c r="M2590" s="49">
        <f t="shared" si="1177"/>
        <v>21.67</v>
      </c>
      <c r="N2590" s="41">
        <v>11.67</v>
      </c>
      <c r="O2590" s="61"/>
      <c r="P2590" s="65"/>
      <c r="Q2590" s="65"/>
      <c r="R2590" s="58" t="s">
        <v>1017</v>
      </c>
      <c r="T2590" s="65"/>
      <c r="U2590" s="65"/>
      <c r="X2590" s="65"/>
      <c r="Y2590" s="12" t="s">
        <v>1017</v>
      </c>
      <c r="AA2590" s="67"/>
      <c r="AD2590" s="53"/>
    </row>
    <row r="2591" spans="1:30" s="12" customFormat="1" x14ac:dyDescent="0.25">
      <c r="A2591" s="610" t="s">
        <v>4306</v>
      </c>
      <c r="B2591" s="17" t="s">
        <v>5548</v>
      </c>
      <c r="C2591" s="17" t="s">
        <v>5405</v>
      </c>
      <c r="D2591" s="17" t="s">
        <v>7258</v>
      </c>
      <c r="E2591" s="17" t="s">
        <v>4812</v>
      </c>
      <c r="F2591" s="454">
        <v>24.67</v>
      </c>
      <c r="G2591" s="529">
        <v>24.67</v>
      </c>
      <c r="H2591" s="487">
        <f t="shared" si="1175"/>
        <v>19.739999999999998</v>
      </c>
      <c r="I2591" s="706"/>
      <c r="J2591" s="669" t="s">
        <v>5805</v>
      </c>
      <c r="K2591" s="23"/>
      <c r="L2591" s="70" t="str">
        <f t="shared" si="1176"/>
        <v/>
      </c>
      <c r="M2591" s="49">
        <f t="shared" si="1177"/>
        <v>24.67</v>
      </c>
      <c r="N2591" s="41">
        <v>11.67</v>
      </c>
      <c r="O2591" s="43" t="s">
        <v>1017</v>
      </c>
      <c r="P2591" s="65"/>
      <c r="Q2591" s="65"/>
      <c r="R2591" s="58" t="s">
        <v>1017</v>
      </c>
      <c r="T2591" s="65"/>
      <c r="U2591" s="65"/>
      <c r="X2591" s="65"/>
      <c r="Y2591" s="12" t="s">
        <v>1017</v>
      </c>
      <c r="AA2591" s="67"/>
      <c r="AD2591" s="53"/>
    </row>
    <row r="2592" spans="1:30" s="12" customFormat="1" x14ac:dyDescent="0.25">
      <c r="A2592" s="610" t="s">
        <v>3338</v>
      </c>
      <c r="B2592" s="17" t="s">
        <v>5548</v>
      </c>
      <c r="C2592" s="17" t="s">
        <v>5405</v>
      </c>
      <c r="D2592" s="17" t="s">
        <v>6822</v>
      </c>
      <c r="E2592" s="17" t="s">
        <v>4810</v>
      </c>
      <c r="F2592" s="454">
        <v>22.67</v>
      </c>
      <c r="G2592" s="529">
        <v>22.67</v>
      </c>
      <c r="H2592" s="487">
        <f t="shared" si="1175"/>
        <v>18.14</v>
      </c>
      <c r="I2592" s="706"/>
      <c r="J2592" s="669" t="s">
        <v>5805</v>
      </c>
      <c r="K2592" s="23"/>
      <c r="L2592" s="70" t="str">
        <f t="shared" si="1176"/>
        <v/>
      </c>
      <c r="M2592" s="49">
        <f t="shared" si="1177"/>
        <v>22.67</v>
      </c>
      <c r="N2592" s="41">
        <v>11.67</v>
      </c>
      <c r="O2592" s="61"/>
      <c r="P2592" s="65"/>
      <c r="Q2592" s="65"/>
      <c r="R2592" s="58"/>
      <c r="T2592" s="65"/>
      <c r="U2592" s="65"/>
      <c r="W2592" s="12" t="s">
        <v>1017</v>
      </c>
      <c r="X2592" s="65"/>
      <c r="AA2592" s="67"/>
      <c r="AD2592" s="53"/>
    </row>
    <row r="2593" spans="1:30" s="12" customFormat="1" x14ac:dyDescent="0.25">
      <c r="A2593" s="610" t="s">
        <v>3339</v>
      </c>
      <c r="B2593" s="17" t="s">
        <v>5548</v>
      </c>
      <c r="C2593" s="17" t="s">
        <v>5405</v>
      </c>
      <c r="D2593" s="17" t="s">
        <v>7259</v>
      </c>
      <c r="E2593" s="17" t="s">
        <v>4812</v>
      </c>
      <c r="F2593" s="454">
        <v>25.67</v>
      </c>
      <c r="G2593" s="529">
        <v>25.67</v>
      </c>
      <c r="H2593" s="487">
        <f t="shared" si="1175"/>
        <v>20.54</v>
      </c>
      <c r="I2593" s="706"/>
      <c r="J2593" s="669" t="s">
        <v>5805</v>
      </c>
      <c r="K2593" s="23"/>
      <c r="L2593" s="70" t="str">
        <f t="shared" si="1176"/>
        <v/>
      </c>
      <c r="M2593" s="49">
        <f t="shared" si="1177"/>
        <v>25.67</v>
      </c>
      <c r="N2593" s="41">
        <v>11.67</v>
      </c>
      <c r="O2593" s="43" t="s">
        <v>1017</v>
      </c>
      <c r="P2593" s="65"/>
      <c r="Q2593" s="65"/>
      <c r="R2593" s="58"/>
      <c r="T2593" s="65"/>
      <c r="U2593" s="65"/>
      <c r="W2593" s="12" t="s">
        <v>1017</v>
      </c>
      <c r="X2593" s="65"/>
      <c r="AA2593" s="67"/>
      <c r="AD2593" s="53"/>
    </row>
    <row r="2594" spans="1:30" s="12" customFormat="1" x14ac:dyDescent="0.25">
      <c r="A2594" s="610" t="s">
        <v>4301</v>
      </c>
      <c r="B2594" s="17" t="s">
        <v>5548</v>
      </c>
      <c r="C2594" s="17" t="s">
        <v>5405</v>
      </c>
      <c r="D2594" s="17" t="s">
        <v>7260</v>
      </c>
      <c r="E2594" s="17" t="s">
        <v>4810</v>
      </c>
      <c r="F2594" s="454">
        <v>23.67</v>
      </c>
      <c r="G2594" s="529">
        <v>23.67</v>
      </c>
      <c r="H2594" s="487">
        <f t="shared" si="1175"/>
        <v>18.940000000000001</v>
      </c>
      <c r="I2594" s="706"/>
      <c r="J2594" s="669" t="s">
        <v>5805</v>
      </c>
      <c r="K2594" s="23"/>
      <c r="L2594" s="70" t="str">
        <f t="shared" si="1176"/>
        <v/>
      </c>
      <c r="M2594" s="49">
        <f t="shared" si="1177"/>
        <v>23.67</v>
      </c>
      <c r="N2594" s="41">
        <v>11.67</v>
      </c>
      <c r="O2594" s="61"/>
      <c r="P2594" s="65"/>
      <c r="Q2594" s="65"/>
      <c r="R2594" s="58" t="s">
        <v>1017</v>
      </c>
      <c r="T2594" s="65"/>
      <c r="U2594" s="65"/>
      <c r="W2594" s="12" t="s">
        <v>1017</v>
      </c>
      <c r="X2594" s="65"/>
      <c r="AA2594" s="67"/>
      <c r="AD2594" s="53"/>
    </row>
    <row r="2595" spans="1:30" s="12" customFormat="1" x14ac:dyDescent="0.25">
      <c r="A2595" s="610" t="s">
        <v>4302</v>
      </c>
      <c r="B2595" s="17" t="s">
        <v>5548</v>
      </c>
      <c r="C2595" s="17" t="s">
        <v>5405</v>
      </c>
      <c r="D2595" s="17" t="s">
        <v>7261</v>
      </c>
      <c r="E2595" s="17" t="s">
        <v>4812</v>
      </c>
      <c r="F2595" s="454">
        <v>26.67</v>
      </c>
      <c r="G2595" s="529">
        <v>26.67</v>
      </c>
      <c r="H2595" s="487">
        <f t="shared" si="1175"/>
        <v>21.34</v>
      </c>
      <c r="I2595" s="706"/>
      <c r="J2595" s="669" t="s">
        <v>5805</v>
      </c>
      <c r="K2595" s="23"/>
      <c r="L2595" s="70" t="str">
        <f t="shared" si="1176"/>
        <v/>
      </c>
      <c r="M2595" s="49">
        <f t="shared" si="1177"/>
        <v>26.67</v>
      </c>
      <c r="N2595" s="41">
        <v>11.67</v>
      </c>
      <c r="O2595" s="43" t="s">
        <v>1017</v>
      </c>
      <c r="P2595" s="65"/>
      <c r="Q2595" s="65"/>
      <c r="R2595" s="58" t="s">
        <v>1017</v>
      </c>
      <c r="T2595" s="65"/>
      <c r="U2595" s="65"/>
      <c r="W2595" s="12" t="s">
        <v>1017</v>
      </c>
      <c r="X2595" s="65"/>
      <c r="AA2595" s="67"/>
      <c r="AD2595" s="53"/>
    </row>
    <row r="2596" spans="1:30" s="12" customFormat="1" x14ac:dyDescent="0.25">
      <c r="A2596" s="610" t="s">
        <v>3346</v>
      </c>
      <c r="B2596" s="17" t="s">
        <v>5548</v>
      </c>
      <c r="C2596" s="17" t="s">
        <v>5405</v>
      </c>
      <c r="D2596" s="30" t="s">
        <v>7262</v>
      </c>
      <c r="E2596" s="17" t="s">
        <v>4810</v>
      </c>
      <c r="F2596" s="454">
        <v>24.67</v>
      </c>
      <c r="G2596" s="529">
        <v>24.67</v>
      </c>
      <c r="H2596" s="487">
        <f t="shared" si="1175"/>
        <v>19.739999999999998</v>
      </c>
      <c r="I2596" s="706"/>
      <c r="J2596" s="669" t="s">
        <v>5805</v>
      </c>
      <c r="K2596" s="23"/>
      <c r="L2596" s="70" t="str">
        <f t="shared" si="1176"/>
        <v/>
      </c>
      <c r="M2596" s="49">
        <f t="shared" si="1177"/>
        <v>24.67</v>
      </c>
      <c r="N2596" s="41">
        <v>11.67</v>
      </c>
      <c r="O2596" s="61"/>
      <c r="P2596" s="65"/>
      <c r="Q2596" s="65"/>
      <c r="R2596" s="58"/>
      <c r="T2596" s="65"/>
      <c r="U2596" s="65"/>
      <c r="X2596" s="65"/>
      <c r="Z2596" s="12" t="s">
        <v>1017</v>
      </c>
      <c r="AA2596" s="67"/>
      <c r="AD2596" s="53"/>
    </row>
    <row r="2597" spans="1:30" s="12" customFormat="1" x14ac:dyDescent="0.25">
      <c r="A2597" s="610" t="s">
        <v>4294</v>
      </c>
      <c r="B2597" s="17" t="s">
        <v>5548</v>
      </c>
      <c r="C2597" s="17" t="s">
        <v>5405</v>
      </c>
      <c r="D2597" s="30" t="s">
        <v>7263</v>
      </c>
      <c r="E2597" s="17" t="s">
        <v>4812</v>
      </c>
      <c r="F2597" s="454">
        <v>27.67</v>
      </c>
      <c r="G2597" s="529">
        <v>27.67</v>
      </c>
      <c r="H2597" s="487">
        <f t="shared" si="1175"/>
        <v>22.14</v>
      </c>
      <c r="I2597" s="706"/>
      <c r="J2597" s="669" t="s">
        <v>5805</v>
      </c>
      <c r="K2597" s="23"/>
      <c r="L2597" s="70" t="str">
        <f t="shared" si="1176"/>
        <v/>
      </c>
      <c r="M2597" s="49">
        <f t="shared" si="1177"/>
        <v>27.67</v>
      </c>
      <c r="N2597" s="41">
        <v>11.67</v>
      </c>
      <c r="O2597" s="43" t="s">
        <v>1017</v>
      </c>
      <c r="P2597" s="65"/>
      <c r="Q2597" s="65"/>
      <c r="R2597" s="58"/>
      <c r="T2597" s="65"/>
      <c r="U2597" s="65"/>
      <c r="X2597" s="65"/>
      <c r="Z2597" s="12" t="s">
        <v>1017</v>
      </c>
      <c r="AA2597" s="67"/>
      <c r="AD2597" s="53"/>
    </row>
    <row r="2598" spans="1:30" s="12" customFormat="1" x14ac:dyDescent="0.25">
      <c r="A2598" s="610" t="s">
        <v>4309</v>
      </c>
      <c r="B2598" s="17" t="s">
        <v>5548</v>
      </c>
      <c r="C2598" s="17" t="s">
        <v>5405</v>
      </c>
      <c r="D2598" s="30" t="s">
        <v>7264</v>
      </c>
      <c r="E2598" s="17" t="s">
        <v>4810</v>
      </c>
      <c r="F2598" s="454">
        <v>25.67</v>
      </c>
      <c r="G2598" s="529">
        <v>25.67</v>
      </c>
      <c r="H2598" s="487">
        <f t="shared" si="1175"/>
        <v>20.54</v>
      </c>
      <c r="I2598" s="706"/>
      <c r="J2598" s="669" t="s">
        <v>5805</v>
      </c>
      <c r="K2598" s="23"/>
      <c r="L2598" s="70" t="str">
        <f t="shared" si="1176"/>
        <v/>
      </c>
      <c r="M2598" s="49">
        <f t="shared" si="1177"/>
        <v>25.67</v>
      </c>
      <c r="N2598" s="41">
        <v>11.67</v>
      </c>
      <c r="O2598" s="61"/>
      <c r="P2598" s="65"/>
      <c r="Q2598" s="65"/>
      <c r="R2598" s="58" t="s">
        <v>1017</v>
      </c>
      <c r="T2598" s="65"/>
      <c r="U2598" s="65"/>
      <c r="X2598" s="65"/>
      <c r="Z2598" s="12" t="s">
        <v>1017</v>
      </c>
      <c r="AA2598" s="67"/>
      <c r="AD2598" s="53"/>
    </row>
    <row r="2599" spans="1:30" s="12" customFormat="1" x14ac:dyDescent="0.25">
      <c r="A2599" s="610" t="s">
        <v>4310</v>
      </c>
      <c r="B2599" s="17" t="s">
        <v>5548</v>
      </c>
      <c r="C2599" s="17" t="s">
        <v>5405</v>
      </c>
      <c r="D2599" s="30" t="s">
        <v>7265</v>
      </c>
      <c r="E2599" s="17" t="s">
        <v>4812</v>
      </c>
      <c r="F2599" s="454">
        <v>28.67</v>
      </c>
      <c r="G2599" s="529">
        <v>28.67</v>
      </c>
      <c r="H2599" s="487">
        <f t="shared" si="1175"/>
        <v>22.94</v>
      </c>
      <c r="I2599" s="706"/>
      <c r="J2599" s="669" t="s">
        <v>5805</v>
      </c>
      <c r="K2599" s="23"/>
      <c r="L2599" s="70" t="str">
        <f t="shared" si="1176"/>
        <v/>
      </c>
      <c r="M2599" s="49">
        <f t="shared" si="1177"/>
        <v>28.67</v>
      </c>
      <c r="N2599" s="41">
        <v>11.67</v>
      </c>
      <c r="O2599" s="43" t="s">
        <v>1017</v>
      </c>
      <c r="P2599" s="65"/>
      <c r="Q2599" s="65"/>
      <c r="R2599" s="58" t="s">
        <v>1017</v>
      </c>
      <c r="T2599" s="65"/>
      <c r="U2599" s="65"/>
      <c r="X2599" s="65"/>
      <c r="Z2599" s="12" t="s">
        <v>1017</v>
      </c>
      <c r="AA2599" s="67"/>
      <c r="AD2599" s="53"/>
    </row>
    <row r="2600" spans="1:30" s="12" customFormat="1" x14ac:dyDescent="0.25">
      <c r="A2600" s="610" t="s">
        <v>3314</v>
      </c>
      <c r="B2600" s="17" t="s">
        <v>5548</v>
      </c>
      <c r="C2600" s="17" t="s">
        <v>5405</v>
      </c>
      <c r="D2600" s="17" t="s">
        <v>7266</v>
      </c>
      <c r="E2600" s="17" t="s">
        <v>4810</v>
      </c>
      <c r="F2600" s="454">
        <v>13.67</v>
      </c>
      <c r="G2600" s="529">
        <v>13.67</v>
      </c>
      <c r="H2600" s="487">
        <f t="shared" si="1175"/>
        <v>10.94</v>
      </c>
      <c r="I2600" s="706"/>
      <c r="J2600" s="669" t="s">
        <v>5805</v>
      </c>
      <c r="K2600" s="23"/>
      <c r="L2600" s="70" t="str">
        <f t="shared" si="1176"/>
        <v/>
      </c>
      <c r="M2600" s="49">
        <f t="shared" si="1177"/>
        <v>13.67</v>
      </c>
      <c r="N2600" s="41">
        <v>11.67</v>
      </c>
      <c r="O2600" s="61"/>
      <c r="P2600" s="65"/>
      <c r="Q2600" s="65"/>
      <c r="R2600" s="58"/>
      <c r="T2600" s="65"/>
      <c r="U2600" s="65"/>
      <c r="X2600" s="65"/>
      <c r="AA2600" s="67"/>
      <c r="AB2600" s="12" t="s">
        <v>1017</v>
      </c>
      <c r="AD2600" s="53"/>
    </row>
    <row r="2601" spans="1:30" s="12" customFormat="1" x14ac:dyDescent="0.25">
      <c r="A2601" s="610" t="s">
        <v>3315</v>
      </c>
      <c r="B2601" s="17" t="s">
        <v>5548</v>
      </c>
      <c r="C2601" s="17" t="s">
        <v>5405</v>
      </c>
      <c r="D2601" s="17" t="s">
        <v>7267</v>
      </c>
      <c r="E2601" s="17" t="s">
        <v>4812</v>
      </c>
      <c r="F2601" s="454">
        <v>16.670000000000002</v>
      </c>
      <c r="G2601" s="529">
        <v>16.670000000000002</v>
      </c>
      <c r="H2601" s="487">
        <f t="shared" si="1175"/>
        <v>13.34</v>
      </c>
      <c r="I2601" s="706"/>
      <c r="J2601" s="669" t="s">
        <v>5805</v>
      </c>
      <c r="K2601" s="23"/>
      <c r="L2601" s="70" t="str">
        <f t="shared" si="1176"/>
        <v/>
      </c>
      <c r="M2601" s="49">
        <f t="shared" si="1177"/>
        <v>16.670000000000002</v>
      </c>
      <c r="N2601" s="41">
        <v>11.67</v>
      </c>
      <c r="O2601" s="43" t="s">
        <v>1017</v>
      </c>
      <c r="P2601" s="65"/>
      <c r="Q2601" s="65"/>
      <c r="R2601" s="58"/>
      <c r="T2601" s="65"/>
      <c r="U2601" s="65"/>
      <c r="X2601" s="65"/>
      <c r="AA2601" s="67"/>
      <c r="AB2601" s="12" t="s">
        <v>1017</v>
      </c>
      <c r="AD2601" s="53"/>
    </row>
    <row r="2602" spans="1:30" s="12" customFormat="1" x14ac:dyDescent="0.25">
      <c r="A2602" s="610" t="s">
        <v>2676</v>
      </c>
      <c r="B2602" s="17" t="s">
        <v>5548</v>
      </c>
      <c r="C2602" s="17" t="s">
        <v>5405</v>
      </c>
      <c r="D2602" s="30" t="s">
        <v>7268</v>
      </c>
      <c r="E2602" s="17" t="s">
        <v>4810</v>
      </c>
      <c r="F2602" s="454">
        <v>14.67</v>
      </c>
      <c r="G2602" s="529">
        <v>14.67</v>
      </c>
      <c r="H2602" s="487">
        <f t="shared" si="1175"/>
        <v>11.74</v>
      </c>
      <c r="I2602" s="706"/>
      <c r="J2602" s="669" t="s">
        <v>5805</v>
      </c>
      <c r="K2602" s="23"/>
      <c r="L2602" s="70" t="str">
        <f t="shared" si="1176"/>
        <v/>
      </c>
      <c r="M2602" s="49">
        <f t="shared" si="1177"/>
        <v>14.67</v>
      </c>
      <c r="N2602" s="41">
        <v>11.67</v>
      </c>
      <c r="O2602" s="61"/>
      <c r="P2602" s="65"/>
      <c r="Q2602" s="65"/>
      <c r="R2602" s="58" t="s">
        <v>1017</v>
      </c>
      <c r="T2602" s="65"/>
      <c r="U2602" s="65"/>
      <c r="X2602" s="65"/>
      <c r="AA2602" s="67"/>
      <c r="AB2602" s="12" t="s">
        <v>1017</v>
      </c>
      <c r="AD2602" s="53"/>
    </row>
    <row r="2603" spans="1:30" s="12" customFormat="1" x14ac:dyDescent="0.25">
      <c r="A2603" s="610" t="s">
        <v>2677</v>
      </c>
      <c r="B2603" s="17" t="s">
        <v>5548</v>
      </c>
      <c r="C2603" s="17" t="s">
        <v>5405</v>
      </c>
      <c r="D2603" s="30" t="s">
        <v>7269</v>
      </c>
      <c r="E2603" s="17" t="s">
        <v>4812</v>
      </c>
      <c r="F2603" s="454">
        <v>17.670000000000002</v>
      </c>
      <c r="G2603" s="529">
        <v>17.670000000000002</v>
      </c>
      <c r="H2603" s="487">
        <f t="shared" si="1175"/>
        <v>14.14</v>
      </c>
      <c r="I2603" s="706"/>
      <c r="J2603" s="669" t="s">
        <v>5805</v>
      </c>
      <c r="K2603" s="23"/>
      <c r="L2603" s="70" t="str">
        <f t="shared" si="1176"/>
        <v/>
      </c>
      <c r="M2603" s="49">
        <f t="shared" si="1177"/>
        <v>17.670000000000002</v>
      </c>
      <c r="N2603" s="41">
        <v>11.67</v>
      </c>
      <c r="O2603" s="43" t="s">
        <v>1017</v>
      </c>
      <c r="P2603" s="65"/>
      <c r="Q2603" s="65"/>
      <c r="R2603" s="58" t="s">
        <v>1017</v>
      </c>
      <c r="T2603" s="65"/>
      <c r="U2603" s="65"/>
      <c r="X2603" s="65"/>
      <c r="AA2603" s="67"/>
      <c r="AB2603" s="12" t="s">
        <v>1017</v>
      </c>
      <c r="AD2603" s="53"/>
    </row>
    <row r="2604" spans="1:30" s="12" customFormat="1" x14ac:dyDescent="0.25">
      <c r="A2604" s="610" t="s">
        <v>4313</v>
      </c>
      <c r="B2604" s="17" t="s">
        <v>5548</v>
      </c>
      <c r="C2604" s="17" t="s">
        <v>5405</v>
      </c>
      <c r="D2604" s="17" t="s">
        <v>7270</v>
      </c>
      <c r="E2604" s="17" t="s">
        <v>4810</v>
      </c>
      <c r="F2604" s="454">
        <v>19.670000000000002</v>
      </c>
      <c r="G2604" s="529">
        <v>19.670000000000002</v>
      </c>
      <c r="H2604" s="487">
        <f t="shared" si="1175"/>
        <v>15.74</v>
      </c>
      <c r="I2604" s="706"/>
      <c r="J2604" s="669" t="s">
        <v>5805</v>
      </c>
      <c r="K2604" s="23"/>
      <c r="L2604" s="70" t="str">
        <f t="shared" si="1176"/>
        <v/>
      </c>
      <c r="M2604" s="49">
        <f t="shared" si="1177"/>
        <v>19.670000000000002</v>
      </c>
      <c r="N2604" s="41">
        <v>11.67</v>
      </c>
      <c r="O2604" s="61"/>
      <c r="P2604" s="65"/>
      <c r="Q2604" s="65"/>
      <c r="R2604" s="58"/>
      <c r="S2604" s="12" t="s">
        <v>1017</v>
      </c>
      <c r="T2604" s="65"/>
      <c r="U2604" s="65"/>
      <c r="X2604" s="65"/>
      <c r="AA2604" s="67"/>
      <c r="AB2604" s="12" t="s">
        <v>1017</v>
      </c>
      <c r="AD2604" s="53"/>
    </row>
    <row r="2605" spans="1:30" s="12" customFormat="1" x14ac:dyDescent="0.25">
      <c r="A2605" s="610" t="s">
        <v>4314</v>
      </c>
      <c r="B2605" s="17" t="s">
        <v>5548</v>
      </c>
      <c r="C2605" s="17" t="s">
        <v>5405</v>
      </c>
      <c r="D2605" s="17" t="s">
        <v>7271</v>
      </c>
      <c r="E2605" s="17" t="s">
        <v>4812</v>
      </c>
      <c r="F2605" s="454">
        <v>22.67</v>
      </c>
      <c r="G2605" s="529">
        <v>22.67</v>
      </c>
      <c r="H2605" s="487">
        <f t="shared" si="1175"/>
        <v>18.14</v>
      </c>
      <c r="I2605" s="706"/>
      <c r="J2605" s="669" t="s">
        <v>5805</v>
      </c>
      <c r="K2605" s="23"/>
      <c r="L2605" s="70" t="str">
        <f t="shared" si="1176"/>
        <v/>
      </c>
      <c r="M2605" s="49">
        <f t="shared" si="1177"/>
        <v>22.67</v>
      </c>
      <c r="N2605" s="41">
        <v>11.67</v>
      </c>
      <c r="O2605" s="43" t="s">
        <v>1017</v>
      </c>
      <c r="P2605" s="65"/>
      <c r="Q2605" s="65"/>
      <c r="R2605" s="58"/>
      <c r="S2605" s="12" t="s">
        <v>1017</v>
      </c>
      <c r="T2605" s="65"/>
      <c r="U2605" s="65"/>
      <c r="X2605" s="65"/>
      <c r="AA2605" s="67"/>
      <c r="AB2605" s="12" t="s">
        <v>1017</v>
      </c>
      <c r="AD2605" s="53"/>
    </row>
    <row r="2606" spans="1:30" s="12" customFormat="1" x14ac:dyDescent="0.25">
      <c r="A2606" s="610" t="s">
        <v>568</v>
      </c>
      <c r="B2606" s="17" t="s">
        <v>5548</v>
      </c>
      <c r="C2606" s="17" t="s">
        <v>5405</v>
      </c>
      <c r="D2606" s="30" t="s">
        <v>7272</v>
      </c>
      <c r="E2606" s="17" t="s">
        <v>4810</v>
      </c>
      <c r="F2606" s="454">
        <v>20.67</v>
      </c>
      <c r="G2606" s="529">
        <v>20.67</v>
      </c>
      <c r="H2606" s="487">
        <f t="shared" si="1175"/>
        <v>16.54</v>
      </c>
      <c r="I2606" s="706"/>
      <c r="J2606" s="669" t="s">
        <v>5805</v>
      </c>
      <c r="K2606" s="23"/>
      <c r="L2606" s="70" t="str">
        <f t="shared" si="1176"/>
        <v/>
      </c>
      <c r="M2606" s="49">
        <f t="shared" si="1177"/>
        <v>20.67</v>
      </c>
      <c r="N2606" s="41">
        <v>11.67</v>
      </c>
      <c r="O2606" s="61"/>
      <c r="P2606" s="65"/>
      <c r="Q2606" s="65"/>
      <c r="R2606" s="58" t="s">
        <v>1017</v>
      </c>
      <c r="S2606" s="12" t="s">
        <v>1017</v>
      </c>
      <c r="T2606" s="65"/>
      <c r="U2606" s="65"/>
      <c r="X2606" s="65"/>
      <c r="AA2606" s="67"/>
      <c r="AB2606" s="12" t="s">
        <v>1017</v>
      </c>
      <c r="AD2606" s="53"/>
    </row>
    <row r="2607" spans="1:30" s="12" customFormat="1" x14ac:dyDescent="0.25">
      <c r="A2607" s="610" t="s">
        <v>569</v>
      </c>
      <c r="B2607" s="17" t="s">
        <v>5548</v>
      </c>
      <c r="C2607" s="17" t="s">
        <v>5405</v>
      </c>
      <c r="D2607" s="30" t="s">
        <v>7273</v>
      </c>
      <c r="E2607" s="17" t="s">
        <v>4812</v>
      </c>
      <c r="F2607" s="454">
        <v>23.67</v>
      </c>
      <c r="G2607" s="529">
        <v>23.67</v>
      </c>
      <c r="H2607" s="487">
        <f t="shared" si="1175"/>
        <v>18.940000000000001</v>
      </c>
      <c r="I2607" s="706"/>
      <c r="J2607" s="669" t="s">
        <v>5805</v>
      </c>
      <c r="K2607" s="23"/>
      <c r="L2607" s="70" t="str">
        <f t="shared" si="1176"/>
        <v/>
      </c>
      <c r="M2607" s="49">
        <f t="shared" si="1177"/>
        <v>23.67</v>
      </c>
      <c r="N2607" s="41">
        <v>11.67</v>
      </c>
      <c r="O2607" s="43" t="s">
        <v>1017</v>
      </c>
      <c r="P2607" s="65"/>
      <c r="Q2607" s="65"/>
      <c r="R2607" s="58" t="s">
        <v>1017</v>
      </c>
      <c r="S2607" s="12" t="s">
        <v>1017</v>
      </c>
      <c r="T2607" s="65"/>
      <c r="U2607" s="65"/>
      <c r="X2607" s="65"/>
      <c r="AA2607" s="67"/>
      <c r="AB2607" s="12" t="s">
        <v>1017</v>
      </c>
      <c r="AD2607" s="53"/>
    </row>
    <row r="2608" spans="1:30" s="12" customFormat="1" x14ac:dyDescent="0.25">
      <c r="A2608" s="610" t="s">
        <v>4321</v>
      </c>
      <c r="B2608" s="17" t="s">
        <v>5548</v>
      </c>
      <c r="C2608" s="17" t="s">
        <v>5405</v>
      </c>
      <c r="D2608" s="17" t="s">
        <v>7274</v>
      </c>
      <c r="E2608" s="17" t="s">
        <v>4810</v>
      </c>
      <c r="F2608" s="454">
        <v>20.67</v>
      </c>
      <c r="G2608" s="529">
        <v>20.67</v>
      </c>
      <c r="H2608" s="487">
        <f t="shared" si="1175"/>
        <v>16.54</v>
      </c>
      <c r="I2608" s="706"/>
      <c r="J2608" s="669" t="s">
        <v>5805</v>
      </c>
      <c r="K2608" s="23"/>
      <c r="L2608" s="70" t="str">
        <f t="shared" si="1176"/>
        <v/>
      </c>
      <c r="M2608" s="49">
        <f t="shared" si="1177"/>
        <v>20.67</v>
      </c>
      <c r="N2608" s="41">
        <v>11.67</v>
      </c>
      <c r="O2608" s="61"/>
      <c r="P2608" s="65"/>
      <c r="Q2608" s="65"/>
      <c r="R2608" s="58"/>
      <c r="T2608" s="65"/>
      <c r="U2608" s="65"/>
      <c r="V2608" s="12" t="s">
        <v>1017</v>
      </c>
      <c r="X2608" s="65"/>
      <c r="AA2608" s="67"/>
      <c r="AB2608" s="12" t="s">
        <v>1017</v>
      </c>
      <c r="AD2608" s="53"/>
    </row>
    <row r="2609" spans="1:30" s="12" customFormat="1" x14ac:dyDescent="0.25">
      <c r="A2609" s="610" t="s">
        <v>4322</v>
      </c>
      <c r="B2609" s="17" t="s">
        <v>5548</v>
      </c>
      <c r="C2609" s="17" t="s">
        <v>5405</v>
      </c>
      <c r="D2609" s="17" t="s">
        <v>7275</v>
      </c>
      <c r="E2609" s="17" t="s">
        <v>4812</v>
      </c>
      <c r="F2609" s="454">
        <v>23.67</v>
      </c>
      <c r="G2609" s="529">
        <v>23.67</v>
      </c>
      <c r="H2609" s="487">
        <f t="shared" si="1175"/>
        <v>18.940000000000001</v>
      </c>
      <c r="I2609" s="706"/>
      <c r="J2609" s="669" t="s">
        <v>5805</v>
      </c>
      <c r="K2609" s="23"/>
      <c r="L2609" s="70" t="str">
        <f t="shared" si="1176"/>
        <v/>
      </c>
      <c r="M2609" s="49">
        <f t="shared" si="1177"/>
        <v>23.67</v>
      </c>
      <c r="N2609" s="41">
        <v>11.67</v>
      </c>
      <c r="O2609" s="43" t="s">
        <v>1017</v>
      </c>
      <c r="P2609" s="65"/>
      <c r="Q2609" s="65"/>
      <c r="R2609" s="58"/>
      <c r="T2609" s="65"/>
      <c r="U2609" s="65"/>
      <c r="V2609" s="12" t="s">
        <v>1017</v>
      </c>
      <c r="X2609" s="65"/>
      <c r="AA2609" s="67"/>
      <c r="AB2609" s="12" t="s">
        <v>1017</v>
      </c>
      <c r="AD2609" s="53"/>
    </row>
    <row r="2610" spans="1:30" s="12" customFormat="1" x14ac:dyDescent="0.25">
      <c r="A2610" s="610" t="s">
        <v>5052</v>
      </c>
      <c r="B2610" s="17" t="s">
        <v>5548</v>
      </c>
      <c r="C2610" s="17" t="s">
        <v>5405</v>
      </c>
      <c r="D2610" s="17" t="s">
        <v>7276</v>
      </c>
      <c r="E2610" s="17" t="s">
        <v>4810</v>
      </c>
      <c r="F2610" s="454">
        <v>21.67</v>
      </c>
      <c r="G2610" s="529">
        <v>21.67</v>
      </c>
      <c r="H2610" s="487">
        <f t="shared" si="1175"/>
        <v>17.34</v>
      </c>
      <c r="I2610" s="706"/>
      <c r="J2610" s="669" t="s">
        <v>5805</v>
      </c>
      <c r="K2610" s="23"/>
      <c r="L2610" s="70" t="str">
        <f t="shared" si="1176"/>
        <v/>
      </c>
      <c r="M2610" s="49">
        <f t="shared" si="1177"/>
        <v>21.67</v>
      </c>
      <c r="N2610" s="41">
        <v>11.67</v>
      </c>
      <c r="O2610" s="61"/>
      <c r="P2610" s="65"/>
      <c r="Q2610" s="65"/>
      <c r="R2610" s="58" t="s">
        <v>1017</v>
      </c>
      <c r="T2610" s="65"/>
      <c r="U2610" s="65"/>
      <c r="V2610" s="12" t="s">
        <v>1017</v>
      </c>
      <c r="X2610" s="65"/>
      <c r="AA2610" s="67"/>
      <c r="AB2610" s="12" t="s">
        <v>1017</v>
      </c>
      <c r="AD2610" s="53"/>
    </row>
    <row r="2611" spans="1:30" s="12" customFormat="1" x14ac:dyDescent="0.25">
      <c r="A2611" s="610" t="s">
        <v>5053</v>
      </c>
      <c r="B2611" s="17" t="s">
        <v>5548</v>
      </c>
      <c r="C2611" s="17" t="s">
        <v>5405</v>
      </c>
      <c r="D2611" s="17" t="s">
        <v>7277</v>
      </c>
      <c r="E2611" s="17" t="s">
        <v>4812</v>
      </c>
      <c r="F2611" s="454">
        <v>24.67</v>
      </c>
      <c r="G2611" s="529">
        <v>24.67</v>
      </c>
      <c r="H2611" s="487">
        <f t="shared" si="1175"/>
        <v>19.739999999999998</v>
      </c>
      <c r="I2611" s="706"/>
      <c r="J2611" s="669" t="s">
        <v>5805</v>
      </c>
      <c r="K2611" s="23"/>
      <c r="L2611" s="70" t="str">
        <f t="shared" si="1176"/>
        <v/>
      </c>
      <c r="M2611" s="49">
        <f t="shared" si="1177"/>
        <v>24.67</v>
      </c>
      <c r="N2611" s="41">
        <v>11.67</v>
      </c>
      <c r="O2611" s="43" t="s">
        <v>1017</v>
      </c>
      <c r="P2611" s="65"/>
      <c r="Q2611" s="65"/>
      <c r="R2611" s="58" t="s">
        <v>1017</v>
      </c>
      <c r="T2611" s="65"/>
      <c r="U2611" s="65"/>
      <c r="V2611" s="12" t="s">
        <v>1017</v>
      </c>
      <c r="X2611" s="65"/>
      <c r="AA2611" s="67"/>
      <c r="AB2611" s="12" t="s">
        <v>1017</v>
      </c>
      <c r="AD2611" s="53"/>
    </row>
    <row r="2612" spans="1:30" s="12" customFormat="1" x14ac:dyDescent="0.25">
      <c r="A2612" s="610" t="s">
        <v>5044</v>
      </c>
      <c r="B2612" s="17" t="s">
        <v>5548</v>
      </c>
      <c r="C2612" s="17" t="s">
        <v>5405</v>
      </c>
      <c r="D2612" s="17" t="s">
        <v>7278</v>
      </c>
      <c r="E2612" s="17" t="s">
        <v>4810</v>
      </c>
      <c r="F2612" s="454">
        <v>22.67</v>
      </c>
      <c r="G2612" s="529">
        <v>22.67</v>
      </c>
      <c r="H2612" s="487">
        <f t="shared" si="1175"/>
        <v>18.14</v>
      </c>
      <c r="I2612" s="706"/>
      <c r="J2612" s="669" t="s">
        <v>5805</v>
      </c>
      <c r="K2612" s="23"/>
      <c r="L2612" s="70" t="str">
        <f t="shared" si="1176"/>
        <v/>
      </c>
      <c r="M2612" s="49">
        <f t="shared" si="1177"/>
        <v>22.67</v>
      </c>
      <c r="N2612" s="41">
        <v>11.67</v>
      </c>
      <c r="O2612" s="61"/>
      <c r="P2612" s="65"/>
      <c r="Q2612" s="65"/>
      <c r="R2612" s="58"/>
      <c r="T2612" s="65"/>
      <c r="U2612" s="65"/>
      <c r="X2612" s="65"/>
      <c r="Y2612" s="12" t="s">
        <v>1017</v>
      </c>
      <c r="AA2612" s="67"/>
      <c r="AB2612" s="12" t="s">
        <v>1017</v>
      </c>
      <c r="AD2612" s="53"/>
    </row>
    <row r="2613" spans="1:30" s="12" customFormat="1" x14ac:dyDescent="0.25">
      <c r="A2613" s="610" t="s">
        <v>5045</v>
      </c>
      <c r="B2613" s="17" t="s">
        <v>5548</v>
      </c>
      <c r="C2613" s="17" t="s">
        <v>5405</v>
      </c>
      <c r="D2613" s="17" t="s">
        <v>7279</v>
      </c>
      <c r="E2613" s="17" t="s">
        <v>4812</v>
      </c>
      <c r="F2613" s="454">
        <v>25.67</v>
      </c>
      <c r="G2613" s="529">
        <v>25.67</v>
      </c>
      <c r="H2613" s="487">
        <f t="shared" si="1175"/>
        <v>20.54</v>
      </c>
      <c r="I2613" s="706"/>
      <c r="J2613" s="669" t="s">
        <v>5805</v>
      </c>
      <c r="K2613" s="23"/>
      <c r="L2613" s="70" t="str">
        <f t="shared" si="1176"/>
        <v/>
      </c>
      <c r="M2613" s="49">
        <f t="shared" si="1177"/>
        <v>25.67</v>
      </c>
      <c r="N2613" s="41">
        <v>11.67</v>
      </c>
      <c r="O2613" s="43" t="s">
        <v>1017</v>
      </c>
      <c r="P2613" s="65"/>
      <c r="Q2613" s="65"/>
      <c r="R2613" s="58"/>
      <c r="T2613" s="65"/>
      <c r="U2613" s="65"/>
      <c r="X2613" s="65"/>
      <c r="Y2613" s="12" t="s">
        <v>1017</v>
      </c>
      <c r="AA2613" s="67"/>
      <c r="AB2613" s="12" t="s">
        <v>1017</v>
      </c>
      <c r="AD2613" s="53"/>
    </row>
    <row r="2614" spans="1:30" s="12" customFormat="1" x14ac:dyDescent="0.25">
      <c r="A2614" s="610" t="s">
        <v>1036</v>
      </c>
      <c r="B2614" s="17" t="s">
        <v>5548</v>
      </c>
      <c r="C2614" s="17" t="s">
        <v>5405</v>
      </c>
      <c r="D2614" s="17" t="s">
        <v>7280</v>
      </c>
      <c r="E2614" s="17" t="s">
        <v>4810</v>
      </c>
      <c r="F2614" s="454">
        <v>23.67</v>
      </c>
      <c r="G2614" s="529">
        <v>23.67</v>
      </c>
      <c r="H2614" s="487">
        <f t="shared" si="1175"/>
        <v>18.940000000000001</v>
      </c>
      <c r="I2614" s="706"/>
      <c r="J2614" s="669" t="s">
        <v>5805</v>
      </c>
      <c r="K2614" s="23"/>
      <c r="L2614" s="70" t="str">
        <f t="shared" si="1176"/>
        <v/>
      </c>
      <c r="M2614" s="49">
        <f t="shared" si="1177"/>
        <v>23.67</v>
      </c>
      <c r="N2614" s="41">
        <v>11.67</v>
      </c>
      <c r="O2614" s="61"/>
      <c r="P2614" s="65"/>
      <c r="Q2614" s="65"/>
      <c r="R2614" s="58" t="s">
        <v>1017</v>
      </c>
      <c r="T2614" s="65"/>
      <c r="U2614" s="65"/>
      <c r="X2614" s="65"/>
      <c r="Y2614" s="12" t="s">
        <v>1017</v>
      </c>
      <c r="AA2614" s="67"/>
      <c r="AB2614" s="12" t="s">
        <v>1017</v>
      </c>
      <c r="AD2614" s="53"/>
    </row>
    <row r="2615" spans="1:30" s="12" customFormat="1" x14ac:dyDescent="0.25">
      <c r="A2615" s="610" t="s">
        <v>1037</v>
      </c>
      <c r="B2615" s="17" t="s">
        <v>5548</v>
      </c>
      <c r="C2615" s="17" t="s">
        <v>5405</v>
      </c>
      <c r="D2615" s="17" t="s">
        <v>7281</v>
      </c>
      <c r="E2615" s="17" t="s">
        <v>4812</v>
      </c>
      <c r="F2615" s="454">
        <v>26.67</v>
      </c>
      <c r="G2615" s="529">
        <v>26.67</v>
      </c>
      <c r="H2615" s="487">
        <f t="shared" si="1175"/>
        <v>21.34</v>
      </c>
      <c r="I2615" s="706"/>
      <c r="J2615" s="669" t="s">
        <v>5805</v>
      </c>
      <c r="K2615" s="23"/>
      <c r="L2615" s="70" t="str">
        <f t="shared" si="1176"/>
        <v/>
      </c>
      <c r="M2615" s="49">
        <f t="shared" si="1177"/>
        <v>26.67</v>
      </c>
      <c r="N2615" s="41">
        <v>11.67</v>
      </c>
      <c r="O2615" s="43" t="s">
        <v>1017</v>
      </c>
      <c r="P2615" s="65"/>
      <c r="Q2615" s="65"/>
      <c r="R2615" s="58" t="s">
        <v>1017</v>
      </c>
      <c r="T2615" s="65"/>
      <c r="U2615" s="65"/>
      <c r="X2615" s="65"/>
      <c r="Y2615" s="12" t="s">
        <v>1017</v>
      </c>
      <c r="AA2615" s="67"/>
      <c r="AB2615" s="12" t="s">
        <v>1017</v>
      </c>
      <c r="AD2615" s="53"/>
    </row>
    <row r="2616" spans="1:30" s="12" customFormat="1" x14ac:dyDescent="0.25">
      <c r="A2616" s="610" t="s">
        <v>4325</v>
      </c>
      <c r="B2616" s="17" t="s">
        <v>5548</v>
      </c>
      <c r="C2616" s="17" t="s">
        <v>5405</v>
      </c>
      <c r="D2616" s="17" t="s">
        <v>7282</v>
      </c>
      <c r="E2616" s="17" t="s">
        <v>4810</v>
      </c>
      <c r="F2616" s="454">
        <v>24.67</v>
      </c>
      <c r="G2616" s="529">
        <v>24.67</v>
      </c>
      <c r="H2616" s="487">
        <f t="shared" si="1175"/>
        <v>19.739999999999998</v>
      </c>
      <c r="I2616" s="706"/>
      <c r="J2616" s="669" t="s">
        <v>5805</v>
      </c>
      <c r="K2616" s="23"/>
      <c r="L2616" s="70" t="str">
        <f t="shared" si="1176"/>
        <v/>
      </c>
      <c r="M2616" s="49">
        <f t="shared" si="1177"/>
        <v>24.67</v>
      </c>
      <c r="N2616" s="41">
        <v>11.67</v>
      </c>
      <c r="O2616" s="61"/>
      <c r="P2616" s="65"/>
      <c r="Q2616" s="65"/>
      <c r="R2616" s="58"/>
      <c r="T2616" s="65"/>
      <c r="U2616" s="65"/>
      <c r="W2616" s="12" t="s">
        <v>1017</v>
      </c>
      <c r="X2616" s="65"/>
      <c r="AA2616" s="67"/>
      <c r="AB2616" s="12" t="s">
        <v>1017</v>
      </c>
      <c r="AD2616" s="53"/>
    </row>
    <row r="2617" spans="1:30" s="12" customFormat="1" x14ac:dyDescent="0.25">
      <c r="A2617" s="610" t="s">
        <v>4326</v>
      </c>
      <c r="B2617" s="17" t="s">
        <v>5548</v>
      </c>
      <c r="C2617" s="17" t="s">
        <v>5405</v>
      </c>
      <c r="D2617" s="17" t="s">
        <v>7283</v>
      </c>
      <c r="E2617" s="17" t="s">
        <v>4812</v>
      </c>
      <c r="F2617" s="454">
        <v>27.67</v>
      </c>
      <c r="G2617" s="529">
        <v>27.67</v>
      </c>
      <c r="H2617" s="487">
        <f t="shared" si="1175"/>
        <v>22.14</v>
      </c>
      <c r="I2617" s="706"/>
      <c r="J2617" s="669" t="s">
        <v>5805</v>
      </c>
      <c r="K2617" s="23"/>
      <c r="L2617" s="70" t="str">
        <f t="shared" si="1176"/>
        <v/>
      </c>
      <c r="M2617" s="49">
        <f t="shared" si="1177"/>
        <v>27.67</v>
      </c>
      <c r="N2617" s="41">
        <v>11.67</v>
      </c>
      <c r="O2617" s="43" t="s">
        <v>1017</v>
      </c>
      <c r="P2617" s="65"/>
      <c r="Q2617" s="65"/>
      <c r="R2617" s="58"/>
      <c r="T2617" s="65"/>
      <c r="U2617" s="65"/>
      <c r="W2617" s="12" t="s">
        <v>1017</v>
      </c>
      <c r="X2617" s="65"/>
      <c r="AA2617" s="67"/>
      <c r="AB2617" s="12" t="s">
        <v>1017</v>
      </c>
      <c r="AD2617" s="53"/>
    </row>
    <row r="2618" spans="1:30" s="12" customFormat="1" x14ac:dyDescent="0.25">
      <c r="A2618" s="610" t="s">
        <v>5056</v>
      </c>
      <c r="B2618" s="17" t="s">
        <v>5548</v>
      </c>
      <c r="C2618" s="17" t="s">
        <v>5405</v>
      </c>
      <c r="D2618" s="17" t="s">
        <v>7284</v>
      </c>
      <c r="E2618" s="17" t="s">
        <v>4810</v>
      </c>
      <c r="F2618" s="454">
        <v>25.67</v>
      </c>
      <c r="G2618" s="529">
        <v>25.67</v>
      </c>
      <c r="H2618" s="487">
        <f t="shared" si="1175"/>
        <v>20.54</v>
      </c>
      <c r="I2618" s="706"/>
      <c r="J2618" s="669" t="s">
        <v>5805</v>
      </c>
      <c r="K2618" s="23"/>
      <c r="L2618" s="70" t="str">
        <f t="shared" si="1176"/>
        <v/>
      </c>
      <c r="M2618" s="49">
        <f t="shared" si="1177"/>
        <v>25.67</v>
      </c>
      <c r="N2618" s="41">
        <v>11.67</v>
      </c>
      <c r="O2618" s="61"/>
      <c r="P2618" s="65"/>
      <c r="Q2618" s="65"/>
      <c r="R2618" s="58" t="s">
        <v>1017</v>
      </c>
      <c r="T2618" s="65"/>
      <c r="U2618" s="65"/>
      <c r="W2618" s="12" t="s">
        <v>1017</v>
      </c>
      <c r="X2618" s="65"/>
      <c r="AA2618" s="67"/>
      <c r="AB2618" s="12" t="s">
        <v>1017</v>
      </c>
      <c r="AD2618" s="53"/>
    </row>
    <row r="2619" spans="1:30" s="12" customFormat="1" x14ac:dyDescent="0.25">
      <c r="A2619" s="610" t="s">
        <v>5057</v>
      </c>
      <c r="B2619" s="17" t="s">
        <v>5548</v>
      </c>
      <c r="C2619" s="17" t="s">
        <v>5405</v>
      </c>
      <c r="D2619" s="17" t="s">
        <v>7285</v>
      </c>
      <c r="E2619" s="17" t="s">
        <v>4812</v>
      </c>
      <c r="F2619" s="454">
        <v>28.67</v>
      </c>
      <c r="G2619" s="529">
        <v>28.67</v>
      </c>
      <c r="H2619" s="487">
        <f t="shared" si="1175"/>
        <v>22.94</v>
      </c>
      <c r="I2619" s="706"/>
      <c r="J2619" s="669" t="s">
        <v>5805</v>
      </c>
      <c r="K2619" s="23"/>
      <c r="L2619" s="70" t="str">
        <f t="shared" si="1176"/>
        <v/>
      </c>
      <c r="M2619" s="49">
        <f t="shared" si="1177"/>
        <v>28.67</v>
      </c>
      <c r="N2619" s="41">
        <v>11.67</v>
      </c>
      <c r="O2619" s="43" t="s">
        <v>1017</v>
      </c>
      <c r="P2619" s="65"/>
      <c r="Q2619" s="65"/>
      <c r="R2619" s="58" t="s">
        <v>1017</v>
      </c>
      <c r="T2619" s="65"/>
      <c r="U2619" s="65"/>
      <c r="W2619" s="12" t="s">
        <v>1017</v>
      </c>
      <c r="X2619" s="65"/>
      <c r="AA2619" s="67"/>
      <c r="AB2619" s="12" t="s">
        <v>1017</v>
      </c>
      <c r="AD2619" s="53"/>
    </row>
    <row r="2620" spans="1:30" s="12" customFormat="1" x14ac:dyDescent="0.25">
      <c r="A2620" s="610" t="s">
        <v>5048</v>
      </c>
      <c r="B2620" s="17" t="s">
        <v>5548</v>
      </c>
      <c r="C2620" s="17" t="s">
        <v>5405</v>
      </c>
      <c r="D2620" s="17" t="s">
        <v>7286</v>
      </c>
      <c r="E2620" s="17" t="s">
        <v>4810</v>
      </c>
      <c r="F2620" s="454">
        <v>26.67</v>
      </c>
      <c r="G2620" s="529">
        <v>26.67</v>
      </c>
      <c r="H2620" s="487">
        <f t="shared" si="1175"/>
        <v>21.34</v>
      </c>
      <c r="I2620" s="706"/>
      <c r="J2620" s="669" t="s">
        <v>5805</v>
      </c>
      <c r="K2620" s="23"/>
      <c r="L2620" s="70" t="str">
        <f t="shared" si="1176"/>
        <v/>
      </c>
      <c r="M2620" s="49">
        <f t="shared" si="1177"/>
        <v>26.67</v>
      </c>
      <c r="N2620" s="41">
        <v>11.67</v>
      </c>
      <c r="O2620" s="61"/>
      <c r="P2620" s="65"/>
      <c r="Q2620" s="65"/>
      <c r="R2620" s="58"/>
      <c r="T2620" s="65"/>
      <c r="U2620" s="65"/>
      <c r="X2620" s="65"/>
      <c r="Z2620" s="12" t="s">
        <v>1017</v>
      </c>
      <c r="AA2620" s="67"/>
      <c r="AB2620" s="12" t="s">
        <v>1017</v>
      </c>
      <c r="AD2620" s="53"/>
    </row>
    <row r="2621" spans="1:30" s="12" customFormat="1" x14ac:dyDescent="0.25">
      <c r="A2621" s="610" t="s">
        <v>5049</v>
      </c>
      <c r="B2621" s="17" t="s">
        <v>5548</v>
      </c>
      <c r="C2621" s="17" t="s">
        <v>5405</v>
      </c>
      <c r="D2621" s="17" t="s">
        <v>7287</v>
      </c>
      <c r="E2621" s="17" t="s">
        <v>4812</v>
      </c>
      <c r="F2621" s="454">
        <v>29.67</v>
      </c>
      <c r="G2621" s="529">
        <v>29.67</v>
      </c>
      <c r="H2621" s="487">
        <f t="shared" si="1175"/>
        <v>23.74</v>
      </c>
      <c r="I2621" s="706"/>
      <c r="J2621" s="669" t="s">
        <v>5805</v>
      </c>
      <c r="K2621" s="23"/>
      <c r="L2621" s="70" t="str">
        <f t="shared" si="1176"/>
        <v/>
      </c>
      <c r="M2621" s="49">
        <f t="shared" si="1177"/>
        <v>29.67</v>
      </c>
      <c r="N2621" s="41">
        <v>11.67</v>
      </c>
      <c r="O2621" s="43" t="s">
        <v>1017</v>
      </c>
      <c r="P2621" s="65"/>
      <c r="Q2621" s="65"/>
      <c r="R2621" s="58"/>
      <c r="T2621" s="65"/>
      <c r="U2621" s="65"/>
      <c r="X2621" s="65"/>
      <c r="Z2621" s="12" t="s">
        <v>1017</v>
      </c>
      <c r="AA2621" s="67"/>
      <c r="AB2621" s="12" t="s">
        <v>1017</v>
      </c>
      <c r="AD2621" s="53"/>
    </row>
    <row r="2622" spans="1:30" s="12" customFormat="1" x14ac:dyDescent="0.25">
      <c r="A2622" s="610" t="s">
        <v>1040</v>
      </c>
      <c r="B2622" s="17" t="s">
        <v>5548</v>
      </c>
      <c r="C2622" s="17" t="s">
        <v>5405</v>
      </c>
      <c r="D2622" s="17" t="s">
        <v>7288</v>
      </c>
      <c r="E2622" s="17" t="s">
        <v>4810</v>
      </c>
      <c r="F2622" s="454">
        <v>27.67</v>
      </c>
      <c r="G2622" s="529">
        <v>27.67</v>
      </c>
      <c r="H2622" s="487">
        <f t="shared" si="1175"/>
        <v>22.14</v>
      </c>
      <c r="I2622" s="706"/>
      <c r="J2622" s="669" t="s">
        <v>5805</v>
      </c>
      <c r="K2622" s="23"/>
      <c r="L2622" s="70" t="str">
        <f t="shared" si="1176"/>
        <v/>
      </c>
      <c r="M2622" s="49">
        <f t="shared" si="1177"/>
        <v>27.67</v>
      </c>
      <c r="N2622" s="41">
        <v>11.67</v>
      </c>
      <c r="O2622" s="61"/>
      <c r="P2622" s="65"/>
      <c r="Q2622" s="65"/>
      <c r="R2622" s="58" t="s">
        <v>1017</v>
      </c>
      <c r="T2622" s="65"/>
      <c r="U2622" s="65"/>
      <c r="X2622" s="65"/>
      <c r="Z2622" s="12" t="s">
        <v>1017</v>
      </c>
      <c r="AA2622" s="67"/>
      <c r="AB2622" s="12" t="s">
        <v>1017</v>
      </c>
      <c r="AD2622" s="53"/>
    </row>
    <row r="2623" spans="1:30" s="12" customFormat="1" x14ac:dyDescent="0.25">
      <c r="A2623" s="610" t="s">
        <v>1041</v>
      </c>
      <c r="B2623" s="17" t="s">
        <v>5548</v>
      </c>
      <c r="C2623" s="17" t="s">
        <v>5405</v>
      </c>
      <c r="D2623" s="17" t="s">
        <v>7289</v>
      </c>
      <c r="E2623" s="17" t="s">
        <v>4812</v>
      </c>
      <c r="F2623" s="454">
        <v>30.67</v>
      </c>
      <c r="G2623" s="529">
        <v>30.67</v>
      </c>
      <c r="H2623" s="487">
        <f t="shared" si="1175"/>
        <v>24.54</v>
      </c>
      <c r="I2623" s="706"/>
      <c r="J2623" s="669" t="s">
        <v>5805</v>
      </c>
      <c r="K2623" s="23"/>
      <c r="L2623" s="70" t="str">
        <f t="shared" si="1176"/>
        <v/>
      </c>
      <c r="M2623" s="49">
        <f t="shared" si="1177"/>
        <v>30.67</v>
      </c>
      <c r="N2623" s="41">
        <v>11.67</v>
      </c>
      <c r="O2623" s="43" t="s">
        <v>1017</v>
      </c>
      <c r="P2623" s="65"/>
      <c r="Q2623" s="65"/>
      <c r="R2623" s="58" t="s">
        <v>1017</v>
      </c>
      <c r="T2623" s="65"/>
      <c r="U2623" s="65"/>
      <c r="X2623" s="65"/>
      <c r="Z2623" s="12" t="s">
        <v>1017</v>
      </c>
      <c r="AA2623" s="67"/>
      <c r="AB2623" s="12" t="s">
        <v>1017</v>
      </c>
      <c r="AD2623" s="53"/>
    </row>
    <row r="2624" spans="1:30" s="12" customFormat="1" x14ac:dyDescent="0.25">
      <c r="A2624" s="610" t="s">
        <v>3320</v>
      </c>
      <c r="B2624" s="17" t="s">
        <v>5548</v>
      </c>
      <c r="C2624" s="17" t="s">
        <v>5405</v>
      </c>
      <c r="D2624" s="17" t="s">
        <v>7290</v>
      </c>
      <c r="E2624" s="17" t="s">
        <v>4810</v>
      </c>
      <c r="F2624" s="454">
        <v>12.67</v>
      </c>
      <c r="G2624" s="529">
        <v>12.67</v>
      </c>
      <c r="H2624" s="487">
        <f t="shared" si="1175"/>
        <v>10.14</v>
      </c>
      <c r="I2624" s="706"/>
      <c r="J2624" s="669" t="s">
        <v>5805</v>
      </c>
      <c r="K2624" s="23"/>
      <c r="L2624" s="70" t="str">
        <f t="shared" si="1176"/>
        <v/>
      </c>
      <c r="M2624" s="49">
        <f t="shared" si="1177"/>
        <v>12.67</v>
      </c>
      <c r="N2624" s="41">
        <v>11.67</v>
      </c>
      <c r="O2624" s="61"/>
      <c r="P2624" s="65"/>
      <c r="Q2624" s="65"/>
      <c r="R2624" s="58"/>
      <c r="T2624" s="65"/>
      <c r="U2624" s="65"/>
      <c r="X2624" s="65"/>
      <c r="AA2624" s="67"/>
      <c r="AC2624" s="12" t="s">
        <v>1017</v>
      </c>
      <c r="AD2624" s="53"/>
    </row>
    <row r="2625" spans="1:30" s="12" customFormat="1" x14ac:dyDescent="0.25">
      <c r="A2625" s="610" t="s">
        <v>3321</v>
      </c>
      <c r="B2625" s="17" t="s">
        <v>5548</v>
      </c>
      <c r="C2625" s="17" t="s">
        <v>5405</v>
      </c>
      <c r="D2625" s="17" t="s">
        <v>7291</v>
      </c>
      <c r="E2625" s="17" t="s">
        <v>4812</v>
      </c>
      <c r="F2625" s="454">
        <v>15.67</v>
      </c>
      <c r="G2625" s="529">
        <v>15.67</v>
      </c>
      <c r="H2625" s="487">
        <f t="shared" si="1175"/>
        <v>12.54</v>
      </c>
      <c r="I2625" s="706"/>
      <c r="J2625" s="669" t="s">
        <v>5805</v>
      </c>
      <c r="K2625" s="23"/>
      <c r="L2625" s="70" t="str">
        <f t="shared" si="1176"/>
        <v/>
      </c>
      <c r="M2625" s="49">
        <f t="shared" si="1177"/>
        <v>15.67</v>
      </c>
      <c r="N2625" s="41">
        <v>11.67</v>
      </c>
      <c r="O2625" s="43" t="s">
        <v>1017</v>
      </c>
      <c r="P2625" s="65"/>
      <c r="Q2625" s="65"/>
      <c r="R2625" s="58"/>
      <c r="T2625" s="65"/>
      <c r="U2625" s="65"/>
      <c r="X2625" s="65"/>
      <c r="AA2625" s="67"/>
      <c r="AC2625" s="12" t="s">
        <v>1017</v>
      </c>
      <c r="AD2625" s="53"/>
    </row>
    <row r="2626" spans="1:30" s="12" customFormat="1" x14ac:dyDescent="0.25">
      <c r="A2626" s="610" t="s">
        <v>2678</v>
      </c>
      <c r="B2626" s="17" t="s">
        <v>5548</v>
      </c>
      <c r="C2626" s="17" t="s">
        <v>5405</v>
      </c>
      <c r="D2626" s="30" t="s">
        <v>7292</v>
      </c>
      <c r="E2626" s="17" t="s">
        <v>4810</v>
      </c>
      <c r="F2626" s="454">
        <v>13.67</v>
      </c>
      <c r="G2626" s="529">
        <v>13.67</v>
      </c>
      <c r="H2626" s="487">
        <f t="shared" si="1175"/>
        <v>10.94</v>
      </c>
      <c r="I2626" s="706"/>
      <c r="J2626" s="669" t="s">
        <v>5805</v>
      </c>
      <c r="K2626" s="23"/>
      <c r="L2626" s="70" t="str">
        <f t="shared" si="1176"/>
        <v/>
      </c>
      <c r="M2626" s="49">
        <f t="shared" si="1177"/>
        <v>13.67</v>
      </c>
      <c r="N2626" s="41">
        <v>11.67</v>
      </c>
      <c r="O2626" s="61"/>
      <c r="P2626" s="65"/>
      <c r="Q2626" s="65"/>
      <c r="R2626" s="58" t="s">
        <v>1017</v>
      </c>
      <c r="T2626" s="65"/>
      <c r="U2626" s="65"/>
      <c r="X2626" s="65"/>
      <c r="AA2626" s="67"/>
      <c r="AC2626" s="12" t="s">
        <v>1017</v>
      </c>
      <c r="AD2626" s="53"/>
    </row>
    <row r="2627" spans="1:30" s="12" customFormat="1" x14ac:dyDescent="0.25">
      <c r="A2627" s="610" t="s">
        <v>2679</v>
      </c>
      <c r="B2627" s="17" t="s">
        <v>5548</v>
      </c>
      <c r="C2627" s="17" t="s">
        <v>5405</v>
      </c>
      <c r="D2627" s="30" t="s">
        <v>7293</v>
      </c>
      <c r="E2627" s="17" t="s">
        <v>4812</v>
      </c>
      <c r="F2627" s="454">
        <v>16.670000000000002</v>
      </c>
      <c r="G2627" s="529">
        <v>16.670000000000002</v>
      </c>
      <c r="H2627" s="487">
        <f t="shared" si="1175"/>
        <v>13.34</v>
      </c>
      <c r="I2627" s="706"/>
      <c r="J2627" s="669" t="s">
        <v>5805</v>
      </c>
      <c r="K2627" s="23"/>
      <c r="L2627" s="70" t="str">
        <f t="shared" si="1176"/>
        <v/>
      </c>
      <c r="M2627" s="49">
        <f t="shared" si="1177"/>
        <v>16.670000000000002</v>
      </c>
      <c r="N2627" s="41">
        <v>11.67</v>
      </c>
      <c r="O2627" s="43" t="s">
        <v>1017</v>
      </c>
      <c r="P2627" s="65"/>
      <c r="Q2627" s="65"/>
      <c r="R2627" s="58" t="s">
        <v>1017</v>
      </c>
      <c r="T2627" s="65"/>
      <c r="U2627" s="65"/>
      <c r="X2627" s="65"/>
      <c r="AA2627" s="67"/>
      <c r="AC2627" s="12" t="s">
        <v>1017</v>
      </c>
      <c r="AD2627" s="53"/>
    </row>
    <row r="2628" spans="1:30" s="12" customFormat="1" x14ac:dyDescent="0.25">
      <c r="A2628" s="610" t="s">
        <v>1044</v>
      </c>
      <c r="B2628" s="17" t="s">
        <v>5548</v>
      </c>
      <c r="C2628" s="17" t="s">
        <v>5405</v>
      </c>
      <c r="D2628" s="17" t="s">
        <v>7294</v>
      </c>
      <c r="E2628" s="17" t="s">
        <v>4810</v>
      </c>
      <c r="F2628" s="454">
        <v>18.670000000000002</v>
      </c>
      <c r="G2628" s="529">
        <v>18.670000000000002</v>
      </c>
      <c r="H2628" s="487">
        <f t="shared" si="1175"/>
        <v>14.94</v>
      </c>
      <c r="I2628" s="706"/>
      <c r="J2628" s="669" t="s">
        <v>5805</v>
      </c>
      <c r="K2628" s="23"/>
      <c r="L2628" s="70" t="str">
        <f t="shared" si="1176"/>
        <v/>
      </c>
      <c r="M2628" s="49">
        <f t="shared" si="1177"/>
        <v>18.670000000000002</v>
      </c>
      <c r="N2628" s="41">
        <v>11.67</v>
      </c>
      <c r="O2628" s="61"/>
      <c r="P2628" s="65"/>
      <c r="Q2628" s="65"/>
      <c r="R2628" s="58"/>
      <c r="S2628" s="12" t="s">
        <v>1017</v>
      </c>
      <c r="T2628" s="65"/>
      <c r="U2628" s="65"/>
      <c r="X2628" s="65"/>
      <c r="AA2628" s="67"/>
      <c r="AC2628" s="12" t="s">
        <v>1017</v>
      </c>
      <c r="AD2628" s="53"/>
    </row>
    <row r="2629" spans="1:30" s="12" customFormat="1" x14ac:dyDescent="0.25">
      <c r="A2629" s="610" t="s">
        <v>1045</v>
      </c>
      <c r="B2629" s="17" t="s">
        <v>5548</v>
      </c>
      <c r="C2629" s="17" t="s">
        <v>5405</v>
      </c>
      <c r="D2629" s="17" t="s">
        <v>7295</v>
      </c>
      <c r="E2629" s="17" t="s">
        <v>4812</v>
      </c>
      <c r="F2629" s="454">
        <v>21.67</v>
      </c>
      <c r="G2629" s="529">
        <v>21.67</v>
      </c>
      <c r="H2629" s="487">
        <f t="shared" si="1175"/>
        <v>17.34</v>
      </c>
      <c r="I2629" s="706"/>
      <c r="J2629" s="669" t="s">
        <v>5805</v>
      </c>
      <c r="K2629" s="23"/>
      <c r="L2629" s="70" t="str">
        <f t="shared" si="1176"/>
        <v/>
      </c>
      <c r="M2629" s="49">
        <f t="shared" si="1177"/>
        <v>21.67</v>
      </c>
      <c r="N2629" s="41">
        <v>11.67</v>
      </c>
      <c r="O2629" s="43" t="s">
        <v>1017</v>
      </c>
      <c r="P2629" s="65"/>
      <c r="Q2629" s="65"/>
      <c r="R2629" s="58"/>
      <c r="S2629" s="12" t="s">
        <v>1017</v>
      </c>
      <c r="T2629" s="65"/>
      <c r="U2629" s="65"/>
      <c r="X2629" s="65"/>
      <c r="AA2629" s="67"/>
      <c r="AC2629" s="12" t="s">
        <v>1017</v>
      </c>
      <c r="AD2629" s="53"/>
    </row>
    <row r="2630" spans="1:30" s="12" customFormat="1" x14ac:dyDescent="0.25">
      <c r="A2630" s="610" t="s">
        <v>570</v>
      </c>
      <c r="B2630" s="17" t="s">
        <v>5548</v>
      </c>
      <c r="C2630" s="17" t="s">
        <v>5405</v>
      </c>
      <c r="D2630" s="30" t="s">
        <v>7296</v>
      </c>
      <c r="E2630" s="17" t="s">
        <v>4810</v>
      </c>
      <c r="F2630" s="454">
        <v>19.670000000000002</v>
      </c>
      <c r="G2630" s="529">
        <v>19.670000000000002</v>
      </c>
      <c r="H2630" s="487">
        <f t="shared" si="1175"/>
        <v>15.74</v>
      </c>
      <c r="I2630" s="706"/>
      <c r="J2630" s="669" t="s">
        <v>5805</v>
      </c>
      <c r="K2630" s="23"/>
      <c r="L2630" s="70" t="str">
        <f t="shared" si="1176"/>
        <v/>
      </c>
      <c r="M2630" s="49">
        <f t="shared" si="1177"/>
        <v>19.670000000000002</v>
      </c>
      <c r="N2630" s="41">
        <v>11.67</v>
      </c>
      <c r="O2630" s="61"/>
      <c r="P2630" s="65"/>
      <c r="Q2630" s="65"/>
      <c r="R2630" s="58" t="s">
        <v>1017</v>
      </c>
      <c r="S2630" s="12" t="s">
        <v>1017</v>
      </c>
      <c r="T2630" s="65"/>
      <c r="U2630" s="65"/>
      <c r="X2630" s="65"/>
      <c r="AA2630" s="67"/>
      <c r="AC2630" s="12" t="s">
        <v>1017</v>
      </c>
      <c r="AD2630" s="53"/>
    </row>
    <row r="2631" spans="1:30" s="12" customFormat="1" x14ac:dyDescent="0.25">
      <c r="A2631" s="610" t="s">
        <v>571</v>
      </c>
      <c r="B2631" s="17" t="s">
        <v>5548</v>
      </c>
      <c r="C2631" s="17" t="s">
        <v>5405</v>
      </c>
      <c r="D2631" s="30" t="s">
        <v>7297</v>
      </c>
      <c r="E2631" s="17" t="s">
        <v>4812</v>
      </c>
      <c r="F2631" s="454">
        <v>22.67</v>
      </c>
      <c r="G2631" s="529">
        <v>22.67</v>
      </c>
      <c r="H2631" s="487">
        <f t="shared" si="1175"/>
        <v>18.14</v>
      </c>
      <c r="I2631" s="706"/>
      <c r="J2631" s="669" t="s">
        <v>5805</v>
      </c>
      <c r="K2631" s="23"/>
      <c r="L2631" s="70" t="str">
        <f t="shared" si="1176"/>
        <v/>
      </c>
      <c r="M2631" s="49">
        <f t="shared" si="1177"/>
        <v>22.67</v>
      </c>
      <c r="N2631" s="41">
        <v>11.67</v>
      </c>
      <c r="O2631" s="43" t="s">
        <v>1017</v>
      </c>
      <c r="P2631" s="65"/>
      <c r="Q2631" s="65"/>
      <c r="R2631" s="58" t="s">
        <v>1017</v>
      </c>
      <c r="S2631" s="12" t="s">
        <v>1017</v>
      </c>
      <c r="T2631" s="65"/>
      <c r="U2631" s="65"/>
      <c r="X2631" s="65"/>
      <c r="AA2631" s="67"/>
      <c r="AC2631" s="12" t="s">
        <v>1017</v>
      </c>
      <c r="AD2631" s="53"/>
    </row>
    <row r="2632" spans="1:30" s="12" customFormat="1" x14ac:dyDescent="0.25">
      <c r="A2632" s="610" t="s">
        <v>1052</v>
      </c>
      <c r="B2632" s="17" t="s">
        <v>5548</v>
      </c>
      <c r="C2632" s="17" t="s">
        <v>5405</v>
      </c>
      <c r="D2632" s="17" t="s">
        <v>7298</v>
      </c>
      <c r="E2632" s="17" t="s">
        <v>4810</v>
      </c>
      <c r="F2632" s="454">
        <v>19.670000000000002</v>
      </c>
      <c r="G2632" s="529">
        <v>19.670000000000002</v>
      </c>
      <c r="H2632" s="487">
        <f t="shared" si="1175"/>
        <v>15.74</v>
      </c>
      <c r="I2632" s="706"/>
      <c r="J2632" s="669" t="s">
        <v>5805</v>
      </c>
      <c r="K2632" s="23"/>
      <c r="L2632" s="70" t="str">
        <f t="shared" si="1176"/>
        <v/>
      </c>
      <c r="M2632" s="49">
        <f t="shared" si="1177"/>
        <v>19.670000000000002</v>
      </c>
      <c r="N2632" s="41">
        <v>11.67</v>
      </c>
      <c r="O2632" s="61"/>
      <c r="P2632" s="65"/>
      <c r="Q2632" s="65"/>
      <c r="R2632" s="58"/>
      <c r="T2632" s="65"/>
      <c r="U2632" s="65"/>
      <c r="V2632" s="12" t="s">
        <v>1017</v>
      </c>
      <c r="X2632" s="65"/>
      <c r="AA2632" s="67"/>
      <c r="AC2632" s="12" t="s">
        <v>1017</v>
      </c>
      <c r="AD2632" s="53"/>
    </row>
    <row r="2633" spans="1:30" s="12" customFormat="1" x14ac:dyDescent="0.25">
      <c r="A2633" s="610" t="s">
        <v>4530</v>
      </c>
      <c r="B2633" s="17" t="s">
        <v>5548</v>
      </c>
      <c r="C2633" s="17" t="s">
        <v>5405</v>
      </c>
      <c r="D2633" s="17" t="s">
        <v>7299</v>
      </c>
      <c r="E2633" s="17" t="s">
        <v>4812</v>
      </c>
      <c r="F2633" s="454">
        <v>22.67</v>
      </c>
      <c r="G2633" s="529">
        <v>22.67</v>
      </c>
      <c r="H2633" s="487">
        <f t="shared" si="1175"/>
        <v>18.14</v>
      </c>
      <c r="I2633" s="706"/>
      <c r="J2633" s="669" t="s">
        <v>5805</v>
      </c>
      <c r="K2633" s="23"/>
      <c r="L2633" s="70" t="str">
        <f t="shared" si="1176"/>
        <v/>
      </c>
      <c r="M2633" s="49">
        <f t="shared" si="1177"/>
        <v>22.67</v>
      </c>
      <c r="N2633" s="41">
        <v>11.67</v>
      </c>
      <c r="O2633" s="43" t="s">
        <v>1017</v>
      </c>
      <c r="P2633" s="65"/>
      <c r="Q2633" s="65"/>
      <c r="R2633" s="58"/>
      <c r="T2633" s="65"/>
      <c r="U2633" s="65"/>
      <c r="V2633" s="12" t="s">
        <v>1017</v>
      </c>
      <c r="X2633" s="65"/>
      <c r="AA2633" s="67"/>
      <c r="AC2633" s="12" t="s">
        <v>1017</v>
      </c>
      <c r="AD2633" s="53"/>
    </row>
    <row r="2634" spans="1:30" s="12" customFormat="1" x14ac:dyDescent="0.25">
      <c r="A2634" s="610" t="s">
        <v>4989</v>
      </c>
      <c r="B2634" s="17" t="s">
        <v>5548</v>
      </c>
      <c r="C2634" s="17" t="s">
        <v>5405</v>
      </c>
      <c r="D2634" s="17" t="s">
        <v>7300</v>
      </c>
      <c r="E2634" s="17" t="s">
        <v>4810</v>
      </c>
      <c r="F2634" s="454">
        <v>20.67</v>
      </c>
      <c r="G2634" s="529">
        <v>20.67</v>
      </c>
      <c r="H2634" s="487">
        <f t="shared" si="1175"/>
        <v>16.54</v>
      </c>
      <c r="I2634" s="706"/>
      <c r="J2634" s="669" t="s">
        <v>5805</v>
      </c>
      <c r="K2634" s="23"/>
      <c r="L2634" s="70" t="str">
        <f t="shared" si="1176"/>
        <v/>
      </c>
      <c r="M2634" s="49">
        <f t="shared" si="1177"/>
        <v>20.67</v>
      </c>
      <c r="N2634" s="41">
        <v>11.67</v>
      </c>
      <c r="O2634" s="61"/>
      <c r="P2634" s="65"/>
      <c r="Q2634" s="65"/>
      <c r="R2634" s="58" t="s">
        <v>1017</v>
      </c>
      <c r="T2634" s="65"/>
      <c r="U2634" s="65"/>
      <c r="V2634" s="12" t="s">
        <v>1017</v>
      </c>
      <c r="X2634" s="65"/>
      <c r="AA2634" s="67"/>
      <c r="AC2634" s="12" t="s">
        <v>1017</v>
      </c>
      <c r="AD2634" s="53"/>
    </row>
    <row r="2635" spans="1:30" s="12" customFormat="1" x14ac:dyDescent="0.25">
      <c r="A2635" s="610" t="s">
        <v>4990</v>
      </c>
      <c r="B2635" s="17" t="s">
        <v>5548</v>
      </c>
      <c r="C2635" s="17" t="s">
        <v>5405</v>
      </c>
      <c r="D2635" s="17" t="s">
        <v>7301</v>
      </c>
      <c r="E2635" s="17" t="s">
        <v>4812</v>
      </c>
      <c r="F2635" s="454">
        <v>23.67</v>
      </c>
      <c r="G2635" s="529">
        <v>23.67</v>
      </c>
      <c r="H2635" s="487">
        <f t="shared" si="1175"/>
        <v>18.940000000000001</v>
      </c>
      <c r="I2635" s="706"/>
      <c r="J2635" s="669" t="s">
        <v>5805</v>
      </c>
      <c r="K2635" s="23"/>
      <c r="L2635" s="70" t="str">
        <f t="shared" si="1176"/>
        <v/>
      </c>
      <c r="M2635" s="49">
        <f t="shared" si="1177"/>
        <v>23.67</v>
      </c>
      <c r="N2635" s="41">
        <v>11.67</v>
      </c>
      <c r="O2635" s="43" t="s">
        <v>1017</v>
      </c>
      <c r="P2635" s="65"/>
      <c r="Q2635" s="65"/>
      <c r="R2635" s="58" t="s">
        <v>1017</v>
      </c>
      <c r="T2635" s="65"/>
      <c r="U2635" s="65"/>
      <c r="V2635" s="12" t="s">
        <v>1017</v>
      </c>
      <c r="X2635" s="65"/>
      <c r="AA2635" s="67"/>
      <c r="AC2635" s="12" t="s">
        <v>1017</v>
      </c>
      <c r="AD2635" s="53"/>
    </row>
    <row r="2636" spans="1:30" s="12" customFormat="1" x14ac:dyDescent="0.25">
      <c r="A2636" s="610" t="s">
        <v>4981</v>
      </c>
      <c r="B2636" s="17" t="s">
        <v>5548</v>
      </c>
      <c r="C2636" s="17" t="s">
        <v>5405</v>
      </c>
      <c r="D2636" s="17" t="s">
        <v>7302</v>
      </c>
      <c r="E2636" s="17" t="s">
        <v>4810</v>
      </c>
      <c r="F2636" s="454">
        <v>21.67</v>
      </c>
      <c r="G2636" s="529">
        <v>21.67</v>
      </c>
      <c r="H2636" s="487">
        <f t="shared" si="1175"/>
        <v>17.34</v>
      </c>
      <c r="I2636" s="706"/>
      <c r="J2636" s="669" t="s">
        <v>5805</v>
      </c>
      <c r="K2636" s="23"/>
      <c r="L2636" s="70" t="str">
        <f t="shared" si="1176"/>
        <v/>
      </c>
      <c r="M2636" s="49">
        <f t="shared" si="1177"/>
        <v>21.67</v>
      </c>
      <c r="N2636" s="41">
        <v>11.67</v>
      </c>
      <c r="O2636" s="61"/>
      <c r="P2636" s="65"/>
      <c r="Q2636" s="65"/>
      <c r="R2636" s="58"/>
      <c r="T2636" s="65"/>
      <c r="U2636" s="65"/>
      <c r="X2636" s="65"/>
      <c r="Y2636" s="12" t="s">
        <v>1017</v>
      </c>
      <c r="AA2636" s="67"/>
      <c r="AC2636" s="12" t="s">
        <v>1017</v>
      </c>
      <c r="AD2636" s="53"/>
    </row>
    <row r="2637" spans="1:30" s="12" customFormat="1" x14ac:dyDescent="0.25">
      <c r="A2637" s="610" t="s">
        <v>4982</v>
      </c>
      <c r="B2637" s="17" t="s">
        <v>5548</v>
      </c>
      <c r="C2637" s="17" t="s">
        <v>5405</v>
      </c>
      <c r="D2637" s="17" t="s">
        <v>7303</v>
      </c>
      <c r="E2637" s="17" t="s">
        <v>4812</v>
      </c>
      <c r="F2637" s="454">
        <v>24.67</v>
      </c>
      <c r="G2637" s="529">
        <v>24.67</v>
      </c>
      <c r="H2637" s="487">
        <f t="shared" si="1175"/>
        <v>19.739999999999998</v>
      </c>
      <c r="I2637" s="706"/>
      <c r="J2637" s="669" t="s">
        <v>5805</v>
      </c>
      <c r="K2637" s="23"/>
      <c r="L2637" s="70" t="str">
        <f t="shared" si="1176"/>
        <v/>
      </c>
      <c r="M2637" s="49">
        <f t="shared" si="1177"/>
        <v>24.67</v>
      </c>
      <c r="N2637" s="41">
        <v>11.67</v>
      </c>
      <c r="O2637" s="43" t="s">
        <v>1017</v>
      </c>
      <c r="P2637" s="65"/>
      <c r="Q2637" s="65"/>
      <c r="R2637" s="58"/>
      <c r="T2637" s="65"/>
      <c r="U2637" s="65"/>
      <c r="X2637" s="65"/>
      <c r="Y2637" s="12" t="s">
        <v>1017</v>
      </c>
      <c r="AA2637" s="67"/>
      <c r="AC2637" s="12" t="s">
        <v>1017</v>
      </c>
      <c r="AD2637" s="53"/>
    </row>
    <row r="2638" spans="1:30" s="12" customFormat="1" x14ac:dyDescent="0.25">
      <c r="A2638" s="610" t="s">
        <v>4997</v>
      </c>
      <c r="B2638" s="17" t="s">
        <v>5548</v>
      </c>
      <c r="C2638" s="17" t="s">
        <v>5405</v>
      </c>
      <c r="D2638" s="17" t="s">
        <v>7304</v>
      </c>
      <c r="E2638" s="17" t="s">
        <v>4810</v>
      </c>
      <c r="F2638" s="454">
        <v>22.67</v>
      </c>
      <c r="G2638" s="529">
        <v>22.67</v>
      </c>
      <c r="H2638" s="487">
        <f t="shared" si="1175"/>
        <v>18.14</v>
      </c>
      <c r="I2638" s="706"/>
      <c r="J2638" s="669" t="s">
        <v>5805</v>
      </c>
      <c r="K2638" s="23"/>
      <c r="L2638" s="70" t="str">
        <f t="shared" si="1176"/>
        <v/>
      </c>
      <c r="M2638" s="49">
        <f t="shared" si="1177"/>
        <v>22.67</v>
      </c>
      <c r="N2638" s="41">
        <v>11.67</v>
      </c>
      <c r="O2638" s="61"/>
      <c r="P2638" s="65"/>
      <c r="Q2638" s="65"/>
      <c r="R2638" s="58" t="s">
        <v>1017</v>
      </c>
      <c r="T2638" s="65"/>
      <c r="U2638" s="65"/>
      <c r="X2638" s="65"/>
      <c r="Y2638" s="12" t="s">
        <v>1017</v>
      </c>
      <c r="AA2638" s="67"/>
      <c r="AC2638" s="12" t="s">
        <v>1017</v>
      </c>
      <c r="AD2638" s="53"/>
    </row>
    <row r="2639" spans="1:30" s="12" customFormat="1" x14ac:dyDescent="0.25">
      <c r="A2639" s="610" t="s">
        <v>4998</v>
      </c>
      <c r="B2639" s="17" t="s">
        <v>5548</v>
      </c>
      <c r="C2639" s="17" t="s">
        <v>5405</v>
      </c>
      <c r="D2639" s="17" t="s">
        <v>7305</v>
      </c>
      <c r="E2639" s="17" t="s">
        <v>4812</v>
      </c>
      <c r="F2639" s="454">
        <v>25.67</v>
      </c>
      <c r="G2639" s="529">
        <v>25.67</v>
      </c>
      <c r="H2639" s="487">
        <f t="shared" si="1175"/>
        <v>20.54</v>
      </c>
      <c r="I2639" s="706"/>
      <c r="J2639" s="669" t="s">
        <v>5805</v>
      </c>
      <c r="K2639" s="23"/>
      <c r="L2639" s="70" t="str">
        <f t="shared" si="1176"/>
        <v/>
      </c>
      <c r="M2639" s="49">
        <f t="shared" si="1177"/>
        <v>25.67</v>
      </c>
      <c r="N2639" s="41">
        <v>11.67</v>
      </c>
      <c r="O2639" s="43" t="s">
        <v>1017</v>
      </c>
      <c r="P2639" s="65"/>
      <c r="Q2639" s="65"/>
      <c r="R2639" s="58" t="s">
        <v>1017</v>
      </c>
      <c r="T2639" s="65"/>
      <c r="U2639" s="65"/>
      <c r="X2639" s="65"/>
      <c r="Y2639" s="12" t="s">
        <v>1017</v>
      </c>
      <c r="AA2639" s="67"/>
      <c r="AC2639" s="12" t="s">
        <v>1017</v>
      </c>
      <c r="AD2639" s="53"/>
    </row>
    <row r="2640" spans="1:30" s="12" customFormat="1" x14ac:dyDescent="0.25">
      <c r="A2640" s="610" t="s">
        <v>4533</v>
      </c>
      <c r="B2640" s="17" t="s">
        <v>5548</v>
      </c>
      <c r="C2640" s="17" t="s">
        <v>5405</v>
      </c>
      <c r="D2640" s="17" t="s">
        <v>7306</v>
      </c>
      <c r="E2640" s="17" t="s">
        <v>4810</v>
      </c>
      <c r="F2640" s="454">
        <v>23.67</v>
      </c>
      <c r="G2640" s="529">
        <v>23.67</v>
      </c>
      <c r="H2640" s="487">
        <f t="shared" ref="H2640:H2703" si="1178">IF(ISNUMBER(G2640),ROUND(0.8*G2640,2),"")</f>
        <v>18.940000000000001</v>
      </c>
      <c r="I2640" s="706"/>
      <c r="J2640" s="669" t="s">
        <v>5805</v>
      </c>
      <c r="K2640" s="23"/>
      <c r="L2640" s="70" t="str">
        <f t="shared" ref="L2640:L2703" si="1179">IF(F2640=M2640,"",FALSE)</f>
        <v/>
      </c>
      <c r="M2640" s="49">
        <f t="shared" ref="M2640:M2703" si="1180">N2640+SUMIF(O2640:AD2640,"x",O$2575:AD$2575)</f>
        <v>23.67</v>
      </c>
      <c r="N2640" s="41">
        <v>11.67</v>
      </c>
      <c r="O2640" s="61"/>
      <c r="P2640" s="65"/>
      <c r="Q2640" s="65"/>
      <c r="R2640" s="58"/>
      <c r="T2640" s="65"/>
      <c r="U2640" s="65"/>
      <c r="W2640" s="12" t="s">
        <v>1017</v>
      </c>
      <c r="X2640" s="65"/>
      <c r="AA2640" s="67"/>
      <c r="AC2640" s="12" t="s">
        <v>1017</v>
      </c>
      <c r="AD2640" s="53"/>
    </row>
    <row r="2641" spans="1:30" s="12" customFormat="1" x14ac:dyDescent="0.25">
      <c r="A2641" s="610" t="s">
        <v>4978</v>
      </c>
      <c r="B2641" s="17" t="s">
        <v>5548</v>
      </c>
      <c r="C2641" s="17" t="s">
        <v>5405</v>
      </c>
      <c r="D2641" s="17" t="s">
        <v>7307</v>
      </c>
      <c r="E2641" s="17" t="s">
        <v>4812</v>
      </c>
      <c r="F2641" s="454">
        <v>26.67</v>
      </c>
      <c r="G2641" s="529">
        <v>26.67</v>
      </c>
      <c r="H2641" s="487">
        <f t="shared" si="1178"/>
        <v>21.34</v>
      </c>
      <c r="I2641" s="706"/>
      <c r="J2641" s="669" t="s">
        <v>5805</v>
      </c>
      <c r="K2641" s="23"/>
      <c r="L2641" s="70" t="str">
        <f t="shared" si="1179"/>
        <v/>
      </c>
      <c r="M2641" s="49">
        <f t="shared" si="1180"/>
        <v>26.67</v>
      </c>
      <c r="N2641" s="41">
        <v>11.67</v>
      </c>
      <c r="O2641" s="43" t="s">
        <v>1017</v>
      </c>
      <c r="P2641" s="65"/>
      <c r="Q2641" s="65"/>
      <c r="R2641" s="58"/>
      <c r="T2641" s="65"/>
      <c r="U2641" s="65"/>
      <c r="W2641" s="12" t="s">
        <v>1017</v>
      </c>
      <c r="X2641" s="65"/>
      <c r="AA2641" s="67"/>
      <c r="AC2641" s="12" t="s">
        <v>1017</v>
      </c>
      <c r="AD2641" s="53"/>
    </row>
    <row r="2642" spans="1:30" s="12" customFormat="1" x14ac:dyDescent="0.25">
      <c r="A2642" s="610" t="s">
        <v>4993</v>
      </c>
      <c r="B2642" s="17" t="s">
        <v>5548</v>
      </c>
      <c r="C2642" s="17" t="s">
        <v>5405</v>
      </c>
      <c r="D2642" s="17" t="s">
        <v>7308</v>
      </c>
      <c r="E2642" s="17" t="s">
        <v>4810</v>
      </c>
      <c r="F2642" s="454">
        <v>24.67</v>
      </c>
      <c r="G2642" s="529">
        <v>24.67</v>
      </c>
      <c r="H2642" s="487">
        <f t="shared" si="1178"/>
        <v>19.739999999999998</v>
      </c>
      <c r="I2642" s="706"/>
      <c r="J2642" s="669" t="s">
        <v>5805</v>
      </c>
      <c r="K2642" s="23"/>
      <c r="L2642" s="70" t="str">
        <f t="shared" si="1179"/>
        <v/>
      </c>
      <c r="M2642" s="49">
        <f t="shared" si="1180"/>
        <v>24.67</v>
      </c>
      <c r="N2642" s="41">
        <v>11.67</v>
      </c>
      <c r="O2642" s="61"/>
      <c r="P2642" s="65"/>
      <c r="Q2642" s="65"/>
      <c r="R2642" s="58" t="s">
        <v>1017</v>
      </c>
      <c r="T2642" s="65"/>
      <c r="U2642" s="65"/>
      <c r="W2642" s="12" t="s">
        <v>1017</v>
      </c>
      <c r="X2642" s="65"/>
      <c r="AA2642" s="67"/>
      <c r="AC2642" s="12" t="s">
        <v>1017</v>
      </c>
      <c r="AD2642" s="53"/>
    </row>
    <row r="2643" spans="1:30" s="12" customFormat="1" x14ac:dyDescent="0.25">
      <c r="A2643" s="610" t="s">
        <v>4994</v>
      </c>
      <c r="B2643" s="17" t="s">
        <v>5548</v>
      </c>
      <c r="C2643" s="17" t="s">
        <v>5405</v>
      </c>
      <c r="D2643" s="17" t="s">
        <v>7309</v>
      </c>
      <c r="E2643" s="17" t="s">
        <v>4812</v>
      </c>
      <c r="F2643" s="454">
        <v>27.67</v>
      </c>
      <c r="G2643" s="529">
        <v>27.67</v>
      </c>
      <c r="H2643" s="487">
        <f t="shared" si="1178"/>
        <v>22.14</v>
      </c>
      <c r="I2643" s="706"/>
      <c r="J2643" s="669" t="s">
        <v>5805</v>
      </c>
      <c r="K2643" s="23"/>
      <c r="L2643" s="70" t="str">
        <f t="shared" si="1179"/>
        <v/>
      </c>
      <c r="M2643" s="49">
        <f t="shared" si="1180"/>
        <v>27.67</v>
      </c>
      <c r="N2643" s="41">
        <v>11.67</v>
      </c>
      <c r="O2643" s="43" t="s">
        <v>1017</v>
      </c>
      <c r="P2643" s="65"/>
      <c r="Q2643" s="65"/>
      <c r="R2643" s="58" t="s">
        <v>1017</v>
      </c>
      <c r="T2643" s="65"/>
      <c r="U2643" s="65"/>
      <c r="W2643" s="12" t="s">
        <v>1017</v>
      </c>
      <c r="X2643" s="65"/>
      <c r="AA2643" s="67"/>
      <c r="AC2643" s="12" t="s">
        <v>1017</v>
      </c>
      <c r="AD2643" s="53"/>
    </row>
    <row r="2644" spans="1:30" s="12" customFormat="1" x14ac:dyDescent="0.25">
      <c r="A2644" s="610" t="s">
        <v>4985</v>
      </c>
      <c r="B2644" s="17" t="s">
        <v>5548</v>
      </c>
      <c r="C2644" s="17" t="s">
        <v>5405</v>
      </c>
      <c r="D2644" s="17" t="s">
        <v>7310</v>
      </c>
      <c r="E2644" s="17" t="s">
        <v>4810</v>
      </c>
      <c r="F2644" s="454">
        <v>25.67</v>
      </c>
      <c r="G2644" s="529">
        <v>25.67</v>
      </c>
      <c r="H2644" s="487">
        <f t="shared" si="1178"/>
        <v>20.54</v>
      </c>
      <c r="I2644" s="706"/>
      <c r="J2644" s="669" t="s">
        <v>5805</v>
      </c>
      <c r="K2644" s="23"/>
      <c r="L2644" s="70" t="str">
        <f t="shared" si="1179"/>
        <v/>
      </c>
      <c r="M2644" s="49">
        <f t="shared" si="1180"/>
        <v>25.67</v>
      </c>
      <c r="N2644" s="41">
        <v>11.67</v>
      </c>
      <c r="O2644" s="61"/>
      <c r="P2644" s="65"/>
      <c r="Q2644" s="65"/>
      <c r="R2644" s="58"/>
      <c r="T2644" s="65"/>
      <c r="U2644" s="65"/>
      <c r="X2644" s="65"/>
      <c r="Z2644" s="12" t="s">
        <v>1017</v>
      </c>
      <c r="AA2644" s="67"/>
      <c r="AC2644" s="12" t="s">
        <v>1017</v>
      </c>
      <c r="AD2644" s="53"/>
    </row>
    <row r="2645" spans="1:30" s="12" customFormat="1" x14ac:dyDescent="0.25">
      <c r="A2645" s="610" t="s">
        <v>4986</v>
      </c>
      <c r="B2645" s="17" t="s">
        <v>5548</v>
      </c>
      <c r="C2645" s="17" t="s">
        <v>5405</v>
      </c>
      <c r="D2645" s="17" t="s">
        <v>7311</v>
      </c>
      <c r="E2645" s="17" t="s">
        <v>4812</v>
      </c>
      <c r="F2645" s="454">
        <v>28.67</v>
      </c>
      <c r="G2645" s="529">
        <v>28.67</v>
      </c>
      <c r="H2645" s="487">
        <f t="shared" si="1178"/>
        <v>22.94</v>
      </c>
      <c r="I2645" s="706"/>
      <c r="J2645" s="669" t="s">
        <v>5805</v>
      </c>
      <c r="K2645" s="23"/>
      <c r="L2645" s="70" t="str">
        <f t="shared" si="1179"/>
        <v/>
      </c>
      <c r="M2645" s="49">
        <f t="shared" si="1180"/>
        <v>28.67</v>
      </c>
      <c r="N2645" s="41">
        <v>11.67</v>
      </c>
      <c r="O2645" s="43" t="s">
        <v>1017</v>
      </c>
      <c r="P2645" s="65"/>
      <c r="Q2645" s="65"/>
      <c r="R2645" s="58"/>
      <c r="T2645" s="65"/>
      <c r="U2645" s="65"/>
      <c r="X2645" s="65"/>
      <c r="Z2645" s="12" t="s">
        <v>1017</v>
      </c>
      <c r="AA2645" s="67"/>
      <c r="AC2645" s="12" t="s">
        <v>1017</v>
      </c>
      <c r="AD2645" s="53"/>
    </row>
    <row r="2646" spans="1:30" s="12" customFormat="1" x14ac:dyDescent="0.25">
      <c r="A2646" s="610" t="s">
        <v>5001</v>
      </c>
      <c r="B2646" s="17" t="s">
        <v>5548</v>
      </c>
      <c r="C2646" s="17" t="s">
        <v>5405</v>
      </c>
      <c r="D2646" s="17" t="s">
        <v>7312</v>
      </c>
      <c r="E2646" s="17" t="s">
        <v>4810</v>
      </c>
      <c r="F2646" s="454">
        <v>26.67</v>
      </c>
      <c r="G2646" s="529">
        <v>26.67</v>
      </c>
      <c r="H2646" s="487">
        <f t="shared" si="1178"/>
        <v>21.34</v>
      </c>
      <c r="I2646" s="706"/>
      <c r="J2646" s="669" t="s">
        <v>5805</v>
      </c>
      <c r="K2646" s="23"/>
      <c r="L2646" s="70" t="str">
        <f t="shared" si="1179"/>
        <v/>
      </c>
      <c r="M2646" s="49">
        <f t="shared" si="1180"/>
        <v>26.67</v>
      </c>
      <c r="N2646" s="41">
        <v>11.67</v>
      </c>
      <c r="O2646" s="61"/>
      <c r="P2646" s="65"/>
      <c r="Q2646" s="65"/>
      <c r="R2646" s="58" t="s">
        <v>1017</v>
      </c>
      <c r="T2646" s="65"/>
      <c r="U2646" s="65"/>
      <c r="X2646" s="65"/>
      <c r="Z2646" s="12" t="s">
        <v>1017</v>
      </c>
      <c r="AA2646" s="67"/>
      <c r="AC2646" s="12" t="s">
        <v>1017</v>
      </c>
      <c r="AD2646" s="53"/>
    </row>
    <row r="2647" spans="1:30" s="12" customFormat="1" x14ac:dyDescent="0.25">
      <c r="A2647" s="610" t="s">
        <v>5002</v>
      </c>
      <c r="B2647" s="17" t="s">
        <v>5548</v>
      </c>
      <c r="C2647" s="17" t="s">
        <v>5405</v>
      </c>
      <c r="D2647" s="17" t="s">
        <v>7313</v>
      </c>
      <c r="E2647" s="17" t="s">
        <v>4812</v>
      </c>
      <c r="F2647" s="454">
        <v>29.67</v>
      </c>
      <c r="G2647" s="529">
        <v>29.67</v>
      </c>
      <c r="H2647" s="487">
        <f t="shared" si="1178"/>
        <v>23.74</v>
      </c>
      <c r="I2647" s="706"/>
      <c r="J2647" s="669" t="s">
        <v>5805</v>
      </c>
      <c r="K2647" s="23"/>
      <c r="L2647" s="70" t="str">
        <f t="shared" si="1179"/>
        <v/>
      </c>
      <c r="M2647" s="49">
        <f t="shared" si="1180"/>
        <v>29.67</v>
      </c>
      <c r="N2647" s="41">
        <v>11.67</v>
      </c>
      <c r="O2647" s="43" t="s">
        <v>1017</v>
      </c>
      <c r="P2647" s="65"/>
      <c r="Q2647" s="65"/>
      <c r="R2647" s="58" t="s">
        <v>1017</v>
      </c>
      <c r="T2647" s="65"/>
      <c r="U2647" s="65"/>
      <c r="X2647" s="65"/>
      <c r="Z2647" s="12" t="s">
        <v>1017</v>
      </c>
      <c r="AA2647" s="67"/>
      <c r="AC2647" s="12" t="s">
        <v>1017</v>
      </c>
      <c r="AD2647" s="53"/>
    </row>
    <row r="2648" spans="1:30" s="12" customFormat="1" x14ac:dyDescent="0.25">
      <c r="A2648" s="610" t="s">
        <v>4066</v>
      </c>
      <c r="B2648" s="17" t="s">
        <v>5548</v>
      </c>
      <c r="C2648" s="17" t="s">
        <v>5405</v>
      </c>
      <c r="D2648" s="17" t="s">
        <v>7314</v>
      </c>
      <c r="E2648" s="17" t="s">
        <v>4810</v>
      </c>
      <c r="F2648" s="454">
        <v>13.67</v>
      </c>
      <c r="G2648" s="529">
        <v>13.67</v>
      </c>
      <c r="H2648" s="487">
        <f t="shared" si="1178"/>
        <v>10.94</v>
      </c>
      <c r="I2648" s="706"/>
      <c r="J2648" s="669" t="s">
        <v>5805</v>
      </c>
      <c r="K2648" s="23"/>
      <c r="L2648" s="70" t="str">
        <f t="shared" si="1179"/>
        <v/>
      </c>
      <c r="M2648" s="49">
        <f t="shared" si="1180"/>
        <v>13.67</v>
      </c>
      <c r="N2648" s="41">
        <v>11.67</v>
      </c>
      <c r="O2648" s="61"/>
      <c r="P2648" s="65"/>
      <c r="Q2648" s="65"/>
      <c r="R2648" s="58"/>
      <c r="T2648" s="65"/>
      <c r="U2648" s="65"/>
      <c r="X2648" s="65"/>
      <c r="AA2648" s="67"/>
      <c r="AD2648" s="53" t="s">
        <v>1017</v>
      </c>
    </row>
    <row r="2649" spans="1:30" s="12" customFormat="1" x14ac:dyDescent="0.25">
      <c r="A2649" s="610" t="s">
        <v>4067</v>
      </c>
      <c r="B2649" s="17" t="s">
        <v>5548</v>
      </c>
      <c r="C2649" s="17" t="s">
        <v>5405</v>
      </c>
      <c r="D2649" s="17" t="s">
        <v>7315</v>
      </c>
      <c r="E2649" s="17" t="s">
        <v>4812</v>
      </c>
      <c r="F2649" s="454">
        <v>16.670000000000002</v>
      </c>
      <c r="G2649" s="529">
        <v>16.670000000000002</v>
      </c>
      <c r="H2649" s="487">
        <f t="shared" si="1178"/>
        <v>13.34</v>
      </c>
      <c r="I2649" s="706"/>
      <c r="J2649" s="669" t="s">
        <v>5805</v>
      </c>
      <c r="K2649" s="23"/>
      <c r="L2649" s="70" t="str">
        <f t="shared" si="1179"/>
        <v/>
      </c>
      <c r="M2649" s="49">
        <f t="shared" si="1180"/>
        <v>16.670000000000002</v>
      </c>
      <c r="N2649" s="41">
        <v>11.67</v>
      </c>
      <c r="O2649" s="43" t="s">
        <v>1017</v>
      </c>
      <c r="P2649" s="65"/>
      <c r="Q2649" s="65"/>
      <c r="R2649" s="58"/>
      <c r="T2649" s="65"/>
      <c r="U2649" s="65"/>
      <c r="X2649" s="65"/>
      <c r="AA2649" s="67"/>
      <c r="AD2649" s="53" t="s">
        <v>1017</v>
      </c>
    </row>
    <row r="2650" spans="1:30" s="12" customFormat="1" x14ac:dyDescent="0.25">
      <c r="A2650" s="610" t="s">
        <v>2838</v>
      </c>
      <c r="B2650" s="17" t="s">
        <v>5548</v>
      </c>
      <c r="C2650" s="17" t="s">
        <v>5405</v>
      </c>
      <c r="D2650" s="30" t="s">
        <v>7316</v>
      </c>
      <c r="E2650" s="17" t="s">
        <v>4810</v>
      </c>
      <c r="F2650" s="454">
        <v>14.67</v>
      </c>
      <c r="G2650" s="529">
        <v>14.67</v>
      </c>
      <c r="H2650" s="487">
        <f t="shared" si="1178"/>
        <v>11.74</v>
      </c>
      <c r="I2650" s="706"/>
      <c r="J2650" s="669" t="s">
        <v>5805</v>
      </c>
      <c r="K2650" s="23"/>
      <c r="L2650" s="70" t="str">
        <f t="shared" si="1179"/>
        <v/>
      </c>
      <c r="M2650" s="49">
        <f t="shared" si="1180"/>
        <v>14.67</v>
      </c>
      <c r="N2650" s="41">
        <v>11.67</v>
      </c>
      <c r="O2650" s="61"/>
      <c r="P2650" s="65"/>
      <c r="Q2650" s="65"/>
      <c r="R2650" s="58" t="s">
        <v>1017</v>
      </c>
      <c r="T2650" s="65"/>
      <c r="U2650" s="65"/>
      <c r="X2650" s="65"/>
      <c r="AA2650" s="67"/>
      <c r="AD2650" s="53" t="s">
        <v>1017</v>
      </c>
    </row>
    <row r="2651" spans="1:30" s="12" customFormat="1" x14ac:dyDescent="0.25">
      <c r="A2651" s="610" t="s">
        <v>2839</v>
      </c>
      <c r="B2651" s="17" t="s">
        <v>5548</v>
      </c>
      <c r="C2651" s="17" t="s">
        <v>5405</v>
      </c>
      <c r="D2651" s="30" t="s">
        <v>7317</v>
      </c>
      <c r="E2651" s="17" t="s">
        <v>4812</v>
      </c>
      <c r="F2651" s="454">
        <v>17.670000000000002</v>
      </c>
      <c r="G2651" s="529">
        <v>17.670000000000002</v>
      </c>
      <c r="H2651" s="487">
        <f t="shared" si="1178"/>
        <v>14.14</v>
      </c>
      <c r="I2651" s="706"/>
      <c r="J2651" s="669" t="s">
        <v>5805</v>
      </c>
      <c r="K2651" s="23"/>
      <c r="L2651" s="70" t="str">
        <f t="shared" si="1179"/>
        <v/>
      </c>
      <c r="M2651" s="49">
        <f t="shared" si="1180"/>
        <v>17.670000000000002</v>
      </c>
      <c r="N2651" s="41">
        <v>11.67</v>
      </c>
      <c r="O2651" s="43" t="s">
        <v>1017</v>
      </c>
      <c r="P2651" s="65"/>
      <c r="Q2651" s="65"/>
      <c r="R2651" s="58" t="s">
        <v>1017</v>
      </c>
      <c r="T2651" s="65"/>
      <c r="U2651" s="65"/>
      <c r="X2651" s="65"/>
      <c r="AA2651" s="67"/>
      <c r="AD2651" s="53" t="s">
        <v>1017</v>
      </c>
    </row>
    <row r="2652" spans="1:30" s="12" customFormat="1" x14ac:dyDescent="0.25">
      <c r="A2652" s="610" t="s">
        <v>4068</v>
      </c>
      <c r="B2652" s="17" t="s">
        <v>5548</v>
      </c>
      <c r="C2652" s="17" t="s">
        <v>5405</v>
      </c>
      <c r="D2652" s="17" t="s">
        <v>7318</v>
      </c>
      <c r="E2652" s="17" t="s">
        <v>4810</v>
      </c>
      <c r="F2652" s="454">
        <v>19.670000000000002</v>
      </c>
      <c r="G2652" s="529">
        <v>19.670000000000002</v>
      </c>
      <c r="H2652" s="487">
        <f t="shared" si="1178"/>
        <v>15.74</v>
      </c>
      <c r="I2652" s="706"/>
      <c r="J2652" s="669" t="s">
        <v>5805</v>
      </c>
      <c r="K2652" s="23"/>
      <c r="L2652" s="70" t="str">
        <f t="shared" si="1179"/>
        <v/>
      </c>
      <c r="M2652" s="49">
        <f t="shared" si="1180"/>
        <v>19.670000000000002</v>
      </c>
      <c r="N2652" s="41">
        <v>11.67</v>
      </c>
      <c r="O2652" s="61"/>
      <c r="P2652" s="65"/>
      <c r="Q2652" s="65"/>
      <c r="R2652" s="58"/>
      <c r="S2652" s="12" t="s">
        <v>1017</v>
      </c>
      <c r="T2652" s="65"/>
      <c r="U2652" s="65"/>
      <c r="X2652" s="65"/>
      <c r="AA2652" s="67"/>
      <c r="AD2652" s="53" t="s">
        <v>1017</v>
      </c>
    </row>
    <row r="2653" spans="1:30" s="12" customFormat="1" x14ac:dyDescent="0.25">
      <c r="A2653" s="610" t="s">
        <v>691</v>
      </c>
      <c r="B2653" s="17" t="s">
        <v>5548</v>
      </c>
      <c r="C2653" s="17" t="s">
        <v>5405</v>
      </c>
      <c r="D2653" s="17" t="s">
        <v>7319</v>
      </c>
      <c r="E2653" s="17" t="s">
        <v>4812</v>
      </c>
      <c r="F2653" s="454">
        <v>22.67</v>
      </c>
      <c r="G2653" s="529">
        <v>22.67</v>
      </c>
      <c r="H2653" s="487">
        <f t="shared" si="1178"/>
        <v>18.14</v>
      </c>
      <c r="I2653" s="706"/>
      <c r="J2653" s="669" t="s">
        <v>5805</v>
      </c>
      <c r="K2653" s="23"/>
      <c r="L2653" s="70" t="str">
        <f t="shared" si="1179"/>
        <v/>
      </c>
      <c r="M2653" s="49">
        <f t="shared" si="1180"/>
        <v>22.67</v>
      </c>
      <c r="N2653" s="41">
        <v>11.67</v>
      </c>
      <c r="O2653" s="43" t="s">
        <v>1017</v>
      </c>
      <c r="P2653" s="65"/>
      <c r="Q2653" s="65"/>
      <c r="R2653" s="58"/>
      <c r="S2653" s="12" t="s">
        <v>1017</v>
      </c>
      <c r="T2653" s="65"/>
      <c r="U2653" s="65"/>
      <c r="X2653" s="65"/>
      <c r="AA2653" s="67"/>
      <c r="AD2653" s="53" t="s">
        <v>1017</v>
      </c>
    </row>
    <row r="2654" spans="1:30" s="12" customFormat="1" x14ac:dyDescent="0.25">
      <c r="A2654" s="610" t="s">
        <v>572</v>
      </c>
      <c r="B2654" s="17" t="s">
        <v>5548</v>
      </c>
      <c r="C2654" s="17" t="s">
        <v>5405</v>
      </c>
      <c r="D2654" s="30" t="s">
        <v>7320</v>
      </c>
      <c r="E2654" s="17" t="s">
        <v>4810</v>
      </c>
      <c r="F2654" s="454">
        <v>20.67</v>
      </c>
      <c r="G2654" s="529">
        <v>20.67</v>
      </c>
      <c r="H2654" s="487">
        <f t="shared" si="1178"/>
        <v>16.54</v>
      </c>
      <c r="I2654" s="706"/>
      <c r="J2654" s="669" t="s">
        <v>5805</v>
      </c>
      <c r="K2654" s="23"/>
      <c r="L2654" s="70" t="str">
        <f t="shared" si="1179"/>
        <v/>
      </c>
      <c r="M2654" s="49">
        <f t="shared" si="1180"/>
        <v>20.67</v>
      </c>
      <c r="N2654" s="41">
        <v>11.67</v>
      </c>
      <c r="O2654" s="61"/>
      <c r="P2654" s="65"/>
      <c r="Q2654" s="65"/>
      <c r="R2654" s="58" t="s">
        <v>1017</v>
      </c>
      <c r="S2654" s="12" t="s">
        <v>1017</v>
      </c>
      <c r="T2654" s="65"/>
      <c r="U2654" s="65"/>
      <c r="X2654" s="65"/>
      <c r="AA2654" s="67"/>
      <c r="AD2654" s="53" t="s">
        <v>1017</v>
      </c>
    </row>
    <row r="2655" spans="1:30" s="12" customFormat="1" x14ac:dyDescent="0.25">
      <c r="A2655" s="610" t="s">
        <v>573</v>
      </c>
      <c r="B2655" s="17" t="s">
        <v>5548</v>
      </c>
      <c r="C2655" s="17" t="s">
        <v>5405</v>
      </c>
      <c r="D2655" s="30" t="s">
        <v>7321</v>
      </c>
      <c r="E2655" s="17" t="s">
        <v>4812</v>
      </c>
      <c r="F2655" s="454">
        <v>23.67</v>
      </c>
      <c r="G2655" s="529">
        <v>23.67</v>
      </c>
      <c r="H2655" s="487">
        <f t="shared" si="1178"/>
        <v>18.940000000000001</v>
      </c>
      <c r="I2655" s="706"/>
      <c r="J2655" s="669" t="s">
        <v>5805</v>
      </c>
      <c r="K2655" s="23"/>
      <c r="L2655" s="70" t="str">
        <f t="shared" si="1179"/>
        <v/>
      </c>
      <c r="M2655" s="49">
        <f t="shared" si="1180"/>
        <v>23.67</v>
      </c>
      <c r="N2655" s="41">
        <v>11.67</v>
      </c>
      <c r="O2655" s="43" t="s">
        <v>1017</v>
      </c>
      <c r="P2655" s="65"/>
      <c r="Q2655" s="65"/>
      <c r="R2655" s="58" t="s">
        <v>1017</v>
      </c>
      <c r="S2655" s="12" t="s">
        <v>1017</v>
      </c>
      <c r="T2655" s="65"/>
      <c r="U2655" s="65"/>
      <c r="X2655" s="65"/>
      <c r="AA2655" s="67"/>
      <c r="AD2655" s="53" t="s">
        <v>1017</v>
      </c>
    </row>
    <row r="2656" spans="1:30" s="12" customFormat="1" x14ac:dyDescent="0.25">
      <c r="A2656" s="610" t="s">
        <v>692</v>
      </c>
      <c r="B2656" s="17" t="s">
        <v>5548</v>
      </c>
      <c r="C2656" s="17" t="s">
        <v>5405</v>
      </c>
      <c r="D2656" s="17" t="s">
        <v>7322</v>
      </c>
      <c r="E2656" s="17" t="s">
        <v>4810</v>
      </c>
      <c r="F2656" s="454">
        <v>20.67</v>
      </c>
      <c r="G2656" s="529">
        <v>20.67</v>
      </c>
      <c r="H2656" s="487">
        <f t="shared" si="1178"/>
        <v>16.54</v>
      </c>
      <c r="I2656" s="706"/>
      <c r="J2656" s="669" t="s">
        <v>5805</v>
      </c>
      <c r="K2656" s="23"/>
      <c r="L2656" s="70" t="str">
        <f t="shared" si="1179"/>
        <v/>
      </c>
      <c r="M2656" s="49">
        <f t="shared" si="1180"/>
        <v>20.67</v>
      </c>
      <c r="N2656" s="41">
        <v>11.67</v>
      </c>
      <c r="O2656" s="61"/>
      <c r="P2656" s="65"/>
      <c r="Q2656" s="65"/>
      <c r="R2656" s="58"/>
      <c r="T2656" s="65"/>
      <c r="U2656" s="65"/>
      <c r="V2656" s="12" t="s">
        <v>1017</v>
      </c>
      <c r="X2656" s="65"/>
      <c r="AA2656" s="67"/>
      <c r="AD2656" s="53" t="s">
        <v>1017</v>
      </c>
    </row>
    <row r="2657" spans="1:30" s="12" customFormat="1" x14ac:dyDescent="0.25">
      <c r="A2657" s="610" t="s">
        <v>693</v>
      </c>
      <c r="B2657" s="17" t="s">
        <v>5548</v>
      </c>
      <c r="C2657" s="17" t="s">
        <v>5405</v>
      </c>
      <c r="D2657" s="17" t="s">
        <v>7323</v>
      </c>
      <c r="E2657" s="17" t="s">
        <v>4812</v>
      </c>
      <c r="F2657" s="454">
        <v>23.67</v>
      </c>
      <c r="G2657" s="529">
        <v>23.67</v>
      </c>
      <c r="H2657" s="487">
        <f t="shared" si="1178"/>
        <v>18.940000000000001</v>
      </c>
      <c r="I2657" s="706"/>
      <c r="J2657" s="669" t="s">
        <v>5805</v>
      </c>
      <c r="K2657" s="23"/>
      <c r="L2657" s="70" t="str">
        <f t="shared" si="1179"/>
        <v/>
      </c>
      <c r="M2657" s="49">
        <f t="shared" si="1180"/>
        <v>23.67</v>
      </c>
      <c r="N2657" s="41">
        <v>11.67</v>
      </c>
      <c r="O2657" s="43" t="s">
        <v>1017</v>
      </c>
      <c r="P2657" s="65"/>
      <c r="Q2657" s="65"/>
      <c r="R2657" s="58"/>
      <c r="T2657" s="65"/>
      <c r="U2657" s="65"/>
      <c r="V2657" s="12" t="s">
        <v>1017</v>
      </c>
      <c r="X2657" s="65"/>
      <c r="AA2657" s="67"/>
      <c r="AD2657" s="53" t="s">
        <v>1017</v>
      </c>
    </row>
    <row r="2658" spans="1:30" s="12" customFormat="1" x14ac:dyDescent="0.25">
      <c r="A2658" s="610" t="s">
        <v>694</v>
      </c>
      <c r="B2658" s="17" t="s">
        <v>5548</v>
      </c>
      <c r="C2658" s="17" t="s">
        <v>5405</v>
      </c>
      <c r="D2658" s="17" t="s">
        <v>7324</v>
      </c>
      <c r="E2658" s="17" t="s">
        <v>4810</v>
      </c>
      <c r="F2658" s="454">
        <v>21.67</v>
      </c>
      <c r="G2658" s="529">
        <v>21.67</v>
      </c>
      <c r="H2658" s="487">
        <f t="shared" si="1178"/>
        <v>17.34</v>
      </c>
      <c r="I2658" s="706"/>
      <c r="J2658" s="669" t="s">
        <v>5805</v>
      </c>
      <c r="K2658" s="23"/>
      <c r="L2658" s="70" t="str">
        <f t="shared" si="1179"/>
        <v/>
      </c>
      <c r="M2658" s="49">
        <f t="shared" si="1180"/>
        <v>21.67</v>
      </c>
      <c r="N2658" s="41">
        <v>11.67</v>
      </c>
      <c r="O2658" s="61"/>
      <c r="P2658" s="65"/>
      <c r="Q2658" s="65"/>
      <c r="R2658" s="58" t="s">
        <v>1017</v>
      </c>
      <c r="T2658" s="65"/>
      <c r="U2658" s="65"/>
      <c r="V2658" s="12" t="s">
        <v>1017</v>
      </c>
      <c r="X2658" s="65"/>
      <c r="AA2658" s="67"/>
      <c r="AD2658" s="53" t="s">
        <v>1017</v>
      </c>
    </row>
    <row r="2659" spans="1:30" s="12" customFormat="1" x14ac:dyDescent="0.25">
      <c r="A2659" s="610" t="s">
        <v>695</v>
      </c>
      <c r="B2659" s="17" t="s">
        <v>5548</v>
      </c>
      <c r="C2659" s="17" t="s">
        <v>5405</v>
      </c>
      <c r="D2659" s="17" t="s">
        <v>7325</v>
      </c>
      <c r="E2659" s="17" t="s">
        <v>4812</v>
      </c>
      <c r="F2659" s="454">
        <v>24.67</v>
      </c>
      <c r="G2659" s="529">
        <v>24.67</v>
      </c>
      <c r="H2659" s="487">
        <f t="shared" si="1178"/>
        <v>19.739999999999998</v>
      </c>
      <c r="I2659" s="706"/>
      <c r="J2659" s="669" t="s">
        <v>5805</v>
      </c>
      <c r="K2659" s="23"/>
      <c r="L2659" s="70" t="str">
        <f t="shared" si="1179"/>
        <v/>
      </c>
      <c r="M2659" s="49">
        <f t="shared" si="1180"/>
        <v>24.67</v>
      </c>
      <c r="N2659" s="41">
        <v>11.67</v>
      </c>
      <c r="O2659" s="43" t="s">
        <v>1017</v>
      </c>
      <c r="P2659" s="65"/>
      <c r="Q2659" s="65"/>
      <c r="R2659" s="58" t="s">
        <v>1017</v>
      </c>
      <c r="T2659" s="65"/>
      <c r="U2659" s="65"/>
      <c r="V2659" s="12" t="s">
        <v>1017</v>
      </c>
      <c r="X2659" s="65"/>
      <c r="AA2659" s="67"/>
      <c r="AD2659" s="53" t="s">
        <v>1017</v>
      </c>
    </row>
    <row r="2660" spans="1:30" s="12" customFormat="1" x14ac:dyDescent="0.25">
      <c r="A2660" s="610" t="s">
        <v>696</v>
      </c>
      <c r="B2660" s="17" t="s">
        <v>5548</v>
      </c>
      <c r="C2660" s="17" t="s">
        <v>5405</v>
      </c>
      <c r="D2660" s="17" t="s">
        <v>7326</v>
      </c>
      <c r="E2660" s="17" t="s">
        <v>4810</v>
      </c>
      <c r="F2660" s="454">
        <v>22.67</v>
      </c>
      <c r="G2660" s="529">
        <v>22.67</v>
      </c>
      <c r="H2660" s="487">
        <f t="shared" si="1178"/>
        <v>18.14</v>
      </c>
      <c r="I2660" s="706"/>
      <c r="J2660" s="669" t="s">
        <v>5805</v>
      </c>
      <c r="K2660" s="23"/>
      <c r="L2660" s="70" t="str">
        <f t="shared" si="1179"/>
        <v/>
      </c>
      <c r="M2660" s="49">
        <f t="shared" si="1180"/>
        <v>22.67</v>
      </c>
      <c r="N2660" s="41">
        <v>11.67</v>
      </c>
      <c r="O2660" s="61"/>
      <c r="P2660" s="65"/>
      <c r="Q2660" s="65"/>
      <c r="R2660" s="58"/>
      <c r="T2660" s="65"/>
      <c r="U2660" s="65"/>
      <c r="X2660" s="65"/>
      <c r="Y2660" s="12" t="s">
        <v>1017</v>
      </c>
      <c r="AA2660" s="67"/>
      <c r="AD2660" s="53" t="s">
        <v>1017</v>
      </c>
    </row>
    <row r="2661" spans="1:30" s="12" customFormat="1" x14ac:dyDescent="0.25">
      <c r="A2661" s="610" t="s">
        <v>697</v>
      </c>
      <c r="B2661" s="17" t="s">
        <v>5548</v>
      </c>
      <c r="C2661" s="17" t="s">
        <v>5405</v>
      </c>
      <c r="D2661" s="17" t="s">
        <v>7327</v>
      </c>
      <c r="E2661" s="17" t="s">
        <v>4812</v>
      </c>
      <c r="F2661" s="454">
        <v>25.67</v>
      </c>
      <c r="G2661" s="529">
        <v>25.67</v>
      </c>
      <c r="H2661" s="487">
        <f t="shared" si="1178"/>
        <v>20.54</v>
      </c>
      <c r="I2661" s="706"/>
      <c r="J2661" s="669" t="s">
        <v>5805</v>
      </c>
      <c r="K2661" s="23"/>
      <c r="L2661" s="70" t="str">
        <f t="shared" si="1179"/>
        <v/>
      </c>
      <c r="M2661" s="49">
        <f t="shared" si="1180"/>
        <v>25.67</v>
      </c>
      <c r="N2661" s="41">
        <v>11.67</v>
      </c>
      <c r="O2661" s="43" t="s">
        <v>1017</v>
      </c>
      <c r="P2661" s="65"/>
      <c r="Q2661" s="65"/>
      <c r="R2661" s="58"/>
      <c r="T2661" s="65"/>
      <c r="U2661" s="65"/>
      <c r="X2661" s="65"/>
      <c r="Y2661" s="12" t="s">
        <v>1017</v>
      </c>
      <c r="AA2661" s="67"/>
      <c r="AD2661" s="53" t="s">
        <v>1017</v>
      </c>
    </row>
    <row r="2662" spans="1:30" s="12" customFormat="1" x14ac:dyDescent="0.25">
      <c r="A2662" s="610" t="s">
        <v>698</v>
      </c>
      <c r="B2662" s="17" t="s">
        <v>5548</v>
      </c>
      <c r="C2662" s="17" t="s">
        <v>5405</v>
      </c>
      <c r="D2662" s="17" t="s">
        <v>7328</v>
      </c>
      <c r="E2662" s="17" t="s">
        <v>4810</v>
      </c>
      <c r="F2662" s="454">
        <v>23.67</v>
      </c>
      <c r="G2662" s="529">
        <v>23.67</v>
      </c>
      <c r="H2662" s="487">
        <f t="shared" si="1178"/>
        <v>18.940000000000001</v>
      </c>
      <c r="I2662" s="706"/>
      <c r="J2662" s="669" t="s">
        <v>5805</v>
      </c>
      <c r="K2662" s="23"/>
      <c r="L2662" s="70" t="str">
        <f t="shared" si="1179"/>
        <v/>
      </c>
      <c r="M2662" s="49">
        <f t="shared" si="1180"/>
        <v>23.67</v>
      </c>
      <c r="N2662" s="41">
        <v>11.67</v>
      </c>
      <c r="O2662" s="61"/>
      <c r="P2662" s="65"/>
      <c r="Q2662" s="65"/>
      <c r="R2662" s="58" t="s">
        <v>1017</v>
      </c>
      <c r="T2662" s="65"/>
      <c r="U2662" s="65"/>
      <c r="X2662" s="65"/>
      <c r="Y2662" s="12" t="s">
        <v>1017</v>
      </c>
      <c r="AA2662" s="67"/>
      <c r="AD2662" s="53" t="s">
        <v>1017</v>
      </c>
    </row>
    <row r="2663" spans="1:30" s="12" customFormat="1" x14ac:dyDescent="0.25">
      <c r="A2663" s="610" t="s">
        <v>699</v>
      </c>
      <c r="B2663" s="17" t="s">
        <v>5548</v>
      </c>
      <c r="C2663" s="17" t="s">
        <v>5405</v>
      </c>
      <c r="D2663" s="17" t="s">
        <v>7329</v>
      </c>
      <c r="E2663" s="17" t="s">
        <v>4812</v>
      </c>
      <c r="F2663" s="454">
        <v>26.67</v>
      </c>
      <c r="G2663" s="529">
        <v>26.67</v>
      </c>
      <c r="H2663" s="487">
        <f t="shared" si="1178"/>
        <v>21.34</v>
      </c>
      <c r="I2663" s="706"/>
      <c r="J2663" s="669" t="s">
        <v>5805</v>
      </c>
      <c r="K2663" s="23"/>
      <c r="L2663" s="70" t="str">
        <f t="shared" si="1179"/>
        <v/>
      </c>
      <c r="M2663" s="49">
        <f t="shared" si="1180"/>
        <v>26.67</v>
      </c>
      <c r="N2663" s="41">
        <v>11.67</v>
      </c>
      <c r="O2663" s="43" t="s">
        <v>1017</v>
      </c>
      <c r="P2663" s="65"/>
      <c r="Q2663" s="65"/>
      <c r="R2663" s="58" t="s">
        <v>1017</v>
      </c>
      <c r="T2663" s="65"/>
      <c r="U2663" s="65"/>
      <c r="X2663" s="65"/>
      <c r="Y2663" s="12" t="s">
        <v>1017</v>
      </c>
      <c r="AA2663" s="67"/>
      <c r="AD2663" s="53" t="s">
        <v>1017</v>
      </c>
    </row>
    <row r="2664" spans="1:30" s="12" customFormat="1" x14ac:dyDescent="0.25">
      <c r="A2664" s="610" t="s">
        <v>700</v>
      </c>
      <c r="B2664" s="17" t="s">
        <v>5548</v>
      </c>
      <c r="C2664" s="17" t="s">
        <v>5405</v>
      </c>
      <c r="D2664" s="17" t="s">
        <v>7330</v>
      </c>
      <c r="E2664" s="17" t="s">
        <v>4810</v>
      </c>
      <c r="F2664" s="454">
        <v>24.67</v>
      </c>
      <c r="G2664" s="529">
        <v>24.67</v>
      </c>
      <c r="H2664" s="487">
        <f t="shared" si="1178"/>
        <v>19.739999999999998</v>
      </c>
      <c r="I2664" s="706"/>
      <c r="J2664" s="669" t="s">
        <v>5805</v>
      </c>
      <c r="K2664" s="23"/>
      <c r="L2664" s="70" t="str">
        <f t="shared" si="1179"/>
        <v/>
      </c>
      <c r="M2664" s="49">
        <f t="shared" si="1180"/>
        <v>24.67</v>
      </c>
      <c r="N2664" s="41">
        <v>11.67</v>
      </c>
      <c r="O2664" s="61"/>
      <c r="P2664" s="65"/>
      <c r="Q2664" s="65"/>
      <c r="R2664" s="58"/>
      <c r="T2664" s="65"/>
      <c r="U2664" s="65"/>
      <c r="W2664" s="12" t="s">
        <v>1017</v>
      </c>
      <c r="X2664" s="65"/>
      <c r="AA2664" s="67"/>
      <c r="AD2664" s="53" t="s">
        <v>1017</v>
      </c>
    </row>
    <row r="2665" spans="1:30" s="12" customFormat="1" x14ac:dyDescent="0.25">
      <c r="A2665" s="610" t="s">
        <v>701</v>
      </c>
      <c r="B2665" s="17" t="s">
        <v>5548</v>
      </c>
      <c r="C2665" s="17" t="s">
        <v>5405</v>
      </c>
      <c r="D2665" s="17" t="s">
        <v>7331</v>
      </c>
      <c r="E2665" s="17" t="s">
        <v>4812</v>
      </c>
      <c r="F2665" s="454">
        <v>27.67</v>
      </c>
      <c r="G2665" s="529">
        <v>27.67</v>
      </c>
      <c r="H2665" s="487">
        <f t="shared" si="1178"/>
        <v>22.14</v>
      </c>
      <c r="I2665" s="706"/>
      <c r="J2665" s="669" t="s">
        <v>5805</v>
      </c>
      <c r="K2665" s="23"/>
      <c r="L2665" s="70" t="str">
        <f t="shared" si="1179"/>
        <v/>
      </c>
      <c r="M2665" s="49">
        <f t="shared" si="1180"/>
        <v>27.67</v>
      </c>
      <c r="N2665" s="41">
        <v>11.67</v>
      </c>
      <c r="O2665" s="43" t="s">
        <v>1017</v>
      </c>
      <c r="P2665" s="65"/>
      <c r="Q2665" s="65"/>
      <c r="R2665" s="58"/>
      <c r="T2665" s="65"/>
      <c r="U2665" s="65"/>
      <c r="W2665" s="12" t="s">
        <v>1017</v>
      </c>
      <c r="X2665" s="65"/>
      <c r="AA2665" s="67"/>
      <c r="AD2665" s="53" t="s">
        <v>1017</v>
      </c>
    </row>
    <row r="2666" spans="1:30" s="12" customFormat="1" x14ac:dyDescent="0.25">
      <c r="A2666" s="610" t="s">
        <v>702</v>
      </c>
      <c r="B2666" s="17" t="s">
        <v>5548</v>
      </c>
      <c r="C2666" s="17" t="s">
        <v>5405</v>
      </c>
      <c r="D2666" s="17" t="s">
        <v>7332</v>
      </c>
      <c r="E2666" s="17" t="s">
        <v>4810</v>
      </c>
      <c r="F2666" s="454">
        <v>25.67</v>
      </c>
      <c r="G2666" s="529">
        <v>25.67</v>
      </c>
      <c r="H2666" s="487">
        <f t="shared" si="1178"/>
        <v>20.54</v>
      </c>
      <c r="I2666" s="706"/>
      <c r="J2666" s="669" t="s">
        <v>5805</v>
      </c>
      <c r="K2666" s="23"/>
      <c r="L2666" s="70" t="str">
        <f t="shared" si="1179"/>
        <v/>
      </c>
      <c r="M2666" s="49">
        <f t="shared" si="1180"/>
        <v>25.67</v>
      </c>
      <c r="N2666" s="41">
        <v>11.67</v>
      </c>
      <c r="O2666" s="61"/>
      <c r="P2666" s="65"/>
      <c r="Q2666" s="65"/>
      <c r="R2666" s="58" t="s">
        <v>1017</v>
      </c>
      <c r="T2666" s="65"/>
      <c r="U2666" s="65"/>
      <c r="W2666" s="12" t="s">
        <v>1017</v>
      </c>
      <c r="X2666" s="65"/>
      <c r="AA2666" s="67"/>
      <c r="AD2666" s="53" t="s">
        <v>1017</v>
      </c>
    </row>
    <row r="2667" spans="1:30" s="12" customFormat="1" x14ac:dyDescent="0.25">
      <c r="A2667" s="610" t="s">
        <v>703</v>
      </c>
      <c r="B2667" s="17" t="s">
        <v>5548</v>
      </c>
      <c r="C2667" s="17" t="s">
        <v>5405</v>
      </c>
      <c r="D2667" s="17" t="s">
        <v>7333</v>
      </c>
      <c r="E2667" s="17" t="s">
        <v>4812</v>
      </c>
      <c r="F2667" s="454">
        <v>28.67</v>
      </c>
      <c r="G2667" s="529">
        <v>28.67</v>
      </c>
      <c r="H2667" s="487">
        <f t="shared" si="1178"/>
        <v>22.94</v>
      </c>
      <c r="I2667" s="706"/>
      <c r="J2667" s="669" t="s">
        <v>5805</v>
      </c>
      <c r="K2667" s="23"/>
      <c r="L2667" s="70" t="str">
        <f t="shared" si="1179"/>
        <v/>
      </c>
      <c r="M2667" s="49">
        <f t="shared" si="1180"/>
        <v>28.67</v>
      </c>
      <c r="N2667" s="41">
        <v>11.67</v>
      </c>
      <c r="O2667" s="43" t="s">
        <v>1017</v>
      </c>
      <c r="P2667" s="65"/>
      <c r="Q2667" s="65"/>
      <c r="R2667" s="58" t="s">
        <v>1017</v>
      </c>
      <c r="T2667" s="65"/>
      <c r="U2667" s="65"/>
      <c r="W2667" s="12" t="s">
        <v>1017</v>
      </c>
      <c r="X2667" s="65"/>
      <c r="AA2667" s="67"/>
      <c r="AD2667" s="53" t="s">
        <v>1017</v>
      </c>
    </row>
    <row r="2668" spans="1:30" s="12" customFormat="1" x14ac:dyDescent="0.25">
      <c r="A2668" s="610" t="s">
        <v>704</v>
      </c>
      <c r="B2668" s="17" t="s">
        <v>5548</v>
      </c>
      <c r="C2668" s="17" t="s">
        <v>5405</v>
      </c>
      <c r="D2668" s="17" t="s">
        <v>7334</v>
      </c>
      <c r="E2668" s="17" t="s">
        <v>4810</v>
      </c>
      <c r="F2668" s="454">
        <v>26.67</v>
      </c>
      <c r="G2668" s="529">
        <v>26.67</v>
      </c>
      <c r="H2668" s="487">
        <f t="shared" si="1178"/>
        <v>21.34</v>
      </c>
      <c r="I2668" s="706"/>
      <c r="J2668" s="669" t="s">
        <v>5805</v>
      </c>
      <c r="K2668" s="23"/>
      <c r="L2668" s="70" t="str">
        <f t="shared" si="1179"/>
        <v/>
      </c>
      <c r="M2668" s="49">
        <f t="shared" si="1180"/>
        <v>26.67</v>
      </c>
      <c r="N2668" s="41">
        <v>11.67</v>
      </c>
      <c r="O2668" s="61"/>
      <c r="P2668" s="65"/>
      <c r="Q2668" s="65"/>
      <c r="R2668" s="58"/>
      <c r="T2668" s="65"/>
      <c r="U2668" s="65"/>
      <c r="X2668" s="65"/>
      <c r="Z2668" s="12" t="s">
        <v>1017</v>
      </c>
      <c r="AA2668" s="67"/>
      <c r="AD2668" s="53" t="s">
        <v>1017</v>
      </c>
    </row>
    <row r="2669" spans="1:30" s="12" customFormat="1" x14ac:dyDescent="0.25">
      <c r="A2669" s="610" t="s">
        <v>705</v>
      </c>
      <c r="B2669" s="17" t="s">
        <v>5548</v>
      </c>
      <c r="C2669" s="17" t="s">
        <v>5405</v>
      </c>
      <c r="D2669" s="17" t="s">
        <v>7335</v>
      </c>
      <c r="E2669" s="17" t="s">
        <v>4812</v>
      </c>
      <c r="F2669" s="454">
        <v>29.67</v>
      </c>
      <c r="G2669" s="529">
        <v>29.67</v>
      </c>
      <c r="H2669" s="487">
        <f t="shared" si="1178"/>
        <v>23.74</v>
      </c>
      <c r="I2669" s="706"/>
      <c r="J2669" s="669" t="s">
        <v>5805</v>
      </c>
      <c r="K2669" s="23"/>
      <c r="L2669" s="70" t="str">
        <f t="shared" si="1179"/>
        <v/>
      </c>
      <c r="M2669" s="49">
        <f t="shared" si="1180"/>
        <v>29.67</v>
      </c>
      <c r="N2669" s="41">
        <v>11.67</v>
      </c>
      <c r="O2669" s="43" t="s">
        <v>1017</v>
      </c>
      <c r="P2669" s="65"/>
      <c r="Q2669" s="65"/>
      <c r="R2669" s="58"/>
      <c r="T2669" s="65"/>
      <c r="U2669" s="65"/>
      <c r="X2669" s="65"/>
      <c r="Z2669" s="12" t="s">
        <v>1017</v>
      </c>
      <c r="AA2669" s="67"/>
      <c r="AD2669" s="53" t="s">
        <v>1017</v>
      </c>
    </row>
    <row r="2670" spans="1:30" s="12" customFormat="1" x14ac:dyDescent="0.25">
      <c r="A2670" s="610" t="s">
        <v>706</v>
      </c>
      <c r="B2670" s="17" t="s">
        <v>5548</v>
      </c>
      <c r="C2670" s="17" t="s">
        <v>5405</v>
      </c>
      <c r="D2670" s="17" t="s">
        <v>7336</v>
      </c>
      <c r="E2670" s="17" t="s">
        <v>4810</v>
      </c>
      <c r="F2670" s="454">
        <v>27.67</v>
      </c>
      <c r="G2670" s="529">
        <v>27.67</v>
      </c>
      <c r="H2670" s="487">
        <f t="shared" si="1178"/>
        <v>22.14</v>
      </c>
      <c r="I2670" s="706"/>
      <c r="J2670" s="669" t="s">
        <v>5805</v>
      </c>
      <c r="K2670" s="23"/>
      <c r="L2670" s="70" t="str">
        <f t="shared" si="1179"/>
        <v/>
      </c>
      <c r="M2670" s="49">
        <f t="shared" si="1180"/>
        <v>27.67</v>
      </c>
      <c r="N2670" s="41">
        <v>11.67</v>
      </c>
      <c r="O2670" s="61"/>
      <c r="P2670" s="65"/>
      <c r="Q2670" s="65"/>
      <c r="R2670" s="58" t="s">
        <v>1017</v>
      </c>
      <c r="T2670" s="65"/>
      <c r="U2670" s="65"/>
      <c r="X2670" s="65"/>
      <c r="Z2670" s="12" t="s">
        <v>1017</v>
      </c>
      <c r="AA2670" s="67"/>
      <c r="AD2670" s="53" t="s">
        <v>1017</v>
      </c>
    </row>
    <row r="2671" spans="1:30" s="12" customFormat="1" x14ac:dyDescent="0.25">
      <c r="A2671" s="610" t="s">
        <v>707</v>
      </c>
      <c r="B2671" s="17" t="s">
        <v>5548</v>
      </c>
      <c r="C2671" s="17" t="s">
        <v>5405</v>
      </c>
      <c r="D2671" s="17" t="s">
        <v>7337</v>
      </c>
      <c r="E2671" s="17" t="s">
        <v>4812</v>
      </c>
      <c r="F2671" s="454">
        <v>30.67</v>
      </c>
      <c r="G2671" s="529">
        <v>30.67</v>
      </c>
      <c r="H2671" s="487">
        <f t="shared" si="1178"/>
        <v>24.54</v>
      </c>
      <c r="I2671" s="706"/>
      <c r="J2671" s="669" t="s">
        <v>5805</v>
      </c>
      <c r="K2671" s="23"/>
      <c r="L2671" s="70" t="str">
        <f t="shared" si="1179"/>
        <v/>
      </c>
      <c r="M2671" s="49">
        <f t="shared" si="1180"/>
        <v>30.67</v>
      </c>
      <c r="N2671" s="41">
        <v>11.67</v>
      </c>
      <c r="O2671" s="43" t="s">
        <v>1017</v>
      </c>
      <c r="P2671" s="65"/>
      <c r="Q2671" s="65"/>
      <c r="R2671" s="58" t="s">
        <v>1017</v>
      </c>
      <c r="T2671" s="65"/>
      <c r="U2671" s="65"/>
      <c r="X2671" s="65"/>
      <c r="Z2671" s="12" t="s">
        <v>1017</v>
      </c>
      <c r="AA2671" s="67"/>
      <c r="AD2671" s="53" t="s">
        <v>1017</v>
      </c>
    </row>
    <row r="2672" spans="1:30" s="12" customFormat="1" x14ac:dyDescent="0.25">
      <c r="A2672" s="610" t="s">
        <v>3309</v>
      </c>
      <c r="B2672" s="17" t="s">
        <v>5548</v>
      </c>
      <c r="C2672" s="17" t="s">
        <v>5405</v>
      </c>
      <c r="D2672" s="17" t="s">
        <v>5415</v>
      </c>
      <c r="E2672" s="17" t="s">
        <v>4810</v>
      </c>
      <c r="F2672" s="454">
        <v>9.18</v>
      </c>
      <c r="G2672" s="529">
        <v>9.18</v>
      </c>
      <c r="H2672" s="487">
        <f t="shared" si="1178"/>
        <v>7.34</v>
      </c>
      <c r="I2672" s="706"/>
      <c r="J2672" s="669" t="s">
        <v>5805</v>
      </c>
      <c r="K2672" s="23"/>
      <c r="L2672" s="70" t="str">
        <f t="shared" si="1179"/>
        <v/>
      </c>
      <c r="M2672" s="49">
        <f t="shared" si="1180"/>
        <v>9.18</v>
      </c>
      <c r="N2672" s="41">
        <v>9.18</v>
      </c>
      <c r="O2672" s="61"/>
      <c r="P2672" s="65"/>
      <c r="Q2672" s="65"/>
      <c r="R2672" s="58"/>
      <c r="T2672" s="65"/>
      <c r="U2672" s="65"/>
      <c r="W2672" s="65"/>
      <c r="Z2672" s="65"/>
      <c r="AA2672" s="53"/>
      <c r="AD2672" s="53"/>
    </row>
    <row r="2673" spans="1:30" s="12" customFormat="1" x14ac:dyDescent="0.25">
      <c r="A2673" s="610" t="s">
        <v>3310</v>
      </c>
      <c r="B2673" s="17" t="s">
        <v>5548</v>
      </c>
      <c r="C2673" s="17" t="s">
        <v>5405</v>
      </c>
      <c r="D2673" s="17" t="s">
        <v>2903</v>
      </c>
      <c r="E2673" s="17" t="s">
        <v>4812</v>
      </c>
      <c r="F2673" s="454">
        <v>12.18</v>
      </c>
      <c r="G2673" s="529">
        <v>12.18</v>
      </c>
      <c r="H2673" s="487">
        <f t="shared" si="1178"/>
        <v>9.74</v>
      </c>
      <c r="I2673" s="706"/>
      <c r="J2673" s="669" t="s">
        <v>5805</v>
      </c>
      <c r="K2673" s="23"/>
      <c r="L2673" s="70" t="str">
        <f t="shared" si="1179"/>
        <v/>
      </c>
      <c r="M2673" s="49">
        <f t="shared" si="1180"/>
        <v>12.18</v>
      </c>
      <c r="N2673" s="41">
        <v>9.18</v>
      </c>
      <c r="O2673" s="43" t="s">
        <v>1017</v>
      </c>
      <c r="P2673" s="65"/>
      <c r="Q2673" s="65"/>
      <c r="R2673" s="58"/>
      <c r="T2673" s="65"/>
      <c r="U2673" s="65"/>
      <c r="W2673" s="65"/>
      <c r="Z2673" s="65"/>
      <c r="AA2673" s="53"/>
      <c r="AD2673" s="53"/>
    </row>
    <row r="2674" spans="1:30" s="12" customFormat="1" x14ac:dyDescent="0.25">
      <c r="A2674" s="610" t="s">
        <v>2840</v>
      </c>
      <c r="B2674" s="17" t="s">
        <v>5548</v>
      </c>
      <c r="C2674" s="17" t="s">
        <v>5405</v>
      </c>
      <c r="D2674" s="30" t="s">
        <v>638</v>
      </c>
      <c r="E2674" s="17" t="s">
        <v>4810</v>
      </c>
      <c r="F2674" s="454">
        <v>10.18</v>
      </c>
      <c r="G2674" s="529">
        <v>10.18</v>
      </c>
      <c r="H2674" s="487">
        <f t="shared" si="1178"/>
        <v>8.14</v>
      </c>
      <c r="I2674" s="706"/>
      <c r="J2674" s="669" t="s">
        <v>5805</v>
      </c>
      <c r="K2674" s="23"/>
      <c r="L2674" s="70" t="str">
        <f t="shared" si="1179"/>
        <v/>
      </c>
      <c r="M2674" s="49">
        <f t="shared" si="1180"/>
        <v>10.18</v>
      </c>
      <c r="N2674" s="41">
        <v>9.18</v>
      </c>
      <c r="O2674" s="61"/>
      <c r="P2674" s="65"/>
      <c r="Q2674" s="65"/>
      <c r="R2674" s="58" t="s">
        <v>1017</v>
      </c>
      <c r="T2674" s="65"/>
      <c r="U2674" s="65"/>
      <c r="W2674" s="65"/>
      <c r="Z2674" s="65"/>
      <c r="AA2674" s="53"/>
      <c r="AD2674" s="53"/>
    </row>
    <row r="2675" spans="1:30" s="12" customFormat="1" x14ac:dyDescent="0.25">
      <c r="A2675" s="610" t="s">
        <v>2841</v>
      </c>
      <c r="B2675" s="17" t="s">
        <v>5548</v>
      </c>
      <c r="C2675" s="17" t="s">
        <v>5405</v>
      </c>
      <c r="D2675" s="30" t="s">
        <v>639</v>
      </c>
      <c r="E2675" s="17" t="s">
        <v>4812</v>
      </c>
      <c r="F2675" s="454">
        <v>13.18</v>
      </c>
      <c r="G2675" s="529">
        <v>13.18</v>
      </c>
      <c r="H2675" s="487">
        <f t="shared" si="1178"/>
        <v>10.54</v>
      </c>
      <c r="I2675" s="706"/>
      <c r="J2675" s="669" t="s">
        <v>5805</v>
      </c>
      <c r="K2675" s="23"/>
      <c r="L2675" s="70" t="str">
        <f t="shared" si="1179"/>
        <v/>
      </c>
      <c r="M2675" s="49">
        <f t="shared" si="1180"/>
        <v>13.18</v>
      </c>
      <c r="N2675" s="41">
        <v>9.18</v>
      </c>
      <c r="O2675" s="43" t="s">
        <v>1017</v>
      </c>
      <c r="P2675" s="65"/>
      <c r="Q2675" s="65"/>
      <c r="R2675" s="58" t="s">
        <v>1017</v>
      </c>
      <c r="T2675" s="65"/>
      <c r="U2675" s="65"/>
      <c r="W2675" s="65"/>
      <c r="Z2675" s="65"/>
      <c r="AA2675" s="53"/>
      <c r="AD2675" s="53"/>
    </row>
    <row r="2676" spans="1:30" s="12" customFormat="1" x14ac:dyDescent="0.25">
      <c r="A2676" s="610" t="s">
        <v>3328</v>
      </c>
      <c r="B2676" s="17" t="s">
        <v>5548</v>
      </c>
      <c r="C2676" s="17" t="s">
        <v>5405</v>
      </c>
      <c r="D2676" s="17" t="s">
        <v>597</v>
      </c>
      <c r="E2676" s="17" t="s">
        <v>4810</v>
      </c>
      <c r="F2676" s="454">
        <v>15.18</v>
      </c>
      <c r="G2676" s="529">
        <v>15.18</v>
      </c>
      <c r="H2676" s="487">
        <f t="shared" si="1178"/>
        <v>12.14</v>
      </c>
      <c r="I2676" s="706"/>
      <c r="J2676" s="669" t="s">
        <v>5805</v>
      </c>
      <c r="K2676" s="23"/>
      <c r="L2676" s="70" t="str">
        <f t="shared" si="1179"/>
        <v/>
      </c>
      <c r="M2676" s="49">
        <f t="shared" si="1180"/>
        <v>15.18</v>
      </c>
      <c r="N2676" s="41">
        <v>9.18</v>
      </c>
      <c r="O2676" s="61"/>
      <c r="P2676" s="65"/>
      <c r="Q2676" s="65"/>
      <c r="R2676" s="58"/>
      <c r="S2676" s="12" t="s">
        <v>1017</v>
      </c>
      <c r="T2676" s="65"/>
      <c r="U2676" s="65"/>
      <c r="W2676" s="65"/>
      <c r="Z2676" s="65"/>
      <c r="AA2676" s="53"/>
      <c r="AD2676" s="53"/>
    </row>
    <row r="2677" spans="1:30" s="12" customFormat="1" x14ac:dyDescent="0.25">
      <c r="A2677" s="610" t="s">
        <v>3329</v>
      </c>
      <c r="B2677" s="17" t="s">
        <v>5548</v>
      </c>
      <c r="C2677" s="17" t="s">
        <v>5405</v>
      </c>
      <c r="D2677" s="17" t="s">
        <v>3201</v>
      </c>
      <c r="E2677" s="17" t="s">
        <v>4812</v>
      </c>
      <c r="F2677" s="454">
        <v>18.18</v>
      </c>
      <c r="G2677" s="529">
        <v>18.18</v>
      </c>
      <c r="H2677" s="487">
        <f t="shared" si="1178"/>
        <v>14.54</v>
      </c>
      <c r="I2677" s="706"/>
      <c r="J2677" s="669" t="s">
        <v>5805</v>
      </c>
      <c r="K2677" s="23"/>
      <c r="L2677" s="70" t="str">
        <f t="shared" si="1179"/>
        <v/>
      </c>
      <c r="M2677" s="49">
        <f t="shared" si="1180"/>
        <v>18.18</v>
      </c>
      <c r="N2677" s="41">
        <v>9.18</v>
      </c>
      <c r="O2677" s="43" t="s">
        <v>1017</v>
      </c>
      <c r="P2677" s="65"/>
      <c r="Q2677" s="65"/>
      <c r="R2677" s="58"/>
      <c r="S2677" s="12" t="s">
        <v>1017</v>
      </c>
      <c r="T2677" s="65"/>
      <c r="U2677" s="65"/>
      <c r="W2677" s="65"/>
      <c r="Z2677" s="65"/>
      <c r="AA2677" s="53"/>
      <c r="AD2677" s="53"/>
    </row>
    <row r="2678" spans="1:30" s="12" customFormat="1" x14ac:dyDescent="0.25">
      <c r="A2678" s="610" t="s">
        <v>574</v>
      </c>
      <c r="B2678" s="17" t="s">
        <v>5548</v>
      </c>
      <c r="C2678" s="17" t="s">
        <v>5405</v>
      </c>
      <c r="D2678" s="30" t="s">
        <v>2113</v>
      </c>
      <c r="E2678" s="17" t="s">
        <v>4810</v>
      </c>
      <c r="F2678" s="454">
        <v>16.18</v>
      </c>
      <c r="G2678" s="529">
        <v>16.18</v>
      </c>
      <c r="H2678" s="487">
        <f t="shared" si="1178"/>
        <v>12.94</v>
      </c>
      <c r="I2678" s="706"/>
      <c r="J2678" s="669" t="s">
        <v>5805</v>
      </c>
      <c r="K2678" s="23"/>
      <c r="L2678" s="70" t="str">
        <f t="shared" si="1179"/>
        <v/>
      </c>
      <c r="M2678" s="49">
        <f t="shared" si="1180"/>
        <v>16.18</v>
      </c>
      <c r="N2678" s="41">
        <v>9.18</v>
      </c>
      <c r="O2678" s="61"/>
      <c r="P2678" s="65"/>
      <c r="Q2678" s="65"/>
      <c r="R2678" s="58" t="s">
        <v>1017</v>
      </c>
      <c r="S2678" s="12" t="s">
        <v>1017</v>
      </c>
      <c r="T2678" s="65"/>
      <c r="U2678" s="65"/>
      <c r="W2678" s="65"/>
      <c r="Z2678" s="65"/>
      <c r="AA2678" s="53"/>
      <c r="AD2678" s="53"/>
    </row>
    <row r="2679" spans="1:30" s="12" customFormat="1" x14ac:dyDescent="0.25">
      <c r="A2679" s="610" t="s">
        <v>575</v>
      </c>
      <c r="B2679" s="17" t="s">
        <v>5548</v>
      </c>
      <c r="C2679" s="17" t="s">
        <v>5405</v>
      </c>
      <c r="D2679" s="30" t="s">
        <v>2112</v>
      </c>
      <c r="E2679" s="17" t="s">
        <v>4812</v>
      </c>
      <c r="F2679" s="454">
        <v>19.18</v>
      </c>
      <c r="G2679" s="529">
        <v>19.18</v>
      </c>
      <c r="H2679" s="487">
        <f t="shared" si="1178"/>
        <v>15.34</v>
      </c>
      <c r="I2679" s="706"/>
      <c r="J2679" s="669" t="s">
        <v>5805</v>
      </c>
      <c r="K2679" s="23"/>
      <c r="L2679" s="70" t="str">
        <f t="shared" si="1179"/>
        <v/>
      </c>
      <c r="M2679" s="49">
        <f t="shared" si="1180"/>
        <v>19.18</v>
      </c>
      <c r="N2679" s="41">
        <v>9.18</v>
      </c>
      <c r="O2679" s="43" t="s">
        <v>1017</v>
      </c>
      <c r="P2679" s="65"/>
      <c r="Q2679" s="65"/>
      <c r="R2679" s="58" t="s">
        <v>1017</v>
      </c>
      <c r="S2679" s="12" t="s">
        <v>1017</v>
      </c>
      <c r="T2679" s="65"/>
      <c r="U2679" s="65"/>
      <c r="W2679" s="65"/>
      <c r="Z2679" s="65"/>
      <c r="AA2679" s="53"/>
      <c r="AD2679" s="53"/>
    </row>
    <row r="2680" spans="1:30" s="12" customFormat="1" x14ac:dyDescent="0.25">
      <c r="A2680" s="610" t="s">
        <v>3336</v>
      </c>
      <c r="B2680" s="17" t="s">
        <v>5548</v>
      </c>
      <c r="C2680" s="17" t="s">
        <v>5405</v>
      </c>
      <c r="D2680" s="17" t="s">
        <v>1197</v>
      </c>
      <c r="E2680" s="17" t="s">
        <v>4810</v>
      </c>
      <c r="F2680" s="454">
        <v>16.18</v>
      </c>
      <c r="G2680" s="529">
        <v>16.18</v>
      </c>
      <c r="H2680" s="487">
        <f t="shared" si="1178"/>
        <v>12.94</v>
      </c>
      <c r="I2680" s="706"/>
      <c r="J2680" s="669" t="s">
        <v>5805</v>
      </c>
      <c r="K2680" s="23"/>
      <c r="L2680" s="70" t="str">
        <f t="shared" si="1179"/>
        <v/>
      </c>
      <c r="M2680" s="49">
        <f t="shared" si="1180"/>
        <v>16.18</v>
      </c>
      <c r="N2680" s="41">
        <v>9.18</v>
      </c>
      <c r="O2680" s="61"/>
      <c r="P2680" s="65"/>
      <c r="Q2680" s="65"/>
      <c r="R2680" s="58"/>
      <c r="T2680" s="65"/>
      <c r="U2680" s="65"/>
      <c r="V2680" s="12" t="s">
        <v>1017</v>
      </c>
      <c r="W2680" s="65"/>
      <c r="Z2680" s="65"/>
      <c r="AA2680" s="53"/>
      <c r="AD2680" s="53"/>
    </row>
    <row r="2681" spans="1:30" s="12" customFormat="1" x14ac:dyDescent="0.25">
      <c r="A2681" s="610" t="s">
        <v>3337</v>
      </c>
      <c r="B2681" s="17" t="s">
        <v>5548</v>
      </c>
      <c r="C2681" s="17" t="s">
        <v>5405</v>
      </c>
      <c r="D2681" s="17" t="s">
        <v>5554</v>
      </c>
      <c r="E2681" s="17" t="s">
        <v>4812</v>
      </c>
      <c r="F2681" s="454">
        <v>19.18</v>
      </c>
      <c r="G2681" s="529">
        <v>19.18</v>
      </c>
      <c r="H2681" s="487">
        <f t="shared" si="1178"/>
        <v>15.34</v>
      </c>
      <c r="I2681" s="706"/>
      <c r="J2681" s="669" t="s">
        <v>5805</v>
      </c>
      <c r="K2681" s="23"/>
      <c r="L2681" s="70" t="str">
        <f t="shared" si="1179"/>
        <v/>
      </c>
      <c r="M2681" s="49">
        <f t="shared" si="1180"/>
        <v>19.18</v>
      </c>
      <c r="N2681" s="41">
        <v>9.18</v>
      </c>
      <c r="O2681" s="43" t="s">
        <v>1017</v>
      </c>
      <c r="P2681" s="65"/>
      <c r="Q2681" s="65"/>
      <c r="R2681" s="58"/>
      <c r="T2681" s="65"/>
      <c r="U2681" s="65"/>
      <c r="V2681" s="12" t="s">
        <v>1017</v>
      </c>
      <c r="W2681" s="65"/>
      <c r="Z2681" s="65"/>
      <c r="AA2681" s="53"/>
      <c r="AD2681" s="53"/>
    </row>
    <row r="2682" spans="1:30" s="12" customFormat="1" x14ac:dyDescent="0.25">
      <c r="A2682" s="610" t="s">
        <v>4299</v>
      </c>
      <c r="B2682" s="17" t="s">
        <v>5548</v>
      </c>
      <c r="C2682" s="17" t="s">
        <v>5405</v>
      </c>
      <c r="D2682" s="17" t="s">
        <v>4136</v>
      </c>
      <c r="E2682" s="17" t="s">
        <v>4810</v>
      </c>
      <c r="F2682" s="454">
        <v>17.18</v>
      </c>
      <c r="G2682" s="529">
        <v>17.18</v>
      </c>
      <c r="H2682" s="487">
        <f t="shared" si="1178"/>
        <v>13.74</v>
      </c>
      <c r="I2682" s="706"/>
      <c r="J2682" s="669" t="s">
        <v>5805</v>
      </c>
      <c r="K2682" s="23"/>
      <c r="L2682" s="70" t="str">
        <f t="shared" si="1179"/>
        <v/>
      </c>
      <c r="M2682" s="49">
        <f t="shared" si="1180"/>
        <v>17.18</v>
      </c>
      <c r="N2682" s="41">
        <v>9.18</v>
      </c>
      <c r="O2682" s="61"/>
      <c r="P2682" s="65"/>
      <c r="Q2682" s="65"/>
      <c r="R2682" s="58" t="s">
        <v>1017</v>
      </c>
      <c r="T2682" s="65"/>
      <c r="U2682" s="65"/>
      <c r="V2682" s="12" t="s">
        <v>1017</v>
      </c>
      <c r="W2682" s="65"/>
      <c r="Z2682" s="65"/>
      <c r="AA2682" s="53"/>
      <c r="AD2682" s="53"/>
    </row>
    <row r="2683" spans="1:30" s="12" customFormat="1" x14ac:dyDescent="0.25">
      <c r="A2683" s="610" t="s">
        <v>4300</v>
      </c>
      <c r="B2683" s="17" t="s">
        <v>5548</v>
      </c>
      <c r="C2683" s="17" t="s">
        <v>5405</v>
      </c>
      <c r="D2683" s="17" t="s">
        <v>5557</v>
      </c>
      <c r="E2683" s="17" t="s">
        <v>4812</v>
      </c>
      <c r="F2683" s="454">
        <v>20.18</v>
      </c>
      <c r="G2683" s="529">
        <v>20.18</v>
      </c>
      <c r="H2683" s="487">
        <f t="shared" si="1178"/>
        <v>16.14</v>
      </c>
      <c r="I2683" s="706"/>
      <c r="J2683" s="669" t="s">
        <v>5805</v>
      </c>
      <c r="K2683" s="23"/>
      <c r="L2683" s="70" t="str">
        <f t="shared" si="1179"/>
        <v/>
      </c>
      <c r="M2683" s="49">
        <f t="shared" si="1180"/>
        <v>20.18</v>
      </c>
      <c r="N2683" s="41">
        <v>9.18</v>
      </c>
      <c r="O2683" s="43" t="s">
        <v>1017</v>
      </c>
      <c r="P2683" s="65"/>
      <c r="Q2683" s="65"/>
      <c r="R2683" s="58" t="s">
        <v>1017</v>
      </c>
      <c r="T2683" s="65"/>
      <c r="U2683" s="65"/>
      <c r="V2683" s="12" t="s">
        <v>1017</v>
      </c>
      <c r="W2683" s="65"/>
      <c r="Z2683" s="65"/>
      <c r="AA2683" s="53"/>
      <c r="AD2683" s="53"/>
    </row>
    <row r="2684" spans="1:30" s="12" customFormat="1" x14ac:dyDescent="0.25">
      <c r="A2684" s="610" t="s">
        <v>3344</v>
      </c>
      <c r="B2684" s="17" t="s">
        <v>5548</v>
      </c>
      <c r="C2684" s="17" t="s">
        <v>5405</v>
      </c>
      <c r="D2684" s="17" t="s">
        <v>4134</v>
      </c>
      <c r="E2684" s="17" t="s">
        <v>4810</v>
      </c>
      <c r="F2684" s="454">
        <v>18.18</v>
      </c>
      <c r="G2684" s="529">
        <v>18.18</v>
      </c>
      <c r="H2684" s="487">
        <f t="shared" si="1178"/>
        <v>14.54</v>
      </c>
      <c r="I2684" s="706"/>
      <c r="J2684" s="669" t="s">
        <v>5805</v>
      </c>
      <c r="K2684" s="23"/>
      <c r="L2684" s="70" t="str">
        <f t="shared" si="1179"/>
        <v/>
      </c>
      <c r="M2684" s="49">
        <f t="shared" si="1180"/>
        <v>18.18</v>
      </c>
      <c r="N2684" s="41">
        <v>9.18</v>
      </c>
      <c r="O2684" s="61"/>
      <c r="P2684" s="65"/>
      <c r="Q2684" s="65"/>
      <c r="R2684" s="58"/>
      <c r="T2684" s="65"/>
      <c r="U2684" s="65"/>
      <c r="W2684" s="65"/>
      <c r="Y2684" s="12" t="s">
        <v>1017</v>
      </c>
      <c r="Z2684" s="65"/>
      <c r="AA2684" s="53"/>
      <c r="AD2684" s="53"/>
    </row>
    <row r="2685" spans="1:30" s="12" customFormat="1" x14ac:dyDescent="0.25">
      <c r="A2685" s="610" t="s">
        <v>3345</v>
      </c>
      <c r="B2685" s="17" t="s">
        <v>5548</v>
      </c>
      <c r="C2685" s="17" t="s">
        <v>5405</v>
      </c>
      <c r="D2685" s="17" t="s">
        <v>5556</v>
      </c>
      <c r="E2685" s="17" t="s">
        <v>4812</v>
      </c>
      <c r="F2685" s="454">
        <v>21.18</v>
      </c>
      <c r="G2685" s="529">
        <v>21.18</v>
      </c>
      <c r="H2685" s="487">
        <f t="shared" si="1178"/>
        <v>16.940000000000001</v>
      </c>
      <c r="I2685" s="706"/>
      <c r="J2685" s="669" t="s">
        <v>5805</v>
      </c>
      <c r="K2685" s="23"/>
      <c r="L2685" s="70" t="str">
        <f t="shared" si="1179"/>
        <v/>
      </c>
      <c r="M2685" s="49">
        <f t="shared" si="1180"/>
        <v>21.18</v>
      </c>
      <c r="N2685" s="41">
        <v>9.18</v>
      </c>
      <c r="O2685" s="43" t="s">
        <v>1017</v>
      </c>
      <c r="P2685" s="65"/>
      <c r="Q2685" s="65"/>
      <c r="R2685" s="58"/>
      <c r="T2685" s="65"/>
      <c r="U2685" s="65"/>
      <c r="W2685" s="65"/>
      <c r="Y2685" s="12" t="s">
        <v>1017</v>
      </c>
      <c r="Z2685" s="65"/>
      <c r="AA2685" s="53"/>
      <c r="AD2685" s="53"/>
    </row>
    <row r="2686" spans="1:30" s="12" customFormat="1" x14ac:dyDescent="0.25">
      <c r="A2686" s="610" t="s">
        <v>4307</v>
      </c>
      <c r="B2686" s="17" t="s">
        <v>5548</v>
      </c>
      <c r="C2686" s="17" t="s">
        <v>5405</v>
      </c>
      <c r="D2686" s="17" t="s">
        <v>2920</v>
      </c>
      <c r="E2686" s="17" t="s">
        <v>4810</v>
      </c>
      <c r="F2686" s="454">
        <v>19.18</v>
      </c>
      <c r="G2686" s="529">
        <v>19.18</v>
      </c>
      <c r="H2686" s="487">
        <f t="shared" si="1178"/>
        <v>15.34</v>
      </c>
      <c r="I2686" s="706"/>
      <c r="J2686" s="669" t="s">
        <v>5805</v>
      </c>
      <c r="K2686" s="23"/>
      <c r="L2686" s="70" t="str">
        <f t="shared" si="1179"/>
        <v/>
      </c>
      <c r="M2686" s="49">
        <f t="shared" si="1180"/>
        <v>19.18</v>
      </c>
      <c r="N2686" s="41">
        <v>9.18</v>
      </c>
      <c r="O2686" s="61"/>
      <c r="P2686" s="65"/>
      <c r="Q2686" s="65"/>
      <c r="R2686" s="58" t="s">
        <v>1017</v>
      </c>
      <c r="T2686" s="65"/>
      <c r="U2686" s="65"/>
      <c r="W2686" s="65"/>
      <c r="Y2686" s="12" t="s">
        <v>1017</v>
      </c>
      <c r="Z2686" s="65"/>
      <c r="AA2686" s="53"/>
      <c r="AD2686" s="53"/>
    </row>
    <row r="2687" spans="1:30" s="12" customFormat="1" x14ac:dyDescent="0.25">
      <c r="A2687" s="610" t="s">
        <v>4308</v>
      </c>
      <c r="B2687" s="17" t="s">
        <v>5548</v>
      </c>
      <c r="C2687" s="17" t="s">
        <v>5405</v>
      </c>
      <c r="D2687" s="17" t="s">
        <v>5559</v>
      </c>
      <c r="E2687" s="17" t="s">
        <v>4812</v>
      </c>
      <c r="F2687" s="454">
        <v>22.18</v>
      </c>
      <c r="G2687" s="529">
        <v>22.18</v>
      </c>
      <c r="H2687" s="487">
        <f t="shared" si="1178"/>
        <v>17.739999999999998</v>
      </c>
      <c r="I2687" s="706"/>
      <c r="J2687" s="669" t="s">
        <v>5805</v>
      </c>
      <c r="K2687" s="23"/>
      <c r="L2687" s="70" t="str">
        <f t="shared" si="1179"/>
        <v/>
      </c>
      <c r="M2687" s="49">
        <f t="shared" si="1180"/>
        <v>22.18</v>
      </c>
      <c r="N2687" s="41">
        <v>9.18</v>
      </c>
      <c r="O2687" s="43" t="s">
        <v>1017</v>
      </c>
      <c r="P2687" s="65"/>
      <c r="Q2687" s="65"/>
      <c r="R2687" s="58" t="s">
        <v>1017</v>
      </c>
      <c r="T2687" s="65"/>
      <c r="U2687" s="65"/>
      <c r="W2687" s="65"/>
      <c r="Y2687" s="12" t="s">
        <v>1017</v>
      </c>
      <c r="Z2687" s="65"/>
      <c r="AA2687" s="53"/>
      <c r="AD2687" s="53"/>
    </row>
    <row r="2688" spans="1:30" s="12" customFormat="1" x14ac:dyDescent="0.25">
      <c r="A2688" s="610" t="s">
        <v>3340</v>
      </c>
      <c r="B2688" s="17" t="s">
        <v>5548</v>
      </c>
      <c r="C2688" s="17" t="s">
        <v>5405</v>
      </c>
      <c r="D2688" s="17" t="s">
        <v>4133</v>
      </c>
      <c r="E2688" s="17" t="s">
        <v>4810</v>
      </c>
      <c r="F2688" s="454">
        <v>17.18</v>
      </c>
      <c r="G2688" s="529">
        <v>17.18</v>
      </c>
      <c r="H2688" s="487">
        <f t="shared" si="1178"/>
        <v>13.74</v>
      </c>
      <c r="I2688" s="706"/>
      <c r="J2688" s="669" t="s">
        <v>5805</v>
      </c>
      <c r="K2688" s="23"/>
      <c r="L2688" s="70" t="str">
        <f t="shared" si="1179"/>
        <v/>
      </c>
      <c r="M2688" s="49">
        <f t="shared" si="1180"/>
        <v>17.18</v>
      </c>
      <c r="N2688" s="41">
        <v>9.18</v>
      </c>
      <c r="O2688" s="61"/>
      <c r="P2688" s="65"/>
      <c r="Q2688" s="65"/>
      <c r="R2688" s="58"/>
      <c r="T2688" s="65"/>
      <c r="U2688" s="65"/>
      <c r="W2688" s="65"/>
      <c r="X2688" s="12" t="s">
        <v>1017</v>
      </c>
      <c r="Z2688" s="65"/>
      <c r="AA2688" s="53"/>
      <c r="AD2688" s="53"/>
    </row>
    <row r="2689" spans="1:30" s="12" customFormat="1" x14ac:dyDescent="0.25">
      <c r="A2689" s="610" t="s">
        <v>3341</v>
      </c>
      <c r="B2689" s="17" t="s">
        <v>5548</v>
      </c>
      <c r="C2689" s="17" t="s">
        <v>5405</v>
      </c>
      <c r="D2689" s="17" t="s">
        <v>5555</v>
      </c>
      <c r="E2689" s="17" t="s">
        <v>4812</v>
      </c>
      <c r="F2689" s="454">
        <v>20.18</v>
      </c>
      <c r="G2689" s="529">
        <v>20.18</v>
      </c>
      <c r="H2689" s="487">
        <f t="shared" si="1178"/>
        <v>16.14</v>
      </c>
      <c r="I2689" s="706"/>
      <c r="J2689" s="669" t="s">
        <v>5805</v>
      </c>
      <c r="K2689" s="23"/>
      <c r="L2689" s="70" t="str">
        <f t="shared" si="1179"/>
        <v/>
      </c>
      <c r="M2689" s="49">
        <f t="shared" si="1180"/>
        <v>20.18</v>
      </c>
      <c r="N2689" s="41">
        <v>9.18</v>
      </c>
      <c r="O2689" s="43" t="s">
        <v>1017</v>
      </c>
      <c r="P2689" s="65"/>
      <c r="Q2689" s="65"/>
      <c r="R2689" s="58"/>
      <c r="T2689" s="65"/>
      <c r="U2689" s="65"/>
      <c r="W2689" s="65"/>
      <c r="X2689" s="12" t="s">
        <v>1017</v>
      </c>
      <c r="Z2689" s="65"/>
      <c r="AA2689" s="53"/>
      <c r="AD2689" s="53"/>
    </row>
    <row r="2690" spans="1:30" s="12" customFormat="1" x14ac:dyDescent="0.25">
      <c r="A2690" s="610" t="s">
        <v>4303</v>
      </c>
      <c r="B2690" s="17" t="s">
        <v>5548</v>
      </c>
      <c r="C2690" s="17" t="s">
        <v>5405</v>
      </c>
      <c r="D2690" s="17" t="s">
        <v>4137</v>
      </c>
      <c r="E2690" s="17" t="s">
        <v>4810</v>
      </c>
      <c r="F2690" s="454">
        <v>18.18</v>
      </c>
      <c r="G2690" s="529">
        <v>18.18</v>
      </c>
      <c r="H2690" s="487">
        <f t="shared" si="1178"/>
        <v>14.54</v>
      </c>
      <c r="I2690" s="706"/>
      <c r="J2690" s="669" t="s">
        <v>5805</v>
      </c>
      <c r="K2690" s="23"/>
      <c r="L2690" s="70" t="str">
        <f t="shared" si="1179"/>
        <v/>
      </c>
      <c r="M2690" s="49">
        <f t="shared" si="1180"/>
        <v>18.18</v>
      </c>
      <c r="N2690" s="41">
        <v>9.18</v>
      </c>
      <c r="O2690" s="61"/>
      <c r="P2690" s="65"/>
      <c r="Q2690" s="65"/>
      <c r="R2690" s="58" t="s">
        <v>1017</v>
      </c>
      <c r="T2690" s="65"/>
      <c r="U2690" s="65"/>
      <c r="W2690" s="65"/>
      <c r="X2690" s="12" t="s">
        <v>1017</v>
      </c>
      <c r="Z2690" s="65"/>
      <c r="AA2690" s="53"/>
      <c r="AD2690" s="53"/>
    </row>
    <row r="2691" spans="1:30" s="12" customFormat="1" x14ac:dyDescent="0.25">
      <c r="A2691" s="610" t="s">
        <v>4304</v>
      </c>
      <c r="B2691" s="17" t="s">
        <v>5548</v>
      </c>
      <c r="C2691" s="17" t="s">
        <v>5405</v>
      </c>
      <c r="D2691" s="17" t="s">
        <v>5558</v>
      </c>
      <c r="E2691" s="17" t="s">
        <v>4812</v>
      </c>
      <c r="F2691" s="454">
        <v>21.18</v>
      </c>
      <c r="G2691" s="529">
        <v>21.18</v>
      </c>
      <c r="H2691" s="487">
        <f t="shared" si="1178"/>
        <v>16.940000000000001</v>
      </c>
      <c r="I2691" s="706"/>
      <c r="J2691" s="669" t="s">
        <v>5805</v>
      </c>
      <c r="K2691" s="23"/>
      <c r="L2691" s="70" t="str">
        <f t="shared" si="1179"/>
        <v/>
      </c>
      <c r="M2691" s="49">
        <f t="shared" si="1180"/>
        <v>21.18</v>
      </c>
      <c r="N2691" s="41">
        <v>9.18</v>
      </c>
      <c r="O2691" s="43" t="s">
        <v>1017</v>
      </c>
      <c r="P2691" s="65"/>
      <c r="Q2691" s="65"/>
      <c r="R2691" s="58" t="s">
        <v>1017</v>
      </c>
      <c r="T2691" s="65"/>
      <c r="U2691" s="65"/>
      <c r="W2691" s="65"/>
      <c r="X2691" s="12" t="s">
        <v>1017</v>
      </c>
      <c r="Z2691" s="65"/>
      <c r="AA2691" s="53"/>
      <c r="AD2691" s="53"/>
    </row>
    <row r="2692" spans="1:30" s="12" customFormat="1" x14ac:dyDescent="0.25">
      <c r="A2692" s="610" t="s">
        <v>4295</v>
      </c>
      <c r="B2692" s="17" t="s">
        <v>5548</v>
      </c>
      <c r="C2692" s="17" t="s">
        <v>5405</v>
      </c>
      <c r="D2692" s="17" t="s">
        <v>4135</v>
      </c>
      <c r="E2692" s="17" t="s">
        <v>4810</v>
      </c>
      <c r="F2692" s="454">
        <v>19.18</v>
      </c>
      <c r="G2692" s="529">
        <v>19.18</v>
      </c>
      <c r="H2692" s="487">
        <f t="shared" si="1178"/>
        <v>15.34</v>
      </c>
      <c r="I2692" s="706"/>
      <c r="J2692" s="669" t="s">
        <v>5805</v>
      </c>
      <c r="K2692" s="23"/>
      <c r="L2692" s="70" t="str">
        <f t="shared" si="1179"/>
        <v/>
      </c>
      <c r="M2692" s="49">
        <f t="shared" si="1180"/>
        <v>19.18</v>
      </c>
      <c r="N2692" s="41">
        <v>9.18</v>
      </c>
      <c r="O2692" s="61"/>
      <c r="P2692" s="65"/>
      <c r="Q2692" s="65"/>
      <c r="R2692" s="58"/>
      <c r="T2692" s="65"/>
      <c r="U2692" s="65"/>
      <c r="W2692" s="65"/>
      <c r="Z2692" s="65"/>
      <c r="AA2692" s="53" t="s">
        <v>1017</v>
      </c>
      <c r="AD2692" s="53"/>
    </row>
    <row r="2693" spans="1:30" s="12" customFormat="1" x14ac:dyDescent="0.25">
      <c r="A2693" s="610" t="s">
        <v>4296</v>
      </c>
      <c r="B2693" s="17" t="s">
        <v>5548</v>
      </c>
      <c r="C2693" s="17" t="s">
        <v>5405</v>
      </c>
      <c r="D2693" s="17" t="s">
        <v>4389</v>
      </c>
      <c r="E2693" s="17" t="s">
        <v>4812</v>
      </c>
      <c r="F2693" s="454">
        <v>22.18</v>
      </c>
      <c r="G2693" s="529">
        <v>22.18</v>
      </c>
      <c r="H2693" s="487">
        <f t="shared" si="1178"/>
        <v>17.739999999999998</v>
      </c>
      <c r="I2693" s="706"/>
      <c r="J2693" s="669" t="s">
        <v>5805</v>
      </c>
      <c r="K2693" s="23"/>
      <c r="L2693" s="70" t="str">
        <f t="shared" si="1179"/>
        <v/>
      </c>
      <c r="M2693" s="49">
        <f t="shared" si="1180"/>
        <v>22.18</v>
      </c>
      <c r="N2693" s="41">
        <v>9.18</v>
      </c>
      <c r="O2693" s="43" t="s">
        <v>1017</v>
      </c>
      <c r="P2693" s="65"/>
      <c r="Q2693" s="65"/>
      <c r="R2693" s="58"/>
      <c r="T2693" s="65"/>
      <c r="U2693" s="65"/>
      <c r="W2693" s="65"/>
      <c r="Z2693" s="65"/>
      <c r="AA2693" s="53" t="s">
        <v>1017</v>
      </c>
      <c r="AD2693" s="53"/>
    </row>
    <row r="2694" spans="1:30" s="12" customFormat="1" x14ac:dyDescent="0.25">
      <c r="A2694" s="610" t="s">
        <v>4311</v>
      </c>
      <c r="B2694" s="17" t="s">
        <v>5548</v>
      </c>
      <c r="C2694" s="17" t="s">
        <v>5405</v>
      </c>
      <c r="D2694" s="17" t="s">
        <v>2921</v>
      </c>
      <c r="E2694" s="17" t="s">
        <v>4810</v>
      </c>
      <c r="F2694" s="454">
        <v>20.18</v>
      </c>
      <c r="G2694" s="529">
        <v>20.18</v>
      </c>
      <c r="H2694" s="487">
        <f t="shared" si="1178"/>
        <v>16.14</v>
      </c>
      <c r="I2694" s="706"/>
      <c r="J2694" s="669" t="s">
        <v>5805</v>
      </c>
      <c r="K2694" s="23"/>
      <c r="L2694" s="70" t="str">
        <f t="shared" si="1179"/>
        <v/>
      </c>
      <c r="M2694" s="49">
        <f t="shared" si="1180"/>
        <v>20.18</v>
      </c>
      <c r="N2694" s="41">
        <v>9.18</v>
      </c>
      <c r="O2694" s="61"/>
      <c r="P2694" s="65"/>
      <c r="Q2694" s="65"/>
      <c r="R2694" s="58" t="s">
        <v>1017</v>
      </c>
      <c r="T2694" s="65"/>
      <c r="U2694" s="65"/>
      <c r="W2694" s="65"/>
      <c r="Z2694" s="65"/>
      <c r="AA2694" s="53" t="s">
        <v>1017</v>
      </c>
      <c r="AD2694" s="53"/>
    </row>
    <row r="2695" spans="1:30" s="12" customFormat="1" x14ac:dyDescent="0.25">
      <c r="A2695" s="610" t="s">
        <v>4312</v>
      </c>
      <c r="B2695" s="17" t="s">
        <v>5548</v>
      </c>
      <c r="C2695" s="17" t="s">
        <v>5405</v>
      </c>
      <c r="D2695" s="17" t="s">
        <v>4390</v>
      </c>
      <c r="E2695" s="17" t="s">
        <v>4812</v>
      </c>
      <c r="F2695" s="454">
        <v>23.18</v>
      </c>
      <c r="G2695" s="529">
        <v>23.18</v>
      </c>
      <c r="H2695" s="487">
        <f t="shared" si="1178"/>
        <v>18.54</v>
      </c>
      <c r="I2695" s="706"/>
      <c r="J2695" s="669" t="s">
        <v>5805</v>
      </c>
      <c r="K2695" s="23"/>
      <c r="L2695" s="70" t="str">
        <f t="shared" si="1179"/>
        <v/>
      </c>
      <c r="M2695" s="49">
        <f t="shared" si="1180"/>
        <v>23.18</v>
      </c>
      <c r="N2695" s="41">
        <v>9.18</v>
      </c>
      <c r="O2695" s="43" t="s">
        <v>1017</v>
      </c>
      <c r="P2695" s="65"/>
      <c r="Q2695" s="65"/>
      <c r="R2695" s="58" t="s">
        <v>1017</v>
      </c>
      <c r="T2695" s="65"/>
      <c r="U2695" s="65"/>
      <c r="W2695" s="65"/>
      <c r="Z2695" s="65"/>
      <c r="AA2695" s="53" t="s">
        <v>1017</v>
      </c>
      <c r="AD2695" s="53"/>
    </row>
    <row r="2696" spans="1:30" s="12" customFormat="1" x14ac:dyDescent="0.25">
      <c r="A2696" s="610" t="s">
        <v>3316</v>
      </c>
      <c r="B2696" s="17" t="s">
        <v>5548</v>
      </c>
      <c r="C2696" s="17" t="s">
        <v>5405</v>
      </c>
      <c r="D2696" s="17" t="s">
        <v>2906</v>
      </c>
      <c r="E2696" s="17" t="s">
        <v>4810</v>
      </c>
      <c r="F2696" s="454">
        <v>11.18</v>
      </c>
      <c r="G2696" s="529">
        <v>11.18</v>
      </c>
      <c r="H2696" s="487">
        <f t="shared" si="1178"/>
        <v>8.94</v>
      </c>
      <c r="I2696" s="706"/>
      <c r="J2696" s="669" t="s">
        <v>5805</v>
      </c>
      <c r="K2696" s="23"/>
      <c r="L2696" s="70" t="str">
        <f t="shared" si="1179"/>
        <v/>
      </c>
      <c r="M2696" s="49">
        <f t="shared" si="1180"/>
        <v>11.18</v>
      </c>
      <c r="N2696" s="41">
        <v>9.18</v>
      </c>
      <c r="O2696" s="61"/>
      <c r="P2696" s="65"/>
      <c r="Q2696" s="65"/>
      <c r="R2696" s="58"/>
      <c r="T2696" s="65"/>
      <c r="U2696" s="65"/>
      <c r="W2696" s="65"/>
      <c r="Z2696" s="65"/>
      <c r="AA2696" s="53"/>
      <c r="AB2696" s="12" t="s">
        <v>1017</v>
      </c>
      <c r="AD2696" s="53"/>
    </row>
    <row r="2697" spans="1:30" s="12" customFormat="1" x14ac:dyDescent="0.25">
      <c r="A2697" s="610" t="s">
        <v>3317</v>
      </c>
      <c r="B2697" s="17" t="s">
        <v>5548</v>
      </c>
      <c r="C2697" s="17" t="s">
        <v>5405</v>
      </c>
      <c r="D2697" s="17" t="s">
        <v>3195</v>
      </c>
      <c r="E2697" s="17" t="s">
        <v>4812</v>
      </c>
      <c r="F2697" s="454">
        <v>14.18</v>
      </c>
      <c r="G2697" s="529">
        <v>14.18</v>
      </c>
      <c r="H2697" s="487">
        <f t="shared" si="1178"/>
        <v>11.34</v>
      </c>
      <c r="I2697" s="706"/>
      <c r="J2697" s="669" t="s">
        <v>5805</v>
      </c>
      <c r="K2697" s="23"/>
      <c r="L2697" s="70" t="str">
        <f t="shared" si="1179"/>
        <v/>
      </c>
      <c r="M2697" s="49">
        <f t="shared" si="1180"/>
        <v>14.18</v>
      </c>
      <c r="N2697" s="41">
        <v>9.18</v>
      </c>
      <c r="O2697" s="43" t="s">
        <v>1017</v>
      </c>
      <c r="P2697" s="65"/>
      <c r="Q2697" s="65"/>
      <c r="R2697" s="58"/>
      <c r="T2697" s="65"/>
      <c r="U2697" s="65"/>
      <c r="W2697" s="65"/>
      <c r="Z2697" s="65"/>
      <c r="AA2697" s="53"/>
      <c r="AB2697" s="12" t="s">
        <v>1017</v>
      </c>
      <c r="AD2697" s="53"/>
    </row>
    <row r="2698" spans="1:30" s="12" customFormat="1" x14ac:dyDescent="0.25">
      <c r="A2698" s="610" t="s">
        <v>640</v>
      </c>
      <c r="B2698" s="17" t="s">
        <v>5548</v>
      </c>
      <c r="C2698" s="17" t="s">
        <v>5405</v>
      </c>
      <c r="D2698" s="17" t="s">
        <v>2906</v>
      </c>
      <c r="E2698" s="17" t="s">
        <v>4810</v>
      </c>
      <c r="F2698" s="454">
        <v>12.18</v>
      </c>
      <c r="G2698" s="529">
        <v>12.18</v>
      </c>
      <c r="H2698" s="487">
        <f t="shared" si="1178"/>
        <v>9.74</v>
      </c>
      <c r="I2698" s="706"/>
      <c r="J2698" s="669" t="s">
        <v>5805</v>
      </c>
      <c r="K2698" s="23"/>
      <c r="L2698" s="70" t="str">
        <f t="shared" si="1179"/>
        <v/>
      </c>
      <c r="M2698" s="49">
        <f t="shared" si="1180"/>
        <v>12.18</v>
      </c>
      <c r="N2698" s="41">
        <v>9.18</v>
      </c>
      <c r="O2698" s="61"/>
      <c r="P2698" s="65"/>
      <c r="Q2698" s="65"/>
      <c r="R2698" s="58" t="s">
        <v>1017</v>
      </c>
      <c r="T2698" s="65"/>
      <c r="U2698" s="65"/>
      <c r="W2698" s="65"/>
      <c r="Z2698" s="65"/>
      <c r="AA2698" s="53"/>
      <c r="AB2698" s="12" t="s">
        <v>1017</v>
      </c>
      <c r="AD2698" s="53"/>
    </row>
    <row r="2699" spans="1:30" s="12" customFormat="1" x14ac:dyDescent="0.25">
      <c r="A2699" s="610" t="s">
        <v>641</v>
      </c>
      <c r="B2699" s="17" t="s">
        <v>5548</v>
      </c>
      <c r="C2699" s="17" t="s">
        <v>5405</v>
      </c>
      <c r="D2699" s="17" t="s">
        <v>3195</v>
      </c>
      <c r="E2699" s="17" t="s">
        <v>4812</v>
      </c>
      <c r="F2699" s="454">
        <v>15.18</v>
      </c>
      <c r="G2699" s="529">
        <v>15.18</v>
      </c>
      <c r="H2699" s="487">
        <f t="shared" si="1178"/>
        <v>12.14</v>
      </c>
      <c r="I2699" s="706"/>
      <c r="J2699" s="669" t="s">
        <v>5805</v>
      </c>
      <c r="K2699" s="23"/>
      <c r="L2699" s="70" t="str">
        <f t="shared" si="1179"/>
        <v/>
      </c>
      <c r="M2699" s="49">
        <f t="shared" si="1180"/>
        <v>15.18</v>
      </c>
      <c r="N2699" s="41">
        <v>9.18</v>
      </c>
      <c r="O2699" s="43" t="s">
        <v>1017</v>
      </c>
      <c r="P2699" s="65"/>
      <c r="Q2699" s="65"/>
      <c r="R2699" s="58" t="s">
        <v>1017</v>
      </c>
      <c r="T2699" s="65"/>
      <c r="U2699" s="65"/>
      <c r="W2699" s="65"/>
      <c r="Z2699" s="65"/>
      <c r="AA2699" s="53"/>
      <c r="AB2699" s="12" t="s">
        <v>1017</v>
      </c>
      <c r="AD2699" s="53"/>
    </row>
    <row r="2700" spans="1:30" s="12" customFormat="1" x14ac:dyDescent="0.25">
      <c r="A2700" s="610" t="s">
        <v>4315</v>
      </c>
      <c r="B2700" s="17" t="s">
        <v>5548</v>
      </c>
      <c r="C2700" s="17" t="s">
        <v>5405</v>
      </c>
      <c r="D2700" s="17" t="s">
        <v>3289</v>
      </c>
      <c r="E2700" s="17" t="s">
        <v>4810</v>
      </c>
      <c r="F2700" s="454">
        <v>17.18</v>
      </c>
      <c r="G2700" s="529">
        <v>17.18</v>
      </c>
      <c r="H2700" s="487">
        <f t="shared" si="1178"/>
        <v>13.74</v>
      </c>
      <c r="I2700" s="706"/>
      <c r="J2700" s="669" t="s">
        <v>5805</v>
      </c>
      <c r="K2700" s="23"/>
      <c r="L2700" s="70" t="str">
        <f t="shared" si="1179"/>
        <v/>
      </c>
      <c r="M2700" s="49">
        <f t="shared" si="1180"/>
        <v>17.18</v>
      </c>
      <c r="N2700" s="41">
        <v>9.18</v>
      </c>
      <c r="O2700" s="61"/>
      <c r="P2700" s="65"/>
      <c r="Q2700" s="65"/>
      <c r="R2700" s="58"/>
      <c r="S2700" s="12" t="s">
        <v>1017</v>
      </c>
      <c r="T2700" s="65"/>
      <c r="U2700" s="65"/>
      <c r="W2700" s="65"/>
      <c r="Z2700" s="65"/>
      <c r="AA2700" s="53"/>
      <c r="AB2700" s="12" t="s">
        <v>1017</v>
      </c>
      <c r="AD2700" s="53"/>
    </row>
    <row r="2701" spans="1:30" s="12" customFormat="1" x14ac:dyDescent="0.25">
      <c r="A2701" s="610" t="s">
        <v>4316</v>
      </c>
      <c r="B2701" s="17" t="s">
        <v>5548</v>
      </c>
      <c r="C2701" s="17" t="s">
        <v>5405</v>
      </c>
      <c r="D2701" s="17" t="s">
        <v>5560</v>
      </c>
      <c r="E2701" s="17" t="s">
        <v>4812</v>
      </c>
      <c r="F2701" s="454">
        <v>20.18</v>
      </c>
      <c r="G2701" s="529">
        <v>20.18</v>
      </c>
      <c r="H2701" s="487">
        <f t="shared" si="1178"/>
        <v>16.14</v>
      </c>
      <c r="I2701" s="706"/>
      <c r="J2701" s="669" t="s">
        <v>5805</v>
      </c>
      <c r="K2701" s="23"/>
      <c r="L2701" s="70" t="str">
        <f t="shared" si="1179"/>
        <v/>
      </c>
      <c r="M2701" s="49">
        <f t="shared" si="1180"/>
        <v>20.18</v>
      </c>
      <c r="N2701" s="41">
        <v>9.18</v>
      </c>
      <c r="O2701" s="43" t="s">
        <v>1017</v>
      </c>
      <c r="P2701" s="65"/>
      <c r="Q2701" s="65"/>
      <c r="R2701" s="58"/>
      <c r="S2701" s="12" t="s">
        <v>1017</v>
      </c>
      <c r="T2701" s="65"/>
      <c r="U2701" s="65"/>
      <c r="W2701" s="65"/>
      <c r="Z2701" s="65"/>
      <c r="AA2701" s="53"/>
      <c r="AB2701" s="12" t="s">
        <v>1017</v>
      </c>
      <c r="AD2701" s="53"/>
    </row>
    <row r="2702" spans="1:30" s="12" customFormat="1" x14ac:dyDescent="0.25">
      <c r="A2702" s="610" t="s">
        <v>576</v>
      </c>
      <c r="B2702" s="17" t="s">
        <v>5548</v>
      </c>
      <c r="C2702" s="17" t="s">
        <v>5405</v>
      </c>
      <c r="D2702" s="30" t="s">
        <v>2114</v>
      </c>
      <c r="E2702" s="17" t="s">
        <v>4810</v>
      </c>
      <c r="F2702" s="454">
        <v>18.18</v>
      </c>
      <c r="G2702" s="529">
        <v>18.18</v>
      </c>
      <c r="H2702" s="487">
        <f t="shared" si="1178"/>
        <v>14.54</v>
      </c>
      <c r="I2702" s="706"/>
      <c r="J2702" s="669" t="s">
        <v>5805</v>
      </c>
      <c r="K2702" s="23"/>
      <c r="L2702" s="70" t="str">
        <f t="shared" si="1179"/>
        <v/>
      </c>
      <c r="M2702" s="49">
        <f t="shared" si="1180"/>
        <v>18.18</v>
      </c>
      <c r="N2702" s="41">
        <v>9.18</v>
      </c>
      <c r="O2702" s="61"/>
      <c r="P2702" s="65"/>
      <c r="Q2702" s="65"/>
      <c r="R2702" s="58" t="s">
        <v>1017</v>
      </c>
      <c r="S2702" s="12" t="s">
        <v>1017</v>
      </c>
      <c r="T2702" s="65"/>
      <c r="U2702" s="65"/>
      <c r="W2702" s="65"/>
      <c r="Z2702" s="65"/>
      <c r="AA2702" s="53"/>
      <c r="AB2702" s="12" t="s">
        <v>1017</v>
      </c>
      <c r="AD2702" s="53"/>
    </row>
    <row r="2703" spans="1:30" s="12" customFormat="1" x14ac:dyDescent="0.25">
      <c r="A2703" s="610" t="s">
        <v>577</v>
      </c>
      <c r="B2703" s="17" t="s">
        <v>5548</v>
      </c>
      <c r="C2703" s="17" t="s">
        <v>5405</v>
      </c>
      <c r="D2703" s="30" t="s">
        <v>2115</v>
      </c>
      <c r="E2703" s="17" t="s">
        <v>4812</v>
      </c>
      <c r="F2703" s="454">
        <v>21.18</v>
      </c>
      <c r="G2703" s="529">
        <v>21.18</v>
      </c>
      <c r="H2703" s="487">
        <f t="shared" si="1178"/>
        <v>16.940000000000001</v>
      </c>
      <c r="I2703" s="706"/>
      <c r="J2703" s="669" t="s">
        <v>5805</v>
      </c>
      <c r="K2703" s="23"/>
      <c r="L2703" s="70" t="str">
        <f t="shared" si="1179"/>
        <v/>
      </c>
      <c r="M2703" s="49">
        <f t="shared" si="1180"/>
        <v>21.18</v>
      </c>
      <c r="N2703" s="41">
        <v>9.18</v>
      </c>
      <c r="O2703" s="43" t="s">
        <v>1017</v>
      </c>
      <c r="P2703" s="65"/>
      <c r="Q2703" s="65"/>
      <c r="R2703" s="58" t="s">
        <v>1017</v>
      </c>
      <c r="S2703" s="12" t="s">
        <v>1017</v>
      </c>
      <c r="T2703" s="65"/>
      <c r="U2703" s="65"/>
      <c r="W2703" s="65"/>
      <c r="Z2703" s="65"/>
      <c r="AA2703" s="53"/>
      <c r="AB2703" s="12" t="s">
        <v>1017</v>
      </c>
      <c r="AD2703" s="53"/>
    </row>
    <row r="2704" spans="1:30" s="12" customFormat="1" x14ac:dyDescent="0.25">
      <c r="A2704" s="610" t="s">
        <v>4323</v>
      </c>
      <c r="B2704" s="17" t="s">
        <v>5548</v>
      </c>
      <c r="C2704" s="17" t="s">
        <v>5405</v>
      </c>
      <c r="D2704" s="17" t="s">
        <v>3291</v>
      </c>
      <c r="E2704" s="17" t="s">
        <v>4810</v>
      </c>
      <c r="F2704" s="454">
        <v>18.18</v>
      </c>
      <c r="G2704" s="529">
        <v>18.18</v>
      </c>
      <c r="H2704" s="487">
        <f t="shared" ref="H2704:H2767" si="1181">IF(ISNUMBER(G2704),ROUND(0.8*G2704,2),"")</f>
        <v>14.54</v>
      </c>
      <c r="I2704" s="706"/>
      <c r="J2704" s="669" t="s">
        <v>5805</v>
      </c>
      <c r="K2704" s="23"/>
      <c r="L2704" s="70" t="str">
        <f t="shared" ref="L2704:L2767" si="1182">IF(F2704=M2704,"",FALSE)</f>
        <v/>
      </c>
      <c r="M2704" s="49">
        <f t="shared" ref="M2704:M2767" si="1183">N2704+SUMIF(O2704:AD2704,"x",O$2575:AD$2575)</f>
        <v>18.18</v>
      </c>
      <c r="N2704" s="41">
        <v>9.18</v>
      </c>
      <c r="O2704" s="61"/>
      <c r="P2704" s="65"/>
      <c r="Q2704" s="65"/>
      <c r="R2704" s="58"/>
      <c r="T2704" s="65"/>
      <c r="U2704" s="65"/>
      <c r="V2704" s="12" t="s">
        <v>1017</v>
      </c>
      <c r="W2704" s="65"/>
      <c r="Z2704" s="65"/>
      <c r="AA2704" s="53"/>
      <c r="AB2704" s="12" t="s">
        <v>1017</v>
      </c>
      <c r="AD2704" s="53"/>
    </row>
    <row r="2705" spans="1:30" s="12" customFormat="1" x14ac:dyDescent="0.25">
      <c r="A2705" s="610" t="s">
        <v>4324</v>
      </c>
      <c r="B2705" s="17" t="s">
        <v>5548</v>
      </c>
      <c r="C2705" s="17" t="s">
        <v>5405</v>
      </c>
      <c r="D2705" s="17" t="s">
        <v>5563</v>
      </c>
      <c r="E2705" s="17" t="s">
        <v>4812</v>
      </c>
      <c r="F2705" s="454">
        <v>21.18</v>
      </c>
      <c r="G2705" s="529">
        <v>21.18</v>
      </c>
      <c r="H2705" s="487">
        <f t="shared" si="1181"/>
        <v>16.940000000000001</v>
      </c>
      <c r="I2705" s="706"/>
      <c r="J2705" s="669" t="s">
        <v>5805</v>
      </c>
      <c r="K2705" s="23"/>
      <c r="L2705" s="70" t="str">
        <f t="shared" si="1182"/>
        <v/>
      </c>
      <c r="M2705" s="49">
        <f t="shared" si="1183"/>
        <v>21.18</v>
      </c>
      <c r="N2705" s="41">
        <v>9.18</v>
      </c>
      <c r="O2705" s="43" t="s">
        <v>1017</v>
      </c>
      <c r="P2705" s="65"/>
      <c r="Q2705" s="65"/>
      <c r="R2705" s="58"/>
      <c r="T2705" s="65"/>
      <c r="U2705" s="65"/>
      <c r="V2705" s="12" t="s">
        <v>1017</v>
      </c>
      <c r="W2705" s="65"/>
      <c r="Z2705" s="65"/>
      <c r="AA2705" s="53"/>
      <c r="AB2705" s="12" t="s">
        <v>1017</v>
      </c>
      <c r="AD2705" s="53"/>
    </row>
    <row r="2706" spans="1:30" s="12" customFormat="1" x14ac:dyDescent="0.25">
      <c r="A2706" s="610" t="s">
        <v>5054</v>
      </c>
      <c r="B2706" s="17" t="s">
        <v>5548</v>
      </c>
      <c r="C2706" s="17" t="s">
        <v>5405</v>
      </c>
      <c r="D2706" s="17" t="s">
        <v>3292</v>
      </c>
      <c r="E2706" s="17" t="s">
        <v>4810</v>
      </c>
      <c r="F2706" s="454">
        <v>19.18</v>
      </c>
      <c r="G2706" s="529">
        <v>19.18</v>
      </c>
      <c r="H2706" s="487">
        <f t="shared" si="1181"/>
        <v>15.34</v>
      </c>
      <c r="I2706" s="706"/>
      <c r="J2706" s="669" t="s">
        <v>5805</v>
      </c>
      <c r="K2706" s="23"/>
      <c r="L2706" s="70" t="str">
        <f t="shared" si="1182"/>
        <v/>
      </c>
      <c r="M2706" s="49">
        <f t="shared" si="1183"/>
        <v>19.18</v>
      </c>
      <c r="N2706" s="41">
        <v>9.18</v>
      </c>
      <c r="O2706" s="61"/>
      <c r="P2706" s="65"/>
      <c r="Q2706" s="65"/>
      <c r="R2706" s="58" t="s">
        <v>1017</v>
      </c>
      <c r="T2706" s="65"/>
      <c r="U2706" s="65"/>
      <c r="V2706" s="12" t="s">
        <v>1017</v>
      </c>
      <c r="W2706" s="65"/>
      <c r="Z2706" s="65"/>
      <c r="AA2706" s="53"/>
      <c r="AB2706" s="12" t="s">
        <v>1017</v>
      </c>
      <c r="AD2706" s="53"/>
    </row>
    <row r="2707" spans="1:30" s="12" customFormat="1" x14ac:dyDescent="0.25">
      <c r="A2707" s="610" t="s">
        <v>5055</v>
      </c>
      <c r="B2707" s="17" t="s">
        <v>5548</v>
      </c>
      <c r="C2707" s="17" t="s">
        <v>5405</v>
      </c>
      <c r="D2707" s="17" t="s">
        <v>5566</v>
      </c>
      <c r="E2707" s="17" t="s">
        <v>4812</v>
      </c>
      <c r="F2707" s="454">
        <v>22.18</v>
      </c>
      <c r="G2707" s="529">
        <v>22.18</v>
      </c>
      <c r="H2707" s="487">
        <f t="shared" si="1181"/>
        <v>17.739999999999998</v>
      </c>
      <c r="I2707" s="706"/>
      <c r="J2707" s="669" t="s">
        <v>5805</v>
      </c>
      <c r="K2707" s="23"/>
      <c r="L2707" s="70" t="str">
        <f t="shared" si="1182"/>
        <v/>
      </c>
      <c r="M2707" s="49">
        <f t="shared" si="1183"/>
        <v>22.18</v>
      </c>
      <c r="N2707" s="41">
        <v>9.18</v>
      </c>
      <c r="O2707" s="43" t="s">
        <v>1017</v>
      </c>
      <c r="P2707" s="65"/>
      <c r="Q2707" s="65"/>
      <c r="R2707" s="58" t="s">
        <v>1017</v>
      </c>
      <c r="T2707" s="65"/>
      <c r="U2707" s="65"/>
      <c r="V2707" s="12" t="s">
        <v>1017</v>
      </c>
      <c r="W2707" s="65"/>
      <c r="Z2707" s="65"/>
      <c r="AA2707" s="53"/>
      <c r="AB2707" s="12" t="s">
        <v>1017</v>
      </c>
      <c r="AD2707" s="53"/>
    </row>
    <row r="2708" spans="1:30" s="12" customFormat="1" x14ac:dyDescent="0.25">
      <c r="A2708" s="610" t="s">
        <v>5046</v>
      </c>
      <c r="B2708" s="17" t="s">
        <v>5548</v>
      </c>
      <c r="C2708" s="17" t="s">
        <v>5405</v>
      </c>
      <c r="D2708" s="17" t="s">
        <v>784</v>
      </c>
      <c r="E2708" s="17" t="s">
        <v>4810</v>
      </c>
      <c r="F2708" s="454">
        <v>20.18</v>
      </c>
      <c r="G2708" s="529">
        <v>20.18</v>
      </c>
      <c r="H2708" s="487">
        <f t="shared" si="1181"/>
        <v>16.14</v>
      </c>
      <c r="I2708" s="706"/>
      <c r="J2708" s="669" t="s">
        <v>5805</v>
      </c>
      <c r="K2708" s="23"/>
      <c r="L2708" s="70" t="str">
        <f t="shared" si="1182"/>
        <v/>
      </c>
      <c r="M2708" s="49">
        <f t="shared" si="1183"/>
        <v>20.18</v>
      </c>
      <c r="N2708" s="41">
        <v>9.18</v>
      </c>
      <c r="O2708" s="61"/>
      <c r="P2708" s="65"/>
      <c r="Q2708" s="65"/>
      <c r="R2708" s="58"/>
      <c r="T2708" s="65"/>
      <c r="U2708" s="65"/>
      <c r="W2708" s="65"/>
      <c r="Y2708" s="12" t="s">
        <v>1017</v>
      </c>
      <c r="Z2708" s="65"/>
      <c r="AA2708" s="53"/>
      <c r="AB2708" s="12" t="s">
        <v>1017</v>
      </c>
      <c r="AD2708" s="53"/>
    </row>
    <row r="2709" spans="1:30" s="12" customFormat="1" x14ac:dyDescent="0.25">
      <c r="A2709" s="610" t="s">
        <v>5047</v>
      </c>
      <c r="B2709" s="17" t="s">
        <v>5548</v>
      </c>
      <c r="C2709" s="17" t="s">
        <v>5405</v>
      </c>
      <c r="D2709" s="17" t="s">
        <v>5564</v>
      </c>
      <c r="E2709" s="17" t="s">
        <v>4812</v>
      </c>
      <c r="F2709" s="454">
        <v>23.18</v>
      </c>
      <c r="G2709" s="529">
        <v>23.18</v>
      </c>
      <c r="H2709" s="487">
        <f t="shared" si="1181"/>
        <v>18.54</v>
      </c>
      <c r="I2709" s="706"/>
      <c r="J2709" s="669" t="s">
        <v>5805</v>
      </c>
      <c r="K2709" s="23"/>
      <c r="L2709" s="70" t="str">
        <f t="shared" si="1182"/>
        <v/>
      </c>
      <c r="M2709" s="49">
        <f t="shared" si="1183"/>
        <v>23.18</v>
      </c>
      <c r="N2709" s="41">
        <v>9.18</v>
      </c>
      <c r="O2709" s="43" t="s">
        <v>1017</v>
      </c>
      <c r="P2709" s="65"/>
      <c r="Q2709" s="65"/>
      <c r="R2709" s="58"/>
      <c r="T2709" s="65"/>
      <c r="U2709" s="65"/>
      <c r="W2709" s="65"/>
      <c r="Y2709" s="12" t="s">
        <v>1017</v>
      </c>
      <c r="Z2709" s="65"/>
      <c r="AA2709" s="53"/>
      <c r="AB2709" s="12" t="s">
        <v>1017</v>
      </c>
      <c r="AD2709" s="53"/>
    </row>
    <row r="2710" spans="1:30" s="12" customFormat="1" x14ac:dyDescent="0.25">
      <c r="A2710" s="610" t="s">
        <v>1038</v>
      </c>
      <c r="B2710" s="17" t="s">
        <v>5548</v>
      </c>
      <c r="C2710" s="17" t="s">
        <v>5405</v>
      </c>
      <c r="D2710" s="17" t="s">
        <v>785</v>
      </c>
      <c r="E2710" s="17" t="s">
        <v>4810</v>
      </c>
      <c r="F2710" s="454">
        <v>21.18</v>
      </c>
      <c r="G2710" s="529">
        <v>21.18</v>
      </c>
      <c r="H2710" s="487">
        <f t="shared" si="1181"/>
        <v>16.940000000000001</v>
      </c>
      <c r="I2710" s="706"/>
      <c r="J2710" s="669" t="s">
        <v>5805</v>
      </c>
      <c r="K2710" s="23"/>
      <c r="L2710" s="70" t="str">
        <f t="shared" si="1182"/>
        <v/>
      </c>
      <c r="M2710" s="49">
        <f t="shared" si="1183"/>
        <v>21.18</v>
      </c>
      <c r="N2710" s="41">
        <v>9.18</v>
      </c>
      <c r="O2710" s="61"/>
      <c r="P2710" s="65"/>
      <c r="Q2710" s="65"/>
      <c r="R2710" s="58" t="s">
        <v>1017</v>
      </c>
      <c r="T2710" s="65"/>
      <c r="U2710" s="65"/>
      <c r="W2710" s="65"/>
      <c r="Y2710" s="12" t="s">
        <v>1017</v>
      </c>
      <c r="Z2710" s="65"/>
      <c r="AA2710" s="53"/>
      <c r="AB2710" s="12" t="s">
        <v>1017</v>
      </c>
      <c r="AD2710" s="53"/>
    </row>
    <row r="2711" spans="1:30" s="12" customFormat="1" x14ac:dyDescent="0.25">
      <c r="A2711" s="610" t="s">
        <v>1039</v>
      </c>
      <c r="B2711" s="17" t="s">
        <v>5548</v>
      </c>
      <c r="C2711" s="17" t="s">
        <v>5405</v>
      </c>
      <c r="D2711" s="17" t="s">
        <v>5567</v>
      </c>
      <c r="E2711" s="17" t="s">
        <v>4812</v>
      </c>
      <c r="F2711" s="454">
        <v>24.18</v>
      </c>
      <c r="G2711" s="529">
        <v>24.18</v>
      </c>
      <c r="H2711" s="487">
        <f t="shared" si="1181"/>
        <v>19.34</v>
      </c>
      <c r="I2711" s="706"/>
      <c r="J2711" s="669" t="s">
        <v>5805</v>
      </c>
      <c r="K2711" s="23"/>
      <c r="L2711" s="70" t="str">
        <f t="shared" si="1182"/>
        <v/>
      </c>
      <c r="M2711" s="49">
        <f t="shared" si="1183"/>
        <v>24.18</v>
      </c>
      <c r="N2711" s="41">
        <v>9.18</v>
      </c>
      <c r="O2711" s="43" t="s">
        <v>1017</v>
      </c>
      <c r="P2711" s="65"/>
      <c r="Q2711" s="65"/>
      <c r="R2711" s="58" t="s">
        <v>1017</v>
      </c>
      <c r="T2711" s="65"/>
      <c r="U2711" s="65"/>
      <c r="W2711" s="65"/>
      <c r="Y2711" s="12" t="s">
        <v>1017</v>
      </c>
      <c r="Z2711" s="65"/>
      <c r="AA2711" s="53"/>
      <c r="AB2711" s="12" t="s">
        <v>1017</v>
      </c>
      <c r="AD2711" s="53"/>
    </row>
    <row r="2712" spans="1:30" s="12" customFormat="1" x14ac:dyDescent="0.25">
      <c r="A2712" s="610" t="s">
        <v>4327</v>
      </c>
      <c r="B2712" s="17" t="s">
        <v>5548</v>
      </c>
      <c r="C2712" s="17" t="s">
        <v>5405</v>
      </c>
      <c r="D2712" s="17" t="s">
        <v>4391</v>
      </c>
      <c r="E2712" s="17" t="s">
        <v>4810</v>
      </c>
      <c r="F2712" s="454">
        <v>19.18</v>
      </c>
      <c r="G2712" s="529">
        <v>19.18</v>
      </c>
      <c r="H2712" s="487">
        <f t="shared" si="1181"/>
        <v>15.34</v>
      </c>
      <c r="I2712" s="706"/>
      <c r="J2712" s="669" t="s">
        <v>5805</v>
      </c>
      <c r="K2712" s="23"/>
      <c r="L2712" s="70" t="str">
        <f t="shared" si="1182"/>
        <v/>
      </c>
      <c r="M2712" s="49">
        <f t="shared" si="1183"/>
        <v>19.18</v>
      </c>
      <c r="N2712" s="41">
        <v>9.18</v>
      </c>
      <c r="O2712" s="61"/>
      <c r="P2712" s="65"/>
      <c r="Q2712" s="65"/>
      <c r="R2712" s="58"/>
      <c r="T2712" s="65"/>
      <c r="U2712" s="65"/>
      <c r="W2712" s="65"/>
      <c r="X2712" s="12" t="s">
        <v>1017</v>
      </c>
      <c r="Z2712" s="65"/>
      <c r="AA2712" s="53"/>
      <c r="AB2712" s="12" t="s">
        <v>1017</v>
      </c>
      <c r="AD2712" s="53"/>
    </row>
    <row r="2713" spans="1:30" s="12" customFormat="1" x14ac:dyDescent="0.25">
      <c r="A2713" s="610" t="s">
        <v>4328</v>
      </c>
      <c r="B2713" s="17" t="s">
        <v>5548</v>
      </c>
      <c r="C2713" s="17" t="s">
        <v>5405</v>
      </c>
      <c r="D2713" s="17" t="s">
        <v>2922</v>
      </c>
      <c r="E2713" s="17" t="s">
        <v>4812</v>
      </c>
      <c r="F2713" s="454">
        <v>22.18</v>
      </c>
      <c r="G2713" s="529">
        <v>22.18</v>
      </c>
      <c r="H2713" s="487">
        <f t="shared" si="1181"/>
        <v>17.739999999999998</v>
      </c>
      <c r="I2713" s="706"/>
      <c r="J2713" s="669" t="s">
        <v>5805</v>
      </c>
      <c r="K2713" s="23"/>
      <c r="L2713" s="70" t="str">
        <f t="shared" si="1182"/>
        <v/>
      </c>
      <c r="M2713" s="49">
        <f t="shared" si="1183"/>
        <v>22.18</v>
      </c>
      <c r="N2713" s="41">
        <v>9.18</v>
      </c>
      <c r="O2713" s="43" t="s">
        <v>1017</v>
      </c>
      <c r="P2713" s="65"/>
      <c r="Q2713" s="65"/>
      <c r="R2713" s="58"/>
      <c r="T2713" s="65"/>
      <c r="U2713" s="65"/>
      <c r="W2713" s="65"/>
      <c r="X2713" s="12" t="s">
        <v>1017</v>
      </c>
      <c r="Z2713" s="65"/>
      <c r="AA2713" s="53"/>
      <c r="AB2713" s="12" t="s">
        <v>1017</v>
      </c>
      <c r="AD2713" s="53"/>
    </row>
    <row r="2714" spans="1:30" s="12" customFormat="1" x14ac:dyDescent="0.25">
      <c r="A2714" s="610" t="s">
        <v>5058</v>
      </c>
      <c r="B2714" s="17" t="s">
        <v>5548</v>
      </c>
      <c r="C2714" s="17" t="s">
        <v>5405</v>
      </c>
      <c r="D2714" s="17" t="s">
        <v>4392</v>
      </c>
      <c r="E2714" s="17" t="s">
        <v>4810</v>
      </c>
      <c r="F2714" s="454">
        <v>20.18</v>
      </c>
      <c r="G2714" s="529">
        <v>20.18</v>
      </c>
      <c r="H2714" s="487">
        <f t="shared" si="1181"/>
        <v>16.14</v>
      </c>
      <c r="I2714" s="706"/>
      <c r="J2714" s="669" t="s">
        <v>5805</v>
      </c>
      <c r="K2714" s="23"/>
      <c r="L2714" s="70" t="str">
        <f t="shared" si="1182"/>
        <v/>
      </c>
      <c r="M2714" s="49">
        <f t="shared" si="1183"/>
        <v>20.18</v>
      </c>
      <c r="N2714" s="41">
        <v>9.18</v>
      </c>
      <c r="O2714" s="61"/>
      <c r="P2714" s="65"/>
      <c r="Q2714" s="65"/>
      <c r="R2714" s="58" t="s">
        <v>1017</v>
      </c>
      <c r="T2714" s="65"/>
      <c r="U2714" s="65"/>
      <c r="W2714" s="65"/>
      <c r="X2714" s="12" t="s">
        <v>1017</v>
      </c>
      <c r="Z2714" s="65"/>
      <c r="AA2714" s="53"/>
      <c r="AB2714" s="12" t="s">
        <v>1017</v>
      </c>
      <c r="AD2714" s="53"/>
    </row>
    <row r="2715" spans="1:30" s="12" customFormat="1" x14ac:dyDescent="0.25">
      <c r="A2715" s="610" t="s">
        <v>5059</v>
      </c>
      <c r="B2715" s="17" t="s">
        <v>5548</v>
      </c>
      <c r="C2715" s="17" t="s">
        <v>5405</v>
      </c>
      <c r="D2715" s="17" t="s">
        <v>2923</v>
      </c>
      <c r="E2715" s="17" t="s">
        <v>4812</v>
      </c>
      <c r="F2715" s="454">
        <v>23.18</v>
      </c>
      <c r="G2715" s="529">
        <v>23.18</v>
      </c>
      <c r="H2715" s="487">
        <f t="shared" si="1181"/>
        <v>18.54</v>
      </c>
      <c r="I2715" s="706"/>
      <c r="J2715" s="669" t="s">
        <v>5805</v>
      </c>
      <c r="K2715" s="23"/>
      <c r="L2715" s="70" t="str">
        <f t="shared" si="1182"/>
        <v/>
      </c>
      <c r="M2715" s="49">
        <f t="shared" si="1183"/>
        <v>23.18</v>
      </c>
      <c r="N2715" s="41">
        <v>9.18</v>
      </c>
      <c r="O2715" s="43" t="s">
        <v>1017</v>
      </c>
      <c r="P2715" s="65"/>
      <c r="Q2715" s="65"/>
      <c r="R2715" s="58" t="s">
        <v>1017</v>
      </c>
      <c r="T2715" s="65"/>
      <c r="U2715" s="65"/>
      <c r="W2715" s="65"/>
      <c r="X2715" s="12" t="s">
        <v>1017</v>
      </c>
      <c r="Z2715" s="65"/>
      <c r="AA2715" s="53"/>
      <c r="AB2715" s="12" t="s">
        <v>1017</v>
      </c>
      <c r="AD2715" s="53"/>
    </row>
    <row r="2716" spans="1:30" s="12" customFormat="1" x14ac:dyDescent="0.25">
      <c r="A2716" s="610" t="s">
        <v>5050</v>
      </c>
      <c r="B2716" s="17" t="s">
        <v>5548</v>
      </c>
      <c r="C2716" s="17" t="s">
        <v>5405</v>
      </c>
      <c r="D2716" s="17" t="s">
        <v>2120</v>
      </c>
      <c r="E2716" s="17" t="s">
        <v>4810</v>
      </c>
      <c r="F2716" s="454">
        <v>21.18</v>
      </c>
      <c r="G2716" s="529">
        <v>21.18</v>
      </c>
      <c r="H2716" s="487">
        <f t="shared" si="1181"/>
        <v>16.940000000000001</v>
      </c>
      <c r="I2716" s="706"/>
      <c r="J2716" s="669" t="s">
        <v>5805</v>
      </c>
      <c r="K2716" s="23"/>
      <c r="L2716" s="70" t="str">
        <f t="shared" si="1182"/>
        <v/>
      </c>
      <c r="M2716" s="49">
        <f t="shared" si="1183"/>
        <v>21.18</v>
      </c>
      <c r="N2716" s="41">
        <v>9.18</v>
      </c>
      <c r="O2716" s="61"/>
      <c r="P2716" s="65"/>
      <c r="Q2716" s="65"/>
      <c r="R2716" s="58"/>
      <c r="T2716" s="65"/>
      <c r="U2716" s="65"/>
      <c r="W2716" s="65"/>
      <c r="Z2716" s="65"/>
      <c r="AA2716" s="53" t="s">
        <v>1017</v>
      </c>
      <c r="AB2716" s="12" t="s">
        <v>1017</v>
      </c>
      <c r="AD2716" s="53"/>
    </row>
    <row r="2717" spans="1:30" s="12" customFormat="1" x14ac:dyDescent="0.25">
      <c r="A2717" s="610" t="s">
        <v>5051</v>
      </c>
      <c r="B2717" s="17" t="s">
        <v>5548</v>
      </c>
      <c r="C2717" s="17" t="s">
        <v>5405</v>
      </c>
      <c r="D2717" s="17" t="s">
        <v>5565</v>
      </c>
      <c r="E2717" s="17" t="s">
        <v>4812</v>
      </c>
      <c r="F2717" s="454">
        <v>24.18</v>
      </c>
      <c r="G2717" s="529">
        <v>24.18</v>
      </c>
      <c r="H2717" s="487">
        <f t="shared" si="1181"/>
        <v>19.34</v>
      </c>
      <c r="I2717" s="706"/>
      <c r="J2717" s="669" t="s">
        <v>5805</v>
      </c>
      <c r="K2717" s="23"/>
      <c r="L2717" s="70" t="str">
        <f t="shared" si="1182"/>
        <v/>
      </c>
      <c r="M2717" s="49">
        <f t="shared" si="1183"/>
        <v>24.18</v>
      </c>
      <c r="N2717" s="41">
        <v>9.18</v>
      </c>
      <c r="O2717" s="43" t="s">
        <v>1017</v>
      </c>
      <c r="P2717" s="65"/>
      <c r="Q2717" s="65"/>
      <c r="R2717" s="58"/>
      <c r="T2717" s="65"/>
      <c r="U2717" s="65"/>
      <c r="W2717" s="65"/>
      <c r="Z2717" s="65"/>
      <c r="AA2717" s="53" t="s">
        <v>1017</v>
      </c>
      <c r="AB2717" s="12" t="s">
        <v>1017</v>
      </c>
      <c r="AD2717" s="53"/>
    </row>
    <row r="2718" spans="1:30" s="12" customFormat="1" x14ac:dyDescent="0.25">
      <c r="A2718" s="610" t="s">
        <v>1042</v>
      </c>
      <c r="B2718" s="17" t="s">
        <v>5548</v>
      </c>
      <c r="C2718" s="17" t="s">
        <v>5405</v>
      </c>
      <c r="D2718" s="17" t="s">
        <v>2121</v>
      </c>
      <c r="E2718" s="17" t="s">
        <v>4810</v>
      </c>
      <c r="F2718" s="454">
        <v>22.18</v>
      </c>
      <c r="G2718" s="529">
        <v>22.18</v>
      </c>
      <c r="H2718" s="487">
        <f t="shared" si="1181"/>
        <v>17.739999999999998</v>
      </c>
      <c r="I2718" s="706"/>
      <c r="J2718" s="669" t="s">
        <v>5805</v>
      </c>
      <c r="K2718" s="23"/>
      <c r="L2718" s="70" t="str">
        <f t="shared" si="1182"/>
        <v/>
      </c>
      <c r="M2718" s="49">
        <f t="shared" si="1183"/>
        <v>22.18</v>
      </c>
      <c r="N2718" s="41">
        <v>9.18</v>
      </c>
      <c r="O2718" s="61"/>
      <c r="P2718" s="65"/>
      <c r="Q2718" s="65"/>
      <c r="R2718" s="58" t="s">
        <v>1017</v>
      </c>
      <c r="T2718" s="65"/>
      <c r="U2718" s="65"/>
      <c r="W2718" s="65"/>
      <c r="Z2718" s="65"/>
      <c r="AA2718" s="53" t="s">
        <v>1017</v>
      </c>
      <c r="AB2718" s="12" t="s">
        <v>1017</v>
      </c>
      <c r="AD2718" s="53"/>
    </row>
    <row r="2719" spans="1:30" s="12" customFormat="1" x14ac:dyDescent="0.25">
      <c r="A2719" s="610" t="s">
        <v>1043</v>
      </c>
      <c r="B2719" s="17" t="s">
        <v>5548</v>
      </c>
      <c r="C2719" s="17" t="s">
        <v>5405</v>
      </c>
      <c r="D2719" s="17" t="s">
        <v>5568</v>
      </c>
      <c r="E2719" s="17" t="s">
        <v>4812</v>
      </c>
      <c r="F2719" s="454">
        <v>25.18</v>
      </c>
      <c r="G2719" s="529">
        <v>25.18</v>
      </c>
      <c r="H2719" s="487">
        <f t="shared" si="1181"/>
        <v>20.14</v>
      </c>
      <c r="I2719" s="706"/>
      <c r="J2719" s="669" t="s">
        <v>5805</v>
      </c>
      <c r="K2719" s="23"/>
      <c r="L2719" s="70" t="str">
        <f t="shared" si="1182"/>
        <v/>
      </c>
      <c r="M2719" s="49">
        <f t="shared" si="1183"/>
        <v>25.18</v>
      </c>
      <c r="N2719" s="41">
        <v>9.18</v>
      </c>
      <c r="O2719" s="43" t="s">
        <v>1017</v>
      </c>
      <c r="P2719" s="65"/>
      <c r="Q2719" s="65"/>
      <c r="R2719" s="58" t="s">
        <v>1017</v>
      </c>
      <c r="T2719" s="65"/>
      <c r="U2719" s="65"/>
      <c r="W2719" s="65"/>
      <c r="Z2719" s="65"/>
      <c r="AA2719" s="53" t="s">
        <v>1017</v>
      </c>
      <c r="AB2719" s="12" t="s">
        <v>1017</v>
      </c>
      <c r="AD2719" s="53"/>
    </row>
    <row r="2720" spans="1:30" s="12" customFormat="1" x14ac:dyDescent="0.25">
      <c r="A2720" s="610" t="s">
        <v>3322</v>
      </c>
      <c r="B2720" s="17" t="s">
        <v>5548</v>
      </c>
      <c r="C2720" s="17" t="s">
        <v>5405</v>
      </c>
      <c r="D2720" s="17" t="s">
        <v>593</v>
      </c>
      <c r="E2720" s="17" t="s">
        <v>4810</v>
      </c>
      <c r="F2720" s="454">
        <v>10.18</v>
      </c>
      <c r="G2720" s="529">
        <v>10.18</v>
      </c>
      <c r="H2720" s="487">
        <f t="shared" si="1181"/>
        <v>8.14</v>
      </c>
      <c r="I2720" s="706"/>
      <c r="J2720" s="669" t="s">
        <v>5805</v>
      </c>
      <c r="K2720" s="23"/>
      <c r="L2720" s="70" t="str">
        <f t="shared" si="1182"/>
        <v/>
      </c>
      <c r="M2720" s="49">
        <f t="shared" si="1183"/>
        <v>10.18</v>
      </c>
      <c r="N2720" s="41">
        <v>9.18</v>
      </c>
      <c r="O2720" s="61"/>
      <c r="P2720" s="65"/>
      <c r="Q2720" s="65"/>
      <c r="R2720" s="58"/>
      <c r="T2720" s="65"/>
      <c r="U2720" s="65"/>
      <c r="W2720" s="65"/>
      <c r="Z2720" s="65"/>
      <c r="AA2720" s="53"/>
      <c r="AC2720" s="12" t="s">
        <v>1017</v>
      </c>
      <c r="AD2720" s="53"/>
    </row>
    <row r="2721" spans="1:30" s="12" customFormat="1" x14ac:dyDescent="0.25">
      <c r="A2721" s="610" t="s">
        <v>3323</v>
      </c>
      <c r="B2721" s="17" t="s">
        <v>5548</v>
      </c>
      <c r="C2721" s="17" t="s">
        <v>5405</v>
      </c>
      <c r="D2721" s="17" t="s">
        <v>3197</v>
      </c>
      <c r="E2721" s="17" t="s">
        <v>4812</v>
      </c>
      <c r="F2721" s="454">
        <v>13.18</v>
      </c>
      <c r="G2721" s="529">
        <v>13.18</v>
      </c>
      <c r="H2721" s="487">
        <f t="shared" si="1181"/>
        <v>10.54</v>
      </c>
      <c r="I2721" s="706"/>
      <c r="J2721" s="669" t="s">
        <v>5805</v>
      </c>
      <c r="K2721" s="23"/>
      <c r="L2721" s="70" t="str">
        <f t="shared" si="1182"/>
        <v/>
      </c>
      <c r="M2721" s="49">
        <f t="shared" si="1183"/>
        <v>13.18</v>
      </c>
      <c r="N2721" s="41">
        <v>9.18</v>
      </c>
      <c r="O2721" s="43" t="s">
        <v>1017</v>
      </c>
      <c r="P2721" s="65"/>
      <c r="Q2721" s="65"/>
      <c r="R2721" s="58"/>
      <c r="T2721" s="65"/>
      <c r="U2721" s="65"/>
      <c r="W2721" s="65"/>
      <c r="Z2721" s="65"/>
      <c r="AA2721" s="53"/>
      <c r="AC2721" s="12" t="s">
        <v>1017</v>
      </c>
      <c r="AD2721" s="53"/>
    </row>
    <row r="2722" spans="1:30" s="12" customFormat="1" x14ac:dyDescent="0.25">
      <c r="A2722" s="610" t="s">
        <v>642</v>
      </c>
      <c r="B2722" s="17" t="s">
        <v>5548</v>
      </c>
      <c r="C2722" s="17" t="s">
        <v>5405</v>
      </c>
      <c r="D2722" s="30" t="s">
        <v>644</v>
      </c>
      <c r="E2722" s="17" t="s">
        <v>4810</v>
      </c>
      <c r="F2722" s="454">
        <v>11.18</v>
      </c>
      <c r="G2722" s="529">
        <v>11.18</v>
      </c>
      <c r="H2722" s="487">
        <f t="shared" si="1181"/>
        <v>8.94</v>
      </c>
      <c r="I2722" s="706"/>
      <c r="J2722" s="669" t="s">
        <v>5805</v>
      </c>
      <c r="K2722" s="23"/>
      <c r="L2722" s="70" t="str">
        <f t="shared" si="1182"/>
        <v/>
      </c>
      <c r="M2722" s="49">
        <f t="shared" si="1183"/>
        <v>11.18</v>
      </c>
      <c r="N2722" s="41">
        <v>9.18</v>
      </c>
      <c r="O2722" s="61"/>
      <c r="P2722" s="65"/>
      <c r="Q2722" s="65"/>
      <c r="R2722" s="58" t="s">
        <v>1017</v>
      </c>
      <c r="T2722" s="65"/>
      <c r="U2722" s="65"/>
      <c r="W2722" s="65"/>
      <c r="Z2722" s="65"/>
      <c r="AA2722" s="53"/>
      <c r="AC2722" s="12" t="s">
        <v>1017</v>
      </c>
      <c r="AD2722" s="53"/>
    </row>
    <row r="2723" spans="1:30" s="12" customFormat="1" x14ac:dyDescent="0.25">
      <c r="A2723" s="610" t="s">
        <v>643</v>
      </c>
      <c r="B2723" s="17" t="s">
        <v>5548</v>
      </c>
      <c r="C2723" s="17" t="s">
        <v>5405</v>
      </c>
      <c r="D2723" s="30" t="s">
        <v>2136</v>
      </c>
      <c r="E2723" s="17" t="s">
        <v>4812</v>
      </c>
      <c r="F2723" s="454">
        <v>14.18</v>
      </c>
      <c r="G2723" s="529">
        <v>14.18</v>
      </c>
      <c r="H2723" s="487">
        <f t="shared" si="1181"/>
        <v>11.34</v>
      </c>
      <c r="I2723" s="706"/>
      <c r="J2723" s="669" t="s">
        <v>5805</v>
      </c>
      <c r="K2723" s="23"/>
      <c r="L2723" s="70" t="str">
        <f t="shared" si="1182"/>
        <v/>
      </c>
      <c r="M2723" s="49">
        <f t="shared" si="1183"/>
        <v>14.18</v>
      </c>
      <c r="N2723" s="41">
        <v>9.18</v>
      </c>
      <c r="O2723" s="43" t="s">
        <v>1017</v>
      </c>
      <c r="P2723" s="65"/>
      <c r="Q2723" s="65"/>
      <c r="R2723" s="58" t="s">
        <v>1017</v>
      </c>
      <c r="T2723" s="65"/>
      <c r="U2723" s="65"/>
      <c r="W2723" s="65"/>
      <c r="Z2723" s="65"/>
      <c r="AA2723" s="53"/>
      <c r="AC2723" s="12" t="s">
        <v>1017</v>
      </c>
      <c r="AD2723" s="53"/>
    </row>
    <row r="2724" spans="1:30" s="12" customFormat="1" x14ac:dyDescent="0.25">
      <c r="A2724" s="610" t="s">
        <v>1046</v>
      </c>
      <c r="B2724" s="17" t="s">
        <v>5548</v>
      </c>
      <c r="C2724" s="17" t="s">
        <v>5405</v>
      </c>
      <c r="D2724" s="17" t="s">
        <v>3293</v>
      </c>
      <c r="E2724" s="17" t="s">
        <v>4810</v>
      </c>
      <c r="F2724" s="454">
        <v>16.18</v>
      </c>
      <c r="G2724" s="529">
        <v>16.18</v>
      </c>
      <c r="H2724" s="487">
        <f t="shared" si="1181"/>
        <v>12.94</v>
      </c>
      <c r="I2724" s="706"/>
      <c r="J2724" s="669" t="s">
        <v>5805</v>
      </c>
      <c r="K2724" s="23"/>
      <c r="L2724" s="70" t="str">
        <f t="shared" si="1182"/>
        <v/>
      </c>
      <c r="M2724" s="49">
        <f t="shared" si="1183"/>
        <v>16.18</v>
      </c>
      <c r="N2724" s="41">
        <v>9.18</v>
      </c>
      <c r="O2724" s="61"/>
      <c r="P2724" s="65"/>
      <c r="Q2724" s="65"/>
      <c r="R2724" s="58"/>
      <c r="S2724" s="12" t="s">
        <v>1017</v>
      </c>
      <c r="T2724" s="65"/>
      <c r="U2724" s="65"/>
      <c r="W2724" s="65"/>
      <c r="Z2724" s="65"/>
      <c r="AA2724" s="53"/>
      <c r="AC2724" s="12" t="s">
        <v>1017</v>
      </c>
      <c r="AD2724" s="53"/>
    </row>
    <row r="2725" spans="1:30" s="12" customFormat="1" x14ac:dyDescent="0.25">
      <c r="A2725" s="610" t="s">
        <v>1047</v>
      </c>
      <c r="B2725" s="17" t="s">
        <v>5548</v>
      </c>
      <c r="C2725" s="17" t="s">
        <v>5405</v>
      </c>
      <c r="D2725" s="17" t="s">
        <v>5569</v>
      </c>
      <c r="E2725" s="17" t="s">
        <v>4812</v>
      </c>
      <c r="F2725" s="454">
        <v>19.18</v>
      </c>
      <c r="G2725" s="529">
        <v>19.18</v>
      </c>
      <c r="H2725" s="487">
        <f t="shared" si="1181"/>
        <v>15.34</v>
      </c>
      <c r="I2725" s="706"/>
      <c r="J2725" s="669" t="s">
        <v>5805</v>
      </c>
      <c r="K2725" s="23"/>
      <c r="L2725" s="70" t="str">
        <f t="shared" si="1182"/>
        <v/>
      </c>
      <c r="M2725" s="49">
        <f t="shared" si="1183"/>
        <v>19.18</v>
      </c>
      <c r="N2725" s="41">
        <v>9.18</v>
      </c>
      <c r="O2725" s="43" t="s">
        <v>1017</v>
      </c>
      <c r="P2725" s="65"/>
      <c r="Q2725" s="65"/>
      <c r="R2725" s="58"/>
      <c r="S2725" s="12" t="s">
        <v>1017</v>
      </c>
      <c r="T2725" s="65"/>
      <c r="U2725" s="65"/>
      <c r="W2725" s="65"/>
      <c r="Z2725" s="65"/>
      <c r="AA2725" s="53"/>
      <c r="AC2725" s="12" t="s">
        <v>1017</v>
      </c>
      <c r="AD2725" s="53"/>
    </row>
    <row r="2726" spans="1:30" s="12" customFormat="1" x14ac:dyDescent="0.25">
      <c r="A2726" s="610" t="s">
        <v>578</v>
      </c>
      <c r="B2726" s="17" t="s">
        <v>5548</v>
      </c>
      <c r="C2726" s="17" t="s">
        <v>5405</v>
      </c>
      <c r="D2726" s="30" t="s">
        <v>2116</v>
      </c>
      <c r="E2726" s="17" t="s">
        <v>4810</v>
      </c>
      <c r="F2726" s="454">
        <v>17.18</v>
      </c>
      <c r="G2726" s="529">
        <v>17.18</v>
      </c>
      <c r="H2726" s="487">
        <f t="shared" si="1181"/>
        <v>13.74</v>
      </c>
      <c r="I2726" s="706"/>
      <c r="J2726" s="669" t="s">
        <v>5805</v>
      </c>
      <c r="K2726" s="23"/>
      <c r="L2726" s="70" t="str">
        <f t="shared" si="1182"/>
        <v/>
      </c>
      <c r="M2726" s="49">
        <f t="shared" si="1183"/>
        <v>17.18</v>
      </c>
      <c r="N2726" s="41">
        <v>9.18</v>
      </c>
      <c r="O2726" s="61"/>
      <c r="P2726" s="65"/>
      <c r="Q2726" s="65"/>
      <c r="R2726" s="58" t="s">
        <v>1017</v>
      </c>
      <c r="S2726" s="12" t="s">
        <v>1017</v>
      </c>
      <c r="T2726" s="65"/>
      <c r="U2726" s="65"/>
      <c r="W2726" s="65"/>
      <c r="Z2726" s="65"/>
      <c r="AA2726" s="53"/>
      <c r="AC2726" s="12" t="s">
        <v>1017</v>
      </c>
      <c r="AD2726" s="53"/>
    </row>
    <row r="2727" spans="1:30" s="12" customFormat="1" x14ac:dyDescent="0.25">
      <c r="A2727" s="610" t="s">
        <v>579</v>
      </c>
      <c r="B2727" s="17" t="s">
        <v>5548</v>
      </c>
      <c r="C2727" s="17" t="s">
        <v>5405</v>
      </c>
      <c r="D2727" s="30" t="s">
        <v>2117</v>
      </c>
      <c r="E2727" s="17" t="s">
        <v>4812</v>
      </c>
      <c r="F2727" s="454">
        <v>20.18</v>
      </c>
      <c r="G2727" s="529">
        <v>20.18</v>
      </c>
      <c r="H2727" s="487">
        <f t="shared" si="1181"/>
        <v>16.14</v>
      </c>
      <c r="I2727" s="706"/>
      <c r="J2727" s="669" t="s">
        <v>5805</v>
      </c>
      <c r="K2727" s="23"/>
      <c r="L2727" s="70" t="str">
        <f t="shared" si="1182"/>
        <v/>
      </c>
      <c r="M2727" s="49">
        <f t="shared" si="1183"/>
        <v>20.18</v>
      </c>
      <c r="N2727" s="41">
        <v>9.18</v>
      </c>
      <c r="O2727" s="43" t="s">
        <v>1017</v>
      </c>
      <c r="P2727" s="65"/>
      <c r="Q2727" s="65"/>
      <c r="R2727" s="58" t="s">
        <v>1017</v>
      </c>
      <c r="S2727" s="12" t="s">
        <v>1017</v>
      </c>
      <c r="T2727" s="65"/>
      <c r="U2727" s="65"/>
      <c r="W2727" s="65"/>
      <c r="Z2727" s="65"/>
      <c r="AA2727" s="53"/>
      <c r="AC2727" s="12" t="s">
        <v>1017</v>
      </c>
      <c r="AD2727" s="53"/>
    </row>
    <row r="2728" spans="1:30" s="12" customFormat="1" x14ac:dyDescent="0.25">
      <c r="A2728" s="610" t="s">
        <v>4531</v>
      </c>
      <c r="B2728" s="17" t="s">
        <v>5548</v>
      </c>
      <c r="C2728" s="17" t="s">
        <v>5405</v>
      </c>
      <c r="D2728" s="17" t="s">
        <v>848</v>
      </c>
      <c r="E2728" s="17" t="s">
        <v>4810</v>
      </c>
      <c r="F2728" s="454">
        <v>17.18</v>
      </c>
      <c r="G2728" s="529">
        <v>17.18</v>
      </c>
      <c r="H2728" s="487">
        <f t="shared" si="1181"/>
        <v>13.74</v>
      </c>
      <c r="I2728" s="706"/>
      <c r="J2728" s="669" t="s">
        <v>5805</v>
      </c>
      <c r="K2728" s="23"/>
      <c r="L2728" s="70" t="str">
        <f t="shared" si="1182"/>
        <v/>
      </c>
      <c r="M2728" s="49">
        <f t="shared" si="1183"/>
        <v>17.18</v>
      </c>
      <c r="N2728" s="41">
        <v>9.18</v>
      </c>
      <c r="O2728" s="61"/>
      <c r="P2728" s="65"/>
      <c r="Q2728" s="65"/>
      <c r="R2728" s="58"/>
      <c r="T2728" s="65"/>
      <c r="U2728" s="65"/>
      <c r="V2728" s="12" t="s">
        <v>1017</v>
      </c>
      <c r="W2728" s="65"/>
      <c r="Z2728" s="65"/>
      <c r="AA2728" s="53"/>
      <c r="AC2728" s="12" t="s">
        <v>1017</v>
      </c>
      <c r="AD2728" s="53"/>
    </row>
    <row r="2729" spans="1:30" s="12" customFormat="1" x14ac:dyDescent="0.25">
      <c r="A2729" s="610" t="s">
        <v>4532</v>
      </c>
      <c r="B2729" s="17" t="s">
        <v>5548</v>
      </c>
      <c r="C2729" s="17" t="s">
        <v>5405</v>
      </c>
      <c r="D2729" s="17" t="s">
        <v>2647</v>
      </c>
      <c r="E2729" s="17" t="s">
        <v>4812</v>
      </c>
      <c r="F2729" s="454">
        <v>20.18</v>
      </c>
      <c r="G2729" s="529">
        <v>20.18</v>
      </c>
      <c r="H2729" s="487">
        <f t="shared" si="1181"/>
        <v>16.14</v>
      </c>
      <c r="I2729" s="706"/>
      <c r="J2729" s="669" t="s">
        <v>5805</v>
      </c>
      <c r="K2729" s="23"/>
      <c r="L2729" s="70" t="str">
        <f t="shared" si="1182"/>
        <v/>
      </c>
      <c r="M2729" s="49">
        <f t="shared" si="1183"/>
        <v>20.18</v>
      </c>
      <c r="N2729" s="41">
        <v>9.18</v>
      </c>
      <c r="O2729" s="43" t="s">
        <v>1017</v>
      </c>
      <c r="P2729" s="65"/>
      <c r="Q2729" s="65"/>
      <c r="R2729" s="58"/>
      <c r="T2729" s="65"/>
      <c r="U2729" s="65"/>
      <c r="V2729" s="12" t="s">
        <v>1017</v>
      </c>
      <c r="W2729" s="65"/>
      <c r="Z2729" s="65"/>
      <c r="AA2729" s="53"/>
      <c r="AC2729" s="12" t="s">
        <v>1017</v>
      </c>
      <c r="AD2729" s="53"/>
    </row>
    <row r="2730" spans="1:30" s="12" customFormat="1" x14ac:dyDescent="0.25">
      <c r="A2730" s="610" t="s">
        <v>4991</v>
      </c>
      <c r="B2730" s="17" t="s">
        <v>5548</v>
      </c>
      <c r="C2730" s="17" t="s">
        <v>5405</v>
      </c>
      <c r="D2730" s="17" t="s">
        <v>849</v>
      </c>
      <c r="E2730" s="17" t="s">
        <v>4810</v>
      </c>
      <c r="F2730" s="454">
        <v>18.18</v>
      </c>
      <c r="G2730" s="529">
        <v>18.18</v>
      </c>
      <c r="H2730" s="487">
        <f t="shared" si="1181"/>
        <v>14.54</v>
      </c>
      <c r="I2730" s="706"/>
      <c r="J2730" s="669" t="s">
        <v>5805</v>
      </c>
      <c r="K2730" s="23"/>
      <c r="L2730" s="70" t="str">
        <f t="shared" si="1182"/>
        <v/>
      </c>
      <c r="M2730" s="49">
        <f t="shared" si="1183"/>
        <v>18.18</v>
      </c>
      <c r="N2730" s="41">
        <v>9.18</v>
      </c>
      <c r="O2730" s="61"/>
      <c r="P2730" s="65"/>
      <c r="Q2730" s="65"/>
      <c r="R2730" s="58" t="s">
        <v>1017</v>
      </c>
      <c r="T2730" s="65"/>
      <c r="U2730" s="65"/>
      <c r="V2730" s="12" t="s">
        <v>1017</v>
      </c>
      <c r="W2730" s="65"/>
      <c r="Z2730" s="65"/>
      <c r="AA2730" s="53"/>
      <c r="AC2730" s="12" t="s">
        <v>1017</v>
      </c>
      <c r="AD2730" s="53"/>
    </row>
    <row r="2731" spans="1:30" s="12" customFormat="1" x14ac:dyDescent="0.25">
      <c r="A2731" s="610" t="s">
        <v>4992</v>
      </c>
      <c r="B2731" s="17" t="s">
        <v>5548</v>
      </c>
      <c r="C2731" s="17" t="s">
        <v>5405</v>
      </c>
      <c r="D2731" s="17" t="s">
        <v>2650</v>
      </c>
      <c r="E2731" s="17" t="s">
        <v>4812</v>
      </c>
      <c r="F2731" s="454">
        <v>21.18</v>
      </c>
      <c r="G2731" s="529">
        <v>21.18</v>
      </c>
      <c r="H2731" s="487">
        <f t="shared" si="1181"/>
        <v>16.940000000000001</v>
      </c>
      <c r="I2731" s="706"/>
      <c r="J2731" s="669" t="s">
        <v>5805</v>
      </c>
      <c r="K2731" s="23"/>
      <c r="L2731" s="70" t="str">
        <f t="shared" si="1182"/>
        <v/>
      </c>
      <c r="M2731" s="49">
        <f t="shared" si="1183"/>
        <v>21.18</v>
      </c>
      <c r="N2731" s="41">
        <v>9.18</v>
      </c>
      <c r="O2731" s="43" t="s">
        <v>1017</v>
      </c>
      <c r="P2731" s="65"/>
      <c r="Q2731" s="65"/>
      <c r="R2731" s="58" t="s">
        <v>1017</v>
      </c>
      <c r="T2731" s="65"/>
      <c r="U2731" s="65"/>
      <c r="V2731" s="12" t="s">
        <v>1017</v>
      </c>
      <c r="W2731" s="65"/>
      <c r="Z2731" s="65"/>
      <c r="AA2731" s="53"/>
      <c r="AC2731" s="12" t="s">
        <v>1017</v>
      </c>
      <c r="AD2731" s="53"/>
    </row>
    <row r="2732" spans="1:30" s="12" customFormat="1" x14ac:dyDescent="0.25">
      <c r="A2732" s="610" t="s">
        <v>4983</v>
      </c>
      <c r="B2732" s="17" t="s">
        <v>5548</v>
      </c>
      <c r="C2732" s="17" t="s">
        <v>5405</v>
      </c>
      <c r="D2732" s="17" t="s">
        <v>787</v>
      </c>
      <c r="E2732" s="17" t="s">
        <v>4810</v>
      </c>
      <c r="F2732" s="454">
        <v>19.18</v>
      </c>
      <c r="G2732" s="529">
        <v>19.18</v>
      </c>
      <c r="H2732" s="487">
        <f t="shared" si="1181"/>
        <v>15.34</v>
      </c>
      <c r="I2732" s="706"/>
      <c r="J2732" s="669" t="s">
        <v>5805</v>
      </c>
      <c r="K2732" s="23"/>
      <c r="L2732" s="70" t="str">
        <f t="shared" si="1182"/>
        <v/>
      </c>
      <c r="M2732" s="49">
        <f t="shared" si="1183"/>
        <v>19.18</v>
      </c>
      <c r="N2732" s="41">
        <v>9.18</v>
      </c>
      <c r="O2732" s="61"/>
      <c r="P2732" s="65"/>
      <c r="Q2732" s="65"/>
      <c r="R2732" s="58"/>
      <c r="T2732" s="65"/>
      <c r="U2732" s="65"/>
      <c r="W2732" s="65"/>
      <c r="Y2732" s="12" t="s">
        <v>1017</v>
      </c>
      <c r="Z2732" s="65"/>
      <c r="AA2732" s="53"/>
      <c r="AC2732" s="12" t="s">
        <v>1017</v>
      </c>
      <c r="AD2732" s="53"/>
    </row>
    <row r="2733" spans="1:30" s="12" customFormat="1" x14ac:dyDescent="0.25">
      <c r="A2733" s="610" t="s">
        <v>4984</v>
      </c>
      <c r="B2733" s="17" t="s">
        <v>5548</v>
      </c>
      <c r="C2733" s="17" t="s">
        <v>5405</v>
      </c>
      <c r="D2733" s="17" t="s">
        <v>2648</v>
      </c>
      <c r="E2733" s="17" t="s">
        <v>4812</v>
      </c>
      <c r="F2733" s="454">
        <v>22.18</v>
      </c>
      <c r="G2733" s="529">
        <v>22.18</v>
      </c>
      <c r="H2733" s="487">
        <f t="shared" si="1181"/>
        <v>17.739999999999998</v>
      </c>
      <c r="I2733" s="706"/>
      <c r="J2733" s="669" t="s">
        <v>5805</v>
      </c>
      <c r="K2733" s="23"/>
      <c r="L2733" s="70" t="str">
        <f t="shared" si="1182"/>
        <v/>
      </c>
      <c r="M2733" s="49">
        <f t="shared" si="1183"/>
        <v>22.18</v>
      </c>
      <c r="N2733" s="41">
        <v>9.18</v>
      </c>
      <c r="O2733" s="43" t="s">
        <v>1017</v>
      </c>
      <c r="P2733" s="65"/>
      <c r="Q2733" s="65"/>
      <c r="R2733" s="58"/>
      <c r="T2733" s="65"/>
      <c r="U2733" s="65"/>
      <c r="W2733" s="65"/>
      <c r="Y2733" s="12" t="s">
        <v>1017</v>
      </c>
      <c r="Z2733" s="65"/>
      <c r="AA2733" s="53"/>
      <c r="AC2733" s="12" t="s">
        <v>1017</v>
      </c>
      <c r="AD2733" s="53"/>
    </row>
    <row r="2734" spans="1:30" s="12" customFormat="1" x14ac:dyDescent="0.25">
      <c r="A2734" s="610" t="s">
        <v>4999</v>
      </c>
      <c r="B2734" s="17" t="s">
        <v>5548</v>
      </c>
      <c r="C2734" s="17" t="s">
        <v>5405</v>
      </c>
      <c r="D2734" s="17" t="s">
        <v>788</v>
      </c>
      <c r="E2734" s="17" t="s">
        <v>4810</v>
      </c>
      <c r="F2734" s="454">
        <v>20.18</v>
      </c>
      <c r="G2734" s="529">
        <v>20.18</v>
      </c>
      <c r="H2734" s="487">
        <f t="shared" si="1181"/>
        <v>16.14</v>
      </c>
      <c r="I2734" s="706"/>
      <c r="J2734" s="669" t="s">
        <v>5805</v>
      </c>
      <c r="K2734" s="23"/>
      <c r="L2734" s="70" t="str">
        <f t="shared" si="1182"/>
        <v/>
      </c>
      <c r="M2734" s="49">
        <f t="shared" si="1183"/>
        <v>20.18</v>
      </c>
      <c r="N2734" s="41">
        <v>9.18</v>
      </c>
      <c r="O2734" s="61"/>
      <c r="P2734" s="65"/>
      <c r="Q2734" s="65"/>
      <c r="R2734" s="58" t="s">
        <v>1017</v>
      </c>
      <c r="T2734" s="65"/>
      <c r="U2734" s="65"/>
      <c r="W2734" s="65"/>
      <c r="Y2734" s="12" t="s">
        <v>1017</v>
      </c>
      <c r="Z2734" s="65"/>
      <c r="AA2734" s="53"/>
      <c r="AC2734" s="12" t="s">
        <v>1017</v>
      </c>
      <c r="AD2734" s="53"/>
    </row>
    <row r="2735" spans="1:30" s="12" customFormat="1" x14ac:dyDescent="0.25">
      <c r="A2735" s="610" t="s">
        <v>5000</v>
      </c>
      <c r="B2735" s="17" t="s">
        <v>5548</v>
      </c>
      <c r="C2735" s="17" t="s">
        <v>5405</v>
      </c>
      <c r="D2735" s="17" t="s">
        <v>2651</v>
      </c>
      <c r="E2735" s="17" t="s">
        <v>4812</v>
      </c>
      <c r="F2735" s="454">
        <v>23.18</v>
      </c>
      <c r="G2735" s="529">
        <v>23.18</v>
      </c>
      <c r="H2735" s="487">
        <f t="shared" si="1181"/>
        <v>18.54</v>
      </c>
      <c r="I2735" s="706"/>
      <c r="J2735" s="669" t="s">
        <v>5805</v>
      </c>
      <c r="K2735" s="23"/>
      <c r="L2735" s="70" t="str">
        <f t="shared" si="1182"/>
        <v/>
      </c>
      <c r="M2735" s="49">
        <f t="shared" si="1183"/>
        <v>23.18</v>
      </c>
      <c r="N2735" s="41">
        <v>9.18</v>
      </c>
      <c r="O2735" s="43" t="s">
        <v>1017</v>
      </c>
      <c r="P2735" s="65"/>
      <c r="Q2735" s="65"/>
      <c r="R2735" s="58" t="s">
        <v>1017</v>
      </c>
      <c r="T2735" s="65"/>
      <c r="U2735" s="65"/>
      <c r="W2735" s="65"/>
      <c r="Y2735" s="12" t="s">
        <v>1017</v>
      </c>
      <c r="Z2735" s="65"/>
      <c r="AA2735" s="53"/>
      <c r="AC2735" s="12" t="s">
        <v>1017</v>
      </c>
      <c r="AD2735" s="53"/>
    </row>
    <row r="2736" spans="1:30" s="12" customFormat="1" x14ac:dyDescent="0.25">
      <c r="A2736" s="610" t="s">
        <v>4979</v>
      </c>
      <c r="B2736" s="17" t="s">
        <v>5548</v>
      </c>
      <c r="C2736" s="17" t="s">
        <v>5405</v>
      </c>
      <c r="D2736" s="17" t="s">
        <v>4393</v>
      </c>
      <c r="E2736" s="17" t="s">
        <v>4810</v>
      </c>
      <c r="F2736" s="454">
        <v>18.18</v>
      </c>
      <c r="G2736" s="529">
        <v>18.18</v>
      </c>
      <c r="H2736" s="487">
        <f t="shared" si="1181"/>
        <v>14.54</v>
      </c>
      <c r="I2736" s="706"/>
      <c r="J2736" s="669" t="s">
        <v>5805</v>
      </c>
      <c r="K2736" s="23"/>
      <c r="L2736" s="70" t="str">
        <f t="shared" si="1182"/>
        <v/>
      </c>
      <c r="M2736" s="49">
        <f t="shared" si="1183"/>
        <v>18.18</v>
      </c>
      <c r="N2736" s="41">
        <v>9.18</v>
      </c>
      <c r="O2736" s="61"/>
      <c r="P2736" s="65"/>
      <c r="Q2736" s="65"/>
      <c r="R2736" s="58"/>
      <c r="T2736" s="65"/>
      <c r="U2736" s="65"/>
      <c r="W2736" s="65"/>
      <c r="X2736" s="12" t="s">
        <v>1017</v>
      </c>
      <c r="Z2736" s="65"/>
      <c r="AA2736" s="53"/>
      <c r="AC2736" s="12" t="s">
        <v>1017</v>
      </c>
      <c r="AD2736" s="53"/>
    </row>
    <row r="2737" spans="1:30" s="12" customFormat="1" x14ac:dyDescent="0.25">
      <c r="A2737" s="610" t="s">
        <v>4980</v>
      </c>
      <c r="B2737" s="17" t="s">
        <v>5548</v>
      </c>
      <c r="C2737" s="17" t="s">
        <v>5405</v>
      </c>
      <c r="D2737" s="17" t="s">
        <v>5571</v>
      </c>
      <c r="E2737" s="17" t="s">
        <v>4812</v>
      </c>
      <c r="F2737" s="454">
        <v>21.18</v>
      </c>
      <c r="G2737" s="529">
        <v>21.18</v>
      </c>
      <c r="H2737" s="487">
        <f t="shared" si="1181"/>
        <v>16.940000000000001</v>
      </c>
      <c r="I2737" s="706"/>
      <c r="J2737" s="669" t="s">
        <v>5805</v>
      </c>
      <c r="K2737" s="23"/>
      <c r="L2737" s="70" t="str">
        <f t="shared" si="1182"/>
        <v/>
      </c>
      <c r="M2737" s="49">
        <f t="shared" si="1183"/>
        <v>21.18</v>
      </c>
      <c r="N2737" s="41">
        <v>9.18</v>
      </c>
      <c r="O2737" s="43" t="s">
        <v>1017</v>
      </c>
      <c r="P2737" s="65"/>
      <c r="Q2737" s="65"/>
      <c r="R2737" s="58"/>
      <c r="T2737" s="65"/>
      <c r="U2737" s="65"/>
      <c r="W2737" s="65"/>
      <c r="X2737" s="12" t="s">
        <v>1017</v>
      </c>
      <c r="Z2737" s="65"/>
      <c r="AA2737" s="53"/>
      <c r="AC2737" s="12" t="s">
        <v>1017</v>
      </c>
      <c r="AD2737" s="53"/>
    </row>
    <row r="2738" spans="1:30" s="12" customFormat="1" x14ac:dyDescent="0.25">
      <c r="A2738" s="610" t="s">
        <v>4995</v>
      </c>
      <c r="B2738" s="17" t="s">
        <v>5548</v>
      </c>
      <c r="C2738" s="17" t="s">
        <v>5405</v>
      </c>
      <c r="D2738" s="21" t="s">
        <v>675</v>
      </c>
      <c r="E2738" s="17" t="s">
        <v>4810</v>
      </c>
      <c r="F2738" s="454">
        <v>19.18</v>
      </c>
      <c r="G2738" s="529">
        <v>19.18</v>
      </c>
      <c r="H2738" s="487">
        <f t="shared" si="1181"/>
        <v>15.34</v>
      </c>
      <c r="I2738" s="706"/>
      <c r="J2738" s="669" t="s">
        <v>5805</v>
      </c>
      <c r="K2738" s="23"/>
      <c r="L2738" s="70" t="str">
        <f t="shared" si="1182"/>
        <v/>
      </c>
      <c r="M2738" s="49">
        <f t="shared" si="1183"/>
        <v>19.18</v>
      </c>
      <c r="N2738" s="41">
        <v>9.18</v>
      </c>
      <c r="O2738" s="61"/>
      <c r="P2738" s="65"/>
      <c r="Q2738" s="65"/>
      <c r="R2738" s="58" t="s">
        <v>1017</v>
      </c>
      <c r="T2738" s="65"/>
      <c r="U2738" s="65"/>
      <c r="W2738" s="65"/>
      <c r="X2738" s="12" t="s">
        <v>1017</v>
      </c>
      <c r="Z2738" s="65"/>
      <c r="AA2738" s="53"/>
      <c r="AC2738" s="12" t="s">
        <v>1017</v>
      </c>
      <c r="AD2738" s="53"/>
    </row>
    <row r="2739" spans="1:30" s="12" customFormat="1" x14ac:dyDescent="0.25">
      <c r="A2739" s="610" t="s">
        <v>4996</v>
      </c>
      <c r="B2739" s="17" t="s">
        <v>5548</v>
      </c>
      <c r="C2739" s="17" t="s">
        <v>5405</v>
      </c>
      <c r="D2739" s="21" t="s">
        <v>676</v>
      </c>
      <c r="E2739" s="17" t="s">
        <v>4812</v>
      </c>
      <c r="F2739" s="454">
        <v>22.18</v>
      </c>
      <c r="G2739" s="529">
        <v>22.18</v>
      </c>
      <c r="H2739" s="487">
        <f t="shared" si="1181"/>
        <v>17.739999999999998</v>
      </c>
      <c r="I2739" s="706"/>
      <c r="J2739" s="669" t="s">
        <v>5805</v>
      </c>
      <c r="K2739" s="23"/>
      <c r="L2739" s="70" t="str">
        <f t="shared" si="1182"/>
        <v/>
      </c>
      <c r="M2739" s="49">
        <f t="shared" si="1183"/>
        <v>22.18</v>
      </c>
      <c r="N2739" s="41">
        <v>9.18</v>
      </c>
      <c r="O2739" s="43" t="s">
        <v>1017</v>
      </c>
      <c r="P2739" s="65"/>
      <c r="Q2739" s="65"/>
      <c r="R2739" s="58" t="s">
        <v>1017</v>
      </c>
      <c r="T2739" s="65"/>
      <c r="U2739" s="65"/>
      <c r="W2739" s="65"/>
      <c r="X2739" s="12" t="s">
        <v>1017</v>
      </c>
      <c r="Z2739" s="65"/>
      <c r="AA2739" s="53"/>
      <c r="AC2739" s="12" t="s">
        <v>1017</v>
      </c>
      <c r="AD2739" s="53"/>
    </row>
    <row r="2740" spans="1:30" s="12" customFormat="1" x14ac:dyDescent="0.25">
      <c r="A2740" s="610" t="s">
        <v>4987</v>
      </c>
      <c r="B2740" s="17" t="s">
        <v>5548</v>
      </c>
      <c r="C2740" s="17" t="s">
        <v>5405</v>
      </c>
      <c r="D2740" s="17" t="s">
        <v>2122</v>
      </c>
      <c r="E2740" s="17" t="s">
        <v>4810</v>
      </c>
      <c r="F2740" s="454">
        <v>20.18</v>
      </c>
      <c r="G2740" s="529">
        <v>20.18</v>
      </c>
      <c r="H2740" s="487">
        <f t="shared" si="1181"/>
        <v>16.14</v>
      </c>
      <c r="I2740" s="706"/>
      <c r="J2740" s="669" t="s">
        <v>5805</v>
      </c>
      <c r="K2740" s="23"/>
      <c r="L2740" s="70" t="str">
        <f t="shared" si="1182"/>
        <v/>
      </c>
      <c r="M2740" s="49">
        <f t="shared" si="1183"/>
        <v>20.18</v>
      </c>
      <c r="N2740" s="41">
        <v>9.18</v>
      </c>
      <c r="O2740" s="61"/>
      <c r="P2740" s="65"/>
      <c r="Q2740" s="65"/>
      <c r="R2740" s="58"/>
      <c r="T2740" s="65"/>
      <c r="U2740" s="65"/>
      <c r="W2740" s="65"/>
      <c r="Z2740" s="65"/>
      <c r="AA2740" s="53" t="s">
        <v>1017</v>
      </c>
      <c r="AC2740" s="12" t="s">
        <v>1017</v>
      </c>
      <c r="AD2740" s="53"/>
    </row>
    <row r="2741" spans="1:30" s="12" customFormat="1" x14ac:dyDescent="0.25">
      <c r="A2741" s="610" t="s">
        <v>4988</v>
      </c>
      <c r="B2741" s="17" t="s">
        <v>5548</v>
      </c>
      <c r="C2741" s="17" t="s">
        <v>5405</v>
      </c>
      <c r="D2741" s="17" t="s">
        <v>2649</v>
      </c>
      <c r="E2741" s="17" t="s">
        <v>4812</v>
      </c>
      <c r="F2741" s="454">
        <v>23.18</v>
      </c>
      <c r="G2741" s="529">
        <v>23.18</v>
      </c>
      <c r="H2741" s="487">
        <f t="shared" si="1181"/>
        <v>18.54</v>
      </c>
      <c r="I2741" s="706"/>
      <c r="J2741" s="669" t="s">
        <v>5805</v>
      </c>
      <c r="K2741" s="23"/>
      <c r="L2741" s="70" t="str">
        <f t="shared" si="1182"/>
        <v/>
      </c>
      <c r="M2741" s="49">
        <f t="shared" si="1183"/>
        <v>23.18</v>
      </c>
      <c r="N2741" s="41">
        <v>9.18</v>
      </c>
      <c r="O2741" s="43" t="s">
        <v>1017</v>
      </c>
      <c r="P2741" s="65"/>
      <c r="Q2741" s="65"/>
      <c r="R2741" s="58"/>
      <c r="T2741" s="65"/>
      <c r="U2741" s="65"/>
      <c r="W2741" s="65"/>
      <c r="Z2741" s="65"/>
      <c r="AA2741" s="53" t="s">
        <v>1017</v>
      </c>
      <c r="AC2741" s="12" t="s">
        <v>1017</v>
      </c>
      <c r="AD2741" s="53"/>
    </row>
    <row r="2742" spans="1:30" s="12" customFormat="1" x14ac:dyDescent="0.25">
      <c r="A2742" s="610" t="s">
        <v>5003</v>
      </c>
      <c r="B2742" s="17" t="s">
        <v>5548</v>
      </c>
      <c r="C2742" s="17" t="s">
        <v>5405</v>
      </c>
      <c r="D2742" s="17" t="s">
        <v>2123</v>
      </c>
      <c r="E2742" s="17" t="s">
        <v>4810</v>
      </c>
      <c r="F2742" s="454">
        <v>21.18</v>
      </c>
      <c r="G2742" s="529">
        <v>21.18</v>
      </c>
      <c r="H2742" s="487">
        <f t="shared" si="1181"/>
        <v>16.940000000000001</v>
      </c>
      <c r="I2742" s="706"/>
      <c r="J2742" s="669" t="s">
        <v>5805</v>
      </c>
      <c r="K2742" s="23"/>
      <c r="L2742" s="70" t="str">
        <f t="shared" si="1182"/>
        <v/>
      </c>
      <c r="M2742" s="49">
        <f t="shared" si="1183"/>
        <v>21.18</v>
      </c>
      <c r="N2742" s="41">
        <v>9.18</v>
      </c>
      <c r="O2742" s="61"/>
      <c r="P2742" s="65"/>
      <c r="Q2742" s="65"/>
      <c r="R2742" s="58" t="s">
        <v>1017</v>
      </c>
      <c r="T2742" s="65"/>
      <c r="U2742" s="65"/>
      <c r="W2742" s="65"/>
      <c r="Z2742" s="65"/>
      <c r="AA2742" s="53" t="s">
        <v>1017</v>
      </c>
      <c r="AC2742" s="12" t="s">
        <v>1017</v>
      </c>
      <c r="AD2742" s="53"/>
    </row>
    <row r="2743" spans="1:30" s="12" customFormat="1" x14ac:dyDescent="0.25">
      <c r="A2743" s="610" t="s">
        <v>5004</v>
      </c>
      <c r="B2743" s="17" t="s">
        <v>5548</v>
      </c>
      <c r="C2743" s="17" t="s">
        <v>5405</v>
      </c>
      <c r="D2743" s="17" t="s">
        <v>2652</v>
      </c>
      <c r="E2743" s="17" t="s">
        <v>4812</v>
      </c>
      <c r="F2743" s="454">
        <v>24.18</v>
      </c>
      <c r="G2743" s="529">
        <v>24.18</v>
      </c>
      <c r="H2743" s="487">
        <f t="shared" si="1181"/>
        <v>19.34</v>
      </c>
      <c r="I2743" s="706"/>
      <c r="J2743" s="669" t="s">
        <v>5805</v>
      </c>
      <c r="K2743" s="23"/>
      <c r="L2743" s="70" t="str">
        <f t="shared" si="1182"/>
        <v/>
      </c>
      <c r="M2743" s="49">
        <f t="shared" si="1183"/>
        <v>24.18</v>
      </c>
      <c r="N2743" s="41">
        <v>9.18</v>
      </c>
      <c r="O2743" s="43" t="s">
        <v>1017</v>
      </c>
      <c r="P2743" s="65"/>
      <c r="Q2743" s="65"/>
      <c r="R2743" s="58" t="s">
        <v>1017</v>
      </c>
      <c r="T2743" s="65"/>
      <c r="U2743" s="65"/>
      <c r="W2743" s="65"/>
      <c r="Z2743" s="65"/>
      <c r="AA2743" s="53" t="s">
        <v>1017</v>
      </c>
      <c r="AC2743" s="12" t="s">
        <v>1017</v>
      </c>
      <c r="AD2743" s="53"/>
    </row>
    <row r="2744" spans="1:30" s="12" customFormat="1" x14ac:dyDescent="0.25">
      <c r="A2744" s="610" t="s">
        <v>708</v>
      </c>
      <c r="B2744" s="17" t="s">
        <v>5548</v>
      </c>
      <c r="C2744" s="17" t="s">
        <v>5405</v>
      </c>
      <c r="D2744" s="17" t="s">
        <v>595</v>
      </c>
      <c r="E2744" s="17" t="s">
        <v>4810</v>
      </c>
      <c r="F2744" s="454">
        <v>11.18</v>
      </c>
      <c r="G2744" s="529">
        <v>11.18</v>
      </c>
      <c r="H2744" s="487">
        <f t="shared" si="1181"/>
        <v>8.94</v>
      </c>
      <c r="I2744" s="706"/>
      <c r="J2744" s="669" t="s">
        <v>5805</v>
      </c>
      <c r="K2744" s="23"/>
      <c r="L2744" s="70" t="str">
        <f t="shared" si="1182"/>
        <v/>
      </c>
      <c r="M2744" s="49">
        <f t="shared" si="1183"/>
        <v>11.18</v>
      </c>
      <c r="N2744" s="41">
        <v>9.18</v>
      </c>
      <c r="O2744" s="61"/>
      <c r="P2744" s="65"/>
      <c r="Q2744" s="65"/>
      <c r="R2744" s="58"/>
      <c r="T2744" s="65"/>
      <c r="U2744" s="65"/>
      <c r="W2744" s="65"/>
      <c r="Z2744" s="65"/>
      <c r="AA2744" s="53"/>
      <c r="AD2744" s="53" t="s">
        <v>1017</v>
      </c>
    </row>
    <row r="2745" spans="1:30" s="12" customFormat="1" x14ac:dyDescent="0.25">
      <c r="A2745" s="610" t="s">
        <v>709</v>
      </c>
      <c r="B2745" s="17" t="s">
        <v>5548</v>
      </c>
      <c r="C2745" s="17" t="s">
        <v>5405</v>
      </c>
      <c r="D2745" s="17" t="s">
        <v>3199</v>
      </c>
      <c r="E2745" s="17" t="s">
        <v>4812</v>
      </c>
      <c r="F2745" s="454">
        <v>14.18</v>
      </c>
      <c r="G2745" s="529">
        <v>14.18</v>
      </c>
      <c r="H2745" s="487">
        <f t="shared" si="1181"/>
        <v>11.34</v>
      </c>
      <c r="I2745" s="706"/>
      <c r="J2745" s="669" t="s">
        <v>5805</v>
      </c>
      <c r="K2745" s="23"/>
      <c r="L2745" s="70" t="str">
        <f t="shared" si="1182"/>
        <v/>
      </c>
      <c r="M2745" s="49">
        <f t="shared" si="1183"/>
        <v>14.18</v>
      </c>
      <c r="N2745" s="41">
        <v>9.18</v>
      </c>
      <c r="O2745" s="43" t="s">
        <v>1017</v>
      </c>
      <c r="P2745" s="65"/>
      <c r="Q2745" s="65"/>
      <c r="R2745" s="58"/>
      <c r="T2745" s="65"/>
      <c r="U2745" s="65"/>
      <c r="W2745" s="65"/>
      <c r="Z2745" s="65"/>
      <c r="AA2745" s="53"/>
      <c r="AD2745" s="53" t="s">
        <v>1017</v>
      </c>
    </row>
    <row r="2746" spans="1:30" s="12" customFormat="1" x14ac:dyDescent="0.25">
      <c r="A2746" s="610" t="s">
        <v>2137</v>
      </c>
      <c r="B2746" s="17" t="s">
        <v>5548</v>
      </c>
      <c r="C2746" s="17" t="s">
        <v>5405</v>
      </c>
      <c r="D2746" s="30" t="s">
        <v>2139</v>
      </c>
      <c r="E2746" s="17" t="s">
        <v>4810</v>
      </c>
      <c r="F2746" s="454">
        <v>12.18</v>
      </c>
      <c r="G2746" s="529">
        <v>12.18</v>
      </c>
      <c r="H2746" s="487">
        <f t="shared" si="1181"/>
        <v>9.74</v>
      </c>
      <c r="I2746" s="706"/>
      <c r="J2746" s="669" t="s">
        <v>5805</v>
      </c>
      <c r="K2746" s="23"/>
      <c r="L2746" s="70" t="str">
        <f t="shared" si="1182"/>
        <v/>
      </c>
      <c r="M2746" s="49">
        <f t="shared" si="1183"/>
        <v>12.18</v>
      </c>
      <c r="N2746" s="41">
        <v>9.18</v>
      </c>
      <c r="O2746" s="61"/>
      <c r="P2746" s="65"/>
      <c r="Q2746" s="65"/>
      <c r="R2746" s="58" t="s">
        <v>1017</v>
      </c>
      <c r="T2746" s="65"/>
      <c r="U2746" s="65"/>
      <c r="W2746" s="65"/>
      <c r="Z2746" s="65"/>
      <c r="AA2746" s="53"/>
      <c r="AD2746" s="53" t="s">
        <v>1017</v>
      </c>
    </row>
    <row r="2747" spans="1:30" s="12" customFormat="1" x14ac:dyDescent="0.25">
      <c r="A2747" s="610" t="s">
        <v>2138</v>
      </c>
      <c r="B2747" s="17" t="s">
        <v>5548</v>
      </c>
      <c r="C2747" s="17" t="s">
        <v>5405</v>
      </c>
      <c r="D2747" s="30" t="s">
        <v>2140</v>
      </c>
      <c r="E2747" s="17" t="s">
        <v>4812</v>
      </c>
      <c r="F2747" s="454">
        <v>15.18</v>
      </c>
      <c r="G2747" s="529">
        <v>15.18</v>
      </c>
      <c r="H2747" s="487">
        <f t="shared" si="1181"/>
        <v>12.14</v>
      </c>
      <c r="I2747" s="706"/>
      <c r="J2747" s="669" t="s">
        <v>5805</v>
      </c>
      <c r="K2747" s="23"/>
      <c r="L2747" s="70" t="str">
        <f t="shared" si="1182"/>
        <v/>
      </c>
      <c r="M2747" s="49">
        <f t="shared" si="1183"/>
        <v>15.18</v>
      </c>
      <c r="N2747" s="41">
        <v>9.18</v>
      </c>
      <c r="O2747" s="43" t="s">
        <v>1017</v>
      </c>
      <c r="P2747" s="65"/>
      <c r="Q2747" s="65"/>
      <c r="R2747" s="58" t="s">
        <v>1017</v>
      </c>
      <c r="T2747" s="65"/>
      <c r="U2747" s="65"/>
      <c r="W2747" s="65"/>
      <c r="Z2747" s="65"/>
      <c r="AA2747" s="53"/>
      <c r="AD2747" s="53" t="s">
        <v>1017</v>
      </c>
    </row>
    <row r="2748" spans="1:30" s="12" customFormat="1" x14ac:dyDescent="0.25">
      <c r="A2748" s="610" t="s">
        <v>710</v>
      </c>
      <c r="B2748" s="17" t="s">
        <v>5548</v>
      </c>
      <c r="C2748" s="17" t="s">
        <v>5405</v>
      </c>
      <c r="D2748" s="17" t="s">
        <v>850</v>
      </c>
      <c r="E2748" s="17" t="s">
        <v>4810</v>
      </c>
      <c r="F2748" s="454">
        <v>17.18</v>
      </c>
      <c r="G2748" s="529">
        <v>17.18</v>
      </c>
      <c r="H2748" s="487">
        <f t="shared" si="1181"/>
        <v>13.74</v>
      </c>
      <c r="I2748" s="706"/>
      <c r="J2748" s="669" t="s">
        <v>5805</v>
      </c>
      <c r="K2748" s="23"/>
      <c r="L2748" s="70" t="str">
        <f t="shared" si="1182"/>
        <v/>
      </c>
      <c r="M2748" s="49">
        <f t="shared" si="1183"/>
        <v>17.18</v>
      </c>
      <c r="N2748" s="41">
        <v>9.18</v>
      </c>
      <c r="O2748" s="61"/>
      <c r="P2748" s="65"/>
      <c r="Q2748" s="65"/>
      <c r="R2748" s="58"/>
      <c r="S2748" s="12" t="s">
        <v>1017</v>
      </c>
      <c r="T2748" s="65"/>
      <c r="U2748" s="65"/>
      <c r="W2748" s="65"/>
      <c r="Z2748" s="65"/>
      <c r="AA2748" s="53"/>
      <c r="AD2748" s="53" t="s">
        <v>1017</v>
      </c>
    </row>
    <row r="2749" spans="1:30" s="12" customFormat="1" x14ac:dyDescent="0.25">
      <c r="A2749" s="610" t="s">
        <v>711</v>
      </c>
      <c r="B2749" s="17" t="s">
        <v>5548</v>
      </c>
      <c r="C2749" s="17" t="s">
        <v>5405</v>
      </c>
      <c r="D2749" s="17" t="s">
        <v>2653</v>
      </c>
      <c r="E2749" s="17" t="s">
        <v>4812</v>
      </c>
      <c r="F2749" s="454">
        <v>20.18</v>
      </c>
      <c r="G2749" s="529">
        <v>20.18</v>
      </c>
      <c r="H2749" s="487">
        <f t="shared" si="1181"/>
        <v>16.14</v>
      </c>
      <c r="I2749" s="706"/>
      <c r="J2749" s="669" t="s">
        <v>5805</v>
      </c>
      <c r="K2749" s="23"/>
      <c r="L2749" s="70" t="str">
        <f t="shared" si="1182"/>
        <v/>
      </c>
      <c r="M2749" s="49">
        <f t="shared" si="1183"/>
        <v>20.18</v>
      </c>
      <c r="N2749" s="41">
        <v>9.18</v>
      </c>
      <c r="O2749" s="43" t="s">
        <v>1017</v>
      </c>
      <c r="P2749" s="65"/>
      <c r="Q2749" s="65"/>
      <c r="R2749" s="58"/>
      <c r="S2749" s="12" t="s">
        <v>1017</v>
      </c>
      <c r="T2749" s="65"/>
      <c r="U2749" s="65"/>
      <c r="W2749" s="65"/>
      <c r="Z2749" s="65"/>
      <c r="AA2749" s="53"/>
      <c r="AD2749" s="53" t="s">
        <v>1017</v>
      </c>
    </row>
    <row r="2750" spans="1:30" s="12" customFormat="1" x14ac:dyDescent="0.25">
      <c r="A2750" s="610" t="s">
        <v>580</v>
      </c>
      <c r="B2750" s="17" t="s">
        <v>5548</v>
      </c>
      <c r="C2750" s="17" t="s">
        <v>5405</v>
      </c>
      <c r="D2750" s="30" t="s">
        <v>564</v>
      </c>
      <c r="E2750" s="17" t="s">
        <v>4810</v>
      </c>
      <c r="F2750" s="454">
        <v>18.18</v>
      </c>
      <c r="G2750" s="529">
        <v>18.18</v>
      </c>
      <c r="H2750" s="487">
        <f t="shared" si="1181"/>
        <v>14.54</v>
      </c>
      <c r="I2750" s="706"/>
      <c r="J2750" s="669" t="s">
        <v>5805</v>
      </c>
      <c r="K2750" s="23"/>
      <c r="L2750" s="70" t="str">
        <f t="shared" si="1182"/>
        <v/>
      </c>
      <c r="M2750" s="49">
        <f t="shared" si="1183"/>
        <v>18.18</v>
      </c>
      <c r="N2750" s="41">
        <v>9.18</v>
      </c>
      <c r="O2750" s="61"/>
      <c r="P2750" s="65"/>
      <c r="Q2750" s="65"/>
      <c r="R2750" s="58" t="s">
        <v>1017</v>
      </c>
      <c r="S2750" s="12" t="s">
        <v>1017</v>
      </c>
      <c r="T2750" s="65"/>
      <c r="U2750" s="65"/>
      <c r="W2750" s="65"/>
      <c r="Z2750" s="65"/>
      <c r="AA2750" s="53"/>
      <c r="AD2750" s="53" t="s">
        <v>1017</v>
      </c>
    </row>
    <row r="2751" spans="1:30" s="12" customFormat="1" x14ac:dyDescent="0.25">
      <c r="A2751" s="610" t="s">
        <v>581</v>
      </c>
      <c r="B2751" s="17" t="s">
        <v>5548</v>
      </c>
      <c r="C2751" s="17" t="s">
        <v>5405</v>
      </c>
      <c r="D2751" s="30" t="s">
        <v>565</v>
      </c>
      <c r="E2751" s="17" t="s">
        <v>4812</v>
      </c>
      <c r="F2751" s="454">
        <v>21.18</v>
      </c>
      <c r="G2751" s="529">
        <v>21.18</v>
      </c>
      <c r="H2751" s="487">
        <f t="shared" si="1181"/>
        <v>16.940000000000001</v>
      </c>
      <c r="I2751" s="706"/>
      <c r="J2751" s="669" t="s">
        <v>5805</v>
      </c>
      <c r="K2751" s="23"/>
      <c r="L2751" s="70" t="str">
        <f t="shared" si="1182"/>
        <v/>
      </c>
      <c r="M2751" s="49">
        <f t="shared" si="1183"/>
        <v>21.18</v>
      </c>
      <c r="N2751" s="41">
        <v>9.18</v>
      </c>
      <c r="O2751" s="43" t="s">
        <v>1017</v>
      </c>
      <c r="P2751" s="65"/>
      <c r="Q2751" s="65"/>
      <c r="R2751" s="58" t="s">
        <v>1017</v>
      </c>
      <c r="S2751" s="12" t="s">
        <v>1017</v>
      </c>
      <c r="T2751" s="65"/>
      <c r="U2751" s="65"/>
      <c r="W2751" s="65"/>
      <c r="Z2751" s="65"/>
      <c r="AA2751" s="53"/>
      <c r="AD2751" s="53" t="s">
        <v>1017</v>
      </c>
    </row>
    <row r="2752" spans="1:30" s="12" customFormat="1" x14ac:dyDescent="0.25">
      <c r="A2752" s="610" t="s">
        <v>712</v>
      </c>
      <c r="B2752" s="17" t="s">
        <v>5548</v>
      </c>
      <c r="C2752" s="17" t="s">
        <v>5405</v>
      </c>
      <c r="D2752" s="17" t="s">
        <v>852</v>
      </c>
      <c r="E2752" s="17" t="s">
        <v>4810</v>
      </c>
      <c r="F2752" s="454">
        <v>18.18</v>
      </c>
      <c r="G2752" s="529">
        <v>18.18</v>
      </c>
      <c r="H2752" s="487">
        <f t="shared" si="1181"/>
        <v>14.54</v>
      </c>
      <c r="I2752" s="706"/>
      <c r="J2752" s="669" t="s">
        <v>5805</v>
      </c>
      <c r="K2752" s="23"/>
      <c r="L2752" s="70" t="str">
        <f t="shared" si="1182"/>
        <v/>
      </c>
      <c r="M2752" s="49">
        <f t="shared" si="1183"/>
        <v>18.18</v>
      </c>
      <c r="N2752" s="41">
        <v>9.18</v>
      </c>
      <c r="O2752" s="61"/>
      <c r="P2752" s="65"/>
      <c r="Q2752" s="65"/>
      <c r="R2752" s="58"/>
      <c r="T2752" s="65"/>
      <c r="U2752" s="65"/>
      <c r="V2752" s="12" t="s">
        <v>1017</v>
      </c>
      <c r="W2752" s="65"/>
      <c r="Z2752" s="65"/>
      <c r="AA2752" s="53"/>
      <c r="AD2752" s="53" t="s">
        <v>1017</v>
      </c>
    </row>
    <row r="2753" spans="1:30" s="12" customFormat="1" x14ac:dyDescent="0.25">
      <c r="A2753" s="610" t="s">
        <v>713</v>
      </c>
      <c r="B2753" s="17" t="s">
        <v>5548</v>
      </c>
      <c r="C2753" s="17" t="s">
        <v>5405</v>
      </c>
      <c r="D2753" s="17" t="s">
        <v>846</v>
      </c>
      <c r="E2753" s="17" t="s">
        <v>4812</v>
      </c>
      <c r="F2753" s="454">
        <v>21.18</v>
      </c>
      <c r="G2753" s="529">
        <v>21.18</v>
      </c>
      <c r="H2753" s="487">
        <f t="shared" si="1181"/>
        <v>16.940000000000001</v>
      </c>
      <c r="I2753" s="706"/>
      <c r="J2753" s="669" t="s">
        <v>5805</v>
      </c>
      <c r="K2753" s="23"/>
      <c r="L2753" s="70" t="str">
        <f t="shared" si="1182"/>
        <v/>
      </c>
      <c r="M2753" s="49">
        <f t="shared" si="1183"/>
        <v>21.18</v>
      </c>
      <c r="N2753" s="41">
        <v>9.18</v>
      </c>
      <c r="O2753" s="43" t="s">
        <v>1017</v>
      </c>
      <c r="P2753" s="65"/>
      <c r="Q2753" s="65"/>
      <c r="R2753" s="58"/>
      <c r="T2753" s="65"/>
      <c r="U2753" s="65"/>
      <c r="V2753" s="12" t="s">
        <v>1017</v>
      </c>
      <c r="W2753" s="65"/>
      <c r="Z2753" s="65"/>
      <c r="AA2753" s="53"/>
      <c r="AD2753" s="53" t="s">
        <v>1017</v>
      </c>
    </row>
    <row r="2754" spans="1:30" s="12" customFormat="1" x14ac:dyDescent="0.25">
      <c r="A2754" s="610" t="s">
        <v>714</v>
      </c>
      <c r="B2754" s="17" t="s">
        <v>5548</v>
      </c>
      <c r="C2754" s="17" t="s">
        <v>5405</v>
      </c>
      <c r="D2754" s="17" t="s">
        <v>2593</v>
      </c>
      <c r="E2754" s="17" t="s">
        <v>4810</v>
      </c>
      <c r="F2754" s="454">
        <v>19.18</v>
      </c>
      <c r="G2754" s="529">
        <v>19.18</v>
      </c>
      <c r="H2754" s="487">
        <f t="shared" si="1181"/>
        <v>15.34</v>
      </c>
      <c r="I2754" s="706"/>
      <c r="J2754" s="669" t="s">
        <v>5805</v>
      </c>
      <c r="K2754" s="23"/>
      <c r="L2754" s="70" t="str">
        <f t="shared" si="1182"/>
        <v/>
      </c>
      <c r="M2754" s="49">
        <f t="shared" si="1183"/>
        <v>19.18</v>
      </c>
      <c r="N2754" s="41">
        <v>9.18</v>
      </c>
      <c r="O2754" s="61"/>
      <c r="P2754" s="65"/>
      <c r="Q2754" s="65"/>
      <c r="R2754" s="58" t="s">
        <v>1017</v>
      </c>
      <c r="T2754" s="65"/>
      <c r="U2754" s="65"/>
      <c r="V2754" s="12" t="s">
        <v>1017</v>
      </c>
      <c r="W2754" s="65"/>
      <c r="Z2754" s="65"/>
      <c r="AA2754" s="53"/>
      <c r="AD2754" s="53" t="s">
        <v>1017</v>
      </c>
    </row>
    <row r="2755" spans="1:30" s="12" customFormat="1" x14ac:dyDescent="0.25">
      <c r="A2755" s="610" t="s">
        <v>715</v>
      </c>
      <c r="B2755" s="17" t="s">
        <v>5548</v>
      </c>
      <c r="C2755" s="17" t="s">
        <v>5405</v>
      </c>
      <c r="D2755" s="17" t="s">
        <v>2723</v>
      </c>
      <c r="E2755" s="17" t="s">
        <v>4812</v>
      </c>
      <c r="F2755" s="454">
        <v>22.18</v>
      </c>
      <c r="G2755" s="529">
        <v>22.18</v>
      </c>
      <c r="H2755" s="487">
        <f t="shared" si="1181"/>
        <v>17.739999999999998</v>
      </c>
      <c r="I2755" s="706"/>
      <c r="J2755" s="669" t="s">
        <v>5805</v>
      </c>
      <c r="K2755" s="23"/>
      <c r="L2755" s="70" t="str">
        <f t="shared" si="1182"/>
        <v/>
      </c>
      <c r="M2755" s="49">
        <f t="shared" si="1183"/>
        <v>22.18</v>
      </c>
      <c r="N2755" s="41">
        <v>9.18</v>
      </c>
      <c r="O2755" s="43" t="s">
        <v>1017</v>
      </c>
      <c r="P2755" s="65"/>
      <c r="Q2755" s="65"/>
      <c r="R2755" s="58" t="s">
        <v>1017</v>
      </c>
      <c r="T2755" s="65"/>
      <c r="U2755" s="65"/>
      <c r="V2755" s="12" t="s">
        <v>1017</v>
      </c>
      <c r="W2755" s="65"/>
      <c r="Z2755" s="65"/>
      <c r="AA2755" s="53"/>
      <c r="AD2755" s="53" t="s">
        <v>1017</v>
      </c>
    </row>
    <row r="2756" spans="1:30" s="12" customFormat="1" x14ac:dyDescent="0.25">
      <c r="A2756" s="610" t="s">
        <v>716</v>
      </c>
      <c r="B2756" s="17" t="s">
        <v>5548</v>
      </c>
      <c r="C2756" s="17" t="s">
        <v>5405</v>
      </c>
      <c r="D2756" s="17" t="s">
        <v>789</v>
      </c>
      <c r="E2756" s="17" t="s">
        <v>4810</v>
      </c>
      <c r="F2756" s="454">
        <v>20.18</v>
      </c>
      <c r="G2756" s="529">
        <v>20.18</v>
      </c>
      <c r="H2756" s="487">
        <f t="shared" si="1181"/>
        <v>16.14</v>
      </c>
      <c r="I2756" s="706"/>
      <c r="J2756" s="669" t="s">
        <v>5805</v>
      </c>
      <c r="K2756" s="23"/>
      <c r="L2756" s="70" t="str">
        <f t="shared" si="1182"/>
        <v/>
      </c>
      <c r="M2756" s="49">
        <f t="shared" si="1183"/>
        <v>20.18</v>
      </c>
      <c r="N2756" s="41">
        <v>9.18</v>
      </c>
      <c r="O2756" s="61"/>
      <c r="P2756" s="65"/>
      <c r="Q2756" s="65"/>
      <c r="R2756" s="58"/>
      <c r="T2756" s="65"/>
      <c r="U2756" s="65"/>
      <c r="W2756" s="65"/>
      <c r="Y2756" s="12" t="s">
        <v>1017</v>
      </c>
      <c r="Z2756" s="65"/>
      <c r="AA2756" s="53"/>
      <c r="AD2756" s="53" t="s">
        <v>1017</v>
      </c>
    </row>
    <row r="2757" spans="1:30" s="12" customFormat="1" x14ac:dyDescent="0.25">
      <c r="A2757" s="610" t="s">
        <v>717</v>
      </c>
      <c r="B2757" s="17" t="s">
        <v>5548</v>
      </c>
      <c r="C2757" s="17" t="s">
        <v>5405</v>
      </c>
      <c r="D2757" s="17" t="s">
        <v>847</v>
      </c>
      <c r="E2757" s="17" t="s">
        <v>4812</v>
      </c>
      <c r="F2757" s="454">
        <v>23.18</v>
      </c>
      <c r="G2757" s="529">
        <v>23.18</v>
      </c>
      <c r="H2757" s="487">
        <f t="shared" si="1181"/>
        <v>18.54</v>
      </c>
      <c r="I2757" s="706"/>
      <c r="J2757" s="669" t="s">
        <v>5805</v>
      </c>
      <c r="K2757" s="23"/>
      <c r="L2757" s="70" t="str">
        <f t="shared" si="1182"/>
        <v/>
      </c>
      <c r="M2757" s="49">
        <f t="shared" si="1183"/>
        <v>23.18</v>
      </c>
      <c r="N2757" s="41">
        <v>9.18</v>
      </c>
      <c r="O2757" s="43" t="s">
        <v>1017</v>
      </c>
      <c r="P2757" s="65"/>
      <c r="Q2757" s="65"/>
      <c r="R2757" s="58"/>
      <c r="T2757" s="65"/>
      <c r="U2757" s="65"/>
      <c r="W2757" s="65"/>
      <c r="Y2757" s="12" t="s">
        <v>1017</v>
      </c>
      <c r="Z2757" s="65"/>
      <c r="AA2757" s="53"/>
      <c r="AD2757" s="53" t="s">
        <v>1017</v>
      </c>
    </row>
    <row r="2758" spans="1:30" s="12" customFormat="1" x14ac:dyDescent="0.25">
      <c r="A2758" s="610" t="s">
        <v>718</v>
      </c>
      <c r="B2758" s="17" t="s">
        <v>5548</v>
      </c>
      <c r="C2758" s="17" t="s">
        <v>5405</v>
      </c>
      <c r="D2758" s="17" t="s">
        <v>790</v>
      </c>
      <c r="E2758" s="17" t="s">
        <v>4810</v>
      </c>
      <c r="F2758" s="454">
        <v>21.18</v>
      </c>
      <c r="G2758" s="529">
        <v>21.18</v>
      </c>
      <c r="H2758" s="487">
        <f t="shared" si="1181"/>
        <v>16.940000000000001</v>
      </c>
      <c r="I2758" s="706"/>
      <c r="J2758" s="669" t="s">
        <v>5805</v>
      </c>
      <c r="K2758" s="23"/>
      <c r="L2758" s="70" t="str">
        <f t="shared" si="1182"/>
        <v/>
      </c>
      <c r="M2758" s="49">
        <f t="shared" si="1183"/>
        <v>21.18</v>
      </c>
      <c r="N2758" s="41">
        <v>9.18</v>
      </c>
      <c r="O2758" s="61"/>
      <c r="P2758" s="65"/>
      <c r="Q2758" s="65"/>
      <c r="R2758" s="58" t="s">
        <v>1017</v>
      </c>
      <c r="T2758" s="65"/>
      <c r="U2758" s="65"/>
      <c r="W2758" s="65"/>
      <c r="Y2758" s="12" t="s">
        <v>1017</v>
      </c>
      <c r="Z2758" s="65"/>
      <c r="AA2758" s="53"/>
      <c r="AD2758" s="53" t="s">
        <v>1017</v>
      </c>
    </row>
    <row r="2759" spans="1:30" s="12" customFormat="1" x14ac:dyDescent="0.25">
      <c r="A2759" s="610" t="s">
        <v>719</v>
      </c>
      <c r="B2759" s="17" t="s">
        <v>5548</v>
      </c>
      <c r="C2759" s="17" t="s">
        <v>5405</v>
      </c>
      <c r="D2759" s="17" t="s">
        <v>4383</v>
      </c>
      <c r="E2759" s="17" t="s">
        <v>4812</v>
      </c>
      <c r="F2759" s="454">
        <v>24.18</v>
      </c>
      <c r="G2759" s="529">
        <v>24.18</v>
      </c>
      <c r="H2759" s="487">
        <f t="shared" si="1181"/>
        <v>19.34</v>
      </c>
      <c r="I2759" s="706"/>
      <c r="J2759" s="669" t="s">
        <v>5805</v>
      </c>
      <c r="K2759" s="23"/>
      <c r="L2759" s="70" t="str">
        <f t="shared" si="1182"/>
        <v/>
      </c>
      <c r="M2759" s="49">
        <f t="shared" si="1183"/>
        <v>24.18</v>
      </c>
      <c r="N2759" s="41">
        <v>9.18</v>
      </c>
      <c r="O2759" s="43" t="s">
        <v>1017</v>
      </c>
      <c r="P2759" s="65"/>
      <c r="Q2759" s="65"/>
      <c r="R2759" s="58" t="s">
        <v>1017</v>
      </c>
      <c r="T2759" s="65"/>
      <c r="U2759" s="65"/>
      <c r="W2759" s="65"/>
      <c r="Y2759" s="12" t="s">
        <v>1017</v>
      </c>
      <c r="Z2759" s="65"/>
      <c r="AA2759" s="53"/>
      <c r="AD2759" s="53" t="s">
        <v>1017</v>
      </c>
    </row>
    <row r="2760" spans="1:30" s="12" customFormat="1" x14ac:dyDescent="0.25">
      <c r="A2760" s="610" t="s">
        <v>720</v>
      </c>
      <c r="B2760" s="17" t="s">
        <v>5548</v>
      </c>
      <c r="C2760" s="17" t="s">
        <v>5405</v>
      </c>
      <c r="D2760" s="17" t="s">
        <v>4394</v>
      </c>
      <c r="E2760" s="17" t="s">
        <v>4810</v>
      </c>
      <c r="F2760" s="454">
        <v>19.18</v>
      </c>
      <c r="G2760" s="529">
        <v>19.18</v>
      </c>
      <c r="H2760" s="487">
        <f t="shared" si="1181"/>
        <v>15.34</v>
      </c>
      <c r="I2760" s="706"/>
      <c r="J2760" s="669" t="s">
        <v>5805</v>
      </c>
      <c r="K2760" s="23"/>
      <c r="L2760" s="70" t="str">
        <f t="shared" si="1182"/>
        <v/>
      </c>
      <c r="M2760" s="49">
        <f t="shared" si="1183"/>
        <v>19.18</v>
      </c>
      <c r="N2760" s="41">
        <v>9.18</v>
      </c>
      <c r="O2760" s="61"/>
      <c r="P2760" s="65"/>
      <c r="Q2760" s="65"/>
      <c r="R2760" s="58"/>
      <c r="T2760" s="65"/>
      <c r="U2760" s="65"/>
      <c r="W2760" s="65"/>
      <c r="X2760" s="12" t="s">
        <v>1017</v>
      </c>
      <c r="Z2760" s="65"/>
      <c r="AA2760" s="53"/>
      <c r="AD2760" s="53" t="s">
        <v>1017</v>
      </c>
    </row>
    <row r="2761" spans="1:30" s="12" customFormat="1" x14ac:dyDescent="0.25">
      <c r="A2761" s="610" t="s">
        <v>721</v>
      </c>
      <c r="B2761" s="17" t="s">
        <v>5548</v>
      </c>
      <c r="C2761" s="17" t="s">
        <v>5405</v>
      </c>
      <c r="D2761" s="17" t="s">
        <v>5572</v>
      </c>
      <c r="E2761" s="17" t="s">
        <v>4812</v>
      </c>
      <c r="F2761" s="454">
        <v>22.18</v>
      </c>
      <c r="G2761" s="529">
        <v>22.18</v>
      </c>
      <c r="H2761" s="487">
        <f t="shared" si="1181"/>
        <v>17.739999999999998</v>
      </c>
      <c r="I2761" s="706"/>
      <c r="J2761" s="669" t="s">
        <v>5805</v>
      </c>
      <c r="K2761" s="23"/>
      <c r="L2761" s="70" t="str">
        <f t="shared" si="1182"/>
        <v/>
      </c>
      <c r="M2761" s="49">
        <f t="shared" si="1183"/>
        <v>22.18</v>
      </c>
      <c r="N2761" s="41">
        <v>9.18</v>
      </c>
      <c r="O2761" s="43" t="s">
        <v>1017</v>
      </c>
      <c r="P2761" s="65"/>
      <c r="Q2761" s="65"/>
      <c r="R2761" s="58"/>
      <c r="T2761" s="65"/>
      <c r="U2761" s="65"/>
      <c r="W2761" s="65"/>
      <c r="X2761" s="12" t="s">
        <v>1017</v>
      </c>
      <c r="Z2761" s="65"/>
      <c r="AA2761" s="53"/>
      <c r="AD2761" s="53" t="s">
        <v>1017</v>
      </c>
    </row>
    <row r="2762" spans="1:30" s="12" customFormat="1" x14ac:dyDescent="0.25">
      <c r="A2762" s="610" t="s">
        <v>722</v>
      </c>
      <c r="B2762" s="17" t="s">
        <v>5548</v>
      </c>
      <c r="C2762" s="17" t="s">
        <v>5405</v>
      </c>
      <c r="D2762" s="17" t="s">
        <v>4782</v>
      </c>
      <c r="E2762" s="17" t="s">
        <v>4810</v>
      </c>
      <c r="F2762" s="454">
        <v>20.18</v>
      </c>
      <c r="G2762" s="529">
        <v>20.18</v>
      </c>
      <c r="H2762" s="487">
        <f t="shared" si="1181"/>
        <v>16.14</v>
      </c>
      <c r="I2762" s="706"/>
      <c r="J2762" s="669" t="s">
        <v>5805</v>
      </c>
      <c r="K2762" s="23"/>
      <c r="L2762" s="70" t="str">
        <f t="shared" si="1182"/>
        <v/>
      </c>
      <c r="M2762" s="49">
        <f t="shared" si="1183"/>
        <v>20.18</v>
      </c>
      <c r="N2762" s="41">
        <v>9.18</v>
      </c>
      <c r="O2762" s="61"/>
      <c r="P2762" s="65"/>
      <c r="Q2762" s="65"/>
      <c r="R2762" s="58" t="s">
        <v>1017</v>
      </c>
      <c r="T2762" s="65"/>
      <c r="U2762" s="65"/>
      <c r="W2762" s="65"/>
      <c r="X2762" s="12" t="s">
        <v>1017</v>
      </c>
      <c r="Z2762" s="65"/>
      <c r="AA2762" s="53"/>
      <c r="AD2762" s="53" t="s">
        <v>1017</v>
      </c>
    </row>
    <row r="2763" spans="1:30" s="12" customFormat="1" x14ac:dyDescent="0.25">
      <c r="A2763" s="610" t="s">
        <v>723</v>
      </c>
      <c r="B2763" s="17" t="s">
        <v>5548</v>
      </c>
      <c r="C2763" s="17" t="s">
        <v>5405</v>
      </c>
      <c r="D2763" s="17" t="s">
        <v>5573</v>
      </c>
      <c r="E2763" s="17" t="s">
        <v>4812</v>
      </c>
      <c r="F2763" s="454">
        <v>23.18</v>
      </c>
      <c r="G2763" s="529">
        <v>23.18</v>
      </c>
      <c r="H2763" s="487">
        <f t="shared" si="1181"/>
        <v>18.54</v>
      </c>
      <c r="I2763" s="706"/>
      <c r="J2763" s="669" t="s">
        <v>5805</v>
      </c>
      <c r="K2763" s="23"/>
      <c r="L2763" s="70" t="str">
        <f t="shared" si="1182"/>
        <v/>
      </c>
      <c r="M2763" s="49">
        <f t="shared" si="1183"/>
        <v>23.18</v>
      </c>
      <c r="N2763" s="41">
        <v>9.18</v>
      </c>
      <c r="O2763" s="43" t="s">
        <v>1017</v>
      </c>
      <c r="P2763" s="65"/>
      <c r="Q2763" s="65"/>
      <c r="R2763" s="58" t="s">
        <v>1017</v>
      </c>
      <c r="T2763" s="65"/>
      <c r="U2763" s="65"/>
      <c r="W2763" s="65"/>
      <c r="X2763" s="12" t="s">
        <v>1017</v>
      </c>
      <c r="Z2763" s="65"/>
      <c r="AA2763" s="53"/>
      <c r="AD2763" s="53" t="s">
        <v>1017</v>
      </c>
    </row>
    <row r="2764" spans="1:30" s="12" customFormat="1" x14ac:dyDescent="0.25">
      <c r="A2764" s="610" t="s">
        <v>724</v>
      </c>
      <c r="B2764" s="17" t="s">
        <v>5548</v>
      </c>
      <c r="C2764" s="17" t="s">
        <v>5405</v>
      </c>
      <c r="D2764" s="17" t="s">
        <v>2124</v>
      </c>
      <c r="E2764" s="17" t="s">
        <v>4810</v>
      </c>
      <c r="F2764" s="454">
        <v>21.18</v>
      </c>
      <c r="G2764" s="529">
        <v>21.18</v>
      </c>
      <c r="H2764" s="487">
        <f t="shared" si="1181"/>
        <v>16.940000000000001</v>
      </c>
      <c r="I2764" s="706"/>
      <c r="J2764" s="669" t="s">
        <v>5805</v>
      </c>
      <c r="K2764" s="23"/>
      <c r="L2764" s="70" t="str">
        <f t="shared" si="1182"/>
        <v/>
      </c>
      <c r="M2764" s="49">
        <f t="shared" si="1183"/>
        <v>21.18</v>
      </c>
      <c r="N2764" s="41">
        <v>9.18</v>
      </c>
      <c r="O2764" s="61"/>
      <c r="P2764" s="65"/>
      <c r="Q2764" s="65"/>
      <c r="R2764" s="58"/>
      <c r="T2764" s="65"/>
      <c r="U2764" s="65"/>
      <c r="W2764" s="65"/>
      <c r="Z2764" s="65"/>
      <c r="AA2764" s="53" t="s">
        <v>1017</v>
      </c>
      <c r="AD2764" s="53" t="s">
        <v>1017</v>
      </c>
    </row>
    <row r="2765" spans="1:30" s="12" customFormat="1" x14ac:dyDescent="0.25">
      <c r="A2765" s="610" t="s">
        <v>725</v>
      </c>
      <c r="B2765" s="17" t="s">
        <v>5548</v>
      </c>
      <c r="C2765" s="17" t="s">
        <v>5405</v>
      </c>
      <c r="D2765" s="17" t="s">
        <v>2722</v>
      </c>
      <c r="E2765" s="17" t="s">
        <v>4812</v>
      </c>
      <c r="F2765" s="454">
        <v>24.18</v>
      </c>
      <c r="G2765" s="529">
        <v>24.18</v>
      </c>
      <c r="H2765" s="487">
        <f t="shared" si="1181"/>
        <v>19.34</v>
      </c>
      <c r="I2765" s="706"/>
      <c r="J2765" s="669" t="s">
        <v>5805</v>
      </c>
      <c r="K2765" s="23"/>
      <c r="L2765" s="70" t="str">
        <f t="shared" si="1182"/>
        <v/>
      </c>
      <c r="M2765" s="49">
        <f t="shared" si="1183"/>
        <v>24.18</v>
      </c>
      <c r="N2765" s="41">
        <v>9.18</v>
      </c>
      <c r="O2765" s="43" t="s">
        <v>1017</v>
      </c>
      <c r="P2765" s="65"/>
      <c r="Q2765" s="65"/>
      <c r="R2765" s="58"/>
      <c r="T2765" s="65"/>
      <c r="U2765" s="65"/>
      <c r="W2765" s="65"/>
      <c r="Z2765" s="65"/>
      <c r="AA2765" s="53" t="s">
        <v>1017</v>
      </c>
      <c r="AD2765" s="53" t="s">
        <v>1017</v>
      </c>
    </row>
    <row r="2766" spans="1:30" s="12" customFormat="1" x14ac:dyDescent="0.25">
      <c r="A2766" s="610" t="s">
        <v>726</v>
      </c>
      <c r="B2766" s="17" t="s">
        <v>5548</v>
      </c>
      <c r="C2766" s="17" t="s">
        <v>5405</v>
      </c>
      <c r="D2766" s="17" t="s">
        <v>3193</v>
      </c>
      <c r="E2766" s="17" t="s">
        <v>4810</v>
      </c>
      <c r="F2766" s="454">
        <v>22.18</v>
      </c>
      <c r="G2766" s="529">
        <v>22.18</v>
      </c>
      <c r="H2766" s="487">
        <f t="shared" si="1181"/>
        <v>17.739999999999998</v>
      </c>
      <c r="I2766" s="706"/>
      <c r="J2766" s="669" t="s">
        <v>5805</v>
      </c>
      <c r="K2766" s="23"/>
      <c r="L2766" s="70" t="str">
        <f t="shared" si="1182"/>
        <v/>
      </c>
      <c r="M2766" s="49">
        <f t="shared" si="1183"/>
        <v>22.18</v>
      </c>
      <c r="N2766" s="41">
        <v>9.18</v>
      </c>
      <c r="O2766" s="61"/>
      <c r="P2766" s="65"/>
      <c r="Q2766" s="65"/>
      <c r="R2766" s="58" t="s">
        <v>1017</v>
      </c>
      <c r="T2766" s="65"/>
      <c r="U2766" s="65"/>
      <c r="W2766" s="65"/>
      <c r="Z2766" s="65"/>
      <c r="AA2766" s="53" t="s">
        <v>1017</v>
      </c>
      <c r="AD2766" s="53" t="s">
        <v>1017</v>
      </c>
    </row>
    <row r="2767" spans="1:30" s="12" customFormat="1" x14ac:dyDescent="0.25">
      <c r="A2767" s="610" t="s">
        <v>727</v>
      </c>
      <c r="B2767" s="17" t="s">
        <v>5548</v>
      </c>
      <c r="C2767" s="17" t="s">
        <v>5405</v>
      </c>
      <c r="D2767" s="17" t="s">
        <v>4384</v>
      </c>
      <c r="E2767" s="17" t="s">
        <v>4812</v>
      </c>
      <c r="F2767" s="454">
        <v>25.18</v>
      </c>
      <c r="G2767" s="529">
        <v>25.18</v>
      </c>
      <c r="H2767" s="487">
        <f t="shared" si="1181"/>
        <v>20.14</v>
      </c>
      <c r="I2767" s="706"/>
      <c r="J2767" s="669" t="s">
        <v>5805</v>
      </c>
      <c r="K2767" s="23"/>
      <c r="L2767" s="70" t="str">
        <f t="shared" si="1182"/>
        <v/>
      </c>
      <c r="M2767" s="49">
        <f t="shared" si="1183"/>
        <v>25.18</v>
      </c>
      <c r="N2767" s="41">
        <v>9.18</v>
      </c>
      <c r="O2767" s="43" t="s">
        <v>1017</v>
      </c>
      <c r="P2767" s="65"/>
      <c r="Q2767" s="65"/>
      <c r="R2767" s="58" t="s">
        <v>1017</v>
      </c>
      <c r="T2767" s="65"/>
      <c r="U2767" s="65"/>
      <c r="W2767" s="65"/>
      <c r="Z2767" s="65"/>
      <c r="AA2767" s="53" t="s">
        <v>1017</v>
      </c>
      <c r="AD2767" s="53" t="s">
        <v>1017</v>
      </c>
    </row>
    <row r="2768" spans="1:30" s="12" customFormat="1" x14ac:dyDescent="0.25">
      <c r="A2768" s="610" t="s">
        <v>3311</v>
      </c>
      <c r="B2768" s="17" t="s">
        <v>5548</v>
      </c>
      <c r="C2768" s="17" t="s">
        <v>5405</v>
      </c>
      <c r="D2768" s="17" t="s">
        <v>5408</v>
      </c>
      <c r="E2768" s="17" t="s">
        <v>4810</v>
      </c>
      <c r="F2768" s="454">
        <v>8.25</v>
      </c>
      <c r="G2768" s="529">
        <v>8.25</v>
      </c>
      <c r="H2768" s="487">
        <f t="shared" ref="H2768:H2792" si="1184">IF(ISNUMBER(G2768),ROUND(0.8*G2768,2),"")</f>
        <v>6.6</v>
      </c>
      <c r="I2768" s="706"/>
      <c r="J2768" s="669" t="s">
        <v>5805</v>
      </c>
      <c r="K2768" s="23"/>
      <c r="L2768" s="70" t="str">
        <f t="shared" ref="L2768:L2792" si="1185">IF(F2768=M2768,"",FALSE)</f>
        <v/>
      </c>
      <c r="M2768" s="49">
        <f t="shared" ref="M2768:M2792" si="1186">N2768+SUMIF(O2768:AD2768,"x",O$2575:AD$2575)</f>
        <v>8.25</v>
      </c>
      <c r="N2768" s="41">
        <v>8.25</v>
      </c>
      <c r="O2768" s="61"/>
      <c r="P2768" s="65"/>
      <c r="Q2768" s="65"/>
      <c r="R2768" s="75"/>
      <c r="S2768" s="65"/>
      <c r="V2768" s="65"/>
      <c r="W2768" s="65"/>
      <c r="X2768" s="65"/>
      <c r="Y2768" s="65"/>
      <c r="Z2768" s="65"/>
      <c r="AA2768" s="67"/>
      <c r="AD2768" s="53"/>
    </row>
    <row r="2769" spans="1:30" s="12" customFormat="1" x14ac:dyDescent="0.25">
      <c r="A2769" s="610" t="s">
        <v>3312</v>
      </c>
      <c r="B2769" s="17" t="s">
        <v>5548</v>
      </c>
      <c r="C2769" s="17" t="s">
        <v>5405</v>
      </c>
      <c r="D2769" s="17" t="s">
        <v>2904</v>
      </c>
      <c r="E2769" s="17" t="s">
        <v>4812</v>
      </c>
      <c r="F2769" s="454">
        <v>11.25</v>
      </c>
      <c r="G2769" s="529">
        <v>11.25</v>
      </c>
      <c r="H2769" s="487">
        <f t="shared" si="1184"/>
        <v>9</v>
      </c>
      <c r="I2769" s="706"/>
      <c r="J2769" s="669" t="s">
        <v>5805</v>
      </c>
      <c r="K2769" s="23"/>
      <c r="L2769" s="70" t="str">
        <f t="shared" si="1185"/>
        <v/>
      </c>
      <c r="M2769" s="49">
        <f t="shared" si="1186"/>
        <v>11.25</v>
      </c>
      <c r="N2769" s="41">
        <v>8.25</v>
      </c>
      <c r="O2769" s="43" t="s">
        <v>1017</v>
      </c>
      <c r="P2769" s="65"/>
      <c r="Q2769" s="65"/>
      <c r="R2769" s="75"/>
      <c r="S2769" s="65"/>
      <c r="V2769" s="65"/>
      <c r="W2769" s="65"/>
      <c r="X2769" s="65"/>
      <c r="Y2769" s="65"/>
      <c r="Z2769" s="65"/>
      <c r="AA2769" s="67"/>
      <c r="AD2769" s="53"/>
    </row>
    <row r="2770" spans="1:30" s="12" customFormat="1" x14ac:dyDescent="0.25">
      <c r="A2770" s="610" t="s">
        <v>3330</v>
      </c>
      <c r="B2770" s="17" t="s">
        <v>5548</v>
      </c>
      <c r="C2770" s="17" t="s">
        <v>5405</v>
      </c>
      <c r="D2770" s="17" t="s">
        <v>598</v>
      </c>
      <c r="E2770" s="17" t="s">
        <v>4810</v>
      </c>
      <c r="F2770" s="454">
        <v>12.25</v>
      </c>
      <c r="G2770" s="529">
        <v>12.25</v>
      </c>
      <c r="H2770" s="487">
        <f t="shared" si="1184"/>
        <v>9.8000000000000007</v>
      </c>
      <c r="I2770" s="706"/>
      <c r="J2770" s="669" t="s">
        <v>5805</v>
      </c>
      <c r="K2770" s="23"/>
      <c r="L2770" s="70" t="str">
        <f t="shared" si="1185"/>
        <v/>
      </c>
      <c r="M2770" s="49">
        <f t="shared" si="1186"/>
        <v>12.25</v>
      </c>
      <c r="N2770" s="41">
        <v>8.25</v>
      </c>
      <c r="O2770" s="61"/>
      <c r="P2770" s="65"/>
      <c r="Q2770" s="65"/>
      <c r="R2770" s="75"/>
      <c r="S2770" s="65"/>
      <c r="T2770" s="12" t="s">
        <v>1017</v>
      </c>
      <c r="V2770" s="65"/>
      <c r="W2770" s="65"/>
      <c r="X2770" s="65"/>
      <c r="Y2770" s="65"/>
      <c r="Z2770" s="65"/>
      <c r="AA2770" s="67"/>
      <c r="AD2770" s="53"/>
    </row>
    <row r="2771" spans="1:30" s="12" customFormat="1" x14ac:dyDescent="0.25">
      <c r="A2771" s="610" t="s">
        <v>3331</v>
      </c>
      <c r="B2771" s="17" t="s">
        <v>5548</v>
      </c>
      <c r="C2771" s="17" t="s">
        <v>5405</v>
      </c>
      <c r="D2771" s="17" t="s">
        <v>3202</v>
      </c>
      <c r="E2771" s="17" t="s">
        <v>4812</v>
      </c>
      <c r="F2771" s="454">
        <v>15.25</v>
      </c>
      <c r="G2771" s="529">
        <v>15.25</v>
      </c>
      <c r="H2771" s="487">
        <f t="shared" si="1184"/>
        <v>12.2</v>
      </c>
      <c r="I2771" s="706"/>
      <c r="J2771" s="669" t="s">
        <v>5805</v>
      </c>
      <c r="K2771" s="23"/>
      <c r="L2771" s="70" t="str">
        <f t="shared" si="1185"/>
        <v/>
      </c>
      <c r="M2771" s="49">
        <f t="shared" si="1186"/>
        <v>15.25</v>
      </c>
      <c r="N2771" s="41">
        <v>8.25</v>
      </c>
      <c r="O2771" s="43" t="s">
        <v>1017</v>
      </c>
      <c r="P2771" s="65"/>
      <c r="Q2771" s="65"/>
      <c r="R2771" s="75"/>
      <c r="S2771" s="65"/>
      <c r="T2771" s="12" t="s">
        <v>1017</v>
      </c>
      <c r="V2771" s="65"/>
      <c r="W2771" s="65"/>
      <c r="X2771" s="65"/>
      <c r="Y2771" s="65"/>
      <c r="Z2771" s="65"/>
      <c r="AA2771" s="67"/>
      <c r="AD2771" s="53"/>
    </row>
    <row r="2772" spans="1:30" s="12" customFormat="1" x14ac:dyDescent="0.25">
      <c r="A2772" s="610" t="s">
        <v>3332</v>
      </c>
      <c r="B2772" s="17" t="s">
        <v>5548</v>
      </c>
      <c r="C2772" s="17" t="s">
        <v>5405</v>
      </c>
      <c r="D2772" s="17" t="s">
        <v>599</v>
      </c>
      <c r="E2772" s="17" t="s">
        <v>4810</v>
      </c>
      <c r="F2772" s="454">
        <v>10.75</v>
      </c>
      <c r="G2772" s="529">
        <v>10.75</v>
      </c>
      <c r="H2772" s="487">
        <f t="shared" si="1184"/>
        <v>8.6</v>
      </c>
      <c r="I2772" s="706"/>
      <c r="J2772" s="669" t="s">
        <v>5805</v>
      </c>
      <c r="K2772" s="23"/>
      <c r="L2772" s="70" t="str">
        <f t="shared" si="1185"/>
        <v/>
      </c>
      <c r="M2772" s="49">
        <f t="shared" si="1186"/>
        <v>10.75</v>
      </c>
      <c r="N2772" s="41">
        <v>8.25</v>
      </c>
      <c r="O2772" s="61"/>
      <c r="P2772" s="65"/>
      <c r="Q2772" s="65"/>
      <c r="R2772" s="75"/>
      <c r="S2772" s="65"/>
      <c r="U2772" s="12" t="s">
        <v>1017</v>
      </c>
      <c r="V2772" s="65"/>
      <c r="W2772" s="65"/>
      <c r="X2772" s="65"/>
      <c r="Y2772" s="65"/>
      <c r="Z2772" s="65"/>
      <c r="AA2772" s="67"/>
      <c r="AD2772" s="53"/>
    </row>
    <row r="2773" spans="1:30" s="12" customFormat="1" x14ac:dyDescent="0.25">
      <c r="A2773" s="610" t="s">
        <v>3333</v>
      </c>
      <c r="B2773" s="17" t="s">
        <v>5548</v>
      </c>
      <c r="C2773" s="17" t="s">
        <v>5405</v>
      </c>
      <c r="D2773" s="17" t="s">
        <v>3203</v>
      </c>
      <c r="E2773" s="17" t="s">
        <v>4812</v>
      </c>
      <c r="F2773" s="454">
        <v>13.75</v>
      </c>
      <c r="G2773" s="529">
        <v>13.75</v>
      </c>
      <c r="H2773" s="487">
        <f t="shared" si="1184"/>
        <v>11</v>
      </c>
      <c r="I2773" s="706"/>
      <c r="J2773" s="669" t="s">
        <v>5805</v>
      </c>
      <c r="K2773" s="23"/>
      <c r="L2773" s="70" t="str">
        <f t="shared" si="1185"/>
        <v/>
      </c>
      <c r="M2773" s="49">
        <f t="shared" si="1186"/>
        <v>13.75</v>
      </c>
      <c r="N2773" s="41">
        <v>8.25</v>
      </c>
      <c r="O2773" s="43" t="s">
        <v>1017</v>
      </c>
      <c r="P2773" s="65"/>
      <c r="Q2773" s="65"/>
      <c r="R2773" s="75"/>
      <c r="S2773" s="65"/>
      <c r="U2773" s="12" t="s">
        <v>1017</v>
      </c>
      <c r="V2773" s="65"/>
      <c r="W2773" s="65"/>
      <c r="X2773" s="65"/>
      <c r="Y2773" s="65"/>
      <c r="Z2773" s="65"/>
      <c r="AA2773" s="67"/>
      <c r="AD2773" s="53"/>
    </row>
    <row r="2774" spans="1:30" s="12" customFormat="1" x14ac:dyDescent="0.25">
      <c r="A2774" s="610" t="s">
        <v>3318</v>
      </c>
      <c r="B2774" s="17" t="s">
        <v>5548</v>
      </c>
      <c r="C2774" s="17" t="s">
        <v>5405</v>
      </c>
      <c r="D2774" s="17" t="s">
        <v>2907</v>
      </c>
      <c r="E2774" s="17" t="s">
        <v>4810</v>
      </c>
      <c r="F2774" s="454">
        <v>10.25</v>
      </c>
      <c r="G2774" s="529">
        <v>10.25</v>
      </c>
      <c r="H2774" s="487">
        <f t="shared" si="1184"/>
        <v>8.1999999999999993</v>
      </c>
      <c r="I2774" s="706"/>
      <c r="J2774" s="669" t="s">
        <v>5805</v>
      </c>
      <c r="K2774" s="23"/>
      <c r="L2774" s="70" t="str">
        <f t="shared" si="1185"/>
        <v/>
      </c>
      <c r="M2774" s="49">
        <f t="shared" si="1186"/>
        <v>10.25</v>
      </c>
      <c r="N2774" s="41">
        <v>8.25</v>
      </c>
      <c r="O2774" s="61"/>
      <c r="P2774" s="65"/>
      <c r="Q2774" s="65"/>
      <c r="R2774" s="75"/>
      <c r="S2774" s="65"/>
      <c r="V2774" s="65"/>
      <c r="W2774" s="65"/>
      <c r="X2774" s="65"/>
      <c r="Y2774" s="65"/>
      <c r="Z2774" s="65"/>
      <c r="AA2774" s="67"/>
      <c r="AB2774" s="12" t="s">
        <v>1017</v>
      </c>
      <c r="AD2774" s="53"/>
    </row>
    <row r="2775" spans="1:30" s="12" customFormat="1" x14ac:dyDescent="0.25">
      <c r="A2775" s="610" t="s">
        <v>3319</v>
      </c>
      <c r="B2775" s="17" t="s">
        <v>5548</v>
      </c>
      <c r="C2775" s="17" t="s">
        <v>5405</v>
      </c>
      <c r="D2775" s="17" t="s">
        <v>3196</v>
      </c>
      <c r="E2775" s="17" t="s">
        <v>4812</v>
      </c>
      <c r="F2775" s="454">
        <v>13.25</v>
      </c>
      <c r="G2775" s="529">
        <v>13.25</v>
      </c>
      <c r="H2775" s="487">
        <f t="shared" si="1184"/>
        <v>10.6</v>
      </c>
      <c r="I2775" s="706"/>
      <c r="J2775" s="669" t="s">
        <v>5805</v>
      </c>
      <c r="K2775" s="23"/>
      <c r="L2775" s="70" t="str">
        <f t="shared" si="1185"/>
        <v/>
      </c>
      <c r="M2775" s="49">
        <f t="shared" si="1186"/>
        <v>13.25</v>
      </c>
      <c r="N2775" s="41">
        <v>8.25</v>
      </c>
      <c r="O2775" s="43" t="s">
        <v>1017</v>
      </c>
      <c r="P2775" s="65"/>
      <c r="Q2775" s="65"/>
      <c r="R2775" s="75"/>
      <c r="S2775" s="65"/>
      <c r="V2775" s="65"/>
      <c r="W2775" s="65"/>
      <c r="X2775" s="65"/>
      <c r="Y2775" s="65"/>
      <c r="Z2775" s="65"/>
      <c r="AA2775" s="67"/>
      <c r="AB2775" s="12" t="s">
        <v>1017</v>
      </c>
      <c r="AD2775" s="53"/>
    </row>
    <row r="2776" spans="1:30" s="12" customFormat="1" x14ac:dyDescent="0.25">
      <c r="A2776" s="610" t="s">
        <v>4317</v>
      </c>
      <c r="B2776" s="17" t="s">
        <v>5548</v>
      </c>
      <c r="C2776" s="17" t="s">
        <v>5405</v>
      </c>
      <c r="D2776" s="17" t="s">
        <v>3290</v>
      </c>
      <c r="E2776" s="17" t="s">
        <v>4810</v>
      </c>
      <c r="F2776" s="454">
        <v>14.25</v>
      </c>
      <c r="G2776" s="529">
        <v>14.25</v>
      </c>
      <c r="H2776" s="487">
        <f t="shared" si="1184"/>
        <v>11.4</v>
      </c>
      <c r="I2776" s="706"/>
      <c r="J2776" s="669" t="s">
        <v>5805</v>
      </c>
      <c r="K2776" s="23"/>
      <c r="L2776" s="70" t="str">
        <f t="shared" si="1185"/>
        <v/>
      </c>
      <c r="M2776" s="49">
        <f t="shared" si="1186"/>
        <v>14.25</v>
      </c>
      <c r="N2776" s="41">
        <v>8.25</v>
      </c>
      <c r="O2776" s="61"/>
      <c r="P2776" s="65"/>
      <c r="Q2776" s="65"/>
      <c r="R2776" s="75"/>
      <c r="S2776" s="65"/>
      <c r="T2776" s="12" t="s">
        <v>1017</v>
      </c>
      <c r="V2776" s="65"/>
      <c r="W2776" s="65"/>
      <c r="X2776" s="65"/>
      <c r="Y2776" s="65"/>
      <c r="Z2776" s="65"/>
      <c r="AA2776" s="67"/>
      <c r="AB2776" s="12" t="s">
        <v>1017</v>
      </c>
      <c r="AD2776" s="53"/>
    </row>
    <row r="2777" spans="1:30" s="12" customFormat="1" x14ac:dyDescent="0.25">
      <c r="A2777" s="610" t="s">
        <v>4318</v>
      </c>
      <c r="B2777" s="17" t="s">
        <v>5548</v>
      </c>
      <c r="C2777" s="17" t="s">
        <v>5405</v>
      </c>
      <c r="D2777" s="17" t="s">
        <v>5561</v>
      </c>
      <c r="E2777" s="17" t="s">
        <v>4812</v>
      </c>
      <c r="F2777" s="454">
        <v>17.25</v>
      </c>
      <c r="G2777" s="529">
        <v>17.25</v>
      </c>
      <c r="H2777" s="487">
        <f t="shared" si="1184"/>
        <v>13.8</v>
      </c>
      <c r="I2777" s="706"/>
      <c r="J2777" s="669" t="s">
        <v>5805</v>
      </c>
      <c r="K2777" s="23"/>
      <c r="L2777" s="70" t="str">
        <f t="shared" si="1185"/>
        <v/>
      </c>
      <c r="M2777" s="49">
        <f t="shared" si="1186"/>
        <v>17.25</v>
      </c>
      <c r="N2777" s="41">
        <v>8.25</v>
      </c>
      <c r="O2777" s="43" t="s">
        <v>1017</v>
      </c>
      <c r="P2777" s="65"/>
      <c r="Q2777" s="65"/>
      <c r="R2777" s="75"/>
      <c r="S2777" s="65"/>
      <c r="T2777" s="12" t="s">
        <v>1017</v>
      </c>
      <c r="V2777" s="65"/>
      <c r="W2777" s="65"/>
      <c r="X2777" s="65"/>
      <c r="Y2777" s="65"/>
      <c r="Z2777" s="65"/>
      <c r="AA2777" s="67"/>
      <c r="AB2777" s="12" t="s">
        <v>1017</v>
      </c>
      <c r="AD2777" s="53"/>
    </row>
    <row r="2778" spans="1:30" s="12" customFormat="1" x14ac:dyDescent="0.25">
      <c r="A2778" s="610" t="s">
        <v>4319</v>
      </c>
      <c r="B2778" s="17" t="s">
        <v>5548</v>
      </c>
      <c r="C2778" s="17" t="s">
        <v>5405</v>
      </c>
      <c r="D2778" s="17" t="s">
        <v>2366</v>
      </c>
      <c r="E2778" s="17" t="s">
        <v>4810</v>
      </c>
      <c r="F2778" s="454">
        <v>12.75</v>
      </c>
      <c r="G2778" s="529">
        <v>12.75</v>
      </c>
      <c r="H2778" s="487">
        <f t="shared" si="1184"/>
        <v>10.199999999999999</v>
      </c>
      <c r="I2778" s="706"/>
      <c r="J2778" s="669" t="s">
        <v>5805</v>
      </c>
      <c r="K2778" s="23"/>
      <c r="L2778" s="70" t="str">
        <f t="shared" si="1185"/>
        <v/>
      </c>
      <c r="M2778" s="49">
        <f t="shared" si="1186"/>
        <v>12.75</v>
      </c>
      <c r="N2778" s="41">
        <v>8.25</v>
      </c>
      <c r="O2778" s="61"/>
      <c r="P2778" s="65"/>
      <c r="Q2778" s="65"/>
      <c r="R2778" s="75"/>
      <c r="S2778" s="65"/>
      <c r="U2778" s="12" t="s">
        <v>1017</v>
      </c>
      <c r="V2778" s="65"/>
      <c r="W2778" s="65"/>
      <c r="X2778" s="65"/>
      <c r="Y2778" s="65"/>
      <c r="Z2778" s="65"/>
      <c r="AA2778" s="67"/>
      <c r="AB2778" s="12" t="s">
        <v>1017</v>
      </c>
      <c r="AD2778" s="53"/>
    </row>
    <row r="2779" spans="1:30" s="12" customFormat="1" x14ac:dyDescent="0.25">
      <c r="A2779" s="610" t="s">
        <v>4320</v>
      </c>
      <c r="B2779" s="17" t="s">
        <v>5548</v>
      </c>
      <c r="C2779" s="17" t="s">
        <v>5405</v>
      </c>
      <c r="D2779" s="17" t="s">
        <v>5562</v>
      </c>
      <c r="E2779" s="17" t="s">
        <v>4812</v>
      </c>
      <c r="F2779" s="454">
        <v>15.75</v>
      </c>
      <c r="G2779" s="529">
        <v>15.75</v>
      </c>
      <c r="H2779" s="487">
        <f t="shared" si="1184"/>
        <v>12.6</v>
      </c>
      <c r="I2779" s="706"/>
      <c r="J2779" s="669" t="s">
        <v>5805</v>
      </c>
      <c r="K2779" s="23"/>
      <c r="L2779" s="70" t="str">
        <f t="shared" si="1185"/>
        <v/>
      </c>
      <c r="M2779" s="49">
        <f t="shared" si="1186"/>
        <v>15.75</v>
      </c>
      <c r="N2779" s="41">
        <v>8.25</v>
      </c>
      <c r="O2779" s="43" t="s">
        <v>1017</v>
      </c>
      <c r="P2779" s="65"/>
      <c r="Q2779" s="65"/>
      <c r="R2779" s="75"/>
      <c r="S2779" s="65"/>
      <c r="U2779" s="12" t="s">
        <v>1017</v>
      </c>
      <c r="V2779" s="65"/>
      <c r="W2779" s="65"/>
      <c r="X2779" s="65"/>
      <c r="Y2779" s="65"/>
      <c r="Z2779" s="65"/>
      <c r="AA2779" s="67"/>
      <c r="AB2779" s="12" t="s">
        <v>1017</v>
      </c>
      <c r="AD2779" s="53"/>
    </row>
    <row r="2780" spans="1:30" s="12" customFormat="1" x14ac:dyDescent="0.25">
      <c r="A2780" s="610" t="s">
        <v>3324</v>
      </c>
      <c r="B2780" s="17" t="s">
        <v>5548</v>
      </c>
      <c r="C2780" s="17" t="s">
        <v>5405</v>
      </c>
      <c r="D2780" s="17" t="s">
        <v>594</v>
      </c>
      <c r="E2780" s="17" t="s">
        <v>4810</v>
      </c>
      <c r="F2780" s="454">
        <v>9.25</v>
      </c>
      <c r="G2780" s="529">
        <v>9.25</v>
      </c>
      <c r="H2780" s="487">
        <f t="shared" si="1184"/>
        <v>7.4</v>
      </c>
      <c r="I2780" s="706"/>
      <c r="J2780" s="669" t="s">
        <v>5805</v>
      </c>
      <c r="K2780" s="23"/>
      <c r="L2780" s="70" t="str">
        <f t="shared" si="1185"/>
        <v/>
      </c>
      <c r="M2780" s="49">
        <f t="shared" si="1186"/>
        <v>9.25</v>
      </c>
      <c r="N2780" s="41">
        <v>8.25</v>
      </c>
      <c r="O2780" s="61"/>
      <c r="P2780" s="65"/>
      <c r="Q2780" s="65"/>
      <c r="R2780" s="75"/>
      <c r="S2780" s="65"/>
      <c r="V2780" s="65"/>
      <c r="W2780" s="65"/>
      <c r="X2780" s="65"/>
      <c r="Y2780" s="65"/>
      <c r="Z2780" s="65"/>
      <c r="AA2780" s="67"/>
      <c r="AC2780" s="12" t="s">
        <v>1017</v>
      </c>
      <c r="AD2780" s="53"/>
    </row>
    <row r="2781" spans="1:30" s="12" customFormat="1" x14ac:dyDescent="0.25">
      <c r="A2781" s="610" t="s">
        <v>3325</v>
      </c>
      <c r="B2781" s="17" t="s">
        <v>5548</v>
      </c>
      <c r="C2781" s="17" t="s">
        <v>5405</v>
      </c>
      <c r="D2781" s="17" t="s">
        <v>3198</v>
      </c>
      <c r="E2781" s="17" t="s">
        <v>4812</v>
      </c>
      <c r="F2781" s="454">
        <v>12.25</v>
      </c>
      <c r="G2781" s="529">
        <v>12.25</v>
      </c>
      <c r="H2781" s="487">
        <f t="shared" si="1184"/>
        <v>9.8000000000000007</v>
      </c>
      <c r="I2781" s="706"/>
      <c r="J2781" s="669" t="s">
        <v>5805</v>
      </c>
      <c r="K2781" s="23"/>
      <c r="L2781" s="70" t="str">
        <f t="shared" si="1185"/>
        <v/>
      </c>
      <c r="M2781" s="49">
        <f t="shared" si="1186"/>
        <v>12.25</v>
      </c>
      <c r="N2781" s="41">
        <v>8.25</v>
      </c>
      <c r="O2781" s="43" t="s">
        <v>1017</v>
      </c>
      <c r="P2781" s="65"/>
      <c r="Q2781" s="65"/>
      <c r="R2781" s="75"/>
      <c r="S2781" s="65"/>
      <c r="V2781" s="65"/>
      <c r="W2781" s="65"/>
      <c r="X2781" s="65"/>
      <c r="Y2781" s="65"/>
      <c r="Z2781" s="65"/>
      <c r="AA2781" s="67"/>
      <c r="AC2781" s="12" t="s">
        <v>1017</v>
      </c>
      <c r="AD2781" s="53"/>
    </row>
    <row r="2782" spans="1:30" s="12" customFormat="1" x14ac:dyDescent="0.25">
      <c r="A2782" s="610" t="s">
        <v>1048</v>
      </c>
      <c r="B2782" s="17" t="s">
        <v>5548</v>
      </c>
      <c r="C2782" s="17" t="s">
        <v>5405</v>
      </c>
      <c r="D2782" s="17" t="s">
        <v>3294</v>
      </c>
      <c r="E2782" s="17" t="s">
        <v>4810</v>
      </c>
      <c r="F2782" s="454">
        <v>13.25</v>
      </c>
      <c r="G2782" s="529">
        <v>13.25</v>
      </c>
      <c r="H2782" s="487">
        <f t="shared" si="1184"/>
        <v>10.6</v>
      </c>
      <c r="I2782" s="706"/>
      <c r="J2782" s="669" t="s">
        <v>5805</v>
      </c>
      <c r="K2782" s="23"/>
      <c r="L2782" s="70" t="str">
        <f t="shared" si="1185"/>
        <v/>
      </c>
      <c r="M2782" s="49">
        <f t="shared" si="1186"/>
        <v>13.25</v>
      </c>
      <c r="N2782" s="41">
        <v>8.25</v>
      </c>
      <c r="O2782" s="61"/>
      <c r="P2782" s="65"/>
      <c r="Q2782" s="65"/>
      <c r="R2782" s="75"/>
      <c r="S2782" s="65"/>
      <c r="T2782" s="12" t="s">
        <v>1017</v>
      </c>
      <c r="V2782" s="65"/>
      <c r="W2782" s="65"/>
      <c r="X2782" s="65"/>
      <c r="Y2782" s="65"/>
      <c r="Z2782" s="65"/>
      <c r="AA2782" s="67"/>
      <c r="AC2782" s="12" t="s">
        <v>1017</v>
      </c>
      <c r="AD2782" s="53"/>
    </row>
    <row r="2783" spans="1:30" s="12" customFormat="1" x14ac:dyDescent="0.25">
      <c r="A2783" s="610" t="s">
        <v>1049</v>
      </c>
      <c r="B2783" s="17" t="s">
        <v>5548</v>
      </c>
      <c r="C2783" s="17" t="s">
        <v>5405</v>
      </c>
      <c r="D2783" s="17" t="s">
        <v>5570</v>
      </c>
      <c r="E2783" s="17" t="s">
        <v>4812</v>
      </c>
      <c r="F2783" s="454">
        <v>16.25</v>
      </c>
      <c r="G2783" s="529">
        <v>16.25</v>
      </c>
      <c r="H2783" s="487">
        <f t="shared" si="1184"/>
        <v>13</v>
      </c>
      <c r="I2783" s="706"/>
      <c r="J2783" s="669" t="s">
        <v>5805</v>
      </c>
      <c r="K2783" s="23"/>
      <c r="L2783" s="70" t="str">
        <f t="shared" si="1185"/>
        <v/>
      </c>
      <c r="M2783" s="49">
        <f t="shared" si="1186"/>
        <v>16.25</v>
      </c>
      <c r="N2783" s="41">
        <v>8.25</v>
      </c>
      <c r="O2783" s="43" t="s">
        <v>1017</v>
      </c>
      <c r="P2783" s="65"/>
      <c r="Q2783" s="65"/>
      <c r="R2783" s="75"/>
      <c r="S2783" s="65"/>
      <c r="T2783" s="12" t="s">
        <v>1017</v>
      </c>
      <c r="V2783" s="65"/>
      <c r="W2783" s="65"/>
      <c r="X2783" s="65"/>
      <c r="Y2783" s="65"/>
      <c r="Z2783" s="65"/>
      <c r="AA2783" s="67"/>
      <c r="AC2783" s="12" t="s">
        <v>1017</v>
      </c>
      <c r="AD2783" s="53"/>
    </row>
    <row r="2784" spans="1:30" s="12" customFormat="1" x14ac:dyDescent="0.25">
      <c r="A2784" s="610" t="s">
        <v>1050</v>
      </c>
      <c r="B2784" s="17" t="s">
        <v>5548</v>
      </c>
      <c r="C2784" s="17" t="s">
        <v>5405</v>
      </c>
      <c r="D2784" s="17" t="s">
        <v>2367</v>
      </c>
      <c r="E2784" s="17" t="s">
        <v>4810</v>
      </c>
      <c r="F2784" s="454">
        <v>11.75</v>
      </c>
      <c r="G2784" s="529">
        <v>11.75</v>
      </c>
      <c r="H2784" s="487">
        <f t="shared" si="1184"/>
        <v>9.4</v>
      </c>
      <c r="I2784" s="706"/>
      <c r="J2784" s="669" t="s">
        <v>5805</v>
      </c>
      <c r="K2784" s="23"/>
      <c r="L2784" s="70" t="str">
        <f t="shared" si="1185"/>
        <v/>
      </c>
      <c r="M2784" s="49">
        <f t="shared" si="1186"/>
        <v>11.75</v>
      </c>
      <c r="N2784" s="41">
        <v>8.25</v>
      </c>
      <c r="O2784" s="61"/>
      <c r="P2784" s="65"/>
      <c r="Q2784" s="65"/>
      <c r="R2784" s="75"/>
      <c r="S2784" s="65"/>
      <c r="U2784" s="12" t="s">
        <v>1017</v>
      </c>
      <c r="V2784" s="65"/>
      <c r="W2784" s="65"/>
      <c r="X2784" s="65"/>
      <c r="Y2784" s="65"/>
      <c r="Z2784" s="65"/>
      <c r="AA2784" s="67"/>
      <c r="AC2784" s="12" t="s">
        <v>1017</v>
      </c>
      <c r="AD2784" s="53"/>
    </row>
    <row r="2785" spans="1:31" s="12" customFormat="1" x14ac:dyDescent="0.25">
      <c r="A2785" s="610" t="s">
        <v>1051</v>
      </c>
      <c r="B2785" s="17" t="s">
        <v>5548</v>
      </c>
      <c r="C2785" s="17" t="s">
        <v>5405</v>
      </c>
      <c r="D2785" s="17" t="s">
        <v>2646</v>
      </c>
      <c r="E2785" s="17" t="s">
        <v>4812</v>
      </c>
      <c r="F2785" s="454">
        <v>14.75</v>
      </c>
      <c r="G2785" s="529">
        <v>14.75</v>
      </c>
      <c r="H2785" s="487">
        <f t="shared" si="1184"/>
        <v>11.8</v>
      </c>
      <c r="I2785" s="706"/>
      <c r="J2785" s="669" t="s">
        <v>5805</v>
      </c>
      <c r="K2785" s="23"/>
      <c r="L2785" s="70" t="str">
        <f t="shared" si="1185"/>
        <v/>
      </c>
      <c r="M2785" s="49">
        <f t="shared" si="1186"/>
        <v>14.75</v>
      </c>
      <c r="N2785" s="41">
        <v>8.25</v>
      </c>
      <c r="O2785" s="43" t="s">
        <v>1017</v>
      </c>
      <c r="P2785" s="65"/>
      <c r="Q2785" s="65"/>
      <c r="R2785" s="75"/>
      <c r="S2785" s="65"/>
      <c r="U2785" s="12" t="s">
        <v>1017</v>
      </c>
      <c r="V2785" s="65"/>
      <c r="W2785" s="65"/>
      <c r="X2785" s="65"/>
      <c r="Y2785" s="65"/>
      <c r="Z2785" s="65"/>
      <c r="AA2785" s="67"/>
      <c r="AC2785" s="12" t="s">
        <v>1017</v>
      </c>
      <c r="AD2785" s="53"/>
    </row>
    <row r="2786" spans="1:31" s="12" customFormat="1" x14ac:dyDescent="0.25">
      <c r="A2786" s="610" t="s">
        <v>728</v>
      </c>
      <c r="B2786" s="17" t="s">
        <v>5548</v>
      </c>
      <c r="C2786" s="17" t="s">
        <v>5405</v>
      </c>
      <c r="D2786" s="17" t="s">
        <v>596</v>
      </c>
      <c r="E2786" s="17" t="s">
        <v>4810</v>
      </c>
      <c r="F2786" s="454">
        <v>10.25</v>
      </c>
      <c r="G2786" s="529">
        <v>10.25</v>
      </c>
      <c r="H2786" s="487">
        <f t="shared" si="1184"/>
        <v>8.1999999999999993</v>
      </c>
      <c r="I2786" s="706"/>
      <c r="J2786" s="669" t="s">
        <v>5805</v>
      </c>
      <c r="K2786" s="23"/>
      <c r="L2786" s="70" t="str">
        <f t="shared" si="1185"/>
        <v/>
      </c>
      <c r="M2786" s="49">
        <f t="shared" si="1186"/>
        <v>10.25</v>
      </c>
      <c r="N2786" s="41">
        <v>8.25</v>
      </c>
      <c r="O2786" s="61"/>
      <c r="P2786" s="65"/>
      <c r="Q2786" s="65"/>
      <c r="R2786" s="75"/>
      <c r="S2786" s="65"/>
      <c r="V2786" s="65"/>
      <c r="W2786" s="65"/>
      <c r="X2786" s="65"/>
      <c r="Y2786" s="65"/>
      <c r="Z2786" s="65"/>
      <c r="AA2786" s="67"/>
      <c r="AD2786" s="53" t="s">
        <v>1017</v>
      </c>
    </row>
    <row r="2787" spans="1:31" s="12" customFormat="1" x14ac:dyDescent="0.25">
      <c r="A2787" s="610" t="s">
        <v>729</v>
      </c>
      <c r="B2787" s="17" t="s">
        <v>5548</v>
      </c>
      <c r="C2787" s="17" t="s">
        <v>5405</v>
      </c>
      <c r="D2787" s="17" t="s">
        <v>3200</v>
      </c>
      <c r="E2787" s="17" t="s">
        <v>4812</v>
      </c>
      <c r="F2787" s="454">
        <v>13.25</v>
      </c>
      <c r="G2787" s="529">
        <v>13.25</v>
      </c>
      <c r="H2787" s="487">
        <f t="shared" si="1184"/>
        <v>10.6</v>
      </c>
      <c r="I2787" s="706"/>
      <c r="J2787" s="669" t="s">
        <v>5805</v>
      </c>
      <c r="K2787" s="23"/>
      <c r="L2787" s="70" t="str">
        <f t="shared" si="1185"/>
        <v/>
      </c>
      <c r="M2787" s="49">
        <f t="shared" si="1186"/>
        <v>13.25</v>
      </c>
      <c r="N2787" s="41">
        <v>8.25</v>
      </c>
      <c r="O2787" s="43" t="s">
        <v>1017</v>
      </c>
      <c r="P2787" s="65"/>
      <c r="Q2787" s="65"/>
      <c r="R2787" s="75"/>
      <c r="S2787" s="65"/>
      <c r="V2787" s="65"/>
      <c r="W2787" s="65"/>
      <c r="X2787" s="65"/>
      <c r="Y2787" s="65"/>
      <c r="Z2787" s="65"/>
      <c r="AA2787" s="67"/>
      <c r="AD2787" s="53" t="s">
        <v>1017</v>
      </c>
    </row>
    <row r="2788" spans="1:31" s="12" customFormat="1" x14ac:dyDescent="0.25">
      <c r="A2788" s="610" t="s">
        <v>730</v>
      </c>
      <c r="B2788" s="17" t="s">
        <v>5548</v>
      </c>
      <c r="C2788" s="17" t="s">
        <v>5405</v>
      </c>
      <c r="D2788" s="17" t="s">
        <v>851</v>
      </c>
      <c r="E2788" s="17" t="s">
        <v>4810</v>
      </c>
      <c r="F2788" s="454">
        <v>14.25</v>
      </c>
      <c r="G2788" s="529">
        <v>14.25</v>
      </c>
      <c r="H2788" s="487">
        <f t="shared" si="1184"/>
        <v>11.4</v>
      </c>
      <c r="I2788" s="706"/>
      <c r="J2788" s="669" t="s">
        <v>5805</v>
      </c>
      <c r="K2788" s="23"/>
      <c r="L2788" s="70" t="str">
        <f t="shared" si="1185"/>
        <v/>
      </c>
      <c r="M2788" s="49">
        <f t="shared" si="1186"/>
        <v>14.25</v>
      </c>
      <c r="N2788" s="41">
        <v>8.25</v>
      </c>
      <c r="O2788" s="61"/>
      <c r="P2788" s="65"/>
      <c r="Q2788" s="65"/>
      <c r="R2788" s="75"/>
      <c r="S2788" s="65"/>
      <c r="T2788" s="12" t="s">
        <v>1017</v>
      </c>
      <c r="V2788" s="65"/>
      <c r="W2788" s="65"/>
      <c r="X2788" s="65"/>
      <c r="Y2788" s="65"/>
      <c r="Z2788" s="65"/>
      <c r="AA2788" s="67"/>
      <c r="AD2788" s="53" t="s">
        <v>1017</v>
      </c>
    </row>
    <row r="2789" spans="1:31" s="12" customFormat="1" x14ac:dyDescent="0.25">
      <c r="A2789" s="610" t="s">
        <v>731</v>
      </c>
      <c r="B2789" s="17" t="s">
        <v>5548</v>
      </c>
      <c r="C2789" s="17" t="s">
        <v>5405</v>
      </c>
      <c r="D2789" s="17" t="s">
        <v>2654</v>
      </c>
      <c r="E2789" s="17" t="s">
        <v>4812</v>
      </c>
      <c r="F2789" s="454">
        <v>17.25</v>
      </c>
      <c r="G2789" s="529">
        <v>17.25</v>
      </c>
      <c r="H2789" s="487">
        <f t="shared" si="1184"/>
        <v>13.8</v>
      </c>
      <c r="I2789" s="706"/>
      <c r="J2789" s="669" t="s">
        <v>5805</v>
      </c>
      <c r="K2789" s="23"/>
      <c r="L2789" s="70" t="str">
        <f t="shared" si="1185"/>
        <v/>
      </c>
      <c r="M2789" s="49">
        <f t="shared" si="1186"/>
        <v>17.25</v>
      </c>
      <c r="N2789" s="41">
        <v>8.25</v>
      </c>
      <c r="O2789" s="43" t="s">
        <v>1017</v>
      </c>
      <c r="P2789" s="65"/>
      <c r="Q2789" s="65"/>
      <c r="R2789" s="75"/>
      <c r="S2789" s="65"/>
      <c r="T2789" s="12" t="s">
        <v>1017</v>
      </c>
      <c r="V2789" s="65"/>
      <c r="W2789" s="65"/>
      <c r="X2789" s="65"/>
      <c r="Y2789" s="65"/>
      <c r="Z2789" s="65"/>
      <c r="AA2789" s="67"/>
      <c r="AD2789" s="53" t="s">
        <v>1017</v>
      </c>
    </row>
    <row r="2790" spans="1:31" s="12" customFormat="1" x14ac:dyDescent="0.25">
      <c r="A2790" s="610" t="s">
        <v>732</v>
      </c>
      <c r="B2790" s="17" t="s">
        <v>5548</v>
      </c>
      <c r="C2790" s="17" t="s">
        <v>5405</v>
      </c>
      <c r="D2790" s="17" t="s">
        <v>2368</v>
      </c>
      <c r="E2790" s="17" t="s">
        <v>4810</v>
      </c>
      <c r="F2790" s="454">
        <v>12.75</v>
      </c>
      <c r="G2790" s="529">
        <v>12.75</v>
      </c>
      <c r="H2790" s="487">
        <f t="shared" si="1184"/>
        <v>10.199999999999999</v>
      </c>
      <c r="I2790" s="706"/>
      <c r="J2790" s="669" t="s">
        <v>5805</v>
      </c>
      <c r="K2790" s="23"/>
      <c r="L2790" s="70" t="str">
        <f t="shared" si="1185"/>
        <v/>
      </c>
      <c r="M2790" s="49">
        <f t="shared" si="1186"/>
        <v>12.75</v>
      </c>
      <c r="N2790" s="41">
        <v>8.25</v>
      </c>
      <c r="O2790" s="61"/>
      <c r="P2790" s="65"/>
      <c r="Q2790" s="65"/>
      <c r="R2790" s="75"/>
      <c r="S2790" s="65"/>
      <c r="U2790" s="12" t="s">
        <v>1017</v>
      </c>
      <c r="V2790" s="65"/>
      <c r="W2790" s="65"/>
      <c r="X2790" s="65"/>
      <c r="Y2790" s="65"/>
      <c r="Z2790" s="65"/>
      <c r="AA2790" s="67"/>
      <c r="AD2790" s="53" t="s">
        <v>1017</v>
      </c>
    </row>
    <row r="2791" spans="1:31" s="12" customFormat="1" x14ac:dyDescent="0.25">
      <c r="A2791" s="610" t="s">
        <v>733</v>
      </c>
      <c r="B2791" s="17" t="s">
        <v>5548</v>
      </c>
      <c r="C2791" s="17" t="s">
        <v>5405</v>
      </c>
      <c r="D2791" s="17" t="s">
        <v>2655</v>
      </c>
      <c r="E2791" s="17" t="s">
        <v>4812</v>
      </c>
      <c r="F2791" s="454">
        <v>15.75</v>
      </c>
      <c r="G2791" s="529">
        <v>15.75</v>
      </c>
      <c r="H2791" s="487">
        <f t="shared" si="1184"/>
        <v>12.6</v>
      </c>
      <c r="I2791" s="706"/>
      <c r="J2791" s="669" t="s">
        <v>5805</v>
      </c>
      <c r="K2791" s="23"/>
      <c r="L2791" s="70" t="str">
        <f t="shared" si="1185"/>
        <v/>
      </c>
      <c r="M2791" s="49">
        <f t="shared" si="1186"/>
        <v>15.75</v>
      </c>
      <c r="N2791" s="41">
        <v>8.25</v>
      </c>
      <c r="O2791" s="43" t="s">
        <v>1017</v>
      </c>
      <c r="P2791" s="65"/>
      <c r="Q2791" s="65"/>
      <c r="R2791" s="75"/>
      <c r="S2791" s="65"/>
      <c r="U2791" s="12" t="s">
        <v>1017</v>
      </c>
      <c r="V2791" s="65"/>
      <c r="W2791" s="65"/>
      <c r="X2791" s="65"/>
      <c r="Y2791" s="65"/>
      <c r="Z2791" s="65"/>
      <c r="AA2791" s="67"/>
      <c r="AD2791" s="53" t="s">
        <v>1017</v>
      </c>
    </row>
    <row r="2792" spans="1:31" s="12" customFormat="1" x14ac:dyDescent="0.25">
      <c r="A2792" s="610" t="s">
        <v>3313</v>
      </c>
      <c r="B2792" s="17" t="s">
        <v>5548</v>
      </c>
      <c r="C2792" s="17" t="s">
        <v>5405</v>
      </c>
      <c r="D2792" s="17" t="s">
        <v>2905</v>
      </c>
      <c r="E2792" s="17" t="s">
        <v>4812</v>
      </c>
      <c r="F2792" s="454">
        <v>10.79</v>
      </c>
      <c r="G2792" s="529">
        <v>10.79</v>
      </c>
      <c r="H2792" s="487">
        <f t="shared" si="1184"/>
        <v>8.6300000000000008</v>
      </c>
      <c r="I2792" s="706"/>
      <c r="J2792" s="669" t="s">
        <v>5805</v>
      </c>
      <c r="K2792" s="82"/>
      <c r="L2792" s="83" t="str">
        <f t="shared" si="1185"/>
        <v/>
      </c>
      <c r="M2792" s="59">
        <f t="shared" si="1186"/>
        <v>10.79</v>
      </c>
      <c r="N2792" s="52">
        <v>7.79</v>
      </c>
      <c r="O2792" s="84" t="s">
        <v>1017</v>
      </c>
      <c r="P2792" s="85" t="s">
        <v>775</v>
      </c>
      <c r="Q2792" s="77"/>
      <c r="R2792" s="76"/>
      <c r="S2792" s="77"/>
      <c r="T2792" s="77"/>
      <c r="U2792" s="77"/>
      <c r="V2792" s="77"/>
      <c r="W2792" s="77"/>
      <c r="X2792" s="77"/>
      <c r="Y2792" s="77"/>
      <c r="Z2792" s="77"/>
      <c r="AA2792" s="78"/>
      <c r="AB2792" s="77"/>
      <c r="AC2792" s="77"/>
      <c r="AD2792" s="78"/>
    </row>
    <row r="2793" spans="1:31" s="12" customFormat="1" x14ac:dyDescent="0.25">
      <c r="A2793" s="608"/>
      <c r="B2793" s="2"/>
      <c r="C2793" s="22"/>
      <c r="D2793" s="22"/>
      <c r="E2793" s="34"/>
      <c r="F2793" s="456"/>
      <c r="G2793" s="531"/>
      <c r="H2793" s="489"/>
      <c r="I2793" s="708"/>
      <c r="J2793" s="669" t="s">
        <v>4180</v>
      </c>
      <c r="K2793" s="29"/>
      <c r="L2793" s="29"/>
      <c r="M2793" s="29"/>
      <c r="N2793" s="29"/>
      <c r="O2793" s="15"/>
      <c r="P2793" s="23"/>
    </row>
    <row r="2794" spans="1:31" ht="17.25" customHeight="1" x14ac:dyDescent="0.25">
      <c r="A2794" s="609"/>
      <c r="B2794" s="1"/>
      <c r="C2794" s="1"/>
      <c r="D2794" s="2"/>
      <c r="E2794" s="1"/>
      <c r="F2794" s="457"/>
      <c r="G2794" s="532"/>
      <c r="H2794" s="490"/>
      <c r="I2794" s="709"/>
      <c r="J2794" s="669" t="s">
        <v>4180</v>
      </c>
      <c r="K2794" s="29"/>
      <c r="M2794" s="68" t="s">
        <v>1263</v>
      </c>
      <c r="N2794" s="39"/>
      <c r="O2794" s="29"/>
      <c r="P2794" s="29"/>
    </row>
    <row r="2795" spans="1:31" s="12" customFormat="1" x14ac:dyDescent="0.25">
      <c r="A2795" s="608"/>
      <c r="B2795" s="2"/>
      <c r="C2795" s="22"/>
      <c r="D2795" s="22"/>
      <c r="E2795" s="34"/>
      <c r="F2795" s="456"/>
      <c r="G2795" s="531"/>
      <c r="H2795" s="489"/>
      <c r="I2795" s="708"/>
      <c r="J2795" s="669" t="s">
        <v>4180</v>
      </c>
      <c r="K2795" s="29"/>
      <c r="L2795" s="29"/>
      <c r="M2795" s="211">
        <v>2010</v>
      </c>
      <c r="N2795" s="29"/>
      <c r="O2795" s="43" t="s">
        <v>2660</v>
      </c>
      <c r="P2795" s="29"/>
      <c r="Q2795"/>
      <c r="R2795" s="55"/>
      <c r="S2795" s="43" t="s">
        <v>776</v>
      </c>
      <c r="T2795"/>
      <c r="U2795"/>
      <c r="V2795"/>
      <c r="W2795"/>
      <c r="X2795"/>
      <c r="Y2795"/>
      <c r="Z2795"/>
      <c r="AA2795" s="50"/>
      <c r="AB2795" s="72" t="s">
        <v>777</v>
      </c>
      <c r="AC2795"/>
      <c r="AD2795" s="50"/>
    </row>
    <row r="2796" spans="1:31" s="12" customFormat="1" ht="79.5" x14ac:dyDescent="0.25">
      <c r="A2796" s="608"/>
      <c r="B2796" s="2"/>
      <c r="C2796" s="22"/>
      <c r="D2796" s="22"/>
      <c r="E2796" s="34"/>
      <c r="F2796" s="456"/>
      <c r="G2796" s="531"/>
      <c r="H2796" s="489"/>
      <c r="I2796" s="708"/>
      <c r="J2796" s="669" t="s">
        <v>4180</v>
      </c>
      <c r="K2796" s="29"/>
      <c r="L2796" s="29"/>
      <c r="M2796" s="48" t="s">
        <v>2914</v>
      </c>
      <c r="N2796" s="42" t="s">
        <v>1261</v>
      </c>
      <c r="O2796" s="44" t="s">
        <v>4852</v>
      </c>
      <c r="P2796" s="63"/>
      <c r="Q2796" s="63"/>
      <c r="R2796" s="80" t="s">
        <v>4854</v>
      </c>
      <c r="S2796" s="42" t="s">
        <v>1021</v>
      </c>
      <c r="T2796" s="42" t="s">
        <v>1029</v>
      </c>
      <c r="U2796" s="42" t="s">
        <v>786</v>
      </c>
      <c r="V2796" s="79" t="s">
        <v>4884</v>
      </c>
      <c r="W2796" s="79" t="s">
        <v>5520</v>
      </c>
      <c r="X2796" s="79" t="s">
        <v>5521</v>
      </c>
      <c r="Y2796" s="79" t="s">
        <v>5522</v>
      </c>
      <c r="Z2796" s="79" t="s">
        <v>4853</v>
      </c>
      <c r="AA2796" s="81" t="s">
        <v>770</v>
      </c>
      <c r="AB2796" s="42" t="s">
        <v>772</v>
      </c>
      <c r="AC2796" s="42" t="s">
        <v>773</v>
      </c>
      <c r="AD2796" s="51" t="s">
        <v>774</v>
      </c>
      <c r="AE2796" s="118" t="s">
        <v>5490</v>
      </c>
    </row>
    <row r="2797" spans="1:31" s="12" customFormat="1" ht="34.5" x14ac:dyDescent="0.25">
      <c r="A2797" s="608"/>
      <c r="B2797" s="2"/>
      <c r="C2797" s="22"/>
      <c r="D2797" s="22"/>
      <c r="E2797" s="34"/>
      <c r="F2797" s="456"/>
      <c r="G2797" s="531"/>
      <c r="H2797" s="489"/>
      <c r="I2797" s="708"/>
      <c r="J2797" s="669" t="s">
        <v>4180</v>
      </c>
      <c r="K2797" s="29"/>
      <c r="L2797" s="29"/>
      <c r="M2797" s="46"/>
      <c r="N2797" s="42"/>
      <c r="O2797" s="44" t="s">
        <v>1033</v>
      </c>
      <c r="P2797" s="63"/>
      <c r="Q2797" s="63"/>
      <c r="R2797" s="56" t="s">
        <v>1034</v>
      </c>
      <c r="S2797" s="44" t="s">
        <v>1019</v>
      </c>
      <c r="T2797" s="42" t="s">
        <v>1020</v>
      </c>
      <c r="U2797" s="42" t="s">
        <v>1022</v>
      </c>
      <c r="V2797" s="42" t="s">
        <v>1023</v>
      </c>
      <c r="W2797" s="42" t="s">
        <v>1024</v>
      </c>
      <c r="X2797" s="42" t="s">
        <v>1025</v>
      </c>
      <c r="Y2797" s="42" t="s">
        <v>1026</v>
      </c>
      <c r="Z2797" s="42" t="s">
        <v>1028</v>
      </c>
      <c r="AA2797" s="51" t="s">
        <v>1027</v>
      </c>
      <c r="AB2797" s="42" t="s">
        <v>1032</v>
      </c>
      <c r="AC2797" s="42" t="s">
        <v>1030</v>
      </c>
      <c r="AD2797" s="51" t="s">
        <v>1031</v>
      </c>
      <c r="AE2797" s="125">
        <v>0.01</v>
      </c>
    </row>
    <row r="2798" spans="1:31" x14ac:dyDescent="0.25">
      <c r="A2798" s="609"/>
      <c r="B2798" s="1"/>
      <c r="C2798" s="1"/>
      <c r="D2798" s="2"/>
      <c r="E2798" s="1"/>
      <c r="F2798" s="457"/>
      <c r="G2798" s="532"/>
      <c r="H2798" s="490"/>
      <c r="I2798" s="709"/>
      <c r="J2798" s="669" t="s">
        <v>4180</v>
      </c>
      <c r="L2798" s="71"/>
      <c r="M2798" s="47"/>
      <c r="N2798" s="40"/>
      <c r="O2798" s="45">
        <f>ROUND(O$2575*(1-$AE$2797),2)</f>
        <v>2.97</v>
      </c>
      <c r="P2798" s="64"/>
      <c r="Q2798" s="64"/>
      <c r="R2798" s="57">
        <f>ROUND(R$2575*(1-$AE$2797),2)</f>
        <v>0.99</v>
      </c>
      <c r="S2798" s="40">
        <f>ROUND(S$2575*(1-$AE$2797),2)</f>
        <v>5.94</v>
      </c>
      <c r="T2798" s="40">
        <f>ROUND(T$2575*(1-$AE$2797),2)</f>
        <v>3.96</v>
      </c>
      <c r="U2798" s="40">
        <f>ROUND(U$2575*(1-$AE$2797),2)</f>
        <v>2.48</v>
      </c>
      <c r="V2798" s="40">
        <f>ROUND(V$2575*(1-$AE$2797),2)</f>
        <v>6.93</v>
      </c>
      <c r="W2798" s="40">
        <f>V2798+ROUND(4*(1-$AE$2797)^($M$2795-2009),2)</f>
        <v>10.89</v>
      </c>
      <c r="X2798" s="40">
        <f>V2798+ROUND(1*(1-$AE$2797)^($M$2795-2009),2)</f>
        <v>7.92</v>
      </c>
      <c r="Y2798" s="40">
        <f>V2798+ROUND(2*(1-$AE$2797)^($M$2795-2009),2)</f>
        <v>8.91</v>
      </c>
      <c r="Z2798" s="40">
        <f>W2798+ROUND(2*(1-$AE$2797)^($M$2795-2009),2)</f>
        <v>12.870000000000001</v>
      </c>
      <c r="AA2798" s="52">
        <f>X2798+ROUND(2*(1-$AE$2797)^($M$2795-2009),2)</f>
        <v>9.9</v>
      </c>
      <c r="AB2798" s="45">
        <f>ROUND(AB$2575*(1-$AE$2797),2)</f>
        <v>1.98</v>
      </c>
      <c r="AC2798" s="40">
        <f>ROUND(AC$2575*(1-$AE$2797),2)</f>
        <v>0.99</v>
      </c>
      <c r="AD2798" s="52">
        <f>ROUND(AD$2575*(1-$AE$2797),2)</f>
        <v>1.98</v>
      </c>
      <c r="AE2798" s="41" t="s">
        <v>5497</v>
      </c>
    </row>
    <row r="2799" spans="1:31" x14ac:dyDescent="0.25">
      <c r="A2799" s="610" t="s">
        <v>2392</v>
      </c>
      <c r="B2799" s="17" t="s">
        <v>5548</v>
      </c>
      <c r="C2799" s="30" t="s">
        <v>2385</v>
      </c>
      <c r="D2799" s="17" t="s">
        <v>1780</v>
      </c>
      <c r="E2799" s="17" t="s">
        <v>4810</v>
      </c>
      <c r="F2799" s="454">
        <v>11.55</v>
      </c>
      <c r="G2799" s="529">
        <v>11.55</v>
      </c>
      <c r="H2799" s="487">
        <f t="shared" ref="H2799:H2862" si="1187">IF(ISNUMBER(G2799),ROUND(0.8*G2799,2),"")</f>
        <v>9.24</v>
      </c>
      <c r="I2799" s="706"/>
      <c r="J2799" s="669" t="s">
        <v>5805</v>
      </c>
      <c r="K2799" s="23"/>
      <c r="L2799" s="70" t="str">
        <f t="shared" ref="L2799:L2862" si="1188">IF(F2799=M2799,"",FALSE)</f>
        <v/>
      </c>
      <c r="M2799" s="49">
        <f t="shared" ref="M2799:M2862" si="1189">N2799+SUMIF(O2799:AD2799,"x",O$2798:AD$2798)</f>
        <v>11.55</v>
      </c>
      <c r="N2799" s="41">
        <f t="shared" ref="N2799:N2862" si="1190">ROUND(N2576*(1-$AE$2797),2)</f>
        <v>11.55</v>
      </c>
      <c r="O2799" s="60"/>
      <c r="P2799" s="65"/>
      <c r="Q2799" s="65"/>
      <c r="R2799" s="69"/>
      <c r="T2799" s="65"/>
      <c r="U2799" s="65"/>
      <c r="X2799" s="65"/>
      <c r="AA2799" s="66"/>
      <c r="AD2799" s="62"/>
    </row>
    <row r="2800" spans="1:31" x14ac:dyDescent="0.25">
      <c r="A2800" s="610" t="s">
        <v>2393</v>
      </c>
      <c r="B2800" s="17" t="s">
        <v>5548</v>
      </c>
      <c r="C2800" s="30" t="s">
        <v>2385</v>
      </c>
      <c r="D2800" s="17" t="s">
        <v>7247</v>
      </c>
      <c r="E2800" s="17" t="s">
        <v>4812</v>
      </c>
      <c r="F2800" s="454">
        <v>14.52</v>
      </c>
      <c r="G2800" s="529">
        <v>14.52</v>
      </c>
      <c r="H2800" s="487">
        <f t="shared" si="1187"/>
        <v>11.62</v>
      </c>
      <c r="I2800" s="706"/>
      <c r="J2800" s="669" t="s">
        <v>5805</v>
      </c>
      <c r="K2800" s="23"/>
      <c r="L2800" s="70" t="str">
        <f t="shared" si="1188"/>
        <v/>
      </c>
      <c r="M2800" s="49">
        <f t="shared" si="1189"/>
        <v>14.520000000000001</v>
      </c>
      <c r="N2800" s="41">
        <f t="shared" si="1190"/>
        <v>11.55</v>
      </c>
      <c r="O2800" s="43" t="s">
        <v>1017</v>
      </c>
      <c r="P2800" s="91"/>
      <c r="Q2800" s="91"/>
      <c r="R2800" s="55"/>
      <c r="S2800" s="92"/>
      <c r="T2800" s="91"/>
      <c r="U2800" s="91"/>
      <c r="V2800" s="92"/>
      <c r="W2800" s="92"/>
      <c r="X2800" s="91"/>
      <c r="Y2800" s="92"/>
      <c r="Z2800" s="92"/>
      <c r="AA2800" s="67"/>
      <c r="AB2800" s="92"/>
      <c r="AC2800" s="92"/>
      <c r="AD2800" s="50"/>
    </row>
    <row r="2801" spans="1:30" x14ac:dyDescent="0.25">
      <c r="A2801" s="610" t="s">
        <v>2394</v>
      </c>
      <c r="B2801" s="17" t="s">
        <v>5548</v>
      </c>
      <c r="C2801" s="30" t="s">
        <v>2385</v>
      </c>
      <c r="D2801" s="30" t="s">
        <v>7248</v>
      </c>
      <c r="E2801" s="17" t="s">
        <v>4810</v>
      </c>
      <c r="F2801" s="454">
        <v>12.54</v>
      </c>
      <c r="G2801" s="529">
        <v>12.54</v>
      </c>
      <c r="H2801" s="487">
        <f t="shared" si="1187"/>
        <v>10.029999999999999</v>
      </c>
      <c r="I2801" s="706"/>
      <c r="J2801" s="669" t="s">
        <v>5805</v>
      </c>
      <c r="K2801" s="23"/>
      <c r="L2801" s="70" t="str">
        <f t="shared" si="1188"/>
        <v/>
      </c>
      <c r="M2801" s="49">
        <f t="shared" si="1189"/>
        <v>12.540000000000001</v>
      </c>
      <c r="N2801" s="41">
        <f t="shared" si="1190"/>
        <v>11.55</v>
      </c>
      <c r="O2801" s="61"/>
      <c r="P2801" s="65"/>
      <c r="Q2801" s="65"/>
      <c r="R2801" s="55" t="s">
        <v>1017</v>
      </c>
      <c r="T2801" s="65"/>
      <c r="U2801" s="65"/>
      <c r="X2801" s="65"/>
      <c r="AA2801" s="67"/>
      <c r="AD2801" s="50"/>
    </row>
    <row r="2802" spans="1:30" x14ac:dyDescent="0.25">
      <c r="A2802" s="610" t="s">
        <v>2395</v>
      </c>
      <c r="B2802" s="17" t="s">
        <v>5548</v>
      </c>
      <c r="C2802" s="30" t="s">
        <v>2385</v>
      </c>
      <c r="D2802" s="30" t="s">
        <v>7249</v>
      </c>
      <c r="E2802" s="17" t="s">
        <v>4812</v>
      </c>
      <c r="F2802" s="454">
        <v>15.51</v>
      </c>
      <c r="G2802" s="529">
        <v>15.51</v>
      </c>
      <c r="H2802" s="487">
        <f t="shared" si="1187"/>
        <v>12.41</v>
      </c>
      <c r="I2802" s="706"/>
      <c r="J2802" s="669" t="s">
        <v>5805</v>
      </c>
      <c r="K2802" s="23"/>
      <c r="L2802" s="70" t="str">
        <f t="shared" si="1188"/>
        <v/>
      </c>
      <c r="M2802" s="49">
        <f t="shared" si="1189"/>
        <v>15.510000000000002</v>
      </c>
      <c r="N2802" s="41">
        <f t="shared" si="1190"/>
        <v>11.55</v>
      </c>
      <c r="O2802" s="43" t="s">
        <v>1017</v>
      </c>
      <c r="P2802" s="65"/>
      <c r="Q2802" s="65"/>
      <c r="R2802" s="55" t="s">
        <v>1017</v>
      </c>
      <c r="T2802" s="65"/>
      <c r="U2802" s="65"/>
      <c r="X2802" s="65"/>
      <c r="AA2802" s="67"/>
      <c r="AD2802" s="50"/>
    </row>
    <row r="2803" spans="1:30" x14ac:dyDescent="0.25">
      <c r="A2803" s="610" t="s">
        <v>2396</v>
      </c>
      <c r="B2803" s="17" t="s">
        <v>5548</v>
      </c>
      <c r="C2803" s="30" t="s">
        <v>2385</v>
      </c>
      <c r="D2803" s="17" t="s">
        <v>6881</v>
      </c>
      <c r="E2803" s="17" t="s">
        <v>4810</v>
      </c>
      <c r="F2803" s="454">
        <v>17.489999999999998</v>
      </c>
      <c r="G2803" s="529">
        <v>17.489999999999998</v>
      </c>
      <c r="H2803" s="487">
        <f t="shared" si="1187"/>
        <v>13.99</v>
      </c>
      <c r="I2803" s="706"/>
      <c r="J2803" s="669" t="s">
        <v>5805</v>
      </c>
      <c r="K2803" s="23"/>
      <c r="L2803" s="70" t="str">
        <f t="shared" si="1188"/>
        <v/>
      </c>
      <c r="M2803" s="49">
        <f t="shared" si="1189"/>
        <v>17.490000000000002</v>
      </c>
      <c r="N2803" s="41">
        <f t="shared" si="1190"/>
        <v>11.55</v>
      </c>
      <c r="O2803" s="61"/>
      <c r="P2803" s="65"/>
      <c r="Q2803" s="65"/>
      <c r="R2803" s="55"/>
      <c r="S2803" t="s">
        <v>1017</v>
      </c>
      <c r="T2803" s="65"/>
      <c r="U2803" s="65"/>
      <c r="X2803" s="65"/>
      <c r="AA2803" s="67"/>
      <c r="AD2803" s="50"/>
    </row>
    <row r="2804" spans="1:30" x14ac:dyDescent="0.25">
      <c r="A2804" s="610" t="s">
        <v>2397</v>
      </c>
      <c r="B2804" s="17" t="s">
        <v>5548</v>
      </c>
      <c r="C2804" s="30" t="s">
        <v>2385</v>
      </c>
      <c r="D2804" s="17" t="s">
        <v>7250</v>
      </c>
      <c r="E2804" s="17" t="s">
        <v>4812</v>
      </c>
      <c r="F2804" s="454">
        <v>20.46</v>
      </c>
      <c r="G2804" s="529">
        <v>20.46</v>
      </c>
      <c r="H2804" s="487">
        <f t="shared" si="1187"/>
        <v>16.37</v>
      </c>
      <c r="I2804" s="706"/>
      <c r="J2804" s="669" t="s">
        <v>5805</v>
      </c>
      <c r="K2804" s="23"/>
      <c r="L2804" s="70" t="str">
        <f t="shared" si="1188"/>
        <v/>
      </c>
      <c r="M2804" s="49">
        <f t="shared" si="1189"/>
        <v>20.46</v>
      </c>
      <c r="N2804" s="41">
        <f t="shared" si="1190"/>
        <v>11.55</v>
      </c>
      <c r="O2804" s="43" t="s">
        <v>1017</v>
      </c>
      <c r="P2804" s="65"/>
      <c r="Q2804" s="65"/>
      <c r="R2804" s="55"/>
      <c r="S2804" t="s">
        <v>1017</v>
      </c>
      <c r="T2804" s="65"/>
      <c r="U2804" s="65"/>
      <c r="X2804" s="65"/>
      <c r="AA2804" s="67"/>
      <c r="AD2804" s="50"/>
    </row>
    <row r="2805" spans="1:30" x14ac:dyDescent="0.25">
      <c r="A2805" s="610" t="s">
        <v>2398</v>
      </c>
      <c r="B2805" s="17" t="s">
        <v>5548</v>
      </c>
      <c r="C2805" s="30" t="s">
        <v>2385</v>
      </c>
      <c r="D2805" s="30" t="s">
        <v>7251</v>
      </c>
      <c r="E2805" s="17" t="s">
        <v>4810</v>
      </c>
      <c r="F2805" s="454">
        <v>18.48</v>
      </c>
      <c r="G2805" s="529">
        <v>18.48</v>
      </c>
      <c r="H2805" s="487">
        <f t="shared" si="1187"/>
        <v>14.78</v>
      </c>
      <c r="I2805" s="706"/>
      <c r="J2805" s="669" t="s">
        <v>5805</v>
      </c>
      <c r="K2805" s="23"/>
      <c r="L2805" s="70" t="str">
        <f t="shared" si="1188"/>
        <v/>
      </c>
      <c r="M2805" s="49">
        <f t="shared" si="1189"/>
        <v>18.48</v>
      </c>
      <c r="N2805" s="41">
        <f t="shared" si="1190"/>
        <v>11.55</v>
      </c>
      <c r="O2805" s="61"/>
      <c r="P2805" s="65"/>
      <c r="Q2805" s="65"/>
      <c r="R2805" s="55" t="s">
        <v>1017</v>
      </c>
      <c r="S2805" t="s">
        <v>1017</v>
      </c>
      <c r="T2805" s="65"/>
      <c r="U2805" s="65"/>
      <c r="X2805" s="65"/>
      <c r="AA2805" s="67"/>
      <c r="AD2805" s="50"/>
    </row>
    <row r="2806" spans="1:30" x14ac:dyDescent="0.25">
      <c r="A2806" s="610" t="s">
        <v>2399</v>
      </c>
      <c r="B2806" s="17" t="s">
        <v>5548</v>
      </c>
      <c r="C2806" s="30" t="s">
        <v>2385</v>
      </c>
      <c r="D2806" s="30" t="s">
        <v>7252</v>
      </c>
      <c r="E2806" s="17" t="s">
        <v>4812</v>
      </c>
      <c r="F2806" s="454">
        <v>21.45</v>
      </c>
      <c r="G2806" s="529">
        <v>21.45</v>
      </c>
      <c r="H2806" s="487">
        <f t="shared" si="1187"/>
        <v>17.16</v>
      </c>
      <c r="I2806" s="706"/>
      <c r="J2806" s="669" t="s">
        <v>5805</v>
      </c>
      <c r="K2806" s="23"/>
      <c r="L2806" s="70" t="str">
        <f t="shared" si="1188"/>
        <v/>
      </c>
      <c r="M2806" s="49">
        <f t="shared" si="1189"/>
        <v>21.450000000000003</v>
      </c>
      <c r="N2806" s="41">
        <f t="shared" si="1190"/>
        <v>11.55</v>
      </c>
      <c r="O2806" s="43" t="s">
        <v>1017</v>
      </c>
      <c r="P2806" s="65"/>
      <c r="Q2806" s="65"/>
      <c r="R2806" s="55" t="s">
        <v>1017</v>
      </c>
      <c r="S2806" t="s">
        <v>1017</v>
      </c>
      <c r="T2806" s="65"/>
      <c r="U2806" s="65"/>
      <c r="X2806" s="65"/>
      <c r="AA2806" s="67"/>
      <c r="AD2806" s="50"/>
    </row>
    <row r="2807" spans="1:30" s="12" customFormat="1" x14ac:dyDescent="0.25">
      <c r="A2807" s="610" t="s">
        <v>2400</v>
      </c>
      <c r="B2807" s="17" t="s">
        <v>5548</v>
      </c>
      <c r="C2807" s="30" t="s">
        <v>2385</v>
      </c>
      <c r="D2807" s="17" t="s">
        <v>6810</v>
      </c>
      <c r="E2807" s="17" t="s">
        <v>4810</v>
      </c>
      <c r="F2807" s="454">
        <v>18.48</v>
      </c>
      <c r="G2807" s="529">
        <v>18.48</v>
      </c>
      <c r="H2807" s="487">
        <f t="shared" si="1187"/>
        <v>14.78</v>
      </c>
      <c r="I2807" s="706"/>
      <c r="J2807" s="669" t="s">
        <v>5805</v>
      </c>
      <c r="K2807" s="23"/>
      <c r="L2807" s="70" t="str">
        <f t="shared" si="1188"/>
        <v/>
      </c>
      <c r="M2807" s="49">
        <f t="shared" si="1189"/>
        <v>18.48</v>
      </c>
      <c r="N2807" s="41">
        <f t="shared" si="1190"/>
        <v>11.55</v>
      </c>
      <c r="O2807" s="61"/>
      <c r="P2807" s="65"/>
      <c r="Q2807" s="65"/>
      <c r="R2807" s="58"/>
      <c r="T2807" s="65"/>
      <c r="U2807" s="65"/>
      <c r="V2807" s="12" t="s">
        <v>1017</v>
      </c>
      <c r="X2807" s="65"/>
      <c r="AA2807" s="67"/>
      <c r="AD2807" s="53"/>
    </row>
    <row r="2808" spans="1:30" s="12" customFormat="1" x14ac:dyDescent="0.25">
      <c r="A2808" s="610" t="s">
        <v>2401</v>
      </c>
      <c r="B2808" s="17" t="s">
        <v>5548</v>
      </c>
      <c r="C2808" s="30" t="s">
        <v>2385</v>
      </c>
      <c r="D2808" s="17" t="s">
        <v>7253</v>
      </c>
      <c r="E2808" s="17" t="s">
        <v>4812</v>
      </c>
      <c r="F2808" s="454">
        <v>21.45</v>
      </c>
      <c r="G2808" s="529">
        <v>21.45</v>
      </c>
      <c r="H2808" s="487">
        <f t="shared" si="1187"/>
        <v>17.16</v>
      </c>
      <c r="I2808" s="706"/>
      <c r="J2808" s="669" t="s">
        <v>5805</v>
      </c>
      <c r="K2808" s="23"/>
      <c r="L2808" s="70" t="str">
        <f t="shared" si="1188"/>
        <v/>
      </c>
      <c r="M2808" s="49">
        <f t="shared" si="1189"/>
        <v>21.450000000000003</v>
      </c>
      <c r="N2808" s="41">
        <f t="shared" si="1190"/>
        <v>11.55</v>
      </c>
      <c r="O2808" s="43" t="s">
        <v>1017</v>
      </c>
      <c r="P2808" s="65"/>
      <c r="Q2808" s="65"/>
      <c r="R2808" s="58"/>
      <c r="T2808" s="65"/>
      <c r="U2808" s="65"/>
      <c r="V2808" s="12" t="s">
        <v>1017</v>
      </c>
      <c r="X2808" s="65"/>
      <c r="AA2808" s="67"/>
      <c r="AD2808" s="53"/>
    </row>
    <row r="2809" spans="1:30" s="12" customFormat="1" x14ac:dyDescent="0.25">
      <c r="A2809" s="610" t="s">
        <v>2402</v>
      </c>
      <c r="B2809" s="17" t="s">
        <v>5548</v>
      </c>
      <c r="C2809" s="30" t="s">
        <v>2385</v>
      </c>
      <c r="D2809" s="17" t="s">
        <v>7254</v>
      </c>
      <c r="E2809" s="17" t="s">
        <v>4810</v>
      </c>
      <c r="F2809" s="454">
        <v>19.47</v>
      </c>
      <c r="G2809" s="529">
        <v>19.47</v>
      </c>
      <c r="H2809" s="487">
        <f t="shared" si="1187"/>
        <v>15.58</v>
      </c>
      <c r="I2809" s="706"/>
      <c r="J2809" s="669" t="s">
        <v>5805</v>
      </c>
      <c r="K2809" s="23"/>
      <c r="L2809" s="70" t="str">
        <f t="shared" si="1188"/>
        <v/>
      </c>
      <c r="M2809" s="49">
        <f t="shared" si="1189"/>
        <v>19.47</v>
      </c>
      <c r="N2809" s="41">
        <f t="shared" si="1190"/>
        <v>11.55</v>
      </c>
      <c r="O2809" s="61"/>
      <c r="P2809" s="65"/>
      <c r="Q2809" s="65"/>
      <c r="R2809" s="58" t="s">
        <v>1017</v>
      </c>
      <c r="T2809" s="65"/>
      <c r="U2809" s="65"/>
      <c r="V2809" s="12" t="s">
        <v>1017</v>
      </c>
      <c r="X2809" s="65"/>
      <c r="AA2809" s="67"/>
      <c r="AD2809" s="53"/>
    </row>
    <row r="2810" spans="1:30" s="12" customFormat="1" x14ac:dyDescent="0.25">
      <c r="A2810" s="610" t="s">
        <v>2403</v>
      </c>
      <c r="B2810" s="17" t="s">
        <v>5548</v>
      </c>
      <c r="C2810" s="30" t="s">
        <v>2385</v>
      </c>
      <c r="D2810" s="17" t="s">
        <v>7255</v>
      </c>
      <c r="E2810" s="17" t="s">
        <v>4812</v>
      </c>
      <c r="F2810" s="454">
        <v>22.44</v>
      </c>
      <c r="G2810" s="529">
        <v>22.44</v>
      </c>
      <c r="H2810" s="487">
        <f t="shared" si="1187"/>
        <v>17.95</v>
      </c>
      <c r="I2810" s="706"/>
      <c r="J2810" s="669" t="s">
        <v>5805</v>
      </c>
      <c r="K2810" s="23"/>
      <c r="L2810" s="70" t="str">
        <f t="shared" si="1188"/>
        <v/>
      </c>
      <c r="M2810" s="49">
        <f t="shared" si="1189"/>
        <v>22.44</v>
      </c>
      <c r="N2810" s="41">
        <f t="shared" si="1190"/>
        <v>11.55</v>
      </c>
      <c r="O2810" s="43" t="s">
        <v>1017</v>
      </c>
      <c r="P2810" s="65"/>
      <c r="Q2810" s="65"/>
      <c r="R2810" s="58" t="s">
        <v>1017</v>
      </c>
      <c r="T2810" s="65"/>
      <c r="U2810" s="65"/>
      <c r="V2810" s="12" t="s">
        <v>1017</v>
      </c>
      <c r="X2810" s="65"/>
      <c r="AA2810" s="67"/>
      <c r="AD2810" s="53"/>
    </row>
    <row r="2811" spans="1:30" s="12" customFormat="1" x14ac:dyDescent="0.25">
      <c r="A2811" s="610" t="s">
        <v>2404</v>
      </c>
      <c r="B2811" s="17" t="s">
        <v>5548</v>
      </c>
      <c r="C2811" s="30" t="s">
        <v>2385</v>
      </c>
      <c r="D2811" s="17" t="s">
        <v>6834</v>
      </c>
      <c r="E2811" s="17" t="s">
        <v>4810</v>
      </c>
      <c r="F2811" s="454">
        <v>20.46</v>
      </c>
      <c r="G2811" s="529">
        <v>20.46</v>
      </c>
      <c r="H2811" s="487">
        <f t="shared" si="1187"/>
        <v>16.37</v>
      </c>
      <c r="I2811" s="706"/>
      <c r="J2811" s="669" t="s">
        <v>5805</v>
      </c>
      <c r="K2811" s="23"/>
      <c r="L2811" s="70" t="str">
        <f t="shared" si="1188"/>
        <v/>
      </c>
      <c r="M2811" s="49">
        <f t="shared" si="1189"/>
        <v>20.46</v>
      </c>
      <c r="N2811" s="41">
        <f t="shared" si="1190"/>
        <v>11.55</v>
      </c>
      <c r="O2811" s="61"/>
      <c r="P2811" s="65"/>
      <c r="Q2811" s="65"/>
      <c r="R2811" s="58"/>
      <c r="T2811" s="65"/>
      <c r="U2811" s="65"/>
      <c r="X2811" s="65"/>
      <c r="Y2811" s="12" t="s">
        <v>1017</v>
      </c>
      <c r="AA2811" s="67"/>
      <c r="AD2811" s="53"/>
    </row>
    <row r="2812" spans="1:30" s="12" customFormat="1" x14ac:dyDescent="0.25">
      <c r="A2812" s="610" t="s">
        <v>2405</v>
      </c>
      <c r="B2812" s="17" t="s">
        <v>5548</v>
      </c>
      <c r="C2812" s="30" t="s">
        <v>2385</v>
      </c>
      <c r="D2812" s="17" t="s">
        <v>7256</v>
      </c>
      <c r="E2812" s="17" t="s">
        <v>4812</v>
      </c>
      <c r="F2812" s="454">
        <v>23.43</v>
      </c>
      <c r="G2812" s="529">
        <v>23.43</v>
      </c>
      <c r="H2812" s="487">
        <f t="shared" si="1187"/>
        <v>18.739999999999998</v>
      </c>
      <c r="I2812" s="706"/>
      <c r="J2812" s="669" t="s">
        <v>5805</v>
      </c>
      <c r="K2812" s="23"/>
      <c r="L2812" s="70" t="str">
        <f t="shared" si="1188"/>
        <v/>
      </c>
      <c r="M2812" s="49">
        <f t="shared" si="1189"/>
        <v>23.43</v>
      </c>
      <c r="N2812" s="41">
        <f t="shared" si="1190"/>
        <v>11.55</v>
      </c>
      <c r="O2812" s="43" t="s">
        <v>1017</v>
      </c>
      <c r="P2812" s="65"/>
      <c r="Q2812" s="65"/>
      <c r="R2812" s="58"/>
      <c r="T2812" s="65"/>
      <c r="U2812" s="65"/>
      <c r="X2812" s="65"/>
      <c r="Y2812" s="12" t="s">
        <v>1017</v>
      </c>
      <c r="AA2812" s="67"/>
      <c r="AD2812" s="53"/>
    </row>
    <row r="2813" spans="1:30" s="12" customFormat="1" x14ac:dyDescent="0.25">
      <c r="A2813" s="610" t="s">
        <v>2406</v>
      </c>
      <c r="B2813" s="17" t="s">
        <v>5548</v>
      </c>
      <c r="C2813" s="30" t="s">
        <v>2385</v>
      </c>
      <c r="D2813" s="17" t="s">
        <v>7257</v>
      </c>
      <c r="E2813" s="17" t="s">
        <v>4810</v>
      </c>
      <c r="F2813" s="454">
        <v>21.45</v>
      </c>
      <c r="G2813" s="529">
        <v>21.45</v>
      </c>
      <c r="H2813" s="487">
        <f t="shared" si="1187"/>
        <v>17.16</v>
      </c>
      <c r="I2813" s="706"/>
      <c r="J2813" s="669" t="s">
        <v>5805</v>
      </c>
      <c r="K2813" s="23"/>
      <c r="L2813" s="70" t="str">
        <f t="shared" si="1188"/>
        <v/>
      </c>
      <c r="M2813" s="49">
        <f t="shared" si="1189"/>
        <v>21.450000000000003</v>
      </c>
      <c r="N2813" s="41">
        <f t="shared" si="1190"/>
        <v>11.55</v>
      </c>
      <c r="O2813" s="61"/>
      <c r="P2813" s="65"/>
      <c r="Q2813" s="65"/>
      <c r="R2813" s="58" t="s">
        <v>1017</v>
      </c>
      <c r="T2813" s="65"/>
      <c r="U2813" s="65"/>
      <c r="X2813" s="65"/>
      <c r="Y2813" s="12" t="s">
        <v>1017</v>
      </c>
      <c r="AA2813" s="67"/>
      <c r="AD2813" s="53"/>
    </row>
    <row r="2814" spans="1:30" s="12" customFormat="1" x14ac:dyDescent="0.25">
      <c r="A2814" s="610" t="s">
        <v>2407</v>
      </c>
      <c r="B2814" s="17" t="s">
        <v>5548</v>
      </c>
      <c r="C2814" s="30" t="s">
        <v>2385</v>
      </c>
      <c r="D2814" s="17" t="s">
        <v>7258</v>
      </c>
      <c r="E2814" s="17" t="s">
        <v>4812</v>
      </c>
      <c r="F2814" s="454">
        <v>24.42</v>
      </c>
      <c r="G2814" s="529">
        <v>24.42</v>
      </c>
      <c r="H2814" s="487">
        <f t="shared" si="1187"/>
        <v>19.54</v>
      </c>
      <c r="I2814" s="706"/>
      <c r="J2814" s="669" t="s">
        <v>5805</v>
      </c>
      <c r="K2814" s="23"/>
      <c r="L2814" s="70" t="str">
        <f t="shared" si="1188"/>
        <v/>
      </c>
      <c r="M2814" s="49">
        <f t="shared" si="1189"/>
        <v>24.42</v>
      </c>
      <c r="N2814" s="41">
        <f t="shared" si="1190"/>
        <v>11.55</v>
      </c>
      <c r="O2814" s="43" t="s">
        <v>1017</v>
      </c>
      <c r="P2814" s="65"/>
      <c r="Q2814" s="65"/>
      <c r="R2814" s="58" t="s">
        <v>1017</v>
      </c>
      <c r="T2814" s="65"/>
      <c r="U2814" s="65"/>
      <c r="X2814" s="65"/>
      <c r="Y2814" s="12" t="s">
        <v>1017</v>
      </c>
      <c r="AA2814" s="67"/>
      <c r="AD2814" s="53"/>
    </row>
    <row r="2815" spans="1:30" s="12" customFormat="1" x14ac:dyDescent="0.25">
      <c r="A2815" s="610" t="s">
        <v>2408</v>
      </c>
      <c r="B2815" s="17" t="s">
        <v>5548</v>
      </c>
      <c r="C2815" s="30" t="s">
        <v>2385</v>
      </c>
      <c r="D2815" s="17" t="s">
        <v>6822</v>
      </c>
      <c r="E2815" s="17" t="s">
        <v>4810</v>
      </c>
      <c r="F2815" s="454">
        <v>22.44</v>
      </c>
      <c r="G2815" s="529">
        <v>22.44</v>
      </c>
      <c r="H2815" s="487">
        <f t="shared" si="1187"/>
        <v>17.95</v>
      </c>
      <c r="I2815" s="706"/>
      <c r="J2815" s="669" t="s">
        <v>5805</v>
      </c>
      <c r="K2815" s="23"/>
      <c r="L2815" s="70" t="str">
        <f t="shared" si="1188"/>
        <v/>
      </c>
      <c r="M2815" s="49">
        <f t="shared" si="1189"/>
        <v>22.44</v>
      </c>
      <c r="N2815" s="41">
        <f t="shared" si="1190"/>
        <v>11.55</v>
      </c>
      <c r="O2815" s="61"/>
      <c r="P2815" s="65"/>
      <c r="Q2815" s="65"/>
      <c r="R2815" s="58"/>
      <c r="T2815" s="65"/>
      <c r="U2815" s="65"/>
      <c r="W2815" s="12" t="s">
        <v>1017</v>
      </c>
      <c r="X2815" s="65"/>
      <c r="AA2815" s="67"/>
      <c r="AD2815" s="53"/>
    </row>
    <row r="2816" spans="1:30" s="12" customFormat="1" x14ac:dyDescent="0.25">
      <c r="A2816" s="610" t="s">
        <v>2409</v>
      </c>
      <c r="B2816" s="17" t="s">
        <v>5548</v>
      </c>
      <c r="C2816" s="30" t="s">
        <v>2385</v>
      </c>
      <c r="D2816" s="17" t="s">
        <v>7259</v>
      </c>
      <c r="E2816" s="17" t="s">
        <v>4812</v>
      </c>
      <c r="F2816" s="454">
        <v>25.41</v>
      </c>
      <c r="G2816" s="529">
        <v>25.41</v>
      </c>
      <c r="H2816" s="487">
        <f t="shared" si="1187"/>
        <v>20.329999999999998</v>
      </c>
      <c r="I2816" s="706"/>
      <c r="J2816" s="669" t="s">
        <v>5805</v>
      </c>
      <c r="K2816" s="23"/>
      <c r="L2816" s="70" t="str">
        <f t="shared" si="1188"/>
        <v/>
      </c>
      <c r="M2816" s="49">
        <f t="shared" si="1189"/>
        <v>25.410000000000004</v>
      </c>
      <c r="N2816" s="41">
        <f t="shared" si="1190"/>
        <v>11.55</v>
      </c>
      <c r="O2816" s="43" t="s">
        <v>1017</v>
      </c>
      <c r="P2816" s="65"/>
      <c r="Q2816" s="65"/>
      <c r="R2816" s="58"/>
      <c r="T2816" s="65"/>
      <c r="U2816" s="65"/>
      <c r="W2816" s="12" t="s">
        <v>1017</v>
      </c>
      <c r="X2816" s="65"/>
      <c r="AA2816" s="67"/>
      <c r="AD2816" s="53"/>
    </row>
    <row r="2817" spans="1:30" s="12" customFormat="1" x14ac:dyDescent="0.25">
      <c r="A2817" s="610" t="s">
        <v>2410</v>
      </c>
      <c r="B2817" s="17" t="s">
        <v>5548</v>
      </c>
      <c r="C2817" s="30" t="s">
        <v>2385</v>
      </c>
      <c r="D2817" s="17" t="s">
        <v>7260</v>
      </c>
      <c r="E2817" s="17" t="s">
        <v>4810</v>
      </c>
      <c r="F2817" s="454">
        <v>23.43</v>
      </c>
      <c r="G2817" s="529">
        <v>23.43</v>
      </c>
      <c r="H2817" s="487">
        <f t="shared" si="1187"/>
        <v>18.739999999999998</v>
      </c>
      <c r="I2817" s="706"/>
      <c r="J2817" s="669" t="s">
        <v>5805</v>
      </c>
      <c r="K2817" s="23"/>
      <c r="L2817" s="70" t="str">
        <f t="shared" si="1188"/>
        <v/>
      </c>
      <c r="M2817" s="49">
        <f t="shared" si="1189"/>
        <v>23.43</v>
      </c>
      <c r="N2817" s="41">
        <f t="shared" si="1190"/>
        <v>11.55</v>
      </c>
      <c r="O2817" s="61"/>
      <c r="P2817" s="65"/>
      <c r="Q2817" s="65"/>
      <c r="R2817" s="58" t="s">
        <v>1017</v>
      </c>
      <c r="T2817" s="65"/>
      <c r="U2817" s="65"/>
      <c r="W2817" s="12" t="s">
        <v>1017</v>
      </c>
      <c r="X2817" s="65"/>
      <c r="AA2817" s="67"/>
      <c r="AD2817" s="53"/>
    </row>
    <row r="2818" spans="1:30" s="12" customFormat="1" x14ac:dyDescent="0.25">
      <c r="A2818" s="610" t="s">
        <v>2411</v>
      </c>
      <c r="B2818" s="17" t="s">
        <v>5548</v>
      </c>
      <c r="C2818" s="30" t="s">
        <v>2385</v>
      </c>
      <c r="D2818" s="17" t="s">
        <v>7261</v>
      </c>
      <c r="E2818" s="17" t="s">
        <v>4812</v>
      </c>
      <c r="F2818" s="454">
        <v>26.4</v>
      </c>
      <c r="G2818" s="529">
        <v>26.4</v>
      </c>
      <c r="H2818" s="487">
        <f t="shared" si="1187"/>
        <v>21.12</v>
      </c>
      <c r="I2818" s="706"/>
      <c r="J2818" s="669" t="s">
        <v>5805</v>
      </c>
      <c r="K2818" s="23"/>
      <c r="L2818" s="70" t="str">
        <f t="shared" si="1188"/>
        <v/>
      </c>
      <c r="M2818" s="49">
        <f t="shared" si="1189"/>
        <v>26.400000000000002</v>
      </c>
      <c r="N2818" s="41">
        <f t="shared" si="1190"/>
        <v>11.55</v>
      </c>
      <c r="O2818" s="43" t="s">
        <v>1017</v>
      </c>
      <c r="P2818" s="65"/>
      <c r="Q2818" s="65"/>
      <c r="R2818" s="58" t="s">
        <v>1017</v>
      </c>
      <c r="T2818" s="65"/>
      <c r="U2818" s="65"/>
      <c r="W2818" s="12" t="s">
        <v>1017</v>
      </c>
      <c r="X2818" s="65"/>
      <c r="AA2818" s="67"/>
      <c r="AD2818" s="53"/>
    </row>
    <row r="2819" spans="1:30" s="12" customFormat="1" x14ac:dyDescent="0.25">
      <c r="A2819" s="610" t="s">
        <v>2412</v>
      </c>
      <c r="B2819" s="17" t="s">
        <v>5548</v>
      </c>
      <c r="C2819" s="30" t="s">
        <v>2385</v>
      </c>
      <c r="D2819" s="30" t="s">
        <v>7262</v>
      </c>
      <c r="E2819" s="17" t="s">
        <v>4810</v>
      </c>
      <c r="F2819" s="454">
        <v>24.42</v>
      </c>
      <c r="G2819" s="529">
        <v>24.42</v>
      </c>
      <c r="H2819" s="487">
        <f t="shared" si="1187"/>
        <v>19.54</v>
      </c>
      <c r="I2819" s="706"/>
      <c r="J2819" s="669" t="s">
        <v>5805</v>
      </c>
      <c r="K2819" s="23"/>
      <c r="L2819" s="70" t="str">
        <f t="shared" si="1188"/>
        <v/>
      </c>
      <c r="M2819" s="49">
        <f t="shared" si="1189"/>
        <v>24.42</v>
      </c>
      <c r="N2819" s="41">
        <f t="shared" si="1190"/>
        <v>11.55</v>
      </c>
      <c r="O2819" s="61"/>
      <c r="P2819" s="65"/>
      <c r="Q2819" s="65"/>
      <c r="R2819" s="58"/>
      <c r="T2819" s="65"/>
      <c r="U2819" s="65"/>
      <c r="X2819" s="65"/>
      <c r="Z2819" s="12" t="s">
        <v>1017</v>
      </c>
      <c r="AA2819" s="67"/>
      <c r="AD2819" s="53"/>
    </row>
    <row r="2820" spans="1:30" s="12" customFormat="1" x14ac:dyDescent="0.25">
      <c r="A2820" s="610" t="s">
        <v>2413</v>
      </c>
      <c r="B2820" s="17" t="s">
        <v>5548</v>
      </c>
      <c r="C2820" s="30" t="s">
        <v>2385</v>
      </c>
      <c r="D2820" s="30" t="s">
        <v>7263</v>
      </c>
      <c r="E2820" s="17" t="s">
        <v>4812</v>
      </c>
      <c r="F2820" s="454">
        <v>27.39</v>
      </c>
      <c r="G2820" s="529">
        <v>27.39</v>
      </c>
      <c r="H2820" s="487">
        <f t="shared" si="1187"/>
        <v>21.91</v>
      </c>
      <c r="I2820" s="706"/>
      <c r="J2820" s="669" t="s">
        <v>5805</v>
      </c>
      <c r="K2820" s="23"/>
      <c r="L2820" s="70" t="str">
        <f t="shared" si="1188"/>
        <v/>
      </c>
      <c r="M2820" s="49">
        <f t="shared" si="1189"/>
        <v>27.39</v>
      </c>
      <c r="N2820" s="41">
        <f t="shared" si="1190"/>
        <v>11.55</v>
      </c>
      <c r="O2820" s="43" t="s">
        <v>1017</v>
      </c>
      <c r="P2820" s="65"/>
      <c r="Q2820" s="65"/>
      <c r="R2820" s="58"/>
      <c r="T2820" s="65"/>
      <c r="U2820" s="65"/>
      <c r="X2820" s="65"/>
      <c r="Z2820" s="12" t="s">
        <v>1017</v>
      </c>
      <c r="AA2820" s="67"/>
      <c r="AD2820" s="53"/>
    </row>
    <row r="2821" spans="1:30" s="12" customFormat="1" x14ac:dyDescent="0.25">
      <c r="A2821" s="610" t="s">
        <v>2414</v>
      </c>
      <c r="B2821" s="17" t="s">
        <v>5548</v>
      </c>
      <c r="C2821" s="30" t="s">
        <v>2385</v>
      </c>
      <c r="D2821" s="30" t="s">
        <v>7264</v>
      </c>
      <c r="E2821" s="17" t="s">
        <v>4810</v>
      </c>
      <c r="F2821" s="454">
        <v>25.41</v>
      </c>
      <c r="G2821" s="529">
        <v>25.41</v>
      </c>
      <c r="H2821" s="487">
        <f t="shared" si="1187"/>
        <v>20.329999999999998</v>
      </c>
      <c r="I2821" s="706"/>
      <c r="J2821" s="669" t="s">
        <v>5805</v>
      </c>
      <c r="K2821" s="23"/>
      <c r="L2821" s="70" t="str">
        <f t="shared" si="1188"/>
        <v/>
      </c>
      <c r="M2821" s="49">
        <f t="shared" si="1189"/>
        <v>25.410000000000004</v>
      </c>
      <c r="N2821" s="41">
        <f t="shared" si="1190"/>
        <v>11.55</v>
      </c>
      <c r="O2821" s="61"/>
      <c r="P2821" s="65"/>
      <c r="Q2821" s="65"/>
      <c r="R2821" s="58" t="s">
        <v>1017</v>
      </c>
      <c r="T2821" s="65"/>
      <c r="U2821" s="65"/>
      <c r="X2821" s="65"/>
      <c r="Z2821" s="12" t="s">
        <v>1017</v>
      </c>
      <c r="AA2821" s="67"/>
      <c r="AD2821" s="53"/>
    </row>
    <row r="2822" spans="1:30" s="12" customFormat="1" x14ac:dyDescent="0.25">
      <c r="A2822" s="610" t="s">
        <v>2415</v>
      </c>
      <c r="B2822" s="17" t="s">
        <v>5548</v>
      </c>
      <c r="C2822" s="30" t="s">
        <v>2385</v>
      </c>
      <c r="D2822" s="30" t="s">
        <v>7265</v>
      </c>
      <c r="E2822" s="17" t="s">
        <v>4812</v>
      </c>
      <c r="F2822" s="454">
        <v>28.38</v>
      </c>
      <c r="G2822" s="529">
        <v>28.38</v>
      </c>
      <c r="H2822" s="487">
        <f t="shared" si="1187"/>
        <v>22.7</v>
      </c>
      <c r="I2822" s="706"/>
      <c r="J2822" s="669" t="s">
        <v>5805</v>
      </c>
      <c r="K2822" s="23"/>
      <c r="L2822" s="70" t="str">
        <f t="shared" si="1188"/>
        <v/>
      </c>
      <c r="M2822" s="49">
        <f t="shared" si="1189"/>
        <v>28.380000000000003</v>
      </c>
      <c r="N2822" s="41">
        <f t="shared" si="1190"/>
        <v>11.55</v>
      </c>
      <c r="O2822" s="43" t="s">
        <v>1017</v>
      </c>
      <c r="P2822" s="65"/>
      <c r="Q2822" s="65"/>
      <c r="R2822" s="58" t="s">
        <v>1017</v>
      </c>
      <c r="T2822" s="65"/>
      <c r="U2822" s="65"/>
      <c r="X2822" s="65"/>
      <c r="Z2822" s="12" t="s">
        <v>1017</v>
      </c>
      <c r="AA2822" s="67"/>
      <c r="AD2822" s="53"/>
    </row>
    <row r="2823" spans="1:30" s="12" customFormat="1" x14ac:dyDescent="0.25">
      <c r="A2823" s="610" t="s">
        <v>2416</v>
      </c>
      <c r="B2823" s="17" t="s">
        <v>5548</v>
      </c>
      <c r="C2823" s="30" t="s">
        <v>2385</v>
      </c>
      <c r="D2823" s="17" t="s">
        <v>7266</v>
      </c>
      <c r="E2823" s="17" t="s">
        <v>4810</v>
      </c>
      <c r="F2823" s="454">
        <v>13.53</v>
      </c>
      <c r="G2823" s="529">
        <v>13.53</v>
      </c>
      <c r="H2823" s="487">
        <f t="shared" si="1187"/>
        <v>10.82</v>
      </c>
      <c r="I2823" s="706"/>
      <c r="J2823" s="669" t="s">
        <v>5805</v>
      </c>
      <c r="K2823" s="23"/>
      <c r="L2823" s="70" t="str">
        <f t="shared" si="1188"/>
        <v/>
      </c>
      <c r="M2823" s="49">
        <f t="shared" si="1189"/>
        <v>13.530000000000001</v>
      </c>
      <c r="N2823" s="41">
        <f t="shared" si="1190"/>
        <v>11.55</v>
      </c>
      <c r="O2823" s="61"/>
      <c r="P2823" s="65"/>
      <c r="Q2823" s="65"/>
      <c r="R2823" s="58"/>
      <c r="T2823" s="65"/>
      <c r="U2823" s="65"/>
      <c r="X2823" s="65"/>
      <c r="AA2823" s="67"/>
      <c r="AB2823" s="12" t="s">
        <v>1017</v>
      </c>
      <c r="AD2823" s="53"/>
    </row>
    <row r="2824" spans="1:30" s="12" customFormat="1" x14ac:dyDescent="0.25">
      <c r="A2824" s="610" t="s">
        <v>2417</v>
      </c>
      <c r="B2824" s="17" t="s">
        <v>5548</v>
      </c>
      <c r="C2824" s="30" t="s">
        <v>2385</v>
      </c>
      <c r="D2824" s="17" t="s">
        <v>7267</v>
      </c>
      <c r="E2824" s="17" t="s">
        <v>4812</v>
      </c>
      <c r="F2824" s="454">
        <v>16.5</v>
      </c>
      <c r="G2824" s="529">
        <v>16.5</v>
      </c>
      <c r="H2824" s="487">
        <f t="shared" si="1187"/>
        <v>13.2</v>
      </c>
      <c r="I2824" s="706"/>
      <c r="J2824" s="669" t="s">
        <v>5805</v>
      </c>
      <c r="K2824" s="23"/>
      <c r="L2824" s="70" t="str">
        <f t="shared" si="1188"/>
        <v/>
      </c>
      <c r="M2824" s="49">
        <f t="shared" si="1189"/>
        <v>16.5</v>
      </c>
      <c r="N2824" s="41">
        <f t="shared" si="1190"/>
        <v>11.55</v>
      </c>
      <c r="O2824" s="43" t="s">
        <v>1017</v>
      </c>
      <c r="P2824" s="65"/>
      <c r="Q2824" s="65"/>
      <c r="R2824" s="58"/>
      <c r="T2824" s="65"/>
      <c r="U2824" s="65"/>
      <c r="X2824" s="65"/>
      <c r="AA2824" s="67"/>
      <c r="AB2824" s="12" t="s">
        <v>1017</v>
      </c>
      <c r="AD2824" s="53"/>
    </row>
    <row r="2825" spans="1:30" s="12" customFormat="1" x14ac:dyDescent="0.25">
      <c r="A2825" s="610" t="s">
        <v>2418</v>
      </c>
      <c r="B2825" s="17" t="s">
        <v>5548</v>
      </c>
      <c r="C2825" s="30" t="s">
        <v>2385</v>
      </c>
      <c r="D2825" s="30" t="s">
        <v>7268</v>
      </c>
      <c r="E2825" s="17" t="s">
        <v>4810</v>
      </c>
      <c r="F2825" s="454">
        <v>14.52</v>
      </c>
      <c r="G2825" s="529">
        <v>14.52</v>
      </c>
      <c r="H2825" s="487">
        <f t="shared" si="1187"/>
        <v>11.62</v>
      </c>
      <c r="I2825" s="706"/>
      <c r="J2825" s="669" t="s">
        <v>5805</v>
      </c>
      <c r="K2825" s="23"/>
      <c r="L2825" s="70" t="str">
        <f t="shared" si="1188"/>
        <v/>
      </c>
      <c r="M2825" s="49">
        <f t="shared" si="1189"/>
        <v>14.52</v>
      </c>
      <c r="N2825" s="41">
        <f t="shared" si="1190"/>
        <v>11.55</v>
      </c>
      <c r="O2825" s="61"/>
      <c r="P2825" s="65"/>
      <c r="Q2825" s="65"/>
      <c r="R2825" s="58" t="s">
        <v>1017</v>
      </c>
      <c r="T2825" s="65"/>
      <c r="U2825" s="65"/>
      <c r="X2825" s="65"/>
      <c r="AA2825" s="67"/>
      <c r="AB2825" s="12" t="s">
        <v>1017</v>
      </c>
      <c r="AD2825" s="53"/>
    </row>
    <row r="2826" spans="1:30" s="12" customFormat="1" x14ac:dyDescent="0.25">
      <c r="A2826" s="610" t="s">
        <v>2419</v>
      </c>
      <c r="B2826" s="17" t="s">
        <v>5548</v>
      </c>
      <c r="C2826" s="30" t="s">
        <v>2385</v>
      </c>
      <c r="D2826" s="30" t="s">
        <v>7269</v>
      </c>
      <c r="E2826" s="17" t="s">
        <v>4812</v>
      </c>
      <c r="F2826" s="454">
        <v>17.489999999999998</v>
      </c>
      <c r="G2826" s="529">
        <v>17.489999999999998</v>
      </c>
      <c r="H2826" s="487">
        <f t="shared" si="1187"/>
        <v>13.99</v>
      </c>
      <c r="I2826" s="706"/>
      <c r="J2826" s="669" t="s">
        <v>5805</v>
      </c>
      <c r="K2826" s="23"/>
      <c r="L2826" s="70" t="str">
        <f t="shared" si="1188"/>
        <v/>
      </c>
      <c r="M2826" s="49">
        <f t="shared" si="1189"/>
        <v>17.490000000000002</v>
      </c>
      <c r="N2826" s="41">
        <f t="shared" si="1190"/>
        <v>11.55</v>
      </c>
      <c r="O2826" s="43" t="s">
        <v>1017</v>
      </c>
      <c r="P2826" s="65"/>
      <c r="Q2826" s="65"/>
      <c r="R2826" s="58" t="s">
        <v>1017</v>
      </c>
      <c r="T2826" s="65"/>
      <c r="U2826" s="65"/>
      <c r="X2826" s="65"/>
      <c r="AA2826" s="67"/>
      <c r="AB2826" s="12" t="s">
        <v>1017</v>
      </c>
      <c r="AD2826" s="53"/>
    </row>
    <row r="2827" spans="1:30" s="12" customFormat="1" x14ac:dyDescent="0.25">
      <c r="A2827" s="610" t="s">
        <v>2420</v>
      </c>
      <c r="B2827" s="17" t="s">
        <v>5548</v>
      </c>
      <c r="C2827" s="30" t="s">
        <v>2385</v>
      </c>
      <c r="D2827" s="17" t="s">
        <v>7270</v>
      </c>
      <c r="E2827" s="17" t="s">
        <v>4810</v>
      </c>
      <c r="F2827" s="454">
        <v>19.47</v>
      </c>
      <c r="G2827" s="529">
        <v>19.47</v>
      </c>
      <c r="H2827" s="487">
        <f t="shared" si="1187"/>
        <v>15.58</v>
      </c>
      <c r="I2827" s="706"/>
      <c r="J2827" s="669" t="s">
        <v>5805</v>
      </c>
      <c r="K2827" s="23"/>
      <c r="L2827" s="70" t="str">
        <f t="shared" si="1188"/>
        <v/>
      </c>
      <c r="M2827" s="49">
        <f t="shared" si="1189"/>
        <v>19.47</v>
      </c>
      <c r="N2827" s="41">
        <f t="shared" si="1190"/>
        <v>11.55</v>
      </c>
      <c r="O2827" s="61"/>
      <c r="P2827" s="65"/>
      <c r="Q2827" s="65"/>
      <c r="R2827" s="58"/>
      <c r="S2827" s="12" t="s">
        <v>1017</v>
      </c>
      <c r="T2827" s="65"/>
      <c r="U2827" s="65"/>
      <c r="X2827" s="65"/>
      <c r="AA2827" s="67"/>
      <c r="AB2827" s="12" t="s">
        <v>1017</v>
      </c>
      <c r="AD2827" s="53"/>
    </row>
    <row r="2828" spans="1:30" s="12" customFormat="1" x14ac:dyDescent="0.25">
      <c r="A2828" s="610" t="s">
        <v>2421</v>
      </c>
      <c r="B2828" s="17" t="s">
        <v>5548</v>
      </c>
      <c r="C2828" s="30" t="s">
        <v>2385</v>
      </c>
      <c r="D2828" s="17" t="s">
        <v>7271</v>
      </c>
      <c r="E2828" s="17" t="s">
        <v>4812</v>
      </c>
      <c r="F2828" s="454">
        <v>22.44</v>
      </c>
      <c r="G2828" s="529">
        <v>22.44</v>
      </c>
      <c r="H2828" s="487">
        <f t="shared" si="1187"/>
        <v>17.95</v>
      </c>
      <c r="I2828" s="706"/>
      <c r="J2828" s="669" t="s">
        <v>5805</v>
      </c>
      <c r="K2828" s="23"/>
      <c r="L2828" s="70" t="str">
        <f t="shared" si="1188"/>
        <v/>
      </c>
      <c r="M2828" s="49">
        <f t="shared" si="1189"/>
        <v>22.44</v>
      </c>
      <c r="N2828" s="41">
        <f t="shared" si="1190"/>
        <v>11.55</v>
      </c>
      <c r="O2828" s="43" t="s">
        <v>1017</v>
      </c>
      <c r="P2828" s="65"/>
      <c r="Q2828" s="65"/>
      <c r="R2828" s="58"/>
      <c r="S2828" s="12" t="s">
        <v>1017</v>
      </c>
      <c r="T2828" s="65"/>
      <c r="U2828" s="65"/>
      <c r="X2828" s="65"/>
      <c r="AA2828" s="67"/>
      <c r="AB2828" s="12" t="s">
        <v>1017</v>
      </c>
      <c r="AD2828" s="53"/>
    </row>
    <row r="2829" spans="1:30" s="12" customFormat="1" x14ac:dyDescent="0.25">
      <c r="A2829" s="610" t="s">
        <v>2422</v>
      </c>
      <c r="B2829" s="17" t="s">
        <v>5548</v>
      </c>
      <c r="C2829" s="30" t="s">
        <v>2385</v>
      </c>
      <c r="D2829" s="30" t="s">
        <v>7272</v>
      </c>
      <c r="E2829" s="17" t="s">
        <v>4810</v>
      </c>
      <c r="F2829" s="454">
        <v>20.46</v>
      </c>
      <c r="G2829" s="529">
        <v>20.46</v>
      </c>
      <c r="H2829" s="487">
        <f t="shared" si="1187"/>
        <v>16.37</v>
      </c>
      <c r="I2829" s="706"/>
      <c r="J2829" s="669" t="s">
        <v>5805</v>
      </c>
      <c r="K2829" s="23"/>
      <c r="L2829" s="70" t="str">
        <f t="shared" si="1188"/>
        <v/>
      </c>
      <c r="M2829" s="49">
        <f t="shared" si="1189"/>
        <v>20.46</v>
      </c>
      <c r="N2829" s="41">
        <f t="shared" si="1190"/>
        <v>11.55</v>
      </c>
      <c r="O2829" s="61"/>
      <c r="P2829" s="65"/>
      <c r="Q2829" s="65"/>
      <c r="R2829" s="58" t="s">
        <v>1017</v>
      </c>
      <c r="S2829" s="12" t="s">
        <v>1017</v>
      </c>
      <c r="T2829" s="65"/>
      <c r="U2829" s="65"/>
      <c r="X2829" s="65"/>
      <c r="AA2829" s="67"/>
      <c r="AB2829" s="12" t="s">
        <v>1017</v>
      </c>
      <c r="AD2829" s="53"/>
    </row>
    <row r="2830" spans="1:30" s="12" customFormat="1" x14ac:dyDescent="0.25">
      <c r="A2830" s="610" t="s">
        <v>2423</v>
      </c>
      <c r="B2830" s="17" t="s">
        <v>5548</v>
      </c>
      <c r="C2830" s="30" t="s">
        <v>2385</v>
      </c>
      <c r="D2830" s="30" t="s">
        <v>7273</v>
      </c>
      <c r="E2830" s="17" t="s">
        <v>4812</v>
      </c>
      <c r="F2830" s="454">
        <v>23.43</v>
      </c>
      <c r="G2830" s="529">
        <v>23.43</v>
      </c>
      <c r="H2830" s="487">
        <f t="shared" si="1187"/>
        <v>18.739999999999998</v>
      </c>
      <c r="I2830" s="706"/>
      <c r="J2830" s="669" t="s">
        <v>5805</v>
      </c>
      <c r="K2830" s="23"/>
      <c r="L2830" s="70" t="str">
        <f t="shared" si="1188"/>
        <v/>
      </c>
      <c r="M2830" s="49">
        <f t="shared" si="1189"/>
        <v>23.43</v>
      </c>
      <c r="N2830" s="41">
        <f t="shared" si="1190"/>
        <v>11.55</v>
      </c>
      <c r="O2830" s="43" t="s">
        <v>1017</v>
      </c>
      <c r="P2830" s="65"/>
      <c r="Q2830" s="65"/>
      <c r="R2830" s="58" t="s">
        <v>1017</v>
      </c>
      <c r="S2830" s="12" t="s">
        <v>1017</v>
      </c>
      <c r="T2830" s="65"/>
      <c r="U2830" s="65"/>
      <c r="X2830" s="65"/>
      <c r="AA2830" s="67"/>
      <c r="AB2830" s="12" t="s">
        <v>1017</v>
      </c>
      <c r="AD2830" s="53"/>
    </row>
    <row r="2831" spans="1:30" s="12" customFormat="1" x14ac:dyDescent="0.25">
      <c r="A2831" s="610" t="s">
        <v>2424</v>
      </c>
      <c r="B2831" s="17" t="s">
        <v>5548</v>
      </c>
      <c r="C2831" s="30" t="s">
        <v>2385</v>
      </c>
      <c r="D2831" s="17" t="s">
        <v>7274</v>
      </c>
      <c r="E2831" s="17" t="s">
        <v>4810</v>
      </c>
      <c r="F2831" s="454">
        <v>20.46</v>
      </c>
      <c r="G2831" s="529">
        <v>20.46</v>
      </c>
      <c r="H2831" s="487">
        <f t="shared" si="1187"/>
        <v>16.37</v>
      </c>
      <c r="I2831" s="706"/>
      <c r="J2831" s="669" t="s">
        <v>5805</v>
      </c>
      <c r="K2831" s="23"/>
      <c r="L2831" s="70" t="str">
        <f t="shared" si="1188"/>
        <v/>
      </c>
      <c r="M2831" s="49">
        <f t="shared" si="1189"/>
        <v>20.46</v>
      </c>
      <c r="N2831" s="41">
        <f t="shared" si="1190"/>
        <v>11.55</v>
      </c>
      <c r="O2831" s="61"/>
      <c r="P2831" s="65"/>
      <c r="Q2831" s="65"/>
      <c r="R2831" s="58"/>
      <c r="T2831" s="65"/>
      <c r="U2831" s="65"/>
      <c r="V2831" s="12" t="s">
        <v>1017</v>
      </c>
      <c r="X2831" s="65"/>
      <c r="AA2831" s="67"/>
      <c r="AB2831" s="12" t="s">
        <v>1017</v>
      </c>
      <c r="AD2831" s="53"/>
    </row>
    <row r="2832" spans="1:30" s="12" customFormat="1" x14ac:dyDescent="0.25">
      <c r="A2832" s="610" t="s">
        <v>2425</v>
      </c>
      <c r="B2832" s="17" t="s">
        <v>5548</v>
      </c>
      <c r="C2832" s="30" t="s">
        <v>2385</v>
      </c>
      <c r="D2832" s="17" t="s">
        <v>7275</v>
      </c>
      <c r="E2832" s="17" t="s">
        <v>4812</v>
      </c>
      <c r="F2832" s="454">
        <v>23.43</v>
      </c>
      <c r="G2832" s="529">
        <v>23.43</v>
      </c>
      <c r="H2832" s="487">
        <f t="shared" si="1187"/>
        <v>18.739999999999998</v>
      </c>
      <c r="I2832" s="706"/>
      <c r="J2832" s="669" t="s">
        <v>5805</v>
      </c>
      <c r="K2832" s="23"/>
      <c r="L2832" s="70" t="str">
        <f t="shared" si="1188"/>
        <v/>
      </c>
      <c r="M2832" s="49">
        <f t="shared" si="1189"/>
        <v>23.43</v>
      </c>
      <c r="N2832" s="41">
        <f t="shared" si="1190"/>
        <v>11.55</v>
      </c>
      <c r="O2832" s="43" t="s">
        <v>1017</v>
      </c>
      <c r="P2832" s="65"/>
      <c r="Q2832" s="65"/>
      <c r="R2832" s="58"/>
      <c r="T2832" s="65"/>
      <c r="U2832" s="65"/>
      <c r="V2832" s="12" t="s">
        <v>1017</v>
      </c>
      <c r="X2832" s="65"/>
      <c r="AA2832" s="67"/>
      <c r="AB2832" s="12" t="s">
        <v>1017</v>
      </c>
      <c r="AD2832" s="53"/>
    </row>
    <row r="2833" spans="1:30" s="12" customFormat="1" x14ac:dyDescent="0.25">
      <c r="A2833" s="610" t="s">
        <v>2426</v>
      </c>
      <c r="B2833" s="17" t="s">
        <v>5548</v>
      </c>
      <c r="C2833" s="30" t="s">
        <v>2385</v>
      </c>
      <c r="D2833" s="17" t="s">
        <v>7276</v>
      </c>
      <c r="E2833" s="17" t="s">
        <v>4810</v>
      </c>
      <c r="F2833" s="454">
        <v>21.45</v>
      </c>
      <c r="G2833" s="529">
        <v>21.45</v>
      </c>
      <c r="H2833" s="487">
        <f t="shared" si="1187"/>
        <v>17.16</v>
      </c>
      <c r="I2833" s="706"/>
      <c r="J2833" s="669" t="s">
        <v>5805</v>
      </c>
      <c r="K2833" s="23"/>
      <c r="L2833" s="70" t="str">
        <f t="shared" si="1188"/>
        <v/>
      </c>
      <c r="M2833" s="49">
        <f t="shared" si="1189"/>
        <v>21.450000000000003</v>
      </c>
      <c r="N2833" s="41">
        <f t="shared" si="1190"/>
        <v>11.55</v>
      </c>
      <c r="O2833" s="61"/>
      <c r="P2833" s="65"/>
      <c r="Q2833" s="65"/>
      <c r="R2833" s="58" t="s">
        <v>1017</v>
      </c>
      <c r="T2833" s="65"/>
      <c r="U2833" s="65"/>
      <c r="V2833" s="12" t="s">
        <v>1017</v>
      </c>
      <c r="X2833" s="65"/>
      <c r="AA2833" s="67"/>
      <c r="AB2833" s="12" t="s">
        <v>1017</v>
      </c>
      <c r="AD2833" s="53"/>
    </row>
    <row r="2834" spans="1:30" s="12" customFormat="1" x14ac:dyDescent="0.25">
      <c r="A2834" s="610" t="s">
        <v>2427</v>
      </c>
      <c r="B2834" s="17" t="s">
        <v>5548</v>
      </c>
      <c r="C2834" s="30" t="s">
        <v>2385</v>
      </c>
      <c r="D2834" s="17" t="s">
        <v>7277</v>
      </c>
      <c r="E2834" s="17" t="s">
        <v>4812</v>
      </c>
      <c r="F2834" s="454">
        <v>24.42</v>
      </c>
      <c r="G2834" s="529">
        <v>24.42</v>
      </c>
      <c r="H2834" s="487">
        <f t="shared" si="1187"/>
        <v>19.54</v>
      </c>
      <c r="I2834" s="706"/>
      <c r="J2834" s="669" t="s">
        <v>5805</v>
      </c>
      <c r="K2834" s="23"/>
      <c r="L2834" s="70" t="str">
        <f t="shared" si="1188"/>
        <v/>
      </c>
      <c r="M2834" s="49">
        <f t="shared" si="1189"/>
        <v>24.42</v>
      </c>
      <c r="N2834" s="41">
        <f t="shared" si="1190"/>
        <v>11.55</v>
      </c>
      <c r="O2834" s="43" t="s">
        <v>1017</v>
      </c>
      <c r="P2834" s="65"/>
      <c r="Q2834" s="65"/>
      <c r="R2834" s="58" t="s">
        <v>1017</v>
      </c>
      <c r="T2834" s="65"/>
      <c r="U2834" s="65"/>
      <c r="V2834" s="12" t="s">
        <v>1017</v>
      </c>
      <c r="X2834" s="65"/>
      <c r="AA2834" s="67"/>
      <c r="AB2834" s="12" t="s">
        <v>1017</v>
      </c>
      <c r="AD2834" s="53"/>
    </row>
    <row r="2835" spans="1:30" s="12" customFormat="1" x14ac:dyDescent="0.25">
      <c r="A2835" s="610" t="s">
        <v>2428</v>
      </c>
      <c r="B2835" s="17" t="s">
        <v>5548</v>
      </c>
      <c r="C2835" s="30" t="s">
        <v>2385</v>
      </c>
      <c r="D2835" s="17" t="s">
        <v>7278</v>
      </c>
      <c r="E2835" s="17" t="s">
        <v>4810</v>
      </c>
      <c r="F2835" s="454">
        <v>22.44</v>
      </c>
      <c r="G2835" s="529">
        <v>22.44</v>
      </c>
      <c r="H2835" s="487">
        <f t="shared" si="1187"/>
        <v>17.95</v>
      </c>
      <c r="I2835" s="706"/>
      <c r="J2835" s="669" t="s">
        <v>5805</v>
      </c>
      <c r="K2835" s="23"/>
      <c r="L2835" s="70" t="str">
        <f t="shared" si="1188"/>
        <v/>
      </c>
      <c r="M2835" s="49">
        <f t="shared" si="1189"/>
        <v>22.44</v>
      </c>
      <c r="N2835" s="41">
        <f t="shared" si="1190"/>
        <v>11.55</v>
      </c>
      <c r="O2835" s="61"/>
      <c r="P2835" s="65"/>
      <c r="Q2835" s="65"/>
      <c r="R2835" s="58"/>
      <c r="T2835" s="65"/>
      <c r="U2835" s="65"/>
      <c r="X2835" s="65"/>
      <c r="Y2835" s="12" t="s">
        <v>1017</v>
      </c>
      <c r="AA2835" s="67"/>
      <c r="AB2835" s="12" t="s">
        <v>1017</v>
      </c>
      <c r="AD2835" s="53"/>
    </row>
    <row r="2836" spans="1:30" s="12" customFormat="1" x14ac:dyDescent="0.25">
      <c r="A2836" s="610" t="s">
        <v>2429</v>
      </c>
      <c r="B2836" s="17" t="s">
        <v>5548</v>
      </c>
      <c r="C2836" s="30" t="s">
        <v>2385</v>
      </c>
      <c r="D2836" s="17" t="s">
        <v>7279</v>
      </c>
      <c r="E2836" s="17" t="s">
        <v>4812</v>
      </c>
      <c r="F2836" s="454">
        <v>25.41</v>
      </c>
      <c r="G2836" s="529">
        <v>25.41</v>
      </c>
      <c r="H2836" s="487">
        <f t="shared" si="1187"/>
        <v>20.329999999999998</v>
      </c>
      <c r="I2836" s="706"/>
      <c r="J2836" s="669" t="s">
        <v>5805</v>
      </c>
      <c r="K2836" s="23"/>
      <c r="L2836" s="70" t="str">
        <f t="shared" si="1188"/>
        <v/>
      </c>
      <c r="M2836" s="49">
        <f t="shared" si="1189"/>
        <v>25.410000000000004</v>
      </c>
      <c r="N2836" s="41">
        <f t="shared" si="1190"/>
        <v>11.55</v>
      </c>
      <c r="O2836" s="43" t="s">
        <v>1017</v>
      </c>
      <c r="P2836" s="65"/>
      <c r="Q2836" s="65"/>
      <c r="R2836" s="58"/>
      <c r="T2836" s="65"/>
      <c r="U2836" s="65"/>
      <c r="X2836" s="65"/>
      <c r="Y2836" s="12" t="s">
        <v>1017</v>
      </c>
      <c r="AA2836" s="67"/>
      <c r="AB2836" s="12" t="s">
        <v>1017</v>
      </c>
      <c r="AD2836" s="53"/>
    </row>
    <row r="2837" spans="1:30" s="12" customFormat="1" x14ac:dyDescent="0.25">
      <c r="A2837" s="610" t="s">
        <v>2430</v>
      </c>
      <c r="B2837" s="17" t="s">
        <v>5548</v>
      </c>
      <c r="C2837" s="30" t="s">
        <v>2385</v>
      </c>
      <c r="D2837" s="17" t="s">
        <v>7280</v>
      </c>
      <c r="E2837" s="17" t="s">
        <v>4810</v>
      </c>
      <c r="F2837" s="454">
        <v>23.43</v>
      </c>
      <c r="G2837" s="529">
        <v>23.43</v>
      </c>
      <c r="H2837" s="487">
        <f t="shared" si="1187"/>
        <v>18.739999999999998</v>
      </c>
      <c r="I2837" s="706"/>
      <c r="J2837" s="669" t="s">
        <v>5805</v>
      </c>
      <c r="K2837" s="23"/>
      <c r="L2837" s="70" t="str">
        <f t="shared" si="1188"/>
        <v/>
      </c>
      <c r="M2837" s="49">
        <f t="shared" si="1189"/>
        <v>23.43</v>
      </c>
      <c r="N2837" s="41">
        <f t="shared" si="1190"/>
        <v>11.55</v>
      </c>
      <c r="O2837" s="61"/>
      <c r="P2837" s="65"/>
      <c r="Q2837" s="65"/>
      <c r="R2837" s="58" t="s">
        <v>1017</v>
      </c>
      <c r="T2837" s="65"/>
      <c r="U2837" s="65"/>
      <c r="X2837" s="65"/>
      <c r="Y2837" s="12" t="s">
        <v>1017</v>
      </c>
      <c r="AA2837" s="67"/>
      <c r="AB2837" s="12" t="s">
        <v>1017</v>
      </c>
      <c r="AD2837" s="53"/>
    </row>
    <row r="2838" spans="1:30" s="12" customFormat="1" x14ac:dyDescent="0.25">
      <c r="A2838" s="610" t="s">
        <v>2431</v>
      </c>
      <c r="B2838" s="17" t="s">
        <v>5548</v>
      </c>
      <c r="C2838" s="30" t="s">
        <v>2385</v>
      </c>
      <c r="D2838" s="17" t="s">
        <v>7281</v>
      </c>
      <c r="E2838" s="17" t="s">
        <v>4812</v>
      </c>
      <c r="F2838" s="454">
        <v>26.4</v>
      </c>
      <c r="G2838" s="529">
        <v>26.4</v>
      </c>
      <c r="H2838" s="487">
        <f t="shared" si="1187"/>
        <v>21.12</v>
      </c>
      <c r="I2838" s="706"/>
      <c r="J2838" s="669" t="s">
        <v>5805</v>
      </c>
      <c r="K2838" s="23"/>
      <c r="L2838" s="70" t="str">
        <f t="shared" si="1188"/>
        <v/>
      </c>
      <c r="M2838" s="49">
        <f t="shared" si="1189"/>
        <v>26.400000000000002</v>
      </c>
      <c r="N2838" s="41">
        <f t="shared" si="1190"/>
        <v>11.55</v>
      </c>
      <c r="O2838" s="43" t="s">
        <v>1017</v>
      </c>
      <c r="P2838" s="65"/>
      <c r="Q2838" s="65"/>
      <c r="R2838" s="58" t="s">
        <v>1017</v>
      </c>
      <c r="T2838" s="65"/>
      <c r="U2838" s="65"/>
      <c r="X2838" s="65"/>
      <c r="Y2838" s="12" t="s">
        <v>1017</v>
      </c>
      <c r="AA2838" s="67"/>
      <c r="AB2838" s="12" t="s">
        <v>1017</v>
      </c>
      <c r="AD2838" s="53"/>
    </row>
    <row r="2839" spans="1:30" s="12" customFormat="1" x14ac:dyDescent="0.25">
      <c r="A2839" s="610" t="s">
        <v>2432</v>
      </c>
      <c r="B2839" s="17" t="s">
        <v>5548</v>
      </c>
      <c r="C2839" s="30" t="s">
        <v>2385</v>
      </c>
      <c r="D2839" s="17" t="s">
        <v>7282</v>
      </c>
      <c r="E2839" s="17" t="s">
        <v>4810</v>
      </c>
      <c r="F2839" s="454">
        <v>24.42</v>
      </c>
      <c r="G2839" s="529">
        <v>24.42</v>
      </c>
      <c r="H2839" s="487">
        <f t="shared" si="1187"/>
        <v>19.54</v>
      </c>
      <c r="I2839" s="706"/>
      <c r="J2839" s="669" t="s">
        <v>5805</v>
      </c>
      <c r="K2839" s="23"/>
      <c r="L2839" s="70" t="str">
        <f t="shared" si="1188"/>
        <v/>
      </c>
      <c r="M2839" s="49">
        <f t="shared" si="1189"/>
        <v>24.42</v>
      </c>
      <c r="N2839" s="41">
        <f t="shared" si="1190"/>
        <v>11.55</v>
      </c>
      <c r="O2839" s="61"/>
      <c r="P2839" s="65"/>
      <c r="Q2839" s="65"/>
      <c r="R2839" s="58"/>
      <c r="T2839" s="65"/>
      <c r="U2839" s="65"/>
      <c r="W2839" s="12" t="s">
        <v>1017</v>
      </c>
      <c r="X2839" s="65"/>
      <c r="AA2839" s="67"/>
      <c r="AB2839" s="12" t="s">
        <v>1017</v>
      </c>
      <c r="AD2839" s="53"/>
    </row>
    <row r="2840" spans="1:30" s="12" customFormat="1" x14ac:dyDescent="0.25">
      <c r="A2840" s="610" t="s">
        <v>2433</v>
      </c>
      <c r="B2840" s="17" t="s">
        <v>5548</v>
      </c>
      <c r="C2840" s="30" t="s">
        <v>2385</v>
      </c>
      <c r="D2840" s="17" t="s">
        <v>7283</v>
      </c>
      <c r="E2840" s="17" t="s">
        <v>4812</v>
      </c>
      <c r="F2840" s="454">
        <v>27.39</v>
      </c>
      <c r="G2840" s="529">
        <v>27.39</v>
      </c>
      <c r="H2840" s="487">
        <f t="shared" si="1187"/>
        <v>21.91</v>
      </c>
      <c r="I2840" s="706"/>
      <c r="J2840" s="669" t="s">
        <v>5805</v>
      </c>
      <c r="K2840" s="23"/>
      <c r="L2840" s="70" t="str">
        <f t="shared" si="1188"/>
        <v/>
      </c>
      <c r="M2840" s="49">
        <f t="shared" si="1189"/>
        <v>27.39</v>
      </c>
      <c r="N2840" s="41">
        <f t="shared" si="1190"/>
        <v>11.55</v>
      </c>
      <c r="O2840" s="43" t="s">
        <v>1017</v>
      </c>
      <c r="P2840" s="65"/>
      <c r="Q2840" s="65"/>
      <c r="R2840" s="58"/>
      <c r="T2840" s="65"/>
      <c r="U2840" s="65"/>
      <c r="W2840" s="12" t="s">
        <v>1017</v>
      </c>
      <c r="X2840" s="65"/>
      <c r="AA2840" s="67"/>
      <c r="AB2840" s="12" t="s">
        <v>1017</v>
      </c>
      <c r="AD2840" s="53"/>
    </row>
    <row r="2841" spans="1:30" s="12" customFormat="1" x14ac:dyDescent="0.25">
      <c r="A2841" s="610" t="s">
        <v>4536</v>
      </c>
      <c r="B2841" s="17" t="s">
        <v>5548</v>
      </c>
      <c r="C2841" s="30" t="s">
        <v>2385</v>
      </c>
      <c r="D2841" s="17" t="s">
        <v>7284</v>
      </c>
      <c r="E2841" s="17" t="s">
        <v>4810</v>
      </c>
      <c r="F2841" s="454">
        <v>25.41</v>
      </c>
      <c r="G2841" s="529">
        <v>25.41</v>
      </c>
      <c r="H2841" s="487">
        <f t="shared" si="1187"/>
        <v>20.329999999999998</v>
      </c>
      <c r="I2841" s="706"/>
      <c r="J2841" s="669" t="s">
        <v>5805</v>
      </c>
      <c r="K2841" s="23"/>
      <c r="L2841" s="70" t="str">
        <f t="shared" si="1188"/>
        <v/>
      </c>
      <c r="M2841" s="49">
        <f t="shared" si="1189"/>
        <v>25.410000000000004</v>
      </c>
      <c r="N2841" s="41">
        <f t="shared" si="1190"/>
        <v>11.55</v>
      </c>
      <c r="O2841" s="61"/>
      <c r="P2841" s="65"/>
      <c r="Q2841" s="65"/>
      <c r="R2841" s="58" t="s">
        <v>1017</v>
      </c>
      <c r="T2841" s="65"/>
      <c r="U2841" s="65"/>
      <c r="W2841" s="12" t="s">
        <v>1017</v>
      </c>
      <c r="X2841" s="65"/>
      <c r="AA2841" s="67"/>
      <c r="AB2841" s="12" t="s">
        <v>1017</v>
      </c>
      <c r="AD2841" s="53"/>
    </row>
    <row r="2842" spans="1:30" s="12" customFormat="1" x14ac:dyDescent="0.25">
      <c r="A2842" s="610" t="s">
        <v>4537</v>
      </c>
      <c r="B2842" s="17" t="s">
        <v>5548</v>
      </c>
      <c r="C2842" s="30" t="s">
        <v>2385</v>
      </c>
      <c r="D2842" s="17" t="s">
        <v>7285</v>
      </c>
      <c r="E2842" s="17" t="s">
        <v>4812</v>
      </c>
      <c r="F2842" s="454">
        <v>28.38</v>
      </c>
      <c r="G2842" s="529">
        <v>28.38</v>
      </c>
      <c r="H2842" s="487">
        <f t="shared" si="1187"/>
        <v>22.7</v>
      </c>
      <c r="I2842" s="706"/>
      <c r="J2842" s="669" t="s">
        <v>5805</v>
      </c>
      <c r="K2842" s="23"/>
      <c r="L2842" s="70" t="str">
        <f t="shared" si="1188"/>
        <v/>
      </c>
      <c r="M2842" s="49">
        <f t="shared" si="1189"/>
        <v>28.380000000000003</v>
      </c>
      <c r="N2842" s="41">
        <f t="shared" si="1190"/>
        <v>11.55</v>
      </c>
      <c r="O2842" s="43" t="s">
        <v>1017</v>
      </c>
      <c r="P2842" s="65"/>
      <c r="Q2842" s="65"/>
      <c r="R2842" s="58" t="s">
        <v>1017</v>
      </c>
      <c r="T2842" s="65"/>
      <c r="U2842" s="65"/>
      <c r="W2842" s="12" t="s">
        <v>1017</v>
      </c>
      <c r="X2842" s="65"/>
      <c r="AA2842" s="67"/>
      <c r="AB2842" s="12" t="s">
        <v>1017</v>
      </c>
      <c r="AD2842" s="53"/>
    </row>
    <row r="2843" spans="1:30" s="12" customFormat="1" x14ac:dyDescent="0.25">
      <c r="A2843" s="610" t="s">
        <v>4538</v>
      </c>
      <c r="B2843" s="17" t="s">
        <v>5548</v>
      </c>
      <c r="C2843" s="30" t="s">
        <v>2385</v>
      </c>
      <c r="D2843" s="17" t="s">
        <v>7286</v>
      </c>
      <c r="E2843" s="17" t="s">
        <v>4810</v>
      </c>
      <c r="F2843" s="454">
        <v>26.4</v>
      </c>
      <c r="G2843" s="529">
        <v>26.4</v>
      </c>
      <c r="H2843" s="487">
        <f t="shared" si="1187"/>
        <v>21.12</v>
      </c>
      <c r="I2843" s="706"/>
      <c r="J2843" s="669" t="s">
        <v>5805</v>
      </c>
      <c r="K2843" s="23"/>
      <c r="L2843" s="70" t="str">
        <f t="shared" si="1188"/>
        <v/>
      </c>
      <c r="M2843" s="49">
        <f t="shared" si="1189"/>
        <v>26.400000000000002</v>
      </c>
      <c r="N2843" s="41">
        <f t="shared" si="1190"/>
        <v>11.55</v>
      </c>
      <c r="O2843" s="61"/>
      <c r="P2843" s="65"/>
      <c r="Q2843" s="65"/>
      <c r="R2843" s="58"/>
      <c r="T2843" s="65"/>
      <c r="U2843" s="65"/>
      <c r="X2843" s="65"/>
      <c r="Z2843" s="12" t="s">
        <v>1017</v>
      </c>
      <c r="AA2843" s="67"/>
      <c r="AB2843" s="12" t="s">
        <v>1017</v>
      </c>
      <c r="AD2843" s="53"/>
    </row>
    <row r="2844" spans="1:30" s="12" customFormat="1" x14ac:dyDescent="0.25">
      <c r="A2844" s="610" t="s">
        <v>5597</v>
      </c>
      <c r="B2844" s="17" t="s">
        <v>5548</v>
      </c>
      <c r="C2844" s="30" t="s">
        <v>2385</v>
      </c>
      <c r="D2844" s="17" t="s">
        <v>7287</v>
      </c>
      <c r="E2844" s="17" t="s">
        <v>4812</v>
      </c>
      <c r="F2844" s="454">
        <v>29.37</v>
      </c>
      <c r="G2844" s="529">
        <v>29.37</v>
      </c>
      <c r="H2844" s="487">
        <f t="shared" si="1187"/>
        <v>23.5</v>
      </c>
      <c r="I2844" s="706"/>
      <c r="J2844" s="669" t="s">
        <v>5805</v>
      </c>
      <c r="K2844" s="23"/>
      <c r="L2844" s="70" t="str">
        <f t="shared" si="1188"/>
        <v/>
      </c>
      <c r="M2844" s="49">
        <f t="shared" si="1189"/>
        <v>29.37</v>
      </c>
      <c r="N2844" s="41">
        <f t="shared" si="1190"/>
        <v>11.55</v>
      </c>
      <c r="O2844" s="43" t="s">
        <v>1017</v>
      </c>
      <c r="P2844" s="65"/>
      <c r="Q2844" s="65"/>
      <c r="R2844" s="58"/>
      <c r="T2844" s="65"/>
      <c r="U2844" s="65"/>
      <c r="X2844" s="65"/>
      <c r="Z2844" s="12" t="s">
        <v>1017</v>
      </c>
      <c r="AA2844" s="67"/>
      <c r="AB2844" s="12" t="s">
        <v>1017</v>
      </c>
      <c r="AD2844" s="53"/>
    </row>
    <row r="2845" spans="1:30" s="12" customFormat="1" x14ac:dyDescent="0.25">
      <c r="A2845" s="610" t="s">
        <v>5598</v>
      </c>
      <c r="B2845" s="17" t="s">
        <v>5548</v>
      </c>
      <c r="C2845" s="30" t="s">
        <v>2385</v>
      </c>
      <c r="D2845" s="17" t="s">
        <v>7288</v>
      </c>
      <c r="E2845" s="17" t="s">
        <v>4810</v>
      </c>
      <c r="F2845" s="454">
        <v>27.39</v>
      </c>
      <c r="G2845" s="529">
        <v>27.39</v>
      </c>
      <c r="H2845" s="487">
        <f t="shared" si="1187"/>
        <v>21.91</v>
      </c>
      <c r="I2845" s="706"/>
      <c r="J2845" s="669" t="s">
        <v>5805</v>
      </c>
      <c r="K2845" s="23"/>
      <c r="L2845" s="70" t="str">
        <f t="shared" si="1188"/>
        <v/>
      </c>
      <c r="M2845" s="49">
        <f t="shared" si="1189"/>
        <v>27.39</v>
      </c>
      <c r="N2845" s="41">
        <f t="shared" si="1190"/>
        <v>11.55</v>
      </c>
      <c r="O2845" s="61"/>
      <c r="P2845" s="65"/>
      <c r="Q2845" s="65"/>
      <c r="R2845" s="58" t="s">
        <v>1017</v>
      </c>
      <c r="T2845" s="65"/>
      <c r="U2845" s="65"/>
      <c r="X2845" s="65"/>
      <c r="Z2845" s="12" t="s">
        <v>1017</v>
      </c>
      <c r="AA2845" s="67"/>
      <c r="AB2845" s="12" t="s">
        <v>1017</v>
      </c>
      <c r="AD2845" s="53"/>
    </row>
    <row r="2846" spans="1:30" s="12" customFormat="1" x14ac:dyDescent="0.25">
      <c r="A2846" s="610" t="s">
        <v>5599</v>
      </c>
      <c r="B2846" s="17" t="s">
        <v>5548</v>
      </c>
      <c r="C2846" s="30" t="s">
        <v>2385</v>
      </c>
      <c r="D2846" s="17" t="s">
        <v>7289</v>
      </c>
      <c r="E2846" s="17" t="s">
        <v>4812</v>
      </c>
      <c r="F2846" s="454">
        <v>30.36</v>
      </c>
      <c r="G2846" s="529">
        <v>30.36</v>
      </c>
      <c r="H2846" s="487">
        <f t="shared" si="1187"/>
        <v>24.29</v>
      </c>
      <c r="I2846" s="706"/>
      <c r="J2846" s="669" t="s">
        <v>5805</v>
      </c>
      <c r="K2846" s="23"/>
      <c r="L2846" s="70" t="str">
        <f t="shared" si="1188"/>
        <v/>
      </c>
      <c r="M2846" s="49">
        <f t="shared" si="1189"/>
        <v>30.360000000000003</v>
      </c>
      <c r="N2846" s="41">
        <f t="shared" si="1190"/>
        <v>11.55</v>
      </c>
      <c r="O2846" s="43" t="s">
        <v>1017</v>
      </c>
      <c r="P2846" s="65"/>
      <c r="Q2846" s="65"/>
      <c r="R2846" s="58" t="s">
        <v>1017</v>
      </c>
      <c r="T2846" s="65"/>
      <c r="U2846" s="65"/>
      <c r="X2846" s="65"/>
      <c r="Z2846" s="12" t="s">
        <v>1017</v>
      </c>
      <c r="AA2846" s="67"/>
      <c r="AB2846" s="12" t="s">
        <v>1017</v>
      </c>
      <c r="AD2846" s="53"/>
    </row>
    <row r="2847" spans="1:30" s="12" customFormat="1" x14ac:dyDescent="0.25">
      <c r="A2847" s="610" t="s">
        <v>5600</v>
      </c>
      <c r="B2847" s="17" t="s">
        <v>5548</v>
      </c>
      <c r="C2847" s="30" t="s">
        <v>2385</v>
      </c>
      <c r="D2847" s="17" t="s">
        <v>7290</v>
      </c>
      <c r="E2847" s="17" t="s">
        <v>4810</v>
      </c>
      <c r="F2847" s="454">
        <v>12.54</v>
      </c>
      <c r="G2847" s="529">
        <v>12.54</v>
      </c>
      <c r="H2847" s="487">
        <f t="shared" si="1187"/>
        <v>10.029999999999999</v>
      </c>
      <c r="I2847" s="706"/>
      <c r="J2847" s="669" t="s">
        <v>5805</v>
      </c>
      <c r="K2847" s="23"/>
      <c r="L2847" s="70" t="str">
        <f t="shared" si="1188"/>
        <v/>
      </c>
      <c r="M2847" s="49">
        <f t="shared" si="1189"/>
        <v>12.540000000000001</v>
      </c>
      <c r="N2847" s="41">
        <f t="shared" si="1190"/>
        <v>11.55</v>
      </c>
      <c r="O2847" s="61"/>
      <c r="P2847" s="65"/>
      <c r="Q2847" s="65"/>
      <c r="R2847" s="58"/>
      <c r="T2847" s="65"/>
      <c r="U2847" s="65"/>
      <c r="X2847" s="65"/>
      <c r="AA2847" s="67"/>
      <c r="AC2847" s="12" t="s">
        <v>1017</v>
      </c>
      <c r="AD2847" s="53"/>
    </row>
    <row r="2848" spans="1:30" s="12" customFormat="1" x14ac:dyDescent="0.25">
      <c r="A2848" s="610" t="s">
        <v>5601</v>
      </c>
      <c r="B2848" s="17" t="s">
        <v>5548</v>
      </c>
      <c r="C2848" s="30" t="s">
        <v>2385</v>
      </c>
      <c r="D2848" s="17" t="s">
        <v>7291</v>
      </c>
      <c r="E2848" s="17" t="s">
        <v>4812</v>
      </c>
      <c r="F2848" s="454">
        <v>15.51</v>
      </c>
      <c r="G2848" s="529">
        <v>15.51</v>
      </c>
      <c r="H2848" s="487">
        <f t="shared" si="1187"/>
        <v>12.41</v>
      </c>
      <c r="I2848" s="706"/>
      <c r="J2848" s="669" t="s">
        <v>5805</v>
      </c>
      <c r="K2848" s="23"/>
      <c r="L2848" s="70" t="str">
        <f t="shared" si="1188"/>
        <v/>
      </c>
      <c r="M2848" s="49">
        <f t="shared" si="1189"/>
        <v>15.510000000000002</v>
      </c>
      <c r="N2848" s="41">
        <f t="shared" si="1190"/>
        <v>11.55</v>
      </c>
      <c r="O2848" s="43" t="s">
        <v>1017</v>
      </c>
      <c r="P2848" s="65"/>
      <c r="Q2848" s="65"/>
      <c r="R2848" s="58"/>
      <c r="T2848" s="65"/>
      <c r="U2848" s="65"/>
      <c r="X2848" s="65"/>
      <c r="AA2848" s="67"/>
      <c r="AC2848" s="12" t="s">
        <v>1017</v>
      </c>
      <c r="AD2848" s="53"/>
    </row>
    <row r="2849" spans="1:30" s="12" customFormat="1" x14ac:dyDescent="0.25">
      <c r="A2849" s="610" t="s">
        <v>5602</v>
      </c>
      <c r="B2849" s="17" t="s">
        <v>5548</v>
      </c>
      <c r="C2849" s="30" t="s">
        <v>2385</v>
      </c>
      <c r="D2849" s="30" t="s">
        <v>7292</v>
      </c>
      <c r="E2849" s="17" t="s">
        <v>4810</v>
      </c>
      <c r="F2849" s="454">
        <v>13.53</v>
      </c>
      <c r="G2849" s="529">
        <v>13.53</v>
      </c>
      <c r="H2849" s="487">
        <f t="shared" si="1187"/>
        <v>10.82</v>
      </c>
      <c r="I2849" s="706"/>
      <c r="J2849" s="669" t="s">
        <v>5805</v>
      </c>
      <c r="K2849" s="23"/>
      <c r="L2849" s="70" t="str">
        <f t="shared" si="1188"/>
        <v/>
      </c>
      <c r="M2849" s="49">
        <f t="shared" si="1189"/>
        <v>13.530000000000001</v>
      </c>
      <c r="N2849" s="41">
        <f t="shared" si="1190"/>
        <v>11.55</v>
      </c>
      <c r="O2849" s="61"/>
      <c r="P2849" s="65"/>
      <c r="Q2849" s="65"/>
      <c r="R2849" s="58" t="s">
        <v>1017</v>
      </c>
      <c r="T2849" s="65"/>
      <c r="U2849" s="65"/>
      <c r="X2849" s="65"/>
      <c r="AA2849" s="67"/>
      <c r="AC2849" s="12" t="s">
        <v>1017</v>
      </c>
      <c r="AD2849" s="53"/>
    </row>
    <row r="2850" spans="1:30" s="12" customFormat="1" x14ac:dyDescent="0.25">
      <c r="A2850" s="610" t="s">
        <v>3730</v>
      </c>
      <c r="B2850" s="17" t="s">
        <v>5548</v>
      </c>
      <c r="C2850" s="30" t="s">
        <v>2385</v>
      </c>
      <c r="D2850" s="30" t="s">
        <v>7293</v>
      </c>
      <c r="E2850" s="17" t="s">
        <v>4812</v>
      </c>
      <c r="F2850" s="454">
        <v>16.5</v>
      </c>
      <c r="G2850" s="529">
        <v>16.5</v>
      </c>
      <c r="H2850" s="487">
        <f t="shared" si="1187"/>
        <v>13.2</v>
      </c>
      <c r="I2850" s="706"/>
      <c r="J2850" s="669" t="s">
        <v>5805</v>
      </c>
      <c r="K2850" s="23"/>
      <c r="L2850" s="70" t="str">
        <f t="shared" si="1188"/>
        <v/>
      </c>
      <c r="M2850" s="49">
        <f t="shared" si="1189"/>
        <v>16.5</v>
      </c>
      <c r="N2850" s="41">
        <f t="shared" si="1190"/>
        <v>11.55</v>
      </c>
      <c r="O2850" s="43" t="s">
        <v>1017</v>
      </c>
      <c r="P2850" s="65"/>
      <c r="Q2850" s="65"/>
      <c r="R2850" s="58" t="s">
        <v>1017</v>
      </c>
      <c r="T2850" s="65"/>
      <c r="U2850" s="65"/>
      <c r="X2850" s="65"/>
      <c r="AA2850" s="67"/>
      <c r="AC2850" s="12" t="s">
        <v>1017</v>
      </c>
      <c r="AD2850" s="53"/>
    </row>
    <row r="2851" spans="1:30" s="12" customFormat="1" x14ac:dyDescent="0.25">
      <c r="A2851" s="610" t="s">
        <v>3731</v>
      </c>
      <c r="B2851" s="17" t="s">
        <v>5548</v>
      </c>
      <c r="C2851" s="30" t="s">
        <v>2385</v>
      </c>
      <c r="D2851" s="17" t="s">
        <v>7294</v>
      </c>
      <c r="E2851" s="17" t="s">
        <v>4810</v>
      </c>
      <c r="F2851" s="454">
        <v>18.48</v>
      </c>
      <c r="G2851" s="529">
        <v>18.48</v>
      </c>
      <c r="H2851" s="487">
        <f t="shared" si="1187"/>
        <v>14.78</v>
      </c>
      <c r="I2851" s="706"/>
      <c r="J2851" s="669" t="s">
        <v>5805</v>
      </c>
      <c r="K2851" s="23"/>
      <c r="L2851" s="70" t="str">
        <f t="shared" si="1188"/>
        <v/>
      </c>
      <c r="M2851" s="49">
        <f t="shared" si="1189"/>
        <v>18.48</v>
      </c>
      <c r="N2851" s="41">
        <f t="shared" si="1190"/>
        <v>11.55</v>
      </c>
      <c r="O2851" s="61"/>
      <c r="P2851" s="65"/>
      <c r="Q2851" s="65"/>
      <c r="R2851" s="58"/>
      <c r="S2851" s="12" t="s">
        <v>1017</v>
      </c>
      <c r="T2851" s="65"/>
      <c r="U2851" s="65"/>
      <c r="X2851" s="65"/>
      <c r="AA2851" s="67"/>
      <c r="AC2851" s="12" t="s">
        <v>1017</v>
      </c>
      <c r="AD2851" s="53"/>
    </row>
    <row r="2852" spans="1:30" s="12" customFormat="1" x14ac:dyDescent="0.25">
      <c r="A2852" s="610" t="s">
        <v>3732</v>
      </c>
      <c r="B2852" s="17" t="s">
        <v>5548</v>
      </c>
      <c r="C2852" s="30" t="s">
        <v>2385</v>
      </c>
      <c r="D2852" s="17" t="s">
        <v>7295</v>
      </c>
      <c r="E2852" s="17" t="s">
        <v>4812</v>
      </c>
      <c r="F2852" s="454">
        <v>21.45</v>
      </c>
      <c r="G2852" s="529">
        <v>21.45</v>
      </c>
      <c r="H2852" s="487">
        <f t="shared" si="1187"/>
        <v>17.16</v>
      </c>
      <c r="I2852" s="706"/>
      <c r="J2852" s="669" t="s">
        <v>5805</v>
      </c>
      <c r="K2852" s="23"/>
      <c r="L2852" s="70" t="str">
        <f t="shared" si="1188"/>
        <v/>
      </c>
      <c r="M2852" s="49">
        <f t="shared" si="1189"/>
        <v>21.450000000000003</v>
      </c>
      <c r="N2852" s="41">
        <f t="shared" si="1190"/>
        <v>11.55</v>
      </c>
      <c r="O2852" s="43" t="s">
        <v>1017</v>
      </c>
      <c r="P2852" s="65"/>
      <c r="Q2852" s="65"/>
      <c r="R2852" s="58"/>
      <c r="S2852" s="12" t="s">
        <v>1017</v>
      </c>
      <c r="T2852" s="65"/>
      <c r="U2852" s="65"/>
      <c r="X2852" s="65"/>
      <c r="AA2852" s="67"/>
      <c r="AC2852" s="12" t="s">
        <v>1017</v>
      </c>
      <c r="AD2852" s="53"/>
    </row>
    <row r="2853" spans="1:30" s="12" customFormat="1" x14ac:dyDescent="0.25">
      <c r="A2853" s="610" t="s">
        <v>3733</v>
      </c>
      <c r="B2853" s="17" t="s">
        <v>5548</v>
      </c>
      <c r="C2853" s="30" t="s">
        <v>2385</v>
      </c>
      <c r="D2853" s="30" t="s">
        <v>7296</v>
      </c>
      <c r="E2853" s="17" t="s">
        <v>4810</v>
      </c>
      <c r="F2853" s="454">
        <v>19.47</v>
      </c>
      <c r="G2853" s="529">
        <v>19.47</v>
      </c>
      <c r="H2853" s="487">
        <f t="shared" si="1187"/>
        <v>15.58</v>
      </c>
      <c r="I2853" s="706"/>
      <c r="J2853" s="669" t="s">
        <v>5805</v>
      </c>
      <c r="K2853" s="23"/>
      <c r="L2853" s="70" t="str">
        <f t="shared" si="1188"/>
        <v/>
      </c>
      <c r="M2853" s="49">
        <f t="shared" si="1189"/>
        <v>19.470000000000002</v>
      </c>
      <c r="N2853" s="41">
        <f t="shared" si="1190"/>
        <v>11.55</v>
      </c>
      <c r="O2853" s="61"/>
      <c r="P2853" s="65"/>
      <c r="Q2853" s="65"/>
      <c r="R2853" s="58" t="s">
        <v>1017</v>
      </c>
      <c r="S2853" s="12" t="s">
        <v>1017</v>
      </c>
      <c r="T2853" s="65"/>
      <c r="U2853" s="65"/>
      <c r="X2853" s="65"/>
      <c r="AA2853" s="67"/>
      <c r="AC2853" s="12" t="s">
        <v>1017</v>
      </c>
      <c r="AD2853" s="53"/>
    </row>
    <row r="2854" spans="1:30" s="12" customFormat="1" x14ac:dyDescent="0.25">
      <c r="A2854" s="610" t="s">
        <v>3734</v>
      </c>
      <c r="B2854" s="17" t="s">
        <v>5548</v>
      </c>
      <c r="C2854" s="30" t="s">
        <v>2385</v>
      </c>
      <c r="D2854" s="30" t="s">
        <v>7297</v>
      </c>
      <c r="E2854" s="17" t="s">
        <v>4812</v>
      </c>
      <c r="F2854" s="454">
        <v>22.44</v>
      </c>
      <c r="G2854" s="529">
        <v>22.44</v>
      </c>
      <c r="H2854" s="487">
        <f t="shared" si="1187"/>
        <v>17.95</v>
      </c>
      <c r="I2854" s="706"/>
      <c r="J2854" s="669" t="s">
        <v>5805</v>
      </c>
      <c r="K2854" s="23"/>
      <c r="L2854" s="70" t="str">
        <f t="shared" si="1188"/>
        <v/>
      </c>
      <c r="M2854" s="49">
        <f t="shared" si="1189"/>
        <v>22.44</v>
      </c>
      <c r="N2854" s="41">
        <f t="shared" si="1190"/>
        <v>11.55</v>
      </c>
      <c r="O2854" s="43" t="s">
        <v>1017</v>
      </c>
      <c r="P2854" s="65"/>
      <c r="Q2854" s="65"/>
      <c r="R2854" s="58" t="s">
        <v>1017</v>
      </c>
      <c r="S2854" s="12" t="s">
        <v>1017</v>
      </c>
      <c r="T2854" s="65"/>
      <c r="U2854" s="65"/>
      <c r="X2854" s="65"/>
      <c r="AA2854" s="67"/>
      <c r="AC2854" s="12" t="s">
        <v>1017</v>
      </c>
      <c r="AD2854" s="53"/>
    </row>
    <row r="2855" spans="1:30" s="12" customFormat="1" x14ac:dyDescent="0.25">
      <c r="A2855" s="610" t="s">
        <v>3735</v>
      </c>
      <c r="B2855" s="17" t="s">
        <v>5548</v>
      </c>
      <c r="C2855" s="30" t="s">
        <v>2385</v>
      </c>
      <c r="D2855" s="17" t="s">
        <v>7298</v>
      </c>
      <c r="E2855" s="17" t="s">
        <v>4810</v>
      </c>
      <c r="F2855" s="454">
        <v>19.47</v>
      </c>
      <c r="G2855" s="529">
        <v>19.47</v>
      </c>
      <c r="H2855" s="487">
        <f t="shared" si="1187"/>
        <v>15.58</v>
      </c>
      <c r="I2855" s="706"/>
      <c r="J2855" s="669" t="s">
        <v>5805</v>
      </c>
      <c r="K2855" s="23"/>
      <c r="L2855" s="70" t="str">
        <f t="shared" si="1188"/>
        <v/>
      </c>
      <c r="M2855" s="49">
        <f t="shared" si="1189"/>
        <v>19.47</v>
      </c>
      <c r="N2855" s="41">
        <f t="shared" si="1190"/>
        <v>11.55</v>
      </c>
      <c r="O2855" s="61"/>
      <c r="P2855" s="65"/>
      <c r="Q2855" s="65"/>
      <c r="R2855" s="58"/>
      <c r="T2855" s="65"/>
      <c r="U2855" s="65"/>
      <c r="V2855" s="12" t="s">
        <v>1017</v>
      </c>
      <c r="X2855" s="65"/>
      <c r="AA2855" s="67"/>
      <c r="AC2855" s="12" t="s">
        <v>1017</v>
      </c>
      <c r="AD2855" s="53"/>
    </row>
    <row r="2856" spans="1:30" s="12" customFormat="1" x14ac:dyDescent="0.25">
      <c r="A2856" s="610" t="s">
        <v>3736</v>
      </c>
      <c r="B2856" s="17" t="s">
        <v>5548</v>
      </c>
      <c r="C2856" s="30" t="s">
        <v>2385</v>
      </c>
      <c r="D2856" s="17" t="s">
        <v>7299</v>
      </c>
      <c r="E2856" s="17" t="s">
        <v>4812</v>
      </c>
      <c r="F2856" s="454">
        <v>22.44</v>
      </c>
      <c r="G2856" s="529">
        <v>22.44</v>
      </c>
      <c r="H2856" s="487">
        <f t="shared" si="1187"/>
        <v>17.95</v>
      </c>
      <c r="I2856" s="706"/>
      <c r="J2856" s="669" t="s">
        <v>5805</v>
      </c>
      <c r="K2856" s="23"/>
      <c r="L2856" s="70" t="str">
        <f t="shared" si="1188"/>
        <v/>
      </c>
      <c r="M2856" s="49">
        <f t="shared" si="1189"/>
        <v>22.44</v>
      </c>
      <c r="N2856" s="41">
        <f t="shared" si="1190"/>
        <v>11.55</v>
      </c>
      <c r="O2856" s="43" t="s">
        <v>1017</v>
      </c>
      <c r="P2856" s="65"/>
      <c r="Q2856" s="65"/>
      <c r="R2856" s="58"/>
      <c r="T2856" s="65"/>
      <c r="U2856" s="65"/>
      <c r="V2856" s="12" t="s">
        <v>1017</v>
      </c>
      <c r="X2856" s="65"/>
      <c r="AA2856" s="67"/>
      <c r="AC2856" s="12" t="s">
        <v>1017</v>
      </c>
      <c r="AD2856" s="53"/>
    </row>
    <row r="2857" spans="1:30" s="12" customFormat="1" x14ac:dyDescent="0.25">
      <c r="A2857" s="610" t="s">
        <v>3737</v>
      </c>
      <c r="B2857" s="17" t="s">
        <v>5548</v>
      </c>
      <c r="C2857" s="30" t="s">
        <v>2385</v>
      </c>
      <c r="D2857" s="17" t="s">
        <v>7300</v>
      </c>
      <c r="E2857" s="17" t="s">
        <v>4810</v>
      </c>
      <c r="F2857" s="454">
        <v>20.46</v>
      </c>
      <c r="G2857" s="529">
        <v>20.46</v>
      </c>
      <c r="H2857" s="487">
        <f t="shared" si="1187"/>
        <v>16.37</v>
      </c>
      <c r="I2857" s="706"/>
      <c r="J2857" s="669" t="s">
        <v>5805</v>
      </c>
      <c r="K2857" s="23"/>
      <c r="L2857" s="70" t="str">
        <f t="shared" si="1188"/>
        <v/>
      </c>
      <c r="M2857" s="49">
        <f t="shared" si="1189"/>
        <v>20.46</v>
      </c>
      <c r="N2857" s="41">
        <f t="shared" si="1190"/>
        <v>11.55</v>
      </c>
      <c r="O2857" s="61"/>
      <c r="P2857" s="65"/>
      <c r="Q2857" s="65"/>
      <c r="R2857" s="58" t="s">
        <v>1017</v>
      </c>
      <c r="T2857" s="65"/>
      <c r="U2857" s="65"/>
      <c r="V2857" s="12" t="s">
        <v>1017</v>
      </c>
      <c r="X2857" s="65"/>
      <c r="AA2857" s="67"/>
      <c r="AC2857" s="12" t="s">
        <v>1017</v>
      </c>
      <c r="AD2857" s="53"/>
    </row>
    <row r="2858" spans="1:30" s="12" customFormat="1" x14ac:dyDescent="0.25">
      <c r="A2858" s="610" t="s">
        <v>3738</v>
      </c>
      <c r="B2858" s="17" t="s">
        <v>5548</v>
      </c>
      <c r="C2858" s="30" t="s">
        <v>2385</v>
      </c>
      <c r="D2858" s="17" t="s">
        <v>7301</v>
      </c>
      <c r="E2858" s="17" t="s">
        <v>4812</v>
      </c>
      <c r="F2858" s="454">
        <v>23.43</v>
      </c>
      <c r="G2858" s="529">
        <v>23.43</v>
      </c>
      <c r="H2858" s="487">
        <f t="shared" si="1187"/>
        <v>18.739999999999998</v>
      </c>
      <c r="I2858" s="706"/>
      <c r="J2858" s="669" t="s">
        <v>5805</v>
      </c>
      <c r="K2858" s="23"/>
      <c r="L2858" s="70" t="str">
        <f t="shared" si="1188"/>
        <v/>
      </c>
      <c r="M2858" s="49">
        <f t="shared" si="1189"/>
        <v>23.43</v>
      </c>
      <c r="N2858" s="41">
        <f t="shared" si="1190"/>
        <v>11.55</v>
      </c>
      <c r="O2858" s="43" t="s">
        <v>1017</v>
      </c>
      <c r="P2858" s="65"/>
      <c r="Q2858" s="65"/>
      <c r="R2858" s="58" t="s">
        <v>1017</v>
      </c>
      <c r="T2858" s="65"/>
      <c r="U2858" s="65"/>
      <c r="V2858" s="12" t="s">
        <v>1017</v>
      </c>
      <c r="X2858" s="65"/>
      <c r="AA2858" s="67"/>
      <c r="AC2858" s="12" t="s">
        <v>1017</v>
      </c>
      <c r="AD2858" s="53"/>
    </row>
    <row r="2859" spans="1:30" s="12" customFormat="1" x14ac:dyDescent="0.25">
      <c r="A2859" s="610" t="s">
        <v>3739</v>
      </c>
      <c r="B2859" s="17" t="s">
        <v>5548</v>
      </c>
      <c r="C2859" s="30" t="s">
        <v>2385</v>
      </c>
      <c r="D2859" s="17" t="s">
        <v>7302</v>
      </c>
      <c r="E2859" s="17" t="s">
        <v>4810</v>
      </c>
      <c r="F2859" s="454">
        <v>21.45</v>
      </c>
      <c r="G2859" s="529">
        <v>21.45</v>
      </c>
      <c r="H2859" s="487">
        <f t="shared" si="1187"/>
        <v>17.16</v>
      </c>
      <c r="I2859" s="706"/>
      <c r="J2859" s="669" t="s">
        <v>5805</v>
      </c>
      <c r="K2859" s="23"/>
      <c r="L2859" s="70" t="str">
        <f t="shared" si="1188"/>
        <v/>
      </c>
      <c r="M2859" s="49">
        <f t="shared" si="1189"/>
        <v>21.450000000000003</v>
      </c>
      <c r="N2859" s="41">
        <f t="shared" si="1190"/>
        <v>11.55</v>
      </c>
      <c r="O2859" s="61"/>
      <c r="P2859" s="65"/>
      <c r="Q2859" s="65"/>
      <c r="R2859" s="58"/>
      <c r="T2859" s="65"/>
      <c r="U2859" s="65"/>
      <c r="X2859" s="65"/>
      <c r="Y2859" s="12" t="s">
        <v>1017</v>
      </c>
      <c r="AA2859" s="67"/>
      <c r="AC2859" s="12" t="s">
        <v>1017</v>
      </c>
      <c r="AD2859" s="53"/>
    </row>
    <row r="2860" spans="1:30" s="12" customFormat="1" x14ac:dyDescent="0.25">
      <c r="A2860" s="610" t="s">
        <v>3740</v>
      </c>
      <c r="B2860" s="17" t="s">
        <v>5548</v>
      </c>
      <c r="C2860" s="30" t="s">
        <v>2385</v>
      </c>
      <c r="D2860" s="17" t="s">
        <v>7303</v>
      </c>
      <c r="E2860" s="17" t="s">
        <v>4812</v>
      </c>
      <c r="F2860" s="454">
        <v>24.42</v>
      </c>
      <c r="G2860" s="529">
        <v>24.42</v>
      </c>
      <c r="H2860" s="487">
        <f t="shared" si="1187"/>
        <v>19.54</v>
      </c>
      <c r="I2860" s="706"/>
      <c r="J2860" s="669" t="s">
        <v>5805</v>
      </c>
      <c r="K2860" s="23"/>
      <c r="L2860" s="70" t="str">
        <f t="shared" si="1188"/>
        <v/>
      </c>
      <c r="M2860" s="49">
        <f t="shared" si="1189"/>
        <v>24.42</v>
      </c>
      <c r="N2860" s="41">
        <f t="shared" si="1190"/>
        <v>11.55</v>
      </c>
      <c r="O2860" s="43" t="s">
        <v>1017</v>
      </c>
      <c r="P2860" s="65"/>
      <c r="Q2860" s="65"/>
      <c r="R2860" s="58"/>
      <c r="T2860" s="65"/>
      <c r="U2860" s="65"/>
      <c r="X2860" s="65"/>
      <c r="Y2860" s="12" t="s">
        <v>1017</v>
      </c>
      <c r="AA2860" s="67"/>
      <c r="AC2860" s="12" t="s">
        <v>1017</v>
      </c>
      <c r="AD2860" s="53"/>
    </row>
    <row r="2861" spans="1:30" s="12" customFormat="1" x14ac:dyDescent="0.25">
      <c r="A2861" s="610" t="s">
        <v>3741</v>
      </c>
      <c r="B2861" s="17" t="s">
        <v>5548</v>
      </c>
      <c r="C2861" s="30" t="s">
        <v>2385</v>
      </c>
      <c r="D2861" s="17" t="s">
        <v>7304</v>
      </c>
      <c r="E2861" s="17" t="s">
        <v>4810</v>
      </c>
      <c r="F2861" s="454">
        <v>22.44</v>
      </c>
      <c r="G2861" s="529">
        <v>22.44</v>
      </c>
      <c r="H2861" s="487">
        <f t="shared" si="1187"/>
        <v>17.95</v>
      </c>
      <c r="I2861" s="706"/>
      <c r="J2861" s="669" t="s">
        <v>5805</v>
      </c>
      <c r="K2861" s="23"/>
      <c r="L2861" s="70" t="str">
        <f t="shared" si="1188"/>
        <v/>
      </c>
      <c r="M2861" s="49">
        <f t="shared" si="1189"/>
        <v>22.44</v>
      </c>
      <c r="N2861" s="41">
        <f t="shared" si="1190"/>
        <v>11.55</v>
      </c>
      <c r="O2861" s="61"/>
      <c r="P2861" s="65"/>
      <c r="Q2861" s="65"/>
      <c r="R2861" s="58" t="s">
        <v>1017</v>
      </c>
      <c r="T2861" s="65"/>
      <c r="U2861" s="65"/>
      <c r="X2861" s="65"/>
      <c r="Y2861" s="12" t="s">
        <v>1017</v>
      </c>
      <c r="AA2861" s="67"/>
      <c r="AC2861" s="12" t="s">
        <v>1017</v>
      </c>
      <c r="AD2861" s="53"/>
    </row>
    <row r="2862" spans="1:30" s="12" customFormat="1" x14ac:dyDescent="0.25">
      <c r="A2862" s="610" t="s">
        <v>3742</v>
      </c>
      <c r="B2862" s="17" t="s">
        <v>5548</v>
      </c>
      <c r="C2862" s="30" t="s">
        <v>2385</v>
      </c>
      <c r="D2862" s="17" t="s">
        <v>7305</v>
      </c>
      <c r="E2862" s="17" t="s">
        <v>4812</v>
      </c>
      <c r="F2862" s="454">
        <v>25.41</v>
      </c>
      <c r="G2862" s="529">
        <v>25.41</v>
      </c>
      <c r="H2862" s="487">
        <f t="shared" si="1187"/>
        <v>20.329999999999998</v>
      </c>
      <c r="I2862" s="706"/>
      <c r="J2862" s="669" t="s">
        <v>5805</v>
      </c>
      <c r="K2862" s="23"/>
      <c r="L2862" s="70" t="str">
        <f t="shared" si="1188"/>
        <v/>
      </c>
      <c r="M2862" s="49">
        <f t="shared" si="1189"/>
        <v>25.410000000000004</v>
      </c>
      <c r="N2862" s="41">
        <f t="shared" si="1190"/>
        <v>11.55</v>
      </c>
      <c r="O2862" s="43" t="s">
        <v>1017</v>
      </c>
      <c r="P2862" s="65"/>
      <c r="Q2862" s="65"/>
      <c r="R2862" s="58" t="s">
        <v>1017</v>
      </c>
      <c r="T2862" s="65"/>
      <c r="U2862" s="65"/>
      <c r="X2862" s="65"/>
      <c r="Y2862" s="12" t="s">
        <v>1017</v>
      </c>
      <c r="AA2862" s="67"/>
      <c r="AC2862" s="12" t="s">
        <v>1017</v>
      </c>
      <c r="AD2862" s="53"/>
    </row>
    <row r="2863" spans="1:30" s="12" customFormat="1" x14ac:dyDescent="0.25">
      <c r="A2863" s="610" t="s">
        <v>3743</v>
      </c>
      <c r="B2863" s="17" t="s">
        <v>5548</v>
      </c>
      <c r="C2863" s="30" t="s">
        <v>2385</v>
      </c>
      <c r="D2863" s="17" t="s">
        <v>7306</v>
      </c>
      <c r="E2863" s="17" t="s">
        <v>4810</v>
      </c>
      <c r="F2863" s="454">
        <v>23.43</v>
      </c>
      <c r="G2863" s="529">
        <v>23.43</v>
      </c>
      <c r="H2863" s="487">
        <f t="shared" ref="H2863:H2926" si="1191">IF(ISNUMBER(G2863),ROUND(0.8*G2863,2),"")</f>
        <v>18.739999999999998</v>
      </c>
      <c r="I2863" s="706"/>
      <c r="J2863" s="669" t="s">
        <v>5805</v>
      </c>
      <c r="K2863" s="23"/>
      <c r="L2863" s="70" t="str">
        <f t="shared" ref="L2863:L2926" si="1192">IF(F2863=M2863,"",FALSE)</f>
        <v/>
      </c>
      <c r="M2863" s="49">
        <f t="shared" ref="M2863:M2926" si="1193">N2863+SUMIF(O2863:AD2863,"x",O$2798:AD$2798)</f>
        <v>23.43</v>
      </c>
      <c r="N2863" s="41">
        <f t="shared" ref="N2863:N2926" si="1194">ROUND(N2640*(1-$AE$2797),2)</f>
        <v>11.55</v>
      </c>
      <c r="O2863" s="61"/>
      <c r="P2863" s="65"/>
      <c r="Q2863" s="65"/>
      <c r="R2863" s="58"/>
      <c r="T2863" s="65"/>
      <c r="U2863" s="65"/>
      <c r="W2863" s="12" t="s">
        <v>1017</v>
      </c>
      <c r="X2863" s="65"/>
      <c r="AA2863" s="67"/>
      <c r="AC2863" s="12" t="s">
        <v>1017</v>
      </c>
      <c r="AD2863" s="53"/>
    </row>
    <row r="2864" spans="1:30" s="12" customFormat="1" x14ac:dyDescent="0.25">
      <c r="A2864" s="610" t="s">
        <v>3744</v>
      </c>
      <c r="B2864" s="17" t="s">
        <v>5548</v>
      </c>
      <c r="C2864" s="30" t="s">
        <v>2385</v>
      </c>
      <c r="D2864" s="17" t="s">
        <v>7307</v>
      </c>
      <c r="E2864" s="17" t="s">
        <v>4812</v>
      </c>
      <c r="F2864" s="454">
        <v>26.4</v>
      </c>
      <c r="G2864" s="529">
        <v>26.4</v>
      </c>
      <c r="H2864" s="487">
        <f t="shared" si="1191"/>
        <v>21.12</v>
      </c>
      <c r="I2864" s="706"/>
      <c r="J2864" s="669" t="s">
        <v>5805</v>
      </c>
      <c r="K2864" s="23"/>
      <c r="L2864" s="70" t="str">
        <f t="shared" si="1192"/>
        <v/>
      </c>
      <c r="M2864" s="49">
        <f t="shared" si="1193"/>
        <v>26.400000000000002</v>
      </c>
      <c r="N2864" s="41">
        <f t="shared" si="1194"/>
        <v>11.55</v>
      </c>
      <c r="O2864" s="43" t="s">
        <v>1017</v>
      </c>
      <c r="P2864" s="65"/>
      <c r="Q2864" s="65"/>
      <c r="R2864" s="58"/>
      <c r="T2864" s="65"/>
      <c r="U2864" s="65"/>
      <c r="W2864" s="12" t="s">
        <v>1017</v>
      </c>
      <c r="X2864" s="65"/>
      <c r="AA2864" s="67"/>
      <c r="AC2864" s="12" t="s">
        <v>1017</v>
      </c>
      <c r="AD2864" s="53"/>
    </row>
    <row r="2865" spans="1:30" s="12" customFormat="1" x14ac:dyDescent="0.25">
      <c r="A2865" s="610" t="s">
        <v>3745</v>
      </c>
      <c r="B2865" s="17" t="s">
        <v>5548</v>
      </c>
      <c r="C2865" s="30" t="s">
        <v>2385</v>
      </c>
      <c r="D2865" s="17" t="s">
        <v>7308</v>
      </c>
      <c r="E2865" s="17" t="s">
        <v>4810</v>
      </c>
      <c r="F2865" s="454">
        <v>24.42</v>
      </c>
      <c r="G2865" s="529">
        <v>24.42</v>
      </c>
      <c r="H2865" s="487">
        <f t="shared" si="1191"/>
        <v>19.54</v>
      </c>
      <c r="I2865" s="706"/>
      <c r="J2865" s="669" t="s">
        <v>5805</v>
      </c>
      <c r="K2865" s="23"/>
      <c r="L2865" s="70" t="str">
        <f t="shared" si="1192"/>
        <v/>
      </c>
      <c r="M2865" s="49">
        <f t="shared" si="1193"/>
        <v>24.42</v>
      </c>
      <c r="N2865" s="41">
        <f t="shared" si="1194"/>
        <v>11.55</v>
      </c>
      <c r="O2865" s="61"/>
      <c r="P2865" s="65"/>
      <c r="Q2865" s="65"/>
      <c r="R2865" s="58" t="s">
        <v>1017</v>
      </c>
      <c r="T2865" s="65"/>
      <c r="U2865" s="65"/>
      <c r="W2865" s="12" t="s">
        <v>1017</v>
      </c>
      <c r="X2865" s="65"/>
      <c r="AA2865" s="67"/>
      <c r="AC2865" s="12" t="s">
        <v>1017</v>
      </c>
      <c r="AD2865" s="53"/>
    </row>
    <row r="2866" spans="1:30" s="12" customFormat="1" x14ac:dyDescent="0.25">
      <c r="A2866" s="610" t="s">
        <v>3746</v>
      </c>
      <c r="B2866" s="17" t="s">
        <v>5548</v>
      </c>
      <c r="C2866" s="30" t="s">
        <v>2385</v>
      </c>
      <c r="D2866" s="17" t="s">
        <v>7309</v>
      </c>
      <c r="E2866" s="17" t="s">
        <v>4812</v>
      </c>
      <c r="F2866" s="454">
        <v>27.39</v>
      </c>
      <c r="G2866" s="529">
        <v>27.39</v>
      </c>
      <c r="H2866" s="487">
        <f t="shared" si="1191"/>
        <v>21.91</v>
      </c>
      <c r="I2866" s="706"/>
      <c r="J2866" s="669" t="s">
        <v>5805</v>
      </c>
      <c r="K2866" s="23"/>
      <c r="L2866" s="70" t="str">
        <f t="shared" si="1192"/>
        <v/>
      </c>
      <c r="M2866" s="49">
        <f t="shared" si="1193"/>
        <v>27.39</v>
      </c>
      <c r="N2866" s="41">
        <f t="shared" si="1194"/>
        <v>11.55</v>
      </c>
      <c r="O2866" s="43" t="s">
        <v>1017</v>
      </c>
      <c r="P2866" s="65"/>
      <c r="Q2866" s="65"/>
      <c r="R2866" s="58" t="s">
        <v>1017</v>
      </c>
      <c r="T2866" s="65"/>
      <c r="U2866" s="65"/>
      <c r="W2866" s="12" t="s">
        <v>1017</v>
      </c>
      <c r="X2866" s="65"/>
      <c r="AA2866" s="67"/>
      <c r="AC2866" s="12" t="s">
        <v>1017</v>
      </c>
      <c r="AD2866" s="53"/>
    </row>
    <row r="2867" spans="1:30" s="12" customFormat="1" x14ac:dyDescent="0.25">
      <c r="A2867" s="610" t="s">
        <v>3747</v>
      </c>
      <c r="B2867" s="17" t="s">
        <v>5548</v>
      </c>
      <c r="C2867" s="30" t="s">
        <v>2385</v>
      </c>
      <c r="D2867" s="17" t="s">
        <v>7310</v>
      </c>
      <c r="E2867" s="17" t="s">
        <v>4810</v>
      </c>
      <c r="F2867" s="454">
        <v>25.41</v>
      </c>
      <c r="G2867" s="529">
        <v>25.41</v>
      </c>
      <c r="H2867" s="487">
        <f t="shared" si="1191"/>
        <v>20.329999999999998</v>
      </c>
      <c r="I2867" s="706"/>
      <c r="J2867" s="669" t="s">
        <v>5805</v>
      </c>
      <c r="K2867" s="23"/>
      <c r="L2867" s="70" t="str">
        <f t="shared" si="1192"/>
        <v/>
      </c>
      <c r="M2867" s="49">
        <f t="shared" si="1193"/>
        <v>25.410000000000004</v>
      </c>
      <c r="N2867" s="41">
        <f t="shared" si="1194"/>
        <v>11.55</v>
      </c>
      <c r="O2867" s="61"/>
      <c r="P2867" s="65"/>
      <c r="Q2867" s="65"/>
      <c r="R2867" s="58"/>
      <c r="T2867" s="65"/>
      <c r="U2867" s="65"/>
      <c r="X2867" s="65"/>
      <c r="Z2867" s="12" t="s">
        <v>1017</v>
      </c>
      <c r="AA2867" s="67"/>
      <c r="AC2867" s="12" t="s">
        <v>1017</v>
      </c>
      <c r="AD2867" s="53"/>
    </row>
    <row r="2868" spans="1:30" s="12" customFormat="1" x14ac:dyDescent="0.25">
      <c r="A2868" s="610" t="s">
        <v>3748</v>
      </c>
      <c r="B2868" s="17" t="s">
        <v>5548</v>
      </c>
      <c r="C2868" s="30" t="s">
        <v>2385</v>
      </c>
      <c r="D2868" s="17" t="s">
        <v>7311</v>
      </c>
      <c r="E2868" s="17" t="s">
        <v>4812</v>
      </c>
      <c r="F2868" s="454">
        <v>28.38</v>
      </c>
      <c r="G2868" s="529">
        <v>28.38</v>
      </c>
      <c r="H2868" s="487">
        <f t="shared" si="1191"/>
        <v>22.7</v>
      </c>
      <c r="I2868" s="706"/>
      <c r="J2868" s="669" t="s">
        <v>5805</v>
      </c>
      <c r="K2868" s="23"/>
      <c r="L2868" s="70" t="str">
        <f t="shared" si="1192"/>
        <v/>
      </c>
      <c r="M2868" s="49">
        <f t="shared" si="1193"/>
        <v>28.380000000000003</v>
      </c>
      <c r="N2868" s="41">
        <f t="shared" si="1194"/>
        <v>11.55</v>
      </c>
      <c r="O2868" s="43" t="s">
        <v>1017</v>
      </c>
      <c r="P2868" s="65"/>
      <c r="Q2868" s="65"/>
      <c r="R2868" s="58"/>
      <c r="T2868" s="65"/>
      <c r="U2868" s="65"/>
      <c r="X2868" s="65"/>
      <c r="Z2868" s="12" t="s">
        <v>1017</v>
      </c>
      <c r="AA2868" s="67"/>
      <c r="AC2868" s="12" t="s">
        <v>1017</v>
      </c>
      <c r="AD2868" s="53"/>
    </row>
    <row r="2869" spans="1:30" s="12" customFormat="1" x14ac:dyDescent="0.25">
      <c r="A2869" s="610" t="s">
        <v>3749</v>
      </c>
      <c r="B2869" s="17" t="s">
        <v>5548</v>
      </c>
      <c r="C2869" s="30" t="s">
        <v>2385</v>
      </c>
      <c r="D2869" s="17" t="s">
        <v>7312</v>
      </c>
      <c r="E2869" s="17" t="s">
        <v>4810</v>
      </c>
      <c r="F2869" s="454">
        <v>26.4</v>
      </c>
      <c r="G2869" s="529">
        <v>26.4</v>
      </c>
      <c r="H2869" s="487">
        <f t="shared" si="1191"/>
        <v>21.12</v>
      </c>
      <c r="I2869" s="706"/>
      <c r="J2869" s="669" t="s">
        <v>5805</v>
      </c>
      <c r="K2869" s="23"/>
      <c r="L2869" s="70" t="str">
        <f t="shared" si="1192"/>
        <v/>
      </c>
      <c r="M2869" s="49">
        <f t="shared" si="1193"/>
        <v>26.400000000000002</v>
      </c>
      <c r="N2869" s="41">
        <f t="shared" si="1194"/>
        <v>11.55</v>
      </c>
      <c r="O2869" s="61"/>
      <c r="P2869" s="65"/>
      <c r="Q2869" s="65"/>
      <c r="R2869" s="58" t="s">
        <v>1017</v>
      </c>
      <c r="T2869" s="65"/>
      <c r="U2869" s="65"/>
      <c r="X2869" s="65"/>
      <c r="Z2869" s="12" t="s">
        <v>1017</v>
      </c>
      <c r="AA2869" s="67"/>
      <c r="AC2869" s="12" t="s">
        <v>1017</v>
      </c>
      <c r="AD2869" s="53"/>
    </row>
    <row r="2870" spans="1:30" s="12" customFormat="1" x14ac:dyDescent="0.25">
      <c r="A2870" s="610" t="s">
        <v>3750</v>
      </c>
      <c r="B2870" s="17" t="s">
        <v>5548</v>
      </c>
      <c r="C2870" s="30" t="s">
        <v>2385</v>
      </c>
      <c r="D2870" s="17" t="s">
        <v>7313</v>
      </c>
      <c r="E2870" s="17" t="s">
        <v>4812</v>
      </c>
      <c r="F2870" s="454">
        <v>29.37</v>
      </c>
      <c r="G2870" s="529">
        <v>29.37</v>
      </c>
      <c r="H2870" s="487">
        <f t="shared" si="1191"/>
        <v>23.5</v>
      </c>
      <c r="I2870" s="706"/>
      <c r="J2870" s="669" t="s">
        <v>5805</v>
      </c>
      <c r="K2870" s="23"/>
      <c r="L2870" s="70" t="str">
        <f t="shared" si="1192"/>
        <v/>
      </c>
      <c r="M2870" s="49">
        <f t="shared" si="1193"/>
        <v>29.37</v>
      </c>
      <c r="N2870" s="41">
        <f t="shared" si="1194"/>
        <v>11.55</v>
      </c>
      <c r="O2870" s="43" t="s">
        <v>1017</v>
      </c>
      <c r="P2870" s="65"/>
      <c r="Q2870" s="65"/>
      <c r="R2870" s="58" t="s">
        <v>1017</v>
      </c>
      <c r="T2870" s="65"/>
      <c r="U2870" s="65"/>
      <c r="X2870" s="65"/>
      <c r="Z2870" s="12" t="s">
        <v>1017</v>
      </c>
      <c r="AA2870" s="67"/>
      <c r="AC2870" s="12" t="s">
        <v>1017</v>
      </c>
      <c r="AD2870" s="53"/>
    </row>
    <row r="2871" spans="1:30" s="12" customFormat="1" x14ac:dyDescent="0.25">
      <c r="A2871" s="610" t="s">
        <v>3751</v>
      </c>
      <c r="B2871" s="17" t="s">
        <v>5548</v>
      </c>
      <c r="C2871" s="30" t="s">
        <v>2385</v>
      </c>
      <c r="D2871" s="17" t="s">
        <v>7314</v>
      </c>
      <c r="E2871" s="17" t="s">
        <v>4810</v>
      </c>
      <c r="F2871" s="454">
        <v>13.53</v>
      </c>
      <c r="G2871" s="529">
        <v>13.53</v>
      </c>
      <c r="H2871" s="487">
        <f t="shared" si="1191"/>
        <v>10.82</v>
      </c>
      <c r="I2871" s="706"/>
      <c r="J2871" s="669" t="s">
        <v>5805</v>
      </c>
      <c r="K2871" s="23"/>
      <c r="L2871" s="70" t="str">
        <f t="shared" si="1192"/>
        <v/>
      </c>
      <c r="M2871" s="49">
        <f t="shared" si="1193"/>
        <v>13.530000000000001</v>
      </c>
      <c r="N2871" s="41">
        <f t="shared" si="1194"/>
        <v>11.55</v>
      </c>
      <c r="O2871" s="61"/>
      <c r="P2871" s="65"/>
      <c r="Q2871" s="65"/>
      <c r="R2871" s="58"/>
      <c r="T2871" s="65"/>
      <c r="U2871" s="65"/>
      <c r="X2871" s="65"/>
      <c r="AA2871" s="67"/>
      <c r="AD2871" s="53" t="s">
        <v>1017</v>
      </c>
    </row>
    <row r="2872" spans="1:30" s="12" customFormat="1" x14ac:dyDescent="0.25">
      <c r="A2872" s="610" t="s">
        <v>3752</v>
      </c>
      <c r="B2872" s="17" t="s">
        <v>5548</v>
      </c>
      <c r="C2872" s="30" t="s">
        <v>2385</v>
      </c>
      <c r="D2872" s="17" t="s">
        <v>7315</v>
      </c>
      <c r="E2872" s="17" t="s">
        <v>4812</v>
      </c>
      <c r="F2872" s="454">
        <v>16.5</v>
      </c>
      <c r="G2872" s="529">
        <v>16.5</v>
      </c>
      <c r="H2872" s="487">
        <f t="shared" si="1191"/>
        <v>13.2</v>
      </c>
      <c r="I2872" s="706"/>
      <c r="J2872" s="669" t="s">
        <v>5805</v>
      </c>
      <c r="K2872" s="23"/>
      <c r="L2872" s="70" t="str">
        <f t="shared" si="1192"/>
        <v/>
      </c>
      <c r="M2872" s="49">
        <f t="shared" si="1193"/>
        <v>16.5</v>
      </c>
      <c r="N2872" s="41">
        <f t="shared" si="1194"/>
        <v>11.55</v>
      </c>
      <c r="O2872" s="43" t="s">
        <v>1017</v>
      </c>
      <c r="P2872" s="65"/>
      <c r="Q2872" s="65"/>
      <c r="R2872" s="58"/>
      <c r="T2872" s="65"/>
      <c r="U2872" s="65"/>
      <c r="X2872" s="65"/>
      <c r="AA2872" s="67"/>
      <c r="AD2872" s="53" t="s">
        <v>1017</v>
      </c>
    </row>
    <row r="2873" spans="1:30" s="12" customFormat="1" x14ac:dyDescent="0.25">
      <c r="A2873" s="610" t="s">
        <v>3753</v>
      </c>
      <c r="B2873" s="17" t="s">
        <v>5548</v>
      </c>
      <c r="C2873" s="30" t="s">
        <v>2385</v>
      </c>
      <c r="D2873" s="30" t="s">
        <v>7316</v>
      </c>
      <c r="E2873" s="17" t="s">
        <v>4810</v>
      </c>
      <c r="F2873" s="454">
        <v>14.52</v>
      </c>
      <c r="G2873" s="529">
        <v>14.52</v>
      </c>
      <c r="H2873" s="487">
        <f t="shared" si="1191"/>
        <v>11.62</v>
      </c>
      <c r="I2873" s="706"/>
      <c r="J2873" s="669" t="s">
        <v>5805</v>
      </c>
      <c r="K2873" s="23"/>
      <c r="L2873" s="70" t="str">
        <f t="shared" si="1192"/>
        <v/>
      </c>
      <c r="M2873" s="49">
        <f t="shared" si="1193"/>
        <v>14.52</v>
      </c>
      <c r="N2873" s="41">
        <f t="shared" si="1194"/>
        <v>11.55</v>
      </c>
      <c r="O2873" s="61"/>
      <c r="P2873" s="65"/>
      <c r="Q2873" s="65"/>
      <c r="R2873" s="58" t="s">
        <v>1017</v>
      </c>
      <c r="T2873" s="65"/>
      <c r="U2873" s="65"/>
      <c r="X2873" s="65"/>
      <c r="AA2873" s="67"/>
      <c r="AD2873" s="53" t="s">
        <v>1017</v>
      </c>
    </row>
    <row r="2874" spans="1:30" s="12" customFormat="1" x14ac:dyDescent="0.25">
      <c r="A2874" s="610" t="s">
        <v>3754</v>
      </c>
      <c r="B2874" s="17" t="s">
        <v>5548</v>
      </c>
      <c r="C2874" s="30" t="s">
        <v>2385</v>
      </c>
      <c r="D2874" s="30" t="s">
        <v>7317</v>
      </c>
      <c r="E2874" s="17" t="s">
        <v>4812</v>
      </c>
      <c r="F2874" s="454">
        <v>17.489999999999998</v>
      </c>
      <c r="G2874" s="529">
        <v>17.489999999999998</v>
      </c>
      <c r="H2874" s="487">
        <f t="shared" si="1191"/>
        <v>13.99</v>
      </c>
      <c r="I2874" s="706"/>
      <c r="J2874" s="669" t="s">
        <v>5805</v>
      </c>
      <c r="K2874" s="23"/>
      <c r="L2874" s="70" t="str">
        <f t="shared" si="1192"/>
        <v/>
      </c>
      <c r="M2874" s="49">
        <f t="shared" si="1193"/>
        <v>17.490000000000002</v>
      </c>
      <c r="N2874" s="41">
        <f t="shared" si="1194"/>
        <v>11.55</v>
      </c>
      <c r="O2874" s="43" t="s">
        <v>1017</v>
      </c>
      <c r="P2874" s="65"/>
      <c r="Q2874" s="65"/>
      <c r="R2874" s="58" t="s">
        <v>1017</v>
      </c>
      <c r="T2874" s="65"/>
      <c r="U2874" s="65"/>
      <c r="X2874" s="65"/>
      <c r="AA2874" s="67"/>
      <c r="AD2874" s="53" t="s">
        <v>1017</v>
      </c>
    </row>
    <row r="2875" spans="1:30" s="12" customFormat="1" x14ac:dyDescent="0.25">
      <c r="A2875" s="610" t="s">
        <v>3755</v>
      </c>
      <c r="B2875" s="17" t="s">
        <v>5548</v>
      </c>
      <c r="C2875" s="30" t="s">
        <v>2385</v>
      </c>
      <c r="D2875" s="17" t="s">
        <v>7318</v>
      </c>
      <c r="E2875" s="17" t="s">
        <v>4810</v>
      </c>
      <c r="F2875" s="454">
        <v>19.47</v>
      </c>
      <c r="G2875" s="529">
        <v>19.47</v>
      </c>
      <c r="H2875" s="487">
        <f t="shared" si="1191"/>
        <v>15.58</v>
      </c>
      <c r="I2875" s="706"/>
      <c r="J2875" s="669" t="s">
        <v>5805</v>
      </c>
      <c r="K2875" s="23"/>
      <c r="L2875" s="70" t="str">
        <f t="shared" si="1192"/>
        <v/>
      </c>
      <c r="M2875" s="49">
        <f t="shared" si="1193"/>
        <v>19.47</v>
      </c>
      <c r="N2875" s="41">
        <f t="shared" si="1194"/>
        <v>11.55</v>
      </c>
      <c r="O2875" s="61"/>
      <c r="P2875" s="65"/>
      <c r="Q2875" s="65"/>
      <c r="R2875" s="58"/>
      <c r="S2875" s="12" t="s">
        <v>1017</v>
      </c>
      <c r="T2875" s="65"/>
      <c r="U2875" s="65"/>
      <c r="X2875" s="65"/>
      <c r="AA2875" s="67"/>
      <c r="AD2875" s="53" t="s">
        <v>1017</v>
      </c>
    </row>
    <row r="2876" spans="1:30" s="12" customFormat="1" x14ac:dyDescent="0.25">
      <c r="A2876" s="610" t="s">
        <v>3756</v>
      </c>
      <c r="B2876" s="17" t="s">
        <v>5548</v>
      </c>
      <c r="C2876" s="30" t="s">
        <v>2385</v>
      </c>
      <c r="D2876" s="17" t="s">
        <v>7319</v>
      </c>
      <c r="E2876" s="17" t="s">
        <v>4812</v>
      </c>
      <c r="F2876" s="454">
        <v>22.44</v>
      </c>
      <c r="G2876" s="529">
        <v>22.44</v>
      </c>
      <c r="H2876" s="487">
        <f t="shared" si="1191"/>
        <v>17.95</v>
      </c>
      <c r="I2876" s="706"/>
      <c r="J2876" s="669" t="s">
        <v>5805</v>
      </c>
      <c r="K2876" s="23"/>
      <c r="L2876" s="70" t="str">
        <f t="shared" si="1192"/>
        <v/>
      </c>
      <c r="M2876" s="49">
        <f t="shared" si="1193"/>
        <v>22.44</v>
      </c>
      <c r="N2876" s="41">
        <f t="shared" si="1194"/>
        <v>11.55</v>
      </c>
      <c r="O2876" s="43" t="s">
        <v>1017</v>
      </c>
      <c r="P2876" s="65"/>
      <c r="Q2876" s="65"/>
      <c r="R2876" s="58"/>
      <c r="S2876" s="12" t="s">
        <v>1017</v>
      </c>
      <c r="T2876" s="65"/>
      <c r="U2876" s="65"/>
      <c r="X2876" s="65"/>
      <c r="AA2876" s="67"/>
      <c r="AD2876" s="53" t="s">
        <v>1017</v>
      </c>
    </row>
    <row r="2877" spans="1:30" s="12" customFormat="1" x14ac:dyDescent="0.25">
      <c r="A2877" s="610" t="s">
        <v>3757</v>
      </c>
      <c r="B2877" s="17" t="s">
        <v>5548</v>
      </c>
      <c r="C2877" s="30" t="s">
        <v>2385</v>
      </c>
      <c r="D2877" s="30" t="s">
        <v>7320</v>
      </c>
      <c r="E2877" s="17" t="s">
        <v>4810</v>
      </c>
      <c r="F2877" s="454">
        <v>20.46</v>
      </c>
      <c r="G2877" s="529">
        <v>20.46</v>
      </c>
      <c r="H2877" s="487">
        <f t="shared" si="1191"/>
        <v>16.37</v>
      </c>
      <c r="I2877" s="706"/>
      <c r="J2877" s="669" t="s">
        <v>5805</v>
      </c>
      <c r="K2877" s="23"/>
      <c r="L2877" s="70" t="str">
        <f t="shared" si="1192"/>
        <v/>
      </c>
      <c r="M2877" s="49">
        <f t="shared" si="1193"/>
        <v>20.46</v>
      </c>
      <c r="N2877" s="41">
        <f t="shared" si="1194"/>
        <v>11.55</v>
      </c>
      <c r="O2877" s="61"/>
      <c r="P2877" s="65"/>
      <c r="Q2877" s="65"/>
      <c r="R2877" s="58" t="s">
        <v>1017</v>
      </c>
      <c r="S2877" s="12" t="s">
        <v>1017</v>
      </c>
      <c r="T2877" s="65"/>
      <c r="U2877" s="65"/>
      <c r="X2877" s="65"/>
      <c r="AA2877" s="67"/>
      <c r="AD2877" s="53" t="s">
        <v>1017</v>
      </c>
    </row>
    <row r="2878" spans="1:30" s="12" customFormat="1" x14ac:dyDescent="0.25">
      <c r="A2878" s="610" t="s">
        <v>3758</v>
      </c>
      <c r="B2878" s="17" t="s">
        <v>5548</v>
      </c>
      <c r="C2878" s="30" t="s">
        <v>2385</v>
      </c>
      <c r="D2878" s="30" t="s">
        <v>7321</v>
      </c>
      <c r="E2878" s="17" t="s">
        <v>4812</v>
      </c>
      <c r="F2878" s="454">
        <v>23.43</v>
      </c>
      <c r="G2878" s="529">
        <v>23.43</v>
      </c>
      <c r="H2878" s="487">
        <f t="shared" si="1191"/>
        <v>18.739999999999998</v>
      </c>
      <c r="I2878" s="706"/>
      <c r="J2878" s="669" t="s">
        <v>5805</v>
      </c>
      <c r="K2878" s="23"/>
      <c r="L2878" s="70" t="str">
        <f t="shared" si="1192"/>
        <v/>
      </c>
      <c r="M2878" s="49">
        <f t="shared" si="1193"/>
        <v>23.43</v>
      </c>
      <c r="N2878" s="41">
        <f t="shared" si="1194"/>
        <v>11.55</v>
      </c>
      <c r="O2878" s="43" t="s">
        <v>1017</v>
      </c>
      <c r="P2878" s="65"/>
      <c r="Q2878" s="65"/>
      <c r="R2878" s="58" t="s">
        <v>1017</v>
      </c>
      <c r="S2878" s="12" t="s">
        <v>1017</v>
      </c>
      <c r="T2878" s="65"/>
      <c r="U2878" s="65"/>
      <c r="X2878" s="65"/>
      <c r="AA2878" s="67"/>
      <c r="AD2878" s="53" t="s">
        <v>1017</v>
      </c>
    </row>
    <row r="2879" spans="1:30" s="12" customFormat="1" x14ac:dyDescent="0.25">
      <c r="A2879" s="610" t="s">
        <v>3759</v>
      </c>
      <c r="B2879" s="17" t="s">
        <v>5548</v>
      </c>
      <c r="C2879" s="30" t="s">
        <v>2385</v>
      </c>
      <c r="D2879" s="17" t="s">
        <v>7322</v>
      </c>
      <c r="E2879" s="17" t="s">
        <v>4810</v>
      </c>
      <c r="F2879" s="454">
        <v>20.46</v>
      </c>
      <c r="G2879" s="529">
        <v>20.46</v>
      </c>
      <c r="H2879" s="487">
        <f t="shared" si="1191"/>
        <v>16.37</v>
      </c>
      <c r="I2879" s="706"/>
      <c r="J2879" s="669" t="s">
        <v>5805</v>
      </c>
      <c r="K2879" s="23"/>
      <c r="L2879" s="70" t="str">
        <f t="shared" si="1192"/>
        <v/>
      </c>
      <c r="M2879" s="49">
        <f t="shared" si="1193"/>
        <v>20.46</v>
      </c>
      <c r="N2879" s="41">
        <f t="shared" si="1194"/>
        <v>11.55</v>
      </c>
      <c r="O2879" s="61"/>
      <c r="P2879" s="65"/>
      <c r="Q2879" s="65"/>
      <c r="R2879" s="58"/>
      <c r="T2879" s="65"/>
      <c r="U2879" s="65"/>
      <c r="V2879" s="12" t="s">
        <v>1017</v>
      </c>
      <c r="X2879" s="65"/>
      <c r="AA2879" s="67"/>
      <c r="AD2879" s="53" t="s">
        <v>1017</v>
      </c>
    </row>
    <row r="2880" spans="1:30" s="12" customFormat="1" x14ac:dyDescent="0.25">
      <c r="A2880" s="610" t="s">
        <v>3760</v>
      </c>
      <c r="B2880" s="17" t="s">
        <v>5548</v>
      </c>
      <c r="C2880" s="30" t="s">
        <v>2385</v>
      </c>
      <c r="D2880" s="17" t="s">
        <v>7323</v>
      </c>
      <c r="E2880" s="17" t="s">
        <v>4812</v>
      </c>
      <c r="F2880" s="454">
        <v>23.43</v>
      </c>
      <c r="G2880" s="529">
        <v>23.43</v>
      </c>
      <c r="H2880" s="487">
        <f t="shared" si="1191"/>
        <v>18.739999999999998</v>
      </c>
      <c r="I2880" s="706"/>
      <c r="J2880" s="669" t="s">
        <v>5805</v>
      </c>
      <c r="K2880" s="23"/>
      <c r="L2880" s="70" t="str">
        <f t="shared" si="1192"/>
        <v/>
      </c>
      <c r="M2880" s="49">
        <f t="shared" si="1193"/>
        <v>23.43</v>
      </c>
      <c r="N2880" s="41">
        <f t="shared" si="1194"/>
        <v>11.55</v>
      </c>
      <c r="O2880" s="43" t="s">
        <v>1017</v>
      </c>
      <c r="P2880" s="65"/>
      <c r="Q2880" s="65"/>
      <c r="R2880" s="58"/>
      <c r="T2880" s="65"/>
      <c r="U2880" s="65"/>
      <c r="V2880" s="12" t="s">
        <v>1017</v>
      </c>
      <c r="X2880" s="65"/>
      <c r="AA2880" s="67"/>
      <c r="AD2880" s="53" t="s">
        <v>1017</v>
      </c>
    </row>
    <row r="2881" spans="1:30" s="12" customFormat="1" x14ac:dyDescent="0.25">
      <c r="A2881" s="610" t="s">
        <v>3761</v>
      </c>
      <c r="B2881" s="17" t="s">
        <v>5548</v>
      </c>
      <c r="C2881" s="30" t="s">
        <v>2385</v>
      </c>
      <c r="D2881" s="17" t="s">
        <v>7324</v>
      </c>
      <c r="E2881" s="17" t="s">
        <v>4810</v>
      </c>
      <c r="F2881" s="454">
        <v>21.45</v>
      </c>
      <c r="G2881" s="529">
        <v>21.45</v>
      </c>
      <c r="H2881" s="487">
        <f t="shared" si="1191"/>
        <v>17.16</v>
      </c>
      <c r="I2881" s="706"/>
      <c r="J2881" s="669" t="s">
        <v>5805</v>
      </c>
      <c r="K2881" s="23"/>
      <c r="L2881" s="70" t="str">
        <f t="shared" si="1192"/>
        <v/>
      </c>
      <c r="M2881" s="49">
        <f t="shared" si="1193"/>
        <v>21.450000000000003</v>
      </c>
      <c r="N2881" s="41">
        <f t="shared" si="1194"/>
        <v>11.55</v>
      </c>
      <c r="O2881" s="61"/>
      <c r="P2881" s="65"/>
      <c r="Q2881" s="65"/>
      <c r="R2881" s="58" t="s">
        <v>1017</v>
      </c>
      <c r="T2881" s="65"/>
      <c r="U2881" s="65"/>
      <c r="V2881" s="12" t="s">
        <v>1017</v>
      </c>
      <c r="X2881" s="65"/>
      <c r="AA2881" s="67"/>
      <c r="AD2881" s="53" t="s">
        <v>1017</v>
      </c>
    </row>
    <row r="2882" spans="1:30" s="12" customFormat="1" x14ac:dyDescent="0.25">
      <c r="A2882" s="610" t="s">
        <v>3762</v>
      </c>
      <c r="B2882" s="17" t="s">
        <v>5548</v>
      </c>
      <c r="C2882" s="30" t="s">
        <v>2385</v>
      </c>
      <c r="D2882" s="17" t="s">
        <v>7325</v>
      </c>
      <c r="E2882" s="17" t="s">
        <v>4812</v>
      </c>
      <c r="F2882" s="454">
        <v>24.42</v>
      </c>
      <c r="G2882" s="529">
        <v>24.42</v>
      </c>
      <c r="H2882" s="487">
        <f t="shared" si="1191"/>
        <v>19.54</v>
      </c>
      <c r="I2882" s="706"/>
      <c r="J2882" s="669" t="s">
        <v>5805</v>
      </c>
      <c r="K2882" s="23"/>
      <c r="L2882" s="70" t="str">
        <f t="shared" si="1192"/>
        <v/>
      </c>
      <c r="M2882" s="49">
        <f t="shared" si="1193"/>
        <v>24.42</v>
      </c>
      <c r="N2882" s="41">
        <f t="shared" si="1194"/>
        <v>11.55</v>
      </c>
      <c r="O2882" s="43" t="s">
        <v>1017</v>
      </c>
      <c r="P2882" s="65"/>
      <c r="Q2882" s="65"/>
      <c r="R2882" s="58" t="s">
        <v>1017</v>
      </c>
      <c r="T2882" s="65"/>
      <c r="U2882" s="65"/>
      <c r="V2882" s="12" t="s">
        <v>1017</v>
      </c>
      <c r="X2882" s="65"/>
      <c r="AA2882" s="67"/>
      <c r="AD2882" s="53" t="s">
        <v>1017</v>
      </c>
    </row>
    <row r="2883" spans="1:30" s="12" customFormat="1" x14ac:dyDescent="0.25">
      <c r="A2883" s="610" t="s">
        <v>3763</v>
      </c>
      <c r="B2883" s="17" t="s">
        <v>5548</v>
      </c>
      <c r="C2883" s="30" t="s">
        <v>2385</v>
      </c>
      <c r="D2883" s="17" t="s">
        <v>7326</v>
      </c>
      <c r="E2883" s="17" t="s">
        <v>4810</v>
      </c>
      <c r="F2883" s="454">
        <v>22.44</v>
      </c>
      <c r="G2883" s="529">
        <v>22.44</v>
      </c>
      <c r="H2883" s="487">
        <f t="shared" si="1191"/>
        <v>17.95</v>
      </c>
      <c r="I2883" s="706"/>
      <c r="J2883" s="669" t="s">
        <v>5805</v>
      </c>
      <c r="K2883" s="23"/>
      <c r="L2883" s="70" t="str">
        <f t="shared" si="1192"/>
        <v/>
      </c>
      <c r="M2883" s="49">
        <f t="shared" si="1193"/>
        <v>22.44</v>
      </c>
      <c r="N2883" s="41">
        <f t="shared" si="1194"/>
        <v>11.55</v>
      </c>
      <c r="O2883" s="61"/>
      <c r="P2883" s="65"/>
      <c r="Q2883" s="65"/>
      <c r="R2883" s="58"/>
      <c r="T2883" s="65"/>
      <c r="U2883" s="65"/>
      <c r="X2883" s="65"/>
      <c r="Y2883" s="12" t="s">
        <v>1017</v>
      </c>
      <c r="AA2883" s="67"/>
      <c r="AD2883" s="53" t="s">
        <v>1017</v>
      </c>
    </row>
    <row r="2884" spans="1:30" s="12" customFormat="1" x14ac:dyDescent="0.25">
      <c r="A2884" s="610" t="s">
        <v>3764</v>
      </c>
      <c r="B2884" s="17" t="s">
        <v>5548</v>
      </c>
      <c r="C2884" s="30" t="s">
        <v>2385</v>
      </c>
      <c r="D2884" s="17" t="s">
        <v>7327</v>
      </c>
      <c r="E2884" s="17" t="s">
        <v>4812</v>
      </c>
      <c r="F2884" s="454">
        <v>25.41</v>
      </c>
      <c r="G2884" s="529">
        <v>25.41</v>
      </c>
      <c r="H2884" s="487">
        <f t="shared" si="1191"/>
        <v>20.329999999999998</v>
      </c>
      <c r="I2884" s="706"/>
      <c r="J2884" s="669" t="s">
        <v>5805</v>
      </c>
      <c r="K2884" s="23"/>
      <c r="L2884" s="70" t="str">
        <f t="shared" si="1192"/>
        <v/>
      </c>
      <c r="M2884" s="49">
        <f t="shared" si="1193"/>
        <v>25.410000000000004</v>
      </c>
      <c r="N2884" s="41">
        <f t="shared" si="1194"/>
        <v>11.55</v>
      </c>
      <c r="O2884" s="43" t="s">
        <v>1017</v>
      </c>
      <c r="P2884" s="65"/>
      <c r="Q2884" s="65"/>
      <c r="R2884" s="58"/>
      <c r="T2884" s="65"/>
      <c r="U2884" s="65"/>
      <c r="X2884" s="65"/>
      <c r="Y2884" s="12" t="s">
        <v>1017</v>
      </c>
      <c r="AA2884" s="67"/>
      <c r="AD2884" s="53" t="s">
        <v>1017</v>
      </c>
    </row>
    <row r="2885" spans="1:30" s="12" customFormat="1" x14ac:dyDescent="0.25">
      <c r="A2885" s="610" t="s">
        <v>3765</v>
      </c>
      <c r="B2885" s="17" t="s">
        <v>5548</v>
      </c>
      <c r="C2885" s="30" t="s">
        <v>2385</v>
      </c>
      <c r="D2885" s="17" t="s">
        <v>7328</v>
      </c>
      <c r="E2885" s="17" t="s">
        <v>4810</v>
      </c>
      <c r="F2885" s="454">
        <v>23.43</v>
      </c>
      <c r="G2885" s="529">
        <v>23.43</v>
      </c>
      <c r="H2885" s="487">
        <f t="shared" si="1191"/>
        <v>18.739999999999998</v>
      </c>
      <c r="I2885" s="706"/>
      <c r="J2885" s="669" t="s">
        <v>5805</v>
      </c>
      <c r="K2885" s="23"/>
      <c r="L2885" s="70" t="str">
        <f t="shared" si="1192"/>
        <v/>
      </c>
      <c r="M2885" s="49">
        <f t="shared" si="1193"/>
        <v>23.43</v>
      </c>
      <c r="N2885" s="41">
        <f t="shared" si="1194"/>
        <v>11.55</v>
      </c>
      <c r="O2885" s="61"/>
      <c r="P2885" s="65"/>
      <c r="Q2885" s="65"/>
      <c r="R2885" s="58" t="s">
        <v>1017</v>
      </c>
      <c r="T2885" s="65"/>
      <c r="U2885" s="65"/>
      <c r="X2885" s="65"/>
      <c r="Y2885" s="12" t="s">
        <v>1017</v>
      </c>
      <c r="AA2885" s="67"/>
      <c r="AD2885" s="53" t="s">
        <v>1017</v>
      </c>
    </row>
    <row r="2886" spans="1:30" s="12" customFormat="1" x14ac:dyDescent="0.25">
      <c r="A2886" s="610" t="s">
        <v>3766</v>
      </c>
      <c r="B2886" s="17" t="s">
        <v>5548</v>
      </c>
      <c r="C2886" s="30" t="s">
        <v>2385</v>
      </c>
      <c r="D2886" s="17" t="s">
        <v>7329</v>
      </c>
      <c r="E2886" s="17" t="s">
        <v>4812</v>
      </c>
      <c r="F2886" s="454">
        <v>26.4</v>
      </c>
      <c r="G2886" s="529">
        <v>26.4</v>
      </c>
      <c r="H2886" s="487">
        <f t="shared" si="1191"/>
        <v>21.12</v>
      </c>
      <c r="I2886" s="706"/>
      <c r="J2886" s="669" t="s">
        <v>5805</v>
      </c>
      <c r="K2886" s="23"/>
      <c r="L2886" s="70" t="str">
        <f t="shared" si="1192"/>
        <v/>
      </c>
      <c r="M2886" s="49">
        <f t="shared" si="1193"/>
        <v>26.400000000000002</v>
      </c>
      <c r="N2886" s="41">
        <f t="shared" si="1194"/>
        <v>11.55</v>
      </c>
      <c r="O2886" s="43" t="s">
        <v>1017</v>
      </c>
      <c r="P2886" s="65"/>
      <c r="Q2886" s="65"/>
      <c r="R2886" s="58" t="s">
        <v>1017</v>
      </c>
      <c r="T2886" s="65"/>
      <c r="U2886" s="65"/>
      <c r="X2886" s="65"/>
      <c r="Y2886" s="12" t="s">
        <v>1017</v>
      </c>
      <c r="AA2886" s="67"/>
      <c r="AD2886" s="53" t="s">
        <v>1017</v>
      </c>
    </row>
    <row r="2887" spans="1:30" s="12" customFormat="1" x14ac:dyDescent="0.25">
      <c r="A2887" s="610" t="s">
        <v>3767</v>
      </c>
      <c r="B2887" s="17" t="s">
        <v>5548</v>
      </c>
      <c r="C2887" s="30" t="s">
        <v>2385</v>
      </c>
      <c r="D2887" s="17" t="s">
        <v>7330</v>
      </c>
      <c r="E2887" s="17" t="s">
        <v>4810</v>
      </c>
      <c r="F2887" s="454">
        <v>24.42</v>
      </c>
      <c r="G2887" s="529">
        <v>24.42</v>
      </c>
      <c r="H2887" s="487">
        <f t="shared" si="1191"/>
        <v>19.54</v>
      </c>
      <c r="I2887" s="706"/>
      <c r="J2887" s="669" t="s">
        <v>5805</v>
      </c>
      <c r="K2887" s="23"/>
      <c r="L2887" s="70" t="str">
        <f t="shared" si="1192"/>
        <v/>
      </c>
      <c r="M2887" s="49">
        <f t="shared" si="1193"/>
        <v>24.42</v>
      </c>
      <c r="N2887" s="41">
        <f t="shared" si="1194"/>
        <v>11.55</v>
      </c>
      <c r="O2887" s="61"/>
      <c r="P2887" s="65"/>
      <c r="Q2887" s="65"/>
      <c r="R2887" s="58"/>
      <c r="T2887" s="65"/>
      <c r="U2887" s="65"/>
      <c r="W2887" s="12" t="s">
        <v>1017</v>
      </c>
      <c r="X2887" s="65"/>
      <c r="AA2887" s="67"/>
      <c r="AD2887" s="53" t="s">
        <v>1017</v>
      </c>
    </row>
    <row r="2888" spans="1:30" s="12" customFormat="1" x14ac:dyDescent="0.25">
      <c r="A2888" s="610" t="s">
        <v>3768</v>
      </c>
      <c r="B2888" s="17" t="s">
        <v>5548</v>
      </c>
      <c r="C2888" s="30" t="s">
        <v>2385</v>
      </c>
      <c r="D2888" s="17" t="s">
        <v>7331</v>
      </c>
      <c r="E2888" s="17" t="s">
        <v>4812</v>
      </c>
      <c r="F2888" s="454">
        <v>27.39</v>
      </c>
      <c r="G2888" s="529">
        <v>27.39</v>
      </c>
      <c r="H2888" s="487">
        <f t="shared" si="1191"/>
        <v>21.91</v>
      </c>
      <c r="I2888" s="706"/>
      <c r="J2888" s="669" t="s">
        <v>5805</v>
      </c>
      <c r="K2888" s="23"/>
      <c r="L2888" s="70" t="str">
        <f t="shared" si="1192"/>
        <v/>
      </c>
      <c r="M2888" s="49">
        <f t="shared" si="1193"/>
        <v>27.39</v>
      </c>
      <c r="N2888" s="41">
        <f t="shared" si="1194"/>
        <v>11.55</v>
      </c>
      <c r="O2888" s="43" t="s">
        <v>1017</v>
      </c>
      <c r="P2888" s="65"/>
      <c r="Q2888" s="65"/>
      <c r="R2888" s="58"/>
      <c r="T2888" s="65"/>
      <c r="U2888" s="65"/>
      <c r="W2888" s="12" t="s">
        <v>1017</v>
      </c>
      <c r="X2888" s="65"/>
      <c r="AA2888" s="67"/>
      <c r="AD2888" s="53" t="s">
        <v>1017</v>
      </c>
    </row>
    <row r="2889" spans="1:30" s="12" customFormat="1" x14ac:dyDescent="0.25">
      <c r="A2889" s="610" t="s">
        <v>3769</v>
      </c>
      <c r="B2889" s="17" t="s">
        <v>5548</v>
      </c>
      <c r="C2889" s="30" t="s">
        <v>2385</v>
      </c>
      <c r="D2889" s="17" t="s">
        <v>7332</v>
      </c>
      <c r="E2889" s="17" t="s">
        <v>4810</v>
      </c>
      <c r="F2889" s="454">
        <v>25.41</v>
      </c>
      <c r="G2889" s="529">
        <v>25.41</v>
      </c>
      <c r="H2889" s="487">
        <f t="shared" si="1191"/>
        <v>20.329999999999998</v>
      </c>
      <c r="I2889" s="706"/>
      <c r="J2889" s="669" t="s">
        <v>5805</v>
      </c>
      <c r="K2889" s="23"/>
      <c r="L2889" s="70" t="str">
        <f t="shared" si="1192"/>
        <v/>
      </c>
      <c r="M2889" s="49">
        <f t="shared" si="1193"/>
        <v>25.410000000000004</v>
      </c>
      <c r="N2889" s="41">
        <f t="shared" si="1194"/>
        <v>11.55</v>
      </c>
      <c r="O2889" s="61"/>
      <c r="P2889" s="65"/>
      <c r="Q2889" s="65"/>
      <c r="R2889" s="58" t="s">
        <v>1017</v>
      </c>
      <c r="T2889" s="65"/>
      <c r="U2889" s="65"/>
      <c r="W2889" s="12" t="s">
        <v>1017</v>
      </c>
      <c r="X2889" s="65"/>
      <c r="AA2889" s="67"/>
      <c r="AD2889" s="53" t="s">
        <v>1017</v>
      </c>
    </row>
    <row r="2890" spans="1:30" s="12" customFormat="1" x14ac:dyDescent="0.25">
      <c r="A2890" s="610" t="s">
        <v>3770</v>
      </c>
      <c r="B2890" s="17" t="s">
        <v>5548</v>
      </c>
      <c r="C2890" s="30" t="s">
        <v>2385</v>
      </c>
      <c r="D2890" s="17" t="s">
        <v>7333</v>
      </c>
      <c r="E2890" s="17" t="s">
        <v>4812</v>
      </c>
      <c r="F2890" s="454">
        <v>28.38</v>
      </c>
      <c r="G2890" s="529">
        <v>28.38</v>
      </c>
      <c r="H2890" s="487">
        <f t="shared" si="1191"/>
        <v>22.7</v>
      </c>
      <c r="I2890" s="706"/>
      <c r="J2890" s="669" t="s">
        <v>5805</v>
      </c>
      <c r="K2890" s="23"/>
      <c r="L2890" s="70" t="str">
        <f t="shared" si="1192"/>
        <v/>
      </c>
      <c r="M2890" s="49">
        <f t="shared" si="1193"/>
        <v>28.380000000000003</v>
      </c>
      <c r="N2890" s="41">
        <f t="shared" si="1194"/>
        <v>11.55</v>
      </c>
      <c r="O2890" s="43" t="s">
        <v>1017</v>
      </c>
      <c r="P2890" s="65"/>
      <c r="Q2890" s="65"/>
      <c r="R2890" s="58" t="s">
        <v>1017</v>
      </c>
      <c r="T2890" s="65"/>
      <c r="U2890" s="65"/>
      <c r="W2890" s="12" t="s">
        <v>1017</v>
      </c>
      <c r="X2890" s="65"/>
      <c r="AA2890" s="67"/>
      <c r="AD2890" s="53" t="s">
        <v>1017</v>
      </c>
    </row>
    <row r="2891" spans="1:30" s="12" customFormat="1" x14ac:dyDescent="0.25">
      <c r="A2891" s="610" t="s">
        <v>3771</v>
      </c>
      <c r="B2891" s="17" t="s">
        <v>5548</v>
      </c>
      <c r="C2891" s="30" t="s">
        <v>2385</v>
      </c>
      <c r="D2891" s="17" t="s">
        <v>7334</v>
      </c>
      <c r="E2891" s="17" t="s">
        <v>4810</v>
      </c>
      <c r="F2891" s="454">
        <v>26.4</v>
      </c>
      <c r="G2891" s="529">
        <v>26.4</v>
      </c>
      <c r="H2891" s="487">
        <f t="shared" si="1191"/>
        <v>21.12</v>
      </c>
      <c r="I2891" s="706"/>
      <c r="J2891" s="669" t="s">
        <v>5805</v>
      </c>
      <c r="K2891" s="23"/>
      <c r="L2891" s="70" t="str">
        <f t="shared" si="1192"/>
        <v/>
      </c>
      <c r="M2891" s="49">
        <f t="shared" si="1193"/>
        <v>26.400000000000002</v>
      </c>
      <c r="N2891" s="41">
        <f t="shared" si="1194"/>
        <v>11.55</v>
      </c>
      <c r="O2891" s="61"/>
      <c r="P2891" s="65"/>
      <c r="Q2891" s="65"/>
      <c r="R2891" s="58"/>
      <c r="T2891" s="65"/>
      <c r="U2891" s="65"/>
      <c r="X2891" s="65"/>
      <c r="Z2891" s="12" t="s">
        <v>1017</v>
      </c>
      <c r="AA2891" s="67"/>
      <c r="AD2891" s="53" t="s">
        <v>1017</v>
      </c>
    </row>
    <row r="2892" spans="1:30" s="12" customFormat="1" x14ac:dyDescent="0.25">
      <c r="A2892" s="610" t="s">
        <v>3772</v>
      </c>
      <c r="B2892" s="17" t="s">
        <v>5548</v>
      </c>
      <c r="C2892" s="30" t="s">
        <v>2385</v>
      </c>
      <c r="D2892" s="17" t="s">
        <v>7335</v>
      </c>
      <c r="E2892" s="17" t="s">
        <v>4812</v>
      </c>
      <c r="F2892" s="454">
        <v>29.37</v>
      </c>
      <c r="G2892" s="529">
        <v>29.37</v>
      </c>
      <c r="H2892" s="487">
        <f t="shared" si="1191"/>
        <v>23.5</v>
      </c>
      <c r="I2892" s="706"/>
      <c r="J2892" s="669" t="s">
        <v>5805</v>
      </c>
      <c r="K2892" s="23"/>
      <c r="L2892" s="70" t="str">
        <f t="shared" si="1192"/>
        <v/>
      </c>
      <c r="M2892" s="49">
        <f t="shared" si="1193"/>
        <v>29.37</v>
      </c>
      <c r="N2892" s="41">
        <f t="shared" si="1194"/>
        <v>11.55</v>
      </c>
      <c r="O2892" s="43" t="s">
        <v>1017</v>
      </c>
      <c r="P2892" s="65"/>
      <c r="Q2892" s="65"/>
      <c r="R2892" s="58"/>
      <c r="T2892" s="65"/>
      <c r="U2892" s="65"/>
      <c r="X2892" s="65"/>
      <c r="Z2892" s="12" t="s">
        <v>1017</v>
      </c>
      <c r="AA2892" s="67"/>
      <c r="AD2892" s="53" t="s">
        <v>1017</v>
      </c>
    </row>
    <row r="2893" spans="1:30" s="12" customFormat="1" x14ac:dyDescent="0.25">
      <c r="A2893" s="610" t="s">
        <v>3773</v>
      </c>
      <c r="B2893" s="17" t="s">
        <v>5548</v>
      </c>
      <c r="C2893" s="30" t="s">
        <v>2385</v>
      </c>
      <c r="D2893" s="17" t="s">
        <v>7336</v>
      </c>
      <c r="E2893" s="17" t="s">
        <v>4810</v>
      </c>
      <c r="F2893" s="454">
        <v>27.39</v>
      </c>
      <c r="G2893" s="529">
        <v>27.39</v>
      </c>
      <c r="H2893" s="487">
        <f t="shared" si="1191"/>
        <v>21.91</v>
      </c>
      <c r="I2893" s="706"/>
      <c r="J2893" s="669" t="s">
        <v>5805</v>
      </c>
      <c r="K2893" s="23"/>
      <c r="L2893" s="70" t="str">
        <f t="shared" si="1192"/>
        <v/>
      </c>
      <c r="M2893" s="49">
        <f t="shared" si="1193"/>
        <v>27.39</v>
      </c>
      <c r="N2893" s="41">
        <f t="shared" si="1194"/>
        <v>11.55</v>
      </c>
      <c r="O2893" s="61"/>
      <c r="P2893" s="65"/>
      <c r="Q2893" s="65"/>
      <c r="R2893" s="58" t="s">
        <v>1017</v>
      </c>
      <c r="T2893" s="65"/>
      <c r="U2893" s="65"/>
      <c r="X2893" s="65"/>
      <c r="Z2893" s="12" t="s">
        <v>1017</v>
      </c>
      <c r="AA2893" s="67"/>
      <c r="AD2893" s="53" t="s">
        <v>1017</v>
      </c>
    </row>
    <row r="2894" spans="1:30" s="12" customFormat="1" x14ac:dyDescent="0.25">
      <c r="A2894" s="610" t="s">
        <v>3774</v>
      </c>
      <c r="B2894" s="17" t="s">
        <v>5548</v>
      </c>
      <c r="C2894" s="30" t="s">
        <v>2385</v>
      </c>
      <c r="D2894" s="17" t="s">
        <v>7337</v>
      </c>
      <c r="E2894" s="17" t="s">
        <v>4812</v>
      </c>
      <c r="F2894" s="454">
        <v>30.36</v>
      </c>
      <c r="G2894" s="529">
        <v>30.36</v>
      </c>
      <c r="H2894" s="487">
        <f t="shared" si="1191"/>
        <v>24.29</v>
      </c>
      <c r="I2894" s="706"/>
      <c r="J2894" s="669" t="s">
        <v>5805</v>
      </c>
      <c r="K2894" s="23"/>
      <c r="L2894" s="70" t="str">
        <f t="shared" si="1192"/>
        <v/>
      </c>
      <c r="M2894" s="49">
        <f t="shared" si="1193"/>
        <v>30.360000000000003</v>
      </c>
      <c r="N2894" s="41">
        <f t="shared" si="1194"/>
        <v>11.55</v>
      </c>
      <c r="O2894" s="43" t="s">
        <v>1017</v>
      </c>
      <c r="P2894" s="65"/>
      <c r="Q2894" s="65"/>
      <c r="R2894" s="58" t="s">
        <v>1017</v>
      </c>
      <c r="T2894" s="65"/>
      <c r="U2894" s="65"/>
      <c r="X2894" s="65"/>
      <c r="Z2894" s="12" t="s">
        <v>1017</v>
      </c>
      <c r="AA2894" s="67"/>
      <c r="AD2894" s="53" t="s">
        <v>1017</v>
      </c>
    </row>
    <row r="2895" spans="1:30" s="12" customFormat="1" x14ac:dyDescent="0.25">
      <c r="A2895" s="610" t="s">
        <v>3775</v>
      </c>
      <c r="B2895" s="17" t="s">
        <v>5548</v>
      </c>
      <c r="C2895" s="30" t="s">
        <v>2385</v>
      </c>
      <c r="D2895" s="17" t="s">
        <v>5415</v>
      </c>
      <c r="E2895" s="17" t="s">
        <v>4810</v>
      </c>
      <c r="F2895" s="454">
        <v>9.09</v>
      </c>
      <c r="G2895" s="529">
        <v>9.09</v>
      </c>
      <c r="H2895" s="487">
        <f t="shared" si="1191"/>
        <v>7.27</v>
      </c>
      <c r="I2895" s="706"/>
      <c r="J2895" s="669" t="s">
        <v>5805</v>
      </c>
      <c r="K2895" s="23"/>
      <c r="L2895" s="70" t="str">
        <f t="shared" si="1192"/>
        <v/>
      </c>
      <c r="M2895" s="49">
        <f t="shared" si="1193"/>
        <v>9.09</v>
      </c>
      <c r="N2895" s="41">
        <f t="shared" si="1194"/>
        <v>9.09</v>
      </c>
      <c r="O2895" s="61"/>
      <c r="P2895" s="65"/>
      <c r="Q2895" s="65"/>
      <c r="R2895" s="58"/>
      <c r="T2895" s="65"/>
      <c r="U2895" s="65"/>
      <c r="W2895" s="65"/>
      <c r="Z2895" s="65"/>
      <c r="AA2895" s="53"/>
      <c r="AD2895" s="53"/>
    </row>
    <row r="2896" spans="1:30" s="12" customFormat="1" x14ac:dyDescent="0.25">
      <c r="A2896" s="610" t="s">
        <v>3776</v>
      </c>
      <c r="B2896" s="17" t="s">
        <v>5548</v>
      </c>
      <c r="C2896" s="30" t="s">
        <v>2385</v>
      </c>
      <c r="D2896" s="17" t="s">
        <v>2903</v>
      </c>
      <c r="E2896" s="17" t="s">
        <v>4812</v>
      </c>
      <c r="F2896" s="454">
        <v>12.06</v>
      </c>
      <c r="G2896" s="529">
        <v>12.06</v>
      </c>
      <c r="H2896" s="487">
        <f t="shared" si="1191"/>
        <v>9.65</v>
      </c>
      <c r="I2896" s="706"/>
      <c r="J2896" s="669" t="s">
        <v>5805</v>
      </c>
      <c r="K2896" s="23"/>
      <c r="L2896" s="70" t="str">
        <f t="shared" si="1192"/>
        <v/>
      </c>
      <c r="M2896" s="49">
        <f t="shared" si="1193"/>
        <v>12.06</v>
      </c>
      <c r="N2896" s="41">
        <f t="shared" si="1194"/>
        <v>9.09</v>
      </c>
      <c r="O2896" s="43" t="s">
        <v>1017</v>
      </c>
      <c r="P2896" s="65"/>
      <c r="Q2896" s="65"/>
      <c r="R2896" s="58"/>
      <c r="T2896" s="65"/>
      <c r="U2896" s="65"/>
      <c r="W2896" s="65"/>
      <c r="Z2896" s="65"/>
      <c r="AA2896" s="53"/>
      <c r="AD2896" s="53"/>
    </row>
    <row r="2897" spans="1:30" s="12" customFormat="1" x14ac:dyDescent="0.25">
      <c r="A2897" s="610" t="s">
        <v>3777</v>
      </c>
      <c r="B2897" s="17" t="s">
        <v>5548</v>
      </c>
      <c r="C2897" s="30" t="s">
        <v>2385</v>
      </c>
      <c r="D2897" s="30" t="s">
        <v>638</v>
      </c>
      <c r="E2897" s="17" t="s">
        <v>4810</v>
      </c>
      <c r="F2897" s="454">
        <v>10.08</v>
      </c>
      <c r="G2897" s="529">
        <v>10.08</v>
      </c>
      <c r="H2897" s="487">
        <f t="shared" si="1191"/>
        <v>8.06</v>
      </c>
      <c r="I2897" s="706"/>
      <c r="J2897" s="669" t="s">
        <v>5805</v>
      </c>
      <c r="K2897" s="23"/>
      <c r="L2897" s="70" t="str">
        <f t="shared" si="1192"/>
        <v/>
      </c>
      <c r="M2897" s="49">
        <f t="shared" si="1193"/>
        <v>10.08</v>
      </c>
      <c r="N2897" s="41">
        <f t="shared" si="1194"/>
        <v>9.09</v>
      </c>
      <c r="O2897" s="61"/>
      <c r="P2897" s="65"/>
      <c r="Q2897" s="65"/>
      <c r="R2897" s="58" t="s">
        <v>1017</v>
      </c>
      <c r="T2897" s="65"/>
      <c r="U2897" s="65"/>
      <c r="W2897" s="65"/>
      <c r="Z2897" s="65"/>
      <c r="AA2897" s="53"/>
      <c r="AD2897" s="53"/>
    </row>
    <row r="2898" spans="1:30" s="12" customFormat="1" x14ac:dyDescent="0.25">
      <c r="A2898" s="610" t="s">
        <v>3778</v>
      </c>
      <c r="B2898" s="17" t="s">
        <v>5548</v>
      </c>
      <c r="C2898" s="30" t="s">
        <v>2385</v>
      </c>
      <c r="D2898" s="30" t="s">
        <v>639</v>
      </c>
      <c r="E2898" s="17" t="s">
        <v>4812</v>
      </c>
      <c r="F2898" s="454">
        <v>13.05</v>
      </c>
      <c r="G2898" s="529">
        <v>13.05</v>
      </c>
      <c r="H2898" s="487">
        <f t="shared" si="1191"/>
        <v>10.44</v>
      </c>
      <c r="I2898" s="706"/>
      <c r="J2898" s="669" t="s">
        <v>5805</v>
      </c>
      <c r="K2898" s="23"/>
      <c r="L2898" s="70" t="str">
        <f t="shared" si="1192"/>
        <v/>
      </c>
      <c r="M2898" s="49">
        <f t="shared" si="1193"/>
        <v>13.05</v>
      </c>
      <c r="N2898" s="41">
        <f t="shared" si="1194"/>
        <v>9.09</v>
      </c>
      <c r="O2898" s="43" t="s">
        <v>1017</v>
      </c>
      <c r="P2898" s="65"/>
      <c r="Q2898" s="65"/>
      <c r="R2898" s="58" t="s">
        <v>1017</v>
      </c>
      <c r="T2898" s="65"/>
      <c r="U2898" s="65"/>
      <c r="W2898" s="65"/>
      <c r="Z2898" s="65"/>
      <c r="AA2898" s="53"/>
      <c r="AD2898" s="53"/>
    </row>
    <row r="2899" spans="1:30" s="12" customFormat="1" x14ac:dyDescent="0.25">
      <c r="A2899" s="610" t="s">
        <v>3779</v>
      </c>
      <c r="B2899" s="17" t="s">
        <v>5548</v>
      </c>
      <c r="C2899" s="30" t="s">
        <v>2385</v>
      </c>
      <c r="D2899" s="17" t="s">
        <v>597</v>
      </c>
      <c r="E2899" s="17" t="s">
        <v>4810</v>
      </c>
      <c r="F2899" s="454">
        <v>15.03</v>
      </c>
      <c r="G2899" s="529">
        <v>15.03</v>
      </c>
      <c r="H2899" s="487">
        <f t="shared" si="1191"/>
        <v>12.02</v>
      </c>
      <c r="I2899" s="706"/>
      <c r="J2899" s="669" t="s">
        <v>5805</v>
      </c>
      <c r="K2899" s="23"/>
      <c r="L2899" s="70" t="str">
        <f t="shared" si="1192"/>
        <v/>
      </c>
      <c r="M2899" s="49">
        <f t="shared" si="1193"/>
        <v>15.030000000000001</v>
      </c>
      <c r="N2899" s="41">
        <f t="shared" si="1194"/>
        <v>9.09</v>
      </c>
      <c r="O2899" s="61"/>
      <c r="P2899" s="65"/>
      <c r="Q2899" s="65"/>
      <c r="R2899" s="58"/>
      <c r="S2899" s="12" t="s">
        <v>1017</v>
      </c>
      <c r="T2899" s="65"/>
      <c r="U2899" s="65"/>
      <c r="W2899" s="65"/>
      <c r="Z2899" s="65"/>
      <c r="AA2899" s="53"/>
      <c r="AD2899" s="53"/>
    </row>
    <row r="2900" spans="1:30" s="12" customFormat="1" x14ac:dyDescent="0.25">
      <c r="A2900" s="610" t="s">
        <v>3780</v>
      </c>
      <c r="B2900" s="17" t="s">
        <v>5548</v>
      </c>
      <c r="C2900" s="30" t="s">
        <v>2385</v>
      </c>
      <c r="D2900" s="17" t="s">
        <v>3201</v>
      </c>
      <c r="E2900" s="17" t="s">
        <v>4812</v>
      </c>
      <c r="F2900" s="454">
        <v>18</v>
      </c>
      <c r="G2900" s="529">
        <v>18</v>
      </c>
      <c r="H2900" s="487">
        <f t="shared" si="1191"/>
        <v>14.4</v>
      </c>
      <c r="I2900" s="706"/>
      <c r="J2900" s="669" t="s">
        <v>5805</v>
      </c>
      <c r="K2900" s="23"/>
      <c r="L2900" s="70" t="str">
        <f t="shared" si="1192"/>
        <v/>
      </c>
      <c r="M2900" s="49">
        <f t="shared" si="1193"/>
        <v>18</v>
      </c>
      <c r="N2900" s="41">
        <f t="shared" si="1194"/>
        <v>9.09</v>
      </c>
      <c r="O2900" s="43" t="s">
        <v>1017</v>
      </c>
      <c r="P2900" s="65"/>
      <c r="Q2900" s="65"/>
      <c r="R2900" s="58"/>
      <c r="S2900" s="12" t="s">
        <v>1017</v>
      </c>
      <c r="T2900" s="65"/>
      <c r="U2900" s="65"/>
      <c r="W2900" s="65"/>
      <c r="Z2900" s="65"/>
      <c r="AA2900" s="53"/>
      <c r="AD2900" s="53"/>
    </row>
    <row r="2901" spans="1:30" s="12" customFormat="1" x14ac:dyDescent="0.25">
      <c r="A2901" s="610" t="s">
        <v>3781</v>
      </c>
      <c r="B2901" s="17" t="s">
        <v>5548</v>
      </c>
      <c r="C2901" s="30" t="s">
        <v>2385</v>
      </c>
      <c r="D2901" s="30" t="s">
        <v>2113</v>
      </c>
      <c r="E2901" s="17" t="s">
        <v>4810</v>
      </c>
      <c r="F2901" s="454">
        <v>16.02</v>
      </c>
      <c r="G2901" s="529">
        <v>16.02</v>
      </c>
      <c r="H2901" s="487">
        <f t="shared" si="1191"/>
        <v>12.82</v>
      </c>
      <c r="I2901" s="706"/>
      <c r="J2901" s="669" t="s">
        <v>5805</v>
      </c>
      <c r="K2901" s="23"/>
      <c r="L2901" s="70" t="str">
        <f t="shared" si="1192"/>
        <v/>
      </c>
      <c r="M2901" s="49">
        <f t="shared" si="1193"/>
        <v>16.02</v>
      </c>
      <c r="N2901" s="41">
        <f t="shared" si="1194"/>
        <v>9.09</v>
      </c>
      <c r="O2901" s="61"/>
      <c r="P2901" s="65"/>
      <c r="Q2901" s="65"/>
      <c r="R2901" s="58" t="s">
        <v>1017</v>
      </c>
      <c r="S2901" s="12" t="s">
        <v>1017</v>
      </c>
      <c r="T2901" s="65"/>
      <c r="U2901" s="65"/>
      <c r="W2901" s="65"/>
      <c r="Z2901" s="65"/>
      <c r="AA2901" s="53"/>
      <c r="AD2901" s="53"/>
    </row>
    <row r="2902" spans="1:30" s="12" customFormat="1" x14ac:dyDescent="0.25">
      <c r="A2902" s="610" t="s">
        <v>3782</v>
      </c>
      <c r="B2902" s="17" t="s">
        <v>5548</v>
      </c>
      <c r="C2902" s="30" t="s">
        <v>2385</v>
      </c>
      <c r="D2902" s="30" t="s">
        <v>2112</v>
      </c>
      <c r="E2902" s="17" t="s">
        <v>4812</v>
      </c>
      <c r="F2902" s="454">
        <v>18.989999999999998</v>
      </c>
      <c r="G2902" s="529">
        <v>18.989999999999998</v>
      </c>
      <c r="H2902" s="487">
        <f t="shared" si="1191"/>
        <v>15.19</v>
      </c>
      <c r="I2902" s="706"/>
      <c r="J2902" s="669" t="s">
        <v>5805</v>
      </c>
      <c r="K2902" s="23"/>
      <c r="L2902" s="70" t="str">
        <f t="shared" si="1192"/>
        <v/>
      </c>
      <c r="M2902" s="49">
        <f t="shared" si="1193"/>
        <v>18.990000000000002</v>
      </c>
      <c r="N2902" s="41">
        <f t="shared" si="1194"/>
        <v>9.09</v>
      </c>
      <c r="O2902" s="43" t="s">
        <v>1017</v>
      </c>
      <c r="P2902" s="65"/>
      <c r="Q2902" s="65"/>
      <c r="R2902" s="58" t="s">
        <v>1017</v>
      </c>
      <c r="S2902" s="12" t="s">
        <v>1017</v>
      </c>
      <c r="T2902" s="65"/>
      <c r="U2902" s="65"/>
      <c r="W2902" s="65"/>
      <c r="Z2902" s="65"/>
      <c r="AA2902" s="53"/>
      <c r="AD2902" s="53"/>
    </row>
    <row r="2903" spans="1:30" s="12" customFormat="1" x14ac:dyDescent="0.25">
      <c r="A2903" s="610" t="s">
        <v>3783</v>
      </c>
      <c r="B2903" s="17" t="s">
        <v>5548</v>
      </c>
      <c r="C2903" s="30" t="s">
        <v>2385</v>
      </c>
      <c r="D2903" s="17" t="s">
        <v>1197</v>
      </c>
      <c r="E2903" s="17" t="s">
        <v>4810</v>
      </c>
      <c r="F2903" s="454">
        <v>16.02</v>
      </c>
      <c r="G2903" s="529">
        <v>16.02</v>
      </c>
      <c r="H2903" s="487">
        <f t="shared" si="1191"/>
        <v>12.82</v>
      </c>
      <c r="I2903" s="706"/>
      <c r="J2903" s="669" t="s">
        <v>5805</v>
      </c>
      <c r="K2903" s="23"/>
      <c r="L2903" s="70" t="str">
        <f t="shared" si="1192"/>
        <v/>
      </c>
      <c r="M2903" s="49">
        <f t="shared" si="1193"/>
        <v>16.02</v>
      </c>
      <c r="N2903" s="41">
        <f t="shared" si="1194"/>
        <v>9.09</v>
      </c>
      <c r="O2903" s="61"/>
      <c r="P2903" s="65"/>
      <c r="Q2903" s="65"/>
      <c r="R2903" s="58"/>
      <c r="T2903" s="65"/>
      <c r="U2903" s="65"/>
      <c r="V2903" s="12" t="s">
        <v>1017</v>
      </c>
      <c r="W2903" s="65"/>
      <c r="Z2903" s="65"/>
      <c r="AA2903" s="53"/>
      <c r="AD2903" s="53"/>
    </row>
    <row r="2904" spans="1:30" s="12" customFormat="1" x14ac:dyDescent="0.25">
      <c r="A2904" s="610" t="s">
        <v>3784</v>
      </c>
      <c r="B2904" s="17" t="s">
        <v>5548</v>
      </c>
      <c r="C2904" s="30" t="s">
        <v>2385</v>
      </c>
      <c r="D2904" s="17" t="s">
        <v>5554</v>
      </c>
      <c r="E2904" s="17" t="s">
        <v>4812</v>
      </c>
      <c r="F2904" s="454">
        <v>18.989999999999998</v>
      </c>
      <c r="G2904" s="529">
        <v>18.989999999999998</v>
      </c>
      <c r="H2904" s="487">
        <f t="shared" si="1191"/>
        <v>15.19</v>
      </c>
      <c r="I2904" s="706"/>
      <c r="J2904" s="669" t="s">
        <v>5805</v>
      </c>
      <c r="K2904" s="23"/>
      <c r="L2904" s="70" t="str">
        <f t="shared" si="1192"/>
        <v/>
      </c>
      <c r="M2904" s="49">
        <f t="shared" si="1193"/>
        <v>18.990000000000002</v>
      </c>
      <c r="N2904" s="41">
        <f t="shared" si="1194"/>
        <v>9.09</v>
      </c>
      <c r="O2904" s="43" t="s">
        <v>1017</v>
      </c>
      <c r="P2904" s="65"/>
      <c r="Q2904" s="65"/>
      <c r="R2904" s="58"/>
      <c r="T2904" s="65"/>
      <c r="U2904" s="65"/>
      <c r="V2904" s="12" t="s">
        <v>1017</v>
      </c>
      <c r="W2904" s="65"/>
      <c r="Z2904" s="65"/>
      <c r="AA2904" s="53"/>
      <c r="AD2904" s="53"/>
    </row>
    <row r="2905" spans="1:30" s="12" customFormat="1" x14ac:dyDescent="0.25">
      <c r="A2905" s="610" t="s">
        <v>3785</v>
      </c>
      <c r="B2905" s="17" t="s">
        <v>5548</v>
      </c>
      <c r="C2905" s="30" t="s">
        <v>2385</v>
      </c>
      <c r="D2905" s="17" t="s">
        <v>4136</v>
      </c>
      <c r="E2905" s="17" t="s">
        <v>4810</v>
      </c>
      <c r="F2905" s="454">
        <v>17.010000000000002</v>
      </c>
      <c r="G2905" s="529">
        <v>17.010000000000002</v>
      </c>
      <c r="H2905" s="487">
        <f t="shared" si="1191"/>
        <v>13.61</v>
      </c>
      <c r="I2905" s="706"/>
      <c r="J2905" s="669" t="s">
        <v>5805</v>
      </c>
      <c r="K2905" s="23"/>
      <c r="L2905" s="70" t="str">
        <f t="shared" si="1192"/>
        <v/>
      </c>
      <c r="M2905" s="49">
        <f t="shared" si="1193"/>
        <v>17.009999999999998</v>
      </c>
      <c r="N2905" s="41">
        <f t="shared" si="1194"/>
        <v>9.09</v>
      </c>
      <c r="O2905" s="61"/>
      <c r="P2905" s="65"/>
      <c r="Q2905" s="65"/>
      <c r="R2905" s="58" t="s">
        <v>1017</v>
      </c>
      <c r="T2905" s="65"/>
      <c r="U2905" s="65"/>
      <c r="V2905" s="12" t="s">
        <v>1017</v>
      </c>
      <c r="W2905" s="65"/>
      <c r="Z2905" s="65"/>
      <c r="AA2905" s="53"/>
      <c r="AD2905" s="53"/>
    </row>
    <row r="2906" spans="1:30" s="12" customFormat="1" x14ac:dyDescent="0.25">
      <c r="A2906" s="610" t="s">
        <v>3786</v>
      </c>
      <c r="B2906" s="17" t="s">
        <v>5548</v>
      </c>
      <c r="C2906" s="30" t="s">
        <v>2385</v>
      </c>
      <c r="D2906" s="17" t="s">
        <v>5557</v>
      </c>
      <c r="E2906" s="17" t="s">
        <v>4812</v>
      </c>
      <c r="F2906" s="454">
        <v>19.98</v>
      </c>
      <c r="G2906" s="529">
        <v>19.98</v>
      </c>
      <c r="H2906" s="487">
        <f t="shared" si="1191"/>
        <v>15.98</v>
      </c>
      <c r="I2906" s="706"/>
      <c r="J2906" s="669" t="s">
        <v>5805</v>
      </c>
      <c r="K2906" s="23"/>
      <c r="L2906" s="70" t="str">
        <f t="shared" si="1192"/>
        <v/>
      </c>
      <c r="M2906" s="49">
        <f t="shared" si="1193"/>
        <v>19.98</v>
      </c>
      <c r="N2906" s="41">
        <f t="shared" si="1194"/>
        <v>9.09</v>
      </c>
      <c r="O2906" s="43" t="s">
        <v>1017</v>
      </c>
      <c r="P2906" s="65"/>
      <c r="Q2906" s="65"/>
      <c r="R2906" s="58" t="s">
        <v>1017</v>
      </c>
      <c r="T2906" s="65"/>
      <c r="U2906" s="65"/>
      <c r="V2906" s="12" t="s">
        <v>1017</v>
      </c>
      <c r="W2906" s="65"/>
      <c r="Z2906" s="65"/>
      <c r="AA2906" s="53"/>
      <c r="AD2906" s="53"/>
    </row>
    <row r="2907" spans="1:30" s="12" customFormat="1" x14ac:dyDescent="0.25">
      <c r="A2907" s="610" t="s">
        <v>3787</v>
      </c>
      <c r="B2907" s="17" t="s">
        <v>5548</v>
      </c>
      <c r="C2907" s="30" t="s">
        <v>2385</v>
      </c>
      <c r="D2907" s="17" t="s">
        <v>4134</v>
      </c>
      <c r="E2907" s="17" t="s">
        <v>4810</v>
      </c>
      <c r="F2907" s="454">
        <v>18</v>
      </c>
      <c r="G2907" s="529">
        <v>18</v>
      </c>
      <c r="H2907" s="487">
        <f t="shared" si="1191"/>
        <v>14.4</v>
      </c>
      <c r="I2907" s="706"/>
      <c r="J2907" s="669" t="s">
        <v>5805</v>
      </c>
      <c r="K2907" s="23"/>
      <c r="L2907" s="70" t="str">
        <f t="shared" si="1192"/>
        <v/>
      </c>
      <c r="M2907" s="49">
        <f t="shared" si="1193"/>
        <v>18</v>
      </c>
      <c r="N2907" s="41">
        <f t="shared" si="1194"/>
        <v>9.09</v>
      </c>
      <c r="O2907" s="61"/>
      <c r="P2907" s="65"/>
      <c r="Q2907" s="65"/>
      <c r="R2907" s="58"/>
      <c r="T2907" s="65"/>
      <c r="U2907" s="65"/>
      <c r="W2907" s="65"/>
      <c r="Y2907" s="12" t="s">
        <v>1017</v>
      </c>
      <c r="Z2907" s="65"/>
      <c r="AA2907" s="53"/>
      <c r="AD2907" s="53"/>
    </row>
    <row r="2908" spans="1:30" s="12" customFormat="1" x14ac:dyDescent="0.25">
      <c r="A2908" s="610" t="s">
        <v>3788</v>
      </c>
      <c r="B2908" s="17" t="s">
        <v>5548</v>
      </c>
      <c r="C2908" s="30" t="s">
        <v>2385</v>
      </c>
      <c r="D2908" s="17" t="s">
        <v>5556</v>
      </c>
      <c r="E2908" s="17" t="s">
        <v>4812</v>
      </c>
      <c r="F2908" s="454">
        <v>20.97</v>
      </c>
      <c r="G2908" s="529">
        <v>20.97</v>
      </c>
      <c r="H2908" s="487">
        <f t="shared" si="1191"/>
        <v>16.78</v>
      </c>
      <c r="I2908" s="706"/>
      <c r="J2908" s="669" t="s">
        <v>5805</v>
      </c>
      <c r="K2908" s="23"/>
      <c r="L2908" s="70" t="str">
        <f t="shared" si="1192"/>
        <v/>
      </c>
      <c r="M2908" s="49">
        <f t="shared" si="1193"/>
        <v>20.97</v>
      </c>
      <c r="N2908" s="41">
        <f t="shared" si="1194"/>
        <v>9.09</v>
      </c>
      <c r="O2908" s="43" t="s">
        <v>1017</v>
      </c>
      <c r="P2908" s="65"/>
      <c r="Q2908" s="65"/>
      <c r="R2908" s="58"/>
      <c r="T2908" s="65"/>
      <c r="U2908" s="65"/>
      <c r="W2908" s="65"/>
      <c r="Y2908" s="12" t="s">
        <v>1017</v>
      </c>
      <c r="Z2908" s="65"/>
      <c r="AA2908" s="53"/>
      <c r="AD2908" s="53"/>
    </row>
    <row r="2909" spans="1:30" s="12" customFormat="1" x14ac:dyDescent="0.25">
      <c r="A2909" s="610" t="s">
        <v>3789</v>
      </c>
      <c r="B2909" s="17" t="s">
        <v>5548</v>
      </c>
      <c r="C2909" s="30" t="s">
        <v>2385</v>
      </c>
      <c r="D2909" s="17" t="s">
        <v>2920</v>
      </c>
      <c r="E2909" s="17" t="s">
        <v>4810</v>
      </c>
      <c r="F2909" s="454">
        <v>18.989999999999998</v>
      </c>
      <c r="G2909" s="529">
        <v>18.989999999999998</v>
      </c>
      <c r="H2909" s="487">
        <f t="shared" si="1191"/>
        <v>15.19</v>
      </c>
      <c r="I2909" s="706"/>
      <c r="J2909" s="669" t="s">
        <v>5805</v>
      </c>
      <c r="K2909" s="23"/>
      <c r="L2909" s="70" t="str">
        <f t="shared" si="1192"/>
        <v/>
      </c>
      <c r="M2909" s="49">
        <f t="shared" si="1193"/>
        <v>18.990000000000002</v>
      </c>
      <c r="N2909" s="41">
        <f t="shared" si="1194"/>
        <v>9.09</v>
      </c>
      <c r="O2909" s="61"/>
      <c r="P2909" s="65"/>
      <c r="Q2909" s="65"/>
      <c r="R2909" s="58" t="s">
        <v>1017</v>
      </c>
      <c r="T2909" s="65"/>
      <c r="U2909" s="65"/>
      <c r="W2909" s="65"/>
      <c r="Y2909" s="12" t="s">
        <v>1017</v>
      </c>
      <c r="Z2909" s="65"/>
      <c r="AA2909" s="53"/>
      <c r="AD2909" s="53"/>
    </row>
    <row r="2910" spans="1:30" s="12" customFormat="1" x14ac:dyDescent="0.25">
      <c r="A2910" s="610" t="s">
        <v>3790</v>
      </c>
      <c r="B2910" s="17" t="s">
        <v>5548</v>
      </c>
      <c r="C2910" s="30" t="s">
        <v>2385</v>
      </c>
      <c r="D2910" s="17" t="s">
        <v>5559</v>
      </c>
      <c r="E2910" s="17" t="s">
        <v>4812</v>
      </c>
      <c r="F2910" s="454">
        <v>21.96</v>
      </c>
      <c r="G2910" s="529">
        <v>21.96</v>
      </c>
      <c r="H2910" s="487">
        <f t="shared" si="1191"/>
        <v>17.57</v>
      </c>
      <c r="I2910" s="706"/>
      <c r="J2910" s="669" t="s">
        <v>5805</v>
      </c>
      <c r="K2910" s="23"/>
      <c r="L2910" s="70" t="str">
        <f t="shared" si="1192"/>
        <v/>
      </c>
      <c r="M2910" s="49">
        <f t="shared" si="1193"/>
        <v>21.96</v>
      </c>
      <c r="N2910" s="41">
        <f t="shared" si="1194"/>
        <v>9.09</v>
      </c>
      <c r="O2910" s="43" t="s">
        <v>1017</v>
      </c>
      <c r="P2910" s="65"/>
      <c r="Q2910" s="65"/>
      <c r="R2910" s="58" t="s">
        <v>1017</v>
      </c>
      <c r="T2910" s="65"/>
      <c r="U2910" s="65"/>
      <c r="W2910" s="65"/>
      <c r="Y2910" s="12" t="s">
        <v>1017</v>
      </c>
      <c r="Z2910" s="65"/>
      <c r="AA2910" s="53"/>
      <c r="AD2910" s="53"/>
    </row>
    <row r="2911" spans="1:30" s="12" customFormat="1" x14ac:dyDescent="0.25">
      <c r="A2911" s="610" t="s">
        <v>3791</v>
      </c>
      <c r="B2911" s="17" t="s">
        <v>5548</v>
      </c>
      <c r="C2911" s="30" t="s">
        <v>2385</v>
      </c>
      <c r="D2911" s="17" t="s">
        <v>4133</v>
      </c>
      <c r="E2911" s="17" t="s">
        <v>4810</v>
      </c>
      <c r="F2911" s="454">
        <v>17.010000000000002</v>
      </c>
      <c r="G2911" s="529">
        <v>17.010000000000002</v>
      </c>
      <c r="H2911" s="487">
        <f t="shared" si="1191"/>
        <v>13.61</v>
      </c>
      <c r="I2911" s="706"/>
      <c r="J2911" s="669" t="s">
        <v>5805</v>
      </c>
      <c r="K2911" s="23"/>
      <c r="L2911" s="70" t="str">
        <f t="shared" si="1192"/>
        <v/>
      </c>
      <c r="M2911" s="49">
        <f t="shared" si="1193"/>
        <v>17.009999999999998</v>
      </c>
      <c r="N2911" s="41">
        <f t="shared" si="1194"/>
        <v>9.09</v>
      </c>
      <c r="O2911" s="61"/>
      <c r="P2911" s="65"/>
      <c r="Q2911" s="65"/>
      <c r="R2911" s="58"/>
      <c r="T2911" s="65"/>
      <c r="U2911" s="65"/>
      <c r="W2911" s="65"/>
      <c r="X2911" s="12" t="s">
        <v>1017</v>
      </c>
      <c r="Z2911" s="65"/>
      <c r="AA2911" s="53"/>
      <c r="AD2911" s="53"/>
    </row>
    <row r="2912" spans="1:30" s="12" customFormat="1" x14ac:dyDescent="0.25">
      <c r="A2912" s="610" t="s">
        <v>3792</v>
      </c>
      <c r="B2912" s="17" t="s">
        <v>5548</v>
      </c>
      <c r="C2912" s="30" t="s">
        <v>2385</v>
      </c>
      <c r="D2912" s="17" t="s">
        <v>5555</v>
      </c>
      <c r="E2912" s="17" t="s">
        <v>4812</v>
      </c>
      <c r="F2912" s="454">
        <v>19.98</v>
      </c>
      <c r="G2912" s="529">
        <v>19.98</v>
      </c>
      <c r="H2912" s="487">
        <f t="shared" si="1191"/>
        <v>15.98</v>
      </c>
      <c r="I2912" s="706"/>
      <c r="J2912" s="669" t="s">
        <v>5805</v>
      </c>
      <c r="K2912" s="23"/>
      <c r="L2912" s="70" t="str">
        <f t="shared" si="1192"/>
        <v/>
      </c>
      <c r="M2912" s="49">
        <f t="shared" si="1193"/>
        <v>19.98</v>
      </c>
      <c r="N2912" s="41">
        <f t="shared" si="1194"/>
        <v>9.09</v>
      </c>
      <c r="O2912" s="43" t="s">
        <v>1017</v>
      </c>
      <c r="P2912" s="65"/>
      <c r="Q2912" s="65"/>
      <c r="R2912" s="58"/>
      <c r="T2912" s="65"/>
      <c r="U2912" s="65"/>
      <c r="W2912" s="65"/>
      <c r="X2912" s="12" t="s">
        <v>1017</v>
      </c>
      <c r="Z2912" s="65"/>
      <c r="AA2912" s="53"/>
      <c r="AD2912" s="53"/>
    </row>
    <row r="2913" spans="1:30" s="12" customFormat="1" x14ac:dyDescent="0.25">
      <c r="A2913" s="610" t="s">
        <v>3793</v>
      </c>
      <c r="B2913" s="17" t="s">
        <v>5548</v>
      </c>
      <c r="C2913" s="30" t="s">
        <v>2385</v>
      </c>
      <c r="D2913" s="17" t="s">
        <v>4137</v>
      </c>
      <c r="E2913" s="17" t="s">
        <v>4810</v>
      </c>
      <c r="F2913" s="454">
        <v>18</v>
      </c>
      <c r="G2913" s="529">
        <v>18</v>
      </c>
      <c r="H2913" s="487">
        <f t="shared" si="1191"/>
        <v>14.4</v>
      </c>
      <c r="I2913" s="706"/>
      <c r="J2913" s="669" t="s">
        <v>5805</v>
      </c>
      <c r="K2913" s="23"/>
      <c r="L2913" s="70" t="str">
        <f t="shared" si="1192"/>
        <v/>
      </c>
      <c r="M2913" s="49">
        <f t="shared" si="1193"/>
        <v>18</v>
      </c>
      <c r="N2913" s="41">
        <f t="shared" si="1194"/>
        <v>9.09</v>
      </c>
      <c r="O2913" s="61"/>
      <c r="P2913" s="65"/>
      <c r="Q2913" s="65"/>
      <c r="R2913" s="58" t="s">
        <v>1017</v>
      </c>
      <c r="T2913" s="65"/>
      <c r="U2913" s="65"/>
      <c r="W2913" s="65"/>
      <c r="X2913" s="12" t="s">
        <v>1017</v>
      </c>
      <c r="Z2913" s="65"/>
      <c r="AA2913" s="53"/>
      <c r="AD2913" s="53"/>
    </row>
    <row r="2914" spans="1:30" s="12" customFormat="1" x14ac:dyDescent="0.25">
      <c r="A2914" s="610" t="s">
        <v>3794</v>
      </c>
      <c r="B2914" s="17" t="s">
        <v>5548</v>
      </c>
      <c r="C2914" s="30" t="s">
        <v>2385</v>
      </c>
      <c r="D2914" s="17" t="s">
        <v>5558</v>
      </c>
      <c r="E2914" s="17" t="s">
        <v>4812</v>
      </c>
      <c r="F2914" s="454">
        <v>20.97</v>
      </c>
      <c r="G2914" s="529">
        <v>20.97</v>
      </c>
      <c r="H2914" s="487">
        <f t="shared" si="1191"/>
        <v>16.78</v>
      </c>
      <c r="I2914" s="706"/>
      <c r="J2914" s="669" t="s">
        <v>5805</v>
      </c>
      <c r="K2914" s="23"/>
      <c r="L2914" s="70" t="str">
        <f t="shared" si="1192"/>
        <v/>
      </c>
      <c r="M2914" s="49">
        <f t="shared" si="1193"/>
        <v>20.97</v>
      </c>
      <c r="N2914" s="41">
        <f t="shared" si="1194"/>
        <v>9.09</v>
      </c>
      <c r="O2914" s="43" t="s">
        <v>1017</v>
      </c>
      <c r="P2914" s="65"/>
      <c r="Q2914" s="65"/>
      <c r="R2914" s="58" t="s">
        <v>1017</v>
      </c>
      <c r="T2914" s="65"/>
      <c r="U2914" s="65"/>
      <c r="W2914" s="65"/>
      <c r="X2914" s="12" t="s">
        <v>1017</v>
      </c>
      <c r="Z2914" s="65"/>
      <c r="AA2914" s="53"/>
      <c r="AD2914" s="53"/>
    </row>
    <row r="2915" spans="1:30" s="12" customFormat="1" x14ac:dyDescent="0.25">
      <c r="A2915" s="610" t="s">
        <v>3795</v>
      </c>
      <c r="B2915" s="17" t="s">
        <v>5548</v>
      </c>
      <c r="C2915" s="30" t="s">
        <v>2385</v>
      </c>
      <c r="D2915" s="17" t="s">
        <v>4135</v>
      </c>
      <c r="E2915" s="17" t="s">
        <v>4810</v>
      </c>
      <c r="F2915" s="454">
        <v>18.989999999999998</v>
      </c>
      <c r="G2915" s="529">
        <v>18.989999999999998</v>
      </c>
      <c r="H2915" s="487">
        <f t="shared" si="1191"/>
        <v>15.19</v>
      </c>
      <c r="I2915" s="706"/>
      <c r="J2915" s="669" t="s">
        <v>5805</v>
      </c>
      <c r="K2915" s="23"/>
      <c r="L2915" s="70" t="str">
        <f t="shared" si="1192"/>
        <v/>
      </c>
      <c r="M2915" s="49">
        <f t="shared" si="1193"/>
        <v>18.990000000000002</v>
      </c>
      <c r="N2915" s="41">
        <f t="shared" si="1194"/>
        <v>9.09</v>
      </c>
      <c r="O2915" s="61"/>
      <c r="P2915" s="65"/>
      <c r="Q2915" s="65"/>
      <c r="R2915" s="58"/>
      <c r="T2915" s="65"/>
      <c r="U2915" s="65"/>
      <c r="W2915" s="65"/>
      <c r="Z2915" s="65"/>
      <c r="AA2915" s="53" t="s">
        <v>1017</v>
      </c>
      <c r="AD2915" s="53"/>
    </row>
    <row r="2916" spans="1:30" s="12" customFormat="1" x14ac:dyDescent="0.25">
      <c r="A2916" s="610" t="s">
        <v>3796</v>
      </c>
      <c r="B2916" s="17" t="s">
        <v>5548</v>
      </c>
      <c r="C2916" s="30" t="s">
        <v>2385</v>
      </c>
      <c r="D2916" s="17" t="s">
        <v>4389</v>
      </c>
      <c r="E2916" s="17" t="s">
        <v>4812</v>
      </c>
      <c r="F2916" s="454">
        <v>21.96</v>
      </c>
      <c r="G2916" s="529">
        <v>21.96</v>
      </c>
      <c r="H2916" s="487">
        <f t="shared" si="1191"/>
        <v>17.57</v>
      </c>
      <c r="I2916" s="706"/>
      <c r="J2916" s="669" t="s">
        <v>5805</v>
      </c>
      <c r="K2916" s="23"/>
      <c r="L2916" s="70" t="str">
        <f t="shared" si="1192"/>
        <v/>
      </c>
      <c r="M2916" s="49">
        <f t="shared" si="1193"/>
        <v>21.96</v>
      </c>
      <c r="N2916" s="41">
        <f t="shared" si="1194"/>
        <v>9.09</v>
      </c>
      <c r="O2916" s="43" t="s">
        <v>1017</v>
      </c>
      <c r="P2916" s="65"/>
      <c r="Q2916" s="65"/>
      <c r="R2916" s="58"/>
      <c r="T2916" s="65"/>
      <c r="U2916" s="65"/>
      <c r="W2916" s="65"/>
      <c r="Z2916" s="65"/>
      <c r="AA2916" s="53" t="s">
        <v>1017</v>
      </c>
      <c r="AD2916" s="53"/>
    </row>
    <row r="2917" spans="1:30" s="12" customFormat="1" x14ac:dyDescent="0.25">
      <c r="A2917" s="610" t="s">
        <v>3797</v>
      </c>
      <c r="B2917" s="17" t="s">
        <v>5548</v>
      </c>
      <c r="C2917" s="30" t="s">
        <v>2385</v>
      </c>
      <c r="D2917" s="17" t="s">
        <v>2921</v>
      </c>
      <c r="E2917" s="17" t="s">
        <v>4810</v>
      </c>
      <c r="F2917" s="454">
        <v>19.98</v>
      </c>
      <c r="G2917" s="529">
        <v>19.98</v>
      </c>
      <c r="H2917" s="487">
        <f t="shared" si="1191"/>
        <v>15.98</v>
      </c>
      <c r="I2917" s="706"/>
      <c r="J2917" s="669" t="s">
        <v>5805</v>
      </c>
      <c r="K2917" s="23"/>
      <c r="L2917" s="70" t="str">
        <f t="shared" si="1192"/>
        <v/>
      </c>
      <c r="M2917" s="49">
        <f t="shared" si="1193"/>
        <v>19.98</v>
      </c>
      <c r="N2917" s="41">
        <f t="shared" si="1194"/>
        <v>9.09</v>
      </c>
      <c r="O2917" s="61"/>
      <c r="P2917" s="65"/>
      <c r="Q2917" s="65"/>
      <c r="R2917" s="58" t="s">
        <v>1017</v>
      </c>
      <c r="T2917" s="65"/>
      <c r="U2917" s="65"/>
      <c r="W2917" s="65"/>
      <c r="Z2917" s="65"/>
      <c r="AA2917" s="53" t="s">
        <v>1017</v>
      </c>
      <c r="AD2917" s="53"/>
    </row>
    <row r="2918" spans="1:30" s="12" customFormat="1" x14ac:dyDescent="0.25">
      <c r="A2918" s="610" t="s">
        <v>3798</v>
      </c>
      <c r="B2918" s="17" t="s">
        <v>5548</v>
      </c>
      <c r="C2918" s="30" t="s">
        <v>2385</v>
      </c>
      <c r="D2918" s="17" t="s">
        <v>4390</v>
      </c>
      <c r="E2918" s="17" t="s">
        <v>4812</v>
      </c>
      <c r="F2918" s="454">
        <v>22.95</v>
      </c>
      <c r="G2918" s="529">
        <v>22.95</v>
      </c>
      <c r="H2918" s="487">
        <f t="shared" si="1191"/>
        <v>18.36</v>
      </c>
      <c r="I2918" s="706"/>
      <c r="J2918" s="669" t="s">
        <v>5805</v>
      </c>
      <c r="K2918" s="23"/>
      <c r="L2918" s="70" t="str">
        <f t="shared" si="1192"/>
        <v/>
      </c>
      <c r="M2918" s="49">
        <f t="shared" si="1193"/>
        <v>22.95</v>
      </c>
      <c r="N2918" s="41">
        <f t="shared" si="1194"/>
        <v>9.09</v>
      </c>
      <c r="O2918" s="43" t="s">
        <v>1017</v>
      </c>
      <c r="P2918" s="65"/>
      <c r="Q2918" s="65"/>
      <c r="R2918" s="58" t="s">
        <v>1017</v>
      </c>
      <c r="T2918" s="65"/>
      <c r="U2918" s="65"/>
      <c r="W2918" s="65"/>
      <c r="Z2918" s="65"/>
      <c r="AA2918" s="53" t="s">
        <v>1017</v>
      </c>
      <c r="AD2918" s="53"/>
    </row>
    <row r="2919" spans="1:30" s="12" customFormat="1" x14ac:dyDescent="0.25">
      <c r="A2919" s="610" t="s">
        <v>3799</v>
      </c>
      <c r="B2919" s="17" t="s">
        <v>5548</v>
      </c>
      <c r="C2919" s="30" t="s">
        <v>2385</v>
      </c>
      <c r="D2919" s="17" t="s">
        <v>2906</v>
      </c>
      <c r="E2919" s="17" t="s">
        <v>4810</v>
      </c>
      <c r="F2919" s="454">
        <v>11.07</v>
      </c>
      <c r="G2919" s="529">
        <v>11.07</v>
      </c>
      <c r="H2919" s="487">
        <f t="shared" si="1191"/>
        <v>8.86</v>
      </c>
      <c r="I2919" s="706"/>
      <c r="J2919" s="669" t="s">
        <v>5805</v>
      </c>
      <c r="K2919" s="23"/>
      <c r="L2919" s="70" t="str">
        <f t="shared" si="1192"/>
        <v/>
      </c>
      <c r="M2919" s="49">
        <f t="shared" si="1193"/>
        <v>11.07</v>
      </c>
      <c r="N2919" s="41">
        <f t="shared" si="1194"/>
        <v>9.09</v>
      </c>
      <c r="O2919" s="61"/>
      <c r="P2919" s="65"/>
      <c r="Q2919" s="65"/>
      <c r="R2919" s="58"/>
      <c r="T2919" s="65"/>
      <c r="U2919" s="65"/>
      <c r="W2919" s="65"/>
      <c r="Z2919" s="65"/>
      <c r="AA2919" s="53"/>
      <c r="AB2919" s="12" t="s">
        <v>1017</v>
      </c>
      <c r="AD2919" s="53"/>
    </row>
    <row r="2920" spans="1:30" s="12" customFormat="1" x14ac:dyDescent="0.25">
      <c r="A2920" s="610" t="s">
        <v>3800</v>
      </c>
      <c r="B2920" s="17" t="s">
        <v>5548</v>
      </c>
      <c r="C2920" s="30" t="s">
        <v>2385</v>
      </c>
      <c r="D2920" s="17" t="s">
        <v>3195</v>
      </c>
      <c r="E2920" s="17" t="s">
        <v>4812</v>
      </c>
      <c r="F2920" s="454">
        <v>14.04</v>
      </c>
      <c r="G2920" s="529">
        <v>14.04</v>
      </c>
      <c r="H2920" s="487">
        <f t="shared" si="1191"/>
        <v>11.23</v>
      </c>
      <c r="I2920" s="706"/>
      <c r="J2920" s="669" t="s">
        <v>5805</v>
      </c>
      <c r="K2920" s="23"/>
      <c r="L2920" s="70" t="str">
        <f t="shared" si="1192"/>
        <v/>
      </c>
      <c r="M2920" s="49">
        <f t="shared" si="1193"/>
        <v>14.04</v>
      </c>
      <c r="N2920" s="41">
        <f t="shared" si="1194"/>
        <v>9.09</v>
      </c>
      <c r="O2920" s="43" t="s">
        <v>1017</v>
      </c>
      <c r="P2920" s="65"/>
      <c r="Q2920" s="65"/>
      <c r="R2920" s="58"/>
      <c r="T2920" s="65"/>
      <c r="U2920" s="65"/>
      <c r="W2920" s="65"/>
      <c r="Z2920" s="65"/>
      <c r="AA2920" s="53"/>
      <c r="AB2920" s="12" t="s">
        <v>1017</v>
      </c>
      <c r="AD2920" s="53"/>
    </row>
    <row r="2921" spans="1:30" s="12" customFormat="1" x14ac:dyDescent="0.25">
      <c r="A2921" s="610" t="s">
        <v>3801</v>
      </c>
      <c r="B2921" s="17" t="s">
        <v>5548</v>
      </c>
      <c r="C2921" s="30" t="s">
        <v>2385</v>
      </c>
      <c r="D2921" s="17" t="s">
        <v>2906</v>
      </c>
      <c r="E2921" s="17" t="s">
        <v>4810</v>
      </c>
      <c r="F2921" s="454">
        <v>12.06</v>
      </c>
      <c r="G2921" s="529">
        <v>12.06</v>
      </c>
      <c r="H2921" s="487">
        <f t="shared" si="1191"/>
        <v>9.65</v>
      </c>
      <c r="I2921" s="706"/>
      <c r="J2921" s="669" t="s">
        <v>5805</v>
      </c>
      <c r="K2921" s="23"/>
      <c r="L2921" s="70" t="str">
        <f t="shared" si="1192"/>
        <v/>
      </c>
      <c r="M2921" s="49">
        <f t="shared" si="1193"/>
        <v>12.059999999999999</v>
      </c>
      <c r="N2921" s="41">
        <f t="shared" si="1194"/>
        <v>9.09</v>
      </c>
      <c r="O2921" s="61"/>
      <c r="P2921" s="65"/>
      <c r="Q2921" s="65"/>
      <c r="R2921" s="58" t="s">
        <v>1017</v>
      </c>
      <c r="T2921" s="65"/>
      <c r="U2921" s="65"/>
      <c r="W2921" s="65"/>
      <c r="Z2921" s="65"/>
      <c r="AA2921" s="53"/>
      <c r="AB2921" s="12" t="s">
        <v>1017</v>
      </c>
      <c r="AD2921" s="53"/>
    </row>
    <row r="2922" spans="1:30" s="12" customFormat="1" x14ac:dyDescent="0.25">
      <c r="A2922" s="610" t="s">
        <v>3802</v>
      </c>
      <c r="B2922" s="17" t="s">
        <v>5548</v>
      </c>
      <c r="C2922" s="30" t="s">
        <v>2385</v>
      </c>
      <c r="D2922" s="17" t="s">
        <v>3195</v>
      </c>
      <c r="E2922" s="17" t="s">
        <v>4812</v>
      </c>
      <c r="F2922" s="454">
        <v>15.03</v>
      </c>
      <c r="G2922" s="529">
        <v>15.03</v>
      </c>
      <c r="H2922" s="487">
        <f t="shared" si="1191"/>
        <v>12.02</v>
      </c>
      <c r="I2922" s="706"/>
      <c r="J2922" s="669" t="s">
        <v>5805</v>
      </c>
      <c r="K2922" s="23"/>
      <c r="L2922" s="70" t="str">
        <f t="shared" si="1192"/>
        <v/>
      </c>
      <c r="M2922" s="49">
        <f t="shared" si="1193"/>
        <v>15.03</v>
      </c>
      <c r="N2922" s="41">
        <f t="shared" si="1194"/>
        <v>9.09</v>
      </c>
      <c r="O2922" s="43" t="s">
        <v>1017</v>
      </c>
      <c r="P2922" s="65"/>
      <c r="Q2922" s="65"/>
      <c r="R2922" s="58" t="s">
        <v>1017</v>
      </c>
      <c r="T2922" s="65"/>
      <c r="U2922" s="65"/>
      <c r="W2922" s="65"/>
      <c r="Z2922" s="65"/>
      <c r="AA2922" s="53"/>
      <c r="AB2922" s="12" t="s">
        <v>1017</v>
      </c>
      <c r="AD2922" s="53"/>
    </row>
    <row r="2923" spans="1:30" s="12" customFormat="1" x14ac:dyDescent="0.25">
      <c r="A2923" s="610" t="s">
        <v>3803</v>
      </c>
      <c r="B2923" s="17" t="s">
        <v>5548</v>
      </c>
      <c r="C2923" s="30" t="s">
        <v>2385</v>
      </c>
      <c r="D2923" s="17" t="s">
        <v>3289</v>
      </c>
      <c r="E2923" s="17" t="s">
        <v>4810</v>
      </c>
      <c r="F2923" s="454">
        <v>17.010000000000002</v>
      </c>
      <c r="G2923" s="529">
        <v>17.010000000000002</v>
      </c>
      <c r="H2923" s="487">
        <f t="shared" si="1191"/>
        <v>13.61</v>
      </c>
      <c r="I2923" s="706"/>
      <c r="J2923" s="669" t="s">
        <v>5805</v>
      </c>
      <c r="K2923" s="23"/>
      <c r="L2923" s="70" t="str">
        <f t="shared" si="1192"/>
        <v/>
      </c>
      <c r="M2923" s="49">
        <f t="shared" si="1193"/>
        <v>17.009999999999998</v>
      </c>
      <c r="N2923" s="41">
        <f t="shared" si="1194"/>
        <v>9.09</v>
      </c>
      <c r="O2923" s="61"/>
      <c r="P2923" s="65"/>
      <c r="Q2923" s="65"/>
      <c r="R2923" s="58"/>
      <c r="S2923" s="12" t="s">
        <v>1017</v>
      </c>
      <c r="T2923" s="65"/>
      <c r="U2923" s="65"/>
      <c r="W2923" s="65"/>
      <c r="Z2923" s="65"/>
      <c r="AA2923" s="53"/>
      <c r="AB2923" s="12" t="s">
        <v>1017</v>
      </c>
      <c r="AD2923" s="53"/>
    </row>
    <row r="2924" spans="1:30" s="12" customFormat="1" x14ac:dyDescent="0.25">
      <c r="A2924" s="610" t="s">
        <v>3804</v>
      </c>
      <c r="B2924" s="17" t="s">
        <v>5548</v>
      </c>
      <c r="C2924" s="30" t="s">
        <v>2385</v>
      </c>
      <c r="D2924" s="17" t="s">
        <v>5560</v>
      </c>
      <c r="E2924" s="17" t="s">
        <v>4812</v>
      </c>
      <c r="F2924" s="454">
        <v>19.98</v>
      </c>
      <c r="G2924" s="529">
        <v>19.98</v>
      </c>
      <c r="H2924" s="487">
        <f t="shared" si="1191"/>
        <v>15.98</v>
      </c>
      <c r="I2924" s="706"/>
      <c r="J2924" s="669" t="s">
        <v>5805</v>
      </c>
      <c r="K2924" s="23"/>
      <c r="L2924" s="70" t="str">
        <f t="shared" si="1192"/>
        <v/>
      </c>
      <c r="M2924" s="49">
        <f t="shared" si="1193"/>
        <v>19.98</v>
      </c>
      <c r="N2924" s="41">
        <f t="shared" si="1194"/>
        <v>9.09</v>
      </c>
      <c r="O2924" s="43" t="s">
        <v>1017</v>
      </c>
      <c r="P2924" s="65"/>
      <c r="Q2924" s="65"/>
      <c r="R2924" s="58"/>
      <c r="S2924" s="12" t="s">
        <v>1017</v>
      </c>
      <c r="T2924" s="65"/>
      <c r="U2924" s="65"/>
      <c r="W2924" s="65"/>
      <c r="Z2924" s="65"/>
      <c r="AA2924" s="53"/>
      <c r="AB2924" s="12" t="s">
        <v>1017</v>
      </c>
      <c r="AD2924" s="53"/>
    </row>
    <row r="2925" spans="1:30" s="12" customFormat="1" x14ac:dyDescent="0.25">
      <c r="A2925" s="610" t="s">
        <v>3805</v>
      </c>
      <c r="B2925" s="17" t="s">
        <v>5548</v>
      </c>
      <c r="C2925" s="30" t="s">
        <v>2385</v>
      </c>
      <c r="D2925" s="30" t="s">
        <v>2114</v>
      </c>
      <c r="E2925" s="17" t="s">
        <v>4810</v>
      </c>
      <c r="F2925" s="454">
        <v>18</v>
      </c>
      <c r="G2925" s="529">
        <v>18</v>
      </c>
      <c r="H2925" s="487">
        <f t="shared" si="1191"/>
        <v>14.4</v>
      </c>
      <c r="I2925" s="706"/>
      <c r="J2925" s="669" t="s">
        <v>5805</v>
      </c>
      <c r="K2925" s="23"/>
      <c r="L2925" s="70" t="str">
        <f t="shared" si="1192"/>
        <v/>
      </c>
      <c r="M2925" s="49">
        <f t="shared" si="1193"/>
        <v>18</v>
      </c>
      <c r="N2925" s="41">
        <f t="shared" si="1194"/>
        <v>9.09</v>
      </c>
      <c r="O2925" s="61"/>
      <c r="P2925" s="65"/>
      <c r="Q2925" s="65"/>
      <c r="R2925" s="58" t="s">
        <v>1017</v>
      </c>
      <c r="S2925" s="12" t="s">
        <v>1017</v>
      </c>
      <c r="T2925" s="65"/>
      <c r="U2925" s="65"/>
      <c r="W2925" s="65"/>
      <c r="Z2925" s="65"/>
      <c r="AA2925" s="53"/>
      <c r="AB2925" s="12" t="s">
        <v>1017</v>
      </c>
      <c r="AD2925" s="53"/>
    </row>
    <row r="2926" spans="1:30" s="12" customFormat="1" x14ac:dyDescent="0.25">
      <c r="A2926" s="610" t="s">
        <v>3806</v>
      </c>
      <c r="B2926" s="17" t="s">
        <v>5548</v>
      </c>
      <c r="C2926" s="30" t="s">
        <v>2385</v>
      </c>
      <c r="D2926" s="30" t="s">
        <v>2115</v>
      </c>
      <c r="E2926" s="17" t="s">
        <v>4812</v>
      </c>
      <c r="F2926" s="454">
        <v>20.97</v>
      </c>
      <c r="G2926" s="529">
        <v>20.97</v>
      </c>
      <c r="H2926" s="487">
        <f t="shared" si="1191"/>
        <v>16.78</v>
      </c>
      <c r="I2926" s="706"/>
      <c r="J2926" s="669" t="s">
        <v>5805</v>
      </c>
      <c r="K2926" s="23"/>
      <c r="L2926" s="70" t="str">
        <f t="shared" si="1192"/>
        <v/>
      </c>
      <c r="M2926" s="49">
        <f t="shared" si="1193"/>
        <v>20.97</v>
      </c>
      <c r="N2926" s="41">
        <f t="shared" si="1194"/>
        <v>9.09</v>
      </c>
      <c r="O2926" s="43" t="s">
        <v>1017</v>
      </c>
      <c r="P2926" s="65"/>
      <c r="Q2926" s="65"/>
      <c r="R2926" s="58" t="s">
        <v>1017</v>
      </c>
      <c r="S2926" s="12" t="s">
        <v>1017</v>
      </c>
      <c r="T2926" s="65"/>
      <c r="U2926" s="65"/>
      <c r="W2926" s="65"/>
      <c r="Z2926" s="65"/>
      <c r="AA2926" s="53"/>
      <c r="AB2926" s="12" t="s">
        <v>1017</v>
      </c>
      <c r="AD2926" s="53"/>
    </row>
    <row r="2927" spans="1:30" s="12" customFormat="1" x14ac:dyDescent="0.25">
      <c r="A2927" s="610" t="s">
        <v>3807</v>
      </c>
      <c r="B2927" s="17" t="s">
        <v>5548</v>
      </c>
      <c r="C2927" s="30" t="s">
        <v>2385</v>
      </c>
      <c r="D2927" s="17" t="s">
        <v>3291</v>
      </c>
      <c r="E2927" s="17" t="s">
        <v>4810</v>
      </c>
      <c r="F2927" s="454">
        <v>18</v>
      </c>
      <c r="G2927" s="529">
        <v>18</v>
      </c>
      <c r="H2927" s="487">
        <f t="shared" ref="H2927:H2990" si="1195">IF(ISNUMBER(G2927),ROUND(0.8*G2927,2),"")</f>
        <v>14.4</v>
      </c>
      <c r="I2927" s="706"/>
      <c r="J2927" s="669" t="s">
        <v>5805</v>
      </c>
      <c r="K2927" s="23"/>
      <c r="L2927" s="70" t="str">
        <f t="shared" ref="L2927:L2990" si="1196">IF(F2927=M2927,"",FALSE)</f>
        <v/>
      </c>
      <c r="M2927" s="49">
        <f t="shared" ref="M2927:M2990" si="1197">N2927+SUMIF(O2927:AD2927,"x",O$2798:AD$2798)</f>
        <v>18</v>
      </c>
      <c r="N2927" s="41">
        <f t="shared" ref="N2927:N2990" si="1198">ROUND(N2704*(1-$AE$2797),2)</f>
        <v>9.09</v>
      </c>
      <c r="O2927" s="61"/>
      <c r="P2927" s="65"/>
      <c r="Q2927" s="65"/>
      <c r="R2927" s="58"/>
      <c r="T2927" s="65"/>
      <c r="U2927" s="65"/>
      <c r="V2927" s="12" t="s">
        <v>1017</v>
      </c>
      <c r="W2927" s="65"/>
      <c r="Z2927" s="65"/>
      <c r="AA2927" s="53"/>
      <c r="AB2927" s="12" t="s">
        <v>1017</v>
      </c>
      <c r="AD2927" s="53"/>
    </row>
    <row r="2928" spans="1:30" s="12" customFormat="1" x14ac:dyDescent="0.25">
      <c r="A2928" s="610" t="s">
        <v>3808</v>
      </c>
      <c r="B2928" s="17" t="s">
        <v>5548</v>
      </c>
      <c r="C2928" s="30" t="s">
        <v>2385</v>
      </c>
      <c r="D2928" s="17" t="s">
        <v>5563</v>
      </c>
      <c r="E2928" s="17" t="s">
        <v>4812</v>
      </c>
      <c r="F2928" s="454">
        <v>20.97</v>
      </c>
      <c r="G2928" s="529">
        <v>20.97</v>
      </c>
      <c r="H2928" s="487">
        <f t="shared" si="1195"/>
        <v>16.78</v>
      </c>
      <c r="I2928" s="706"/>
      <c r="J2928" s="669" t="s">
        <v>5805</v>
      </c>
      <c r="K2928" s="23"/>
      <c r="L2928" s="70" t="str">
        <f t="shared" si="1196"/>
        <v/>
      </c>
      <c r="M2928" s="49">
        <f t="shared" si="1197"/>
        <v>20.97</v>
      </c>
      <c r="N2928" s="41">
        <f t="shared" si="1198"/>
        <v>9.09</v>
      </c>
      <c r="O2928" s="43" t="s">
        <v>1017</v>
      </c>
      <c r="P2928" s="65"/>
      <c r="Q2928" s="65"/>
      <c r="R2928" s="58"/>
      <c r="T2928" s="65"/>
      <c r="U2928" s="65"/>
      <c r="V2928" s="12" t="s">
        <v>1017</v>
      </c>
      <c r="W2928" s="65"/>
      <c r="Z2928" s="65"/>
      <c r="AA2928" s="53"/>
      <c r="AB2928" s="12" t="s">
        <v>1017</v>
      </c>
      <c r="AD2928" s="53"/>
    </row>
    <row r="2929" spans="1:30" s="12" customFormat="1" x14ac:dyDescent="0.25">
      <c r="A2929" s="610" t="s">
        <v>3809</v>
      </c>
      <c r="B2929" s="17" t="s">
        <v>5548</v>
      </c>
      <c r="C2929" s="30" t="s">
        <v>2385</v>
      </c>
      <c r="D2929" s="17" t="s">
        <v>3292</v>
      </c>
      <c r="E2929" s="17" t="s">
        <v>4810</v>
      </c>
      <c r="F2929" s="454">
        <v>18.989999999999998</v>
      </c>
      <c r="G2929" s="529">
        <v>18.989999999999998</v>
      </c>
      <c r="H2929" s="487">
        <f t="shared" si="1195"/>
        <v>15.19</v>
      </c>
      <c r="I2929" s="706"/>
      <c r="J2929" s="669" t="s">
        <v>5805</v>
      </c>
      <c r="K2929" s="23"/>
      <c r="L2929" s="70" t="str">
        <f t="shared" si="1196"/>
        <v/>
      </c>
      <c r="M2929" s="49">
        <f t="shared" si="1197"/>
        <v>18.990000000000002</v>
      </c>
      <c r="N2929" s="41">
        <f t="shared" si="1198"/>
        <v>9.09</v>
      </c>
      <c r="O2929" s="61"/>
      <c r="P2929" s="65"/>
      <c r="Q2929" s="65"/>
      <c r="R2929" s="58" t="s">
        <v>1017</v>
      </c>
      <c r="T2929" s="65"/>
      <c r="U2929" s="65"/>
      <c r="V2929" s="12" t="s">
        <v>1017</v>
      </c>
      <c r="W2929" s="65"/>
      <c r="Z2929" s="65"/>
      <c r="AA2929" s="53"/>
      <c r="AB2929" s="12" t="s">
        <v>1017</v>
      </c>
      <c r="AD2929" s="53"/>
    </row>
    <row r="2930" spans="1:30" s="12" customFormat="1" x14ac:dyDescent="0.25">
      <c r="A2930" s="610" t="s">
        <v>3810</v>
      </c>
      <c r="B2930" s="17" t="s">
        <v>5548</v>
      </c>
      <c r="C2930" s="30" t="s">
        <v>2385</v>
      </c>
      <c r="D2930" s="17" t="s">
        <v>5566</v>
      </c>
      <c r="E2930" s="17" t="s">
        <v>4812</v>
      </c>
      <c r="F2930" s="454">
        <v>21.96</v>
      </c>
      <c r="G2930" s="529">
        <v>21.96</v>
      </c>
      <c r="H2930" s="487">
        <f t="shared" si="1195"/>
        <v>17.57</v>
      </c>
      <c r="I2930" s="706"/>
      <c r="J2930" s="669" t="s">
        <v>5805</v>
      </c>
      <c r="K2930" s="23"/>
      <c r="L2930" s="70" t="str">
        <f t="shared" si="1196"/>
        <v/>
      </c>
      <c r="M2930" s="49">
        <f t="shared" si="1197"/>
        <v>21.96</v>
      </c>
      <c r="N2930" s="41">
        <f t="shared" si="1198"/>
        <v>9.09</v>
      </c>
      <c r="O2930" s="43" t="s">
        <v>1017</v>
      </c>
      <c r="P2930" s="65"/>
      <c r="Q2930" s="65"/>
      <c r="R2930" s="58" t="s">
        <v>1017</v>
      </c>
      <c r="T2930" s="65"/>
      <c r="U2930" s="65"/>
      <c r="V2930" s="12" t="s">
        <v>1017</v>
      </c>
      <c r="W2930" s="65"/>
      <c r="Z2930" s="65"/>
      <c r="AA2930" s="53"/>
      <c r="AB2930" s="12" t="s">
        <v>1017</v>
      </c>
      <c r="AD2930" s="53"/>
    </row>
    <row r="2931" spans="1:30" s="12" customFormat="1" x14ac:dyDescent="0.25">
      <c r="A2931" s="610" t="s">
        <v>3811</v>
      </c>
      <c r="B2931" s="17" t="s">
        <v>5548</v>
      </c>
      <c r="C2931" s="30" t="s">
        <v>2385</v>
      </c>
      <c r="D2931" s="17" t="s">
        <v>784</v>
      </c>
      <c r="E2931" s="17" t="s">
        <v>4810</v>
      </c>
      <c r="F2931" s="454">
        <v>19.98</v>
      </c>
      <c r="G2931" s="529">
        <v>19.98</v>
      </c>
      <c r="H2931" s="487">
        <f t="shared" si="1195"/>
        <v>15.98</v>
      </c>
      <c r="I2931" s="706"/>
      <c r="J2931" s="669" t="s">
        <v>5805</v>
      </c>
      <c r="K2931" s="23"/>
      <c r="L2931" s="70" t="str">
        <f t="shared" si="1196"/>
        <v/>
      </c>
      <c r="M2931" s="49">
        <f t="shared" si="1197"/>
        <v>19.98</v>
      </c>
      <c r="N2931" s="41">
        <f t="shared" si="1198"/>
        <v>9.09</v>
      </c>
      <c r="O2931" s="61"/>
      <c r="P2931" s="65"/>
      <c r="Q2931" s="65"/>
      <c r="R2931" s="58"/>
      <c r="T2931" s="65"/>
      <c r="U2931" s="65"/>
      <c r="W2931" s="65"/>
      <c r="Y2931" s="12" t="s">
        <v>1017</v>
      </c>
      <c r="Z2931" s="65"/>
      <c r="AA2931" s="53"/>
      <c r="AB2931" s="12" t="s">
        <v>1017</v>
      </c>
      <c r="AD2931" s="53"/>
    </row>
    <row r="2932" spans="1:30" s="12" customFormat="1" x14ac:dyDescent="0.25">
      <c r="A2932" s="610" t="s">
        <v>3812</v>
      </c>
      <c r="B2932" s="17" t="s">
        <v>5548</v>
      </c>
      <c r="C2932" s="30" t="s">
        <v>2385</v>
      </c>
      <c r="D2932" s="17" t="s">
        <v>5564</v>
      </c>
      <c r="E2932" s="17" t="s">
        <v>4812</v>
      </c>
      <c r="F2932" s="454">
        <v>22.95</v>
      </c>
      <c r="G2932" s="529">
        <v>22.95</v>
      </c>
      <c r="H2932" s="487">
        <f t="shared" si="1195"/>
        <v>18.36</v>
      </c>
      <c r="I2932" s="706"/>
      <c r="J2932" s="669" t="s">
        <v>5805</v>
      </c>
      <c r="K2932" s="23"/>
      <c r="L2932" s="70" t="str">
        <f t="shared" si="1196"/>
        <v/>
      </c>
      <c r="M2932" s="49">
        <f t="shared" si="1197"/>
        <v>22.950000000000003</v>
      </c>
      <c r="N2932" s="41">
        <f t="shared" si="1198"/>
        <v>9.09</v>
      </c>
      <c r="O2932" s="43" t="s">
        <v>1017</v>
      </c>
      <c r="P2932" s="65"/>
      <c r="Q2932" s="65"/>
      <c r="R2932" s="58"/>
      <c r="T2932" s="65"/>
      <c r="U2932" s="65"/>
      <c r="W2932" s="65"/>
      <c r="Y2932" s="12" t="s">
        <v>1017</v>
      </c>
      <c r="Z2932" s="65"/>
      <c r="AA2932" s="53"/>
      <c r="AB2932" s="12" t="s">
        <v>1017</v>
      </c>
      <c r="AD2932" s="53"/>
    </row>
    <row r="2933" spans="1:30" s="12" customFormat="1" x14ac:dyDescent="0.25">
      <c r="A2933" s="610" t="s">
        <v>3813</v>
      </c>
      <c r="B2933" s="17" t="s">
        <v>5548</v>
      </c>
      <c r="C2933" s="30" t="s">
        <v>2385</v>
      </c>
      <c r="D2933" s="17" t="s">
        <v>785</v>
      </c>
      <c r="E2933" s="17" t="s">
        <v>4810</v>
      </c>
      <c r="F2933" s="454">
        <v>20.97</v>
      </c>
      <c r="G2933" s="529">
        <v>20.97</v>
      </c>
      <c r="H2933" s="487">
        <f t="shared" si="1195"/>
        <v>16.78</v>
      </c>
      <c r="I2933" s="706"/>
      <c r="J2933" s="669" t="s">
        <v>5805</v>
      </c>
      <c r="K2933" s="23"/>
      <c r="L2933" s="70" t="str">
        <f t="shared" si="1196"/>
        <v/>
      </c>
      <c r="M2933" s="49">
        <f t="shared" si="1197"/>
        <v>20.97</v>
      </c>
      <c r="N2933" s="41">
        <f t="shared" si="1198"/>
        <v>9.09</v>
      </c>
      <c r="O2933" s="61"/>
      <c r="P2933" s="65"/>
      <c r="Q2933" s="65"/>
      <c r="R2933" s="58" t="s">
        <v>1017</v>
      </c>
      <c r="T2933" s="65"/>
      <c r="U2933" s="65"/>
      <c r="W2933" s="65"/>
      <c r="Y2933" s="12" t="s">
        <v>1017</v>
      </c>
      <c r="Z2933" s="65"/>
      <c r="AA2933" s="53"/>
      <c r="AB2933" s="12" t="s">
        <v>1017</v>
      </c>
      <c r="AD2933" s="53"/>
    </row>
    <row r="2934" spans="1:30" s="12" customFormat="1" x14ac:dyDescent="0.25">
      <c r="A2934" s="610" t="s">
        <v>3814</v>
      </c>
      <c r="B2934" s="17" t="s">
        <v>5548</v>
      </c>
      <c r="C2934" s="30" t="s">
        <v>2385</v>
      </c>
      <c r="D2934" s="17" t="s">
        <v>5567</v>
      </c>
      <c r="E2934" s="17" t="s">
        <v>4812</v>
      </c>
      <c r="F2934" s="454">
        <v>23.94</v>
      </c>
      <c r="G2934" s="529">
        <v>23.94</v>
      </c>
      <c r="H2934" s="487">
        <f t="shared" si="1195"/>
        <v>19.149999999999999</v>
      </c>
      <c r="I2934" s="706"/>
      <c r="J2934" s="669" t="s">
        <v>5805</v>
      </c>
      <c r="K2934" s="23"/>
      <c r="L2934" s="70" t="str">
        <f t="shared" si="1196"/>
        <v/>
      </c>
      <c r="M2934" s="49">
        <f t="shared" si="1197"/>
        <v>23.94</v>
      </c>
      <c r="N2934" s="41">
        <f t="shared" si="1198"/>
        <v>9.09</v>
      </c>
      <c r="O2934" s="43" t="s">
        <v>1017</v>
      </c>
      <c r="P2934" s="65"/>
      <c r="Q2934" s="65"/>
      <c r="R2934" s="58" t="s">
        <v>1017</v>
      </c>
      <c r="T2934" s="65"/>
      <c r="U2934" s="65"/>
      <c r="W2934" s="65"/>
      <c r="Y2934" s="12" t="s">
        <v>1017</v>
      </c>
      <c r="Z2934" s="65"/>
      <c r="AA2934" s="53"/>
      <c r="AB2934" s="12" t="s">
        <v>1017</v>
      </c>
      <c r="AD2934" s="53"/>
    </row>
    <row r="2935" spans="1:30" s="12" customFormat="1" x14ac:dyDescent="0.25">
      <c r="A2935" s="610" t="s">
        <v>3815</v>
      </c>
      <c r="B2935" s="17" t="s">
        <v>5548</v>
      </c>
      <c r="C2935" s="30" t="s">
        <v>2385</v>
      </c>
      <c r="D2935" s="17" t="s">
        <v>4391</v>
      </c>
      <c r="E2935" s="17" t="s">
        <v>4810</v>
      </c>
      <c r="F2935" s="454">
        <v>18.989999999999998</v>
      </c>
      <c r="G2935" s="529">
        <v>18.989999999999998</v>
      </c>
      <c r="H2935" s="487">
        <f t="shared" si="1195"/>
        <v>15.19</v>
      </c>
      <c r="I2935" s="706"/>
      <c r="J2935" s="669" t="s">
        <v>5805</v>
      </c>
      <c r="K2935" s="23"/>
      <c r="L2935" s="70" t="str">
        <f t="shared" si="1196"/>
        <v/>
      </c>
      <c r="M2935" s="49">
        <f t="shared" si="1197"/>
        <v>18.990000000000002</v>
      </c>
      <c r="N2935" s="41">
        <f t="shared" si="1198"/>
        <v>9.09</v>
      </c>
      <c r="O2935" s="61"/>
      <c r="P2935" s="65"/>
      <c r="Q2935" s="65"/>
      <c r="R2935" s="58"/>
      <c r="T2935" s="65"/>
      <c r="U2935" s="65"/>
      <c r="W2935" s="65"/>
      <c r="X2935" s="12" t="s">
        <v>1017</v>
      </c>
      <c r="Z2935" s="65"/>
      <c r="AA2935" s="53"/>
      <c r="AB2935" s="12" t="s">
        <v>1017</v>
      </c>
      <c r="AD2935" s="53"/>
    </row>
    <row r="2936" spans="1:30" s="12" customFormat="1" x14ac:dyDescent="0.25">
      <c r="A2936" s="610" t="s">
        <v>3816</v>
      </c>
      <c r="B2936" s="17" t="s">
        <v>5548</v>
      </c>
      <c r="C2936" s="30" t="s">
        <v>2385</v>
      </c>
      <c r="D2936" s="17" t="s">
        <v>2922</v>
      </c>
      <c r="E2936" s="17" t="s">
        <v>4812</v>
      </c>
      <c r="F2936" s="454">
        <v>21.96</v>
      </c>
      <c r="G2936" s="529">
        <v>21.96</v>
      </c>
      <c r="H2936" s="487">
        <f t="shared" si="1195"/>
        <v>17.57</v>
      </c>
      <c r="I2936" s="706"/>
      <c r="J2936" s="669" t="s">
        <v>5805</v>
      </c>
      <c r="K2936" s="23"/>
      <c r="L2936" s="70" t="str">
        <f t="shared" si="1196"/>
        <v/>
      </c>
      <c r="M2936" s="49">
        <f t="shared" si="1197"/>
        <v>21.96</v>
      </c>
      <c r="N2936" s="41">
        <f t="shared" si="1198"/>
        <v>9.09</v>
      </c>
      <c r="O2936" s="43" t="s">
        <v>1017</v>
      </c>
      <c r="P2936" s="65"/>
      <c r="Q2936" s="65"/>
      <c r="R2936" s="58"/>
      <c r="T2936" s="65"/>
      <c r="U2936" s="65"/>
      <c r="W2936" s="65"/>
      <c r="X2936" s="12" t="s">
        <v>1017</v>
      </c>
      <c r="Z2936" s="65"/>
      <c r="AA2936" s="53"/>
      <c r="AB2936" s="12" t="s">
        <v>1017</v>
      </c>
      <c r="AD2936" s="53"/>
    </row>
    <row r="2937" spans="1:30" s="12" customFormat="1" x14ac:dyDescent="0.25">
      <c r="A2937" s="610" t="s">
        <v>3817</v>
      </c>
      <c r="B2937" s="17" t="s">
        <v>5548</v>
      </c>
      <c r="C2937" s="30" t="s">
        <v>2385</v>
      </c>
      <c r="D2937" s="17" t="s">
        <v>4392</v>
      </c>
      <c r="E2937" s="17" t="s">
        <v>4810</v>
      </c>
      <c r="F2937" s="454">
        <v>19.98</v>
      </c>
      <c r="G2937" s="529">
        <v>19.98</v>
      </c>
      <c r="H2937" s="487">
        <f t="shared" si="1195"/>
        <v>15.98</v>
      </c>
      <c r="I2937" s="706"/>
      <c r="J2937" s="669" t="s">
        <v>5805</v>
      </c>
      <c r="K2937" s="23"/>
      <c r="L2937" s="70" t="str">
        <f t="shared" si="1196"/>
        <v/>
      </c>
      <c r="M2937" s="49">
        <f t="shared" si="1197"/>
        <v>19.98</v>
      </c>
      <c r="N2937" s="41">
        <f t="shared" si="1198"/>
        <v>9.09</v>
      </c>
      <c r="O2937" s="61"/>
      <c r="P2937" s="65"/>
      <c r="Q2937" s="65"/>
      <c r="R2937" s="58" t="s">
        <v>1017</v>
      </c>
      <c r="T2937" s="65"/>
      <c r="U2937" s="65"/>
      <c r="W2937" s="65"/>
      <c r="X2937" s="12" t="s">
        <v>1017</v>
      </c>
      <c r="Z2937" s="65"/>
      <c r="AA2937" s="53"/>
      <c r="AB2937" s="12" t="s">
        <v>1017</v>
      </c>
      <c r="AD2937" s="53"/>
    </row>
    <row r="2938" spans="1:30" s="12" customFormat="1" x14ac:dyDescent="0.25">
      <c r="A2938" s="610" t="s">
        <v>3818</v>
      </c>
      <c r="B2938" s="17" t="s">
        <v>5548</v>
      </c>
      <c r="C2938" s="30" t="s">
        <v>2385</v>
      </c>
      <c r="D2938" s="17" t="s">
        <v>2923</v>
      </c>
      <c r="E2938" s="17" t="s">
        <v>4812</v>
      </c>
      <c r="F2938" s="454">
        <v>22.95</v>
      </c>
      <c r="G2938" s="529">
        <v>22.95</v>
      </c>
      <c r="H2938" s="487">
        <f t="shared" si="1195"/>
        <v>18.36</v>
      </c>
      <c r="I2938" s="706"/>
      <c r="J2938" s="669" t="s">
        <v>5805</v>
      </c>
      <c r="K2938" s="23"/>
      <c r="L2938" s="70" t="str">
        <f t="shared" si="1196"/>
        <v/>
      </c>
      <c r="M2938" s="49">
        <f t="shared" si="1197"/>
        <v>22.95</v>
      </c>
      <c r="N2938" s="41">
        <f t="shared" si="1198"/>
        <v>9.09</v>
      </c>
      <c r="O2938" s="43" t="s">
        <v>1017</v>
      </c>
      <c r="P2938" s="65"/>
      <c r="Q2938" s="65"/>
      <c r="R2938" s="58" t="s">
        <v>1017</v>
      </c>
      <c r="T2938" s="65"/>
      <c r="U2938" s="65"/>
      <c r="W2938" s="65"/>
      <c r="X2938" s="12" t="s">
        <v>1017</v>
      </c>
      <c r="Z2938" s="65"/>
      <c r="AA2938" s="53"/>
      <c r="AB2938" s="12" t="s">
        <v>1017</v>
      </c>
      <c r="AD2938" s="53"/>
    </row>
    <row r="2939" spans="1:30" s="12" customFormat="1" x14ac:dyDescent="0.25">
      <c r="A2939" s="610" t="s">
        <v>3819</v>
      </c>
      <c r="B2939" s="17" t="s">
        <v>5548</v>
      </c>
      <c r="C2939" s="30" t="s">
        <v>2385</v>
      </c>
      <c r="D2939" s="17" t="s">
        <v>2120</v>
      </c>
      <c r="E2939" s="17" t="s">
        <v>4810</v>
      </c>
      <c r="F2939" s="454">
        <v>20.97</v>
      </c>
      <c r="G2939" s="529">
        <v>20.97</v>
      </c>
      <c r="H2939" s="487">
        <f t="shared" si="1195"/>
        <v>16.78</v>
      </c>
      <c r="I2939" s="706"/>
      <c r="J2939" s="669" t="s">
        <v>5805</v>
      </c>
      <c r="K2939" s="23"/>
      <c r="L2939" s="70" t="str">
        <f t="shared" si="1196"/>
        <v/>
      </c>
      <c r="M2939" s="49">
        <f t="shared" si="1197"/>
        <v>20.97</v>
      </c>
      <c r="N2939" s="41">
        <f t="shared" si="1198"/>
        <v>9.09</v>
      </c>
      <c r="O2939" s="61"/>
      <c r="P2939" s="65"/>
      <c r="Q2939" s="65"/>
      <c r="R2939" s="58"/>
      <c r="T2939" s="65"/>
      <c r="U2939" s="65"/>
      <c r="W2939" s="65"/>
      <c r="Z2939" s="65"/>
      <c r="AA2939" s="53" t="s">
        <v>1017</v>
      </c>
      <c r="AB2939" s="12" t="s">
        <v>1017</v>
      </c>
      <c r="AD2939" s="53"/>
    </row>
    <row r="2940" spans="1:30" s="12" customFormat="1" x14ac:dyDescent="0.25">
      <c r="A2940" s="610" t="s">
        <v>3820</v>
      </c>
      <c r="B2940" s="17" t="s">
        <v>5548</v>
      </c>
      <c r="C2940" s="30" t="s">
        <v>2385</v>
      </c>
      <c r="D2940" s="17" t="s">
        <v>5565</v>
      </c>
      <c r="E2940" s="17" t="s">
        <v>4812</v>
      </c>
      <c r="F2940" s="454">
        <v>23.94</v>
      </c>
      <c r="G2940" s="529">
        <v>23.94</v>
      </c>
      <c r="H2940" s="487">
        <f t="shared" si="1195"/>
        <v>19.149999999999999</v>
      </c>
      <c r="I2940" s="706"/>
      <c r="J2940" s="669" t="s">
        <v>5805</v>
      </c>
      <c r="K2940" s="23"/>
      <c r="L2940" s="70" t="str">
        <f t="shared" si="1196"/>
        <v/>
      </c>
      <c r="M2940" s="49">
        <f t="shared" si="1197"/>
        <v>23.94</v>
      </c>
      <c r="N2940" s="41">
        <f t="shared" si="1198"/>
        <v>9.09</v>
      </c>
      <c r="O2940" s="43" t="s">
        <v>1017</v>
      </c>
      <c r="P2940" s="65"/>
      <c r="Q2940" s="65"/>
      <c r="R2940" s="58"/>
      <c r="T2940" s="65"/>
      <c r="U2940" s="65"/>
      <c r="W2940" s="65"/>
      <c r="Z2940" s="65"/>
      <c r="AA2940" s="53" t="s">
        <v>1017</v>
      </c>
      <c r="AB2940" s="12" t="s">
        <v>1017</v>
      </c>
      <c r="AD2940" s="53"/>
    </row>
    <row r="2941" spans="1:30" s="12" customFormat="1" x14ac:dyDescent="0.25">
      <c r="A2941" s="610" t="s">
        <v>3821</v>
      </c>
      <c r="B2941" s="17" t="s">
        <v>5548</v>
      </c>
      <c r="C2941" s="30" t="s">
        <v>2385</v>
      </c>
      <c r="D2941" s="17" t="s">
        <v>2121</v>
      </c>
      <c r="E2941" s="17" t="s">
        <v>4810</v>
      </c>
      <c r="F2941" s="454">
        <v>21.96</v>
      </c>
      <c r="G2941" s="529">
        <v>21.96</v>
      </c>
      <c r="H2941" s="487">
        <f t="shared" si="1195"/>
        <v>17.57</v>
      </c>
      <c r="I2941" s="706"/>
      <c r="J2941" s="669" t="s">
        <v>5805</v>
      </c>
      <c r="K2941" s="23"/>
      <c r="L2941" s="70" t="str">
        <f t="shared" si="1196"/>
        <v/>
      </c>
      <c r="M2941" s="49">
        <f t="shared" si="1197"/>
        <v>21.96</v>
      </c>
      <c r="N2941" s="41">
        <f t="shared" si="1198"/>
        <v>9.09</v>
      </c>
      <c r="O2941" s="61"/>
      <c r="P2941" s="65"/>
      <c r="Q2941" s="65"/>
      <c r="R2941" s="58" t="s">
        <v>1017</v>
      </c>
      <c r="T2941" s="65"/>
      <c r="U2941" s="65"/>
      <c r="W2941" s="65"/>
      <c r="Z2941" s="65"/>
      <c r="AA2941" s="53" t="s">
        <v>1017</v>
      </c>
      <c r="AB2941" s="12" t="s">
        <v>1017</v>
      </c>
      <c r="AD2941" s="53"/>
    </row>
    <row r="2942" spans="1:30" s="12" customFormat="1" x14ac:dyDescent="0.25">
      <c r="A2942" s="610" t="s">
        <v>3822</v>
      </c>
      <c r="B2942" s="17" t="s">
        <v>5548</v>
      </c>
      <c r="C2942" s="30" t="s">
        <v>2385</v>
      </c>
      <c r="D2942" s="17" t="s">
        <v>5568</v>
      </c>
      <c r="E2942" s="17" t="s">
        <v>4812</v>
      </c>
      <c r="F2942" s="454">
        <v>24.93</v>
      </c>
      <c r="G2942" s="529">
        <v>24.93</v>
      </c>
      <c r="H2942" s="487">
        <f t="shared" si="1195"/>
        <v>19.940000000000001</v>
      </c>
      <c r="I2942" s="706"/>
      <c r="J2942" s="669" t="s">
        <v>5805</v>
      </c>
      <c r="K2942" s="23"/>
      <c r="L2942" s="70" t="str">
        <f t="shared" si="1196"/>
        <v/>
      </c>
      <c r="M2942" s="49">
        <f t="shared" si="1197"/>
        <v>24.93</v>
      </c>
      <c r="N2942" s="41">
        <f t="shared" si="1198"/>
        <v>9.09</v>
      </c>
      <c r="O2942" s="43" t="s">
        <v>1017</v>
      </c>
      <c r="P2942" s="65"/>
      <c r="Q2942" s="65"/>
      <c r="R2942" s="58" t="s">
        <v>1017</v>
      </c>
      <c r="T2942" s="65"/>
      <c r="U2942" s="65"/>
      <c r="W2942" s="65"/>
      <c r="Z2942" s="65"/>
      <c r="AA2942" s="53" t="s">
        <v>1017</v>
      </c>
      <c r="AB2942" s="12" t="s">
        <v>1017</v>
      </c>
      <c r="AD2942" s="53"/>
    </row>
    <row r="2943" spans="1:30" s="12" customFormat="1" x14ac:dyDescent="0.25">
      <c r="A2943" s="610" t="s">
        <v>3823</v>
      </c>
      <c r="B2943" s="17" t="s">
        <v>5548</v>
      </c>
      <c r="C2943" s="30" t="s">
        <v>2385</v>
      </c>
      <c r="D2943" s="17" t="s">
        <v>593</v>
      </c>
      <c r="E2943" s="17" t="s">
        <v>4810</v>
      </c>
      <c r="F2943" s="454">
        <v>10.08</v>
      </c>
      <c r="G2943" s="529">
        <v>10.08</v>
      </c>
      <c r="H2943" s="487">
        <f t="shared" si="1195"/>
        <v>8.06</v>
      </c>
      <c r="I2943" s="706"/>
      <c r="J2943" s="669" t="s">
        <v>5805</v>
      </c>
      <c r="K2943" s="23"/>
      <c r="L2943" s="70" t="str">
        <f t="shared" si="1196"/>
        <v/>
      </c>
      <c r="M2943" s="49">
        <f t="shared" si="1197"/>
        <v>10.08</v>
      </c>
      <c r="N2943" s="41">
        <f t="shared" si="1198"/>
        <v>9.09</v>
      </c>
      <c r="O2943" s="61"/>
      <c r="P2943" s="65"/>
      <c r="Q2943" s="65"/>
      <c r="R2943" s="58"/>
      <c r="T2943" s="65"/>
      <c r="U2943" s="65"/>
      <c r="W2943" s="65"/>
      <c r="Z2943" s="65"/>
      <c r="AA2943" s="53"/>
      <c r="AC2943" s="12" t="s">
        <v>1017</v>
      </c>
      <c r="AD2943" s="53"/>
    </row>
    <row r="2944" spans="1:30" s="12" customFormat="1" x14ac:dyDescent="0.25">
      <c r="A2944" s="610" t="s">
        <v>3824</v>
      </c>
      <c r="B2944" s="17" t="s">
        <v>5548</v>
      </c>
      <c r="C2944" s="30" t="s">
        <v>2385</v>
      </c>
      <c r="D2944" s="17" t="s">
        <v>3197</v>
      </c>
      <c r="E2944" s="17" t="s">
        <v>4812</v>
      </c>
      <c r="F2944" s="454">
        <v>13.05</v>
      </c>
      <c r="G2944" s="529">
        <v>13.05</v>
      </c>
      <c r="H2944" s="487">
        <f t="shared" si="1195"/>
        <v>10.44</v>
      </c>
      <c r="I2944" s="706"/>
      <c r="J2944" s="669" t="s">
        <v>5805</v>
      </c>
      <c r="K2944" s="23"/>
      <c r="L2944" s="70" t="str">
        <f t="shared" si="1196"/>
        <v/>
      </c>
      <c r="M2944" s="49">
        <f t="shared" si="1197"/>
        <v>13.05</v>
      </c>
      <c r="N2944" s="41">
        <f t="shared" si="1198"/>
        <v>9.09</v>
      </c>
      <c r="O2944" s="43" t="s">
        <v>1017</v>
      </c>
      <c r="P2944" s="65"/>
      <c r="Q2944" s="65"/>
      <c r="R2944" s="58"/>
      <c r="T2944" s="65"/>
      <c r="U2944" s="65"/>
      <c r="W2944" s="65"/>
      <c r="Z2944" s="65"/>
      <c r="AA2944" s="53"/>
      <c r="AC2944" s="12" t="s">
        <v>1017</v>
      </c>
      <c r="AD2944" s="53"/>
    </row>
    <row r="2945" spans="1:30" s="12" customFormat="1" x14ac:dyDescent="0.25">
      <c r="A2945" s="610" t="s">
        <v>3825</v>
      </c>
      <c r="B2945" s="17" t="s">
        <v>5548</v>
      </c>
      <c r="C2945" s="30" t="s">
        <v>2385</v>
      </c>
      <c r="D2945" s="30" t="s">
        <v>644</v>
      </c>
      <c r="E2945" s="17" t="s">
        <v>4810</v>
      </c>
      <c r="F2945" s="454">
        <v>11.07</v>
      </c>
      <c r="G2945" s="529">
        <v>11.07</v>
      </c>
      <c r="H2945" s="487">
        <f t="shared" si="1195"/>
        <v>8.86</v>
      </c>
      <c r="I2945" s="706"/>
      <c r="J2945" s="669" t="s">
        <v>5805</v>
      </c>
      <c r="K2945" s="23"/>
      <c r="L2945" s="70" t="str">
        <f t="shared" si="1196"/>
        <v/>
      </c>
      <c r="M2945" s="49">
        <f t="shared" si="1197"/>
        <v>11.07</v>
      </c>
      <c r="N2945" s="41">
        <f t="shared" si="1198"/>
        <v>9.09</v>
      </c>
      <c r="O2945" s="61"/>
      <c r="P2945" s="65"/>
      <c r="Q2945" s="65"/>
      <c r="R2945" s="58" t="s">
        <v>1017</v>
      </c>
      <c r="T2945" s="65"/>
      <c r="U2945" s="65"/>
      <c r="W2945" s="65"/>
      <c r="Z2945" s="65"/>
      <c r="AA2945" s="53"/>
      <c r="AC2945" s="12" t="s">
        <v>1017</v>
      </c>
      <c r="AD2945" s="53"/>
    </row>
    <row r="2946" spans="1:30" s="12" customFormat="1" x14ac:dyDescent="0.25">
      <c r="A2946" s="610" t="s">
        <v>3826</v>
      </c>
      <c r="B2946" s="17" t="s">
        <v>5548</v>
      </c>
      <c r="C2946" s="30" t="s">
        <v>2385</v>
      </c>
      <c r="D2946" s="30" t="s">
        <v>2136</v>
      </c>
      <c r="E2946" s="17" t="s">
        <v>4812</v>
      </c>
      <c r="F2946" s="454">
        <v>14.04</v>
      </c>
      <c r="G2946" s="529">
        <v>14.04</v>
      </c>
      <c r="H2946" s="487">
        <f t="shared" si="1195"/>
        <v>11.23</v>
      </c>
      <c r="I2946" s="706"/>
      <c r="J2946" s="669" t="s">
        <v>5805</v>
      </c>
      <c r="K2946" s="23"/>
      <c r="L2946" s="70" t="str">
        <f t="shared" si="1196"/>
        <v/>
      </c>
      <c r="M2946" s="49">
        <f t="shared" si="1197"/>
        <v>14.04</v>
      </c>
      <c r="N2946" s="41">
        <f t="shared" si="1198"/>
        <v>9.09</v>
      </c>
      <c r="O2946" s="43" t="s">
        <v>1017</v>
      </c>
      <c r="P2946" s="65"/>
      <c r="Q2946" s="65"/>
      <c r="R2946" s="58" t="s">
        <v>1017</v>
      </c>
      <c r="T2946" s="65"/>
      <c r="U2946" s="65"/>
      <c r="W2946" s="65"/>
      <c r="Z2946" s="65"/>
      <c r="AA2946" s="53"/>
      <c r="AC2946" s="12" t="s">
        <v>1017</v>
      </c>
      <c r="AD2946" s="53"/>
    </row>
    <row r="2947" spans="1:30" s="12" customFormat="1" x14ac:dyDescent="0.25">
      <c r="A2947" s="610" t="s">
        <v>3827</v>
      </c>
      <c r="B2947" s="17" t="s">
        <v>5548</v>
      </c>
      <c r="C2947" s="30" t="s">
        <v>2385</v>
      </c>
      <c r="D2947" s="17" t="s">
        <v>3293</v>
      </c>
      <c r="E2947" s="17" t="s">
        <v>4810</v>
      </c>
      <c r="F2947" s="454">
        <v>16.02</v>
      </c>
      <c r="G2947" s="529">
        <v>16.02</v>
      </c>
      <c r="H2947" s="487">
        <f t="shared" si="1195"/>
        <v>12.82</v>
      </c>
      <c r="I2947" s="706"/>
      <c r="J2947" s="669" t="s">
        <v>5805</v>
      </c>
      <c r="K2947" s="23"/>
      <c r="L2947" s="70" t="str">
        <f t="shared" si="1196"/>
        <v/>
      </c>
      <c r="M2947" s="49">
        <f t="shared" si="1197"/>
        <v>16.02</v>
      </c>
      <c r="N2947" s="41">
        <f t="shared" si="1198"/>
        <v>9.09</v>
      </c>
      <c r="O2947" s="61"/>
      <c r="P2947" s="65"/>
      <c r="Q2947" s="65"/>
      <c r="R2947" s="58"/>
      <c r="S2947" s="12" t="s">
        <v>1017</v>
      </c>
      <c r="T2947" s="65"/>
      <c r="U2947" s="65"/>
      <c r="W2947" s="65"/>
      <c r="Z2947" s="65"/>
      <c r="AA2947" s="53"/>
      <c r="AC2947" s="12" t="s">
        <v>1017</v>
      </c>
      <c r="AD2947" s="53"/>
    </row>
    <row r="2948" spans="1:30" s="12" customFormat="1" x14ac:dyDescent="0.25">
      <c r="A2948" s="610" t="s">
        <v>3828</v>
      </c>
      <c r="B2948" s="17" t="s">
        <v>5548</v>
      </c>
      <c r="C2948" s="30" t="s">
        <v>2385</v>
      </c>
      <c r="D2948" s="17" t="s">
        <v>5569</v>
      </c>
      <c r="E2948" s="17" t="s">
        <v>4812</v>
      </c>
      <c r="F2948" s="454">
        <v>18.989999999999998</v>
      </c>
      <c r="G2948" s="529">
        <v>18.989999999999998</v>
      </c>
      <c r="H2948" s="487">
        <f t="shared" si="1195"/>
        <v>15.19</v>
      </c>
      <c r="I2948" s="706"/>
      <c r="J2948" s="669" t="s">
        <v>5805</v>
      </c>
      <c r="K2948" s="23"/>
      <c r="L2948" s="70" t="str">
        <f t="shared" si="1196"/>
        <v/>
      </c>
      <c r="M2948" s="49">
        <f t="shared" si="1197"/>
        <v>18.990000000000002</v>
      </c>
      <c r="N2948" s="41">
        <f t="shared" si="1198"/>
        <v>9.09</v>
      </c>
      <c r="O2948" s="43" t="s">
        <v>1017</v>
      </c>
      <c r="P2948" s="65"/>
      <c r="Q2948" s="65"/>
      <c r="R2948" s="58"/>
      <c r="S2948" s="12" t="s">
        <v>1017</v>
      </c>
      <c r="T2948" s="65"/>
      <c r="U2948" s="65"/>
      <c r="W2948" s="65"/>
      <c r="Z2948" s="65"/>
      <c r="AA2948" s="53"/>
      <c r="AC2948" s="12" t="s">
        <v>1017</v>
      </c>
      <c r="AD2948" s="53"/>
    </row>
    <row r="2949" spans="1:30" s="12" customFormat="1" x14ac:dyDescent="0.25">
      <c r="A2949" s="610" t="s">
        <v>3829</v>
      </c>
      <c r="B2949" s="17" t="s">
        <v>5548</v>
      </c>
      <c r="C2949" s="30" t="s">
        <v>2385</v>
      </c>
      <c r="D2949" s="30" t="s">
        <v>2116</v>
      </c>
      <c r="E2949" s="17" t="s">
        <v>4810</v>
      </c>
      <c r="F2949" s="454">
        <v>17.010000000000002</v>
      </c>
      <c r="G2949" s="529">
        <v>17.010000000000002</v>
      </c>
      <c r="H2949" s="487">
        <f t="shared" si="1195"/>
        <v>13.61</v>
      </c>
      <c r="I2949" s="706"/>
      <c r="J2949" s="669" t="s">
        <v>5805</v>
      </c>
      <c r="K2949" s="23"/>
      <c r="L2949" s="70" t="str">
        <f t="shared" si="1196"/>
        <v/>
      </c>
      <c r="M2949" s="49">
        <f t="shared" si="1197"/>
        <v>17.010000000000002</v>
      </c>
      <c r="N2949" s="41">
        <f t="shared" si="1198"/>
        <v>9.09</v>
      </c>
      <c r="O2949" s="61"/>
      <c r="P2949" s="65"/>
      <c r="Q2949" s="65"/>
      <c r="R2949" s="58" t="s">
        <v>1017</v>
      </c>
      <c r="S2949" s="12" t="s">
        <v>1017</v>
      </c>
      <c r="T2949" s="65"/>
      <c r="U2949" s="65"/>
      <c r="W2949" s="65"/>
      <c r="Z2949" s="65"/>
      <c r="AA2949" s="53"/>
      <c r="AC2949" s="12" t="s">
        <v>1017</v>
      </c>
      <c r="AD2949" s="53"/>
    </row>
    <row r="2950" spans="1:30" s="12" customFormat="1" x14ac:dyDescent="0.25">
      <c r="A2950" s="610" t="s">
        <v>3830</v>
      </c>
      <c r="B2950" s="17" t="s">
        <v>5548</v>
      </c>
      <c r="C2950" s="30" t="s">
        <v>2385</v>
      </c>
      <c r="D2950" s="30" t="s">
        <v>2117</v>
      </c>
      <c r="E2950" s="17" t="s">
        <v>4812</v>
      </c>
      <c r="F2950" s="454">
        <v>19.98</v>
      </c>
      <c r="G2950" s="529">
        <v>19.98</v>
      </c>
      <c r="H2950" s="487">
        <f t="shared" si="1195"/>
        <v>15.98</v>
      </c>
      <c r="I2950" s="706"/>
      <c r="J2950" s="669" t="s">
        <v>5805</v>
      </c>
      <c r="K2950" s="23"/>
      <c r="L2950" s="70" t="str">
        <f t="shared" si="1196"/>
        <v/>
      </c>
      <c r="M2950" s="49">
        <f t="shared" si="1197"/>
        <v>19.98</v>
      </c>
      <c r="N2950" s="41">
        <f t="shared" si="1198"/>
        <v>9.09</v>
      </c>
      <c r="O2950" s="43" t="s">
        <v>1017</v>
      </c>
      <c r="P2950" s="65"/>
      <c r="Q2950" s="65"/>
      <c r="R2950" s="58" t="s">
        <v>1017</v>
      </c>
      <c r="S2950" s="12" t="s">
        <v>1017</v>
      </c>
      <c r="T2950" s="65"/>
      <c r="U2950" s="65"/>
      <c r="W2950" s="65"/>
      <c r="Z2950" s="65"/>
      <c r="AA2950" s="53"/>
      <c r="AC2950" s="12" t="s">
        <v>1017</v>
      </c>
      <c r="AD2950" s="53"/>
    </row>
    <row r="2951" spans="1:30" s="12" customFormat="1" x14ac:dyDescent="0.25">
      <c r="A2951" s="610" t="s">
        <v>3831</v>
      </c>
      <c r="B2951" s="17" t="s">
        <v>5548</v>
      </c>
      <c r="C2951" s="30" t="s">
        <v>2385</v>
      </c>
      <c r="D2951" s="17" t="s">
        <v>848</v>
      </c>
      <c r="E2951" s="17" t="s">
        <v>4810</v>
      </c>
      <c r="F2951" s="454">
        <v>17.010000000000002</v>
      </c>
      <c r="G2951" s="529">
        <v>17.010000000000002</v>
      </c>
      <c r="H2951" s="487">
        <f t="shared" si="1195"/>
        <v>13.61</v>
      </c>
      <c r="I2951" s="706"/>
      <c r="J2951" s="669" t="s">
        <v>5805</v>
      </c>
      <c r="K2951" s="23"/>
      <c r="L2951" s="70" t="str">
        <f t="shared" si="1196"/>
        <v/>
      </c>
      <c r="M2951" s="49">
        <f t="shared" si="1197"/>
        <v>17.009999999999998</v>
      </c>
      <c r="N2951" s="41">
        <f t="shared" si="1198"/>
        <v>9.09</v>
      </c>
      <c r="O2951" s="61"/>
      <c r="P2951" s="65"/>
      <c r="Q2951" s="65"/>
      <c r="R2951" s="58"/>
      <c r="T2951" s="65"/>
      <c r="U2951" s="65"/>
      <c r="V2951" s="12" t="s">
        <v>1017</v>
      </c>
      <c r="W2951" s="65"/>
      <c r="Z2951" s="65"/>
      <c r="AA2951" s="53"/>
      <c r="AC2951" s="12" t="s">
        <v>1017</v>
      </c>
      <c r="AD2951" s="53"/>
    </row>
    <row r="2952" spans="1:30" s="12" customFormat="1" x14ac:dyDescent="0.25">
      <c r="A2952" s="610" t="s">
        <v>3832</v>
      </c>
      <c r="B2952" s="17" t="s">
        <v>5548</v>
      </c>
      <c r="C2952" s="30" t="s">
        <v>2385</v>
      </c>
      <c r="D2952" s="17" t="s">
        <v>2647</v>
      </c>
      <c r="E2952" s="17" t="s">
        <v>4812</v>
      </c>
      <c r="F2952" s="454">
        <v>19.98</v>
      </c>
      <c r="G2952" s="529">
        <v>19.98</v>
      </c>
      <c r="H2952" s="487">
        <f t="shared" si="1195"/>
        <v>15.98</v>
      </c>
      <c r="I2952" s="706"/>
      <c r="J2952" s="669" t="s">
        <v>5805</v>
      </c>
      <c r="K2952" s="23"/>
      <c r="L2952" s="70" t="str">
        <f t="shared" si="1196"/>
        <v/>
      </c>
      <c r="M2952" s="49">
        <f t="shared" si="1197"/>
        <v>19.98</v>
      </c>
      <c r="N2952" s="41">
        <f t="shared" si="1198"/>
        <v>9.09</v>
      </c>
      <c r="O2952" s="43" t="s">
        <v>1017</v>
      </c>
      <c r="P2952" s="65"/>
      <c r="Q2952" s="65"/>
      <c r="R2952" s="58"/>
      <c r="T2952" s="65"/>
      <c r="U2952" s="65"/>
      <c r="V2952" s="12" t="s">
        <v>1017</v>
      </c>
      <c r="W2952" s="65"/>
      <c r="Z2952" s="65"/>
      <c r="AA2952" s="53"/>
      <c r="AC2952" s="12" t="s">
        <v>1017</v>
      </c>
      <c r="AD2952" s="53"/>
    </row>
    <row r="2953" spans="1:30" s="12" customFormat="1" x14ac:dyDescent="0.25">
      <c r="A2953" s="610" t="s">
        <v>3833</v>
      </c>
      <c r="B2953" s="17" t="s">
        <v>5548</v>
      </c>
      <c r="C2953" s="30" t="s">
        <v>2385</v>
      </c>
      <c r="D2953" s="17" t="s">
        <v>849</v>
      </c>
      <c r="E2953" s="17" t="s">
        <v>4810</v>
      </c>
      <c r="F2953" s="454">
        <v>18</v>
      </c>
      <c r="G2953" s="529">
        <v>18</v>
      </c>
      <c r="H2953" s="487">
        <f t="shared" si="1195"/>
        <v>14.4</v>
      </c>
      <c r="I2953" s="706"/>
      <c r="J2953" s="669" t="s">
        <v>5805</v>
      </c>
      <c r="K2953" s="23"/>
      <c r="L2953" s="70" t="str">
        <f t="shared" si="1196"/>
        <v/>
      </c>
      <c r="M2953" s="49">
        <f t="shared" si="1197"/>
        <v>18</v>
      </c>
      <c r="N2953" s="41">
        <f t="shared" si="1198"/>
        <v>9.09</v>
      </c>
      <c r="O2953" s="61"/>
      <c r="P2953" s="65"/>
      <c r="Q2953" s="65"/>
      <c r="R2953" s="58" t="s">
        <v>1017</v>
      </c>
      <c r="T2953" s="65"/>
      <c r="U2953" s="65"/>
      <c r="V2953" s="12" t="s">
        <v>1017</v>
      </c>
      <c r="W2953" s="65"/>
      <c r="Z2953" s="65"/>
      <c r="AA2953" s="53"/>
      <c r="AC2953" s="12" t="s">
        <v>1017</v>
      </c>
      <c r="AD2953" s="53"/>
    </row>
    <row r="2954" spans="1:30" s="12" customFormat="1" x14ac:dyDescent="0.25">
      <c r="A2954" s="610" t="s">
        <v>3834</v>
      </c>
      <c r="B2954" s="17" t="s">
        <v>5548</v>
      </c>
      <c r="C2954" s="30" t="s">
        <v>2385</v>
      </c>
      <c r="D2954" s="17" t="s">
        <v>2650</v>
      </c>
      <c r="E2954" s="17" t="s">
        <v>4812</v>
      </c>
      <c r="F2954" s="454">
        <v>20.97</v>
      </c>
      <c r="G2954" s="529">
        <v>20.97</v>
      </c>
      <c r="H2954" s="487">
        <f t="shared" si="1195"/>
        <v>16.78</v>
      </c>
      <c r="I2954" s="706"/>
      <c r="J2954" s="669" t="s">
        <v>5805</v>
      </c>
      <c r="K2954" s="23"/>
      <c r="L2954" s="70" t="str">
        <f t="shared" si="1196"/>
        <v/>
      </c>
      <c r="M2954" s="49">
        <f t="shared" si="1197"/>
        <v>20.97</v>
      </c>
      <c r="N2954" s="41">
        <f t="shared" si="1198"/>
        <v>9.09</v>
      </c>
      <c r="O2954" s="43" t="s">
        <v>1017</v>
      </c>
      <c r="P2954" s="65"/>
      <c r="Q2954" s="65"/>
      <c r="R2954" s="58" t="s">
        <v>1017</v>
      </c>
      <c r="T2954" s="65"/>
      <c r="U2954" s="65"/>
      <c r="V2954" s="12" t="s">
        <v>1017</v>
      </c>
      <c r="W2954" s="65"/>
      <c r="Z2954" s="65"/>
      <c r="AA2954" s="53"/>
      <c r="AC2954" s="12" t="s">
        <v>1017</v>
      </c>
      <c r="AD2954" s="53"/>
    </row>
    <row r="2955" spans="1:30" s="12" customFormat="1" x14ac:dyDescent="0.25">
      <c r="A2955" s="610" t="s">
        <v>3835</v>
      </c>
      <c r="B2955" s="17" t="s">
        <v>5548</v>
      </c>
      <c r="C2955" s="30" t="s">
        <v>2385</v>
      </c>
      <c r="D2955" s="17" t="s">
        <v>787</v>
      </c>
      <c r="E2955" s="17" t="s">
        <v>4810</v>
      </c>
      <c r="F2955" s="454">
        <v>18.989999999999998</v>
      </c>
      <c r="G2955" s="529">
        <v>18.989999999999998</v>
      </c>
      <c r="H2955" s="487">
        <f t="shared" si="1195"/>
        <v>15.19</v>
      </c>
      <c r="I2955" s="706"/>
      <c r="J2955" s="669" t="s">
        <v>5805</v>
      </c>
      <c r="K2955" s="23"/>
      <c r="L2955" s="70" t="str">
        <f t="shared" si="1196"/>
        <v/>
      </c>
      <c r="M2955" s="49">
        <f t="shared" si="1197"/>
        <v>18.990000000000002</v>
      </c>
      <c r="N2955" s="41">
        <f t="shared" si="1198"/>
        <v>9.09</v>
      </c>
      <c r="O2955" s="61"/>
      <c r="P2955" s="65"/>
      <c r="Q2955" s="65"/>
      <c r="R2955" s="58"/>
      <c r="T2955" s="65"/>
      <c r="U2955" s="65"/>
      <c r="W2955" s="65"/>
      <c r="Y2955" s="12" t="s">
        <v>1017</v>
      </c>
      <c r="Z2955" s="65"/>
      <c r="AA2955" s="53"/>
      <c r="AC2955" s="12" t="s">
        <v>1017</v>
      </c>
      <c r="AD2955" s="53"/>
    </row>
    <row r="2956" spans="1:30" s="12" customFormat="1" x14ac:dyDescent="0.25">
      <c r="A2956" s="610" t="s">
        <v>3836</v>
      </c>
      <c r="B2956" s="17" t="s">
        <v>5548</v>
      </c>
      <c r="C2956" s="30" t="s">
        <v>2385</v>
      </c>
      <c r="D2956" s="17" t="s">
        <v>2648</v>
      </c>
      <c r="E2956" s="17" t="s">
        <v>4812</v>
      </c>
      <c r="F2956" s="454">
        <v>21.96</v>
      </c>
      <c r="G2956" s="529">
        <v>21.96</v>
      </c>
      <c r="H2956" s="487">
        <f t="shared" si="1195"/>
        <v>17.57</v>
      </c>
      <c r="I2956" s="706"/>
      <c r="J2956" s="669" t="s">
        <v>5805</v>
      </c>
      <c r="K2956" s="23"/>
      <c r="L2956" s="70" t="str">
        <f t="shared" si="1196"/>
        <v/>
      </c>
      <c r="M2956" s="49">
        <f t="shared" si="1197"/>
        <v>21.96</v>
      </c>
      <c r="N2956" s="41">
        <f t="shared" si="1198"/>
        <v>9.09</v>
      </c>
      <c r="O2956" s="43" t="s">
        <v>1017</v>
      </c>
      <c r="P2956" s="65"/>
      <c r="Q2956" s="65"/>
      <c r="R2956" s="58"/>
      <c r="T2956" s="65"/>
      <c r="U2956" s="65"/>
      <c r="W2956" s="65"/>
      <c r="Y2956" s="12" t="s">
        <v>1017</v>
      </c>
      <c r="Z2956" s="65"/>
      <c r="AA2956" s="53"/>
      <c r="AC2956" s="12" t="s">
        <v>1017</v>
      </c>
      <c r="AD2956" s="53"/>
    </row>
    <row r="2957" spans="1:30" s="12" customFormat="1" x14ac:dyDescent="0.25">
      <c r="A2957" s="610" t="s">
        <v>3837</v>
      </c>
      <c r="B2957" s="17" t="s">
        <v>5548</v>
      </c>
      <c r="C2957" s="30" t="s">
        <v>2385</v>
      </c>
      <c r="D2957" s="17" t="s">
        <v>788</v>
      </c>
      <c r="E2957" s="17" t="s">
        <v>4810</v>
      </c>
      <c r="F2957" s="454">
        <v>19.98</v>
      </c>
      <c r="G2957" s="529">
        <v>19.98</v>
      </c>
      <c r="H2957" s="487">
        <f t="shared" si="1195"/>
        <v>15.98</v>
      </c>
      <c r="I2957" s="706"/>
      <c r="J2957" s="669" t="s">
        <v>5805</v>
      </c>
      <c r="K2957" s="23"/>
      <c r="L2957" s="70" t="str">
        <f t="shared" si="1196"/>
        <v/>
      </c>
      <c r="M2957" s="49">
        <f t="shared" si="1197"/>
        <v>19.98</v>
      </c>
      <c r="N2957" s="41">
        <f t="shared" si="1198"/>
        <v>9.09</v>
      </c>
      <c r="O2957" s="61"/>
      <c r="P2957" s="65"/>
      <c r="Q2957" s="65"/>
      <c r="R2957" s="58" t="s">
        <v>1017</v>
      </c>
      <c r="T2957" s="65"/>
      <c r="U2957" s="65"/>
      <c r="W2957" s="65"/>
      <c r="Y2957" s="12" t="s">
        <v>1017</v>
      </c>
      <c r="Z2957" s="65"/>
      <c r="AA2957" s="53"/>
      <c r="AC2957" s="12" t="s">
        <v>1017</v>
      </c>
      <c r="AD2957" s="53"/>
    </row>
    <row r="2958" spans="1:30" s="12" customFormat="1" x14ac:dyDescent="0.25">
      <c r="A2958" s="610" t="s">
        <v>3838</v>
      </c>
      <c r="B2958" s="17" t="s">
        <v>5548</v>
      </c>
      <c r="C2958" s="30" t="s">
        <v>2385</v>
      </c>
      <c r="D2958" s="17" t="s">
        <v>2651</v>
      </c>
      <c r="E2958" s="17" t="s">
        <v>4812</v>
      </c>
      <c r="F2958" s="454">
        <v>22.95</v>
      </c>
      <c r="G2958" s="529">
        <v>22.95</v>
      </c>
      <c r="H2958" s="487">
        <f t="shared" si="1195"/>
        <v>18.36</v>
      </c>
      <c r="I2958" s="706"/>
      <c r="J2958" s="669" t="s">
        <v>5805</v>
      </c>
      <c r="K2958" s="23"/>
      <c r="L2958" s="70" t="str">
        <f t="shared" si="1196"/>
        <v/>
      </c>
      <c r="M2958" s="49">
        <f t="shared" si="1197"/>
        <v>22.950000000000003</v>
      </c>
      <c r="N2958" s="41">
        <f t="shared" si="1198"/>
        <v>9.09</v>
      </c>
      <c r="O2958" s="43" t="s">
        <v>1017</v>
      </c>
      <c r="P2958" s="65"/>
      <c r="Q2958" s="65"/>
      <c r="R2958" s="58" t="s">
        <v>1017</v>
      </c>
      <c r="T2958" s="65"/>
      <c r="U2958" s="65"/>
      <c r="W2958" s="65"/>
      <c r="Y2958" s="12" t="s">
        <v>1017</v>
      </c>
      <c r="Z2958" s="65"/>
      <c r="AA2958" s="53"/>
      <c r="AC2958" s="12" t="s">
        <v>1017</v>
      </c>
      <c r="AD2958" s="53"/>
    </row>
    <row r="2959" spans="1:30" s="12" customFormat="1" x14ac:dyDescent="0.25">
      <c r="A2959" s="610" t="s">
        <v>3839</v>
      </c>
      <c r="B2959" s="17" t="s">
        <v>5548</v>
      </c>
      <c r="C2959" s="30" t="s">
        <v>2385</v>
      </c>
      <c r="D2959" s="17" t="s">
        <v>4393</v>
      </c>
      <c r="E2959" s="17" t="s">
        <v>4810</v>
      </c>
      <c r="F2959" s="454">
        <v>18</v>
      </c>
      <c r="G2959" s="529">
        <v>18</v>
      </c>
      <c r="H2959" s="487">
        <f t="shared" si="1195"/>
        <v>14.4</v>
      </c>
      <c r="I2959" s="706"/>
      <c r="J2959" s="669" t="s">
        <v>5805</v>
      </c>
      <c r="K2959" s="23"/>
      <c r="L2959" s="70" t="str">
        <f t="shared" si="1196"/>
        <v/>
      </c>
      <c r="M2959" s="49">
        <f t="shared" si="1197"/>
        <v>18</v>
      </c>
      <c r="N2959" s="41">
        <f t="shared" si="1198"/>
        <v>9.09</v>
      </c>
      <c r="O2959" s="61"/>
      <c r="P2959" s="65"/>
      <c r="Q2959" s="65"/>
      <c r="R2959" s="58"/>
      <c r="T2959" s="65"/>
      <c r="U2959" s="65"/>
      <c r="W2959" s="65"/>
      <c r="X2959" s="12" t="s">
        <v>1017</v>
      </c>
      <c r="Z2959" s="65"/>
      <c r="AA2959" s="53"/>
      <c r="AC2959" s="12" t="s">
        <v>1017</v>
      </c>
      <c r="AD2959" s="53"/>
    </row>
    <row r="2960" spans="1:30" s="12" customFormat="1" x14ac:dyDescent="0.25">
      <c r="A2960" s="610" t="s">
        <v>3840</v>
      </c>
      <c r="B2960" s="17" t="s">
        <v>5548</v>
      </c>
      <c r="C2960" s="30" t="s">
        <v>2385</v>
      </c>
      <c r="D2960" s="17" t="s">
        <v>5571</v>
      </c>
      <c r="E2960" s="17" t="s">
        <v>4812</v>
      </c>
      <c r="F2960" s="454">
        <v>20.97</v>
      </c>
      <c r="G2960" s="529">
        <v>20.97</v>
      </c>
      <c r="H2960" s="487">
        <f t="shared" si="1195"/>
        <v>16.78</v>
      </c>
      <c r="I2960" s="706"/>
      <c r="J2960" s="669" t="s">
        <v>5805</v>
      </c>
      <c r="K2960" s="23"/>
      <c r="L2960" s="70" t="str">
        <f t="shared" si="1196"/>
        <v/>
      </c>
      <c r="M2960" s="49">
        <f t="shared" si="1197"/>
        <v>20.97</v>
      </c>
      <c r="N2960" s="41">
        <f t="shared" si="1198"/>
        <v>9.09</v>
      </c>
      <c r="O2960" s="43" t="s">
        <v>1017</v>
      </c>
      <c r="P2960" s="65"/>
      <c r="Q2960" s="65"/>
      <c r="R2960" s="58"/>
      <c r="T2960" s="65"/>
      <c r="U2960" s="65"/>
      <c r="W2960" s="65"/>
      <c r="X2960" s="12" t="s">
        <v>1017</v>
      </c>
      <c r="Z2960" s="65"/>
      <c r="AA2960" s="53"/>
      <c r="AC2960" s="12" t="s">
        <v>1017</v>
      </c>
      <c r="AD2960" s="53"/>
    </row>
    <row r="2961" spans="1:30" s="12" customFormat="1" x14ac:dyDescent="0.25">
      <c r="A2961" s="610" t="s">
        <v>3841</v>
      </c>
      <c r="B2961" s="17" t="s">
        <v>5548</v>
      </c>
      <c r="C2961" s="30" t="s">
        <v>2385</v>
      </c>
      <c r="D2961" s="21" t="s">
        <v>675</v>
      </c>
      <c r="E2961" s="17" t="s">
        <v>4810</v>
      </c>
      <c r="F2961" s="454">
        <v>18.989999999999998</v>
      </c>
      <c r="G2961" s="529">
        <v>18.989999999999998</v>
      </c>
      <c r="H2961" s="487">
        <f t="shared" si="1195"/>
        <v>15.19</v>
      </c>
      <c r="I2961" s="706"/>
      <c r="J2961" s="669" t="s">
        <v>5805</v>
      </c>
      <c r="K2961" s="23"/>
      <c r="L2961" s="70" t="str">
        <f t="shared" si="1196"/>
        <v/>
      </c>
      <c r="M2961" s="49">
        <f t="shared" si="1197"/>
        <v>18.990000000000002</v>
      </c>
      <c r="N2961" s="41">
        <f t="shared" si="1198"/>
        <v>9.09</v>
      </c>
      <c r="O2961" s="61"/>
      <c r="P2961" s="65"/>
      <c r="Q2961" s="65"/>
      <c r="R2961" s="58" t="s">
        <v>1017</v>
      </c>
      <c r="T2961" s="65"/>
      <c r="U2961" s="65"/>
      <c r="W2961" s="65"/>
      <c r="X2961" s="12" t="s">
        <v>1017</v>
      </c>
      <c r="Z2961" s="65"/>
      <c r="AA2961" s="53"/>
      <c r="AC2961" s="12" t="s">
        <v>1017</v>
      </c>
      <c r="AD2961" s="53"/>
    </row>
    <row r="2962" spans="1:30" s="12" customFormat="1" x14ac:dyDescent="0.25">
      <c r="A2962" s="610" t="s">
        <v>3842</v>
      </c>
      <c r="B2962" s="17" t="s">
        <v>5548</v>
      </c>
      <c r="C2962" s="30" t="s">
        <v>2385</v>
      </c>
      <c r="D2962" s="21" t="s">
        <v>676</v>
      </c>
      <c r="E2962" s="17" t="s">
        <v>4812</v>
      </c>
      <c r="F2962" s="454">
        <v>21.96</v>
      </c>
      <c r="G2962" s="529">
        <v>21.96</v>
      </c>
      <c r="H2962" s="487">
        <f t="shared" si="1195"/>
        <v>17.57</v>
      </c>
      <c r="I2962" s="706"/>
      <c r="J2962" s="669" t="s">
        <v>5805</v>
      </c>
      <c r="K2962" s="23"/>
      <c r="L2962" s="70" t="str">
        <f t="shared" si="1196"/>
        <v/>
      </c>
      <c r="M2962" s="49">
        <f t="shared" si="1197"/>
        <v>21.96</v>
      </c>
      <c r="N2962" s="41">
        <f t="shared" si="1198"/>
        <v>9.09</v>
      </c>
      <c r="O2962" s="43" t="s">
        <v>1017</v>
      </c>
      <c r="P2962" s="65"/>
      <c r="Q2962" s="65"/>
      <c r="R2962" s="58" t="s">
        <v>1017</v>
      </c>
      <c r="T2962" s="65"/>
      <c r="U2962" s="65"/>
      <c r="W2962" s="65"/>
      <c r="X2962" s="12" t="s">
        <v>1017</v>
      </c>
      <c r="Z2962" s="65"/>
      <c r="AA2962" s="53"/>
      <c r="AC2962" s="12" t="s">
        <v>1017</v>
      </c>
      <c r="AD2962" s="53"/>
    </row>
    <row r="2963" spans="1:30" s="12" customFormat="1" x14ac:dyDescent="0.25">
      <c r="A2963" s="610" t="s">
        <v>3843</v>
      </c>
      <c r="B2963" s="17" t="s">
        <v>5548</v>
      </c>
      <c r="C2963" s="30" t="s">
        <v>2385</v>
      </c>
      <c r="D2963" s="17" t="s">
        <v>2122</v>
      </c>
      <c r="E2963" s="17" t="s">
        <v>4810</v>
      </c>
      <c r="F2963" s="454">
        <v>19.98</v>
      </c>
      <c r="G2963" s="529">
        <v>19.98</v>
      </c>
      <c r="H2963" s="487">
        <f t="shared" si="1195"/>
        <v>15.98</v>
      </c>
      <c r="I2963" s="706"/>
      <c r="J2963" s="669" t="s">
        <v>5805</v>
      </c>
      <c r="K2963" s="23"/>
      <c r="L2963" s="70" t="str">
        <f t="shared" si="1196"/>
        <v/>
      </c>
      <c r="M2963" s="49">
        <f t="shared" si="1197"/>
        <v>19.98</v>
      </c>
      <c r="N2963" s="41">
        <f t="shared" si="1198"/>
        <v>9.09</v>
      </c>
      <c r="O2963" s="61"/>
      <c r="P2963" s="65"/>
      <c r="Q2963" s="65"/>
      <c r="R2963" s="58"/>
      <c r="T2963" s="65"/>
      <c r="U2963" s="65"/>
      <c r="W2963" s="65"/>
      <c r="Z2963" s="65"/>
      <c r="AA2963" s="53" t="s">
        <v>1017</v>
      </c>
      <c r="AC2963" s="12" t="s">
        <v>1017</v>
      </c>
      <c r="AD2963" s="53"/>
    </row>
    <row r="2964" spans="1:30" s="12" customFormat="1" x14ac:dyDescent="0.25">
      <c r="A2964" s="610" t="s">
        <v>3844</v>
      </c>
      <c r="B2964" s="17" t="s">
        <v>5548</v>
      </c>
      <c r="C2964" s="30" t="s">
        <v>2385</v>
      </c>
      <c r="D2964" s="17" t="s">
        <v>2649</v>
      </c>
      <c r="E2964" s="17" t="s">
        <v>4812</v>
      </c>
      <c r="F2964" s="454">
        <v>22.95</v>
      </c>
      <c r="G2964" s="529">
        <v>22.95</v>
      </c>
      <c r="H2964" s="487">
        <f t="shared" si="1195"/>
        <v>18.36</v>
      </c>
      <c r="I2964" s="706"/>
      <c r="J2964" s="669" t="s">
        <v>5805</v>
      </c>
      <c r="K2964" s="23"/>
      <c r="L2964" s="70" t="str">
        <f t="shared" si="1196"/>
        <v/>
      </c>
      <c r="M2964" s="49">
        <f t="shared" si="1197"/>
        <v>22.950000000000003</v>
      </c>
      <c r="N2964" s="41">
        <f t="shared" si="1198"/>
        <v>9.09</v>
      </c>
      <c r="O2964" s="43" t="s">
        <v>1017</v>
      </c>
      <c r="P2964" s="65"/>
      <c r="Q2964" s="65"/>
      <c r="R2964" s="58"/>
      <c r="T2964" s="65"/>
      <c r="U2964" s="65"/>
      <c r="W2964" s="65"/>
      <c r="Z2964" s="65"/>
      <c r="AA2964" s="53" t="s">
        <v>1017</v>
      </c>
      <c r="AC2964" s="12" t="s">
        <v>1017</v>
      </c>
      <c r="AD2964" s="53"/>
    </row>
    <row r="2965" spans="1:30" s="12" customFormat="1" x14ac:dyDescent="0.25">
      <c r="A2965" s="610" t="s">
        <v>3845</v>
      </c>
      <c r="B2965" s="17" t="s">
        <v>5548</v>
      </c>
      <c r="C2965" s="30" t="s">
        <v>2385</v>
      </c>
      <c r="D2965" s="17" t="s">
        <v>2123</v>
      </c>
      <c r="E2965" s="17" t="s">
        <v>4810</v>
      </c>
      <c r="F2965" s="454">
        <v>20.97</v>
      </c>
      <c r="G2965" s="529">
        <v>20.97</v>
      </c>
      <c r="H2965" s="487">
        <f t="shared" si="1195"/>
        <v>16.78</v>
      </c>
      <c r="I2965" s="706"/>
      <c r="J2965" s="669" t="s">
        <v>5805</v>
      </c>
      <c r="K2965" s="23"/>
      <c r="L2965" s="70" t="str">
        <f t="shared" si="1196"/>
        <v/>
      </c>
      <c r="M2965" s="49">
        <f t="shared" si="1197"/>
        <v>20.97</v>
      </c>
      <c r="N2965" s="41">
        <f t="shared" si="1198"/>
        <v>9.09</v>
      </c>
      <c r="O2965" s="61"/>
      <c r="P2965" s="65"/>
      <c r="Q2965" s="65"/>
      <c r="R2965" s="58" t="s">
        <v>1017</v>
      </c>
      <c r="T2965" s="65"/>
      <c r="U2965" s="65"/>
      <c r="W2965" s="65"/>
      <c r="Z2965" s="65"/>
      <c r="AA2965" s="53" t="s">
        <v>1017</v>
      </c>
      <c r="AC2965" s="12" t="s">
        <v>1017</v>
      </c>
      <c r="AD2965" s="53"/>
    </row>
    <row r="2966" spans="1:30" s="12" customFormat="1" x14ac:dyDescent="0.25">
      <c r="A2966" s="610" t="s">
        <v>3846</v>
      </c>
      <c r="B2966" s="17" t="s">
        <v>5548</v>
      </c>
      <c r="C2966" s="30" t="s">
        <v>2385</v>
      </c>
      <c r="D2966" s="17" t="s">
        <v>2652</v>
      </c>
      <c r="E2966" s="17" t="s">
        <v>4812</v>
      </c>
      <c r="F2966" s="454">
        <v>23.94</v>
      </c>
      <c r="G2966" s="529">
        <v>23.94</v>
      </c>
      <c r="H2966" s="487">
        <f t="shared" si="1195"/>
        <v>19.149999999999999</v>
      </c>
      <c r="I2966" s="706"/>
      <c r="J2966" s="669" t="s">
        <v>5805</v>
      </c>
      <c r="K2966" s="23"/>
      <c r="L2966" s="70" t="str">
        <f t="shared" si="1196"/>
        <v/>
      </c>
      <c r="M2966" s="49">
        <f t="shared" si="1197"/>
        <v>23.939999999999998</v>
      </c>
      <c r="N2966" s="41">
        <f t="shared" si="1198"/>
        <v>9.09</v>
      </c>
      <c r="O2966" s="43" t="s">
        <v>1017</v>
      </c>
      <c r="P2966" s="65"/>
      <c r="Q2966" s="65"/>
      <c r="R2966" s="58" t="s">
        <v>1017</v>
      </c>
      <c r="T2966" s="65"/>
      <c r="U2966" s="65"/>
      <c r="W2966" s="65"/>
      <c r="Z2966" s="65"/>
      <c r="AA2966" s="53" t="s">
        <v>1017</v>
      </c>
      <c r="AC2966" s="12" t="s">
        <v>1017</v>
      </c>
      <c r="AD2966" s="53"/>
    </row>
    <row r="2967" spans="1:30" s="12" customFormat="1" x14ac:dyDescent="0.25">
      <c r="A2967" s="610" t="s">
        <v>3847</v>
      </c>
      <c r="B2967" s="17" t="s">
        <v>5548</v>
      </c>
      <c r="C2967" s="30" t="s">
        <v>2385</v>
      </c>
      <c r="D2967" s="17" t="s">
        <v>595</v>
      </c>
      <c r="E2967" s="17" t="s">
        <v>4810</v>
      </c>
      <c r="F2967" s="454">
        <v>11.07</v>
      </c>
      <c r="G2967" s="529">
        <v>11.07</v>
      </c>
      <c r="H2967" s="487">
        <f t="shared" si="1195"/>
        <v>8.86</v>
      </c>
      <c r="I2967" s="706"/>
      <c r="J2967" s="669" t="s">
        <v>5805</v>
      </c>
      <c r="K2967" s="23"/>
      <c r="L2967" s="70" t="str">
        <f t="shared" si="1196"/>
        <v/>
      </c>
      <c r="M2967" s="49">
        <f t="shared" si="1197"/>
        <v>11.07</v>
      </c>
      <c r="N2967" s="41">
        <f t="shared" si="1198"/>
        <v>9.09</v>
      </c>
      <c r="O2967" s="61"/>
      <c r="P2967" s="65"/>
      <c r="Q2967" s="65"/>
      <c r="R2967" s="58"/>
      <c r="T2967" s="65"/>
      <c r="U2967" s="65"/>
      <c r="W2967" s="65"/>
      <c r="Z2967" s="65"/>
      <c r="AA2967" s="53"/>
      <c r="AD2967" s="53" t="s">
        <v>1017</v>
      </c>
    </row>
    <row r="2968" spans="1:30" s="12" customFormat="1" x14ac:dyDescent="0.25">
      <c r="A2968" s="610" t="s">
        <v>3848</v>
      </c>
      <c r="B2968" s="17" t="s">
        <v>5548</v>
      </c>
      <c r="C2968" s="30" t="s">
        <v>2385</v>
      </c>
      <c r="D2968" s="17" t="s">
        <v>3199</v>
      </c>
      <c r="E2968" s="17" t="s">
        <v>4812</v>
      </c>
      <c r="F2968" s="454">
        <v>14.04</v>
      </c>
      <c r="G2968" s="529">
        <v>14.04</v>
      </c>
      <c r="H2968" s="487">
        <f t="shared" si="1195"/>
        <v>11.23</v>
      </c>
      <c r="I2968" s="706"/>
      <c r="J2968" s="669" t="s">
        <v>5805</v>
      </c>
      <c r="K2968" s="23"/>
      <c r="L2968" s="70" t="str">
        <f t="shared" si="1196"/>
        <v/>
      </c>
      <c r="M2968" s="49">
        <f t="shared" si="1197"/>
        <v>14.04</v>
      </c>
      <c r="N2968" s="41">
        <f t="shared" si="1198"/>
        <v>9.09</v>
      </c>
      <c r="O2968" s="43" t="s">
        <v>1017</v>
      </c>
      <c r="P2968" s="65"/>
      <c r="Q2968" s="65"/>
      <c r="R2968" s="58"/>
      <c r="T2968" s="65"/>
      <c r="U2968" s="65"/>
      <c r="W2968" s="65"/>
      <c r="Z2968" s="65"/>
      <c r="AA2968" s="53"/>
      <c r="AD2968" s="53" t="s">
        <v>1017</v>
      </c>
    </row>
    <row r="2969" spans="1:30" s="12" customFormat="1" x14ac:dyDescent="0.25">
      <c r="A2969" s="610" t="s">
        <v>3849</v>
      </c>
      <c r="B2969" s="17" t="s">
        <v>5548</v>
      </c>
      <c r="C2969" s="30" t="s">
        <v>2385</v>
      </c>
      <c r="D2969" s="30" t="s">
        <v>2139</v>
      </c>
      <c r="E2969" s="17" t="s">
        <v>4810</v>
      </c>
      <c r="F2969" s="454">
        <v>12.06</v>
      </c>
      <c r="G2969" s="529">
        <v>12.06</v>
      </c>
      <c r="H2969" s="487">
        <f t="shared" si="1195"/>
        <v>9.65</v>
      </c>
      <c r="I2969" s="706"/>
      <c r="J2969" s="669" t="s">
        <v>5805</v>
      </c>
      <c r="K2969" s="23"/>
      <c r="L2969" s="70" t="str">
        <f t="shared" si="1196"/>
        <v/>
      </c>
      <c r="M2969" s="49">
        <f t="shared" si="1197"/>
        <v>12.059999999999999</v>
      </c>
      <c r="N2969" s="41">
        <f t="shared" si="1198"/>
        <v>9.09</v>
      </c>
      <c r="O2969" s="61"/>
      <c r="P2969" s="65"/>
      <c r="Q2969" s="65"/>
      <c r="R2969" s="58" t="s">
        <v>1017</v>
      </c>
      <c r="T2969" s="65"/>
      <c r="U2969" s="65"/>
      <c r="W2969" s="65"/>
      <c r="Z2969" s="65"/>
      <c r="AA2969" s="53"/>
      <c r="AD2969" s="53" t="s">
        <v>1017</v>
      </c>
    </row>
    <row r="2970" spans="1:30" s="12" customFormat="1" x14ac:dyDescent="0.25">
      <c r="A2970" s="610" t="s">
        <v>3850</v>
      </c>
      <c r="B2970" s="17" t="s">
        <v>5548</v>
      </c>
      <c r="C2970" s="30" t="s">
        <v>2385</v>
      </c>
      <c r="D2970" s="30" t="s">
        <v>2140</v>
      </c>
      <c r="E2970" s="17" t="s">
        <v>4812</v>
      </c>
      <c r="F2970" s="454">
        <v>15.03</v>
      </c>
      <c r="G2970" s="529">
        <v>15.03</v>
      </c>
      <c r="H2970" s="487">
        <f t="shared" si="1195"/>
        <v>12.02</v>
      </c>
      <c r="I2970" s="706"/>
      <c r="J2970" s="669" t="s">
        <v>5805</v>
      </c>
      <c r="K2970" s="23"/>
      <c r="L2970" s="70" t="str">
        <f t="shared" si="1196"/>
        <v/>
      </c>
      <c r="M2970" s="49">
        <f t="shared" si="1197"/>
        <v>15.03</v>
      </c>
      <c r="N2970" s="41">
        <f t="shared" si="1198"/>
        <v>9.09</v>
      </c>
      <c r="O2970" s="43" t="s">
        <v>1017</v>
      </c>
      <c r="P2970" s="65"/>
      <c r="Q2970" s="65"/>
      <c r="R2970" s="58" t="s">
        <v>1017</v>
      </c>
      <c r="T2970" s="65"/>
      <c r="U2970" s="65"/>
      <c r="W2970" s="65"/>
      <c r="Z2970" s="65"/>
      <c r="AA2970" s="53"/>
      <c r="AD2970" s="53" t="s">
        <v>1017</v>
      </c>
    </row>
    <row r="2971" spans="1:30" s="12" customFormat="1" x14ac:dyDescent="0.25">
      <c r="A2971" s="610" t="s">
        <v>3851</v>
      </c>
      <c r="B2971" s="17" t="s">
        <v>5548</v>
      </c>
      <c r="C2971" s="30" t="s">
        <v>2385</v>
      </c>
      <c r="D2971" s="17" t="s">
        <v>850</v>
      </c>
      <c r="E2971" s="17" t="s">
        <v>4810</v>
      </c>
      <c r="F2971" s="454">
        <v>17.010000000000002</v>
      </c>
      <c r="G2971" s="529">
        <v>17.010000000000002</v>
      </c>
      <c r="H2971" s="487">
        <f t="shared" si="1195"/>
        <v>13.61</v>
      </c>
      <c r="I2971" s="706"/>
      <c r="J2971" s="669" t="s">
        <v>5805</v>
      </c>
      <c r="K2971" s="23"/>
      <c r="L2971" s="70" t="str">
        <f t="shared" si="1196"/>
        <v/>
      </c>
      <c r="M2971" s="49">
        <f t="shared" si="1197"/>
        <v>17.009999999999998</v>
      </c>
      <c r="N2971" s="41">
        <f t="shared" si="1198"/>
        <v>9.09</v>
      </c>
      <c r="O2971" s="61"/>
      <c r="P2971" s="65"/>
      <c r="Q2971" s="65"/>
      <c r="R2971" s="58"/>
      <c r="S2971" s="12" t="s">
        <v>1017</v>
      </c>
      <c r="T2971" s="65"/>
      <c r="U2971" s="65"/>
      <c r="W2971" s="65"/>
      <c r="Z2971" s="65"/>
      <c r="AA2971" s="53"/>
      <c r="AD2971" s="53" t="s">
        <v>1017</v>
      </c>
    </row>
    <row r="2972" spans="1:30" s="12" customFormat="1" x14ac:dyDescent="0.25">
      <c r="A2972" s="610" t="s">
        <v>3852</v>
      </c>
      <c r="B2972" s="17" t="s">
        <v>5548</v>
      </c>
      <c r="C2972" s="30" t="s">
        <v>2385</v>
      </c>
      <c r="D2972" s="17" t="s">
        <v>2653</v>
      </c>
      <c r="E2972" s="17" t="s">
        <v>4812</v>
      </c>
      <c r="F2972" s="454">
        <v>19.98</v>
      </c>
      <c r="G2972" s="529">
        <v>19.98</v>
      </c>
      <c r="H2972" s="487">
        <f t="shared" si="1195"/>
        <v>15.98</v>
      </c>
      <c r="I2972" s="706"/>
      <c r="J2972" s="669" t="s">
        <v>5805</v>
      </c>
      <c r="K2972" s="23"/>
      <c r="L2972" s="70" t="str">
        <f t="shared" si="1196"/>
        <v/>
      </c>
      <c r="M2972" s="49">
        <f t="shared" si="1197"/>
        <v>19.98</v>
      </c>
      <c r="N2972" s="41">
        <f t="shared" si="1198"/>
        <v>9.09</v>
      </c>
      <c r="O2972" s="43" t="s">
        <v>1017</v>
      </c>
      <c r="P2972" s="65"/>
      <c r="Q2972" s="65"/>
      <c r="R2972" s="58"/>
      <c r="S2972" s="12" t="s">
        <v>1017</v>
      </c>
      <c r="T2972" s="65"/>
      <c r="U2972" s="65"/>
      <c r="W2972" s="65"/>
      <c r="Z2972" s="65"/>
      <c r="AA2972" s="53"/>
      <c r="AD2972" s="53" t="s">
        <v>1017</v>
      </c>
    </row>
    <row r="2973" spans="1:30" s="12" customFormat="1" x14ac:dyDescent="0.25">
      <c r="A2973" s="610" t="s">
        <v>3853</v>
      </c>
      <c r="B2973" s="17" t="s">
        <v>5548</v>
      </c>
      <c r="C2973" s="30" t="s">
        <v>2385</v>
      </c>
      <c r="D2973" s="30" t="s">
        <v>564</v>
      </c>
      <c r="E2973" s="17" t="s">
        <v>4810</v>
      </c>
      <c r="F2973" s="454">
        <v>18</v>
      </c>
      <c r="G2973" s="529">
        <v>18</v>
      </c>
      <c r="H2973" s="487">
        <f t="shared" si="1195"/>
        <v>14.4</v>
      </c>
      <c r="I2973" s="706"/>
      <c r="J2973" s="669" t="s">
        <v>5805</v>
      </c>
      <c r="K2973" s="23"/>
      <c r="L2973" s="70" t="str">
        <f t="shared" si="1196"/>
        <v/>
      </c>
      <c r="M2973" s="49">
        <f t="shared" si="1197"/>
        <v>18</v>
      </c>
      <c r="N2973" s="41">
        <f t="shared" si="1198"/>
        <v>9.09</v>
      </c>
      <c r="O2973" s="61"/>
      <c r="P2973" s="65"/>
      <c r="Q2973" s="65"/>
      <c r="R2973" s="58" t="s">
        <v>1017</v>
      </c>
      <c r="S2973" s="12" t="s">
        <v>1017</v>
      </c>
      <c r="T2973" s="65"/>
      <c r="U2973" s="65"/>
      <c r="W2973" s="65"/>
      <c r="Z2973" s="65"/>
      <c r="AA2973" s="53"/>
      <c r="AD2973" s="53" t="s">
        <v>1017</v>
      </c>
    </row>
    <row r="2974" spans="1:30" s="12" customFormat="1" x14ac:dyDescent="0.25">
      <c r="A2974" s="610" t="s">
        <v>3854</v>
      </c>
      <c r="B2974" s="17" t="s">
        <v>5548</v>
      </c>
      <c r="C2974" s="30" t="s">
        <v>2385</v>
      </c>
      <c r="D2974" s="30" t="s">
        <v>565</v>
      </c>
      <c r="E2974" s="17" t="s">
        <v>4812</v>
      </c>
      <c r="F2974" s="454">
        <v>20.97</v>
      </c>
      <c r="G2974" s="529">
        <v>20.97</v>
      </c>
      <c r="H2974" s="487">
        <f t="shared" si="1195"/>
        <v>16.78</v>
      </c>
      <c r="I2974" s="706"/>
      <c r="J2974" s="669" t="s">
        <v>5805</v>
      </c>
      <c r="K2974" s="23"/>
      <c r="L2974" s="70" t="str">
        <f t="shared" si="1196"/>
        <v/>
      </c>
      <c r="M2974" s="49">
        <f t="shared" si="1197"/>
        <v>20.97</v>
      </c>
      <c r="N2974" s="41">
        <f t="shared" si="1198"/>
        <v>9.09</v>
      </c>
      <c r="O2974" s="43" t="s">
        <v>1017</v>
      </c>
      <c r="P2974" s="65"/>
      <c r="Q2974" s="65"/>
      <c r="R2974" s="58" t="s">
        <v>1017</v>
      </c>
      <c r="S2974" s="12" t="s">
        <v>1017</v>
      </c>
      <c r="T2974" s="65"/>
      <c r="U2974" s="65"/>
      <c r="W2974" s="65"/>
      <c r="Z2974" s="65"/>
      <c r="AA2974" s="53"/>
      <c r="AD2974" s="53" t="s">
        <v>1017</v>
      </c>
    </row>
    <row r="2975" spans="1:30" s="12" customFormat="1" x14ac:dyDescent="0.25">
      <c r="A2975" s="610" t="s">
        <v>3855</v>
      </c>
      <c r="B2975" s="17" t="s">
        <v>5548</v>
      </c>
      <c r="C2975" s="30" t="s">
        <v>2385</v>
      </c>
      <c r="D2975" s="17" t="s">
        <v>852</v>
      </c>
      <c r="E2975" s="17" t="s">
        <v>4810</v>
      </c>
      <c r="F2975" s="454">
        <v>18</v>
      </c>
      <c r="G2975" s="529">
        <v>18</v>
      </c>
      <c r="H2975" s="487">
        <f t="shared" si="1195"/>
        <v>14.4</v>
      </c>
      <c r="I2975" s="706"/>
      <c r="J2975" s="669" t="s">
        <v>5805</v>
      </c>
      <c r="K2975" s="23"/>
      <c r="L2975" s="70" t="str">
        <f t="shared" si="1196"/>
        <v/>
      </c>
      <c r="M2975" s="49">
        <f t="shared" si="1197"/>
        <v>18</v>
      </c>
      <c r="N2975" s="41">
        <f t="shared" si="1198"/>
        <v>9.09</v>
      </c>
      <c r="O2975" s="61"/>
      <c r="P2975" s="65"/>
      <c r="Q2975" s="65"/>
      <c r="R2975" s="58"/>
      <c r="T2975" s="65"/>
      <c r="U2975" s="65"/>
      <c r="V2975" s="12" t="s">
        <v>1017</v>
      </c>
      <c r="W2975" s="65"/>
      <c r="Z2975" s="65"/>
      <c r="AA2975" s="53"/>
      <c r="AD2975" s="53" t="s">
        <v>1017</v>
      </c>
    </row>
    <row r="2976" spans="1:30" s="12" customFormat="1" x14ac:dyDescent="0.25">
      <c r="A2976" s="610" t="s">
        <v>3856</v>
      </c>
      <c r="B2976" s="17" t="s">
        <v>5548</v>
      </c>
      <c r="C2976" s="30" t="s">
        <v>2385</v>
      </c>
      <c r="D2976" s="17" t="s">
        <v>846</v>
      </c>
      <c r="E2976" s="17" t="s">
        <v>4812</v>
      </c>
      <c r="F2976" s="454">
        <v>20.97</v>
      </c>
      <c r="G2976" s="529">
        <v>20.97</v>
      </c>
      <c r="H2976" s="487">
        <f t="shared" si="1195"/>
        <v>16.78</v>
      </c>
      <c r="I2976" s="706"/>
      <c r="J2976" s="669" t="s">
        <v>5805</v>
      </c>
      <c r="K2976" s="23"/>
      <c r="L2976" s="70" t="str">
        <f t="shared" si="1196"/>
        <v/>
      </c>
      <c r="M2976" s="49">
        <f t="shared" si="1197"/>
        <v>20.97</v>
      </c>
      <c r="N2976" s="41">
        <f t="shared" si="1198"/>
        <v>9.09</v>
      </c>
      <c r="O2976" s="43" t="s">
        <v>1017</v>
      </c>
      <c r="P2976" s="65"/>
      <c r="Q2976" s="65"/>
      <c r="R2976" s="58"/>
      <c r="T2976" s="65"/>
      <c r="U2976" s="65"/>
      <c r="V2976" s="12" t="s">
        <v>1017</v>
      </c>
      <c r="W2976" s="65"/>
      <c r="Z2976" s="65"/>
      <c r="AA2976" s="53"/>
      <c r="AD2976" s="53" t="s">
        <v>1017</v>
      </c>
    </row>
    <row r="2977" spans="1:30" s="12" customFormat="1" x14ac:dyDescent="0.25">
      <c r="A2977" s="610" t="s">
        <v>3857</v>
      </c>
      <c r="B2977" s="17" t="s">
        <v>5548</v>
      </c>
      <c r="C2977" s="30" t="s">
        <v>2385</v>
      </c>
      <c r="D2977" s="17" t="s">
        <v>2593</v>
      </c>
      <c r="E2977" s="17" t="s">
        <v>4810</v>
      </c>
      <c r="F2977" s="454">
        <v>18.989999999999998</v>
      </c>
      <c r="G2977" s="529">
        <v>18.989999999999998</v>
      </c>
      <c r="H2977" s="487">
        <f t="shared" si="1195"/>
        <v>15.19</v>
      </c>
      <c r="I2977" s="706"/>
      <c r="J2977" s="669" t="s">
        <v>5805</v>
      </c>
      <c r="K2977" s="23"/>
      <c r="L2977" s="70" t="str">
        <f t="shared" si="1196"/>
        <v/>
      </c>
      <c r="M2977" s="49">
        <f t="shared" si="1197"/>
        <v>18.990000000000002</v>
      </c>
      <c r="N2977" s="41">
        <f t="shared" si="1198"/>
        <v>9.09</v>
      </c>
      <c r="O2977" s="61"/>
      <c r="P2977" s="65"/>
      <c r="Q2977" s="65"/>
      <c r="R2977" s="58" t="s">
        <v>1017</v>
      </c>
      <c r="T2977" s="65"/>
      <c r="U2977" s="65"/>
      <c r="V2977" s="12" t="s">
        <v>1017</v>
      </c>
      <c r="W2977" s="65"/>
      <c r="Z2977" s="65"/>
      <c r="AA2977" s="53"/>
      <c r="AD2977" s="53" t="s">
        <v>1017</v>
      </c>
    </row>
    <row r="2978" spans="1:30" s="12" customFormat="1" x14ac:dyDescent="0.25">
      <c r="A2978" s="610" t="s">
        <v>3858</v>
      </c>
      <c r="B2978" s="17" t="s">
        <v>5548</v>
      </c>
      <c r="C2978" s="30" t="s">
        <v>2385</v>
      </c>
      <c r="D2978" s="17" t="s">
        <v>2723</v>
      </c>
      <c r="E2978" s="17" t="s">
        <v>4812</v>
      </c>
      <c r="F2978" s="454">
        <v>21.96</v>
      </c>
      <c r="G2978" s="529">
        <v>21.96</v>
      </c>
      <c r="H2978" s="487">
        <f t="shared" si="1195"/>
        <v>17.57</v>
      </c>
      <c r="I2978" s="706"/>
      <c r="J2978" s="669" t="s">
        <v>5805</v>
      </c>
      <c r="K2978" s="23"/>
      <c r="L2978" s="70" t="str">
        <f t="shared" si="1196"/>
        <v/>
      </c>
      <c r="M2978" s="49">
        <f t="shared" si="1197"/>
        <v>21.96</v>
      </c>
      <c r="N2978" s="41">
        <f t="shared" si="1198"/>
        <v>9.09</v>
      </c>
      <c r="O2978" s="43" t="s">
        <v>1017</v>
      </c>
      <c r="P2978" s="65"/>
      <c r="Q2978" s="65"/>
      <c r="R2978" s="58" t="s">
        <v>1017</v>
      </c>
      <c r="T2978" s="65"/>
      <c r="U2978" s="65"/>
      <c r="V2978" s="12" t="s">
        <v>1017</v>
      </c>
      <c r="W2978" s="65"/>
      <c r="Z2978" s="65"/>
      <c r="AA2978" s="53"/>
      <c r="AD2978" s="53" t="s">
        <v>1017</v>
      </c>
    </row>
    <row r="2979" spans="1:30" s="12" customFormat="1" x14ac:dyDescent="0.25">
      <c r="A2979" s="610" t="s">
        <v>3859</v>
      </c>
      <c r="B2979" s="17" t="s">
        <v>5548</v>
      </c>
      <c r="C2979" s="30" t="s">
        <v>2385</v>
      </c>
      <c r="D2979" s="17" t="s">
        <v>789</v>
      </c>
      <c r="E2979" s="17" t="s">
        <v>4810</v>
      </c>
      <c r="F2979" s="454">
        <v>19.98</v>
      </c>
      <c r="G2979" s="529">
        <v>19.98</v>
      </c>
      <c r="H2979" s="487">
        <f t="shared" si="1195"/>
        <v>15.98</v>
      </c>
      <c r="I2979" s="706"/>
      <c r="J2979" s="669" t="s">
        <v>5805</v>
      </c>
      <c r="K2979" s="23"/>
      <c r="L2979" s="70" t="str">
        <f t="shared" si="1196"/>
        <v/>
      </c>
      <c r="M2979" s="49">
        <f t="shared" si="1197"/>
        <v>19.98</v>
      </c>
      <c r="N2979" s="41">
        <f t="shared" si="1198"/>
        <v>9.09</v>
      </c>
      <c r="O2979" s="61"/>
      <c r="P2979" s="65"/>
      <c r="Q2979" s="65"/>
      <c r="R2979" s="58"/>
      <c r="T2979" s="65"/>
      <c r="U2979" s="65"/>
      <c r="W2979" s="65"/>
      <c r="Y2979" s="12" t="s">
        <v>1017</v>
      </c>
      <c r="Z2979" s="65"/>
      <c r="AA2979" s="53"/>
      <c r="AD2979" s="53" t="s">
        <v>1017</v>
      </c>
    </row>
    <row r="2980" spans="1:30" s="12" customFormat="1" x14ac:dyDescent="0.25">
      <c r="A2980" s="610" t="s">
        <v>3860</v>
      </c>
      <c r="B2980" s="17" t="s">
        <v>5548</v>
      </c>
      <c r="C2980" s="30" t="s">
        <v>2385</v>
      </c>
      <c r="D2980" s="17" t="s">
        <v>847</v>
      </c>
      <c r="E2980" s="17" t="s">
        <v>4812</v>
      </c>
      <c r="F2980" s="454">
        <v>22.95</v>
      </c>
      <c r="G2980" s="529">
        <v>22.95</v>
      </c>
      <c r="H2980" s="487">
        <f t="shared" si="1195"/>
        <v>18.36</v>
      </c>
      <c r="I2980" s="706"/>
      <c r="J2980" s="669" t="s">
        <v>5805</v>
      </c>
      <c r="K2980" s="23"/>
      <c r="L2980" s="70" t="str">
        <f t="shared" si="1196"/>
        <v/>
      </c>
      <c r="M2980" s="49">
        <f t="shared" si="1197"/>
        <v>22.950000000000003</v>
      </c>
      <c r="N2980" s="41">
        <f t="shared" si="1198"/>
        <v>9.09</v>
      </c>
      <c r="O2980" s="43" t="s">
        <v>1017</v>
      </c>
      <c r="P2980" s="65"/>
      <c r="Q2980" s="65"/>
      <c r="R2980" s="58"/>
      <c r="T2980" s="65"/>
      <c r="U2980" s="65"/>
      <c r="W2980" s="65"/>
      <c r="Y2980" s="12" t="s">
        <v>1017</v>
      </c>
      <c r="Z2980" s="65"/>
      <c r="AA2980" s="53"/>
      <c r="AD2980" s="53" t="s">
        <v>1017</v>
      </c>
    </row>
    <row r="2981" spans="1:30" s="12" customFormat="1" x14ac:dyDescent="0.25">
      <c r="A2981" s="610" t="s">
        <v>3861</v>
      </c>
      <c r="B2981" s="17" t="s">
        <v>5548</v>
      </c>
      <c r="C2981" s="30" t="s">
        <v>2385</v>
      </c>
      <c r="D2981" s="17" t="s">
        <v>790</v>
      </c>
      <c r="E2981" s="17" t="s">
        <v>4810</v>
      </c>
      <c r="F2981" s="454">
        <v>20.97</v>
      </c>
      <c r="G2981" s="529">
        <v>20.97</v>
      </c>
      <c r="H2981" s="487">
        <f t="shared" si="1195"/>
        <v>16.78</v>
      </c>
      <c r="I2981" s="706"/>
      <c r="J2981" s="669" t="s">
        <v>5805</v>
      </c>
      <c r="K2981" s="23"/>
      <c r="L2981" s="70" t="str">
        <f t="shared" si="1196"/>
        <v/>
      </c>
      <c r="M2981" s="49">
        <f t="shared" si="1197"/>
        <v>20.97</v>
      </c>
      <c r="N2981" s="41">
        <f t="shared" si="1198"/>
        <v>9.09</v>
      </c>
      <c r="O2981" s="61"/>
      <c r="P2981" s="65"/>
      <c r="Q2981" s="65"/>
      <c r="R2981" s="58" t="s">
        <v>1017</v>
      </c>
      <c r="T2981" s="65"/>
      <c r="U2981" s="65"/>
      <c r="W2981" s="65"/>
      <c r="Y2981" s="12" t="s">
        <v>1017</v>
      </c>
      <c r="Z2981" s="65"/>
      <c r="AA2981" s="53"/>
      <c r="AD2981" s="53" t="s">
        <v>1017</v>
      </c>
    </row>
    <row r="2982" spans="1:30" s="12" customFormat="1" x14ac:dyDescent="0.25">
      <c r="A2982" s="610" t="s">
        <v>1227</v>
      </c>
      <c r="B2982" s="17" t="s">
        <v>5548</v>
      </c>
      <c r="C2982" s="30" t="s">
        <v>2385</v>
      </c>
      <c r="D2982" s="17" t="s">
        <v>4383</v>
      </c>
      <c r="E2982" s="17" t="s">
        <v>4812</v>
      </c>
      <c r="F2982" s="454">
        <v>23.94</v>
      </c>
      <c r="G2982" s="529">
        <v>23.94</v>
      </c>
      <c r="H2982" s="487">
        <f t="shared" si="1195"/>
        <v>19.149999999999999</v>
      </c>
      <c r="I2982" s="706"/>
      <c r="J2982" s="669" t="s">
        <v>5805</v>
      </c>
      <c r="K2982" s="23"/>
      <c r="L2982" s="70" t="str">
        <f t="shared" si="1196"/>
        <v/>
      </c>
      <c r="M2982" s="49">
        <f t="shared" si="1197"/>
        <v>23.94</v>
      </c>
      <c r="N2982" s="41">
        <f t="shared" si="1198"/>
        <v>9.09</v>
      </c>
      <c r="O2982" s="43" t="s">
        <v>1017</v>
      </c>
      <c r="P2982" s="65"/>
      <c r="Q2982" s="65"/>
      <c r="R2982" s="58" t="s">
        <v>1017</v>
      </c>
      <c r="T2982" s="65"/>
      <c r="U2982" s="65"/>
      <c r="W2982" s="65"/>
      <c r="Y2982" s="12" t="s">
        <v>1017</v>
      </c>
      <c r="Z2982" s="65"/>
      <c r="AA2982" s="53"/>
      <c r="AD2982" s="53" t="s">
        <v>1017</v>
      </c>
    </row>
    <row r="2983" spans="1:30" s="12" customFormat="1" x14ac:dyDescent="0.25">
      <c r="A2983" s="610" t="s">
        <v>1228</v>
      </c>
      <c r="B2983" s="17" t="s">
        <v>5548</v>
      </c>
      <c r="C2983" s="30" t="s">
        <v>2385</v>
      </c>
      <c r="D2983" s="17" t="s">
        <v>4394</v>
      </c>
      <c r="E2983" s="17" t="s">
        <v>4810</v>
      </c>
      <c r="F2983" s="454">
        <v>18.989999999999998</v>
      </c>
      <c r="G2983" s="529">
        <v>18.989999999999998</v>
      </c>
      <c r="H2983" s="487">
        <f t="shared" si="1195"/>
        <v>15.19</v>
      </c>
      <c r="I2983" s="706"/>
      <c r="J2983" s="669" t="s">
        <v>5805</v>
      </c>
      <c r="K2983" s="23"/>
      <c r="L2983" s="70" t="str">
        <f t="shared" si="1196"/>
        <v/>
      </c>
      <c r="M2983" s="49">
        <f t="shared" si="1197"/>
        <v>18.990000000000002</v>
      </c>
      <c r="N2983" s="41">
        <f t="shared" si="1198"/>
        <v>9.09</v>
      </c>
      <c r="O2983" s="61"/>
      <c r="P2983" s="65"/>
      <c r="Q2983" s="65"/>
      <c r="R2983" s="58"/>
      <c r="T2983" s="65"/>
      <c r="U2983" s="65"/>
      <c r="W2983" s="65"/>
      <c r="X2983" s="12" t="s">
        <v>1017</v>
      </c>
      <c r="Z2983" s="65"/>
      <c r="AA2983" s="53"/>
      <c r="AD2983" s="53" t="s">
        <v>1017</v>
      </c>
    </row>
    <row r="2984" spans="1:30" s="12" customFormat="1" x14ac:dyDescent="0.25">
      <c r="A2984" s="610" t="s">
        <v>1229</v>
      </c>
      <c r="B2984" s="17" t="s">
        <v>5548</v>
      </c>
      <c r="C2984" s="30" t="s">
        <v>2385</v>
      </c>
      <c r="D2984" s="17" t="s">
        <v>5572</v>
      </c>
      <c r="E2984" s="17" t="s">
        <v>4812</v>
      </c>
      <c r="F2984" s="454">
        <v>21.96</v>
      </c>
      <c r="G2984" s="529">
        <v>21.96</v>
      </c>
      <c r="H2984" s="487">
        <f t="shared" si="1195"/>
        <v>17.57</v>
      </c>
      <c r="I2984" s="706"/>
      <c r="J2984" s="669" t="s">
        <v>5805</v>
      </c>
      <c r="K2984" s="23"/>
      <c r="L2984" s="70" t="str">
        <f t="shared" si="1196"/>
        <v/>
      </c>
      <c r="M2984" s="49">
        <f t="shared" si="1197"/>
        <v>21.96</v>
      </c>
      <c r="N2984" s="41">
        <f t="shared" si="1198"/>
        <v>9.09</v>
      </c>
      <c r="O2984" s="43" t="s">
        <v>1017</v>
      </c>
      <c r="P2984" s="65"/>
      <c r="Q2984" s="65"/>
      <c r="R2984" s="58"/>
      <c r="T2984" s="65"/>
      <c r="U2984" s="65"/>
      <c r="W2984" s="65"/>
      <c r="X2984" s="12" t="s">
        <v>1017</v>
      </c>
      <c r="Z2984" s="65"/>
      <c r="AA2984" s="53"/>
      <c r="AD2984" s="53" t="s">
        <v>1017</v>
      </c>
    </row>
    <row r="2985" spans="1:30" s="12" customFormat="1" x14ac:dyDescent="0.25">
      <c r="A2985" s="610" t="s">
        <v>1230</v>
      </c>
      <c r="B2985" s="17" t="s">
        <v>5548</v>
      </c>
      <c r="C2985" s="30" t="s">
        <v>2385</v>
      </c>
      <c r="D2985" s="17" t="s">
        <v>4782</v>
      </c>
      <c r="E2985" s="17" t="s">
        <v>4810</v>
      </c>
      <c r="F2985" s="454">
        <v>19.98</v>
      </c>
      <c r="G2985" s="529">
        <v>19.98</v>
      </c>
      <c r="H2985" s="487">
        <f t="shared" si="1195"/>
        <v>15.98</v>
      </c>
      <c r="I2985" s="706"/>
      <c r="J2985" s="669" t="s">
        <v>5805</v>
      </c>
      <c r="K2985" s="23"/>
      <c r="L2985" s="70" t="str">
        <f t="shared" si="1196"/>
        <v/>
      </c>
      <c r="M2985" s="49">
        <f t="shared" si="1197"/>
        <v>19.98</v>
      </c>
      <c r="N2985" s="41">
        <f t="shared" si="1198"/>
        <v>9.09</v>
      </c>
      <c r="O2985" s="61"/>
      <c r="P2985" s="65"/>
      <c r="Q2985" s="65"/>
      <c r="R2985" s="58" t="s">
        <v>1017</v>
      </c>
      <c r="T2985" s="65"/>
      <c r="U2985" s="65"/>
      <c r="W2985" s="65"/>
      <c r="X2985" s="12" t="s">
        <v>1017</v>
      </c>
      <c r="Z2985" s="65"/>
      <c r="AA2985" s="53"/>
      <c r="AD2985" s="53" t="s">
        <v>1017</v>
      </c>
    </row>
    <row r="2986" spans="1:30" s="12" customFormat="1" x14ac:dyDescent="0.25">
      <c r="A2986" s="610" t="s">
        <v>1231</v>
      </c>
      <c r="B2986" s="17" t="s">
        <v>5548</v>
      </c>
      <c r="C2986" s="30" t="s">
        <v>2385</v>
      </c>
      <c r="D2986" s="17" t="s">
        <v>5573</v>
      </c>
      <c r="E2986" s="17" t="s">
        <v>4812</v>
      </c>
      <c r="F2986" s="454">
        <v>22.95</v>
      </c>
      <c r="G2986" s="529">
        <v>22.95</v>
      </c>
      <c r="H2986" s="487">
        <f t="shared" si="1195"/>
        <v>18.36</v>
      </c>
      <c r="I2986" s="706"/>
      <c r="J2986" s="669" t="s">
        <v>5805</v>
      </c>
      <c r="K2986" s="23"/>
      <c r="L2986" s="70" t="str">
        <f t="shared" si="1196"/>
        <v/>
      </c>
      <c r="M2986" s="49">
        <f t="shared" si="1197"/>
        <v>22.95</v>
      </c>
      <c r="N2986" s="41">
        <f t="shared" si="1198"/>
        <v>9.09</v>
      </c>
      <c r="O2986" s="43" t="s">
        <v>1017</v>
      </c>
      <c r="P2986" s="65"/>
      <c r="Q2986" s="65"/>
      <c r="R2986" s="58" t="s">
        <v>1017</v>
      </c>
      <c r="T2986" s="65"/>
      <c r="U2986" s="65"/>
      <c r="W2986" s="65"/>
      <c r="X2986" s="12" t="s">
        <v>1017</v>
      </c>
      <c r="Z2986" s="65"/>
      <c r="AA2986" s="53"/>
      <c r="AD2986" s="53" t="s">
        <v>1017</v>
      </c>
    </row>
    <row r="2987" spans="1:30" s="12" customFormat="1" x14ac:dyDescent="0.25">
      <c r="A2987" s="610" t="s">
        <v>1232</v>
      </c>
      <c r="B2987" s="17" t="s">
        <v>5548</v>
      </c>
      <c r="C2987" s="30" t="s">
        <v>2385</v>
      </c>
      <c r="D2987" s="17" t="s">
        <v>2124</v>
      </c>
      <c r="E2987" s="17" t="s">
        <v>4810</v>
      </c>
      <c r="F2987" s="454">
        <v>20.97</v>
      </c>
      <c r="G2987" s="529">
        <v>20.97</v>
      </c>
      <c r="H2987" s="487">
        <f t="shared" si="1195"/>
        <v>16.78</v>
      </c>
      <c r="I2987" s="706"/>
      <c r="J2987" s="669" t="s">
        <v>5805</v>
      </c>
      <c r="K2987" s="23"/>
      <c r="L2987" s="70" t="str">
        <f t="shared" si="1196"/>
        <v/>
      </c>
      <c r="M2987" s="49">
        <f t="shared" si="1197"/>
        <v>20.97</v>
      </c>
      <c r="N2987" s="41">
        <f t="shared" si="1198"/>
        <v>9.09</v>
      </c>
      <c r="O2987" s="61"/>
      <c r="P2987" s="65"/>
      <c r="Q2987" s="65"/>
      <c r="R2987" s="58"/>
      <c r="T2987" s="65"/>
      <c r="U2987" s="65"/>
      <c r="W2987" s="65"/>
      <c r="Z2987" s="65"/>
      <c r="AA2987" s="53" t="s">
        <v>1017</v>
      </c>
      <c r="AD2987" s="53" t="s">
        <v>1017</v>
      </c>
    </row>
    <row r="2988" spans="1:30" s="12" customFormat="1" x14ac:dyDescent="0.25">
      <c r="A2988" s="610" t="s">
        <v>1233</v>
      </c>
      <c r="B2988" s="17" t="s">
        <v>5548</v>
      </c>
      <c r="C2988" s="30" t="s">
        <v>2385</v>
      </c>
      <c r="D2988" s="17" t="s">
        <v>2722</v>
      </c>
      <c r="E2988" s="17" t="s">
        <v>4812</v>
      </c>
      <c r="F2988" s="454">
        <v>23.94</v>
      </c>
      <c r="G2988" s="529">
        <v>23.94</v>
      </c>
      <c r="H2988" s="487">
        <f t="shared" si="1195"/>
        <v>19.149999999999999</v>
      </c>
      <c r="I2988" s="706"/>
      <c r="J2988" s="669" t="s">
        <v>5805</v>
      </c>
      <c r="K2988" s="23"/>
      <c r="L2988" s="70" t="str">
        <f t="shared" si="1196"/>
        <v/>
      </c>
      <c r="M2988" s="49">
        <f t="shared" si="1197"/>
        <v>23.94</v>
      </c>
      <c r="N2988" s="41">
        <f t="shared" si="1198"/>
        <v>9.09</v>
      </c>
      <c r="O2988" s="43" t="s">
        <v>1017</v>
      </c>
      <c r="P2988" s="65"/>
      <c r="Q2988" s="65"/>
      <c r="R2988" s="58"/>
      <c r="T2988" s="65"/>
      <c r="U2988" s="65"/>
      <c r="W2988" s="65"/>
      <c r="Z2988" s="65"/>
      <c r="AA2988" s="53" t="s">
        <v>1017</v>
      </c>
      <c r="AD2988" s="53" t="s">
        <v>1017</v>
      </c>
    </row>
    <row r="2989" spans="1:30" s="12" customFormat="1" x14ac:dyDescent="0.25">
      <c r="A2989" s="610" t="s">
        <v>1234</v>
      </c>
      <c r="B2989" s="17" t="s">
        <v>5548</v>
      </c>
      <c r="C2989" s="30" t="s">
        <v>2385</v>
      </c>
      <c r="D2989" s="17" t="s">
        <v>3193</v>
      </c>
      <c r="E2989" s="17" t="s">
        <v>4810</v>
      </c>
      <c r="F2989" s="454">
        <v>21.96</v>
      </c>
      <c r="G2989" s="529">
        <v>21.96</v>
      </c>
      <c r="H2989" s="487">
        <f t="shared" si="1195"/>
        <v>17.57</v>
      </c>
      <c r="I2989" s="706"/>
      <c r="J2989" s="669" t="s">
        <v>5805</v>
      </c>
      <c r="K2989" s="23"/>
      <c r="L2989" s="70" t="str">
        <f t="shared" si="1196"/>
        <v/>
      </c>
      <c r="M2989" s="49">
        <f t="shared" si="1197"/>
        <v>21.96</v>
      </c>
      <c r="N2989" s="41">
        <f t="shared" si="1198"/>
        <v>9.09</v>
      </c>
      <c r="O2989" s="61"/>
      <c r="P2989" s="65"/>
      <c r="Q2989" s="65"/>
      <c r="R2989" s="58" t="s">
        <v>1017</v>
      </c>
      <c r="T2989" s="65"/>
      <c r="U2989" s="65"/>
      <c r="W2989" s="65"/>
      <c r="Z2989" s="65"/>
      <c r="AA2989" s="53" t="s">
        <v>1017</v>
      </c>
      <c r="AD2989" s="53" t="s">
        <v>1017</v>
      </c>
    </row>
    <row r="2990" spans="1:30" s="12" customFormat="1" x14ac:dyDescent="0.25">
      <c r="A2990" s="610" t="s">
        <v>1235</v>
      </c>
      <c r="B2990" s="17" t="s">
        <v>5548</v>
      </c>
      <c r="C2990" s="30" t="s">
        <v>2385</v>
      </c>
      <c r="D2990" s="17" t="s">
        <v>4384</v>
      </c>
      <c r="E2990" s="17" t="s">
        <v>4812</v>
      </c>
      <c r="F2990" s="454">
        <v>24.93</v>
      </c>
      <c r="G2990" s="529">
        <v>24.93</v>
      </c>
      <c r="H2990" s="487">
        <f t="shared" si="1195"/>
        <v>19.940000000000001</v>
      </c>
      <c r="I2990" s="706"/>
      <c r="J2990" s="669" t="s">
        <v>5805</v>
      </c>
      <c r="K2990" s="23"/>
      <c r="L2990" s="70" t="str">
        <f t="shared" si="1196"/>
        <v/>
      </c>
      <c r="M2990" s="49">
        <f t="shared" si="1197"/>
        <v>24.93</v>
      </c>
      <c r="N2990" s="41">
        <f t="shared" si="1198"/>
        <v>9.09</v>
      </c>
      <c r="O2990" s="43" t="s">
        <v>1017</v>
      </c>
      <c r="P2990" s="65"/>
      <c r="Q2990" s="65"/>
      <c r="R2990" s="58" t="s">
        <v>1017</v>
      </c>
      <c r="T2990" s="65"/>
      <c r="U2990" s="65"/>
      <c r="W2990" s="65"/>
      <c r="Z2990" s="65"/>
      <c r="AA2990" s="53" t="s">
        <v>1017</v>
      </c>
      <c r="AD2990" s="53" t="s">
        <v>1017</v>
      </c>
    </row>
    <row r="2991" spans="1:30" s="12" customFormat="1" x14ac:dyDescent="0.25">
      <c r="A2991" s="610" t="s">
        <v>1236</v>
      </c>
      <c r="B2991" s="17" t="s">
        <v>5548</v>
      </c>
      <c r="C2991" s="30" t="s">
        <v>2385</v>
      </c>
      <c r="D2991" s="17" t="s">
        <v>5408</v>
      </c>
      <c r="E2991" s="17" t="s">
        <v>4810</v>
      </c>
      <c r="F2991" s="454">
        <v>8.17</v>
      </c>
      <c r="G2991" s="529">
        <v>8.17</v>
      </c>
      <c r="H2991" s="487">
        <f t="shared" ref="H2991:H3015" si="1199">IF(ISNUMBER(G2991),ROUND(0.8*G2991,2),"")</f>
        <v>6.54</v>
      </c>
      <c r="I2991" s="706"/>
      <c r="J2991" s="669" t="s">
        <v>5805</v>
      </c>
      <c r="K2991" s="23"/>
      <c r="L2991" s="70" t="str">
        <f t="shared" ref="L2991:L3015" si="1200">IF(F2991=M2991,"",FALSE)</f>
        <v/>
      </c>
      <c r="M2991" s="49">
        <f t="shared" ref="M2991:M3015" si="1201">N2991+SUMIF(O2991:AD2991,"x",O$2798:AD$2798)</f>
        <v>8.17</v>
      </c>
      <c r="N2991" s="41">
        <f t="shared" ref="N2991:N3015" si="1202">ROUND(N2768*(1-$AE$2797),2)</f>
        <v>8.17</v>
      </c>
      <c r="O2991" s="61"/>
      <c r="P2991" s="65"/>
      <c r="Q2991" s="65"/>
      <c r="R2991" s="75"/>
      <c r="S2991" s="65"/>
      <c r="V2991" s="65"/>
      <c r="W2991" s="65"/>
      <c r="X2991" s="65"/>
      <c r="Y2991" s="65"/>
      <c r="Z2991" s="65"/>
      <c r="AA2991" s="67"/>
      <c r="AD2991" s="53"/>
    </row>
    <row r="2992" spans="1:30" s="12" customFormat="1" x14ac:dyDescent="0.25">
      <c r="A2992" s="610" t="s">
        <v>1237</v>
      </c>
      <c r="B2992" s="17" t="s">
        <v>5548</v>
      </c>
      <c r="C2992" s="30" t="s">
        <v>2385</v>
      </c>
      <c r="D2992" s="17" t="s">
        <v>2904</v>
      </c>
      <c r="E2992" s="17" t="s">
        <v>4812</v>
      </c>
      <c r="F2992" s="454">
        <v>11.14</v>
      </c>
      <c r="G2992" s="529">
        <v>11.14</v>
      </c>
      <c r="H2992" s="487">
        <f t="shared" si="1199"/>
        <v>8.91</v>
      </c>
      <c r="I2992" s="706"/>
      <c r="J2992" s="669" t="s">
        <v>5805</v>
      </c>
      <c r="K2992" s="23"/>
      <c r="L2992" s="70" t="str">
        <f t="shared" si="1200"/>
        <v/>
      </c>
      <c r="M2992" s="49">
        <f t="shared" si="1201"/>
        <v>11.14</v>
      </c>
      <c r="N2992" s="41">
        <f t="shared" si="1202"/>
        <v>8.17</v>
      </c>
      <c r="O2992" s="43" t="s">
        <v>1017</v>
      </c>
      <c r="P2992" s="65"/>
      <c r="Q2992" s="65"/>
      <c r="R2992" s="75"/>
      <c r="S2992" s="65"/>
      <c r="V2992" s="65"/>
      <c r="W2992" s="65"/>
      <c r="X2992" s="65"/>
      <c r="Y2992" s="65"/>
      <c r="Z2992" s="65"/>
      <c r="AA2992" s="67"/>
      <c r="AD2992" s="53"/>
    </row>
    <row r="2993" spans="1:30" s="12" customFormat="1" x14ac:dyDescent="0.25">
      <c r="A2993" s="610" t="s">
        <v>1238</v>
      </c>
      <c r="B2993" s="17" t="s">
        <v>5548</v>
      </c>
      <c r="C2993" s="30" t="s">
        <v>2385</v>
      </c>
      <c r="D2993" s="17" t="s">
        <v>598</v>
      </c>
      <c r="E2993" s="17" t="s">
        <v>4810</v>
      </c>
      <c r="F2993" s="454">
        <v>12.13</v>
      </c>
      <c r="G2993" s="529">
        <v>12.13</v>
      </c>
      <c r="H2993" s="487">
        <f t="shared" si="1199"/>
        <v>9.6999999999999993</v>
      </c>
      <c r="I2993" s="706"/>
      <c r="J2993" s="669" t="s">
        <v>5805</v>
      </c>
      <c r="K2993" s="23"/>
      <c r="L2993" s="70" t="str">
        <f t="shared" si="1200"/>
        <v/>
      </c>
      <c r="M2993" s="49">
        <f t="shared" si="1201"/>
        <v>12.129999999999999</v>
      </c>
      <c r="N2993" s="41">
        <f t="shared" si="1202"/>
        <v>8.17</v>
      </c>
      <c r="O2993" s="61"/>
      <c r="P2993" s="65"/>
      <c r="Q2993" s="65"/>
      <c r="R2993" s="75"/>
      <c r="S2993" s="65"/>
      <c r="T2993" s="12" t="s">
        <v>1017</v>
      </c>
      <c r="V2993" s="65"/>
      <c r="W2993" s="65"/>
      <c r="X2993" s="65"/>
      <c r="Y2993" s="65"/>
      <c r="Z2993" s="65"/>
      <c r="AA2993" s="67"/>
      <c r="AD2993" s="53"/>
    </row>
    <row r="2994" spans="1:30" s="12" customFormat="1" x14ac:dyDescent="0.25">
      <c r="A2994" s="610" t="s">
        <v>1239</v>
      </c>
      <c r="B2994" s="17" t="s">
        <v>5548</v>
      </c>
      <c r="C2994" s="30" t="s">
        <v>2385</v>
      </c>
      <c r="D2994" s="17" t="s">
        <v>3202</v>
      </c>
      <c r="E2994" s="17" t="s">
        <v>4812</v>
      </c>
      <c r="F2994" s="454">
        <v>15.1</v>
      </c>
      <c r="G2994" s="529">
        <v>15.1</v>
      </c>
      <c r="H2994" s="487">
        <f t="shared" si="1199"/>
        <v>12.08</v>
      </c>
      <c r="I2994" s="706"/>
      <c r="J2994" s="669" t="s">
        <v>5805</v>
      </c>
      <c r="K2994" s="23"/>
      <c r="L2994" s="70" t="str">
        <f t="shared" si="1200"/>
        <v/>
      </c>
      <c r="M2994" s="49">
        <f t="shared" si="1201"/>
        <v>15.1</v>
      </c>
      <c r="N2994" s="41">
        <f t="shared" si="1202"/>
        <v>8.17</v>
      </c>
      <c r="O2994" s="43" t="s">
        <v>1017</v>
      </c>
      <c r="P2994" s="65"/>
      <c r="Q2994" s="65"/>
      <c r="R2994" s="75"/>
      <c r="S2994" s="65"/>
      <c r="T2994" s="12" t="s">
        <v>1017</v>
      </c>
      <c r="V2994" s="65"/>
      <c r="W2994" s="65"/>
      <c r="X2994" s="65"/>
      <c r="Y2994" s="65"/>
      <c r="Z2994" s="65"/>
      <c r="AA2994" s="67"/>
      <c r="AD2994" s="53"/>
    </row>
    <row r="2995" spans="1:30" s="12" customFormat="1" x14ac:dyDescent="0.25">
      <c r="A2995" s="610" t="s">
        <v>1240</v>
      </c>
      <c r="B2995" s="17" t="s">
        <v>5548</v>
      </c>
      <c r="C2995" s="30" t="s">
        <v>2385</v>
      </c>
      <c r="D2995" s="17" t="s">
        <v>599</v>
      </c>
      <c r="E2995" s="17" t="s">
        <v>4810</v>
      </c>
      <c r="F2995" s="454">
        <v>10.65</v>
      </c>
      <c r="G2995" s="529">
        <v>10.65</v>
      </c>
      <c r="H2995" s="487">
        <f t="shared" si="1199"/>
        <v>8.52</v>
      </c>
      <c r="I2995" s="706"/>
      <c r="J2995" s="669" t="s">
        <v>5805</v>
      </c>
      <c r="K2995" s="23"/>
      <c r="L2995" s="70" t="str">
        <f t="shared" si="1200"/>
        <v/>
      </c>
      <c r="M2995" s="49">
        <f t="shared" si="1201"/>
        <v>10.65</v>
      </c>
      <c r="N2995" s="41">
        <f t="shared" si="1202"/>
        <v>8.17</v>
      </c>
      <c r="O2995" s="61"/>
      <c r="P2995" s="65"/>
      <c r="Q2995" s="65"/>
      <c r="R2995" s="75"/>
      <c r="S2995" s="65"/>
      <c r="U2995" s="12" t="s">
        <v>1017</v>
      </c>
      <c r="V2995" s="65"/>
      <c r="W2995" s="65"/>
      <c r="X2995" s="65"/>
      <c r="Y2995" s="65"/>
      <c r="Z2995" s="65"/>
      <c r="AA2995" s="67"/>
      <c r="AD2995" s="53"/>
    </row>
    <row r="2996" spans="1:30" s="12" customFormat="1" x14ac:dyDescent="0.25">
      <c r="A2996" s="610" t="s">
        <v>1241</v>
      </c>
      <c r="B2996" s="17" t="s">
        <v>5548</v>
      </c>
      <c r="C2996" s="30" t="s">
        <v>2385</v>
      </c>
      <c r="D2996" s="17" t="s">
        <v>3203</v>
      </c>
      <c r="E2996" s="17" t="s">
        <v>4812</v>
      </c>
      <c r="F2996" s="454">
        <v>13.62</v>
      </c>
      <c r="G2996" s="529">
        <v>13.62</v>
      </c>
      <c r="H2996" s="487">
        <f t="shared" si="1199"/>
        <v>10.9</v>
      </c>
      <c r="I2996" s="706"/>
      <c r="J2996" s="669" t="s">
        <v>5805</v>
      </c>
      <c r="K2996" s="23"/>
      <c r="L2996" s="70" t="str">
        <f t="shared" si="1200"/>
        <v/>
      </c>
      <c r="M2996" s="49">
        <f t="shared" si="1201"/>
        <v>13.620000000000001</v>
      </c>
      <c r="N2996" s="41">
        <f t="shared" si="1202"/>
        <v>8.17</v>
      </c>
      <c r="O2996" s="43" t="s">
        <v>1017</v>
      </c>
      <c r="P2996" s="65"/>
      <c r="Q2996" s="65"/>
      <c r="R2996" s="75"/>
      <c r="S2996" s="65"/>
      <c r="U2996" s="12" t="s">
        <v>1017</v>
      </c>
      <c r="V2996" s="65"/>
      <c r="W2996" s="65"/>
      <c r="X2996" s="65"/>
      <c r="Y2996" s="65"/>
      <c r="Z2996" s="65"/>
      <c r="AA2996" s="67"/>
      <c r="AD2996" s="53"/>
    </row>
    <row r="2997" spans="1:30" s="12" customFormat="1" x14ac:dyDescent="0.25">
      <c r="A2997" s="610" t="s">
        <v>1242</v>
      </c>
      <c r="B2997" s="17" t="s">
        <v>5548</v>
      </c>
      <c r="C2997" s="30" t="s">
        <v>2385</v>
      </c>
      <c r="D2997" s="17" t="s">
        <v>2907</v>
      </c>
      <c r="E2997" s="17" t="s">
        <v>4810</v>
      </c>
      <c r="F2997" s="454">
        <v>10.15</v>
      </c>
      <c r="G2997" s="529">
        <v>10.15</v>
      </c>
      <c r="H2997" s="487">
        <f t="shared" si="1199"/>
        <v>8.1199999999999992</v>
      </c>
      <c r="I2997" s="706"/>
      <c r="J2997" s="669" t="s">
        <v>5805</v>
      </c>
      <c r="K2997" s="23"/>
      <c r="L2997" s="70" t="str">
        <f t="shared" si="1200"/>
        <v/>
      </c>
      <c r="M2997" s="49">
        <f t="shared" si="1201"/>
        <v>10.15</v>
      </c>
      <c r="N2997" s="41">
        <f t="shared" si="1202"/>
        <v>8.17</v>
      </c>
      <c r="O2997" s="61"/>
      <c r="P2997" s="65"/>
      <c r="Q2997" s="65"/>
      <c r="R2997" s="75"/>
      <c r="S2997" s="65"/>
      <c r="V2997" s="65"/>
      <c r="W2997" s="65"/>
      <c r="X2997" s="65"/>
      <c r="Y2997" s="65"/>
      <c r="Z2997" s="65"/>
      <c r="AA2997" s="67"/>
      <c r="AB2997" s="12" t="s">
        <v>1017</v>
      </c>
      <c r="AD2997" s="53"/>
    </row>
    <row r="2998" spans="1:30" s="12" customFormat="1" x14ac:dyDescent="0.25">
      <c r="A2998" s="610" t="s">
        <v>1243</v>
      </c>
      <c r="B2998" s="17" t="s">
        <v>5548</v>
      </c>
      <c r="C2998" s="30" t="s">
        <v>2385</v>
      </c>
      <c r="D2998" s="17" t="s">
        <v>3196</v>
      </c>
      <c r="E2998" s="17" t="s">
        <v>4812</v>
      </c>
      <c r="F2998" s="454">
        <v>13.12</v>
      </c>
      <c r="G2998" s="529">
        <v>13.12</v>
      </c>
      <c r="H2998" s="487">
        <f t="shared" si="1199"/>
        <v>10.5</v>
      </c>
      <c r="I2998" s="706"/>
      <c r="J2998" s="669" t="s">
        <v>5805</v>
      </c>
      <c r="K2998" s="23"/>
      <c r="L2998" s="70" t="str">
        <f t="shared" si="1200"/>
        <v/>
      </c>
      <c r="M2998" s="49">
        <f t="shared" si="1201"/>
        <v>13.120000000000001</v>
      </c>
      <c r="N2998" s="41">
        <f t="shared" si="1202"/>
        <v>8.17</v>
      </c>
      <c r="O2998" s="43" t="s">
        <v>1017</v>
      </c>
      <c r="P2998" s="65"/>
      <c r="Q2998" s="65"/>
      <c r="R2998" s="75"/>
      <c r="S2998" s="65"/>
      <c r="V2998" s="65"/>
      <c r="W2998" s="65"/>
      <c r="X2998" s="65"/>
      <c r="Y2998" s="65"/>
      <c r="Z2998" s="65"/>
      <c r="AA2998" s="67"/>
      <c r="AB2998" s="12" t="s">
        <v>1017</v>
      </c>
      <c r="AD2998" s="53"/>
    </row>
    <row r="2999" spans="1:30" s="12" customFormat="1" x14ac:dyDescent="0.25">
      <c r="A2999" s="610" t="s">
        <v>1244</v>
      </c>
      <c r="B2999" s="17" t="s">
        <v>5548</v>
      </c>
      <c r="C2999" s="30" t="s">
        <v>2385</v>
      </c>
      <c r="D2999" s="17" t="s">
        <v>3290</v>
      </c>
      <c r="E2999" s="17" t="s">
        <v>4810</v>
      </c>
      <c r="F2999" s="454">
        <v>14.11</v>
      </c>
      <c r="G2999" s="529">
        <v>14.11</v>
      </c>
      <c r="H2999" s="487">
        <f t="shared" si="1199"/>
        <v>11.29</v>
      </c>
      <c r="I2999" s="706"/>
      <c r="J2999" s="669" t="s">
        <v>5805</v>
      </c>
      <c r="K2999" s="23"/>
      <c r="L2999" s="70" t="str">
        <f t="shared" si="1200"/>
        <v/>
      </c>
      <c r="M2999" s="49">
        <f t="shared" si="1201"/>
        <v>14.11</v>
      </c>
      <c r="N2999" s="41">
        <f t="shared" si="1202"/>
        <v>8.17</v>
      </c>
      <c r="O2999" s="61"/>
      <c r="P2999" s="65"/>
      <c r="Q2999" s="65"/>
      <c r="R2999" s="75"/>
      <c r="S2999" s="65"/>
      <c r="T2999" s="12" t="s">
        <v>1017</v>
      </c>
      <c r="V2999" s="65"/>
      <c r="W2999" s="65"/>
      <c r="X2999" s="65"/>
      <c r="Y2999" s="65"/>
      <c r="Z2999" s="65"/>
      <c r="AA2999" s="67"/>
      <c r="AB2999" s="12" t="s">
        <v>1017</v>
      </c>
      <c r="AD2999" s="53"/>
    </row>
    <row r="3000" spans="1:30" s="12" customFormat="1" x14ac:dyDescent="0.25">
      <c r="A3000" s="610" t="s">
        <v>1245</v>
      </c>
      <c r="B3000" s="17" t="s">
        <v>5548</v>
      </c>
      <c r="C3000" s="30" t="s">
        <v>2385</v>
      </c>
      <c r="D3000" s="17" t="s">
        <v>5561</v>
      </c>
      <c r="E3000" s="17" t="s">
        <v>4812</v>
      </c>
      <c r="F3000" s="454">
        <v>17.079999999999998</v>
      </c>
      <c r="G3000" s="529">
        <v>17.079999999999998</v>
      </c>
      <c r="H3000" s="487">
        <f t="shared" si="1199"/>
        <v>13.66</v>
      </c>
      <c r="I3000" s="706"/>
      <c r="J3000" s="669" t="s">
        <v>5805</v>
      </c>
      <c r="K3000" s="23"/>
      <c r="L3000" s="70" t="str">
        <f t="shared" si="1200"/>
        <v/>
      </c>
      <c r="M3000" s="49">
        <f t="shared" si="1201"/>
        <v>17.079999999999998</v>
      </c>
      <c r="N3000" s="41">
        <f t="shared" si="1202"/>
        <v>8.17</v>
      </c>
      <c r="O3000" s="43" t="s">
        <v>1017</v>
      </c>
      <c r="P3000" s="65"/>
      <c r="Q3000" s="65"/>
      <c r="R3000" s="75"/>
      <c r="S3000" s="65"/>
      <c r="T3000" s="12" t="s">
        <v>1017</v>
      </c>
      <c r="V3000" s="65"/>
      <c r="W3000" s="65"/>
      <c r="X3000" s="65"/>
      <c r="Y3000" s="65"/>
      <c r="Z3000" s="65"/>
      <c r="AA3000" s="67"/>
      <c r="AB3000" s="12" t="s">
        <v>1017</v>
      </c>
      <c r="AD3000" s="53"/>
    </row>
    <row r="3001" spans="1:30" s="12" customFormat="1" x14ac:dyDescent="0.25">
      <c r="A3001" s="610" t="s">
        <v>1246</v>
      </c>
      <c r="B3001" s="17" t="s">
        <v>5548</v>
      </c>
      <c r="C3001" s="30" t="s">
        <v>2385</v>
      </c>
      <c r="D3001" s="17" t="s">
        <v>2366</v>
      </c>
      <c r="E3001" s="17" t="s">
        <v>4810</v>
      </c>
      <c r="F3001" s="454">
        <v>12.63</v>
      </c>
      <c r="G3001" s="529">
        <v>12.63</v>
      </c>
      <c r="H3001" s="487">
        <f t="shared" si="1199"/>
        <v>10.1</v>
      </c>
      <c r="I3001" s="706"/>
      <c r="J3001" s="669" t="s">
        <v>5805</v>
      </c>
      <c r="K3001" s="23"/>
      <c r="L3001" s="70" t="str">
        <f t="shared" si="1200"/>
        <v/>
      </c>
      <c r="M3001" s="49">
        <f t="shared" si="1201"/>
        <v>12.629999999999999</v>
      </c>
      <c r="N3001" s="41">
        <f t="shared" si="1202"/>
        <v>8.17</v>
      </c>
      <c r="O3001" s="61"/>
      <c r="P3001" s="65"/>
      <c r="Q3001" s="65"/>
      <c r="R3001" s="75"/>
      <c r="S3001" s="65"/>
      <c r="U3001" s="12" t="s">
        <v>1017</v>
      </c>
      <c r="V3001" s="65"/>
      <c r="W3001" s="65"/>
      <c r="X3001" s="65"/>
      <c r="Y3001" s="65"/>
      <c r="Z3001" s="65"/>
      <c r="AA3001" s="67"/>
      <c r="AB3001" s="12" t="s">
        <v>1017</v>
      </c>
      <c r="AD3001" s="53"/>
    </row>
    <row r="3002" spans="1:30" s="12" customFormat="1" x14ac:dyDescent="0.25">
      <c r="A3002" s="610" t="s">
        <v>1247</v>
      </c>
      <c r="B3002" s="17" t="s">
        <v>5548</v>
      </c>
      <c r="C3002" s="30" t="s">
        <v>2385</v>
      </c>
      <c r="D3002" s="17" t="s">
        <v>5562</v>
      </c>
      <c r="E3002" s="17" t="s">
        <v>4812</v>
      </c>
      <c r="F3002" s="454">
        <v>15.6</v>
      </c>
      <c r="G3002" s="529">
        <v>15.6</v>
      </c>
      <c r="H3002" s="487">
        <f t="shared" si="1199"/>
        <v>12.48</v>
      </c>
      <c r="I3002" s="706"/>
      <c r="J3002" s="669" t="s">
        <v>5805</v>
      </c>
      <c r="K3002" s="23"/>
      <c r="L3002" s="70" t="str">
        <f t="shared" si="1200"/>
        <v/>
      </c>
      <c r="M3002" s="49">
        <f t="shared" si="1201"/>
        <v>15.6</v>
      </c>
      <c r="N3002" s="41">
        <f t="shared" si="1202"/>
        <v>8.17</v>
      </c>
      <c r="O3002" s="43" t="s">
        <v>1017</v>
      </c>
      <c r="P3002" s="65"/>
      <c r="Q3002" s="65"/>
      <c r="R3002" s="75"/>
      <c r="S3002" s="65"/>
      <c r="U3002" s="12" t="s">
        <v>1017</v>
      </c>
      <c r="V3002" s="65"/>
      <c r="W3002" s="65"/>
      <c r="X3002" s="65"/>
      <c r="Y3002" s="65"/>
      <c r="Z3002" s="65"/>
      <c r="AA3002" s="67"/>
      <c r="AB3002" s="12" t="s">
        <v>1017</v>
      </c>
      <c r="AD3002" s="53"/>
    </row>
    <row r="3003" spans="1:30" s="12" customFormat="1" x14ac:dyDescent="0.25">
      <c r="A3003" s="610" t="s">
        <v>1248</v>
      </c>
      <c r="B3003" s="17" t="s">
        <v>5548</v>
      </c>
      <c r="C3003" s="30" t="s">
        <v>2385</v>
      </c>
      <c r="D3003" s="17" t="s">
        <v>594</v>
      </c>
      <c r="E3003" s="17" t="s">
        <v>4810</v>
      </c>
      <c r="F3003" s="454">
        <v>9.16</v>
      </c>
      <c r="G3003" s="529">
        <v>9.16</v>
      </c>
      <c r="H3003" s="487">
        <f t="shared" si="1199"/>
        <v>7.33</v>
      </c>
      <c r="I3003" s="706"/>
      <c r="J3003" s="669" t="s">
        <v>5805</v>
      </c>
      <c r="K3003" s="23"/>
      <c r="L3003" s="70" t="str">
        <f t="shared" si="1200"/>
        <v/>
      </c>
      <c r="M3003" s="49">
        <f t="shared" si="1201"/>
        <v>9.16</v>
      </c>
      <c r="N3003" s="41">
        <f t="shared" si="1202"/>
        <v>8.17</v>
      </c>
      <c r="O3003" s="61"/>
      <c r="P3003" s="65"/>
      <c r="Q3003" s="65"/>
      <c r="R3003" s="75"/>
      <c r="S3003" s="65"/>
      <c r="V3003" s="65"/>
      <c r="W3003" s="65"/>
      <c r="X3003" s="65"/>
      <c r="Y3003" s="65"/>
      <c r="Z3003" s="65"/>
      <c r="AA3003" s="67"/>
      <c r="AC3003" s="12" t="s">
        <v>1017</v>
      </c>
      <c r="AD3003" s="53"/>
    </row>
    <row r="3004" spans="1:30" s="12" customFormat="1" x14ac:dyDescent="0.25">
      <c r="A3004" s="610" t="s">
        <v>1249</v>
      </c>
      <c r="B3004" s="17" t="s">
        <v>5548</v>
      </c>
      <c r="C3004" s="30" t="s">
        <v>2385</v>
      </c>
      <c r="D3004" s="17" t="s">
        <v>3198</v>
      </c>
      <c r="E3004" s="17" t="s">
        <v>4812</v>
      </c>
      <c r="F3004" s="454">
        <v>12.13</v>
      </c>
      <c r="G3004" s="529">
        <v>12.13</v>
      </c>
      <c r="H3004" s="487">
        <f t="shared" si="1199"/>
        <v>9.6999999999999993</v>
      </c>
      <c r="I3004" s="706"/>
      <c r="J3004" s="669" t="s">
        <v>5805</v>
      </c>
      <c r="K3004" s="23"/>
      <c r="L3004" s="70" t="str">
        <f t="shared" si="1200"/>
        <v/>
      </c>
      <c r="M3004" s="49">
        <f t="shared" si="1201"/>
        <v>12.129999999999999</v>
      </c>
      <c r="N3004" s="41">
        <f t="shared" si="1202"/>
        <v>8.17</v>
      </c>
      <c r="O3004" s="43" t="s">
        <v>1017</v>
      </c>
      <c r="P3004" s="65"/>
      <c r="Q3004" s="65"/>
      <c r="R3004" s="75"/>
      <c r="S3004" s="65"/>
      <c r="V3004" s="65"/>
      <c r="W3004" s="65"/>
      <c r="X3004" s="65"/>
      <c r="Y3004" s="65"/>
      <c r="Z3004" s="65"/>
      <c r="AA3004" s="67"/>
      <c r="AC3004" s="12" t="s">
        <v>1017</v>
      </c>
      <c r="AD3004" s="53"/>
    </row>
    <row r="3005" spans="1:30" s="12" customFormat="1" x14ac:dyDescent="0.25">
      <c r="A3005" s="610" t="s">
        <v>1250</v>
      </c>
      <c r="B3005" s="17" t="s">
        <v>5548</v>
      </c>
      <c r="C3005" s="30" t="s">
        <v>2385</v>
      </c>
      <c r="D3005" s="17" t="s">
        <v>3294</v>
      </c>
      <c r="E3005" s="17" t="s">
        <v>4810</v>
      </c>
      <c r="F3005" s="454">
        <v>13.12</v>
      </c>
      <c r="G3005" s="529">
        <v>13.12</v>
      </c>
      <c r="H3005" s="487">
        <f t="shared" si="1199"/>
        <v>10.5</v>
      </c>
      <c r="I3005" s="706"/>
      <c r="J3005" s="669" t="s">
        <v>5805</v>
      </c>
      <c r="K3005" s="23"/>
      <c r="L3005" s="70" t="str">
        <f t="shared" si="1200"/>
        <v/>
      </c>
      <c r="M3005" s="49">
        <f t="shared" si="1201"/>
        <v>13.120000000000001</v>
      </c>
      <c r="N3005" s="41">
        <f t="shared" si="1202"/>
        <v>8.17</v>
      </c>
      <c r="O3005" s="61"/>
      <c r="P3005" s="65"/>
      <c r="Q3005" s="65"/>
      <c r="R3005" s="75"/>
      <c r="S3005" s="65"/>
      <c r="T3005" s="12" t="s">
        <v>1017</v>
      </c>
      <c r="V3005" s="65"/>
      <c r="W3005" s="65"/>
      <c r="X3005" s="65"/>
      <c r="Y3005" s="65"/>
      <c r="Z3005" s="65"/>
      <c r="AA3005" s="67"/>
      <c r="AC3005" s="12" t="s">
        <v>1017</v>
      </c>
      <c r="AD3005" s="53"/>
    </row>
    <row r="3006" spans="1:30" s="12" customFormat="1" x14ac:dyDescent="0.25">
      <c r="A3006" s="610" t="s">
        <v>1251</v>
      </c>
      <c r="B3006" s="17" t="s">
        <v>5548</v>
      </c>
      <c r="C3006" s="30" t="s">
        <v>2385</v>
      </c>
      <c r="D3006" s="17" t="s">
        <v>5570</v>
      </c>
      <c r="E3006" s="17" t="s">
        <v>4812</v>
      </c>
      <c r="F3006" s="454">
        <v>16.09</v>
      </c>
      <c r="G3006" s="529">
        <v>16.09</v>
      </c>
      <c r="H3006" s="487">
        <f t="shared" si="1199"/>
        <v>12.87</v>
      </c>
      <c r="I3006" s="706"/>
      <c r="J3006" s="669" t="s">
        <v>5805</v>
      </c>
      <c r="K3006" s="23"/>
      <c r="L3006" s="70" t="str">
        <f t="shared" si="1200"/>
        <v/>
      </c>
      <c r="M3006" s="49">
        <f t="shared" si="1201"/>
        <v>16.09</v>
      </c>
      <c r="N3006" s="41">
        <f t="shared" si="1202"/>
        <v>8.17</v>
      </c>
      <c r="O3006" s="43" t="s">
        <v>1017</v>
      </c>
      <c r="P3006" s="65"/>
      <c r="Q3006" s="65"/>
      <c r="R3006" s="75"/>
      <c r="S3006" s="65"/>
      <c r="T3006" s="12" t="s">
        <v>1017</v>
      </c>
      <c r="V3006" s="65"/>
      <c r="W3006" s="65"/>
      <c r="X3006" s="65"/>
      <c r="Y3006" s="65"/>
      <c r="Z3006" s="65"/>
      <c r="AA3006" s="67"/>
      <c r="AC3006" s="12" t="s">
        <v>1017</v>
      </c>
      <c r="AD3006" s="53"/>
    </row>
    <row r="3007" spans="1:30" s="12" customFormat="1" x14ac:dyDescent="0.25">
      <c r="A3007" s="610" t="s">
        <v>1252</v>
      </c>
      <c r="B3007" s="17" t="s">
        <v>5548</v>
      </c>
      <c r="C3007" s="30" t="s">
        <v>2385</v>
      </c>
      <c r="D3007" s="17" t="s">
        <v>2367</v>
      </c>
      <c r="E3007" s="17" t="s">
        <v>4810</v>
      </c>
      <c r="F3007" s="454">
        <v>11.64</v>
      </c>
      <c r="G3007" s="529">
        <v>11.64</v>
      </c>
      <c r="H3007" s="487">
        <f t="shared" si="1199"/>
        <v>9.31</v>
      </c>
      <c r="I3007" s="706"/>
      <c r="J3007" s="669" t="s">
        <v>5805</v>
      </c>
      <c r="K3007" s="23"/>
      <c r="L3007" s="70" t="str">
        <f t="shared" si="1200"/>
        <v/>
      </c>
      <c r="M3007" s="49">
        <f t="shared" si="1201"/>
        <v>11.64</v>
      </c>
      <c r="N3007" s="41">
        <f t="shared" si="1202"/>
        <v>8.17</v>
      </c>
      <c r="O3007" s="61"/>
      <c r="P3007" s="65"/>
      <c r="Q3007" s="65"/>
      <c r="R3007" s="75"/>
      <c r="S3007" s="65"/>
      <c r="U3007" s="12" t="s">
        <v>1017</v>
      </c>
      <c r="V3007" s="65"/>
      <c r="W3007" s="65"/>
      <c r="X3007" s="65"/>
      <c r="Y3007" s="65"/>
      <c r="Z3007" s="65"/>
      <c r="AA3007" s="67"/>
      <c r="AC3007" s="12" t="s">
        <v>1017</v>
      </c>
      <c r="AD3007" s="53"/>
    </row>
    <row r="3008" spans="1:30" s="12" customFormat="1" x14ac:dyDescent="0.25">
      <c r="A3008" s="610" t="s">
        <v>1253</v>
      </c>
      <c r="B3008" s="17" t="s">
        <v>5548</v>
      </c>
      <c r="C3008" s="30" t="s">
        <v>2385</v>
      </c>
      <c r="D3008" s="17" t="s">
        <v>2646</v>
      </c>
      <c r="E3008" s="17" t="s">
        <v>4812</v>
      </c>
      <c r="F3008" s="454">
        <v>14.61</v>
      </c>
      <c r="G3008" s="529">
        <v>14.61</v>
      </c>
      <c r="H3008" s="487">
        <f t="shared" si="1199"/>
        <v>11.69</v>
      </c>
      <c r="I3008" s="706"/>
      <c r="J3008" s="669" t="s">
        <v>5805</v>
      </c>
      <c r="K3008" s="23"/>
      <c r="L3008" s="70" t="str">
        <f t="shared" si="1200"/>
        <v/>
      </c>
      <c r="M3008" s="49">
        <f t="shared" si="1201"/>
        <v>14.61</v>
      </c>
      <c r="N3008" s="41">
        <f t="shared" si="1202"/>
        <v>8.17</v>
      </c>
      <c r="O3008" s="43" t="s">
        <v>1017</v>
      </c>
      <c r="P3008" s="65"/>
      <c r="Q3008" s="65"/>
      <c r="R3008" s="75"/>
      <c r="S3008" s="65"/>
      <c r="U3008" s="12" t="s">
        <v>1017</v>
      </c>
      <c r="V3008" s="65"/>
      <c r="W3008" s="65"/>
      <c r="X3008" s="65"/>
      <c r="Y3008" s="65"/>
      <c r="Z3008" s="65"/>
      <c r="AA3008" s="67"/>
      <c r="AC3008" s="12" t="s">
        <v>1017</v>
      </c>
      <c r="AD3008" s="53"/>
    </row>
    <row r="3009" spans="1:31" s="12" customFormat="1" x14ac:dyDescent="0.25">
      <c r="A3009" s="610" t="s">
        <v>1254</v>
      </c>
      <c r="B3009" s="17" t="s">
        <v>5548</v>
      </c>
      <c r="C3009" s="30" t="s">
        <v>2385</v>
      </c>
      <c r="D3009" s="17" t="s">
        <v>596</v>
      </c>
      <c r="E3009" s="17" t="s">
        <v>4810</v>
      </c>
      <c r="F3009" s="454">
        <v>10.15</v>
      </c>
      <c r="G3009" s="529">
        <v>10.15</v>
      </c>
      <c r="H3009" s="487">
        <f t="shared" si="1199"/>
        <v>8.1199999999999992</v>
      </c>
      <c r="I3009" s="706"/>
      <c r="J3009" s="669" t="s">
        <v>5805</v>
      </c>
      <c r="K3009" s="23"/>
      <c r="L3009" s="70" t="str">
        <f t="shared" si="1200"/>
        <v/>
      </c>
      <c r="M3009" s="49">
        <f t="shared" si="1201"/>
        <v>10.15</v>
      </c>
      <c r="N3009" s="41">
        <f t="shared" si="1202"/>
        <v>8.17</v>
      </c>
      <c r="O3009" s="61"/>
      <c r="P3009" s="65"/>
      <c r="Q3009" s="65"/>
      <c r="R3009" s="75"/>
      <c r="S3009" s="65"/>
      <c r="V3009" s="65"/>
      <c r="W3009" s="65"/>
      <c r="X3009" s="65"/>
      <c r="Y3009" s="65"/>
      <c r="Z3009" s="65"/>
      <c r="AA3009" s="67"/>
      <c r="AD3009" s="53" t="s">
        <v>1017</v>
      </c>
    </row>
    <row r="3010" spans="1:31" s="12" customFormat="1" x14ac:dyDescent="0.25">
      <c r="A3010" s="610" t="s">
        <v>1255</v>
      </c>
      <c r="B3010" s="17" t="s">
        <v>5548</v>
      </c>
      <c r="C3010" s="30" t="s">
        <v>2385</v>
      </c>
      <c r="D3010" s="17" t="s">
        <v>3200</v>
      </c>
      <c r="E3010" s="17" t="s">
        <v>4812</v>
      </c>
      <c r="F3010" s="454">
        <v>13.12</v>
      </c>
      <c r="G3010" s="529">
        <v>13.12</v>
      </c>
      <c r="H3010" s="487">
        <f t="shared" si="1199"/>
        <v>10.5</v>
      </c>
      <c r="I3010" s="706"/>
      <c r="J3010" s="669" t="s">
        <v>5805</v>
      </c>
      <c r="K3010" s="23"/>
      <c r="L3010" s="70" t="str">
        <f t="shared" si="1200"/>
        <v/>
      </c>
      <c r="M3010" s="49">
        <f t="shared" si="1201"/>
        <v>13.120000000000001</v>
      </c>
      <c r="N3010" s="41">
        <f t="shared" si="1202"/>
        <v>8.17</v>
      </c>
      <c r="O3010" s="43" t="s">
        <v>1017</v>
      </c>
      <c r="P3010" s="65"/>
      <c r="Q3010" s="65"/>
      <c r="R3010" s="75"/>
      <c r="S3010" s="65"/>
      <c r="V3010" s="65"/>
      <c r="W3010" s="65"/>
      <c r="X3010" s="65"/>
      <c r="Y3010" s="65"/>
      <c r="Z3010" s="65"/>
      <c r="AA3010" s="67"/>
      <c r="AD3010" s="53" t="s">
        <v>1017</v>
      </c>
    </row>
    <row r="3011" spans="1:31" s="12" customFormat="1" x14ac:dyDescent="0.25">
      <c r="A3011" s="610" t="s">
        <v>1256</v>
      </c>
      <c r="B3011" s="17" t="s">
        <v>5548</v>
      </c>
      <c r="C3011" s="30" t="s">
        <v>2385</v>
      </c>
      <c r="D3011" s="17" t="s">
        <v>851</v>
      </c>
      <c r="E3011" s="17" t="s">
        <v>4810</v>
      </c>
      <c r="F3011" s="454">
        <v>14.11</v>
      </c>
      <c r="G3011" s="529">
        <v>14.11</v>
      </c>
      <c r="H3011" s="487">
        <f t="shared" si="1199"/>
        <v>11.29</v>
      </c>
      <c r="I3011" s="706"/>
      <c r="J3011" s="669" t="s">
        <v>5805</v>
      </c>
      <c r="K3011" s="23"/>
      <c r="L3011" s="70" t="str">
        <f t="shared" si="1200"/>
        <v/>
      </c>
      <c r="M3011" s="49">
        <f t="shared" si="1201"/>
        <v>14.11</v>
      </c>
      <c r="N3011" s="41">
        <f t="shared" si="1202"/>
        <v>8.17</v>
      </c>
      <c r="O3011" s="61"/>
      <c r="P3011" s="65"/>
      <c r="Q3011" s="65"/>
      <c r="R3011" s="75"/>
      <c r="S3011" s="65"/>
      <c r="T3011" s="12" t="s">
        <v>1017</v>
      </c>
      <c r="V3011" s="65"/>
      <c r="W3011" s="65"/>
      <c r="X3011" s="65"/>
      <c r="Y3011" s="65"/>
      <c r="Z3011" s="65"/>
      <c r="AA3011" s="67"/>
      <c r="AD3011" s="53" t="s">
        <v>1017</v>
      </c>
    </row>
    <row r="3012" spans="1:31" s="12" customFormat="1" x14ac:dyDescent="0.25">
      <c r="A3012" s="610" t="s">
        <v>1257</v>
      </c>
      <c r="B3012" s="17" t="s">
        <v>5548</v>
      </c>
      <c r="C3012" s="30" t="s">
        <v>2385</v>
      </c>
      <c r="D3012" s="17" t="s">
        <v>2654</v>
      </c>
      <c r="E3012" s="17" t="s">
        <v>4812</v>
      </c>
      <c r="F3012" s="454">
        <v>17.079999999999998</v>
      </c>
      <c r="G3012" s="529">
        <v>17.079999999999998</v>
      </c>
      <c r="H3012" s="487">
        <f t="shared" si="1199"/>
        <v>13.66</v>
      </c>
      <c r="I3012" s="706"/>
      <c r="J3012" s="669" t="s">
        <v>5805</v>
      </c>
      <c r="K3012" s="23"/>
      <c r="L3012" s="70" t="str">
        <f t="shared" si="1200"/>
        <v/>
      </c>
      <c r="M3012" s="49">
        <f t="shared" si="1201"/>
        <v>17.079999999999998</v>
      </c>
      <c r="N3012" s="41">
        <f t="shared" si="1202"/>
        <v>8.17</v>
      </c>
      <c r="O3012" s="43" t="s">
        <v>1017</v>
      </c>
      <c r="P3012" s="65"/>
      <c r="Q3012" s="65"/>
      <c r="R3012" s="75"/>
      <c r="S3012" s="65"/>
      <c r="T3012" s="12" t="s">
        <v>1017</v>
      </c>
      <c r="V3012" s="65"/>
      <c r="W3012" s="65"/>
      <c r="X3012" s="65"/>
      <c r="Y3012" s="65"/>
      <c r="Z3012" s="65"/>
      <c r="AA3012" s="67"/>
      <c r="AD3012" s="53" t="s">
        <v>1017</v>
      </c>
    </row>
    <row r="3013" spans="1:31" s="12" customFormat="1" x14ac:dyDescent="0.25">
      <c r="A3013" s="610" t="s">
        <v>1258</v>
      </c>
      <c r="B3013" s="17" t="s">
        <v>5548</v>
      </c>
      <c r="C3013" s="30" t="s">
        <v>2385</v>
      </c>
      <c r="D3013" s="17" t="s">
        <v>2368</v>
      </c>
      <c r="E3013" s="17" t="s">
        <v>4810</v>
      </c>
      <c r="F3013" s="454">
        <v>12.63</v>
      </c>
      <c r="G3013" s="529">
        <v>12.63</v>
      </c>
      <c r="H3013" s="487">
        <f t="shared" si="1199"/>
        <v>10.1</v>
      </c>
      <c r="I3013" s="706"/>
      <c r="J3013" s="669" t="s">
        <v>5805</v>
      </c>
      <c r="K3013" s="23"/>
      <c r="L3013" s="70" t="str">
        <f t="shared" si="1200"/>
        <v/>
      </c>
      <c r="M3013" s="49">
        <f t="shared" si="1201"/>
        <v>12.629999999999999</v>
      </c>
      <c r="N3013" s="41">
        <f t="shared" si="1202"/>
        <v>8.17</v>
      </c>
      <c r="O3013" s="61"/>
      <c r="P3013" s="65"/>
      <c r="Q3013" s="65"/>
      <c r="R3013" s="75"/>
      <c r="S3013" s="65"/>
      <c r="U3013" s="12" t="s">
        <v>1017</v>
      </c>
      <c r="V3013" s="65"/>
      <c r="W3013" s="65"/>
      <c r="X3013" s="65"/>
      <c r="Y3013" s="65"/>
      <c r="Z3013" s="65"/>
      <c r="AA3013" s="67"/>
      <c r="AD3013" s="53" t="s">
        <v>1017</v>
      </c>
    </row>
    <row r="3014" spans="1:31" s="12" customFormat="1" x14ac:dyDescent="0.25">
      <c r="A3014" s="610" t="s">
        <v>1259</v>
      </c>
      <c r="B3014" s="17" t="s">
        <v>5548</v>
      </c>
      <c r="C3014" s="30" t="s">
        <v>2385</v>
      </c>
      <c r="D3014" s="17" t="s">
        <v>2655</v>
      </c>
      <c r="E3014" s="17" t="s">
        <v>4812</v>
      </c>
      <c r="F3014" s="454">
        <v>15.6</v>
      </c>
      <c r="G3014" s="529">
        <v>15.6</v>
      </c>
      <c r="H3014" s="487">
        <f t="shared" si="1199"/>
        <v>12.48</v>
      </c>
      <c r="I3014" s="706"/>
      <c r="J3014" s="669" t="s">
        <v>5805</v>
      </c>
      <c r="K3014" s="23"/>
      <c r="L3014" s="70" t="str">
        <f t="shared" si="1200"/>
        <v/>
      </c>
      <c r="M3014" s="49">
        <f t="shared" si="1201"/>
        <v>15.6</v>
      </c>
      <c r="N3014" s="41">
        <f t="shared" si="1202"/>
        <v>8.17</v>
      </c>
      <c r="O3014" s="43" t="s">
        <v>1017</v>
      </c>
      <c r="P3014" s="65"/>
      <c r="Q3014" s="65"/>
      <c r="R3014" s="75"/>
      <c r="S3014" s="65"/>
      <c r="U3014" s="12" t="s">
        <v>1017</v>
      </c>
      <c r="V3014" s="65"/>
      <c r="W3014" s="65"/>
      <c r="X3014" s="65"/>
      <c r="Y3014" s="65"/>
      <c r="Z3014" s="65"/>
      <c r="AA3014" s="67"/>
      <c r="AD3014" s="53" t="s">
        <v>1017</v>
      </c>
    </row>
    <row r="3015" spans="1:31" s="12" customFormat="1" x14ac:dyDescent="0.25">
      <c r="A3015" s="610" t="s">
        <v>1260</v>
      </c>
      <c r="B3015" s="17" t="s">
        <v>5548</v>
      </c>
      <c r="C3015" s="30" t="s">
        <v>2385</v>
      </c>
      <c r="D3015" s="17" t="s">
        <v>2905</v>
      </c>
      <c r="E3015" s="17" t="s">
        <v>4812</v>
      </c>
      <c r="F3015" s="454">
        <v>10.68</v>
      </c>
      <c r="G3015" s="529">
        <v>10.68</v>
      </c>
      <c r="H3015" s="487">
        <f t="shared" si="1199"/>
        <v>8.5399999999999991</v>
      </c>
      <c r="I3015" s="706"/>
      <c r="J3015" s="669" t="s">
        <v>5805</v>
      </c>
      <c r="K3015" s="811"/>
      <c r="L3015" s="83" t="str">
        <f t="shared" si="1200"/>
        <v/>
      </c>
      <c r="M3015" s="59">
        <f t="shared" si="1201"/>
        <v>10.68</v>
      </c>
      <c r="N3015" s="52">
        <f t="shared" si="1202"/>
        <v>7.71</v>
      </c>
      <c r="O3015" s="84" t="s">
        <v>1017</v>
      </c>
      <c r="P3015" s="85" t="s">
        <v>1262</v>
      </c>
      <c r="Q3015" s="77"/>
      <c r="R3015" s="76"/>
      <c r="S3015" s="77"/>
      <c r="T3015" s="77"/>
      <c r="U3015" s="77"/>
      <c r="V3015" s="77"/>
      <c r="W3015" s="77"/>
      <c r="X3015" s="77"/>
      <c r="Y3015" s="77"/>
      <c r="Z3015" s="77"/>
      <c r="AA3015" s="78"/>
      <c r="AB3015" s="77"/>
      <c r="AC3015" s="77"/>
      <c r="AD3015" s="78"/>
    </row>
    <row r="3016" spans="1:31" s="774" customFormat="1" x14ac:dyDescent="0.25">
      <c r="A3016" s="608"/>
      <c r="B3016" s="2"/>
      <c r="C3016" s="1"/>
      <c r="D3016" s="2"/>
      <c r="E3016" s="1"/>
      <c r="F3016" s="442"/>
      <c r="G3016" s="520"/>
      <c r="H3016" s="13"/>
      <c r="I3016" s="692"/>
      <c r="J3016" s="669" t="s">
        <v>4180</v>
      </c>
      <c r="K3016" s="12"/>
      <c r="L3016" s="97"/>
      <c r="M3016" s="769"/>
    </row>
    <row r="3017" spans="1:31" ht="17.25" customHeight="1" x14ac:dyDescent="0.25">
      <c r="A3017" s="609"/>
      <c r="B3017" s="1"/>
      <c r="C3017" s="1"/>
      <c r="D3017" s="2"/>
      <c r="E3017" s="1"/>
      <c r="F3017" s="457"/>
      <c r="G3017" s="532"/>
      <c r="H3017" s="490"/>
      <c r="I3017" s="709"/>
      <c r="J3017" s="669" t="s">
        <v>4180</v>
      </c>
      <c r="K3017" s="29"/>
      <c r="M3017" s="68" t="str">
        <f>"Vergütungsberechnung für Anlagen mit Inbetriebnahmejahr "&amp;M3018</f>
        <v>Vergütungsberechnung für Anlagen mit Inbetriebnahmejahr 2011</v>
      </c>
      <c r="N3017" s="39"/>
      <c r="O3017" s="29"/>
      <c r="P3017" s="29"/>
    </row>
    <row r="3018" spans="1:31" s="12" customFormat="1" x14ac:dyDescent="0.25">
      <c r="A3018" s="608"/>
      <c r="B3018" s="2"/>
      <c r="C3018" s="22"/>
      <c r="D3018" s="22"/>
      <c r="E3018" s="34"/>
      <c r="F3018" s="456"/>
      <c r="G3018" s="531"/>
      <c r="H3018" s="489"/>
      <c r="I3018" s="708"/>
      <c r="J3018" s="669" t="s">
        <v>4180</v>
      </c>
      <c r="K3018" s="29"/>
      <c r="L3018" s="29"/>
      <c r="M3018" s="190">
        <v>2011</v>
      </c>
      <c r="N3018" s="29"/>
      <c r="O3018" s="43" t="s">
        <v>2660</v>
      </c>
      <c r="P3018" s="29"/>
      <c r="Q3018"/>
      <c r="R3018" s="55"/>
      <c r="S3018" s="43" t="s">
        <v>776</v>
      </c>
      <c r="T3018"/>
      <c r="U3018"/>
      <c r="V3018"/>
      <c r="W3018"/>
      <c r="X3018"/>
      <c r="Y3018"/>
      <c r="Z3018"/>
      <c r="AA3018" s="50"/>
      <c r="AB3018" s="72" t="s">
        <v>777</v>
      </c>
      <c r="AC3018"/>
      <c r="AD3018" s="50"/>
    </row>
    <row r="3019" spans="1:31" s="12" customFormat="1" ht="79.5" x14ac:dyDescent="0.25">
      <c r="A3019" s="608"/>
      <c r="B3019" s="2"/>
      <c r="C3019" s="22"/>
      <c r="D3019" s="22"/>
      <c r="E3019" s="34"/>
      <c r="F3019" s="456"/>
      <c r="G3019" s="531"/>
      <c r="H3019" s="489"/>
      <c r="I3019" s="708"/>
      <c r="J3019" s="669" t="s">
        <v>4180</v>
      </c>
      <c r="K3019" s="29"/>
      <c r="L3019" s="29"/>
      <c r="M3019" s="48" t="s">
        <v>2914</v>
      </c>
      <c r="N3019" s="42" t="s">
        <v>1261</v>
      </c>
      <c r="O3019" s="44" t="s">
        <v>4852</v>
      </c>
      <c r="P3019" s="63"/>
      <c r="Q3019" s="63"/>
      <c r="R3019" s="80" t="s">
        <v>4854</v>
      </c>
      <c r="S3019" s="42" t="s">
        <v>1021</v>
      </c>
      <c r="T3019" s="42" t="s">
        <v>1029</v>
      </c>
      <c r="U3019" s="42" t="s">
        <v>786</v>
      </c>
      <c r="V3019" s="79" t="s">
        <v>4884</v>
      </c>
      <c r="W3019" s="79" t="s">
        <v>5520</v>
      </c>
      <c r="X3019" s="79" t="s">
        <v>5521</v>
      </c>
      <c r="Y3019" s="79" t="s">
        <v>5522</v>
      </c>
      <c r="Z3019" s="79" t="s">
        <v>4853</v>
      </c>
      <c r="AA3019" s="81" t="s">
        <v>770</v>
      </c>
      <c r="AB3019" s="42" t="s">
        <v>772</v>
      </c>
      <c r="AC3019" s="42" t="s">
        <v>773</v>
      </c>
      <c r="AD3019" s="51" t="s">
        <v>774</v>
      </c>
      <c r="AE3019" s="118" t="s">
        <v>5490</v>
      </c>
    </row>
    <row r="3020" spans="1:31" s="12" customFormat="1" ht="34.5" x14ac:dyDescent="0.25">
      <c r="A3020" s="608"/>
      <c r="B3020" s="2"/>
      <c r="C3020" s="22"/>
      <c r="D3020" s="22"/>
      <c r="E3020" s="34"/>
      <c r="F3020" s="456"/>
      <c r="G3020" s="531"/>
      <c r="H3020" s="489"/>
      <c r="I3020" s="708"/>
      <c r="J3020" s="669" t="s">
        <v>4180</v>
      </c>
      <c r="K3020" s="29"/>
      <c r="L3020" s="29"/>
      <c r="M3020" s="46"/>
      <c r="N3020" s="42"/>
      <c r="O3020" s="44" t="s">
        <v>1033</v>
      </c>
      <c r="P3020" s="63"/>
      <c r="Q3020" s="63"/>
      <c r="R3020" s="56" t="s">
        <v>1034</v>
      </c>
      <c r="S3020" s="44" t="s">
        <v>1019</v>
      </c>
      <c r="T3020" s="42" t="s">
        <v>1020</v>
      </c>
      <c r="U3020" s="42" t="s">
        <v>1022</v>
      </c>
      <c r="V3020" s="42" t="s">
        <v>1023</v>
      </c>
      <c r="W3020" s="42" t="s">
        <v>1024</v>
      </c>
      <c r="X3020" s="42" t="s">
        <v>1025</v>
      </c>
      <c r="Y3020" s="42" t="s">
        <v>1026</v>
      </c>
      <c r="Z3020" s="42" t="s">
        <v>1028</v>
      </c>
      <c r="AA3020" s="51" t="s">
        <v>1027</v>
      </c>
      <c r="AB3020" s="42" t="s">
        <v>1032</v>
      </c>
      <c r="AC3020" s="42" t="s">
        <v>1030</v>
      </c>
      <c r="AD3020" s="51" t="s">
        <v>1031</v>
      </c>
      <c r="AE3020" s="125">
        <v>0.01</v>
      </c>
    </row>
    <row r="3021" spans="1:31" x14ac:dyDescent="0.25">
      <c r="A3021" s="609"/>
      <c r="B3021" s="1"/>
      <c r="C3021" s="1"/>
      <c r="D3021" s="2"/>
      <c r="E3021" s="1"/>
      <c r="F3021" s="457"/>
      <c r="G3021" s="532"/>
      <c r="H3021" s="490"/>
      <c r="I3021" s="709"/>
      <c r="J3021" s="669" t="s">
        <v>4180</v>
      </c>
      <c r="L3021" s="71"/>
      <c r="M3021" s="47"/>
      <c r="N3021" s="40"/>
      <c r="O3021" s="204">
        <f>ROUND(O$2575*(1-$AE$3020)^($M3018-2009),2)</f>
        <v>2.94</v>
      </c>
      <c r="P3021" s="64"/>
      <c r="Q3021" s="64"/>
      <c r="R3021" s="204">
        <f>ROUND(R$2575*(1-$AE$3020)^($M3018-2009),2)</f>
        <v>0.98</v>
      </c>
      <c r="S3021" s="204">
        <f>ROUND(S$2575*(1-$AE$3020)^($M3018-2009),2)</f>
        <v>5.88</v>
      </c>
      <c r="T3021" s="204">
        <f>ROUND(T$2575*(1-$AE$3020)^($M3018-2009),2)</f>
        <v>3.92</v>
      </c>
      <c r="U3021" s="204">
        <f>ROUND(U$2575*(1-$AE$3020)^($M3018-2009),2)</f>
        <v>2.4500000000000002</v>
      </c>
      <c r="V3021" s="204">
        <f>ROUND(V$2575*(1-$AE$3020)^($M3018-2009),2)</f>
        <v>6.86</v>
      </c>
      <c r="W3021" s="204">
        <f>V3021+ROUND(4*(1-$AE$3020)^($M3018-2009),2)</f>
        <v>10.780000000000001</v>
      </c>
      <c r="X3021" s="204">
        <f>V3021+ROUND(1*(1-$AE$3020)^($M3018-2009),2)</f>
        <v>7.84</v>
      </c>
      <c r="Y3021" s="204">
        <f>V3021+ROUND(2*(1-$AE$3020)^($M3018-2009),2)</f>
        <v>8.82</v>
      </c>
      <c r="Z3021" s="204">
        <f>W3021+ROUND(2*(1-$AE$3020)^($M3018-2009),2)</f>
        <v>12.740000000000002</v>
      </c>
      <c r="AA3021" s="204">
        <f>X3021+ROUND(2*(1-$AE$3020)^($M3018-2009),2)</f>
        <v>9.8000000000000007</v>
      </c>
      <c r="AB3021" s="204">
        <f>ROUND(AB$2575*(1-$AE$3020)^($M3018-2009),2)</f>
        <v>1.96</v>
      </c>
      <c r="AC3021" s="204">
        <f>ROUND(AC$2575*(1-$AE$3020)^($M3018-2009),2)</f>
        <v>0.98</v>
      </c>
      <c r="AD3021" s="204">
        <f>ROUND(AD$2575*(1-$AE$3020)^($M3018-2009),2)</f>
        <v>1.96</v>
      </c>
      <c r="AE3021" s="205" t="s">
        <v>1215</v>
      </c>
    </row>
    <row r="3022" spans="1:31" x14ac:dyDescent="0.25">
      <c r="A3022" s="610" t="str">
        <f t="shared" ref="A3022:A3085" si="1203">LEFT(A2799,12)&amp;($M$3018-2000)</f>
        <v>BiK270------11</v>
      </c>
      <c r="B3022" s="17" t="s">
        <v>5548</v>
      </c>
      <c r="C3022" s="30" t="str">
        <f t="shared" ref="C3022:C3085" si="1204">"Inbetriebnahme "&amp;$M$3018</f>
        <v>Inbetriebnahme 2011</v>
      </c>
      <c r="D3022" s="17" t="s">
        <v>1780</v>
      </c>
      <c r="E3022" s="17" t="s">
        <v>4810</v>
      </c>
      <c r="F3022" s="454">
        <f t="shared" ref="F3022:F3085" si="1205">M3022</f>
        <v>11.44</v>
      </c>
      <c r="G3022" s="529">
        <v>11.44</v>
      </c>
      <c r="H3022" s="487">
        <f t="shared" ref="H3022:H3085" si="1206">IF(ISNUMBER(G3022),ROUND(0.8*G3022,2),"")</f>
        <v>9.15</v>
      </c>
      <c r="I3022" s="706"/>
      <c r="J3022" s="669" t="s">
        <v>5805</v>
      </c>
      <c r="K3022" s="23"/>
      <c r="L3022" s="70" t="str">
        <f t="shared" ref="L3022:L3085" si="1207">IF(F3022=M3022,"",FALSE)</f>
        <v/>
      </c>
      <c r="M3022" s="49">
        <f t="shared" ref="M3022:M3085" si="1208">N3022+SUMIF(O3022:AD3022,"x",$O$3021:$AD$3021)</f>
        <v>11.44</v>
      </c>
      <c r="N3022" s="41">
        <f t="shared" ref="N3022:N3085" si="1209">ROUND(N2576*(1-$AE$3020)^($M$3018-2009),2)</f>
        <v>11.44</v>
      </c>
      <c r="O3022" s="60"/>
      <c r="P3022" s="65"/>
      <c r="Q3022" s="65"/>
      <c r="R3022" s="69"/>
      <c r="T3022" s="65"/>
      <c r="U3022" s="65"/>
      <c r="X3022" s="65"/>
      <c r="AA3022" s="66"/>
      <c r="AD3022" s="62"/>
    </row>
    <row r="3023" spans="1:31" x14ac:dyDescent="0.25">
      <c r="A3023" s="610" t="str">
        <f t="shared" si="1203"/>
        <v>BiK270K-----11</v>
      </c>
      <c r="B3023" s="17" t="s">
        <v>5548</v>
      </c>
      <c r="C3023" s="30" t="str">
        <f t="shared" si="1204"/>
        <v>Inbetriebnahme 2011</v>
      </c>
      <c r="D3023" s="17" t="s">
        <v>7247</v>
      </c>
      <c r="E3023" s="17" t="s">
        <v>4812</v>
      </c>
      <c r="F3023" s="454">
        <f t="shared" si="1205"/>
        <v>14.379999999999999</v>
      </c>
      <c r="G3023" s="529">
        <v>14.379999999999999</v>
      </c>
      <c r="H3023" s="487">
        <f t="shared" si="1206"/>
        <v>11.5</v>
      </c>
      <c r="I3023" s="706"/>
      <c r="J3023" s="669" t="s">
        <v>5805</v>
      </c>
      <c r="K3023" s="23"/>
      <c r="L3023" s="70" t="str">
        <f t="shared" si="1207"/>
        <v/>
      </c>
      <c r="M3023" s="49">
        <f t="shared" si="1208"/>
        <v>14.379999999999999</v>
      </c>
      <c r="N3023" s="41">
        <f t="shared" si="1209"/>
        <v>11.44</v>
      </c>
      <c r="O3023" s="43" t="s">
        <v>1017</v>
      </c>
      <c r="P3023" s="91"/>
      <c r="Q3023" s="91"/>
      <c r="R3023" s="55"/>
      <c r="S3023" s="92"/>
      <c r="T3023" s="91"/>
      <c r="U3023" s="91"/>
      <c r="V3023" s="92"/>
      <c r="W3023" s="92"/>
      <c r="X3023" s="91"/>
      <c r="Y3023" s="92"/>
      <c r="Z3023" s="92"/>
      <c r="AA3023" s="67"/>
      <c r="AB3023" s="92"/>
      <c r="AC3023" s="92"/>
      <c r="AD3023" s="50"/>
    </row>
    <row r="3024" spans="1:31" x14ac:dyDescent="0.25">
      <c r="A3024" s="610" t="str">
        <f t="shared" si="1203"/>
        <v>BiK270i-----11</v>
      </c>
      <c r="B3024" s="17" t="s">
        <v>5548</v>
      </c>
      <c r="C3024" s="30" t="str">
        <f t="shared" si="1204"/>
        <v>Inbetriebnahme 2011</v>
      </c>
      <c r="D3024" s="30" t="s">
        <v>7248</v>
      </c>
      <c r="E3024" s="17" t="s">
        <v>4810</v>
      </c>
      <c r="F3024" s="454">
        <f t="shared" si="1205"/>
        <v>12.42</v>
      </c>
      <c r="G3024" s="529">
        <v>12.42</v>
      </c>
      <c r="H3024" s="487">
        <f t="shared" si="1206"/>
        <v>9.94</v>
      </c>
      <c r="I3024" s="706"/>
      <c r="J3024" s="669" t="s">
        <v>5805</v>
      </c>
      <c r="K3024" s="23"/>
      <c r="L3024" s="70" t="str">
        <f t="shared" si="1207"/>
        <v/>
      </c>
      <c r="M3024" s="49">
        <f t="shared" si="1208"/>
        <v>12.42</v>
      </c>
      <c r="N3024" s="41">
        <f t="shared" si="1209"/>
        <v>11.44</v>
      </c>
      <c r="O3024" s="61"/>
      <c r="P3024" s="65"/>
      <c r="Q3024" s="65"/>
      <c r="R3024" s="55" t="s">
        <v>1017</v>
      </c>
      <c r="T3024" s="65"/>
      <c r="U3024" s="65"/>
      <c r="X3024" s="65"/>
      <c r="AA3024" s="67"/>
      <c r="AD3024" s="50"/>
    </row>
    <row r="3025" spans="1:30" x14ac:dyDescent="0.25">
      <c r="A3025" s="610" t="str">
        <f t="shared" si="1203"/>
        <v>BiK270iK----11</v>
      </c>
      <c r="B3025" s="17" t="s">
        <v>5548</v>
      </c>
      <c r="C3025" s="30" t="str">
        <f t="shared" si="1204"/>
        <v>Inbetriebnahme 2011</v>
      </c>
      <c r="D3025" s="30" t="s">
        <v>7249</v>
      </c>
      <c r="E3025" s="17" t="s">
        <v>4812</v>
      </c>
      <c r="F3025" s="454">
        <f t="shared" si="1205"/>
        <v>15.36</v>
      </c>
      <c r="G3025" s="529">
        <v>15.36</v>
      </c>
      <c r="H3025" s="487">
        <f t="shared" si="1206"/>
        <v>12.29</v>
      </c>
      <c r="I3025" s="706"/>
      <c r="J3025" s="669" t="s">
        <v>5805</v>
      </c>
      <c r="K3025" s="23"/>
      <c r="L3025" s="70" t="str">
        <f t="shared" si="1207"/>
        <v/>
      </c>
      <c r="M3025" s="49">
        <f t="shared" si="1208"/>
        <v>15.36</v>
      </c>
      <c r="N3025" s="41">
        <f t="shared" si="1209"/>
        <v>11.44</v>
      </c>
      <c r="O3025" s="43" t="s">
        <v>1017</v>
      </c>
      <c r="P3025" s="65"/>
      <c r="Q3025" s="65"/>
      <c r="R3025" s="55" t="s">
        <v>1017</v>
      </c>
      <c r="T3025" s="65"/>
      <c r="U3025" s="65"/>
      <c r="X3025" s="65"/>
      <c r="AA3025" s="67"/>
      <c r="AD3025" s="50"/>
    </row>
    <row r="3026" spans="1:30" x14ac:dyDescent="0.25">
      <c r="A3026" s="610" t="str">
        <f t="shared" si="1203"/>
        <v>BiK270a1----11</v>
      </c>
      <c r="B3026" s="17" t="s">
        <v>5548</v>
      </c>
      <c r="C3026" s="30" t="str">
        <f t="shared" si="1204"/>
        <v>Inbetriebnahme 2011</v>
      </c>
      <c r="D3026" s="17" t="s">
        <v>6881</v>
      </c>
      <c r="E3026" s="17" t="s">
        <v>4810</v>
      </c>
      <c r="F3026" s="454">
        <f t="shared" si="1205"/>
        <v>17.32</v>
      </c>
      <c r="G3026" s="529">
        <v>17.32</v>
      </c>
      <c r="H3026" s="487">
        <f t="shared" si="1206"/>
        <v>13.86</v>
      </c>
      <c r="I3026" s="706"/>
      <c r="J3026" s="669" t="s">
        <v>5805</v>
      </c>
      <c r="K3026" s="23"/>
      <c r="L3026" s="70" t="str">
        <f t="shared" si="1207"/>
        <v/>
      </c>
      <c r="M3026" s="49">
        <f t="shared" si="1208"/>
        <v>17.32</v>
      </c>
      <c r="N3026" s="41">
        <f t="shared" si="1209"/>
        <v>11.44</v>
      </c>
      <c r="O3026" s="61"/>
      <c r="P3026" s="65"/>
      <c r="Q3026" s="65"/>
      <c r="R3026" s="55"/>
      <c r="S3026" t="s">
        <v>1017</v>
      </c>
      <c r="T3026" s="65"/>
      <c r="U3026" s="65"/>
      <c r="X3026" s="65"/>
      <c r="AA3026" s="67"/>
      <c r="AD3026" s="50"/>
    </row>
    <row r="3027" spans="1:30" x14ac:dyDescent="0.25">
      <c r="A3027" s="610" t="str">
        <f t="shared" si="1203"/>
        <v>BiK270a1K---11</v>
      </c>
      <c r="B3027" s="17" t="s">
        <v>5548</v>
      </c>
      <c r="C3027" s="30" t="str">
        <f t="shared" si="1204"/>
        <v>Inbetriebnahme 2011</v>
      </c>
      <c r="D3027" s="17" t="s">
        <v>7250</v>
      </c>
      <c r="E3027" s="17" t="s">
        <v>4812</v>
      </c>
      <c r="F3027" s="454">
        <f t="shared" si="1205"/>
        <v>20.259999999999998</v>
      </c>
      <c r="G3027" s="529">
        <v>20.259999999999998</v>
      </c>
      <c r="H3027" s="487">
        <f t="shared" si="1206"/>
        <v>16.21</v>
      </c>
      <c r="I3027" s="706"/>
      <c r="J3027" s="669" t="s">
        <v>5805</v>
      </c>
      <c r="K3027" s="23"/>
      <c r="L3027" s="70" t="str">
        <f t="shared" si="1207"/>
        <v/>
      </c>
      <c r="M3027" s="49">
        <f t="shared" si="1208"/>
        <v>20.259999999999998</v>
      </c>
      <c r="N3027" s="41">
        <f t="shared" si="1209"/>
        <v>11.44</v>
      </c>
      <c r="O3027" s="43" t="s">
        <v>1017</v>
      </c>
      <c r="P3027" s="65"/>
      <c r="Q3027" s="65"/>
      <c r="R3027" s="55"/>
      <c r="S3027" t="s">
        <v>1017</v>
      </c>
      <c r="T3027" s="65"/>
      <c r="U3027" s="65"/>
      <c r="X3027" s="65"/>
      <c r="AA3027" s="67"/>
      <c r="AD3027" s="50"/>
    </row>
    <row r="3028" spans="1:30" x14ac:dyDescent="0.25">
      <c r="A3028" s="610" t="str">
        <f t="shared" si="1203"/>
        <v>BiK270a1i---11</v>
      </c>
      <c r="B3028" s="17" t="s">
        <v>5548</v>
      </c>
      <c r="C3028" s="30" t="str">
        <f t="shared" si="1204"/>
        <v>Inbetriebnahme 2011</v>
      </c>
      <c r="D3028" s="30" t="s">
        <v>7251</v>
      </c>
      <c r="E3028" s="17" t="s">
        <v>4810</v>
      </c>
      <c r="F3028" s="454">
        <f t="shared" si="1205"/>
        <v>18.299999999999997</v>
      </c>
      <c r="G3028" s="529">
        <v>18.299999999999997</v>
      </c>
      <c r="H3028" s="487">
        <f t="shared" si="1206"/>
        <v>14.64</v>
      </c>
      <c r="I3028" s="706"/>
      <c r="J3028" s="669" t="s">
        <v>5805</v>
      </c>
      <c r="K3028" s="23"/>
      <c r="L3028" s="70" t="str">
        <f t="shared" si="1207"/>
        <v/>
      </c>
      <c r="M3028" s="49">
        <f t="shared" si="1208"/>
        <v>18.299999999999997</v>
      </c>
      <c r="N3028" s="41">
        <f t="shared" si="1209"/>
        <v>11.44</v>
      </c>
      <c r="O3028" s="61"/>
      <c r="P3028" s="65"/>
      <c r="Q3028" s="65"/>
      <c r="R3028" s="55" t="s">
        <v>1017</v>
      </c>
      <c r="S3028" t="s">
        <v>1017</v>
      </c>
      <c r="T3028" s="65"/>
      <c r="U3028" s="65"/>
      <c r="X3028" s="65"/>
      <c r="AA3028" s="67"/>
      <c r="AD3028" s="50"/>
    </row>
    <row r="3029" spans="1:30" x14ac:dyDescent="0.25">
      <c r="A3029" s="610" t="str">
        <f t="shared" si="1203"/>
        <v>BiK270a1iK--11</v>
      </c>
      <c r="B3029" s="17" t="s">
        <v>5548</v>
      </c>
      <c r="C3029" s="30" t="str">
        <f t="shared" si="1204"/>
        <v>Inbetriebnahme 2011</v>
      </c>
      <c r="D3029" s="30" t="s">
        <v>7252</v>
      </c>
      <c r="E3029" s="17" t="s">
        <v>4812</v>
      </c>
      <c r="F3029" s="454">
        <f t="shared" si="1205"/>
        <v>21.240000000000002</v>
      </c>
      <c r="G3029" s="529">
        <v>21.240000000000002</v>
      </c>
      <c r="H3029" s="487">
        <f t="shared" si="1206"/>
        <v>16.989999999999998</v>
      </c>
      <c r="I3029" s="706"/>
      <c r="J3029" s="669" t="s">
        <v>5805</v>
      </c>
      <c r="K3029" s="23"/>
      <c r="L3029" s="70" t="str">
        <f t="shared" si="1207"/>
        <v/>
      </c>
      <c r="M3029" s="49">
        <f t="shared" si="1208"/>
        <v>21.240000000000002</v>
      </c>
      <c r="N3029" s="41">
        <f t="shared" si="1209"/>
        <v>11.44</v>
      </c>
      <c r="O3029" s="43" t="s">
        <v>1017</v>
      </c>
      <c r="P3029" s="65"/>
      <c r="Q3029" s="65"/>
      <c r="R3029" s="55" t="s">
        <v>1017</v>
      </c>
      <c r="S3029" t="s">
        <v>1017</v>
      </c>
      <c r="T3029" s="65"/>
      <c r="U3029" s="65"/>
      <c r="X3029" s="65"/>
      <c r="AA3029" s="67"/>
      <c r="AD3029" s="50"/>
    </row>
    <row r="3030" spans="1:30" s="12" customFormat="1" x14ac:dyDescent="0.25">
      <c r="A3030" s="610" t="str">
        <f t="shared" si="1203"/>
        <v>BiK270G-----11</v>
      </c>
      <c r="B3030" s="17" t="s">
        <v>5548</v>
      </c>
      <c r="C3030" s="30" t="str">
        <f t="shared" si="1204"/>
        <v>Inbetriebnahme 2011</v>
      </c>
      <c r="D3030" s="17" t="s">
        <v>6810</v>
      </c>
      <c r="E3030" s="17" t="s">
        <v>4810</v>
      </c>
      <c r="F3030" s="454">
        <f t="shared" si="1205"/>
        <v>18.3</v>
      </c>
      <c r="G3030" s="529">
        <v>18.3</v>
      </c>
      <c r="H3030" s="487">
        <f t="shared" si="1206"/>
        <v>14.64</v>
      </c>
      <c r="I3030" s="706"/>
      <c r="J3030" s="669" t="s">
        <v>5805</v>
      </c>
      <c r="K3030" s="23"/>
      <c r="L3030" s="70" t="str">
        <f t="shared" si="1207"/>
        <v/>
      </c>
      <c r="M3030" s="49">
        <f t="shared" si="1208"/>
        <v>18.3</v>
      </c>
      <c r="N3030" s="41">
        <f t="shared" si="1209"/>
        <v>11.44</v>
      </c>
      <c r="O3030" s="61"/>
      <c r="P3030" s="65"/>
      <c r="Q3030" s="65"/>
      <c r="R3030" s="58"/>
      <c r="T3030" s="65"/>
      <c r="U3030" s="65"/>
      <c r="V3030" s="12" t="s">
        <v>1017</v>
      </c>
      <c r="X3030" s="65"/>
      <c r="AA3030" s="67"/>
      <c r="AD3030" s="53"/>
    </row>
    <row r="3031" spans="1:30" s="12" customFormat="1" x14ac:dyDescent="0.25">
      <c r="A3031" s="610" t="str">
        <f t="shared" si="1203"/>
        <v>BiK270GK----11</v>
      </c>
      <c r="B3031" s="17" t="s">
        <v>5548</v>
      </c>
      <c r="C3031" s="30" t="str">
        <f t="shared" si="1204"/>
        <v>Inbetriebnahme 2011</v>
      </c>
      <c r="D3031" s="17" t="s">
        <v>7253</v>
      </c>
      <c r="E3031" s="17" t="s">
        <v>4812</v>
      </c>
      <c r="F3031" s="454">
        <f t="shared" si="1205"/>
        <v>21.240000000000002</v>
      </c>
      <c r="G3031" s="529">
        <v>21.240000000000002</v>
      </c>
      <c r="H3031" s="487">
        <f t="shared" si="1206"/>
        <v>16.989999999999998</v>
      </c>
      <c r="I3031" s="706"/>
      <c r="J3031" s="669" t="s">
        <v>5805</v>
      </c>
      <c r="K3031" s="23"/>
      <c r="L3031" s="70" t="str">
        <f t="shared" si="1207"/>
        <v/>
      </c>
      <c r="M3031" s="49">
        <f t="shared" si="1208"/>
        <v>21.240000000000002</v>
      </c>
      <c r="N3031" s="41">
        <f t="shared" si="1209"/>
        <v>11.44</v>
      </c>
      <c r="O3031" s="43" t="s">
        <v>1017</v>
      </c>
      <c r="P3031" s="65"/>
      <c r="Q3031" s="65"/>
      <c r="R3031" s="58"/>
      <c r="T3031" s="65"/>
      <c r="U3031" s="65"/>
      <c r="V3031" s="12" t="s">
        <v>1017</v>
      </c>
      <c r="X3031" s="65"/>
      <c r="AA3031" s="67"/>
      <c r="AD3031" s="53"/>
    </row>
    <row r="3032" spans="1:30" s="12" customFormat="1" x14ac:dyDescent="0.25">
      <c r="A3032" s="610" t="str">
        <f t="shared" si="1203"/>
        <v>BiK270Gi----11</v>
      </c>
      <c r="B3032" s="17" t="s">
        <v>5548</v>
      </c>
      <c r="C3032" s="30" t="str">
        <f t="shared" si="1204"/>
        <v>Inbetriebnahme 2011</v>
      </c>
      <c r="D3032" s="17" t="s">
        <v>7254</v>
      </c>
      <c r="E3032" s="17" t="s">
        <v>4810</v>
      </c>
      <c r="F3032" s="454">
        <f t="shared" si="1205"/>
        <v>19.28</v>
      </c>
      <c r="G3032" s="529">
        <v>19.28</v>
      </c>
      <c r="H3032" s="487">
        <f t="shared" si="1206"/>
        <v>15.42</v>
      </c>
      <c r="I3032" s="706"/>
      <c r="J3032" s="669" t="s">
        <v>5805</v>
      </c>
      <c r="K3032" s="23"/>
      <c r="L3032" s="70" t="str">
        <f t="shared" si="1207"/>
        <v/>
      </c>
      <c r="M3032" s="49">
        <f t="shared" si="1208"/>
        <v>19.28</v>
      </c>
      <c r="N3032" s="41">
        <f t="shared" si="1209"/>
        <v>11.44</v>
      </c>
      <c r="O3032" s="61"/>
      <c r="P3032" s="65"/>
      <c r="Q3032" s="65"/>
      <c r="R3032" s="58" t="s">
        <v>1017</v>
      </c>
      <c r="T3032" s="65"/>
      <c r="U3032" s="65"/>
      <c r="V3032" s="12" t="s">
        <v>1017</v>
      </c>
      <c r="X3032" s="65"/>
      <c r="AA3032" s="67"/>
      <c r="AD3032" s="53"/>
    </row>
    <row r="3033" spans="1:30" s="12" customFormat="1" x14ac:dyDescent="0.25">
      <c r="A3033" s="610" t="str">
        <f t="shared" si="1203"/>
        <v>BiK270GiK---11</v>
      </c>
      <c r="B3033" s="17" t="s">
        <v>5548</v>
      </c>
      <c r="C3033" s="30" t="str">
        <f t="shared" si="1204"/>
        <v>Inbetriebnahme 2011</v>
      </c>
      <c r="D3033" s="17" t="s">
        <v>7255</v>
      </c>
      <c r="E3033" s="17" t="s">
        <v>4812</v>
      </c>
      <c r="F3033" s="454">
        <f t="shared" si="1205"/>
        <v>22.22</v>
      </c>
      <c r="G3033" s="529">
        <v>22.22</v>
      </c>
      <c r="H3033" s="487">
        <f t="shared" si="1206"/>
        <v>17.78</v>
      </c>
      <c r="I3033" s="706"/>
      <c r="J3033" s="669" t="s">
        <v>5805</v>
      </c>
      <c r="K3033" s="23"/>
      <c r="L3033" s="70" t="str">
        <f t="shared" si="1207"/>
        <v/>
      </c>
      <c r="M3033" s="49">
        <f t="shared" si="1208"/>
        <v>22.22</v>
      </c>
      <c r="N3033" s="41">
        <f t="shared" si="1209"/>
        <v>11.44</v>
      </c>
      <c r="O3033" s="43" t="s">
        <v>1017</v>
      </c>
      <c r="P3033" s="65"/>
      <c r="Q3033" s="65"/>
      <c r="R3033" s="58" t="s">
        <v>1017</v>
      </c>
      <c r="T3033" s="65"/>
      <c r="U3033" s="65"/>
      <c r="V3033" s="12" t="s">
        <v>1017</v>
      </c>
      <c r="X3033" s="65"/>
      <c r="AA3033" s="67"/>
      <c r="AD3033" s="53"/>
    </row>
    <row r="3034" spans="1:30" s="12" customFormat="1" x14ac:dyDescent="0.25">
      <c r="A3034" s="610" t="str">
        <f t="shared" si="1203"/>
        <v>BiK270L-----11</v>
      </c>
      <c r="B3034" s="17" t="s">
        <v>5548</v>
      </c>
      <c r="C3034" s="30" t="str">
        <f t="shared" si="1204"/>
        <v>Inbetriebnahme 2011</v>
      </c>
      <c r="D3034" s="17" t="s">
        <v>6834</v>
      </c>
      <c r="E3034" s="17" t="s">
        <v>4810</v>
      </c>
      <c r="F3034" s="454">
        <f t="shared" si="1205"/>
        <v>20.259999999999998</v>
      </c>
      <c r="G3034" s="529">
        <v>20.259999999999998</v>
      </c>
      <c r="H3034" s="487">
        <f t="shared" si="1206"/>
        <v>16.21</v>
      </c>
      <c r="I3034" s="706"/>
      <c r="J3034" s="669" t="s">
        <v>5805</v>
      </c>
      <c r="K3034" s="23"/>
      <c r="L3034" s="70" t="str">
        <f t="shared" si="1207"/>
        <v/>
      </c>
      <c r="M3034" s="49">
        <f t="shared" si="1208"/>
        <v>20.259999999999998</v>
      </c>
      <c r="N3034" s="41">
        <f t="shared" si="1209"/>
        <v>11.44</v>
      </c>
      <c r="O3034" s="61"/>
      <c r="P3034" s="65"/>
      <c r="Q3034" s="65"/>
      <c r="R3034" s="58"/>
      <c r="T3034" s="65"/>
      <c r="U3034" s="65"/>
      <c r="X3034" s="65"/>
      <c r="Y3034" s="12" t="s">
        <v>1017</v>
      </c>
      <c r="AA3034" s="67"/>
      <c r="AD3034" s="53"/>
    </row>
    <row r="3035" spans="1:30" s="12" customFormat="1" x14ac:dyDescent="0.25">
      <c r="A3035" s="610" t="str">
        <f t="shared" si="1203"/>
        <v>BiK270LK----11</v>
      </c>
      <c r="B3035" s="17" t="s">
        <v>5548</v>
      </c>
      <c r="C3035" s="30" t="str">
        <f t="shared" si="1204"/>
        <v>Inbetriebnahme 2011</v>
      </c>
      <c r="D3035" s="17" t="s">
        <v>7256</v>
      </c>
      <c r="E3035" s="17" t="s">
        <v>4812</v>
      </c>
      <c r="F3035" s="454">
        <f t="shared" si="1205"/>
        <v>23.2</v>
      </c>
      <c r="G3035" s="529">
        <v>23.2</v>
      </c>
      <c r="H3035" s="487">
        <f t="shared" si="1206"/>
        <v>18.559999999999999</v>
      </c>
      <c r="I3035" s="706"/>
      <c r="J3035" s="669" t="s">
        <v>5805</v>
      </c>
      <c r="K3035" s="23"/>
      <c r="L3035" s="70" t="str">
        <f t="shared" si="1207"/>
        <v/>
      </c>
      <c r="M3035" s="49">
        <f t="shared" si="1208"/>
        <v>23.2</v>
      </c>
      <c r="N3035" s="41">
        <f t="shared" si="1209"/>
        <v>11.44</v>
      </c>
      <c r="O3035" s="43" t="s">
        <v>1017</v>
      </c>
      <c r="P3035" s="65"/>
      <c r="Q3035" s="65"/>
      <c r="R3035" s="58"/>
      <c r="T3035" s="65"/>
      <c r="U3035" s="65"/>
      <c r="X3035" s="65"/>
      <c r="Y3035" s="12" t="s">
        <v>1017</v>
      </c>
      <c r="AA3035" s="67"/>
      <c r="AD3035" s="53"/>
    </row>
    <row r="3036" spans="1:30" s="12" customFormat="1" x14ac:dyDescent="0.25">
      <c r="A3036" s="610" t="str">
        <f t="shared" si="1203"/>
        <v>BiK270Li----11</v>
      </c>
      <c r="B3036" s="17" t="s">
        <v>5548</v>
      </c>
      <c r="C3036" s="30" t="str">
        <f t="shared" si="1204"/>
        <v>Inbetriebnahme 2011</v>
      </c>
      <c r="D3036" s="17" t="s">
        <v>7257</v>
      </c>
      <c r="E3036" s="17" t="s">
        <v>4810</v>
      </c>
      <c r="F3036" s="454">
        <f t="shared" si="1205"/>
        <v>21.240000000000002</v>
      </c>
      <c r="G3036" s="529">
        <v>21.240000000000002</v>
      </c>
      <c r="H3036" s="487">
        <f t="shared" si="1206"/>
        <v>16.989999999999998</v>
      </c>
      <c r="I3036" s="706"/>
      <c r="J3036" s="669" t="s">
        <v>5805</v>
      </c>
      <c r="K3036" s="23"/>
      <c r="L3036" s="70" t="str">
        <f t="shared" si="1207"/>
        <v/>
      </c>
      <c r="M3036" s="49">
        <f t="shared" si="1208"/>
        <v>21.240000000000002</v>
      </c>
      <c r="N3036" s="41">
        <f t="shared" si="1209"/>
        <v>11.44</v>
      </c>
      <c r="O3036" s="61"/>
      <c r="P3036" s="65"/>
      <c r="Q3036" s="65"/>
      <c r="R3036" s="58" t="s">
        <v>1017</v>
      </c>
      <c r="T3036" s="65"/>
      <c r="U3036" s="65"/>
      <c r="X3036" s="65"/>
      <c r="Y3036" s="12" t="s">
        <v>1017</v>
      </c>
      <c r="AA3036" s="67"/>
      <c r="AD3036" s="53"/>
    </row>
    <row r="3037" spans="1:30" s="12" customFormat="1" x14ac:dyDescent="0.25">
      <c r="A3037" s="610" t="str">
        <f t="shared" si="1203"/>
        <v>BiK270LiK---11</v>
      </c>
      <c r="B3037" s="17" t="s">
        <v>5548</v>
      </c>
      <c r="C3037" s="30" t="str">
        <f t="shared" si="1204"/>
        <v>Inbetriebnahme 2011</v>
      </c>
      <c r="D3037" s="17" t="s">
        <v>7258</v>
      </c>
      <c r="E3037" s="17" t="s">
        <v>4812</v>
      </c>
      <c r="F3037" s="454">
        <f t="shared" si="1205"/>
        <v>24.18</v>
      </c>
      <c r="G3037" s="529">
        <v>24.18</v>
      </c>
      <c r="H3037" s="487">
        <f t="shared" si="1206"/>
        <v>19.34</v>
      </c>
      <c r="I3037" s="706"/>
      <c r="J3037" s="669" t="s">
        <v>5805</v>
      </c>
      <c r="K3037" s="23"/>
      <c r="L3037" s="70" t="str">
        <f t="shared" si="1207"/>
        <v/>
      </c>
      <c r="M3037" s="49">
        <f t="shared" si="1208"/>
        <v>24.18</v>
      </c>
      <c r="N3037" s="41">
        <f t="shared" si="1209"/>
        <v>11.44</v>
      </c>
      <c r="O3037" s="43" t="s">
        <v>1017</v>
      </c>
      <c r="P3037" s="65"/>
      <c r="Q3037" s="65"/>
      <c r="R3037" s="58" t="s">
        <v>1017</v>
      </c>
      <c r="T3037" s="65"/>
      <c r="U3037" s="65"/>
      <c r="X3037" s="65"/>
      <c r="Y3037" s="12" t="s">
        <v>1017</v>
      </c>
      <c r="AA3037" s="67"/>
      <c r="AD3037" s="53"/>
    </row>
    <row r="3038" spans="1:30" s="12" customFormat="1" x14ac:dyDescent="0.25">
      <c r="A3038" s="610" t="str">
        <f t="shared" si="1203"/>
        <v>BiK270M1----11</v>
      </c>
      <c r="B3038" s="17" t="s">
        <v>5548</v>
      </c>
      <c r="C3038" s="30" t="str">
        <f t="shared" si="1204"/>
        <v>Inbetriebnahme 2011</v>
      </c>
      <c r="D3038" s="17" t="s">
        <v>6822</v>
      </c>
      <c r="E3038" s="17" t="s">
        <v>4810</v>
      </c>
      <c r="F3038" s="454">
        <f t="shared" si="1205"/>
        <v>22.22</v>
      </c>
      <c r="G3038" s="529">
        <v>22.22</v>
      </c>
      <c r="H3038" s="487">
        <f t="shared" si="1206"/>
        <v>17.78</v>
      </c>
      <c r="I3038" s="706"/>
      <c r="J3038" s="669" t="s">
        <v>5805</v>
      </c>
      <c r="K3038" s="23"/>
      <c r="L3038" s="70" t="str">
        <f t="shared" si="1207"/>
        <v/>
      </c>
      <c r="M3038" s="49">
        <f t="shared" si="1208"/>
        <v>22.22</v>
      </c>
      <c r="N3038" s="41">
        <f t="shared" si="1209"/>
        <v>11.44</v>
      </c>
      <c r="O3038" s="61"/>
      <c r="P3038" s="65"/>
      <c r="Q3038" s="65"/>
      <c r="R3038" s="58"/>
      <c r="T3038" s="65"/>
      <c r="U3038" s="65"/>
      <c r="W3038" s="12" t="s">
        <v>1017</v>
      </c>
      <c r="X3038" s="65"/>
      <c r="AA3038" s="67"/>
      <c r="AD3038" s="53"/>
    </row>
    <row r="3039" spans="1:30" s="12" customFormat="1" x14ac:dyDescent="0.25">
      <c r="A3039" s="610" t="str">
        <f t="shared" si="1203"/>
        <v>BiK270M1K---11</v>
      </c>
      <c r="B3039" s="17" t="s">
        <v>5548</v>
      </c>
      <c r="C3039" s="30" t="str">
        <f t="shared" si="1204"/>
        <v>Inbetriebnahme 2011</v>
      </c>
      <c r="D3039" s="17" t="s">
        <v>7259</v>
      </c>
      <c r="E3039" s="17" t="s">
        <v>4812</v>
      </c>
      <c r="F3039" s="454">
        <f t="shared" si="1205"/>
        <v>25.16</v>
      </c>
      <c r="G3039" s="529">
        <v>25.16</v>
      </c>
      <c r="H3039" s="487">
        <f t="shared" si="1206"/>
        <v>20.13</v>
      </c>
      <c r="I3039" s="706"/>
      <c r="J3039" s="669" t="s">
        <v>5805</v>
      </c>
      <c r="K3039" s="23"/>
      <c r="L3039" s="70" t="str">
        <f t="shared" si="1207"/>
        <v/>
      </c>
      <c r="M3039" s="49">
        <f t="shared" si="1208"/>
        <v>25.16</v>
      </c>
      <c r="N3039" s="41">
        <f t="shared" si="1209"/>
        <v>11.44</v>
      </c>
      <c r="O3039" s="43" t="s">
        <v>1017</v>
      </c>
      <c r="P3039" s="65"/>
      <c r="Q3039" s="65"/>
      <c r="R3039" s="58"/>
      <c r="T3039" s="65"/>
      <c r="U3039" s="65"/>
      <c r="W3039" s="12" t="s">
        <v>1017</v>
      </c>
      <c r="X3039" s="65"/>
      <c r="AA3039" s="67"/>
      <c r="AD3039" s="53"/>
    </row>
    <row r="3040" spans="1:30" s="12" customFormat="1" x14ac:dyDescent="0.25">
      <c r="A3040" s="610" t="str">
        <f t="shared" si="1203"/>
        <v>BiK270M1i---11</v>
      </c>
      <c r="B3040" s="17" t="s">
        <v>5548</v>
      </c>
      <c r="C3040" s="30" t="str">
        <f t="shared" si="1204"/>
        <v>Inbetriebnahme 2011</v>
      </c>
      <c r="D3040" s="17" t="s">
        <v>7260</v>
      </c>
      <c r="E3040" s="17" t="s">
        <v>4810</v>
      </c>
      <c r="F3040" s="454">
        <f t="shared" si="1205"/>
        <v>23.200000000000003</v>
      </c>
      <c r="G3040" s="529">
        <v>23.200000000000003</v>
      </c>
      <c r="H3040" s="487">
        <f t="shared" si="1206"/>
        <v>18.559999999999999</v>
      </c>
      <c r="I3040" s="706"/>
      <c r="J3040" s="669" t="s">
        <v>5805</v>
      </c>
      <c r="K3040" s="23"/>
      <c r="L3040" s="70" t="str">
        <f t="shared" si="1207"/>
        <v/>
      </c>
      <c r="M3040" s="49">
        <f t="shared" si="1208"/>
        <v>23.200000000000003</v>
      </c>
      <c r="N3040" s="41">
        <f t="shared" si="1209"/>
        <v>11.44</v>
      </c>
      <c r="O3040" s="61"/>
      <c r="P3040" s="65"/>
      <c r="Q3040" s="65"/>
      <c r="R3040" s="58" t="s">
        <v>1017</v>
      </c>
      <c r="T3040" s="65"/>
      <c r="U3040" s="65"/>
      <c r="W3040" s="12" t="s">
        <v>1017</v>
      </c>
      <c r="X3040" s="65"/>
      <c r="AA3040" s="67"/>
      <c r="AD3040" s="53"/>
    </row>
    <row r="3041" spans="1:30" s="12" customFormat="1" x14ac:dyDescent="0.25">
      <c r="A3041" s="610" t="str">
        <f t="shared" si="1203"/>
        <v>BiK270M1iK--11</v>
      </c>
      <c r="B3041" s="17" t="s">
        <v>5548</v>
      </c>
      <c r="C3041" s="30" t="str">
        <f t="shared" si="1204"/>
        <v>Inbetriebnahme 2011</v>
      </c>
      <c r="D3041" s="17" t="s">
        <v>7261</v>
      </c>
      <c r="E3041" s="17" t="s">
        <v>4812</v>
      </c>
      <c r="F3041" s="454">
        <f t="shared" si="1205"/>
        <v>26.14</v>
      </c>
      <c r="G3041" s="529">
        <v>26.14</v>
      </c>
      <c r="H3041" s="487">
        <f t="shared" si="1206"/>
        <v>20.91</v>
      </c>
      <c r="I3041" s="706"/>
      <c r="J3041" s="669" t="s">
        <v>5805</v>
      </c>
      <c r="K3041" s="23"/>
      <c r="L3041" s="70" t="str">
        <f t="shared" si="1207"/>
        <v/>
      </c>
      <c r="M3041" s="49">
        <f t="shared" si="1208"/>
        <v>26.14</v>
      </c>
      <c r="N3041" s="41">
        <f t="shared" si="1209"/>
        <v>11.44</v>
      </c>
      <c r="O3041" s="43" t="s">
        <v>1017</v>
      </c>
      <c r="P3041" s="65"/>
      <c r="Q3041" s="65"/>
      <c r="R3041" s="58" t="s">
        <v>1017</v>
      </c>
      <c r="T3041" s="65"/>
      <c r="U3041" s="65"/>
      <c r="W3041" s="12" t="s">
        <v>1017</v>
      </c>
      <c r="X3041" s="65"/>
      <c r="AA3041" s="67"/>
      <c r="AD3041" s="53"/>
    </row>
    <row r="3042" spans="1:30" s="12" customFormat="1" x14ac:dyDescent="0.25">
      <c r="A3042" s="610" t="str">
        <f t="shared" si="1203"/>
        <v>BiK270X1----11</v>
      </c>
      <c r="B3042" s="17" t="s">
        <v>5548</v>
      </c>
      <c r="C3042" s="30" t="str">
        <f t="shared" si="1204"/>
        <v>Inbetriebnahme 2011</v>
      </c>
      <c r="D3042" s="30" t="s">
        <v>7262</v>
      </c>
      <c r="E3042" s="17" t="s">
        <v>4810</v>
      </c>
      <c r="F3042" s="454">
        <f t="shared" si="1205"/>
        <v>24.18</v>
      </c>
      <c r="G3042" s="529">
        <v>24.18</v>
      </c>
      <c r="H3042" s="487">
        <f t="shared" si="1206"/>
        <v>19.34</v>
      </c>
      <c r="I3042" s="706"/>
      <c r="J3042" s="669" t="s">
        <v>5805</v>
      </c>
      <c r="K3042" s="23"/>
      <c r="L3042" s="70" t="str">
        <f t="shared" si="1207"/>
        <v/>
      </c>
      <c r="M3042" s="49">
        <f t="shared" si="1208"/>
        <v>24.18</v>
      </c>
      <c r="N3042" s="41">
        <f t="shared" si="1209"/>
        <v>11.44</v>
      </c>
      <c r="O3042" s="61"/>
      <c r="P3042" s="65"/>
      <c r="Q3042" s="65"/>
      <c r="R3042" s="58"/>
      <c r="T3042" s="65"/>
      <c r="U3042" s="65"/>
      <c r="X3042" s="65"/>
      <c r="Z3042" s="12" t="s">
        <v>1017</v>
      </c>
      <c r="AA3042" s="67"/>
      <c r="AD3042" s="53"/>
    </row>
    <row r="3043" spans="1:30" s="12" customFormat="1" x14ac:dyDescent="0.25">
      <c r="A3043" s="610" t="str">
        <f t="shared" si="1203"/>
        <v>BiK270X1K---11</v>
      </c>
      <c r="B3043" s="17" t="s">
        <v>5548</v>
      </c>
      <c r="C3043" s="30" t="str">
        <f t="shared" si="1204"/>
        <v>Inbetriebnahme 2011</v>
      </c>
      <c r="D3043" s="30" t="s">
        <v>7263</v>
      </c>
      <c r="E3043" s="17" t="s">
        <v>4812</v>
      </c>
      <c r="F3043" s="454">
        <f t="shared" si="1205"/>
        <v>27.12</v>
      </c>
      <c r="G3043" s="529">
        <v>27.12</v>
      </c>
      <c r="H3043" s="487">
        <f t="shared" si="1206"/>
        <v>21.7</v>
      </c>
      <c r="I3043" s="706"/>
      <c r="J3043" s="669" t="s">
        <v>5805</v>
      </c>
      <c r="K3043" s="23"/>
      <c r="L3043" s="70" t="str">
        <f t="shared" si="1207"/>
        <v/>
      </c>
      <c r="M3043" s="49">
        <f t="shared" si="1208"/>
        <v>27.12</v>
      </c>
      <c r="N3043" s="41">
        <f t="shared" si="1209"/>
        <v>11.44</v>
      </c>
      <c r="O3043" s="43" t="s">
        <v>1017</v>
      </c>
      <c r="P3043" s="65"/>
      <c r="Q3043" s="65"/>
      <c r="R3043" s="58"/>
      <c r="T3043" s="65"/>
      <c r="U3043" s="65"/>
      <c r="X3043" s="65"/>
      <c r="Z3043" s="12" t="s">
        <v>1017</v>
      </c>
      <c r="AA3043" s="67"/>
      <c r="AD3043" s="53"/>
    </row>
    <row r="3044" spans="1:30" s="12" customFormat="1" x14ac:dyDescent="0.25">
      <c r="A3044" s="610" t="str">
        <f t="shared" si="1203"/>
        <v>BiK270X1i---11</v>
      </c>
      <c r="B3044" s="17" t="s">
        <v>5548</v>
      </c>
      <c r="C3044" s="30" t="str">
        <f t="shared" si="1204"/>
        <v>Inbetriebnahme 2011</v>
      </c>
      <c r="D3044" s="30" t="s">
        <v>7264</v>
      </c>
      <c r="E3044" s="17" t="s">
        <v>4810</v>
      </c>
      <c r="F3044" s="454">
        <f t="shared" si="1205"/>
        <v>25.160000000000004</v>
      </c>
      <c r="G3044" s="529">
        <v>25.160000000000004</v>
      </c>
      <c r="H3044" s="487">
        <f t="shared" si="1206"/>
        <v>20.13</v>
      </c>
      <c r="I3044" s="706"/>
      <c r="J3044" s="669" t="s">
        <v>5805</v>
      </c>
      <c r="K3044" s="23"/>
      <c r="L3044" s="70" t="str">
        <f t="shared" si="1207"/>
        <v/>
      </c>
      <c r="M3044" s="49">
        <f t="shared" si="1208"/>
        <v>25.160000000000004</v>
      </c>
      <c r="N3044" s="41">
        <f t="shared" si="1209"/>
        <v>11.44</v>
      </c>
      <c r="O3044" s="61"/>
      <c r="P3044" s="65"/>
      <c r="Q3044" s="65"/>
      <c r="R3044" s="58" t="s">
        <v>1017</v>
      </c>
      <c r="T3044" s="65"/>
      <c r="U3044" s="65"/>
      <c r="X3044" s="65"/>
      <c r="Z3044" s="12" t="s">
        <v>1017</v>
      </c>
      <c r="AA3044" s="67"/>
      <c r="AD3044" s="53"/>
    </row>
    <row r="3045" spans="1:30" s="12" customFormat="1" x14ac:dyDescent="0.25">
      <c r="A3045" s="610" t="str">
        <f t="shared" si="1203"/>
        <v>BiK270X1iK--11</v>
      </c>
      <c r="B3045" s="17" t="s">
        <v>5548</v>
      </c>
      <c r="C3045" s="30" t="str">
        <f t="shared" si="1204"/>
        <v>Inbetriebnahme 2011</v>
      </c>
      <c r="D3045" s="30" t="s">
        <v>7265</v>
      </c>
      <c r="E3045" s="17" t="s">
        <v>4812</v>
      </c>
      <c r="F3045" s="454">
        <f t="shared" si="1205"/>
        <v>28.1</v>
      </c>
      <c r="G3045" s="529">
        <v>28.1</v>
      </c>
      <c r="H3045" s="487">
        <f t="shared" si="1206"/>
        <v>22.48</v>
      </c>
      <c r="I3045" s="706"/>
      <c r="J3045" s="669" t="s">
        <v>5805</v>
      </c>
      <c r="K3045" s="23"/>
      <c r="L3045" s="70" t="str">
        <f t="shared" si="1207"/>
        <v/>
      </c>
      <c r="M3045" s="49">
        <f t="shared" si="1208"/>
        <v>28.1</v>
      </c>
      <c r="N3045" s="41">
        <f t="shared" si="1209"/>
        <v>11.44</v>
      </c>
      <c r="O3045" s="43" t="s">
        <v>1017</v>
      </c>
      <c r="P3045" s="65"/>
      <c r="Q3045" s="65"/>
      <c r="R3045" s="58" t="s">
        <v>1017</v>
      </c>
      <c r="T3045" s="65"/>
      <c r="U3045" s="65"/>
      <c r="X3045" s="65"/>
      <c r="Z3045" s="12" t="s">
        <v>1017</v>
      </c>
      <c r="AA3045" s="67"/>
      <c r="AD3045" s="53"/>
    </row>
    <row r="3046" spans="1:30" s="12" customFormat="1" x14ac:dyDescent="0.25">
      <c r="A3046" s="610" t="str">
        <f t="shared" si="1203"/>
        <v>BiK270t1----11</v>
      </c>
      <c r="B3046" s="17" t="s">
        <v>5548</v>
      </c>
      <c r="C3046" s="30" t="str">
        <f t="shared" si="1204"/>
        <v>Inbetriebnahme 2011</v>
      </c>
      <c r="D3046" s="17" t="s">
        <v>7266</v>
      </c>
      <c r="E3046" s="17" t="s">
        <v>4810</v>
      </c>
      <c r="F3046" s="454">
        <f t="shared" si="1205"/>
        <v>13.399999999999999</v>
      </c>
      <c r="G3046" s="529">
        <v>13.399999999999999</v>
      </c>
      <c r="H3046" s="487">
        <f t="shared" si="1206"/>
        <v>10.72</v>
      </c>
      <c r="I3046" s="706"/>
      <c r="J3046" s="669" t="s">
        <v>5805</v>
      </c>
      <c r="K3046" s="23"/>
      <c r="L3046" s="70" t="str">
        <f t="shared" si="1207"/>
        <v/>
      </c>
      <c r="M3046" s="49">
        <f t="shared" si="1208"/>
        <v>13.399999999999999</v>
      </c>
      <c r="N3046" s="41">
        <f t="shared" si="1209"/>
        <v>11.44</v>
      </c>
      <c r="O3046" s="61"/>
      <c r="P3046" s="65"/>
      <c r="Q3046" s="65"/>
      <c r="R3046" s="58"/>
      <c r="T3046" s="65"/>
      <c r="U3046" s="65"/>
      <c r="X3046" s="65"/>
      <c r="AA3046" s="67"/>
      <c r="AB3046" s="12" t="s">
        <v>1017</v>
      </c>
      <c r="AD3046" s="53"/>
    </row>
    <row r="3047" spans="1:30" s="12" customFormat="1" x14ac:dyDescent="0.25">
      <c r="A3047" s="610" t="str">
        <f t="shared" si="1203"/>
        <v>BiK270t1K---11</v>
      </c>
      <c r="B3047" s="17" t="s">
        <v>5548</v>
      </c>
      <c r="C3047" s="30" t="str">
        <f t="shared" si="1204"/>
        <v>Inbetriebnahme 2011</v>
      </c>
      <c r="D3047" s="17" t="s">
        <v>7267</v>
      </c>
      <c r="E3047" s="17" t="s">
        <v>4812</v>
      </c>
      <c r="F3047" s="454">
        <f t="shared" si="1205"/>
        <v>16.34</v>
      </c>
      <c r="G3047" s="529">
        <v>16.34</v>
      </c>
      <c r="H3047" s="487">
        <f t="shared" si="1206"/>
        <v>13.07</v>
      </c>
      <c r="I3047" s="706"/>
      <c r="J3047" s="669" t="s">
        <v>5805</v>
      </c>
      <c r="K3047" s="23"/>
      <c r="L3047" s="70" t="str">
        <f t="shared" si="1207"/>
        <v/>
      </c>
      <c r="M3047" s="49">
        <f t="shared" si="1208"/>
        <v>16.34</v>
      </c>
      <c r="N3047" s="41">
        <f t="shared" si="1209"/>
        <v>11.44</v>
      </c>
      <c r="O3047" s="43" t="s">
        <v>1017</v>
      </c>
      <c r="P3047" s="65"/>
      <c r="Q3047" s="65"/>
      <c r="R3047" s="58"/>
      <c r="T3047" s="65"/>
      <c r="U3047" s="65"/>
      <c r="X3047" s="65"/>
      <c r="AA3047" s="67"/>
      <c r="AB3047" s="12" t="s">
        <v>1017</v>
      </c>
      <c r="AD3047" s="53"/>
    </row>
    <row r="3048" spans="1:30" s="12" customFormat="1" x14ac:dyDescent="0.25">
      <c r="A3048" s="610" t="str">
        <f t="shared" si="1203"/>
        <v>BiK270t1i---11</v>
      </c>
      <c r="B3048" s="17" t="s">
        <v>5548</v>
      </c>
      <c r="C3048" s="30" t="str">
        <f t="shared" si="1204"/>
        <v>Inbetriebnahme 2011</v>
      </c>
      <c r="D3048" s="30" t="s">
        <v>7268</v>
      </c>
      <c r="E3048" s="17" t="s">
        <v>4810</v>
      </c>
      <c r="F3048" s="454">
        <f t="shared" si="1205"/>
        <v>14.379999999999999</v>
      </c>
      <c r="G3048" s="529">
        <v>14.379999999999999</v>
      </c>
      <c r="H3048" s="487">
        <f t="shared" si="1206"/>
        <v>11.5</v>
      </c>
      <c r="I3048" s="706"/>
      <c r="J3048" s="669" t="s">
        <v>5805</v>
      </c>
      <c r="K3048" s="23"/>
      <c r="L3048" s="70" t="str">
        <f t="shared" si="1207"/>
        <v/>
      </c>
      <c r="M3048" s="49">
        <f t="shared" si="1208"/>
        <v>14.379999999999999</v>
      </c>
      <c r="N3048" s="41">
        <f t="shared" si="1209"/>
        <v>11.44</v>
      </c>
      <c r="O3048" s="61"/>
      <c r="P3048" s="65"/>
      <c r="Q3048" s="65"/>
      <c r="R3048" s="58" t="s">
        <v>1017</v>
      </c>
      <c r="T3048" s="65"/>
      <c r="U3048" s="65"/>
      <c r="X3048" s="65"/>
      <c r="AA3048" s="67"/>
      <c r="AB3048" s="12" t="s">
        <v>1017</v>
      </c>
      <c r="AD3048" s="53"/>
    </row>
    <row r="3049" spans="1:30" s="12" customFormat="1" x14ac:dyDescent="0.25">
      <c r="A3049" s="610" t="str">
        <f t="shared" si="1203"/>
        <v>BiK270t1iK--11</v>
      </c>
      <c r="B3049" s="17" t="s">
        <v>5548</v>
      </c>
      <c r="C3049" s="30" t="str">
        <f t="shared" si="1204"/>
        <v>Inbetriebnahme 2011</v>
      </c>
      <c r="D3049" s="30" t="s">
        <v>7269</v>
      </c>
      <c r="E3049" s="17" t="s">
        <v>4812</v>
      </c>
      <c r="F3049" s="454">
        <f t="shared" si="1205"/>
        <v>17.32</v>
      </c>
      <c r="G3049" s="529">
        <v>17.32</v>
      </c>
      <c r="H3049" s="487">
        <f t="shared" si="1206"/>
        <v>13.86</v>
      </c>
      <c r="I3049" s="706"/>
      <c r="J3049" s="669" t="s">
        <v>5805</v>
      </c>
      <c r="K3049" s="23"/>
      <c r="L3049" s="70" t="str">
        <f t="shared" si="1207"/>
        <v/>
      </c>
      <c r="M3049" s="49">
        <f t="shared" si="1208"/>
        <v>17.32</v>
      </c>
      <c r="N3049" s="41">
        <f t="shared" si="1209"/>
        <v>11.44</v>
      </c>
      <c r="O3049" s="43" t="s">
        <v>1017</v>
      </c>
      <c r="P3049" s="65"/>
      <c r="Q3049" s="65"/>
      <c r="R3049" s="58" t="s">
        <v>1017</v>
      </c>
      <c r="T3049" s="65"/>
      <c r="U3049" s="65"/>
      <c r="X3049" s="65"/>
      <c r="AA3049" s="67"/>
      <c r="AB3049" s="12" t="s">
        <v>1017</v>
      </c>
      <c r="AD3049" s="53"/>
    </row>
    <row r="3050" spans="1:30" s="12" customFormat="1" x14ac:dyDescent="0.25">
      <c r="A3050" s="610" t="str">
        <f t="shared" si="1203"/>
        <v>BiK270t1a1--11</v>
      </c>
      <c r="B3050" s="17" t="s">
        <v>5548</v>
      </c>
      <c r="C3050" s="30" t="str">
        <f t="shared" si="1204"/>
        <v>Inbetriebnahme 2011</v>
      </c>
      <c r="D3050" s="17" t="s">
        <v>7270</v>
      </c>
      <c r="E3050" s="17" t="s">
        <v>4810</v>
      </c>
      <c r="F3050" s="454">
        <f t="shared" si="1205"/>
        <v>19.28</v>
      </c>
      <c r="G3050" s="529">
        <v>19.28</v>
      </c>
      <c r="H3050" s="487">
        <f t="shared" si="1206"/>
        <v>15.42</v>
      </c>
      <c r="I3050" s="706"/>
      <c r="J3050" s="669" t="s">
        <v>5805</v>
      </c>
      <c r="K3050" s="23"/>
      <c r="L3050" s="70" t="str">
        <f t="shared" si="1207"/>
        <v/>
      </c>
      <c r="M3050" s="49">
        <f t="shared" si="1208"/>
        <v>19.28</v>
      </c>
      <c r="N3050" s="41">
        <f t="shared" si="1209"/>
        <v>11.44</v>
      </c>
      <c r="O3050" s="61"/>
      <c r="P3050" s="65"/>
      <c r="Q3050" s="65"/>
      <c r="R3050" s="58"/>
      <c r="S3050" s="12" t="s">
        <v>1017</v>
      </c>
      <c r="T3050" s="65"/>
      <c r="U3050" s="65"/>
      <c r="X3050" s="65"/>
      <c r="AA3050" s="67"/>
      <c r="AB3050" s="12" t="s">
        <v>1017</v>
      </c>
      <c r="AD3050" s="53"/>
    </row>
    <row r="3051" spans="1:30" s="12" customFormat="1" x14ac:dyDescent="0.25">
      <c r="A3051" s="610" t="str">
        <f t="shared" si="1203"/>
        <v>BiK270t1a1K-11</v>
      </c>
      <c r="B3051" s="17" t="s">
        <v>5548</v>
      </c>
      <c r="C3051" s="30" t="str">
        <f t="shared" si="1204"/>
        <v>Inbetriebnahme 2011</v>
      </c>
      <c r="D3051" s="17" t="s">
        <v>7271</v>
      </c>
      <c r="E3051" s="17" t="s">
        <v>4812</v>
      </c>
      <c r="F3051" s="454">
        <f t="shared" si="1205"/>
        <v>22.22</v>
      </c>
      <c r="G3051" s="529">
        <v>22.22</v>
      </c>
      <c r="H3051" s="487">
        <f t="shared" si="1206"/>
        <v>17.78</v>
      </c>
      <c r="I3051" s="706"/>
      <c r="J3051" s="669" t="s">
        <v>5805</v>
      </c>
      <c r="K3051" s="23"/>
      <c r="L3051" s="70" t="str">
        <f t="shared" si="1207"/>
        <v/>
      </c>
      <c r="M3051" s="49">
        <f t="shared" si="1208"/>
        <v>22.22</v>
      </c>
      <c r="N3051" s="41">
        <f t="shared" si="1209"/>
        <v>11.44</v>
      </c>
      <c r="O3051" s="43" t="s">
        <v>1017</v>
      </c>
      <c r="P3051" s="65"/>
      <c r="Q3051" s="65"/>
      <c r="R3051" s="58"/>
      <c r="S3051" s="12" t="s">
        <v>1017</v>
      </c>
      <c r="T3051" s="65"/>
      <c r="U3051" s="65"/>
      <c r="X3051" s="65"/>
      <c r="AA3051" s="67"/>
      <c r="AB3051" s="12" t="s">
        <v>1017</v>
      </c>
      <c r="AD3051" s="53"/>
    </row>
    <row r="3052" spans="1:30" s="12" customFormat="1" x14ac:dyDescent="0.25">
      <c r="A3052" s="610" t="str">
        <f t="shared" si="1203"/>
        <v>BiK270t1a1i-11</v>
      </c>
      <c r="B3052" s="17" t="s">
        <v>5548</v>
      </c>
      <c r="C3052" s="30" t="str">
        <f t="shared" si="1204"/>
        <v>Inbetriebnahme 2011</v>
      </c>
      <c r="D3052" s="30" t="s">
        <v>7272</v>
      </c>
      <c r="E3052" s="17" t="s">
        <v>4810</v>
      </c>
      <c r="F3052" s="454">
        <f t="shared" si="1205"/>
        <v>20.259999999999998</v>
      </c>
      <c r="G3052" s="529">
        <v>20.259999999999998</v>
      </c>
      <c r="H3052" s="487">
        <f t="shared" si="1206"/>
        <v>16.21</v>
      </c>
      <c r="I3052" s="706"/>
      <c r="J3052" s="669" t="s">
        <v>5805</v>
      </c>
      <c r="K3052" s="23"/>
      <c r="L3052" s="70" t="str">
        <f t="shared" si="1207"/>
        <v/>
      </c>
      <c r="M3052" s="49">
        <f t="shared" si="1208"/>
        <v>20.259999999999998</v>
      </c>
      <c r="N3052" s="41">
        <f t="shared" si="1209"/>
        <v>11.44</v>
      </c>
      <c r="O3052" s="61"/>
      <c r="P3052" s="65"/>
      <c r="Q3052" s="65"/>
      <c r="R3052" s="58" t="s">
        <v>1017</v>
      </c>
      <c r="S3052" s="12" t="s">
        <v>1017</v>
      </c>
      <c r="T3052" s="65"/>
      <c r="U3052" s="65"/>
      <c r="X3052" s="65"/>
      <c r="AA3052" s="67"/>
      <c r="AB3052" s="12" t="s">
        <v>1017</v>
      </c>
      <c r="AD3052" s="53"/>
    </row>
    <row r="3053" spans="1:30" s="12" customFormat="1" x14ac:dyDescent="0.25">
      <c r="A3053" s="610" t="str">
        <f t="shared" si="1203"/>
        <v>BiK270t1a1iK11</v>
      </c>
      <c r="B3053" s="17" t="s">
        <v>5548</v>
      </c>
      <c r="C3053" s="30" t="str">
        <f t="shared" si="1204"/>
        <v>Inbetriebnahme 2011</v>
      </c>
      <c r="D3053" s="30" t="s">
        <v>7273</v>
      </c>
      <c r="E3053" s="17" t="s">
        <v>4812</v>
      </c>
      <c r="F3053" s="454">
        <f t="shared" si="1205"/>
        <v>23.200000000000003</v>
      </c>
      <c r="G3053" s="529">
        <v>23.200000000000003</v>
      </c>
      <c r="H3053" s="487">
        <f t="shared" si="1206"/>
        <v>18.559999999999999</v>
      </c>
      <c r="I3053" s="706"/>
      <c r="J3053" s="669" t="s">
        <v>5805</v>
      </c>
      <c r="K3053" s="23"/>
      <c r="L3053" s="70" t="str">
        <f t="shared" si="1207"/>
        <v/>
      </c>
      <c r="M3053" s="49">
        <f t="shared" si="1208"/>
        <v>23.200000000000003</v>
      </c>
      <c r="N3053" s="41">
        <f t="shared" si="1209"/>
        <v>11.44</v>
      </c>
      <c r="O3053" s="43" t="s">
        <v>1017</v>
      </c>
      <c r="P3053" s="65"/>
      <c r="Q3053" s="65"/>
      <c r="R3053" s="58" t="s">
        <v>1017</v>
      </c>
      <c r="S3053" s="12" t="s">
        <v>1017</v>
      </c>
      <c r="T3053" s="65"/>
      <c r="U3053" s="65"/>
      <c r="X3053" s="65"/>
      <c r="AA3053" s="67"/>
      <c r="AB3053" s="12" t="s">
        <v>1017</v>
      </c>
      <c r="AD3053" s="53"/>
    </row>
    <row r="3054" spans="1:30" s="12" customFormat="1" x14ac:dyDescent="0.25">
      <c r="A3054" s="610" t="str">
        <f t="shared" si="1203"/>
        <v>BiK270t1G---11</v>
      </c>
      <c r="B3054" s="17" t="s">
        <v>5548</v>
      </c>
      <c r="C3054" s="30" t="str">
        <f t="shared" si="1204"/>
        <v>Inbetriebnahme 2011</v>
      </c>
      <c r="D3054" s="17" t="s">
        <v>7274</v>
      </c>
      <c r="E3054" s="17" t="s">
        <v>4810</v>
      </c>
      <c r="F3054" s="454">
        <f t="shared" si="1205"/>
        <v>20.259999999999998</v>
      </c>
      <c r="G3054" s="529">
        <v>20.259999999999998</v>
      </c>
      <c r="H3054" s="487">
        <f t="shared" si="1206"/>
        <v>16.21</v>
      </c>
      <c r="I3054" s="706"/>
      <c r="J3054" s="669" t="s">
        <v>5805</v>
      </c>
      <c r="K3054" s="23"/>
      <c r="L3054" s="70" t="str">
        <f t="shared" si="1207"/>
        <v/>
      </c>
      <c r="M3054" s="49">
        <f t="shared" si="1208"/>
        <v>20.259999999999998</v>
      </c>
      <c r="N3054" s="41">
        <f t="shared" si="1209"/>
        <v>11.44</v>
      </c>
      <c r="O3054" s="61"/>
      <c r="P3054" s="65"/>
      <c r="Q3054" s="65"/>
      <c r="R3054" s="58"/>
      <c r="T3054" s="65"/>
      <c r="U3054" s="65"/>
      <c r="V3054" s="12" t="s">
        <v>1017</v>
      </c>
      <c r="X3054" s="65"/>
      <c r="AA3054" s="67"/>
      <c r="AB3054" s="12" t="s">
        <v>1017</v>
      </c>
      <c r="AD3054" s="53"/>
    </row>
    <row r="3055" spans="1:30" s="12" customFormat="1" x14ac:dyDescent="0.25">
      <c r="A3055" s="610" t="str">
        <f t="shared" si="1203"/>
        <v>BiK270t1GK--11</v>
      </c>
      <c r="B3055" s="17" t="s">
        <v>5548</v>
      </c>
      <c r="C3055" s="30" t="str">
        <f t="shared" si="1204"/>
        <v>Inbetriebnahme 2011</v>
      </c>
      <c r="D3055" s="17" t="s">
        <v>7275</v>
      </c>
      <c r="E3055" s="17" t="s">
        <v>4812</v>
      </c>
      <c r="F3055" s="454">
        <f t="shared" si="1205"/>
        <v>23.200000000000003</v>
      </c>
      <c r="G3055" s="529">
        <v>23.200000000000003</v>
      </c>
      <c r="H3055" s="487">
        <f t="shared" si="1206"/>
        <v>18.559999999999999</v>
      </c>
      <c r="I3055" s="706"/>
      <c r="J3055" s="669" t="s">
        <v>5805</v>
      </c>
      <c r="K3055" s="23"/>
      <c r="L3055" s="70" t="str">
        <f t="shared" si="1207"/>
        <v/>
      </c>
      <c r="M3055" s="49">
        <f t="shared" si="1208"/>
        <v>23.200000000000003</v>
      </c>
      <c r="N3055" s="41">
        <f t="shared" si="1209"/>
        <v>11.44</v>
      </c>
      <c r="O3055" s="43" t="s">
        <v>1017</v>
      </c>
      <c r="P3055" s="65"/>
      <c r="Q3055" s="65"/>
      <c r="R3055" s="58"/>
      <c r="T3055" s="65"/>
      <c r="U3055" s="65"/>
      <c r="V3055" s="12" t="s">
        <v>1017</v>
      </c>
      <c r="X3055" s="65"/>
      <c r="AA3055" s="67"/>
      <c r="AB3055" s="12" t="s">
        <v>1017</v>
      </c>
      <c r="AD3055" s="53"/>
    </row>
    <row r="3056" spans="1:30" s="12" customFormat="1" x14ac:dyDescent="0.25">
      <c r="A3056" s="610" t="str">
        <f t="shared" si="1203"/>
        <v>BiK270t1Gi--11</v>
      </c>
      <c r="B3056" s="17" t="s">
        <v>5548</v>
      </c>
      <c r="C3056" s="30" t="str">
        <f t="shared" si="1204"/>
        <v>Inbetriebnahme 2011</v>
      </c>
      <c r="D3056" s="17" t="s">
        <v>7276</v>
      </c>
      <c r="E3056" s="17" t="s">
        <v>4810</v>
      </c>
      <c r="F3056" s="454">
        <f t="shared" si="1205"/>
        <v>21.240000000000002</v>
      </c>
      <c r="G3056" s="529">
        <v>21.240000000000002</v>
      </c>
      <c r="H3056" s="487">
        <f t="shared" si="1206"/>
        <v>16.989999999999998</v>
      </c>
      <c r="I3056" s="706"/>
      <c r="J3056" s="669" t="s">
        <v>5805</v>
      </c>
      <c r="K3056" s="23"/>
      <c r="L3056" s="70" t="str">
        <f t="shared" si="1207"/>
        <v/>
      </c>
      <c r="M3056" s="49">
        <f t="shared" si="1208"/>
        <v>21.240000000000002</v>
      </c>
      <c r="N3056" s="41">
        <f t="shared" si="1209"/>
        <v>11.44</v>
      </c>
      <c r="O3056" s="61"/>
      <c r="P3056" s="65"/>
      <c r="Q3056" s="65"/>
      <c r="R3056" s="58" t="s">
        <v>1017</v>
      </c>
      <c r="T3056" s="65"/>
      <c r="U3056" s="65"/>
      <c r="V3056" s="12" t="s">
        <v>1017</v>
      </c>
      <c r="X3056" s="65"/>
      <c r="AA3056" s="67"/>
      <c r="AB3056" s="12" t="s">
        <v>1017</v>
      </c>
      <c r="AD3056" s="53"/>
    </row>
    <row r="3057" spans="1:30" s="12" customFormat="1" x14ac:dyDescent="0.25">
      <c r="A3057" s="610" t="str">
        <f t="shared" si="1203"/>
        <v>BiK270t1GiK-11</v>
      </c>
      <c r="B3057" s="17" t="s">
        <v>5548</v>
      </c>
      <c r="C3057" s="30" t="str">
        <f t="shared" si="1204"/>
        <v>Inbetriebnahme 2011</v>
      </c>
      <c r="D3057" s="17" t="s">
        <v>7277</v>
      </c>
      <c r="E3057" s="17" t="s">
        <v>4812</v>
      </c>
      <c r="F3057" s="454">
        <f t="shared" si="1205"/>
        <v>24.18</v>
      </c>
      <c r="G3057" s="529">
        <v>24.18</v>
      </c>
      <c r="H3057" s="487">
        <f t="shared" si="1206"/>
        <v>19.34</v>
      </c>
      <c r="I3057" s="706"/>
      <c r="J3057" s="669" t="s">
        <v>5805</v>
      </c>
      <c r="K3057" s="23"/>
      <c r="L3057" s="70" t="str">
        <f t="shared" si="1207"/>
        <v/>
      </c>
      <c r="M3057" s="49">
        <f t="shared" si="1208"/>
        <v>24.18</v>
      </c>
      <c r="N3057" s="41">
        <f t="shared" si="1209"/>
        <v>11.44</v>
      </c>
      <c r="O3057" s="43" t="s">
        <v>1017</v>
      </c>
      <c r="P3057" s="65"/>
      <c r="Q3057" s="65"/>
      <c r="R3057" s="58" t="s">
        <v>1017</v>
      </c>
      <c r="T3057" s="65"/>
      <c r="U3057" s="65"/>
      <c r="V3057" s="12" t="s">
        <v>1017</v>
      </c>
      <c r="X3057" s="65"/>
      <c r="AA3057" s="67"/>
      <c r="AB3057" s="12" t="s">
        <v>1017</v>
      </c>
      <c r="AD3057" s="53"/>
    </row>
    <row r="3058" spans="1:30" s="12" customFormat="1" x14ac:dyDescent="0.25">
      <c r="A3058" s="610" t="str">
        <f t="shared" si="1203"/>
        <v>BiK270t1L---11</v>
      </c>
      <c r="B3058" s="17" t="s">
        <v>5548</v>
      </c>
      <c r="C3058" s="30" t="str">
        <f t="shared" si="1204"/>
        <v>Inbetriebnahme 2011</v>
      </c>
      <c r="D3058" s="17" t="s">
        <v>7278</v>
      </c>
      <c r="E3058" s="17" t="s">
        <v>4810</v>
      </c>
      <c r="F3058" s="454">
        <f t="shared" si="1205"/>
        <v>22.22</v>
      </c>
      <c r="G3058" s="529">
        <v>22.22</v>
      </c>
      <c r="H3058" s="487">
        <f t="shared" si="1206"/>
        <v>17.78</v>
      </c>
      <c r="I3058" s="706"/>
      <c r="J3058" s="669" t="s">
        <v>5805</v>
      </c>
      <c r="K3058" s="23"/>
      <c r="L3058" s="70" t="str">
        <f t="shared" si="1207"/>
        <v/>
      </c>
      <c r="M3058" s="49">
        <f t="shared" si="1208"/>
        <v>22.22</v>
      </c>
      <c r="N3058" s="41">
        <f t="shared" si="1209"/>
        <v>11.44</v>
      </c>
      <c r="O3058" s="61"/>
      <c r="P3058" s="65"/>
      <c r="Q3058" s="65"/>
      <c r="R3058" s="58"/>
      <c r="T3058" s="65"/>
      <c r="U3058" s="65"/>
      <c r="X3058" s="65"/>
      <c r="Y3058" s="12" t="s">
        <v>1017</v>
      </c>
      <c r="AA3058" s="67"/>
      <c r="AB3058" s="12" t="s">
        <v>1017</v>
      </c>
      <c r="AD3058" s="53"/>
    </row>
    <row r="3059" spans="1:30" s="12" customFormat="1" x14ac:dyDescent="0.25">
      <c r="A3059" s="610" t="str">
        <f t="shared" si="1203"/>
        <v>BiK270t1LK--11</v>
      </c>
      <c r="B3059" s="17" t="s">
        <v>5548</v>
      </c>
      <c r="C3059" s="30" t="str">
        <f t="shared" si="1204"/>
        <v>Inbetriebnahme 2011</v>
      </c>
      <c r="D3059" s="17" t="s">
        <v>7279</v>
      </c>
      <c r="E3059" s="17" t="s">
        <v>4812</v>
      </c>
      <c r="F3059" s="454">
        <f t="shared" si="1205"/>
        <v>25.159999999999997</v>
      </c>
      <c r="G3059" s="529">
        <v>25.159999999999997</v>
      </c>
      <c r="H3059" s="487">
        <f t="shared" si="1206"/>
        <v>20.13</v>
      </c>
      <c r="I3059" s="706"/>
      <c r="J3059" s="669" t="s">
        <v>5805</v>
      </c>
      <c r="K3059" s="23"/>
      <c r="L3059" s="70" t="str">
        <f t="shared" si="1207"/>
        <v/>
      </c>
      <c r="M3059" s="49">
        <f t="shared" si="1208"/>
        <v>25.159999999999997</v>
      </c>
      <c r="N3059" s="41">
        <f t="shared" si="1209"/>
        <v>11.44</v>
      </c>
      <c r="O3059" s="43" t="s">
        <v>1017</v>
      </c>
      <c r="P3059" s="65"/>
      <c r="Q3059" s="65"/>
      <c r="R3059" s="58"/>
      <c r="T3059" s="65"/>
      <c r="U3059" s="65"/>
      <c r="X3059" s="65"/>
      <c r="Y3059" s="12" t="s">
        <v>1017</v>
      </c>
      <c r="AA3059" s="67"/>
      <c r="AB3059" s="12" t="s">
        <v>1017</v>
      </c>
      <c r="AD3059" s="53"/>
    </row>
    <row r="3060" spans="1:30" s="12" customFormat="1" x14ac:dyDescent="0.25">
      <c r="A3060" s="610" t="str">
        <f t="shared" si="1203"/>
        <v>BiK270t1Li--11</v>
      </c>
      <c r="B3060" s="17" t="s">
        <v>5548</v>
      </c>
      <c r="C3060" s="30" t="str">
        <f t="shared" si="1204"/>
        <v>Inbetriebnahme 2011</v>
      </c>
      <c r="D3060" s="17" t="s">
        <v>7280</v>
      </c>
      <c r="E3060" s="17" t="s">
        <v>4810</v>
      </c>
      <c r="F3060" s="454">
        <f t="shared" si="1205"/>
        <v>23.200000000000003</v>
      </c>
      <c r="G3060" s="529">
        <v>23.200000000000003</v>
      </c>
      <c r="H3060" s="487">
        <f t="shared" si="1206"/>
        <v>18.559999999999999</v>
      </c>
      <c r="I3060" s="706"/>
      <c r="J3060" s="669" t="s">
        <v>5805</v>
      </c>
      <c r="K3060" s="23"/>
      <c r="L3060" s="70" t="str">
        <f t="shared" si="1207"/>
        <v/>
      </c>
      <c r="M3060" s="49">
        <f t="shared" si="1208"/>
        <v>23.200000000000003</v>
      </c>
      <c r="N3060" s="41">
        <f t="shared" si="1209"/>
        <v>11.44</v>
      </c>
      <c r="O3060" s="61"/>
      <c r="P3060" s="65"/>
      <c r="Q3060" s="65"/>
      <c r="R3060" s="58" t="s">
        <v>1017</v>
      </c>
      <c r="T3060" s="65"/>
      <c r="U3060" s="65"/>
      <c r="X3060" s="65"/>
      <c r="Y3060" s="12" t="s">
        <v>1017</v>
      </c>
      <c r="AA3060" s="67"/>
      <c r="AB3060" s="12" t="s">
        <v>1017</v>
      </c>
      <c r="AD3060" s="53"/>
    </row>
    <row r="3061" spans="1:30" s="12" customFormat="1" x14ac:dyDescent="0.25">
      <c r="A3061" s="610" t="str">
        <f t="shared" si="1203"/>
        <v>BiK270t1LiK-11</v>
      </c>
      <c r="B3061" s="17" t="s">
        <v>5548</v>
      </c>
      <c r="C3061" s="30" t="str">
        <f t="shared" si="1204"/>
        <v>Inbetriebnahme 2011</v>
      </c>
      <c r="D3061" s="17" t="s">
        <v>7281</v>
      </c>
      <c r="E3061" s="17" t="s">
        <v>4812</v>
      </c>
      <c r="F3061" s="454">
        <f t="shared" si="1205"/>
        <v>26.14</v>
      </c>
      <c r="G3061" s="529">
        <v>26.14</v>
      </c>
      <c r="H3061" s="487">
        <f t="shared" si="1206"/>
        <v>20.91</v>
      </c>
      <c r="I3061" s="706"/>
      <c r="J3061" s="669" t="s">
        <v>5805</v>
      </c>
      <c r="K3061" s="23"/>
      <c r="L3061" s="70" t="str">
        <f t="shared" si="1207"/>
        <v/>
      </c>
      <c r="M3061" s="49">
        <f t="shared" si="1208"/>
        <v>26.14</v>
      </c>
      <c r="N3061" s="41">
        <f t="shared" si="1209"/>
        <v>11.44</v>
      </c>
      <c r="O3061" s="43" t="s">
        <v>1017</v>
      </c>
      <c r="P3061" s="65"/>
      <c r="Q3061" s="65"/>
      <c r="R3061" s="58" t="s">
        <v>1017</v>
      </c>
      <c r="T3061" s="65"/>
      <c r="U3061" s="65"/>
      <c r="X3061" s="65"/>
      <c r="Y3061" s="12" t="s">
        <v>1017</v>
      </c>
      <c r="AA3061" s="67"/>
      <c r="AB3061" s="12" t="s">
        <v>1017</v>
      </c>
      <c r="AD3061" s="53"/>
    </row>
    <row r="3062" spans="1:30" s="12" customFormat="1" x14ac:dyDescent="0.25">
      <c r="A3062" s="610" t="str">
        <f t="shared" si="1203"/>
        <v>BiK270t1M1--11</v>
      </c>
      <c r="B3062" s="17" t="s">
        <v>5548</v>
      </c>
      <c r="C3062" s="30" t="str">
        <f t="shared" si="1204"/>
        <v>Inbetriebnahme 2011</v>
      </c>
      <c r="D3062" s="17" t="s">
        <v>7282</v>
      </c>
      <c r="E3062" s="17" t="s">
        <v>4810</v>
      </c>
      <c r="F3062" s="454">
        <f t="shared" si="1205"/>
        <v>24.18</v>
      </c>
      <c r="G3062" s="529">
        <v>24.18</v>
      </c>
      <c r="H3062" s="487">
        <f t="shared" si="1206"/>
        <v>19.34</v>
      </c>
      <c r="I3062" s="706"/>
      <c r="J3062" s="669" t="s">
        <v>5805</v>
      </c>
      <c r="K3062" s="23"/>
      <c r="L3062" s="70" t="str">
        <f t="shared" si="1207"/>
        <v/>
      </c>
      <c r="M3062" s="49">
        <f t="shared" si="1208"/>
        <v>24.18</v>
      </c>
      <c r="N3062" s="41">
        <f t="shared" si="1209"/>
        <v>11.44</v>
      </c>
      <c r="O3062" s="61"/>
      <c r="P3062" s="65"/>
      <c r="Q3062" s="65"/>
      <c r="R3062" s="58"/>
      <c r="T3062" s="65"/>
      <c r="U3062" s="65"/>
      <c r="W3062" s="12" t="s">
        <v>1017</v>
      </c>
      <c r="X3062" s="65"/>
      <c r="AA3062" s="67"/>
      <c r="AB3062" s="12" t="s">
        <v>1017</v>
      </c>
      <c r="AD3062" s="53"/>
    </row>
    <row r="3063" spans="1:30" s="12" customFormat="1" x14ac:dyDescent="0.25">
      <c r="A3063" s="610" t="str">
        <f t="shared" si="1203"/>
        <v>BiK270t1M1K-11</v>
      </c>
      <c r="B3063" s="17" t="s">
        <v>5548</v>
      </c>
      <c r="C3063" s="30" t="str">
        <f t="shared" si="1204"/>
        <v>Inbetriebnahme 2011</v>
      </c>
      <c r="D3063" s="17" t="s">
        <v>7283</v>
      </c>
      <c r="E3063" s="17" t="s">
        <v>4812</v>
      </c>
      <c r="F3063" s="454">
        <f t="shared" si="1205"/>
        <v>27.119999999999997</v>
      </c>
      <c r="G3063" s="529">
        <v>27.119999999999997</v>
      </c>
      <c r="H3063" s="487">
        <f t="shared" si="1206"/>
        <v>21.7</v>
      </c>
      <c r="I3063" s="706"/>
      <c r="J3063" s="669" t="s">
        <v>5805</v>
      </c>
      <c r="K3063" s="23"/>
      <c r="L3063" s="70" t="str">
        <f t="shared" si="1207"/>
        <v/>
      </c>
      <c r="M3063" s="49">
        <f t="shared" si="1208"/>
        <v>27.119999999999997</v>
      </c>
      <c r="N3063" s="41">
        <f t="shared" si="1209"/>
        <v>11.44</v>
      </c>
      <c r="O3063" s="43" t="s">
        <v>1017</v>
      </c>
      <c r="P3063" s="65"/>
      <c r="Q3063" s="65"/>
      <c r="R3063" s="58"/>
      <c r="T3063" s="65"/>
      <c r="U3063" s="65"/>
      <c r="W3063" s="12" t="s">
        <v>1017</v>
      </c>
      <c r="X3063" s="65"/>
      <c r="AA3063" s="67"/>
      <c r="AB3063" s="12" t="s">
        <v>1017</v>
      </c>
      <c r="AD3063" s="53"/>
    </row>
    <row r="3064" spans="1:30" s="12" customFormat="1" x14ac:dyDescent="0.25">
      <c r="A3064" s="610" t="str">
        <f t="shared" si="1203"/>
        <v>BiK270t1M1i-11</v>
      </c>
      <c r="B3064" s="17" t="s">
        <v>5548</v>
      </c>
      <c r="C3064" s="30" t="str">
        <f t="shared" si="1204"/>
        <v>Inbetriebnahme 2011</v>
      </c>
      <c r="D3064" s="17" t="s">
        <v>7284</v>
      </c>
      <c r="E3064" s="17" t="s">
        <v>4810</v>
      </c>
      <c r="F3064" s="454">
        <f t="shared" si="1205"/>
        <v>25.160000000000004</v>
      </c>
      <c r="G3064" s="529">
        <v>25.160000000000004</v>
      </c>
      <c r="H3064" s="487">
        <f t="shared" si="1206"/>
        <v>20.13</v>
      </c>
      <c r="I3064" s="706"/>
      <c r="J3064" s="669" t="s">
        <v>5805</v>
      </c>
      <c r="K3064" s="23"/>
      <c r="L3064" s="70" t="str">
        <f t="shared" si="1207"/>
        <v/>
      </c>
      <c r="M3064" s="49">
        <f t="shared" si="1208"/>
        <v>25.160000000000004</v>
      </c>
      <c r="N3064" s="41">
        <f t="shared" si="1209"/>
        <v>11.44</v>
      </c>
      <c r="O3064" s="61"/>
      <c r="P3064" s="65"/>
      <c r="Q3064" s="65"/>
      <c r="R3064" s="58" t="s">
        <v>1017</v>
      </c>
      <c r="T3064" s="65"/>
      <c r="U3064" s="65"/>
      <c r="W3064" s="12" t="s">
        <v>1017</v>
      </c>
      <c r="X3064" s="65"/>
      <c r="AA3064" s="67"/>
      <c r="AB3064" s="12" t="s">
        <v>1017</v>
      </c>
      <c r="AD3064" s="53"/>
    </row>
    <row r="3065" spans="1:30" s="12" customFormat="1" x14ac:dyDescent="0.25">
      <c r="A3065" s="610" t="str">
        <f t="shared" si="1203"/>
        <v>BiK270t1M1iK11</v>
      </c>
      <c r="B3065" s="17" t="s">
        <v>5548</v>
      </c>
      <c r="C3065" s="30" t="str">
        <f t="shared" si="1204"/>
        <v>Inbetriebnahme 2011</v>
      </c>
      <c r="D3065" s="17" t="s">
        <v>7285</v>
      </c>
      <c r="E3065" s="17" t="s">
        <v>4812</v>
      </c>
      <c r="F3065" s="454">
        <f t="shared" si="1205"/>
        <v>28.1</v>
      </c>
      <c r="G3065" s="529">
        <v>28.1</v>
      </c>
      <c r="H3065" s="487">
        <f t="shared" si="1206"/>
        <v>22.48</v>
      </c>
      <c r="I3065" s="706"/>
      <c r="J3065" s="669" t="s">
        <v>5805</v>
      </c>
      <c r="K3065" s="23"/>
      <c r="L3065" s="70" t="str">
        <f t="shared" si="1207"/>
        <v/>
      </c>
      <c r="M3065" s="49">
        <f t="shared" si="1208"/>
        <v>28.1</v>
      </c>
      <c r="N3065" s="41">
        <f t="shared" si="1209"/>
        <v>11.44</v>
      </c>
      <c r="O3065" s="43" t="s">
        <v>1017</v>
      </c>
      <c r="P3065" s="65"/>
      <c r="Q3065" s="65"/>
      <c r="R3065" s="58" t="s">
        <v>1017</v>
      </c>
      <c r="T3065" s="65"/>
      <c r="U3065" s="65"/>
      <c r="W3065" s="12" t="s">
        <v>1017</v>
      </c>
      <c r="X3065" s="65"/>
      <c r="AA3065" s="67"/>
      <c r="AB3065" s="12" t="s">
        <v>1017</v>
      </c>
      <c r="AD3065" s="53"/>
    </row>
    <row r="3066" spans="1:30" s="12" customFormat="1" x14ac:dyDescent="0.25">
      <c r="A3066" s="610" t="str">
        <f t="shared" si="1203"/>
        <v>BiK270t1X1--11</v>
      </c>
      <c r="B3066" s="17" t="s">
        <v>5548</v>
      </c>
      <c r="C3066" s="30" t="str">
        <f t="shared" si="1204"/>
        <v>Inbetriebnahme 2011</v>
      </c>
      <c r="D3066" s="17" t="s">
        <v>7286</v>
      </c>
      <c r="E3066" s="17" t="s">
        <v>4810</v>
      </c>
      <c r="F3066" s="454">
        <f t="shared" si="1205"/>
        <v>26.14</v>
      </c>
      <c r="G3066" s="529">
        <v>26.14</v>
      </c>
      <c r="H3066" s="487">
        <f t="shared" si="1206"/>
        <v>20.91</v>
      </c>
      <c r="I3066" s="706"/>
      <c r="J3066" s="669" t="s">
        <v>5805</v>
      </c>
      <c r="K3066" s="23"/>
      <c r="L3066" s="70" t="str">
        <f t="shared" si="1207"/>
        <v/>
      </c>
      <c r="M3066" s="49">
        <f t="shared" si="1208"/>
        <v>26.14</v>
      </c>
      <c r="N3066" s="41">
        <f t="shared" si="1209"/>
        <v>11.44</v>
      </c>
      <c r="O3066" s="61"/>
      <c r="P3066" s="65"/>
      <c r="Q3066" s="65"/>
      <c r="R3066" s="58"/>
      <c r="T3066" s="65"/>
      <c r="U3066" s="65"/>
      <c r="X3066" s="65"/>
      <c r="Z3066" s="12" t="s">
        <v>1017</v>
      </c>
      <c r="AA3066" s="67"/>
      <c r="AB3066" s="12" t="s">
        <v>1017</v>
      </c>
      <c r="AD3066" s="53"/>
    </row>
    <row r="3067" spans="1:30" s="12" customFormat="1" x14ac:dyDescent="0.25">
      <c r="A3067" s="610" t="str">
        <f t="shared" si="1203"/>
        <v>BiK270t1X1K-11</v>
      </c>
      <c r="B3067" s="17" t="s">
        <v>5548</v>
      </c>
      <c r="C3067" s="30" t="str">
        <f t="shared" si="1204"/>
        <v>Inbetriebnahme 2011</v>
      </c>
      <c r="D3067" s="17" t="s">
        <v>7287</v>
      </c>
      <c r="E3067" s="17" t="s">
        <v>4812</v>
      </c>
      <c r="F3067" s="454">
        <f t="shared" si="1205"/>
        <v>29.08</v>
      </c>
      <c r="G3067" s="529">
        <v>29.08</v>
      </c>
      <c r="H3067" s="487">
        <f t="shared" si="1206"/>
        <v>23.26</v>
      </c>
      <c r="I3067" s="706"/>
      <c r="J3067" s="669" t="s">
        <v>5805</v>
      </c>
      <c r="K3067" s="23"/>
      <c r="L3067" s="70" t="str">
        <f t="shared" si="1207"/>
        <v/>
      </c>
      <c r="M3067" s="49">
        <f t="shared" si="1208"/>
        <v>29.08</v>
      </c>
      <c r="N3067" s="41">
        <f t="shared" si="1209"/>
        <v>11.44</v>
      </c>
      <c r="O3067" s="43" t="s">
        <v>1017</v>
      </c>
      <c r="P3067" s="65"/>
      <c r="Q3067" s="65"/>
      <c r="R3067" s="58"/>
      <c r="T3067" s="65"/>
      <c r="U3067" s="65"/>
      <c r="X3067" s="65"/>
      <c r="Z3067" s="12" t="s">
        <v>1017</v>
      </c>
      <c r="AA3067" s="67"/>
      <c r="AB3067" s="12" t="s">
        <v>1017</v>
      </c>
      <c r="AD3067" s="53"/>
    </row>
    <row r="3068" spans="1:30" s="12" customFormat="1" x14ac:dyDescent="0.25">
      <c r="A3068" s="610" t="str">
        <f t="shared" si="1203"/>
        <v>BiK270t1X1i-11</v>
      </c>
      <c r="B3068" s="17" t="s">
        <v>5548</v>
      </c>
      <c r="C3068" s="30" t="str">
        <f t="shared" si="1204"/>
        <v>Inbetriebnahme 2011</v>
      </c>
      <c r="D3068" s="17" t="s">
        <v>7288</v>
      </c>
      <c r="E3068" s="17" t="s">
        <v>4810</v>
      </c>
      <c r="F3068" s="454">
        <f t="shared" si="1205"/>
        <v>27.120000000000005</v>
      </c>
      <c r="G3068" s="529">
        <v>27.120000000000005</v>
      </c>
      <c r="H3068" s="487">
        <f t="shared" si="1206"/>
        <v>21.7</v>
      </c>
      <c r="I3068" s="706"/>
      <c r="J3068" s="669" t="s">
        <v>5805</v>
      </c>
      <c r="K3068" s="23"/>
      <c r="L3068" s="70" t="str">
        <f t="shared" si="1207"/>
        <v/>
      </c>
      <c r="M3068" s="49">
        <f t="shared" si="1208"/>
        <v>27.120000000000005</v>
      </c>
      <c r="N3068" s="41">
        <f t="shared" si="1209"/>
        <v>11.44</v>
      </c>
      <c r="O3068" s="61"/>
      <c r="P3068" s="65"/>
      <c r="Q3068" s="65"/>
      <c r="R3068" s="58" t="s">
        <v>1017</v>
      </c>
      <c r="T3068" s="65"/>
      <c r="U3068" s="65"/>
      <c r="X3068" s="65"/>
      <c r="Z3068" s="12" t="s">
        <v>1017</v>
      </c>
      <c r="AA3068" s="67"/>
      <c r="AB3068" s="12" t="s">
        <v>1017</v>
      </c>
      <c r="AD3068" s="53"/>
    </row>
    <row r="3069" spans="1:30" s="12" customFormat="1" x14ac:dyDescent="0.25">
      <c r="A3069" s="610" t="str">
        <f t="shared" si="1203"/>
        <v>BiK270t1X1iK11</v>
      </c>
      <c r="B3069" s="17" t="s">
        <v>5548</v>
      </c>
      <c r="C3069" s="30" t="str">
        <f t="shared" si="1204"/>
        <v>Inbetriebnahme 2011</v>
      </c>
      <c r="D3069" s="17" t="s">
        <v>7289</v>
      </c>
      <c r="E3069" s="17" t="s">
        <v>4812</v>
      </c>
      <c r="F3069" s="454">
        <f t="shared" si="1205"/>
        <v>30.060000000000002</v>
      </c>
      <c r="G3069" s="529">
        <v>30.060000000000002</v>
      </c>
      <c r="H3069" s="487">
        <f t="shared" si="1206"/>
        <v>24.05</v>
      </c>
      <c r="I3069" s="706"/>
      <c r="J3069" s="669" t="s">
        <v>5805</v>
      </c>
      <c r="K3069" s="23"/>
      <c r="L3069" s="70" t="str">
        <f t="shared" si="1207"/>
        <v/>
      </c>
      <c r="M3069" s="49">
        <f t="shared" si="1208"/>
        <v>30.060000000000002</v>
      </c>
      <c r="N3069" s="41">
        <f t="shared" si="1209"/>
        <v>11.44</v>
      </c>
      <c r="O3069" s="43" t="s">
        <v>1017</v>
      </c>
      <c r="P3069" s="65"/>
      <c r="Q3069" s="65"/>
      <c r="R3069" s="58" t="s">
        <v>1017</v>
      </c>
      <c r="T3069" s="65"/>
      <c r="U3069" s="65"/>
      <c r="X3069" s="65"/>
      <c r="Z3069" s="12" t="s">
        <v>1017</v>
      </c>
      <c r="AA3069" s="67"/>
      <c r="AB3069" s="12" t="s">
        <v>1017</v>
      </c>
      <c r="AD3069" s="53"/>
    </row>
    <row r="3070" spans="1:30" s="12" customFormat="1" x14ac:dyDescent="0.25">
      <c r="A3070" s="610" t="str">
        <f t="shared" si="1203"/>
        <v>BiK270t2----11</v>
      </c>
      <c r="B3070" s="17" t="s">
        <v>5548</v>
      </c>
      <c r="C3070" s="30" t="str">
        <f t="shared" si="1204"/>
        <v>Inbetriebnahme 2011</v>
      </c>
      <c r="D3070" s="17" t="s">
        <v>7290</v>
      </c>
      <c r="E3070" s="17" t="s">
        <v>4810</v>
      </c>
      <c r="F3070" s="454">
        <f t="shared" si="1205"/>
        <v>12.42</v>
      </c>
      <c r="G3070" s="529">
        <v>12.42</v>
      </c>
      <c r="H3070" s="487">
        <f t="shared" si="1206"/>
        <v>9.94</v>
      </c>
      <c r="I3070" s="706"/>
      <c r="J3070" s="669" t="s">
        <v>5805</v>
      </c>
      <c r="K3070" s="23"/>
      <c r="L3070" s="70" t="str">
        <f t="shared" si="1207"/>
        <v/>
      </c>
      <c r="M3070" s="49">
        <f t="shared" si="1208"/>
        <v>12.42</v>
      </c>
      <c r="N3070" s="41">
        <f t="shared" si="1209"/>
        <v>11.44</v>
      </c>
      <c r="O3070" s="61"/>
      <c r="P3070" s="65"/>
      <c r="Q3070" s="65"/>
      <c r="R3070" s="58"/>
      <c r="T3070" s="65"/>
      <c r="U3070" s="65"/>
      <c r="X3070" s="65"/>
      <c r="AA3070" s="67"/>
      <c r="AC3070" s="12" t="s">
        <v>1017</v>
      </c>
      <c r="AD3070" s="53"/>
    </row>
    <row r="3071" spans="1:30" s="12" customFormat="1" x14ac:dyDescent="0.25">
      <c r="A3071" s="610" t="str">
        <f t="shared" si="1203"/>
        <v>BiK270t2K---11</v>
      </c>
      <c r="B3071" s="17" t="s">
        <v>5548</v>
      </c>
      <c r="C3071" s="30" t="str">
        <f t="shared" si="1204"/>
        <v>Inbetriebnahme 2011</v>
      </c>
      <c r="D3071" s="17" t="s">
        <v>7291</v>
      </c>
      <c r="E3071" s="17" t="s">
        <v>4812</v>
      </c>
      <c r="F3071" s="454">
        <f t="shared" si="1205"/>
        <v>15.36</v>
      </c>
      <c r="G3071" s="529">
        <v>15.36</v>
      </c>
      <c r="H3071" s="487">
        <f t="shared" si="1206"/>
        <v>12.29</v>
      </c>
      <c r="I3071" s="706"/>
      <c r="J3071" s="669" t="s">
        <v>5805</v>
      </c>
      <c r="K3071" s="23"/>
      <c r="L3071" s="70" t="str">
        <f t="shared" si="1207"/>
        <v/>
      </c>
      <c r="M3071" s="49">
        <f t="shared" si="1208"/>
        <v>15.36</v>
      </c>
      <c r="N3071" s="41">
        <f t="shared" si="1209"/>
        <v>11.44</v>
      </c>
      <c r="O3071" s="43" t="s">
        <v>1017</v>
      </c>
      <c r="P3071" s="65"/>
      <c r="Q3071" s="65"/>
      <c r="R3071" s="58"/>
      <c r="T3071" s="65"/>
      <c r="U3071" s="65"/>
      <c r="X3071" s="65"/>
      <c r="AA3071" s="67"/>
      <c r="AC3071" s="12" t="s">
        <v>1017</v>
      </c>
      <c r="AD3071" s="53"/>
    </row>
    <row r="3072" spans="1:30" s="12" customFormat="1" x14ac:dyDescent="0.25">
      <c r="A3072" s="610" t="str">
        <f t="shared" si="1203"/>
        <v>BiK270t2i---11</v>
      </c>
      <c r="B3072" s="17" t="s">
        <v>5548</v>
      </c>
      <c r="C3072" s="30" t="str">
        <f t="shared" si="1204"/>
        <v>Inbetriebnahme 2011</v>
      </c>
      <c r="D3072" s="30" t="s">
        <v>7292</v>
      </c>
      <c r="E3072" s="17" t="s">
        <v>4810</v>
      </c>
      <c r="F3072" s="454">
        <f t="shared" si="1205"/>
        <v>13.399999999999999</v>
      </c>
      <c r="G3072" s="529">
        <v>13.399999999999999</v>
      </c>
      <c r="H3072" s="487">
        <f t="shared" si="1206"/>
        <v>10.72</v>
      </c>
      <c r="I3072" s="706"/>
      <c r="J3072" s="669" t="s">
        <v>5805</v>
      </c>
      <c r="K3072" s="23"/>
      <c r="L3072" s="70" t="str">
        <f t="shared" si="1207"/>
        <v/>
      </c>
      <c r="M3072" s="49">
        <f t="shared" si="1208"/>
        <v>13.399999999999999</v>
      </c>
      <c r="N3072" s="41">
        <f t="shared" si="1209"/>
        <v>11.44</v>
      </c>
      <c r="O3072" s="61"/>
      <c r="P3072" s="65"/>
      <c r="Q3072" s="65"/>
      <c r="R3072" s="58" t="s">
        <v>1017</v>
      </c>
      <c r="T3072" s="65"/>
      <c r="U3072" s="65"/>
      <c r="X3072" s="65"/>
      <c r="AA3072" s="67"/>
      <c r="AC3072" s="12" t="s">
        <v>1017</v>
      </c>
      <c r="AD3072" s="53"/>
    </row>
    <row r="3073" spans="1:30" s="12" customFormat="1" x14ac:dyDescent="0.25">
      <c r="A3073" s="610" t="str">
        <f t="shared" si="1203"/>
        <v>BiK270t2iK--11</v>
      </c>
      <c r="B3073" s="17" t="s">
        <v>5548</v>
      </c>
      <c r="C3073" s="30" t="str">
        <f t="shared" si="1204"/>
        <v>Inbetriebnahme 2011</v>
      </c>
      <c r="D3073" s="30" t="s">
        <v>7293</v>
      </c>
      <c r="E3073" s="17" t="s">
        <v>4812</v>
      </c>
      <c r="F3073" s="454">
        <f t="shared" si="1205"/>
        <v>16.34</v>
      </c>
      <c r="G3073" s="529">
        <v>16.34</v>
      </c>
      <c r="H3073" s="487">
        <f t="shared" si="1206"/>
        <v>13.07</v>
      </c>
      <c r="I3073" s="706"/>
      <c r="J3073" s="669" t="s">
        <v>5805</v>
      </c>
      <c r="K3073" s="23"/>
      <c r="L3073" s="70" t="str">
        <f t="shared" si="1207"/>
        <v/>
      </c>
      <c r="M3073" s="49">
        <f t="shared" si="1208"/>
        <v>16.34</v>
      </c>
      <c r="N3073" s="41">
        <f t="shared" si="1209"/>
        <v>11.44</v>
      </c>
      <c r="O3073" s="43" t="s">
        <v>1017</v>
      </c>
      <c r="P3073" s="65"/>
      <c r="Q3073" s="65"/>
      <c r="R3073" s="58" t="s">
        <v>1017</v>
      </c>
      <c r="T3073" s="65"/>
      <c r="U3073" s="65"/>
      <c r="X3073" s="65"/>
      <c r="AA3073" s="67"/>
      <c r="AC3073" s="12" t="s">
        <v>1017</v>
      </c>
      <c r="AD3073" s="53"/>
    </row>
    <row r="3074" spans="1:30" s="12" customFormat="1" x14ac:dyDescent="0.25">
      <c r="A3074" s="610" t="str">
        <f t="shared" si="1203"/>
        <v>BiK270t2a1--11</v>
      </c>
      <c r="B3074" s="17" t="s">
        <v>5548</v>
      </c>
      <c r="C3074" s="30" t="str">
        <f t="shared" si="1204"/>
        <v>Inbetriebnahme 2011</v>
      </c>
      <c r="D3074" s="17" t="s">
        <v>7294</v>
      </c>
      <c r="E3074" s="17" t="s">
        <v>4810</v>
      </c>
      <c r="F3074" s="454">
        <f t="shared" si="1205"/>
        <v>18.299999999999997</v>
      </c>
      <c r="G3074" s="529">
        <v>18.299999999999997</v>
      </c>
      <c r="H3074" s="487">
        <f t="shared" si="1206"/>
        <v>14.64</v>
      </c>
      <c r="I3074" s="706"/>
      <c r="J3074" s="669" t="s">
        <v>5805</v>
      </c>
      <c r="K3074" s="23"/>
      <c r="L3074" s="70" t="str">
        <f t="shared" si="1207"/>
        <v/>
      </c>
      <c r="M3074" s="49">
        <f t="shared" si="1208"/>
        <v>18.299999999999997</v>
      </c>
      <c r="N3074" s="41">
        <f t="shared" si="1209"/>
        <v>11.44</v>
      </c>
      <c r="O3074" s="61"/>
      <c r="P3074" s="65"/>
      <c r="Q3074" s="65"/>
      <c r="R3074" s="58"/>
      <c r="S3074" s="12" t="s">
        <v>1017</v>
      </c>
      <c r="T3074" s="65"/>
      <c r="U3074" s="65"/>
      <c r="X3074" s="65"/>
      <c r="AA3074" s="67"/>
      <c r="AC3074" s="12" t="s">
        <v>1017</v>
      </c>
      <c r="AD3074" s="53"/>
    </row>
    <row r="3075" spans="1:30" s="12" customFormat="1" x14ac:dyDescent="0.25">
      <c r="A3075" s="610" t="str">
        <f t="shared" si="1203"/>
        <v>BiK270t2a1K-11</v>
      </c>
      <c r="B3075" s="17" t="s">
        <v>5548</v>
      </c>
      <c r="C3075" s="30" t="str">
        <f t="shared" si="1204"/>
        <v>Inbetriebnahme 2011</v>
      </c>
      <c r="D3075" s="17" t="s">
        <v>7295</v>
      </c>
      <c r="E3075" s="17" t="s">
        <v>4812</v>
      </c>
      <c r="F3075" s="454">
        <f t="shared" si="1205"/>
        <v>21.240000000000002</v>
      </c>
      <c r="G3075" s="529">
        <v>21.240000000000002</v>
      </c>
      <c r="H3075" s="487">
        <f t="shared" si="1206"/>
        <v>16.989999999999998</v>
      </c>
      <c r="I3075" s="706"/>
      <c r="J3075" s="669" t="s">
        <v>5805</v>
      </c>
      <c r="K3075" s="23"/>
      <c r="L3075" s="70" t="str">
        <f t="shared" si="1207"/>
        <v/>
      </c>
      <c r="M3075" s="49">
        <f t="shared" si="1208"/>
        <v>21.240000000000002</v>
      </c>
      <c r="N3075" s="41">
        <f t="shared" si="1209"/>
        <v>11.44</v>
      </c>
      <c r="O3075" s="43" t="s">
        <v>1017</v>
      </c>
      <c r="P3075" s="65"/>
      <c r="Q3075" s="65"/>
      <c r="R3075" s="58"/>
      <c r="S3075" s="12" t="s">
        <v>1017</v>
      </c>
      <c r="T3075" s="65"/>
      <c r="U3075" s="65"/>
      <c r="X3075" s="65"/>
      <c r="AA3075" s="67"/>
      <c r="AC3075" s="12" t="s">
        <v>1017</v>
      </c>
      <c r="AD3075" s="53"/>
    </row>
    <row r="3076" spans="1:30" s="12" customFormat="1" x14ac:dyDescent="0.25">
      <c r="A3076" s="610" t="str">
        <f t="shared" si="1203"/>
        <v>BiK270t2a1i-11</v>
      </c>
      <c r="B3076" s="17" t="s">
        <v>5548</v>
      </c>
      <c r="C3076" s="30" t="str">
        <f t="shared" si="1204"/>
        <v>Inbetriebnahme 2011</v>
      </c>
      <c r="D3076" s="30" t="s">
        <v>7296</v>
      </c>
      <c r="E3076" s="17" t="s">
        <v>4810</v>
      </c>
      <c r="F3076" s="454">
        <f t="shared" si="1205"/>
        <v>19.28</v>
      </c>
      <c r="G3076" s="529">
        <v>19.28</v>
      </c>
      <c r="H3076" s="487">
        <f t="shared" si="1206"/>
        <v>15.42</v>
      </c>
      <c r="I3076" s="706"/>
      <c r="J3076" s="669" t="s">
        <v>5805</v>
      </c>
      <c r="K3076" s="23"/>
      <c r="L3076" s="70" t="str">
        <f t="shared" si="1207"/>
        <v/>
      </c>
      <c r="M3076" s="49">
        <f t="shared" si="1208"/>
        <v>19.28</v>
      </c>
      <c r="N3076" s="41">
        <f t="shared" si="1209"/>
        <v>11.44</v>
      </c>
      <c r="O3076" s="61"/>
      <c r="P3076" s="65"/>
      <c r="Q3076" s="65"/>
      <c r="R3076" s="58" t="s">
        <v>1017</v>
      </c>
      <c r="S3076" s="12" t="s">
        <v>1017</v>
      </c>
      <c r="T3076" s="65"/>
      <c r="U3076" s="65"/>
      <c r="X3076" s="65"/>
      <c r="AA3076" s="67"/>
      <c r="AC3076" s="12" t="s">
        <v>1017</v>
      </c>
      <c r="AD3076" s="53"/>
    </row>
    <row r="3077" spans="1:30" s="12" customFormat="1" x14ac:dyDescent="0.25">
      <c r="A3077" s="610" t="str">
        <f t="shared" si="1203"/>
        <v>BiK270t2a1iK11</v>
      </c>
      <c r="B3077" s="17" t="s">
        <v>5548</v>
      </c>
      <c r="C3077" s="30" t="str">
        <f t="shared" si="1204"/>
        <v>Inbetriebnahme 2011</v>
      </c>
      <c r="D3077" s="30" t="s">
        <v>7297</v>
      </c>
      <c r="E3077" s="17" t="s">
        <v>4812</v>
      </c>
      <c r="F3077" s="454">
        <f t="shared" si="1205"/>
        <v>22.22</v>
      </c>
      <c r="G3077" s="529">
        <v>22.22</v>
      </c>
      <c r="H3077" s="487">
        <f t="shared" si="1206"/>
        <v>17.78</v>
      </c>
      <c r="I3077" s="706"/>
      <c r="J3077" s="669" t="s">
        <v>5805</v>
      </c>
      <c r="K3077" s="23"/>
      <c r="L3077" s="70" t="str">
        <f t="shared" si="1207"/>
        <v/>
      </c>
      <c r="M3077" s="49">
        <f t="shared" si="1208"/>
        <v>22.22</v>
      </c>
      <c r="N3077" s="41">
        <f t="shared" si="1209"/>
        <v>11.44</v>
      </c>
      <c r="O3077" s="43" t="s">
        <v>1017</v>
      </c>
      <c r="P3077" s="65"/>
      <c r="Q3077" s="65"/>
      <c r="R3077" s="58" t="s">
        <v>1017</v>
      </c>
      <c r="S3077" s="12" t="s">
        <v>1017</v>
      </c>
      <c r="T3077" s="65"/>
      <c r="U3077" s="65"/>
      <c r="X3077" s="65"/>
      <c r="AA3077" s="67"/>
      <c r="AC3077" s="12" t="s">
        <v>1017</v>
      </c>
      <c r="AD3077" s="53"/>
    </row>
    <row r="3078" spans="1:30" s="12" customFormat="1" x14ac:dyDescent="0.25">
      <c r="A3078" s="610" t="str">
        <f t="shared" si="1203"/>
        <v>BiK270t2G---11</v>
      </c>
      <c r="B3078" s="17" t="s">
        <v>5548</v>
      </c>
      <c r="C3078" s="30" t="str">
        <f t="shared" si="1204"/>
        <v>Inbetriebnahme 2011</v>
      </c>
      <c r="D3078" s="17" t="s">
        <v>7298</v>
      </c>
      <c r="E3078" s="17" t="s">
        <v>4810</v>
      </c>
      <c r="F3078" s="454">
        <f t="shared" si="1205"/>
        <v>19.28</v>
      </c>
      <c r="G3078" s="529">
        <v>19.28</v>
      </c>
      <c r="H3078" s="487">
        <f t="shared" si="1206"/>
        <v>15.42</v>
      </c>
      <c r="I3078" s="706"/>
      <c r="J3078" s="669" t="s">
        <v>5805</v>
      </c>
      <c r="K3078" s="23"/>
      <c r="L3078" s="70" t="str">
        <f t="shared" si="1207"/>
        <v/>
      </c>
      <c r="M3078" s="49">
        <f t="shared" si="1208"/>
        <v>19.28</v>
      </c>
      <c r="N3078" s="41">
        <f t="shared" si="1209"/>
        <v>11.44</v>
      </c>
      <c r="O3078" s="61"/>
      <c r="P3078" s="65"/>
      <c r="Q3078" s="65"/>
      <c r="R3078" s="58"/>
      <c r="T3078" s="65"/>
      <c r="U3078" s="65"/>
      <c r="V3078" s="12" t="s">
        <v>1017</v>
      </c>
      <c r="X3078" s="65"/>
      <c r="AA3078" s="67"/>
      <c r="AC3078" s="12" t="s">
        <v>1017</v>
      </c>
      <c r="AD3078" s="53"/>
    </row>
    <row r="3079" spans="1:30" s="12" customFormat="1" x14ac:dyDescent="0.25">
      <c r="A3079" s="610" t="str">
        <f t="shared" si="1203"/>
        <v>BiK270t2GK--11</v>
      </c>
      <c r="B3079" s="17" t="s">
        <v>5548</v>
      </c>
      <c r="C3079" s="30" t="str">
        <f t="shared" si="1204"/>
        <v>Inbetriebnahme 2011</v>
      </c>
      <c r="D3079" s="17" t="s">
        <v>7299</v>
      </c>
      <c r="E3079" s="17" t="s">
        <v>4812</v>
      </c>
      <c r="F3079" s="454">
        <f t="shared" si="1205"/>
        <v>22.22</v>
      </c>
      <c r="G3079" s="529">
        <v>22.22</v>
      </c>
      <c r="H3079" s="487">
        <f t="shared" si="1206"/>
        <v>17.78</v>
      </c>
      <c r="I3079" s="706"/>
      <c r="J3079" s="669" t="s">
        <v>5805</v>
      </c>
      <c r="K3079" s="23"/>
      <c r="L3079" s="70" t="str">
        <f t="shared" si="1207"/>
        <v/>
      </c>
      <c r="M3079" s="49">
        <f t="shared" si="1208"/>
        <v>22.22</v>
      </c>
      <c r="N3079" s="41">
        <f t="shared" si="1209"/>
        <v>11.44</v>
      </c>
      <c r="O3079" s="43" t="s">
        <v>1017</v>
      </c>
      <c r="P3079" s="65"/>
      <c r="Q3079" s="65"/>
      <c r="R3079" s="58"/>
      <c r="T3079" s="65"/>
      <c r="U3079" s="65"/>
      <c r="V3079" s="12" t="s">
        <v>1017</v>
      </c>
      <c r="X3079" s="65"/>
      <c r="AA3079" s="67"/>
      <c r="AC3079" s="12" t="s">
        <v>1017</v>
      </c>
      <c r="AD3079" s="53"/>
    </row>
    <row r="3080" spans="1:30" s="12" customFormat="1" x14ac:dyDescent="0.25">
      <c r="A3080" s="610" t="str">
        <f t="shared" si="1203"/>
        <v>BiK270t2Gi--11</v>
      </c>
      <c r="B3080" s="17" t="s">
        <v>5548</v>
      </c>
      <c r="C3080" s="30" t="str">
        <f t="shared" si="1204"/>
        <v>Inbetriebnahme 2011</v>
      </c>
      <c r="D3080" s="17" t="s">
        <v>7300</v>
      </c>
      <c r="E3080" s="17" t="s">
        <v>4810</v>
      </c>
      <c r="F3080" s="454">
        <f t="shared" si="1205"/>
        <v>20.259999999999998</v>
      </c>
      <c r="G3080" s="529">
        <v>20.259999999999998</v>
      </c>
      <c r="H3080" s="487">
        <f t="shared" si="1206"/>
        <v>16.21</v>
      </c>
      <c r="I3080" s="706"/>
      <c r="J3080" s="669" t="s">
        <v>5805</v>
      </c>
      <c r="K3080" s="23"/>
      <c r="L3080" s="70" t="str">
        <f t="shared" si="1207"/>
        <v/>
      </c>
      <c r="M3080" s="49">
        <f t="shared" si="1208"/>
        <v>20.259999999999998</v>
      </c>
      <c r="N3080" s="41">
        <f t="shared" si="1209"/>
        <v>11.44</v>
      </c>
      <c r="O3080" s="61"/>
      <c r="P3080" s="65"/>
      <c r="Q3080" s="65"/>
      <c r="R3080" s="58" t="s">
        <v>1017</v>
      </c>
      <c r="T3080" s="65"/>
      <c r="U3080" s="65"/>
      <c r="V3080" s="12" t="s">
        <v>1017</v>
      </c>
      <c r="X3080" s="65"/>
      <c r="AA3080" s="67"/>
      <c r="AC3080" s="12" t="s">
        <v>1017</v>
      </c>
      <c r="AD3080" s="53"/>
    </row>
    <row r="3081" spans="1:30" s="12" customFormat="1" x14ac:dyDescent="0.25">
      <c r="A3081" s="610" t="str">
        <f t="shared" si="1203"/>
        <v>BiK270t2GiK-11</v>
      </c>
      <c r="B3081" s="17" t="s">
        <v>5548</v>
      </c>
      <c r="C3081" s="30" t="str">
        <f t="shared" si="1204"/>
        <v>Inbetriebnahme 2011</v>
      </c>
      <c r="D3081" s="17" t="s">
        <v>7301</v>
      </c>
      <c r="E3081" s="17" t="s">
        <v>4812</v>
      </c>
      <c r="F3081" s="454">
        <f t="shared" si="1205"/>
        <v>23.200000000000003</v>
      </c>
      <c r="G3081" s="529">
        <v>23.200000000000003</v>
      </c>
      <c r="H3081" s="487">
        <f t="shared" si="1206"/>
        <v>18.559999999999999</v>
      </c>
      <c r="I3081" s="706"/>
      <c r="J3081" s="669" t="s">
        <v>5805</v>
      </c>
      <c r="K3081" s="23"/>
      <c r="L3081" s="70" t="str">
        <f t="shared" si="1207"/>
        <v/>
      </c>
      <c r="M3081" s="49">
        <f t="shared" si="1208"/>
        <v>23.200000000000003</v>
      </c>
      <c r="N3081" s="41">
        <f t="shared" si="1209"/>
        <v>11.44</v>
      </c>
      <c r="O3081" s="43" t="s">
        <v>1017</v>
      </c>
      <c r="P3081" s="65"/>
      <c r="Q3081" s="65"/>
      <c r="R3081" s="58" t="s">
        <v>1017</v>
      </c>
      <c r="T3081" s="65"/>
      <c r="U3081" s="65"/>
      <c r="V3081" s="12" t="s">
        <v>1017</v>
      </c>
      <c r="X3081" s="65"/>
      <c r="AA3081" s="67"/>
      <c r="AC3081" s="12" t="s">
        <v>1017</v>
      </c>
      <c r="AD3081" s="53"/>
    </row>
    <row r="3082" spans="1:30" s="12" customFormat="1" x14ac:dyDescent="0.25">
      <c r="A3082" s="610" t="str">
        <f t="shared" si="1203"/>
        <v>BiK270t2L---11</v>
      </c>
      <c r="B3082" s="17" t="s">
        <v>5548</v>
      </c>
      <c r="C3082" s="30" t="str">
        <f t="shared" si="1204"/>
        <v>Inbetriebnahme 2011</v>
      </c>
      <c r="D3082" s="17" t="s">
        <v>7302</v>
      </c>
      <c r="E3082" s="17" t="s">
        <v>4810</v>
      </c>
      <c r="F3082" s="454">
        <f t="shared" si="1205"/>
        <v>21.240000000000002</v>
      </c>
      <c r="G3082" s="529">
        <v>21.240000000000002</v>
      </c>
      <c r="H3082" s="487">
        <f t="shared" si="1206"/>
        <v>16.989999999999998</v>
      </c>
      <c r="I3082" s="706"/>
      <c r="J3082" s="669" t="s">
        <v>5805</v>
      </c>
      <c r="K3082" s="23"/>
      <c r="L3082" s="70" t="str">
        <f t="shared" si="1207"/>
        <v/>
      </c>
      <c r="M3082" s="49">
        <f t="shared" si="1208"/>
        <v>21.240000000000002</v>
      </c>
      <c r="N3082" s="41">
        <f t="shared" si="1209"/>
        <v>11.44</v>
      </c>
      <c r="O3082" s="61"/>
      <c r="P3082" s="65"/>
      <c r="Q3082" s="65"/>
      <c r="R3082" s="58"/>
      <c r="T3082" s="65"/>
      <c r="U3082" s="65"/>
      <c r="X3082" s="65"/>
      <c r="Y3082" s="12" t="s">
        <v>1017</v>
      </c>
      <c r="AA3082" s="67"/>
      <c r="AC3082" s="12" t="s">
        <v>1017</v>
      </c>
      <c r="AD3082" s="53"/>
    </row>
    <row r="3083" spans="1:30" s="12" customFormat="1" x14ac:dyDescent="0.25">
      <c r="A3083" s="610" t="str">
        <f t="shared" si="1203"/>
        <v>BiK270t2LK--11</v>
      </c>
      <c r="B3083" s="17" t="s">
        <v>5548</v>
      </c>
      <c r="C3083" s="30" t="str">
        <f t="shared" si="1204"/>
        <v>Inbetriebnahme 2011</v>
      </c>
      <c r="D3083" s="17" t="s">
        <v>7303</v>
      </c>
      <c r="E3083" s="17" t="s">
        <v>4812</v>
      </c>
      <c r="F3083" s="454">
        <f t="shared" si="1205"/>
        <v>24.18</v>
      </c>
      <c r="G3083" s="529">
        <v>24.18</v>
      </c>
      <c r="H3083" s="487">
        <f t="shared" si="1206"/>
        <v>19.34</v>
      </c>
      <c r="I3083" s="706"/>
      <c r="J3083" s="669" t="s">
        <v>5805</v>
      </c>
      <c r="K3083" s="23"/>
      <c r="L3083" s="70" t="str">
        <f t="shared" si="1207"/>
        <v/>
      </c>
      <c r="M3083" s="49">
        <f t="shared" si="1208"/>
        <v>24.18</v>
      </c>
      <c r="N3083" s="41">
        <f t="shared" si="1209"/>
        <v>11.44</v>
      </c>
      <c r="O3083" s="43" t="s">
        <v>1017</v>
      </c>
      <c r="P3083" s="65"/>
      <c r="Q3083" s="65"/>
      <c r="R3083" s="58"/>
      <c r="T3083" s="65"/>
      <c r="U3083" s="65"/>
      <c r="X3083" s="65"/>
      <c r="Y3083" s="12" t="s">
        <v>1017</v>
      </c>
      <c r="AA3083" s="67"/>
      <c r="AC3083" s="12" t="s">
        <v>1017</v>
      </c>
      <c r="AD3083" s="53"/>
    </row>
    <row r="3084" spans="1:30" s="12" customFormat="1" x14ac:dyDescent="0.25">
      <c r="A3084" s="610" t="str">
        <f t="shared" si="1203"/>
        <v>BiK270t2Li--11</v>
      </c>
      <c r="B3084" s="17" t="s">
        <v>5548</v>
      </c>
      <c r="C3084" s="30" t="str">
        <f t="shared" si="1204"/>
        <v>Inbetriebnahme 2011</v>
      </c>
      <c r="D3084" s="17" t="s">
        <v>7304</v>
      </c>
      <c r="E3084" s="17" t="s">
        <v>4810</v>
      </c>
      <c r="F3084" s="454">
        <f t="shared" si="1205"/>
        <v>22.22</v>
      </c>
      <c r="G3084" s="529">
        <v>22.22</v>
      </c>
      <c r="H3084" s="487">
        <f t="shared" si="1206"/>
        <v>17.78</v>
      </c>
      <c r="I3084" s="706"/>
      <c r="J3084" s="669" t="s">
        <v>5805</v>
      </c>
      <c r="K3084" s="23"/>
      <c r="L3084" s="70" t="str">
        <f t="shared" si="1207"/>
        <v/>
      </c>
      <c r="M3084" s="49">
        <f t="shared" si="1208"/>
        <v>22.22</v>
      </c>
      <c r="N3084" s="41">
        <f t="shared" si="1209"/>
        <v>11.44</v>
      </c>
      <c r="O3084" s="61"/>
      <c r="P3084" s="65"/>
      <c r="Q3084" s="65"/>
      <c r="R3084" s="58" t="s">
        <v>1017</v>
      </c>
      <c r="T3084" s="65"/>
      <c r="U3084" s="65"/>
      <c r="X3084" s="65"/>
      <c r="Y3084" s="12" t="s">
        <v>1017</v>
      </c>
      <c r="AA3084" s="67"/>
      <c r="AC3084" s="12" t="s">
        <v>1017</v>
      </c>
      <c r="AD3084" s="53"/>
    </row>
    <row r="3085" spans="1:30" s="12" customFormat="1" x14ac:dyDescent="0.25">
      <c r="A3085" s="610" t="str">
        <f t="shared" si="1203"/>
        <v>BiK270t2LiK-11</v>
      </c>
      <c r="B3085" s="17" t="s">
        <v>5548</v>
      </c>
      <c r="C3085" s="30" t="str">
        <f t="shared" si="1204"/>
        <v>Inbetriebnahme 2011</v>
      </c>
      <c r="D3085" s="17" t="s">
        <v>7305</v>
      </c>
      <c r="E3085" s="17" t="s">
        <v>4812</v>
      </c>
      <c r="F3085" s="454">
        <f t="shared" si="1205"/>
        <v>25.16</v>
      </c>
      <c r="G3085" s="529">
        <v>25.16</v>
      </c>
      <c r="H3085" s="487">
        <f t="shared" si="1206"/>
        <v>20.13</v>
      </c>
      <c r="I3085" s="706"/>
      <c r="J3085" s="669" t="s">
        <v>5805</v>
      </c>
      <c r="K3085" s="23"/>
      <c r="L3085" s="70" t="str">
        <f t="shared" si="1207"/>
        <v/>
      </c>
      <c r="M3085" s="49">
        <f t="shared" si="1208"/>
        <v>25.16</v>
      </c>
      <c r="N3085" s="41">
        <f t="shared" si="1209"/>
        <v>11.44</v>
      </c>
      <c r="O3085" s="43" t="s">
        <v>1017</v>
      </c>
      <c r="P3085" s="65"/>
      <c r="Q3085" s="65"/>
      <c r="R3085" s="58" t="s">
        <v>1017</v>
      </c>
      <c r="T3085" s="65"/>
      <c r="U3085" s="65"/>
      <c r="X3085" s="65"/>
      <c r="Y3085" s="12" t="s">
        <v>1017</v>
      </c>
      <c r="AA3085" s="67"/>
      <c r="AC3085" s="12" t="s">
        <v>1017</v>
      </c>
      <c r="AD3085" s="53"/>
    </row>
    <row r="3086" spans="1:30" s="12" customFormat="1" x14ac:dyDescent="0.25">
      <c r="A3086" s="610" t="str">
        <f t="shared" ref="A3086:A3149" si="1210">LEFT(A2863,12)&amp;($M$3018-2000)</f>
        <v>BiK270t2M1--11</v>
      </c>
      <c r="B3086" s="17" t="s">
        <v>5548</v>
      </c>
      <c r="C3086" s="30" t="str">
        <f t="shared" ref="C3086:C3149" si="1211">"Inbetriebnahme "&amp;$M$3018</f>
        <v>Inbetriebnahme 2011</v>
      </c>
      <c r="D3086" s="17" t="s">
        <v>7306</v>
      </c>
      <c r="E3086" s="17" t="s">
        <v>4810</v>
      </c>
      <c r="F3086" s="454">
        <f t="shared" ref="F3086:F3149" si="1212">M3086</f>
        <v>23.200000000000003</v>
      </c>
      <c r="G3086" s="529">
        <v>23.200000000000003</v>
      </c>
      <c r="H3086" s="487">
        <f t="shared" ref="H3086:H3149" si="1213">IF(ISNUMBER(G3086),ROUND(0.8*G3086,2),"")</f>
        <v>18.559999999999999</v>
      </c>
      <c r="I3086" s="706"/>
      <c r="J3086" s="669" t="s">
        <v>5805</v>
      </c>
      <c r="K3086" s="23"/>
      <c r="L3086" s="70" t="str">
        <f t="shared" ref="L3086:L3149" si="1214">IF(F3086=M3086,"",FALSE)</f>
        <v/>
      </c>
      <c r="M3086" s="49">
        <f t="shared" ref="M3086:M3149" si="1215">N3086+SUMIF(O3086:AD3086,"x",$O$3021:$AD$3021)</f>
        <v>23.200000000000003</v>
      </c>
      <c r="N3086" s="41">
        <f t="shared" ref="N3086:N3149" si="1216">ROUND(N2640*(1-$AE$3020)^($M$3018-2009),2)</f>
        <v>11.44</v>
      </c>
      <c r="O3086" s="61"/>
      <c r="P3086" s="65"/>
      <c r="Q3086" s="65"/>
      <c r="R3086" s="58"/>
      <c r="T3086" s="65"/>
      <c r="U3086" s="65"/>
      <c r="W3086" s="12" t="s">
        <v>1017</v>
      </c>
      <c r="X3086" s="65"/>
      <c r="AA3086" s="67"/>
      <c r="AC3086" s="12" t="s">
        <v>1017</v>
      </c>
      <c r="AD3086" s="53"/>
    </row>
    <row r="3087" spans="1:30" s="12" customFormat="1" x14ac:dyDescent="0.25">
      <c r="A3087" s="610" t="str">
        <f t="shared" si="1210"/>
        <v>BiK270t2M1K-11</v>
      </c>
      <c r="B3087" s="17" t="s">
        <v>5548</v>
      </c>
      <c r="C3087" s="30" t="str">
        <f t="shared" si="1211"/>
        <v>Inbetriebnahme 2011</v>
      </c>
      <c r="D3087" s="17" t="s">
        <v>7307</v>
      </c>
      <c r="E3087" s="17" t="s">
        <v>4812</v>
      </c>
      <c r="F3087" s="454">
        <f t="shared" si="1212"/>
        <v>26.14</v>
      </c>
      <c r="G3087" s="529">
        <v>26.14</v>
      </c>
      <c r="H3087" s="487">
        <f t="shared" si="1213"/>
        <v>20.91</v>
      </c>
      <c r="I3087" s="706"/>
      <c r="J3087" s="669" t="s">
        <v>5805</v>
      </c>
      <c r="K3087" s="23"/>
      <c r="L3087" s="70" t="str">
        <f t="shared" si="1214"/>
        <v/>
      </c>
      <c r="M3087" s="49">
        <f t="shared" si="1215"/>
        <v>26.14</v>
      </c>
      <c r="N3087" s="41">
        <f t="shared" si="1216"/>
        <v>11.44</v>
      </c>
      <c r="O3087" s="43" t="s">
        <v>1017</v>
      </c>
      <c r="P3087" s="65"/>
      <c r="Q3087" s="65"/>
      <c r="R3087" s="58"/>
      <c r="T3087" s="65"/>
      <c r="U3087" s="65"/>
      <c r="W3087" s="12" t="s">
        <v>1017</v>
      </c>
      <c r="X3087" s="65"/>
      <c r="AA3087" s="67"/>
      <c r="AC3087" s="12" t="s">
        <v>1017</v>
      </c>
      <c r="AD3087" s="53"/>
    </row>
    <row r="3088" spans="1:30" s="12" customFormat="1" x14ac:dyDescent="0.25">
      <c r="A3088" s="610" t="str">
        <f t="shared" si="1210"/>
        <v>BiK270t2M1i-11</v>
      </c>
      <c r="B3088" s="17" t="s">
        <v>5548</v>
      </c>
      <c r="C3088" s="30" t="str">
        <f t="shared" si="1211"/>
        <v>Inbetriebnahme 2011</v>
      </c>
      <c r="D3088" s="17" t="s">
        <v>7308</v>
      </c>
      <c r="E3088" s="17" t="s">
        <v>4810</v>
      </c>
      <c r="F3088" s="454">
        <f t="shared" si="1212"/>
        <v>24.18</v>
      </c>
      <c r="G3088" s="529">
        <v>24.18</v>
      </c>
      <c r="H3088" s="487">
        <f t="shared" si="1213"/>
        <v>19.34</v>
      </c>
      <c r="I3088" s="706"/>
      <c r="J3088" s="669" t="s">
        <v>5805</v>
      </c>
      <c r="K3088" s="23"/>
      <c r="L3088" s="70" t="str">
        <f t="shared" si="1214"/>
        <v/>
      </c>
      <c r="M3088" s="49">
        <f t="shared" si="1215"/>
        <v>24.18</v>
      </c>
      <c r="N3088" s="41">
        <f t="shared" si="1216"/>
        <v>11.44</v>
      </c>
      <c r="O3088" s="61"/>
      <c r="P3088" s="65"/>
      <c r="Q3088" s="65"/>
      <c r="R3088" s="58" t="s">
        <v>1017</v>
      </c>
      <c r="T3088" s="65"/>
      <c r="U3088" s="65"/>
      <c r="W3088" s="12" t="s">
        <v>1017</v>
      </c>
      <c r="X3088" s="65"/>
      <c r="AA3088" s="67"/>
      <c r="AC3088" s="12" t="s">
        <v>1017</v>
      </c>
      <c r="AD3088" s="53"/>
    </row>
    <row r="3089" spans="1:30" s="12" customFormat="1" x14ac:dyDescent="0.25">
      <c r="A3089" s="610" t="str">
        <f t="shared" si="1210"/>
        <v>BiK270t2M1iK11</v>
      </c>
      <c r="B3089" s="17" t="s">
        <v>5548</v>
      </c>
      <c r="C3089" s="30" t="str">
        <f t="shared" si="1211"/>
        <v>Inbetriebnahme 2011</v>
      </c>
      <c r="D3089" s="17" t="s">
        <v>7309</v>
      </c>
      <c r="E3089" s="17" t="s">
        <v>4812</v>
      </c>
      <c r="F3089" s="454">
        <f t="shared" si="1212"/>
        <v>27.12</v>
      </c>
      <c r="G3089" s="529">
        <v>27.12</v>
      </c>
      <c r="H3089" s="487">
        <f t="shared" si="1213"/>
        <v>21.7</v>
      </c>
      <c r="I3089" s="706"/>
      <c r="J3089" s="669" t="s">
        <v>5805</v>
      </c>
      <c r="K3089" s="23"/>
      <c r="L3089" s="70" t="str">
        <f t="shared" si="1214"/>
        <v/>
      </c>
      <c r="M3089" s="49">
        <f t="shared" si="1215"/>
        <v>27.12</v>
      </c>
      <c r="N3089" s="41">
        <f t="shared" si="1216"/>
        <v>11.44</v>
      </c>
      <c r="O3089" s="43" t="s">
        <v>1017</v>
      </c>
      <c r="P3089" s="65"/>
      <c r="Q3089" s="65"/>
      <c r="R3089" s="58" t="s">
        <v>1017</v>
      </c>
      <c r="T3089" s="65"/>
      <c r="U3089" s="65"/>
      <c r="W3089" s="12" t="s">
        <v>1017</v>
      </c>
      <c r="X3089" s="65"/>
      <c r="AA3089" s="67"/>
      <c r="AC3089" s="12" t="s">
        <v>1017</v>
      </c>
      <c r="AD3089" s="53"/>
    </row>
    <row r="3090" spans="1:30" s="12" customFormat="1" x14ac:dyDescent="0.25">
      <c r="A3090" s="610" t="str">
        <f t="shared" si="1210"/>
        <v>BiK270t2X1--11</v>
      </c>
      <c r="B3090" s="17" t="s">
        <v>5548</v>
      </c>
      <c r="C3090" s="30" t="str">
        <f t="shared" si="1211"/>
        <v>Inbetriebnahme 2011</v>
      </c>
      <c r="D3090" s="17" t="s">
        <v>7310</v>
      </c>
      <c r="E3090" s="17" t="s">
        <v>4810</v>
      </c>
      <c r="F3090" s="454">
        <f t="shared" si="1212"/>
        <v>25.160000000000004</v>
      </c>
      <c r="G3090" s="529">
        <v>25.160000000000004</v>
      </c>
      <c r="H3090" s="487">
        <f t="shared" si="1213"/>
        <v>20.13</v>
      </c>
      <c r="I3090" s="706"/>
      <c r="J3090" s="669" t="s">
        <v>5805</v>
      </c>
      <c r="K3090" s="23"/>
      <c r="L3090" s="70" t="str">
        <f t="shared" si="1214"/>
        <v/>
      </c>
      <c r="M3090" s="49">
        <f t="shared" si="1215"/>
        <v>25.160000000000004</v>
      </c>
      <c r="N3090" s="41">
        <f t="shared" si="1216"/>
        <v>11.44</v>
      </c>
      <c r="O3090" s="61"/>
      <c r="P3090" s="65"/>
      <c r="Q3090" s="65"/>
      <c r="R3090" s="58"/>
      <c r="T3090" s="65"/>
      <c r="U3090" s="65"/>
      <c r="X3090" s="65"/>
      <c r="Z3090" s="12" t="s">
        <v>1017</v>
      </c>
      <c r="AA3090" s="67"/>
      <c r="AC3090" s="12" t="s">
        <v>1017</v>
      </c>
      <c r="AD3090" s="53"/>
    </row>
    <row r="3091" spans="1:30" s="12" customFormat="1" x14ac:dyDescent="0.25">
      <c r="A3091" s="610" t="str">
        <f t="shared" si="1210"/>
        <v>BiK270t2X1K-11</v>
      </c>
      <c r="B3091" s="17" t="s">
        <v>5548</v>
      </c>
      <c r="C3091" s="30" t="str">
        <f t="shared" si="1211"/>
        <v>Inbetriebnahme 2011</v>
      </c>
      <c r="D3091" s="17" t="s">
        <v>7311</v>
      </c>
      <c r="E3091" s="17" t="s">
        <v>4812</v>
      </c>
      <c r="F3091" s="454">
        <f t="shared" si="1212"/>
        <v>28.1</v>
      </c>
      <c r="G3091" s="529">
        <v>28.1</v>
      </c>
      <c r="H3091" s="487">
        <f t="shared" si="1213"/>
        <v>22.48</v>
      </c>
      <c r="I3091" s="706"/>
      <c r="J3091" s="669" t="s">
        <v>5805</v>
      </c>
      <c r="K3091" s="23"/>
      <c r="L3091" s="70" t="str">
        <f t="shared" si="1214"/>
        <v/>
      </c>
      <c r="M3091" s="49">
        <f t="shared" si="1215"/>
        <v>28.1</v>
      </c>
      <c r="N3091" s="41">
        <f t="shared" si="1216"/>
        <v>11.44</v>
      </c>
      <c r="O3091" s="43" t="s">
        <v>1017</v>
      </c>
      <c r="P3091" s="65"/>
      <c r="Q3091" s="65"/>
      <c r="R3091" s="58"/>
      <c r="T3091" s="65"/>
      <c r="U3091" s="65"/>
      <c r="X3091" s="65"/>
      <c r="Z3091" s="12" t="s">
        <v>1017</v>
      </c>
      <c r="AA3091" s="67"/>
      <c r="AC3091" s="12" t="s">
        <v>1017</v>
      </c>
      <c r="AD3091" s="53"/>
    </row>
    <row r="3092" spans="1:30" s="12" customFormat="1" x14ac:dyDescent="0.25">
      <c r="A3092" s="610" t="str">
        <f t="shared" si="1210"/>
        <v>BiK270t2X1i-11</v>
      </c>
      <c r="B3092" s="17" t="s">
        <v>5548</v>
      </c>
      <c r="C3092" s="30" t="str">
        <f t="shared" si="1211"/>
        <v>Inbetriebnahme 2011</v>
      </c>
      <c r="D3092" s="17" t="s">
        <v>7312</v>
      </c>
      <c r="E3092" s="17" t="s">
        <v>4810</v>
      </c>
      <c r="F3092" s="454">
        <f t="shared" si="1212"/>
        <v>26.14</v>
      </c>
      <c r="G3092" s="529">
        <v>26.14</v>
      </c>
      <c r="H3092" s="487">
        <f t="shared" si="1213"/>
        <v>20.91</v>
      </c>
      <c r="I3092" s="706"/>
      <c r="J3092" s="669" t="s">
        <v>5805</v>
      </c>
      <c r="K3092" s="23"/>
      <c r="L3092" s="70" t="str">
        <f t="shared" si="1214"/>
        <v/>
      </c>
      <c r="M3092" s="49">
        <f t="shared" si="1215"/>
        <v>26.14</v>
      </c>
      <c r="N3092" s="41">
        <f t="shared" si="1216"/>
        <v>11.44</v>
      </c>
      <c r="O3092" s="61"/>
      <c r="P3092" s="65"/>
      <c r="Q3092" s="65"/>
      <c r="R3092" s="58" t="s">
        <v>1017</v>
      </c>
      <c r="T3092" s="65"/>
      <c r="U3092" s="65"/>
      <c r="X3092" s="65"/>
      <c r="Z3092" s="12" t="s">
        <v>1017</v>
      </c>
      <c r="AA3092" s="67"/>
      <c r="AC3092" s="12" t="s">
        <v>1017</v>
      </c>
      <c r="AD3092" s="53"/>
    </row>
    <row r="3093" spans="1:30" s="12" customFormat="1" x14ac:dyDescent="0.25">
      <c r="A3093" s="610" t="str">
        <f t="shared" si="1210"/>
        <v>BiK270t2X1iK11</v>
      </c>
      <c r="B3093" s="17" t="s">
        <v>5548</v>
      </c>
      <c r="C3093" s="30" t="str">
        <f t="shared" si="1211"/>
        <v>Inbetriebnahme 2011</v>
      </c>
      <c r="D3093" s="17" t="s">
        <v>7313</v>
      </c>
      <c r="E3093" s="17" t="s">
        <v>4812</v>
      </c>
      <c r="F3093" s="454">
        <f t="shared" si="1212"/>
        <v>29.080000000000005</v>
      </c>
      <c r="G3093" s="529">
        <v>29.080000000000005</v>
      </c>
      <c r="H3093" s="487">
        <f t="shared" si="1213"/>
        <v>23.26</v>
      </c>
      <c r="I3093" s="706"/>
      <c r="J3093" s="669" t="s">
        <v>5805</v>
      </c>
      <c r="K3093" s="23"/>
      <c r="L3093" s="70" t="str">
        <f t="shared" si="1214"/>
        <v/>
      </c>
      <c r="M3093" s="49">
        <f t="shared" si="1215"/>
        <v>29.080000000000005</v>
      </c>
      <c r="N3093" s="41">
        <f t="shared" si="1216"/>
        <v>11.44</v>
      </c>
      <c r="O3093" s="43" t="s">
        <v>1017</v>
      </c>
      <c r="P3093" s="65"/>
      <c r="Q3093" s="65"/>
      <c r="R3093" s="58" t="s">
        <v>1017</v>
      </c>
      <c r="T3093" s="65"/>
      <c r="U3093" s="65"/>
      <c r="X3093" s="65"/>
      <c r="Z3093" s="12" t="s">
        <v>1017</v>
      </c>
      <c r="AA3093" s="67"/>
      <c r="AC3093" s="12" t="s">
        <v>1017</v>
      </c>
      <c r="AD3093" s="53"/>
    </row>
    <row r="3094" spans="1:30" s="12" customFormat="1" x14ac:dyDescent="0.25">
      <c r="A3094" s="610" t="str">
        <f t="shared" si="1210"/>
        <v>BiK270t3----11</v>
      </c>
      <c r="B3094" s="17" t="s">
        <v>5548</v>
      </c>
      <c r="C3094" s="30" t="str">
        <f t="shared" si="1211"/>
        <v>Inbetriebnahme 2011</v>
      </c>
      <c r="D3094" s="17" t="s">
        <v>7314</v>
      </c>
      <c r="E3094" s="17" t="s">
        <v>4810</v>
      </c>
      <c r="F3094" s="454">
        <f t="shared" si="1212"/>
        <v>13.399999999999999</v>
      </c>
      <c r="G3094" s="529">
        <v>13.399999999999999</v>
      </c>
      <c r="H3094" s="487">
        <f t="shared" si="1213"/>
        <v>10.72</v>
      </c>
      <c r="I3094" s="706"/>
      <c r="J3094" s="669" t="s">
        <v>5805</v>
      </c>
      <c r="K3094" s="23"/>
      <c r="L3094" s="70" t="str">
        <f t="shared" si="1214"/>
        <v/>
      </c>
      <c r="M3094" s="49">
        <f t="shared" si="1215"/>
        <v>13.399999999999999</v>
      </c>
      <c r="N3094" s="41">
        <f t="shared" si="1216"/>
        <v>11.44</v>
      </c>
      <c r="O3094" s="61"/>
      <c r="P3094" s="65"/>
      <c r="Q3094" s="65"/>
      <c r="R3094" s="58"/>
      <c r="T3094" s="65"/>
      <c r="U3094" s="65"/>
      <c r="X3094" s="65"/>
      <c r="AA3094" s="67"/>
      <c r="AD3094" s="53" t="s">
        <v>1017</v>
      </c>
    </row>
    <row r="3095" spans="1:30" s="12" customFormat="1" x14ac:dyDescent="0.25">
      <c r="A3095" s="610" t="str">
        <f t="shared" si="1210"/>
        <v>BiK270t3K---11</v>
      </c>
      <c r="B3095" s="17" t="s">
        <v>5548</v>
      </c>
      <c r="C3095" s="30" t="str">
        <f t="shared" si="1211"/>
        <v>Inbetriebnahme 2011</v>
      </c>
      <c r="D3095" s="17" t="s">
        <v>7315</v>
      </c>
      <c r="E3095" s="17" t="s">
        <v>4812</v>
      </c>
      <c r="F3095" s="454">
        <f t="shared" si="1212"/>
        <v>16.34</v>
      </c>
      <c r="G3095" s="529">
        <v>16.34</v>
      </c>
      <c r="H3095" s="487">
        <f t="shared" si="1213"/>
        <v>13.07</v>
      </c>
      <c r="I3095" s="706"/>
      <c r="J3095" s="669" t="s">
        <v>5805</v>
      </c>
      <c r="K3095" s="23"/>
      <c r="L3095" s="70" t="str">
        <f t="shared" si="1214"/>
        <v/>
      </c>
      <c r="M3095" s="49">
        <f t="shared" si="1215"/>
        <v>16.34</v>
      </c>
      <c r="N3095" s="41">
        <f t="shared" si="1216"/>
        <v>11.44</v>
      </c>
      <c r="O3095" s="43" t="s">
        <v>1017</v>
      </c>
      <c r="P3095" s="65"/>
      <c r="Q3095" s="65"/>
      <c r="R3095" s="58"/>
      <c r="T3095" s="65"/>
      <c r="U3095" s="65"/>
      <c r="X3095" s="65"/>
      <c r="AA3095" s="67"/>
      <c r="AD3095" s="53" t="s">
        <v>1017</v>
      </c>
    </row>
    <row r="3096" spans="1:30" s="12" customFormat="1" x14ac:dyDescent="0.25">
      <c r="A3096" s="610" t="str">
        <f t="shared" si="1210"/>
        <v>BiK270t3i---11</v>
      </c>
      <c r="B3096" s="17" t="s">
        <v>5548</v>
      </c>
      <c r="C3096" s="30" t="str">
        <f t="shared" si="1211"/>
        <v>Inbetriebnahme 2011</v>
      </c>
      <c r="D3096" s="30" t="s">
        <v>7316</v>
      </c>
      <c r="E3096" s="17" t="s">
        <v>4810</v>
      </c>
      <c r="F3096" s="454">
        <f t="shared" si="1212"/>
        <v>14.379999999999999</v>
      </c>
      <c r="G3096" s="529">
        <v>14.379999999999999</v>
      </c>
      <c r="H3096" s="487">
        <f t="shared" si="1213"/>
        <v>11.5</v>
      </c>
      <c r="I3096" s="706"/>
      <c r="J3096" s="669" t="s">
        <v>5805</v>
      </c>
      <c r="K3096" s="23"/>
      <c r="L3096" s="70" t="str">
        <f t="shared" si="1214"/>
        <v/>
      </c>
      <c r="M3096" s="49">
        <f t="shared" si="1215"/>
        <v>14.379999999999999</v>
      </c>
      <c r="N3096" s="41">
        <f t="shared" si="1216"/>
        <v>11.44</v>
      </c>
      <c r="O3096" s="61"/>
      <c r="P3096" s="65"/>
      <c r="Q3096" s="65"/>
      <c r="R3096" s="58" t="s">
        <v>1017</v>
      </c>
      <c r="T3096" s="65"/>
      <c r="U3096" s="65"/>
      <c r="X3096" s="65"/>
      <c r="AA3096" s="67"/>
      <c r="AD3096" s="53" t="s">
        <v>1017</v>
      </c>
    </row>
    <row r="3097" spans="1:30" s="12" customFormat="1" x14ac:dyDescent="0.25">
      <c r="A3097" s="610" t="str">
        <f t="shared" si="1210"/>
        <v>BiK270t3iK--11</v>
      </c>
      <c r="B3097" s="17" t="s">
        <v>5548</v>
      </c>
      <c r="C3097" s="30" t="str">
        <f t="shared" si="1211"/>
        <v>Inbetriebnahme 2011</v>
      </c>
      <c r="D3097" s="30" t="s">
        <v>7317</v>
      </c>
      <c r="E3097" s="17" t="s">
        <v>4812</v>
      </c>
      <c r="F3097" s="454">
        <f t="shared" si="1212"/>
        <v>17.32</v>
      </c>
      <c r="G3097" s="529">
        <v>17.32</v>
      </c>
      <c r="H3097" s="487">
        <f t="shared" si="1213"/>
        <v>13.86</v>
      </c>
      <c r="I3097" s="706"/>
      <c r="J3097" s="669" t="s">
        <v>5805</v>
      </c>
      <c r="K3097" s="23"/>
      <c r="L3097" s="70" t="str">
        <f t="shared" si="1214"/>
        <v/>
      </c>
      <c r="M3097" s="49">
        <f t="shared" si="1215"/>
        <v>17.32</v>
      </c>
      <c r="N3097" s="41">
        <f t="shared" si="1216"/>
        <v>11.44</v>
      </c>
      <c r="O3097" s="43" t="s">
        <v>1017</v>
      </c>
      <c r="P3097" s="65"/>
      <c r="Q3097" s="65"/>
      <c r="R3097" s="58" t="s">
        <v>1017</v>
      </c>
      <c r="T3097" s="65"/>
      <c r="U3097" s="65"/>
      <c r="X3097" s="65"/>
      <c r="AA3097" s="67"/>
      <c r="AD3097" s="53" t="s">
        <v>1017</v>
      </c>
    </row>
    <row r="3098" spans="1:30" s="12" customFormat="1" x14ac:dyDescent="0.25">
      <c r="A3098" s="610" t="str">
        <f t="shared" si="1210"/>
        <v>BiK270t3a1--11</v>
      </c>
      <c r="B3098" s="17" t="s">
        <v>5548</v>
      </c>
      <c r="C3098" s="30" t="str">
        <f t="shared" si="1211"/>
        <v>Inbetriebnahme 2011</v>
      </c>
      <c r="D3098" s="17" t="s">
        <v>7318</v>
      </c>
      <c r="E3098" s="17" t="s">
        <v>4810</v>
      </c>
      <c r="F3098" s="454">
        <f t="shared" si="1212"/>
        <v>19.28</v>
      </c>
      <c r="G3098" s="529">
        <v>19.28</v>
      </c>
      <c r="H3098" s="487">
        <f t="shared" si="1213"/>
        <v>15.42</v>
      </c>
      <c r="I3098" s="706"/>
      <c r="J3098" s="669" t="s">
        <v>5805</v>
      </c>
      <c r="K3098" s="23"/>
      <c r="L3098" s="70" t="str">
        <f t="shared" si="1214"/>
        <v/>
      </c>
      <c r="M3098" s="49">
        <f t="shared" si="1215"/>
        <v>19.28</v>
      </c>
      <c r="N3098" s="41">
        <f t="shared" si="1216"/>
        <v>11.44</v>
      </c>
      <c r="O3098" s="61"/>
      <c r="P3098" s="65"/>
      <c r="Q3098" s="65"/>
      <c r="R3098" s="58"/>
      <c r="S3098" s="12" t="s">
        <v>1017</v>
      </c>
      <c r="T3098" s="65"/>
      <c r="U3098" s="65"/>
      <c r="X3098" s="65"/>
      <c r="AA3098" s="67"/>
      <c r="AD3098" s="53" t="s">
        <v>1017</v>
      </c>
    </row>
    <row r="3099" spans="1:30" s="12" customFormat="1" x14ac:dyDescent="0.25">
      <c r="A3099" s="610" t="str">
        <f t="shared" si="1210"/>
        <v>BiK270t3a1K-11</v>
      </c>
      <c r="B3099" s="17" t="s">
        <v>5548</v>
      </c>
      <c r="C3099" s="30" t="str">
        <f t="shared" si="1211"/>
        <v>Inbetriebnahme 2011</v>
      </c>
      <c r="D3099" s="17" t="s">
        <v>7319</v>
      </c>
      <c r="E3099" s="17" t="s">
        <v>4812</v>
      </c>
      <c r="F3099" s="454">
        <f t="shared" si="1212"/>
        <v>22.22</v>
      </c>
      <c r="G3099" s="529">
        <v>22.22</v>
      </c>
      <c r="H3099" s="487">
        <f t="shared" si="1213"/>
        <v>17.78</v>
      </c>
      <c r="I3099" s="706"/>
      <c r="J3099" s="669" t="s">
        <v>5805</v>
      </c>
      <c r="K3099" s="23"/>
      <c r="L3099" s="70" t="str">
        <f t="shared" si="1214"/>
        <v/>
      </c>
      <c r="M3099" s="49">
        <f t="shared" si="1215"/>
        <v>22.22</v>
      </c>
      <c r="N3099" s="41">
        <f t="shared" si="1216"/>
        <v>11.44</v>
      </c>
      <c r="O3099" s="43" t="s">
        <v>1017</v>
      </c>
      <c r="P3099" s="65"/>
      <c r="Q3099" s="65"/>
      <c r="R3099" s="58"/>
      <c r="S3099" s="12" t="s">
        <v>1017</v>
      </c>
      <c r="T3099" s="65"/>
      <c r="U3099" s="65"/>
      <c r="X3099" s="65"/>
      <c r="AA3099" s="67"/>
      <c r="AD3099" s="53" t="s">
        <v>1017</v>
      </c>
    </row>
    <row r="3100" spans="1:30" s="12" customFormat="1" x14ac:dyDescent="0.25">
      <c r="A3100" s="610" t="str">
        <f t="shared" si="1210"/>
        <v>BiK270t3a1i-11</v>
      </c>
      <c r="B3100" s="17" t="s">
        <v>5548</v>
      </c>
      <c r="C3100" s="30" t="str">
        <f t="shared" si="1211"/>
        <v>Inbetriebnahme 2011</v>
      </c>
      <c r="D3100" s="30" t="s">
        <v>7320</v>
      </c>
      <c r="E3100" s="17" t="s">
        <v>4810</v>
      </c>
      <c r="F3100" s="454">
        <f t="shared" si="1212"/>
        <v>20.259999999999998</v>
      </c>
      <c r="G3100" s="529">
        <v>20.259999999999998</v>
      </c>
      <c r="H3100" s="487">
        <f t="shared" si="1213"/>
        <v>16.21</v>
      </c>
      <c r="I3100" s="706"/>
      <c r="J3100" s="669" t="s">
        <v>5805</v>
      </c>
      <c r="K3100" s="23"/>
      <c r="L3100" s="70" t="str">
        <f t="shared" si="1214"/>
        <v/>
      </c>
      <c r="M3100" s="49">
        <f t="shared" si="1215"/>
        <v>20.259999999999998</v>
      </c>
      <c r="N3100" s="41">
        <f t="shared" si="1216"/>
        <v>11.44</v>
      </c>
      <c r="O3100" s="61"/>
      <c r="P3100" s="65"/>
      <c r="Q3100" s="65"/>
      <c r="R3100" s="58" t="s">
        <v>1017</v>
      </c>
      <c r="S3100" s="12" t="s">
        <v>1017</v>
      </c>
      <c r="T3100" s="65"/>
      <c r="U3100" s="65"/>
      <c r="X3100" s="65"/>
      <c r="AA3100" s="67"/>
      <c r="AD3100" s="53" t="s">
        <v>1017</v>
      </c>
    </row>
    <row r="3101" spans="1:30" s="12" customFormat="1" x14ac:dyDescent="0.25">
      <c r="A3101" s="610" t="str">
        <f t="shared" si="1210"/>
        <v>BiK270t3a1iK11</v>
      </c>
      <c r="B3101" s="17" t="s">
        <v>5548</v>
      </c>
      <c r="C3101" s="30" t="str">
        <f t="shared" si="1211"/>
        <v>Inbetriebnahme 2011</v>
      </c>
      <c r="D3101" s="30" t="s">
        <v>7321</v>
      </c>
      <c r="E3101" s="17" t="s">
        <v>4812</v>
      </c>
      <c r="F3101" s="454">
        <f t="shared" si="1212"/>
        <v>23.200000000000003</v>
      </c>
      <c r="G3101" s="529">
        <v>23.200000000000003</v>
      </c>
      <c r="H3101" s="487">
        <f t="shared" si="1213"/>
        <v>18.559999999999999</v>
      </c>
      <c r="I3101" s="706"/>
      <c r="J3101" s="669" t="s">
        <v>5805</v>
      </c>
      <c r="K3101" s="23"/>
      <c r="L3101" s="70" t="str">
        <f t="shared" si="1214"/>
        <v/>
      </c>
      <c r="M3101" s="49">
        <f t="shared" si="1215"/>
        <v>23.200000000000003</v>
      </c>
      <c r="N3101" s="41">
        <f t="shared" si="1216"/>
        <v>11.44</v>
      </c>
      <c r="O3101" s="43" t="s">
        <v>1017</v>
      </c>
      <c r="P3101" s="65"/>
      <c r="Q3101" s="65"/>
      <c r="R3101" s="58" t="s">
        <v>1017</v>
      </c>
      <c r="S3101" s="12" t="s">
        <v>1017</v>
      </c>
      <c r="T3101" s="65"/>
      <c r="U3101" s="65"/>
      <c r="X3101" s="65"/>
      <c r="AA3101" s="67"/>
      <c r="AD3101" s="53" t="s">
        <v>1017</v>
      </c>
    </row>
    <row r="3102" spans="1:30" s="12" customFormat="1" x14ac:dyDescent="0.25">
      <c r="A3102" s="610" t="str">
        <f t="shared" si="1210"/>
        <v>BiK270t3G---11</v>
      </c>
      <c r="B3102" s="17" t="s">
        <v>5548</v>
      </c>
      <c r="C3102" s="30" t="str">
        <f t="shared" si="1211"/>
        <v>Inbetriebnahme 2011</v>
      </c>
      <c r="D3102" s="17" t="s">
        <v>7322</v>
      </c>
      <c r="E3102" s="17" t="s">
        <v>4810</v>
      </c>
      <c r="F3102" s="454">
        <f t="shared" si="1212"/>
        <v>20.259999999999998</v>
      </c>
      <c r="G3102" s="529">
        <v>20.259999999999998</v>
      </c>
      <c r="H3102" s="487">
        <f t="shared" si="1213"/>
        <v>16.21</v>
      </c>
      <c r="I3102" s="706"/>
      <c r="J3102" s="669" t="s">
        <v>5805</v>
      </c>
      <c r="K3102" s="23"/>
      <c r="L3102" s="70" t="str">
        <f t="shared" si="1214"/>
        <v/>
      </c>
      <c r="M3102" s="49">
        <f t="shared" si="1215"/>
        <v>20.259999999999998</v>
      </c>
      <c r="N3102" s="41">
        <f t="shared" si="1216"/>
        <v>11.44</v>
      </c>
      <c r="O3102" s="61"/>
      <c r="P3102" s="65"/>
      <c r="Q3102" s="65"/>
      <c r="R3102" s="58"/>
      <c r="T3102" s="65"/>
      <c r="U3102" s="65"/>
      <c r="V3102" s="12" t="s">
        <v>1017</v>
      </c>
      <c r="X3102" s="65"/>
      <c r="AA3102" s="67"/>
      <c r="AD3102" s="53" t="s">
        <v>1017</v>
      </c>
    </row>
    <row r="3103" spans="1:30" s="12" customFormat="1" x14ac:dyDescent="0.25">
      <c r="A3103" s="610" t="str">
        <f t="shared" si="1210"/>
        <v>BiK270t3GK--11</v>
      </c>
      <c r="B3103" s="17" t="s">
        <v>5548</v>
      </c>
      <c r="C3103" s="30" t="str">
        <f t="shared" si="1211"/>
        <v>Inbetriebnahme 2011</v>
      </c>
      <c r="D3103" s="17" t="s">
        <v>7323</v>
      </c>
      <c r="E3103" s="17" t="s">
        <v>4812</v>
      </c>
      <c r="F3103" s="454">
        <f t="shared" si="1212"/>
        <v>23.200000000000003</v>
      </c>
      <c r="G3103" s="529">
        <v>23.200000000000003</v>
      </c>
      <c r="H3103" s="487">
        <f t="shared" si="1213"/>
        <v>18.559999999999999</v>
      </c>
      <c r="I3103" s="706"/>
      <c r="J3103" s="669" t="s">
        <v>5805</v>
      </c>
      <c r="K3103" s="23"/>
      <c r="L3103" s="70" t="str">
        <f t="shared" si="1214"/>
        <v/>
      </c>
      <c r="M3103" s="49">
        <f t="shared" si="1215"/>
        <v>23.200000000000003</v>
      </c>
      <c r="N3103" s="41">
        <f t="shared" si="1216"/>
        <v>11.44</v>
      </c>
      <c r="O3103" s="43" t="s">
        <v>1017</v>
      </c>
      <c r="P3103" s="65"/>
      <c r="Q3103" s="65"/>
      <c r="R3103" s="58"/>
      <c r="T3103" s="65"/>
      <c r="U3103" s="65"/>
      <c r="V3103" s="12" t="s">
        <v>1017</v>
      </c>
      <c r="X3103" s="65"/>
      <c r="AA3103" s="67"/>
      <c r="AD3103" s="53" t="s">
        <v>1017</v>
      </c>
    </row>
    <row r="3104" spans="1:30" s="12" customFormat="1" x14ac:dyDescent="0.25">
      <c r="A3104" s="610" t="str">
        <f t="shared" si="1210"/>
        <v>BiK270t3Gi--11</v>
      </c>
      <c r="B3104" s="17" t="s">
        <v>5548</v>
      </c>
      <c r="C3104" s="30" t="str">
        <f t="shared" si="1211"/>
        <v>Inbetriebnahme 2011</v>
      </c>
      <c r="D3104" s="17" t="s">
        <v>7324</v>
      </c>
      <c r="E3104" s="17" t="s">
        <v>4810</v>
      </c>
      <c r="F3104" s="454">
        <f t="shared" si="1212"/>
        <v>21.240000000000002</v>
      </c>
      <c r="G3104" s="529">
        <v>21.240000000000002</v>
      </c>
      <c r="H3104" s="487">
        <f t="shared" si="1213"/>
        <v>16.989999999999998</v>
      </c>
      <c r="I3104" s="706"/>
      <c r="J3104" s="669" t="s">
        <v>5805</v>
      </c>
      <c r="K3104" s="23"/>
      <c r="L3104" s="70" t="str">
        <f t="shared" si="1214"/>
        <v/>
      </c>
      <c r="M3104" s="49">
        <f t="shared" si="1215"/>
        <v>21.240000000000002</v>
      </c>
      <c r="N3104" s="41">
        <f t="shared" si="1216"/>
        <v>11.44</v>
      </c>
      <c r="O3104" s="61"/>
      <c r="P3104" s="65"/>
      <c r="Q3104" s="65"/>
      <c r="R3104" s="58" t="s">
        <v>1017</v>
      </c>
      <c r="T3104" s="65"/>
      <c r="U3104" s="65"/>
      <c r="V3104" s="12" t="s">
        <v>1017</v>
      </c>
      <c r="X3104" s="65"/>
      <c r="AA3104" s="67"/>
      <c r="AD3104" s="53" t="s">
        <v>1017</v>
      </c>
    </row>
    <row r="3105" spans="1:30" s="12" customFormat="1" x14ac:dyDescent="0.25">
      <c r="A3105" s="610" t="str">
        <f t="shared" si="1210"/>
        <v>BiK270t3GiK-11</v>
      </c>
      <c r="B3105" s="17" t="s">
        <v>5548</v>
      </c>
      <c r="C3105" s="30" t="str">
        <f t="shared" si="1211"/>
        <v>Inbetriebnahme 2011</v>
      </c>
      <c r="D3105" s="17" t="s">
        <v>7325</v>
      </c>
      <c r="E3105" s="17" t="s">
        <v>4812</v>
      </c>
      <c r="F3105" s="454">
        <f t="shared" si="1212"/>
        <v>24.18</v>
      </c>
      <c r="G3105" s="529">
        <v>24.18</v>
      </c>
      <c r="H3105" s="487">
        <f t="shared" si="1213"/>
        <v>19.34</v>
      </c>
      <c r="I3105" s="706"/>
      <c r="J3105" s="669" t="s">
        <v>5805</v>
      </c>
      <c r="K3105" s="23"/>
      <c r="L3105" s="70" t="str">
        <f t="shared" si="1214"/>
        <v/>
      </c>
      <c r="M3105" s="49">
        <f t="shared" si="1215"/>
        <v>24.18</v>
      </c>
      <c r="N3105" s="41">
        <f t="shared" si="1216"/>
        <v>11.44</v>
      </c>
      <c r="O3105" s="43" t="s">
        <v>1017</v>
      </c>
      <c r="P3105" s="65"/>
      <c r="Q3105" s="65"/>
      <c r="R3105" s="58" t="s">
        <v>1017</v>
      </c>
      <c r="T3105" s="65"/>
      <c r="U3105" s="65"/>
      <c r="V3105" s="12" t="s">
        <v>1017</v>
      </c>
      <c r="X3105" s="65"/>
      <c r="AA3105" s="67"/>
      <c r="AD3105" s="53" t="s">
        <v>1017</v>
      </c>
    </row>
    <row r="3106" spans="1:30" s="12" customFormat="1" x14ac:dyDescent="0.25">
      <c r="A3106" s="610" t="str">
        <f t="shared" si="1210"/>
        <v>BiK270t3L---11</v>
      </c>
      <c r="B3106" s="17" t="s">
        <v>5548</v>
      </c>
      <c r="C3106" s="30" t="str">
        <f t="shared" si="1211"/>
        <v>Inbetriebnahme 2011</v>
      </c>
      <c r="D3106" s="17" t="s">
        <v>7326</v>
      </c>
      <c r="E3106" s="17" t="s">
        <v>4810</v>
      </c>
      <c r="F3106" s="454">
        <f t="shared" si="1212"/>
        <v>22.22</v>
      </c>
      <c r="G3106" s="529">
        <v>22.22</v>
      </c>
      <c r="H3106" s="487">
        <f t="shared" si="1213"/>
        <v>17.78</v>
      </c>
      <c r="I3106" s="706"/>
      <c r="J3106" s="669" t="s">
        <v>5805</v>
      </c>
      <c r="K3106" s="23"/>
      <c r="L3106" s="70" t="str">
        <f t="shared" si="1214"/>
        <v/>
      </c>
      <c r="M3106" s="49">
        <f t="shared" si="1215"/>
        <v>22.22</v>
      </c>
      <c r="N3106" s="41">
        <f t="shared" si="1216"/>
        <v>11.44</v>
      </c>
      <c r="O3106" s="61"/>
      <c r="P3106" s="65"/>
      <c r="Q3106" s="65"/>
      <c r="R3106" s="58"/>
      <c r="T3106" s="65"/>
      <c r="U3106" s="65"/>
      <c r="X3106" s="65"/>
      <c r="Y3106" s="12" t="s">
        <v>1017</v>
      </c>
      <c r="AA3106" s="67"/>
      <c r="AD3106" s="53" t="s">
        <v>1017</v>
      </c>
    </row>
    <row r="3107" spans="1:30" s="12" customFormat="1" x14ac:dyDescent="0.25">
      <c r="A3107" s="610" t="str">
        <f t="shared" si="1210"/>
        <v>BiK270t3LK--11</v>
      </c>
      <c r="B3107" s="17" t="s">
        <v>5548</v>
      </c>
      <c r="C3107" s="30" t="str">
        <f t="shared" si="1211"/>
        <v>Inbetriebnahme 2011</v>
      </c>
      <c r="D3107" s="17" t="s">
        <v>7327</v>
      </c>
      <c r="E3107" s="17" t="s">
        <v>4812</v>
      </c>
      <c r="F3107" s="454">
        <f t="shared" si="1212"/>
        <v>25.159999999999997</v>
      </c>
      <c r="G3107" s="529">
        <v>25.159999999999997</v>
      </c>
      <c r="H3107" s="487">
        <f t="shared" si="1213"/>
        <v>20.13</v>
      </c>
      <c r="I3107" s="706"/>
      <c r="J3107" s="669" t="s">
        <v>5805</v>
      </c>
      <c r="K3107" s="23"/>
      <c r="L3107" s="70" t="str">
        <f t="shared" si="1214"/>
        <v/>
      </c>
      <c r="M3107" s="49">
        <f t="shared" si="1215"/>
        <v>25.159999999999997</v>
      </c>
      <c r="N3107" s="41">
        <f t="shared" si="1216"/>
        <v>11.44</v>
      </c>
      <c r="O3107" s="43" t="s">
        <v>1017</v>
      </c>
      <c r="P3107" s="65"/>
      <c r="Q3107" s="65"/>
      <c r="R3107" s="58"/>
      <c r="T3107" s="65"/>
      <c r="U3107" s="65"/>
      <c r="X3107" s="65"/>
      <c r="Y3107" s="12" t="s">
        <v>1017</v>
      </c>
      <c r="AA3107" s="67"/>
      <c r="AD3107" s="53" t="s">
        <v>1017</v>
      </c>
    </row>
    <row r="3108" spans="1:30" s="12" customFormat="1" x14ac:dyDescent="0.25">
      <c r="A3108" s="610" t="str">
        <f t="shared" si="1210"/>
        <v>BiK270t3Li--11</v>
      </c>
      <c r="B3108" s="17" t="s">
        <v>5548</v>
      </c>
      <c r="C3108" s="30" t="str">
        <f t="shared" si="1211"/>
        <v>Inbetriebnahme 2011</v>
      </c>
      <c r="D3108" s="17" t="s">
        <v>7328</v>
      </c>
      <c r="E3108" s="17" t="s">
        <v>4810</v>
      </c>
      <c r="F3108" s="454">
        <f t="shared" si="1212"/>
        <v>23.200000000000003</v>
      </c>
      <c r="G3108" s="529">
        <v>23.200000000000003</v>
      </c>
      <c r="H3108" s="487">
        <f t="shared" si="1213"/>
        <v>18.559999999999999</v>
      </c>
      <c r="I3108" s="706"/>
      <c r="J3108" s="669" t="s">
        <v>5805</v>
      </c>
      <c r="K3108" s="23"/>
      <c r="L3108" s="70" t="str">
        <f t="shared" si="1214"/>
        <v/>
      </c>
      <c r="M3108" s="49">
        <f t="shared" si="1215"/>
        <v>23.200000000000003</v>
      </c>
      <c r="N3108" s="41">
        <f t="shared" si="1216"/>
        <v>11.44</v>
      </c>
      <c r="O3108" s="61"/>
      <c r="P3108" s="65"/>
      <c r="Q3108" s="65"/>
      <c r="R3108" s="58" t="s">
        <v>1017</v>
      </c>
      <c r="T3108" s="65"/>
      <c r="U3108" s="65"/>
      <c r="X3108" s="65"/>
      <c r="Y3108" s="12" t="s">
        <v>1017</v>
      </c>
      <c r="AA3108" s="67"/>
      <c r="AD3108" s="53" t="s">
        <v>1017</v>
      </c>
    </row>
    <row r="3109" spans="1:30" s="12" customFormat="1" x14ac:dyDescent="0.25">
      <c r="A3109" s="610" t="str">
        <f t="shared" si="1210"/>
        <v>BiK270t3LiK-11</v>
      </c>
      <c r="B3109" s="17" t="s">
        <v>5548</v>
      </c>
      <c r="C3109" s="30" t="str">
        <f t="shared" si="1211"/>
        <v>Inbetriebnahme 2011</v>
      </c>
      <c r="D3109" s="17" t="s">
        <v>7329</v>
      </c>
      <c r="E3109" s="17" t="s">
        <v>4812</v>
      </c>
      <c r="F3109" s="454">
        <f t="shared" si="1212"/>
        <v>26.14</v>
      </c>
      <c r="G3109" s="529">
        <v>26.14</v>
      </c>
      <c r="H3109" s="487">
        <f t="shared" si="1213"/>
        <v>20.91</v>
      </c>
      <c r="I3109" s="706"/>
      <c r="J3109" s="669" t="s">
        <v>5805</v>
      </c>
      <c r="K3109" s="23"/>
      <c r="L3109" s="70" t="str">
        <f t="shared" si="1214"/>
        <v/>
      </c>
      <c r="M3109" s="49">
        <f t="shared" si="1215"/>
        <v>26.14</v>
      </c>
      <c r="N3109" s="41">
        <f t="shared" si="1216"/>
        <v>11.44</v>
      </c>
      <c r="O3109" s="43" t="s">
        <v>1017</v>
      </c>
      <c r="P3109" s="65"/>
      <c r="Q3109" s="65"/>
      <c r="R3109" s="58" t="s">
        <v>1017</v>
      </c>
      <c r="T3109" s="65"/>
      <c r="U3109" s="65"/>
      <c r="X3109" s="65"/>
      <c r="Y3109" s="12" t="s">
        <v>1017</v>
      </c>
      <c r="AA3109" s="67"/>
      <c r="AD3109" s="53" t="s">
        <v>1017</v>
      </c>
    </row>
    <row r="3110" spans="1:30" s="12" customFormat="1" x14ac:dyDescent="0.25">
      <c r="A3110" s="610" t="str">
        <f t="shared" si="1210"/>
        <v>BiK270t3M1--11</v>
      </c>
      <c r="B3110" s="17" t="s">
        <v>5548</v>
      </c>
      <c r="C3110" s="30" t="str">
        <f t="shared" si="1211"/>
        <v>Inbetriebnahme 2011</v>
      </c>
      <c r="D3110" s="17" t="s">
        <v>7330</v>
      </c>
      <c r="E3110" s="17" t="s">
        <v>4810</v>
      </c>
      <c r="F3110" s="454">
        <f t="shared" si="1212"/>
        <v>24.18</v>
      </c>
      <c r="G3110" s="529">
        <v>24.18</v>
      </c>
      <c r="H3110" s="487">
        <f t="shared" si="1213"/>
        <v>19.34</v>
      </c>
      <c r="I3110" s="706"/>
      <c r="J3110" s="669" t="s">
        <v>5805</v>
      </c>
      <c r="K3110" s="23"/>
      <c r="L3110" s="70" t="str">
        <f t="shared" si="1214"/>
        <v/>
      </c>
      <c r="M3110" s="49">
        <f t="shared" si="1215"/>
        <v>24.18</v>
      </c>
      <c r="N3110" s="41">
        <f t="shared" si="1216"/>
        <v>11.44</v>
      </c>
      <c r="O3110" s="61"/>
      <c r="P3110" s="65"/>
      <c r="Q3110" s="65"/>
      <c r="R3110" s="58"/>
      <c r="T3110" s="65"/>
      <c r="U3110" s="65"/>
      <c r="W3110" s="12" t="s">
        <v>1017</v>
      </c>
      <c r="X3110" s="65"/>
      <c r="AA3110" s="67"/>
      <c r="AD3110" s="53" t="s">
        <v>1017</v>
      </c>
    </row>
    <row r="3111" spans="1:30" s="12" customFormat="1" x14ac:dyDescent="0.25">
      <c r="A3111" s="610" t="str">
        <f t="shared" si="1210"/>
        <v>BiK270t3M1K-11</v>
      </c>
      <c r="B3111" s="17" t="s">
        <v>5548</v>
      </c>
      <c r="C3111" s="30" t="str">
        <f t="shared" si="1211"/>
        <v>Inbetriebnahme 2011</v>
      </c>
      <c r="D3111" s="17" t="s">
        <v>7331</v>
      </c>
      <c r="E3111" s="17" t="s">
        <v>4812</v>
      </c>
      <c r="F3111" s="454">
        <f t="shared" si="1212"/>
        <v>27.119999999999997</v>
      </c>
      <c r="G3111" s="529">
        <v>27.119999999999997</v>
      </c>
      <c r="H3111" s="487">
        <f t="shared" si="1213"/>
        <v>21.7</v>
      </c>
      <c r="I3111" s="706"/>
      <c r="J3111" s="669" t="s">
        <v>5805</v>
      </c>
      <c r="K3111" s="23"/>
      <c r="L3111" s="70" t="str">
        <f t="shared" si="1214"/>
        <v/>
      </c>
      <c r="M3111" s="49">
        <f t="shared" si="1215"/>
        <v>27.119999999999997</v>
      </c>
      <c r="N3111" s="41">
        <f t="shared" si="1216"/>
        <v>11.44</v>
      </c>
      <c r="O3111" s="43" t="s">
        <v>1017</v>
      </c>
      <c r="P3111" s="65"/>
      <c r="Q3111" s="65"/>
      <c r="R3111" s="58"/>
      <c r="T3111" s="65"/>
      <c r="U3111" s="65"/>
      <c r="W3111" s="12" t="s">
        <v>1017</v>
      </c>
      <c r="X3111" s="65"/>
      <c r="AA3111" s="67"/>
      <c r="AD3111" s="53" t="s">
        <v>1017</v>
      </c>
    </row>
    <row r="3112" spans="1:30" s="12" customFormat="1" x14ac:dyDescent="0.25">
      <c r="A3112" s="610" t="str">
        <f t="shared" si="1210"/>
        <v>BiK270t3M1i-11</v>
      </c>
      <c r="B3112" s="17" t="s">
        <v>5548</v>
      </c>
      <c r="C3112" s="30" t="str">
        <f t="shared" si="1211"/>
        <v>Inbetriebnahme 2011</v>
      </c>
      <c r="D3112" s="17" t="s">
        <v>7332</v>
      </c>
      <c r="E3112" s="17" t="s">
        <v>4810</v>
      </c>
      <c r="F3112" s="454">
        <f t="shared" si="1212"/>
        <v>25.160000000000004</v>
      </c>
      <c r="G3112" s="529">
        <v>25.160000000000004</v>
      </c>
      <c r="H3112" s="487">
        <f t="shared" si="1213"/>
        <v>20.13</v>
      </c>
      <c r="I3112" s="706"/>
      <c r="J3112" s="669" t="s">
        <v>5805</v>
      </c>
      <c r="K3112" s="23"/>
      <c r="L3112" s="70" t="str">
        <f t="shared" si="1214"/>
        <v/>
      </c>
      <c r="M3112" s="49">
        <f t="shared" si="1215"/>
        <v>25.160000000000004</v>
      </c>
      <c r="N3112" s="41">
        <f t="shared" si="1216"/>
        <v>11.44</v>
      </c>
      <c r="O3112" s="61"/>
      <c r="P3112" s="65"/>
      <c r="Q3112" s="65"/>
      <c r="R3112" s="58" t="s">
        <v>1017</v>
      </c>
      <c r="T3112" s="65"/>
      <c r="U3112" s="65"/>
      <c r="W3112" s="12" t="s">
        <v>1017</v>
      </c>
      <c r="X3112" s="65"/>
      <c r="AA3112" s="67"/>
      <c r="AD3112" s="53" t="s">
        <v>1017</v>
      </c>
    </row>
    <row r="3113" spans="1:30" s="12" customFormat="1" x14ac:dyDescent="0.25">
      <c r="A3113" s="610" t="str">
        <f t="shared" si="1210"/>
        <v>BiK270t3M1iK11</v>
      </c>
      <c r="B3113" s="17" t="s">
        <v>5548</v>
      </c>
      <c r="C3113" s="30" t="str">
        <f t="shared" si="1211"/>
        <v>Inbetriebnahme 2011</v>
      </c>
      <c r="D3113" s="17" t="s">
        <v>7333</v>
      </c>
      <c r="E3113" s="17" t="s">
        <v>4812</v>
      </c>
      <c r="F3113" s="454">
        <f t="shared" si="1212"/>
        <v>28.1</v>
      </c>
      <c r="G3113" s="529">
        <v>28.1</v>
      </c>
      <c r="H3113" s="487">
        <f t="shared" si="1213"/>
        <v>22.48</v>
      </c>
      <c r="I3113" s="706"/>
      <c r="J3113" s="669" t="s">
        <v>5805</v>
      </c>
      <c r="K3113" s="23"/>
      <c r="L3113" s="70" t="str">
        <f t="shared" si="1214"/>
        <v/>
      </c>
      <c r="M3113" s="49">
        <f t="shared" si="1215"/>
        <v>28.1</v>
      </c>
      <c r="N3113" s="41">
        <f t="shared" si="1216"/>
        <v>11.44</v>
      </c>
      <c r="O3113" s="43" t="s">
        <v>1017</v>
      </c>
      <c r="P3113" s="65"/>
      <c r="Q3113" s="65"/>
      <c r="R3113" s="58" t="s">
        <v>1017</v>
      </c>
      <c r="T3113" s="65"/>
      <c r="U3113" s="65"/>
      <c r="W3113" s="12" t="s">
        <v>1017</v>
      </c>
      <c r="X3113" s="65"/>
      <c r="AA3113" s="67"/>
      <c r="AD3113" s="53" t="s">
        <v>1017</v>
      </c>
    </row>
    <row r="3114" spans="1:30" s="12" customFormat="1" x14ac:dyDescent="0.25">
      <c r="A3114" s="610" t="str">
        <f t="shared" si="1210"/>
        <v>BiK270t3X1--11</v>
      </c>
      <c r="B3114" s="17" t="s">
        <v>5548</v>
      </c>
      <c r="C3114" s="30" t="str">
        <f t="shared" si="1211"/>
        <v>Inbetriebnahme 2011</v>
      </c>
      <c r="D3114" s="17" t="s">
        <v>7334</v>
      </c>
      <c r="E3114" s="17" t="s">
        <v>4810</v>
      </c>
      <c r="F3114" s="454">
        <f t="shared" si="1212"/>
        <v>26.14</v>
      </c>
      <c r="G3114" s="529">
        <v>26.14</v>
      </c>
      <c r="H3114" s="487">
        <f t="shared" si="1213"/>
        <v>20.91</v>
      </c>
      <c r="I3114" s="706"/>
      <c r="J3114" s="669" t="s">
        <v>5805</v>
      </c>
      <c r="K3114" s="23"/>
      <c r="L3114" s="70" t="str">
        <f t="shared" si="1214"/>
        <v/>
      </c>
      <c r="M3114" s="49">
        <f t="shared" si="1215"/>
        <v>26.14</v>
      </c>
      <c r="N3114" s="41">
        <f t="shared" si="1216"/>
        <v>11.44</v>
      </c>
      <c r="O3114" s="61"/>
      <c r="P3114" s="65"/>
      <c r="Q3114" s="65"/>
      <c r="R3114" s="58"/>
      <c r="T3114" s="65"/>
      <c r="U3114" s="65"/>
      <c r="X3114" s="65"/>
      <c r="Z3114" s="12" t="s">
        <v>1017</v>
      </c>
      <c r="AA3114" s="67"/>
      <c r="AD3114" s="53" t="s">
        <v>1017</v>
      </c>
    </row>
    <row r="3115" spans="1:30" s="12" customFormat="1" x14ac:dyDescent="0.25">
      <c r="A3115" s="610" t="str">
        <f t="shared" si="1210"/>
        <v>BiK270t3X1K-11</v>
      </c>
      <c r="B3115" s="17" t="s">
        <v>5548</v>
      </c>
      <c r="C3115" s="30" t="str">
        <f t="shared" si="1211"/>
        <v>Inbetriebnahme 2011</v>
      </c>
      <c r="D3115" s="17" t="s">
        <v>7335</v>
      </c>
      <c r="E3115" s="17" t="s">
        <v>4812</v>
      </c>
      <c r="F3115" s="454">
        <f t="shared" si="1212"/>
        <v>29.08</v>
      </c>
      <c r="G3115" s="529">
        <v>29.08</v>
      </c>
      <c r="H3115" s="487">
        <f t="shared" si="1213"/>
        <v>23.26</v>
      </c>
      <c r="I3115" s="706"/>
      <c r="J3115" s="669" t="s">
        <v>5805</v>
      </c>
      <c r="K3115" s="23"/>
      <c r="L3115" s="70" t="str">
        <f t="shared" si="1214"/>
        <v/>
      </c>
      <c r="M3115" s="49">
        <f t="shared" si="1215"/>
        <v>29.08</v>
      </c>
      <c r="N3115" s="41">
        <f t="shared" si="1216"/>
        <v>11.44</v>
      </c>
      <c r="O3115" s="43" t="s">
        <v>1017</v>
      </c>
      <c r="P3115" s="65"/>
      <c r="Q3115" s="65"/>
      <c r="R3115" s="58"/>
      <c r="T3115" s="65"/>
      <c r="U3115" s="65"/>
      <c r="X3115" s="65"/>
      <c r="Z3115" s="12" t="s">
        <v>1017</v>
      </c>
      <c r="AA3115" s="67"/>
      <c r="AD3115" s="53" t="s">
        <v>1017</v>
      </c>
    </row>
    <row r="3116" spans="1:30" s="12" customFormat="1" x14ac:dyDescent="0.25">
      <c r="A3116" s="610" t="str">
        <f t="shared" si="1210"/>
        <v>BiK270t3X1i-11</v>
      </c>
      <c r="B3116" s="17" t="s">
        <v>5548</v>
      </c>
      <c r="C3116" s="30" t="str">
        <f t="shared" si="1211"/>
        <v>Inbetriebnahme 2011</v>
      </c>
      <c r="D3116" s="17" t="s">
        <v>7336</v>
      </c>
      <c r="E3116" s="17" t="s">
        <v>4810</v>
      </c>
      <c r="F3116" s="454">
        <f t="shared" si="1212"/>
        <v>27.120000000000005</v>
      </c>
      <c r="G3116" s="529">
        <v>27.120000000000005</v>
      </c>
      <c r="H3116" s="487">
        <f t="shared" si="1213"/>
        <v>21.7</v>
      </c>
      <c r="I3116" s="706"/>
      <c r="J3116" s="669" t="s">
        <v>5805</v>
      </c>
      <c r="K3116" s="23"/>
      <c r="L3116" s="70" t="str">
        <f t="shared" si="1214"/>
        <v/>
      </c>
      <c r="M3116" s="49">
        <f t="shared" si="1215"/>
        <v>27.120000000000005</v>
      </c>
      <c r="N3116" s="41">
        <f t="shared" si="1216"/>
        <v>11.44</v>
      </c>
      <c r="O3116" s="61"/>
      <c r="P3116" s="65"/>
      <c r="Q3116" s="65"/>
      <c r="R3116" s="58" t="s">
        <v>1017</v>
      </c>
      <c r="T3116" s="65"/>
      <c r="U3116" s="65"/>
      <c r="X3116" s="65"/>
      <c r="Z3116" s="12" t="s">
        <v>1017</v>
      </c>
      <c r="AA3116" s="67"/>
      <c r="AD3116" s="53" t="s">
        <v>1017</v>
      </c>
    </row>
    <row r="3117" spans="1:30" s="12" customFormat="1" x14ac:dyDescent="0.25">
      <c r="A3117" s="610" t="str">
        <f t="shared" si="1210"/>
        <v>BiK270t3X1iK11</v>
      </c>
      <c r="B3117" s="17" t="s">
        <v>5548</v>
      </c>
      <c r="C3117" s="30" t="str">
        <f t="shared" si="1211"/>
        <v>Inbetriebnahme 2011</v>
      </c>
      <c r="D3117" s="17" t="s">
        <v>7337</v>
      </c>
      <c r="E3117" s="17" t="s">
        <v>4812</v>
      </c>
      <c r="F3117" s="454">
        <f t="shared" si="1212"/>
        <v>30.060000000000002</v>
      </c>
      <c r="G3117" s="529">
        <v>30.060000000000002</v>
      </c>
      <c r="H3117" s="487">
        <f t="shared" si="1213"/>
        <v>24.05</v>
      </c>
      <c r="I3117" s="706"/>
      <c r="J3117" s="669" t="s">
        <v>5805</v>
      </c>
      <c r="K3117" s="23"/>
      <c r="L3117" s="70" t="str">
        <f t="shared" si="1214"/>
        <v/>
      </c>
      <c r="M3117" s="49">
        <f t="shared" si="1215"/>
        <v>30.060000000000002</v>
      </c>
      <c r="N3117" s="41">
        <f t="shared" si="1216"/>
        <v>11.44</v>
      </c>
      <c r="O3117" s="43" t="s">
        <v>1017</v>
      </c>
      <c r="P3117" s="65"/>
      <c r="Q3117" s="65"/>
      <c r="R3117" s="58" t="s">
        <v>1017</v>
      </c>
      <c r="T3117" s="65"/>
      <c r="U3117" s="65"/>
      <c r="X3117" s="65"/>
      <c r="Z3117" s="12" t="s">
        <v>1017</v>
      </c>
      <c r="AA3117" s="67"/>
      <c r="AD3117" s="53" t="s">
        <v>1017</v>
      </c>
    </row>
    <row r="3118" spans="1:30" s="12" customFormat="1" x14ac:dyDescent="0.25">
      <c r="A3118" s="610" t="str">
        <f t="shared" si="1210"/>
        <v>BiK271------11</v>
      </c>
      <c r="B3118" s="17" t="s">
        <v>5548</v>
      </c>
      <c r="C3118" s="30" t="str">
        <f t="shared" si="1211"/>
        <v>Inbetriebnahme 2011</v>
      </c>
      <c r="D3118" s="17" t="s">
        <v>5415</v>
      </c>
      <c r="E3118" s="17" t="s">
        <v>4810</v>
      </c>
      <c r="F3118" s="454">
        <f t="shared" si="1212"/>
        <v>9</v>
      </c>
      <c r="G3118" s="529">
        <v>9</v>
      </c>
      <c r="H3118" s="487">
        <f t="shared" si="1213"/>
        <v>7.2</v>
      </c>
      <c r="I3118" s="706"/>
      <c r="J3118" s="669" t="s">
        <v>5805</v>
      </c>
      <c r="K3118" s="23"/>
      <c r="L3118" s="70" t="str">
        <f t="shared" si="1214"/>
        <v/>
      </c>
      <c r="M3118" s="49">
        <f t="shared" si="1215"/>
        <v>9</v>
      </c>
      <c r="N3118" s="41">
        <f t="shared" si="1216"/>
        <v>9</v>
      </c>
      <c r="O3118" s="61"/>
      <c r="P3118" s="65"/>
      <c r="Q3118" s="65"/>
      <c r="R3118" s="58"/>
      <c r="T3118" s="65"/>
      <c r="U3118" s="65"/>
      <c r="W3118" s="65"/>
      <c r="Z3118" s="65"/>
      <c r="AA3118" s="53"/>
      <c r="AD3118" s="53"/>
    </row>
    <row r="3119" spans="1:30" s="12" customFormat="1" x14ac:dyDescent="0.25">
      <c r="A3119" s="610" t="str">
        <f t="shared" si="1210"/>
        <v>BiK271K-----11</v>
      </c>
      <c r="B3119" s="17" t="s">
        <v>5548</v>
      </c>
      <c r="C3119" s="30" t="str">
        <f t="shared" si="1211"/>
        <v>Inbetriebnahme 2011</v>
      </c>
      <c r="D3119" s="17" t="s">
        <v>2903</v>
      </c>
      <c r="E3119" s="17" t="s">
        <v>4812</v>
      </c>
      <c r="F3119" s="454">
        <f t="shared" si="1212"/>
        <v>11.94</v>
      </c>
      <c r="G3119" s="529">
        <v>11.94</v>
      </c>
      <c r="H3119" s="487">
        <f t="shared" si="1213"/>
        <v>9.5500000000000007</v>
      </c>
      <c r="I3119" s="706"/>
      <c r="J3119" s="669" t="s">
        <v>5805</v>
      </c>
      <c r="K3119" s="23"/>
      <c r="L3119" s="70" t="str">
        <f t="shared" si="1214"/>
        <v/>
      </c>
      <c r="M3119" s="49">
        <f t="shared" si="1215"/>
        <v>11.94</v>
      </c>
      <c r="N3119" s="41">
        <f t="shared" si="1216"/>
        <v>9</v>
      </c>
      <c r="O3119" s="43" t="s">
        <v>1017</v>
      </c>
      <c r="P3119" s="65"/>
      <c r="Q3119" s="65"/>
      <c r="R3119" s="58"/>
      <c r="T3119" s="65"/>
      <c r="U3119" s="65"/>
      <c r="W3119" s="65"/>
      <c r="Z3119" s="65"/>
      <c r="AA3119" s="53"/>
      <c r="AD3119" s="53"/>
    </row>
    <row r="3120" spans="1:30" s="12" customFormat="1" x14ac:dyDescent="0.25">
      <c r="A3120" s="610" t="str">
        <f t="shared" si="1210"/>
        <v>BiK271i-----11</v>
      </c>
      <c r="B3120" s="17" t="s">
        <v>5548</v>
      </c>
      <c r="C3120" s="30" t="str">
        <f t="shared" si="1211"/>
        <v>Inbetriebnahme 2011</v>
      </c>
      <c r="D3120" s="30" t="s">
        <v>638</v>
      </c>
      <c r="E3120" s="17" t="s">
        <v>4810</v>
      </c>
      <c r="F3120" s="454">
        <f t="shared" si="1212"/>
        <v>9.98</v>
      </c>
      <c r="G3120" s="529">
        <v>9.98</v>
      </c>
      <c r="H3120" s="487">
        <f t="shared" si="1213"/>
        <v>7.98</v>
      </c>
      <c r="I3120" s="706"/>
      <c r="J3120" s="669" t="s">
        <v>5805</v>
      </c>
      <c r="K3120" s="23"/>
      <c r="L3120" s="70" t="str">
        <f t="shared" si="1214"/>
        <v/>
      </c>
      <c r="M3120" s="49">
        <f t="shared" si="1215"/>
        <v>9.98</v>
      </c>
      <c r="N3120" s="41">
        <f t="shared" si="1216"/>
        <v>9</v>
      </c>
      <c r="O3120" s="61"/>
      <c r="P3120" s="65"/>
      <c r="Q3120" s="65"/>
      <c r="R3120" s="58" t="s">
        <v>1017</v>
      </c>
      <c r="T3120" s="65"/>
      <c r="U3120" s="65"/>
      <c r="W3120" s="65"/>
      <c r="Z3120" s="65"/>
      <c r="AA3120" s="53"/>
      <c r="AD3120" s="53"/>
    </row>
    <row r="3121" spans="1:30" s="12" customFormat="1" x14ac:dyDescent="0.25">
      <c r="A3121" s="610" t="str">
        <f t="shared" si="1210"/>
        <v>BiK271iK----11</v>
      </c>
      <c r="B3121" s="17" t="s">
        <v>5548</v>
      </c>
      <c r="C3121" s="30" t="str">
        <f t="shared" si="1211"/>
        <v>Inbetriebnahme 2011</v>
      </c>
      <c r="D3121" s="30" t="s">
        <v>639</v>
      </c>
      <c r="E3121" s="17" t="s">
        <v>4812</v>
      </c>
      <c r="F3121" s="454">
        <f t="shared" si="1212"/>
        <v>12.92</v>
      </c>
      <c r="G3121" s="529">
        <v>12.92</v>
      </c>
      <c r="H3121" s="487">
        <f t="shared" si="1213"/>
        <v>10.34</v>
      </c>
      <c r="I3121" s="706"/>
      <c r="J3121" s="669" t="s">
        <v>5805</v>
      </c>
      <c r="K3121" s="23"/>
      <c r="L3121" s="70" t="str">
        <f t="shared" si="1214"/>
        <v/>
      </c>
      <c r="M3121" s="49">
        <f t="shared" si="1215"/>
        <v>12.92</v>
      </c>
      <c r="N3121" s="41">
        <f t="shared" si="1216"/>
        <v>9</v>
      </c>
      <c r="O3121" s="43" t="s">
        <v>1017</v>
      </c>
      <c r="P3121" s="65"/>
      <c r="Q3121" s="65"/>
      <c r="R3121" s="58" t="s">
        <v>1017</v>
      </c>
      <c r="T3121" s="65"/>
      <c r="U3121" s="65"/>
      <c r="W3121" s="65"/>
      <c r="Z3121" s="65"/>
      <c r="AA3121" s="53"/>
      <c r="AD3121" s="53"/>
    </row>
    <row r="3122" spans="1:30" s="12" customFormat="1" x14ac:dyDescent="0.25">
      <c r="A3122" s="610" t="str">
        <f t="shared" si="1210"/>
        <v>BiK271a1----11</v>
      </c>
      <c r="B3122" s="17" t="s">
        <v>5548</v>
      </c>
      <c r="C3122" s="30" t="str">
        <f t="shared" si="1211"/>
        <v>Inbetriebnahme 2011</v>
      </c>
      <c r="D3122" s="17" t="s">
        <v>597</v>
      </c>
      <c r="E3122" s="17" t="s">
        <v>4810</v>
      </c>
      <c r="F3122" s="454">
        <f t="shared" si="1212"/>
        <v>14.879999999999999</v>
      </c>
      <c r="G3122" s="529">
        <v>14.879999999999999</v>
      </c>
      <c r="H3122" s="487">
        <f t="shared" si="1213"/>
        <v>11.9</v>
      </c>
      <c r="I3122" s="706"/>
      <c r="J3122" s="669" t="s">
        <v>5805</v>
      </c>
      <c r="K3122" s="23"/>
      <c r="L3122" s="70" t="str">
        <f t="shared" si="1214"/>
        <v/>
      </c>
      <c r="M3122" s="49">
        <f t="shared" si="1215"/>
        <v>14.879999999999999</v>
      </c>
      <c r="N3122" s="41">
        <f t="shared" si="1216"/>
        <v>9</v>
      </c>
      <c r="O3122" s="61"/>
      <c r="P3122" s="65"/>
      <c r="Q3122" s="65"/>
      <c r="R3122" s="58"/>
      <c r="S3122" s="12" t="s">
        <v>1017</v>
      </c>
      <c r="T3122" s="65"/>
      <c r="U3122" s="65"/>
      <c r="W3122" s="65"/>
      <c r="Z3122" s="65"/>
      <c r="AA3122" s="53"/>
      <c r="AD3122" s="53"/>
    </row>
    <row r="3123" spans="1:30" s="12" customFormat="1" x14ac:dyDescent="0.25">
      <c r="A3123" s="610" t="str">
        <f t="shared" si="1210"/>
        <v>BiK271a1K---11</v>
      </c>
      <c r="B3123" s="17" t="s">
        <v>5548</v>
      </c>
      <c r="C3123" s="30" t="str">
        <f t="shared" si="1211"/>
        <v>Inbetriebnahme 2011</v>
      </c>
      <c r="D3123" s="17" t="s">
        <v>3201</v>
      </c>
      <c r="E3123" s="17" t="s">
        <v>4812</v>
      </c>
      <c r="F3123" s="454">
        <f t="shared" si="1212"/>
        <v>17.82</v>
      </c>
      <c r="G3123" s="529">
        <v>17.82</v>
      </c>
      <c r="H3123" s="487">
        <f t="shared" si="1213"/>
        <v>14.26</v>
      </c>
      <c r="I3123" s="706"/>
      <c r="J3123" s="669" t="s">
        <v>5805</v>
      </c>
      <c r="K3123" s="23"/>
      <c r="L3123" s="70" t="str">
        <f t="shared" si="1214"/>
        <v/>
      </c>
      <c r="M3123" s="49">
        <f t="shared" si="1215"/>
        <v>17.82</v>
      </c>
      <c r="N3123" s="41">
        <f t="shared" si="1216"/>
        <v>9</v>
      </c>
      <c r="O3123" s="43" t="s">
        <v>1017</v>
      </c>
      <c r="P3123" s="65"/>
      <c r="Q3123" s="65"/>
      <c r="R3123" s="58"/>
      <c r="S3123" s="12" t="s">
        <v>1017</v>
      </c>
      <c r="T3123" s="65"/>
      <c r="U3123" s="65"/>
      <c r="W3123" s="65"/>
      <c r="Z3123" s="65"/>
      <c r="AA3123" s="53"/>
      <c r="AD3123" s="53"/>
    </row>
    <row r="3124" spans="1:30" s="12" customFormat="1" x14ac:dyDescent="0.25">
      <c r="A3124" s="610" t="str">
        <f t="shared" si="1210"/>
        <v>BiK271a1i---11</v>
      </c>
      <c r="B3124" s="17" t="s">
        <v>5548</v>
      </c>
      <c r="C3124" s="30" t="str">
        <f t="shared" si="1211"/>
        <v>Inbetriebnahme 2011</v>
      </c>
      <c r="D3124" s="30" t="s">
        <v>2113</v>
      </c>
      <c r="E3124" s="17" t="s">
        <v>4810</v>
      </c>
      <c r="F3124" s="454">
        <f t="shared" si="1212"/>
        <v>15.86</v>
      </c>
      <c r="G3124" s="529">
        <v>15.86</v>
      </c>
      <c r="H3124" s="487">
        <f t="shared" si="1213"/>
        <v>12.69</v>
      </c>
      <c r="I3124" s="706"/>
      <c r="J3124" s="669" t="s">
        <v>5805</v>
      </c>
      <c r="K3124" s="23"/>
      <c r="L3124" s="70" t="str">
        <f t="shared" si="1214"/>
        <v/>
      </c>
      <c r="M3124" s="49">
        <f t="shared" si="1215"/>
        <v>15.86</v>
      </c>
      <c r="N3124" s="41">
        <f t="shared" si="1216"/>
        <v>9</v>
      </c>
      <c r="O3124" s="61"/>
      <c r="P3124" s="65"/>
      <c r="Q3124" s="65"/>
      <c r="R3124" s="58" t="s">
        <v>1017</v>
      </c>
      <c r="S3124" s="12" t="s">
        <v>1017</v>
      </c>
      <c r="T3124" s="65"/>
      <c r="U3124" s="65"/>
      <c r="W3124" s="65"/>
      <c r="Z3124" s="65"/>
      <c r="AA3124" s="53"/>
      <c r="AD3124" s="53"/>
    </row>
    <row r="3125" spans="1:30" s="12" customFormat="1" x14ac:dyDescent="0.25">
      <c r="A3125" s="610" t="str">
        <f t="shared" si="1210"/>
        <v>BiK271a1iK--11</v>
      </c>
      <c r="B3125" s="17" t="s">
        <v>5548</v>
      </c>
      <c r="C3125" s="30" t="str">
        <f t="shared" si="1211"/>
        <v>Inbetriebnahme 2011</v>
      </c>
      <c r="D3125" s="30" t="s">
        <v>2112</v>
      </c>
      <c r="E3125" s="17" t="s">
        <v>4812</v>
      </c>
      <c r="F3125" s="454">
        <f t="shared" si="1212"/>
        <v>18.8</v>
      </c>
      <c r="G3125" s="529">
        <v>18.8</v>
      </c>
      <c r="H3125" s="487">
        <f t="shared" si="1213"/>
        <v>15.04</v>
      </c>
      <c r="I3125" s="706"/>
      <c r="J3125" s="669" t="s">
        <v>5805</v>
      </c>
      <c r="K3125" s="23"/>
      <c r="L3125" s="70" t="str">
        <f t="shared" si="1214"/>
        <v/>
      </c>
      <c r="M3125" s="49">
        <f t="shared" si="1215"/>
        <v>18.8</v>
      </c>
      <c r="N3125" s="41">
        <f t="shared" si="1216"/>
        <v>9</v>
      </c>
      <c r="O3125" s="43" t="s">
        <v>1017</v>
      </c>
      <c r="P3125" s="65"/>
      <c r="Q3125" s="65"/>
      <c r="R3125" s="58" t="s">
        <v>1017</v>
      </c>
      <c r="S3125" s="12" t="s">
        <v>1017</v>
      </c>
      <c r="T3125" s="65"/>
      <c r="U3125" s="65"/>
      <c r="W3125" s="65"/>
      <c r="Z3125" s="65"/>
      <c r="AA3125" s="53"/>
      <c r="AD3125" s="53"/>
    </row>
    <row r="3126" spans="1:30" s="12" customFormat="1" x14ac:dyDescent="0.25">
      <c r="A3126" s="610" t="str">
        <f t="shared" si="1210"/>
        <v>BiK271G-----11</v>
      </c>
      <c r="B3126" s="17" t="s">
        <v>5548</v>
      </c>
      <c r="C3126" s="30" t="str">
        <f t="shared" si="1211"/>
        <v>Inbetriebnahme 2011</v>
      </c>
      <c r="D3126" s="17" t="s">
        <v>1197</v>
      </c>
      <c r="E3126" s="17" t="s">
        <v>4810</v>
      </c>
      <c r="F3126" s="454">
        <f t="shared" si="1212"/>
        <v>15.86</v>
      </c>
      <c r="G3126" s="529">
        <v>15.86</v>
      </c>
      <c r="H3126" s="487">
        <f t="shared" si="1213"/>
        <v>12.69</v>
      </c>
      <c r="I3126" s="706"/>
      <c r="J3126" s="669" t="s">
        <v>5805</v>
      </c>
      <c r="K3126" s="23"/>
      <c r="L3126" s="70" t="str">
        <f t="shared" si="1214"/>
        <v/>
      </c>
      <c r="M3126" s="49">
        <f t="shared" si="1215"/>
        <v>15.86</v>
      </c>
      <c r="N3126" s="41">
        <f t="shared" si="1216"/>
        <v>9</v>
      </c>
      <c r="O3126" s="61"/>
      <c r="P3126" s="65"/>
      <c r="Q3126" s="65"/>
      <c r="R3126" s="58"/>
      <c r="T3126" s="65"/>
      <c r="U3126" s="65"/>
      <c r="V3126" s="12" t="s">
        <v>1017</v>
      </c>
      <c r="W3126" s="65"/>
      <c r="Z3126" s="65"/>
      <c r="AA3126" s="53"/>
      <c r="AD3126" s="53"/>
    </row>
    <row r="3127" spans="1:30" s="12" customFormat="1" x14ac:dyDescent="0.25">
      <c r="A3127" s="610" t="str">
        <f t="shared" si="1210"/>
        <v>BiK271GK----11</v>
      </c>
      <c r="B3127" s="17" t="s">
        <v>5548</v>
      </c>
      <c r="C3127" s="30" t="str">
        <f t="shared" si="1211"/>
        <v>Inbetriebnahme 2011</v>
      </c>
      <c r="D3127" s="17" t="s">
        <v>5554</v>
      </c>
      <c r="E3127" s="17" t="s">
        <v>4812</v>
      </c>
      <c r="F3127" s="454">
        <f t="shared" si="1212"/>
        <v>18.8</v>
      </c>
      <c r="G3127" s="529">
        <v>18.8</v>
      </c>
      <c r="H3127" s="487">
        <f t="shared" si="1213"/>
        <v>15.04</v>
      </c>
      <c r="I3127" s="706"/>
      <c r="J3127" s="669" t="s">
        <v>5805</v>
      </c>
      <c r="K3127" s="23"/>
      <c r="L3127" s="70" t="str">
        <f t="shared" si="1214"/>
        <v/>
      </c>
      <c r="M3127" s="49">
        <f t="shared" si="1215"/>
        <v>18.8</v>
      </c>
      <c r="N3127" s="41">
        <f t="shared" si="1216"/>
        <v>9</v>
      </c>
      <c r="O3127" s="43" t="s">
        <v>1017</v>
      </c>
      <c r="P3127" s="65"/>
      <c r="Q3127" s="65"/>
      <c r="R3127" s="58"/>
      <c r="T3127" s="65"/>
      <c r="U3127" s="65"/>
      <c r="V3127" s="12" t="s">
        <v>1017</v>
      </c>
      <c r="W3127" s="65"/>
      <c r="Z3127" s="65"/>
      <c r="AA3127" s="53"/>
      <c r="AD3127" s="53"/>
    </row>
    <row r="3128" spans="1:30" s="12" customFormat="1" x14ac:dyDescent="0.25">
      <c r="A3128" s="610" t="str">
        <f t="shared" si="1210"/>
        <v>BiK271Gi----11</v>
      </c>
      <c r="B3128" s="17" t="s">
        <v>5548</v>
      </c>
      <c r="C3128" s="30" t="str">
        <f t="shared" si="1211"/>
        <v>Inbetriebnahme 2011</v>
      </c>
      <c r="D3128" s="17" t="s">
        <v>4136</v>
      </c>
      <c r="E3128" s="17" t="s">
        <v>4810</v>
      </c>
      <c r="F3128" s="454">
        <f t="shared" si="1212"/>
        <v>16.84</v>
      </c>
      <c r="G3128" s="529">
        <v>16.84</v>
      </c>
      <c r="H3128" s="487">
        <f t="shared" si="1213"/>
        <v>13.47</v>
      </c>
      <c r="I3128" s="706"/>
      <c r="J3128" s="669" t="s">
        <v>5805</v>
      </c>
      <c r="K3128" s="23"/>
      <c r="L3128" s="70" t="str">
        <f t="shared" si="1214"/>
        <v/>
      </c>
      <c r="M3128" s="49">
        <f t="shared" si="1215"/>
        <v>16.84</v>
      </c>
      <c r="N3128" s="41">
        <f t="shared" si="1216"/>
        <v>9</v>
      </c>
      <c r="O3128" s="61"/>
      <c r="P3128" s="65"/>
      <c r="Q3128" s="65"/>
      <c r="R3128" s="58" t="s">
        <v>1017</v>
      </c>
      <c r="T3128" s="65"/>
      <c r="U3128" s="65"/>
      <c r="V3128" s="12" t="s">
        <v>1017</v>
      </c>
      <c r="W3128" s="65"/>
      <c r="Z3128" s="65"/>
      <c r="AA3128" s="53"/>
      <c r="AD3128" s="53"/>
    </row>
    <row r="3129" spans="1:30" s="12" customFormat="1" x14ac:dyDescent="0.25">
      <c r="A3129" s="610" t="str">
        <f t="shared" si="1210"/>
        <v>BiK271GiK---11</v>
      </c>
      <c r="B3129" s="17" t="s">
        <v>5548</v>
      </c>
      <c r="C3129" s="30" t="str">
        <f t="shared" si="1211"/>
        <v>Inbetriebnahme 2011</v>
      </c>
      <c r="D3129" s="17" t="s">
        <v>5557</v>
      </c>
      <c r="E3129" s="17" t="s">
        <v>4812</v>
      </c>
      <c r="F3129" s="454">
        <f t="shared" si="1212"/>
        <v>19.78</v>
      </c>
      <c r="G3129" s="529">
        <v>19.78</v>
      </c>
      <c r="H3129" s="487">
        <f t="shared" si="1213"/>
        <v>15.82</v>
      </c>
      <c r="I3129" s="706"/>
      <c r="J3129" s="669" t="s">
        <v>5805</v>
      </c>
      <c r="K3129" s="23"/>
      <c r="L3129" s="70" t="str">
        <f t="shared" si="1214"/>
        <v/>
      </c>
      <c r="M3129" s="49">
        <f t="shared" si="1215"/>
        <v>19.78</v>
      </c>
      <c r="N3129" s="41">
        <f t="shared" si="1216"/>
        <v>9</v>
      </c>
      <c r="O3129" s="43" t="s">
        <v>1017</v>
      </c>
      <c r="P3129" s="65"/>
      <c r="Q3129" s="65"/>
      <c r="R3129" s="58" t="s">
        <v>1017</v>
      </c>
      <c r="T3129" s="65"/>
      <c r="U3129" s="65"/>
      <c r="V3129" s="12" t="s">
        <v>1017</v>
      </c>
      <c r="W3129" s="65"/>
      <c r="Z3129" s="65"/>
      <c r="AA3129" s="53"/>
      <c r="AD3129" s="53"/>
    </row>
    <row r="3130" spans="1:30" s="12" customFormat="1" x14ac:dyDescent="0.25">
      <c r="A3130" s="610" t="str">
        <f t="shared" si="1210"/>
        <v>BiK271L-----11</v>
      </c>
      <c r="B3130" s="17" t="s">
        <v>5548</v>
      </c>
      <c r="C3130" s="30" t="str">
        <f t="shared" si="1211"/>
        <v>Inbetriebnahme 2011</v>
      </c>
      <c r="D3130" s="17" t="s">
        <v>4134</v>
      </c>
      <c r="E3130" s="17" t="s">
        <v>4810</v>
      </c>
      <c r="F3130" s="454">
        <f t="shared" si="1212"/>
        <v>17.82</v>
      </c>
      <c r="G3130" s="529">
        <v>17.82</v>
      </c>
      <c r="H3130" s="487">
        <f t="shared" si="1213"/>
        <v>14.26</v>
      </c>
      <c r="I3130" s="706"/>
      <c r="J3130" s="669" t="s">
        <v>5805</v>
      </c>
      <c r="K3130" s="23"/>
      <c r="L3130" s="70" t="str">
        <f t="shared" si="1214"/>
        <v/>
      </c>
      <c r="M3130" s="49">
        <f t="shared" si="1215"/>
        <v>17.82</v>
      </c>
      <c r="N3130" s="41">
        <f t="shared" si="1216"/>
        <v>9</v>
      </c>
      <c r="O3130" s="61"/>
      <c r="P3130" s="65"/>
      <c r="Q3130" s="65"/>
      <c r="R3130" s="58"/>
      <c r="T3130" s="65"/>
      <c r="U3130" s="65"/>
      <c r="W3130" s="65"/>
      <c r="Y3130" s="12" t="s">
        <v>1017</v>
      </c>
      <c r="Z3130" s="65"/>
      <c r="AA3130" s="53"/>
      <c r="AD3130" s="53"/>
    </row>
    <row r="3131" spans="1:30" s="12" customFormat="1" x14ac:dyDescent="0.25">
      <c r="A3131" s="610" t="str">
        <f t="shared" si="1210"/>
        <v>BiK271LK----11</v>
      </c>
      <c r="B3131" s="17" t="s">
        <v>5548</v>
      </c>
      <c r="C3131" s="30" t="str">
        <f t="shared" si="1211"/>
        <v>Inbetriebnahme 2011</v>
      </c>
      <c r="D3131" s="17" t="s">
        <v>5556</v>
      </c>
      <c r="E3131" s="17" t="s">
        <v>4812</v>
      </c>
      <c r="F3131" s="454">
        <f t="shared" si="1212"/>
        <v>20.759999999999998</v>
      </c>
      <c r="G3131" s="529">
        <v>20.759999999999998</v>
      </c>
      <c r="H3131" s="487">
        <f t="shared" si="1213"/>
        <v>16.61</v>
      </c>
      <c r="I3131" s="706"/>
      <c r="J3131" s="669" t="s">
        <v>5805</v>
      </c>
      <c r="K3131" s="23"/>
      <c r="L3131" s="70" t="str">
        <f t="shared" si="1214"/>
        <v/>
      </c>
      <c r="M3131" s="49">
        <f t="shared" si="1215"/>
        <v>20.759999999999998</v>
      </c>
      <c r="N3131" s="41">
        <f t="shared" si="1216"/>
        <v>9</v>
      </c>
      <c r="O3131" s="43" t="s">
        <v>1017</v>
      </c>
      <c r="P3131" s="65"/>
      <c r="Q3131" s="65"/>
      <c r="R3131" s="58"/>
      <c r="T3131" s="65"/>
      <c r="U3131" s="65"/>
      <c r="W3131" s="65"/>
      <c r="Y3131" s="12" t="s">
        <v>1017</v>
      </c>
      <c r="Z3131" s="65"/>
      <c r="AA3131" s="53"/>
      <c r="AD3131" s="53"/>
    </row>
    <row r="3132" spans="1:30" s="12" customFormat="1" x14ac:dyDescent="0.25">
      <c r="A3132" s="610" t="str">
        <f t="shared" si="1210"/>
        <v>BiK271Li----11</v>
      </c>
      <c r="B3132" s="17" t="s">
        <v>5548</v>
      </c>
      <c r="C3132" s="30" t="str">
        <f t="shared" si="1211"/>
        <v>Inbetriebnahme 2011</v>
      </c>
      <c r="D3132" s="17" t="s">
        <v>2920</v>
      </c>
      <c r="E3132" s="17" t="s">
        <v>4810</v>
      </c>
      <c r="F3132" s="454">
        <f t="shared" si="1212"/>
        <v>18.8</v>
      </c>
      <c r="G3132" s="529">
        <v>18.8</v>
      </c>
      <c r="H3132" s="487">
        <f t="shared" si="1213"/>
        <v>15.04</v>
      </c>
      <c r="I3132" s="706"/>
      <c r="J3132" s="669" t="s">
        <v>5805</v>
      </c>
      <c r="K3132" s="23"/>
      <c r="L3132" s="70" t="str">
        <f t="shared" si="1214"/>
        <v/>
      </c>
      <c r="M3132" s="49">
        <f t="shared" si="1215"/>
        <v>18.8</v>
      </c>
      <c r="N3132" s="41">
        <f t="shared" si="1216"/>
        <v>9</v>
      </c>
      <c r="O3132" s="61"/>
      <c r="P3132" s="65"/>
      <c r="Q3132" s="65"/>
      <c r="R3132" s="58" t="s">
        <v>1017</v>
      </c>
      <c r="T3132" s="65"/>
      <c r="U3132" s="65"/>
      <c r="W3132" s="65"/>
      <c r="Y3132" s="12" t="s">
        <v>1017</v>
      </c>
      <c r="Z3132" s="65"/>
      <c r="AA3132" s="53"/>
      <c r="AD3132" s="53"/>
    </row>
    <row r="3133" spans="1:30" s="12" customFormat="1" x14ac:dyDescent="0.25">
      <c r="A3133" s="610" t="str">
        <f t="shared" si="1210"/>
        <v>BiK271LiK---11</v>
      </c>
      <c r="B3133" s="17" t="s">
        <v>5548</v>
      </c>
      <c r="C3133" s="30" t="str">
        <f t="shared" si="1211"/>
        <v>Inbetriebnahme 2011</v>
      </c>
      <c r="D3133" s="17" t="s">
        <v>5559</v>
      </c>
      <c r="E3133" s="17" t="s">
        <v>4812</v>
      </c>
      <c r="F3133" s="454">
        <f t="shared" si="1212"/>
        <v>21.740000000000002</v>
      </c>
      <c r="G3133" s="529">
        <v>21.740000000000002</v>
      </c>
      <c r="H3133" s="487">
        <f t="shared" si="1213"/>
        <v>17.39</v>
      </c>
      <c r="I3133" s="706"/>
      <c r="J3133" s="669" t="s">
        <v>5805</v>
      </c>
      <c r="K3133" s="23"/>
      <c r="L3133" s="70" t="str">
        <f t="shared" si="1214"/>
        <v/>
      </c>
      <c r="M3133" s="49">
        <f t="shared" si="1215"/>
        <v>21.740000000000002</v>
      </c>
      <c r="N3133" s="41">
        <f t="shared" si="1216"/>
        <v>9</v>
      </c>
      <c r="O3133" s="43" t="s">
        <v>1017</v>
      </c>
      <c r="P3133" s="65"/>
      <c r="Q3133" s="65"/>
      <c r="R3133" s="58" t="s">
        <v>1017</v>
      </c>
      <c r="T3133" s="65"/>
      <c r="U3133" s="65"/>
      <c r="W3133" s="65"/>
      <c r="Y3133" s="12" t="s">
        <v>1017</v>
      </c>
      <c r="Z3133" s="65"/>
      <c r="AA3133" s="53"/>
      <c r="AD3133" s="53"/>
    </row>
    <row r="3134" spans="1:30" s="12" customFormat="1" x14ac:dyDescent="0.25">
      <c r="A3134" s="610" t="str">
        <f t="shared" si="1210"/>
        <v>BiK271M2----11</v>
      </c>
      <c r="B3134" s="17" t="s">
        <v>5548</v>
      </c>
      <c r="C3134" s="30" t="str">
        <f t="shared" si="1211"/>
        <v>Inbetriebnahme 2011</v>
      </c>
      <c r="D3134" s="17" t="s">
        <v>4133</v>
      </c>
      <c r="E3134" s="17" t="s">
        <v>4810</v>
      </c>
      <c r="F3134" s="454">
        <f t="shared" si="1212"/>
        <v>16.84</v>
      </c>
      <c r="G3134" s="529">
        <v>16.84</v>
      </c>
      <c r="H3134" s="487">
        <f t="shared" si="1213"/>
        <v>13.47</v>
      </c>
      <c r="I3134" s="706"/>
      <c r="J3134" s="669" t="s">
        <v>5805</v>
      </c>
      <c r="K3134" s="23"/>
      <c r="L3134" s="70" t="str">
        <f t="shared" si="1214"/>
        <v/>
      </c>
      <c r="M3134" s="49">
        <f t="shared" si="1215"/>
        <v>16.84</v>
      </c>
      <c r="N3134" s="41">
        <f t="shared" si="1216"/>
        <v>9</v>
      </c>
      <c r="O3134" s="61"/>
      <c r="P3134" s="65"/>
      <c r="Q3134" s="65"/>
      <c r="R3134" s="58"/>
      <c r="T3134" s="65"/>
      <c r="U3134" s="65"/>
      <c r="W3134" s="65"/>
      <c r="X3134" s="12" t="s">
        <v>1017</v>
      </c>
      <c r="Z3134" s="65"/>
      <c r="AA3134" s="53"/>
      <c r="AD3134" s="53"/>
    </row>
    <row r="3135" spans="1:30" s="12" customFormat="1" x14ac:dyDescent="0.25">
      <c r="A3135" s="610" t="str">
        <f t="shared" si="1210"/>
        <v>BiK271M2K---11</v>
      </c>
      <c r="B3135" s="17" t="s">
        <v>5548</v>
      </c>
      <c r="C3135" s="30" t="str">
        <f t="shared" si="1211"/>
        <v>Inbetriebnahme 2011</v>
      </c>
      <c r="D3135" s="17" t="s">
        <v>5555</v>
      </c>
      <c r="E3135" s="17" t="s">
        <v>4812</v>
      </c>
      <c r="F3135" s="454">
        <f t="shared" si="1212"/>
        <v>19.78</v>
      </c>
      <c r="G3135" s="529">
        <v>19.78</v>
      </c>
      <c r="H3135" s="487">
        <f t="shared" si="1213"/>
        <v>15.82</v>
      </c>
      <c r="I3135" s="706"/>
      <c r="J3135" s="669" t="s">
        <v>5805</v>
      </c>
      <c r="K3135" s="23"/>
      <c r="L3135" s="70" t="str">
        <f t="shared" si="1214"/>
        <v/>
      </c>
      <c r="M3135" s="49">
        <f t="shared" si="1215"/>
        <v>19.78</v>
      </c>
      <c r="N3135" s="41">
        <f t="shared" si="1216"/>
        <v>9</v>
      </c>
      <c r="O3135" s="43" t="s">
        <v>1017</v>
      </c>
      <c r="P3135" s="65"/>
      <c r="Q3135" s="65"/>
      <c r="R3135" s="58"/>
      <c r="T3135" s="65"/>
      <c r="U3135" s="65"/>
      <c r="W3135" s="65"/>
      <c r="X3135" s="12" t="s">
        <v>1017</v>
      </c>
      <c r="Z3135" s="65"/>
      <c r="AA3135" s="53"/>
      <c r="AD3135" s="53"/>
    </row>
    <row r="3136" spans="1:30" s="12" customFormat="1" x14ac:dyDescent="0.25">
      <c r="A3136" s="610" t="str">
        <f t="shared" si="1210"/>
        <v>BiK271M2i---11</v>
      </c>
      <c r="B3136" s="17" t="s">
        <v>5548</v>
      </c>
      <c r="C3136" s="30" t="str">
        <f t="shared" si="1211"/>
        <v>Inbetriebnahme 2011</v>
      </c>
      <c r="D3136" s="17" t="s">
        <v>4137</v>
      </c>
      <c r="E3136" s="17" t="s">
        <v>4810</v>
      </c>
      <c r="F3136" s="454">
        <f t="shared" si="1212"/>
        <v>17.82</v>
      </c>
      <c r="G3136" s="529">
        <v>17.82</v>
      </c>
      <c r="H3136" s="487">
        <f t="shared" si="1213"/>
        <v>14.26</v>
      </c>
      <c r="I3136" s="706"/>
      <c r="J3136" s="669" t="s">
        <v>5805</v>
      </c>
      <c r="K3136" s="23"/>
      <c r="L3136" s="70" t="str">
        <f t="shared" si="1214"/>
        <v/>
      </c>
      <c r="M3136" s="49">
        <f t="shared" si="1215"/>
        <v>17.82</v>
      </c>
      <c r="N3136" s="41">
        <f t="shared" si="1216"/>
        <v>9</v>
      </c>
      <c r="O3136" s="61"/>
      <c r="P3136" s="65"/>
      <c r="Q3136" s="65"/>
      <c r="R3136" s="58" t="s">
        <v>1017</v>
      </c>
      <c r="T3136" s="65"/>
      <c r="U3136" s="65"/>
      <c r="W3136" s="65"/>
      <c r="X3136" s="12" t="s">
        <v>1017</v>
      </c>
      <c r="Z3136" s="65"/>
      <c r="AA3136" s="53"/>
      <c r="AD3136" s="53"/>
    </row>
    <row r="3137" spans="1:30" s="12" customFormat="1" x14ac:dyDescent="0.25">
      <c r="A3137" s="610" t="str">
        <f t="shared" si="1210"/>
        <v>BiK271M2iK--11</v>
      </c>
      <c r="B3137" s="17" t="s">
        <v>5548</v>
      </c>
      <c r="C3137" s="30" t="str">
        <f t="shared" si="1211"/>
        <v>Inbetriebnahme 2011</v>
      </c>
      <c r="D3137" s="17" t="s">
        <v>5558</v>
      </c>
      <c r="E3137" s="17" t="s">
        <v>4812</v>
      </c>
      <c r="F3137" s="454">
        <f t="shared" si="1212"/>
        <v>20.759999999999998</v>
      </c>
      <c r="G3137" s="529">
        <v>20.759999999999998</v>
      </c>
      <c r="H3137" s="487">
        <f t="shared" si="1213"/>
        <v>16.61</v>
      </c>
      <c r="I3137" s="706"/>
      <c r="J3137" s="669" t="s">
        <v>5805</v>
      </c>
      <c r="K3137" s="23"/>
      <c r="L3137" s="70" t="str">
        <f t="shared" si="1214"/>
        <v/>
      </c>
      <c r="M3137" s="49">
        <f t="shared" si="1215"/>
        <v>20.759999999999998</v>
      </c>
      <c r="N3137" s="41">
        <f t="shared" si="1216"/>
        <v>9</v>
      </c>
      <c r="O3137" s="43" t="s">
        <v>1017</v>
      </c>
      <c r="P3137" s="65"/>
      <c r="Q3137" s="65"/>
      <c r="R3137" s="58" t="s">
        <v>1017</v>
      </c>
      <c r="T3137" s="65"/>
      <c r="U3137" s="65"/>
      <c r="W3137" s="65"/>
      <c r="X3137" s="12" t="s">
        <v>1017</v>
      </c>
      <c r="Z3137" s="65"/>
      <c r="AA3137" s="53"/>
      <c r="AD3137" s="53"/>
    </row>
    <row r="3138" spans="1:30" s="12" customFormat="1" x14ac:dyDescent="0.25">
      <c r="A3138" s="610" t="str">
        <f t="shared" si="1210"/>
        <v>BiK271X2----11</v>
      </c>
      <c r="B3138" s="17" t="s">
        <v>5548</v>
      </c>
      <c r="C3138" s="30" t="str">
        <f t="shared" si="1211"/>
        <v>Inbetriebnahme 2011</v>
      </c>
      <c r="D3138" s="17" t="s">
        <v>4135</v>
      </c>
      <c r="E3138" s="17" t="s">
        <v>4810</v>
      </c>
      <c r="F3138" s="454">
        <f t="shared" si="1212"/>
        <v>18.8</v>
      </c>
      <c r="G3138" s="529">
        <v>18.8</v>
      </c>
      <c r="H3138" s="487">
        <f t="shared" si="1213"/>
        <v>15.04</v>
      </c>
      <c r="I3138" s="706"/>
      <c r="J3138" s="669" t="s">
        <v>5805</v>
      </c>
      <c r="K3138" s="23"/>
      <c r="L3138" s="70" t="str">
        <f t="shared" si="1214"/>
        <v/>
      </c>
      <c r="M3138" s="49">
        <f t="shared" si="1215"/>
        <v>18.8</v>
      </c>
      <c r="N3138" s="41">
        <f t="shared" si="1216"/>
        <v>9</v>
      </c>
      <c r="O3138" s="61"/>
      <c r="P3138" s="65"/>
      <c r="Q3138" s="65"/>
      <c r="R3138" s="58"/>
      <c r="T3138" s="65"/>
      <c r="U3138" s="65"/>
      <c r="W3138" s="65"/>
      <c r="Z3138" s="65"/>
      <c r="AA3138" s="53" t="s">
        <v>1017</v>
      </c>
      <c r="AD3138" s="53"/>
    </row>
    <row r="3139" spans="1:30" s="12" customFormat="1" x14ac:dyDescent="0.25">
      <c r="A3139" s="610" t="str">
        <f t="shared" si="1210"/>
        <v>BiK271X2K---11</v>
      </c>
      <c r="B3139" s="17" t="s">
        <v>5548</v>
      </c>
      <c r="C3139" s="30" t="str">
        <f t="shared" si="1211"/>
        <v>Inbetriebnahme 2011</v>
      </c>
      <c r="D3139" s="17" t="s">
        <v>4389</v>
      </c>
      <c r="E3139" s="17" t="s">
        <v>4812</v>
      </c>
      <c r="F3139" s="454">
        <f t="shared" si="1212"/>
        <v>21.740000000000002</v>
      </c>
      <c r="G3139" s="529">
        <v>21.740000000000002</v>
      </c>
      <c r="H3139" s="487">
        <f t="shared" si="1213"/>
        <v>17.39</v>
      </c>
      <c r="I3139" s="706"/>
      <c r="J3139" s="669" t="s">
        <v>5805</v>
      </c>
      <c r="K3139" s="23"/>
      <c r="L3139" s="70" t="str">
        <f t="shared" si="1214"/>
        <v/>
      </c>
      <c r="M3139" s="49">
        <f t="shared" si="1215"/>
        <v>21.740000000000002</v>
      </c>
      <c r="N3139" s="41">
        <f t="shared" si="1216"/>
        <v>9</v>
      </c>
      <c r="O3139" s="43" t="s">
        <v>1017</v>
      </c>
      <c r="P3139" s="65"/>
      <c r="Q3139" s="65"/>
      <c r="R3139" s="58"/>
      <c r="T3139" s="65"/>
      <c r="U3139" s="65"/>
      <c r="W3139" s="65"/>
      <c r="Z3139" s="65"/>
      <c r="AA3139" s="53" t="s">
        <v>1017</v>
      </c>
      <c r="AD3139" s="53"/>
    </row>
    <row r="3140" spans="1:30" s="12" customFormat="1" x14ac:dyDescent="0.25">
      <c r="A3140" s="610" t="str">
        <f t="shared" si="1210"/>
        <v>BiK271X2i---11</v>
      </c>
      <c r="B3140" s="17" t="s">
        <v>5548</v>
      </c>
      <c r="C3140" s="30" t="str">
        <f t="shared" si="1211"/>
        <v>Inbetriebnahme 2011</v>
      </c>
      <c r="D3140" s="17" t="s">
        <v>2921</v>
      </c>
      <c r="E3140" s="17" t="s">
        <v>4810</v>
      </c>
      <c r="F3140" s="454">
        <f t="shared" si="1212"/>
        <v>19.78</v>
      </c>
      <c r="G3140" s="529">
        <v>19.78</v>
      </c>
      <c r="H3140" s="487">
        <f t="shared" si="1213"/>
        <v>15.82</v>
      </c>
      <c r="I3140" s="706"/>
      <c r="J3140" s="669" t="s">
        <v>5805</v>
      </c>
      <c r="K3140" s="23"/>
      <c r="L3140" s="70" t="str">
        <f t="shared" si="1214"/>
        <v/>
      </c>
      <c r="M3140" s="49">
        <f t="shared" si="1215"/>
        <v>19.78</v>
      </c>
      <c r="N3140" s="41">
        <f t="shared" si="1216"/>
        <v>9</v>
      </c>
      <c r="O3140" s="61"/>
      <c r="P3140" s="65"/>
      <c r="Q3140" s="65"/>
      <c r="R3140" s="58" t="s">
        <v>1017</v>
      </c>
      <c r="T3140" s="65"/>
      <c r="U3140" s="65"/>
      <c r="W3140" s="65"/>
      <c r="Z3140" s="65"/>
      <c r="AA3140" s="53" t="s">
        <v>1017</v>
      </c>
      <c r="AD3140" s="53"/>
    </row>
    <row r="3141" spans="1:30" s="12" customFormat="1" x14ac:dyDescent="0.25">
      <c r="A3141" s="610" t="str">
        <f t="shared" si="1210"/>
        <v>BiK271X2iK--11</v>
      </c>
      <c r="B3141" s="17" t="s">
        <v>5548</v>
      </c>
      <c r="C3141" s="30" t="str">
        <f t="shared" si="1211"/>
        <v>Inbetriebnahme 2011</v>
      </c>
      <c r="D3141" s="17" t="s">
        <v>4390</v>
      </c>
      <c r="E3141" s="17" t="s">
        <v>4812</v>
      </c>
      <c r="F3141" s="454">
        <f t="shared" si="1212"/>
        <v>22.72</v>
      </c>
      <c r="G3141" s="529">
        <v>22.72</v>
      </c>
      <c r="H3141" s="487">
        <f t="shared" si="1213"/>
        <v>18.18</v>
      </c>
      <c r="I3141" s="706"/>
      <c r="J3141" s="669" t="s">
        <v>5805</v>
      </c>
      <c r="K3141" s="23"/>
      <c r="L3141" s="70" t="str">
        <f t="shared" si="1214"/>
        <v/>
      </c>
      <c r="M3141" s="49">
        <f t="shared" si="1215"/>
        <v>22.72</v>
      </c>
      <c r="N3141" s="41">
        <f t="shared" si="1216"/>
        <v>9</v>
      </c>
      <c r="O3141" s="43" t="s">
        <v>1017</v>
      </c>
      <c r="P3141" s="65"/>
      <c r="Q3141" s="65"/>
      <c r="R3141" s="58" t="s">
        <v>1017</v>
      </c>
      <c r="T3141" s="65"/>
      <c r="U3141" s="65"/>
      <c r="W3141" s="65"/>
      <c r="Z3141" s="65"/>
      <c r="AA3141" s="53" t="s">
        <v>1017</v>
      </c>
      <c r="AD3141" s="53"/>
    </row>
    <row r="3142" spans="1:30" s="12" customFormat="1" x14ac:dyDescent="0.25">
      <c r="A3142" s="610" t="str">
        <f t="shared" si="1210"/>
        <v>BiK271t1----11</v>
      </c>
      <c r="B3142" s="17" t="s">
        <v>5548</v>
      </c>
      <c r="C3142" s="30" t="str">
        <f t="shared" si="1211"/>
        <v>Inbetriebnahme 2011</v>
      </c>
      <c r="D3142" s="17" t="s">
        <v>2906</v>
      </c>
      <c r="E3142" s="17" t="s">
        <v>4810</v>
      </c>
      <c r="F3142" s="454">
        <f t="shared" si="1212"/>
        <v>10.96</v>
      </c>
      <c r="G3142" s="529">
        <v>10.96</v>
      </c>
      <c r="H3142" s="487">
        <f t="shared" si="1213"/>
        <v>8.77</v>
      </c>
      <c r="I3142" s="706"/>
      <c r="J3142" s="669" t="s">
        <v>5805</v>
      </c>
      <c r="K3142" s="23"/>
      <c r="L3142" s="70" t="str">
        <f t="shared" si="1214"/>
        <v/>
      </c>
      <c r="M3142" s="49">
        <f t="shared" si="1215"/>
        <v>10.96</v>
      </c>
      <c r="N3142" s="41">
        <f t="shared" si="1216"/>
        <v>9</v>
      </c>
      <c r="O3142" s="61"/>
      <c r="P3142" s="65"/>
      <c r="Q3142" s="65"/>
      <c r="R3142" s="58"/>
      <c r="T3142" s="65"/>
      <c r="U3142" s="65"/>
      <c r="W3142" s="65"/>
      <c r="Z3142" s="65"/>
      <c r="AA3142" s="53"/>
      <c r="AB3142" s="12" t="s">
        <v>1017</v>
      </c>
      <c r="AD3142" s="53"/>
    </row>
    <row r="3143" spans="1:30" s="12" customFormat="1" x14ac:dyDescent="0.25">
      <c r="A3143" s="610" t="str">
        <f t="shared" si="1210"/>
        <v>BiK271t1K---11</v>
      </c>
      <c r="B3143" s="17" t="s">
        <v>5548</v>
      </c>
      <c r="C3143" s="30" t="str">
        <f t="shared" si="1211"/>
        <v>Inbetriebnahme 2011</v>
      </c>
      <c r="D3143" s="17" t="s">
        <v>3195</v>
      </c>
      <c r="E3143" s="17" t="s">
        <v>4812</v>
      </c>
      <c r="F3143" s="454">
        <f t="shared" si="1212"/>
        <v>13.9</v>
      </c>
      <c r="G3143" s="529">
        <v>13.9</v>
      </c>
      <c r="H3143" s="487">
        <f t="shared" si="1213"/>
        <v>11.12</v>
      </c>
      <c r="I3143" s="706"/>
      <c r="J3143" s="669" t="s">
        <v>5805</v>
      </c>
      <c r="K3143" s="23"/>
      <c r="L3143" s="70" t="str">
        <f t="shared" si="1214"/>
        <v/>
      </c>
      <c r="M3143" s="49">
        <f t="shared" si="1215"/>
        <v>13.9</v>
      </c>
      <c r="N3143" s="41">
        <f t="shared" si="1216"/>
        <v>9</v>
      </c>
      <c r="O3143" s="43" t="s">
        <v>1017</v>
      </c>
      <c r="P3143" s="65"/>
      <c r="Q3143" s="65"/>
      <c r="R3143" s="58"/>
      <c r="T3143" s="65"/>
      <c r="U3143" s="65"/>
      <c r="W3143" s="65"/>
      <c r="Z3143" s="65"/>
      <c r="AA3143" s="53"/>
      <c r="AB3143" s="12" t="s">
        <v>1017</v>
      </c>
      <c r="AD3143" s="53"/>
    </row>
    <row r="3144" spans="1:30" s="12" customFormat="1" x14ac:dyDescent="0.25">
      <c r="A3144" s="610" t="str">
        <f t="shared" si="1210"/>
        <v>BiK271t1i---11</v>
      </c>
      <c r="B3144" s="17" t="s">
        <v>5548</v>
      </c>
      <c r="C3144" s="30" t="str">
        <f t="shared" si="1211"/>
        <v>Inbetriebnahme 2011</v>
      </c>
      <c r="D3144" s="17" t="s">
        <v>2906</v>
      </c>
      <c r="E3144" s="17" t="s">
        <v>4810</v>
      </c>
      <c r="F3144" s="454">
        <f t="shared" si="1212"/>
        <v>11.94</v>
      </c>
      <c r="G3144" s="529">
        <v>11.94</v>
      </c>
      <c r="H3144" s="487">
        <f t="shared" si="1213"/>
        <v>9.5500000000000007</v>
      </c>
      <c r="I3144" s="706"/>
      <c r="J3144" s="669" t="s">
        <v>5805</v>
      </c>
      <c r="K3144" s="23"/>
      <c r="L3144" s="70" t="str">
        <f t="shared" si="1214"/>
        <v/>
      </c>
      <c r="M3144" s="49">
        <f t="shared" si="1215"/>
        <v>11.94</v>
      </c>
      <c r="N3144" s="41">
        <f t="shared" si="1216"/>
        <v>9</v>
      </c>
      <c r="O3144" s="61"/>
      <c r="P3144" s="65"/>
      <c r="Q3144" s="65"/>
      <c r="R3144" s="58" t="s">
        <v>1017</v>
      </c>
      <c r="T3144" s="65"/>
      <c r="U3144" s="65"/>
      <c r="W3144" s="65"/>
      <c r="Z3144" s="65"/>
      <c r="AA3144" s="53"/>
      <c r="AB3144" s="12" t="s">
        <v>1017</v>
      </c>
      <c r="AD3144" s="53"/>
    </row>
    <row r="3145" spans="1:30" s="12" customFormat="1" x14ac:dyDescent="0.25">
      <c r="A3145" s="610" t="str">
        <f t="shared" si="1210"/>
        <v>BiK271t1iK--11</v>
      </c>
      <c r="B3145" s="17" t="s">
        <v>5548</v>
      </c>
      <c r="C3145" s="30" t="str">
        <f t="shared" si="1211"/>
        <v>Inbetriebnahme 2011</v>
      </c>
      <c r="D3145" s="17" t="s">
        <v>3195</v>
      </c>
      <c r="E3145" s="17" t="s">
        <v>4812</v>
      </c>
      <c r="F3145" s="454">
        <f t="shared" si="1212"/>
        <v>14.879999999999999</v>
      </c>
      <c r="G3145" s="529">
        <v>14.879999999999999</v>
      </c>
      <c r="H3145" s="487">
        <f t="shared" si="1213"/>
        <v>11.9</v>
      </c>
      <c r="I3145" s="706"/>
      <c r="J3145" s="669" t="s">
        <v>5805</v>
      </c>
      <c r="K3145" s="23"/>
      <c r="L3145" s="70" t="str">
        <f t="shared" si="1214"/>
        <v/>
      </c>
      <c r="M3145" s="49">
        <f t="shared" si="1215"/>
        <v>14.879999999999999</v>
      </c>
      <c r="N3145" s="41">
        <f t="shared" si="1216"/>
        <v>9</v>
      </c>
      <c r="O3145" s="43" t="s">
        <v>1017</v>
      </c>
      <c r="P3145" s="65"/>
      <c r="Q3145" s="65"/>
      <c r="R3145" s="58" t="s">
        <v>1017</v>
      </c>
      <c r="T3145" s="65"/>
      <c r="U3145" s="65"/>
      <c r="W3145" s="65"/>
      <c r="Z3145" s="65"/>
      <c r="AA3145" s="53"/>
      <c r="AB3145" s="12" t="s">
        <v>1017</v>
      </c>
      <c r="AD3145" s="53"/>
    </row>
    <row r="3146" spans="1:30" s="12" customFormat="1" x14ac:dyDescent="0.25">
      <c r="A3146" s="610" t="str">
        <f t="shared" si="1210"/>
        <v>BiK271t1a1--11</v>
      </c>
      <c r="B3146" s="17" t="s">
        <v>5548</v>
      </c>
      <c r="C3146" s="30" t="str">
        <f t="shared" si="1211"/>
        <v>Inbetriebnahme 2011</v>
      </c>
      <c r="D3146" s="17" t="s">
        <v>3289</v>
      </c>
      <c r="E3146" s="17" t="s">
        <v>4810</v>
      </c>
      <c r="F3146" s="454">
        <f t="shared" si="1212"/>
        <v>16.84</v>
      </c>
      <c r="G3146" s="529">
        <v>16.84</v>
      </c>
      <c r="H3146" s="487">
        <f t="shared" si="1213"/>
        <v>13.47</v>
      </c>
      <c r="I3146" s="706"/>
      <c r="J3146" s="669" t="s">
        <v>5805</v>
      </c>
      <c r="K3146" s="23"/>
      <c r="L3146" s="70" t="str">
        <f t="shared" si="1214"/>
        <v/>
      </c>
      <c r="M3146" s="49">
        <f t="shared" si="1215"/>
        <v>16.84</v>
      </c>
      <c r="N3146" s="41">
        <f t="shared" si="1216"/>
        <v>9</v>
      </c>
      <c r="O3146" s="61"/>
      <c r="P3146" s="65"/>
      <c r="Q3146" s="65"/>
      <c r="R3146" s="58"/>
      <c r="S3146" s="12" t="s">
        <v>1017</v>
      </c>
      <c r="T3146" s="65"/>
      <c r="U3146" s="65"/>
      <c r="W3146" s="65"/>
      <c r="Z3146" s="65"/>
      <c r="AA3146" s="53"/>
      <c r="AB3146" s="12" t="s">
        <v>1017</v>
      </c>
      <c r="AD3146" s="53"/>
    </row>
    <row r="3147" spans="1:30" s="12" customFormat="1" x14ac:dyDescent="0.25">
      <c r="A3147" s="610" t="str">
        <f t="shared" si="1210"/>
        <v>BiK271t1a1K-11</v>
      </c>
      <c r="B3147" s="17" t="s">
        <v>5548</v>
      </c>
      <c r="C3147" s="30" t="str">
        <f t="shared" si="1211"/>
        <v>Inbetriebnahme 2011</v>
      </c>
      <c r="D3147" s="17" t="s">
        <v>5560</v>
      </c>
      <c r="E3147" s="17" t="s">
        <v>4812</v>
      </c>
      <c r="F3147" s="454">
        <f t="shared" si="1212"/>
        <v>19.78</v>
      </c>
      <c r="G3147" s="529">
        <v>19.78</v>
      </c>
      <c r="H3147" s="487">
        <f t="shared" si="1213"/>
        <v>15.82</v>
      </c>
      <c r="I3147" s="706"/>
      <c r="J3147" s="669" t="s">
        <v>5805</v>
      </c>
      <c r="K3147" s="23"/>
      <c r="L3147" s="70" t="str">
        <f t="shared" si="1214"/>
        <v/>
      </c>
      <c r="M3147" s="49">
        <f t="shared" si="1215"/>
        <v>19.78</v>
      </c>
      <c r="N3147" s="41">
        <f t="shared" si="1216"/>
        <v>9</v>
      </c>
      <c r="O3147" s="43" t="s">
        <v>1017</v>
      </c>
      <c r="P3147" s="65"/>
      <c r="Q3147" s="65"/>
      <c r="R3147" s="58"/>
      <c r="S3147" s="12" t="s">
        <v>1017</v>
      </c>
      <c r="T3147" s="65"/>
      <c r="U3147" s="65"/>
      <c r="W3147" s="65"/>
      <c r="Z3147" s="65"/>
      <c r="AA3147" s="53"/>
      <c r="AB3147" s="12" t="s">
        <v>1017</v>
      </c>
      <c r="AD3147" s="53"/>
    </row>
    <row r="3148" spans="1:30" s="12" customFormat="1" x14ac:dyDescent="0.25">
      <c r="A3148" s="610" t="str">
        <f t="shared" si="1210"/>
        <v>BiK271t1a1i-11</v>
      </c>
      <c r="B3148" s="17" t="s">
        <v>5548</v>
      </c>
      <c r="C3148" s="30" t="str">
        <f t="shared" si="1211"/>
        <v>Inbetriebnahme 2011</v>
      </c>
      <c r="D3148" s="30" t="s">
        <v>2114</v>
      </c>
      <c r="E3148" s="17" t="s">
        <v>4810</v>
      </c>
      <c r="F3148" s="454">
        <f t="shared" si="1212"/>
        <v>17.82</v>
      </c>
      <c r="G3148" s="529">
        <v>17.82</v>
      </c>
      <c r="H3148" s="487">
        <f t="shared" si="1213"/>
        <v>14.26</v>
      </c>
      <c r="I3148" s="706"/>
      <c r="J3148" s="669" t="s">
        <v>5805</v>
      </c>
      <c r="K3148" s="23"/>
      <c r="L3148" s="70" t="str">
        <f t="shared" si="1214"/>
        <v/>
      </c>
      <c r="M3148" s="49">
        <f t="shared" si="1215"/>
        <v>17.82</v>
      </c>
      <c r="N3148" s="41">
        <f t="shared" si="1216"/>
        <v>9</v>
      </c>
      <c r="O3148" s="61"/>
      <c r="P3148" s="65"/>
      <c r="Q3148" s="65"/>
      <c r="R3148" s="58" t="s">
        <v>1017</v>
      </c>
      <c r="S3148" s="12" t="s">
        <v>1017</v>
      </c>
      <c r="T3148" s="65"/>
      <c r="U3148" s="65"/>
      <c r="W3148" s="65"/>
      <c r="Z3148" s="65"/>
      <c r="AA3148" s="53"/>
      <c r="AB3148" s="12" t="s">
        <v>1017</v>
      </c>
      <c r="AD3148" s="53"/>
    </row>
    <row r="3149" spans="1:30" s="12" customFormat="1" x14ac:dyDescent="0.25">
      <c r="A3149" s="610" t="str">
        <f t="shared" si="1210"/>
        <v>BiK271t1a1iK11</v>
      </c>
      <c r="B3149" s="17" t="s">
        <v>5548</v>
      </c>
      <c r="C3149" s="30" t="str">
        <f t="shared" si="1211"/>
        <v>Inbetriebnahme 2011</v>
      </c>
      <c r="D3149" s="30" t="s">
        <v>2115</v>
      </c>
      <c r="E3149" s="17" t="s">
        <v>4812</v>
      </c>
      <c r="F3149" s="454">
        <f t="shared" si="1212"/>
        <v>20.76</v>
      </c>
      <c r="G3149" s="529">
        <v>20.76</v>
      </c>
      <c r="H3149" s="487">
        <f t="shared" si="1213"/>
        <v>16.61</v>
      </c>
      <c r="I3149" s="706"/>
      <c r="J3149" s="669" t="s">
        <v>5805</v>
      </c>
      <c r="K3149" s="23"/>
      <c r="L3149" s="70" t="str">
        <f t="shared" si="1214"/>
        <v/>
      </c>
      <c r="M3149" s="49">
        <f t="shared" si="1215"/>
        <v>20.76</v>
      </c>
      <c r="N3149" s="41">
        <f t="shared" si="1216"/>
        <v>9</v>
      </c>
      <c r="O3149" s="43" t="s">
        <v>1017</v>
      </c>
      <c r="P3149" s="65"/>
      <c r="Q3149" s="65"/>
      <c r="R3149" s="58" t="s">
        <v>1017</v>
      </c>
      <c r="S3149" s="12" t="s">
        <v>1017</v>
      </c>
      <c r="T3149" s="65"/>
      <c r="U3149" s="65"/>
      <c r="W3149" s="65"/>
      <c r="Z3149" s="65"/>
      <c r="AA3149" s="53"/>
      <c r="AB3149" s="12" t="s">
        <v>1017</v>
      </c>
      <c r="AD3149" s="53"/>
    </row>
    <row r="3150" spans="1:30" s="12" customFormat="1" x14ac:dyDescent="0.25">
      <c r="A3150" s="610" t="str">
        <f t="shared" ref="A3150:A3213" si="1217">LEFT(A2927,12)&amp;($M$3018-2000)</f>
        <v>BiK271t1G---11</v>
      </c>
      <c r="B3150" s="17" t="s">
        <v>5548</v>
      </c>
      <c r="C3150" s="30" t="str">
        <f t="shared" ref="C3150:C3213" si="1218">"Inbetriebnahme "&amp;$M$3018</f>
        <v>Inbetriebnahme 2011</v>
      </c>
      <c r="D3150" s="17" t="s">
        <v>3291</v>
      </c>
      <c r="E3150" s="17" t="s">
        <v>4810</v>
      </c>
      <c r="F3150" s="454">
        <f t="shared" ref="F3150:F3213" si="1219">M3150</f>
        <v>17.82</v>
      </c>
      <c r="G3150" s="529">
        <v>17.82</v>
      </c>
      <c r="H3150" s="487">
        <f t="shared" ref="H3150:H3213" si="1220">IF(ISNUMBER(G3150),ROUND(0.8*G3150,2),"")</f>
        <v>14.26</v>
      </c>
      <c r="I3150" s="706"/>
      <c r="J3150" s="669" t="s">
        <v>5805</v>
      </c>
      <c r="K3150" s="23"/>
      <c r="L3150" s="70" t="str">
        <f t="shared" ref="L3150:L3213" si="1221">IF(F3150=M3150,"",FALSE)</f>
        <v/>
      </c>
      <c r="M3150" s="49">
        <f t="shared" ref="M3150:M3213" si="1222">N3150+SUMIF(O3150:AD3150,"x",$O$3021:$AD$3021)</f>
        <v>17.82</v>
      </c>
      <c r="N3150" s="41">
        <f t="shared" ref="N3150:N3213" si="1223">ROUND(N2704*(1-$AE$3020)^($M$3018-2009),2)</f>
        <v>9</v>
      </c>
      <c r="O3150" s="61"/>
      <c r="P3150" s="65"/>
      <c r="Q3150" s="65"/>
      <c r="R3150" s="58"/>
      <c r="T3150" s="65"/>
      <c r="U3150" s="65"/>
      <c r="V3150" s="12" t="s">
        <v>1017</v>
      </c>
      <c r="W3150" s="65"/>
      <c r="Z3150" s="65"/>
      <c r="AA3150" s="53"/>
      <c r="AB3150" s="12" t="s">
        <v>1017</v>
      </c>
      <c r="AD3150" s="53"/>
    </row>
    <row r="3151" spans="1:30" s="12" customFormat="1" x14ac:dyDescent="0.25">
      <c r="A3151" s="610" t="str">
        <f t="shared" si="1217"/>
        <v>BiK271t1GK--11</v>
      </c>
      <c r="B3151" s="17" t="s">
        <v>5548</v>
      </c>
      <c r="C3151" s="30" t="str">
        <f t="shared" si="1218"/>
        <v>Inbetriebnahme 2011</v>
      </c>
      <c r="D3151" s="17" t="s">
        <v>5563</v>
      </c>
      <c r="E3151" s="17" t="s">
        <v>4812</v>
      </c>
      <c r="F3151" s="454">
        <f t="shared" si="1219"/>
        <v>20.76</v>
      </c>
      <c r="G3151" s="529">
        <v>20.76</v>
      </c>
      <c r="H3151" s="487">
        <f t="shared" si="1220"/>
        <v>16.61</v>
      </c>
      <c r="I3151" s="706"/>
      <c r="J3151" s="669" t="s">
        <v>5805</v>
      </c>
      <c r="K3151" s="23"/>
      <c r="L3151" s="70" t="str">
        <f t="shared" si="1221"/>
        <v/>
      </c>
      <c r="M3151" s="49">
        <f t="shared" si="1222"/>
        <v>20.76</v>
      </c>
      <c r="N3151" s="41">
        <f t="shared" si="1223"/>
        <v>9</v>
      </c>
      <c r="O3151" s="43" t="s">
        <v>1017</v>
      </c>
      <c r="P3151" s="65"/>
      <c r="Q3151" s="65"/>
      <c r="R3151" s="58"/>
      <c r="T3151" s="65"/>
      <c r="U3151" s="65"/>
      <c r="V3151" s="12" t="s">
        <v>1017</v>
      </c>
      <c r="W3151" s="65"/>
      <c r="Z3151" s="65"/>
      <c r="AA3151" s="53"/>
      <c r="AB3151" s="12" t="s">
        <v>1017</v>
      </c>
      <c r="AD3151" s="53"/>
    </row>
    <row r="3152" spans="1:30" s="12" customFormat="1" x14ac:dyDescent="0.25">
      <c r="A3152" s="610" t="str">
        <f t="shared" si="1217"/>
        <v>BiK271t1Gi--11</v>
      </c>
      <c r="B3152" s="17" t="s">
        <v>5548</v>
      </c>
      <c r="C3152" s="30" t="str">
        <f t="shared" si="1218"/>
        <v>Inbetriebnahme 2011</v>
      </c>
      <c r="D3152" s="17" t="s">
        <v>3292</v>
      </c>
      <c r="E3152" s="17" t="s">
        <v>4810</v>
      </c>
      <c r="F3152" s="454">
        <f t="shared" si="1219"/>
        <v>18.8</v>
      </c>
      <c r="G3152" s="529">
        <v>18.8</v>
      </c>
      <c r="H3152" s="487">
        <f t="shared" si="1220"/>
        <v>15.04</v>
      </c>
      <c r="I3152" s="706"/>
      <c r="J3152" s="669" t="s">
        <v>5805</v>
      </c>
      <c r="K3152" s="23"/>
      <c r="L3152" s="70" t="str">
        <f t="shared" si="1221"/>
        <v/>
      </c>
      <c r="M3152" s="49">
        <f t="shared" si="1222"/>
        <v>18.8</v>
      </c>
      <c r="N3152" s="41">
        <f t="shared" si="1223"/>
        <v>9</v>
      </c>
      <c r="O3152" s="61"/>
      <c r="P3152" s="65"/>
      <c r="Q3152" s="65"/>
      <c r="R3152" s="58" t="s">
        <v>1017</v>
      </c>
      <c r="T3152" s="65"/>
      <c r="U3152" s="65"/>
      <c r="V3152" s="12" t="s">
        <v>1017</v>
      </c>
      <c r="W3152" s="65"/>
      <c r="Z3152" s="65"/>
      <c r="AA3152" s="53"/>
      <c r="AB3152" s="12" t="s">
        <v>1017</v>
      </c>
      <c r="AD3152" s="53"/>
    </row>
    <row r="3153" spans="1:30" s="12" customFormat="1" x14ac:dyDescent="0.25">
      <c r="A3153" s="610" t="str">
        <f t="shared" si="1217"/>
        <v>BiK271t1GiK-11</v>
      </c>
      <c r="B3153" s="17" t="s">
        <v>5548</v>
      </c>
      <c r="C3153" s="30" t="str">
        <f t="shared" si="1218"/>
        <v>Inbetriebnahme 2011</v>
      </c>
      <c r="D3153" s="17" t="s">
        <v>5566</v>
      </c>
      <c r="E3153" s="17" t="s">
        <v>4812</v>
      </c>
      <c r="F3153" s="454">
        <f t="shared" si="1219"/>
        <v>21.740000000000002</v>
      </c>
      <c r="G3153" s="529">
        <v>21.740000000000002</v>
      </c>
      <c r="H3153" s="487">
        <f t="shared" si="1220"/>
        <v>17.39</v>
      </c>
      <c r="I3153" s="706"/>
      <c r="J3153" s="669" t="s">
        <v>5805</v>
      </c>
      <c r="K3153" s="23"/>
      <c r="L3153" s="70" t="str">
        <f t="shared" si="1221"/>
        <v/>
      </c>
      <c r="M3153" s="49">
        <f t="shared" si="1222"/>
        <v>21.740000000000002</v>
      </c>
      <c r="N3153" s="41">
        <f t="shared" si="1223"/>
        <v>9</v>
      </c>
      <c r="O3153" s="43" t="s">
        <v>1017</v>
      </c>
      <c r="P3153" s="65"/>
      <c r="Q3153" s="65"/>
      <c r="R3153" s="58" t="s">
        <v>1017</v>
      </c>
      <c r="T3153" s="65"/>
      <c r="U3153" s="65"/>
      <c r="V3153" s="12" t="s">
        <v>1017</v>
      </c>
      <c r="W3153" s="65"/>
      <c r="Z3153" s="65"/>
      <c r="AA3153" s="53"/>
      <c r="AB3153" s="12" t="s">
        <v>1017</v>
      </c>
      <c r="AD3153" s="53"/>
    </row>
    <row r="3154" spans="1:30" s="12" customFormat="1" x14ac:dyDescent="0.25">
      <c r="A3154" s="610" t="str">
        <f t="shared" si="1217"/>
        <v>BiK271t1L---11</v>
      </c>
      <c r="B3154" s="17" t="s">
        <v>5548</v>
      </c>
      <c r="C3154" s="30" t="str">
        <f t="shared" si="1218"/>
        <v>Inbetriebnahme 2011</v>
      </c>
      <c r="D3154" s="17" t="s">
        <v>784</v>
      </c>
      <c r="E3154" s="17" t="s">
        <v>4810</v>
      </c>
      <c r="F3154" s="454">
        <f t="shared" si="1219"/>
        <v>19.78</v>
      </c>
      <c r="G3154" s="529">
        <v>19.78</v>
      </c>
      <c r="H3154" s="487">
        <f t="shared" si="1220"/>
        <v>15.82</v>
      </c>
      <c r="I3154" s="706"/>
      <c r="J3154" s="669" t="s">
        <v>5805</v>
      </c>
      <c r="K3154" s="23"/>
      <c r="L3154" s="70" t="str">
        <f t="shared" si="1221"/>
        <v/>
      </c>
      <c r="M3154" s="49">
        <f t="shared" si="1222"/>
        <v>19.78</v>
      </c>
      <c r="N3154" s="41">
        <f t="shared" si="1223"/>
        <v>9</v>
      </c>
      <c r="O3154" s="61"/>
      <c r="P3154" s="65"/>
      <c r="Q3154" s="65"/>
      <c r="R3154" s="58"/>
      <c r="T3154" s="65"/>
      <c r="U3154" s="65"/>
      <c r="W3154" s="65"/>
      <c r="Y3154" s="12" t="s">
        <v>1017</v>
      </c>
      <c r="Z3154" s="65"/>
      <c r="AA3154" s="53"/>
      <c r="AB3154" s="12" t="s">
        <v>1017</v>
      </c>
      <c r="AD3154" s="53"/>
    </row>
    <row r="3155" spans="1:30" s="12" customFormat="1" x14ac:dyDescent="0.25">
      <c r="A3155" s="610" t="str">
        <f t="shared" si="1217"/>
        <v>BiK271t1LK--11</v>
      </c>
      <c r="B3155" s="17" t="s">
        <v>5548</v>
      </c>
      <c r="C3155" s="30" t="str">
        <f t="shared" si="1218"/>
        <v>Inbetriebnahme 2011</v>
      </c>
      <c r="D3155" s="17" t="s">
        <v>5564</v>
      </c>
      <c r="E3155" s="17" t="s">
        <v>4812</v>
      </c>
      <c r="F3155" s="454">
        <f t="shared" si="1219"/>
        <v>22.72</v>
      </c>
      <c r="G3155" s="529">
        <v>22.72</v>
      </c>
      <c r="H3155" s="487">
        <f t="shared" si="1220"/>
        <v>18.18</v>
      </c>
      <c r="I3155" s="706"/>
      <c r="J3155" s="669" t="s">
        <v>5805</v>
      </c>
      <c r="K3155" s="23"/>
      <c r="L3155" s="70" t="str">
        <f t="shared" si="1221"/>
        <v/>
      </c>
      <c r="M3155" s="49">
        <f t="shared" si="1222"/>
        <v>22.72</v>
      </c>
      <c r="N3155" s="41">
        <f t="shared" si="1223"/>
        <v>9</v>
      </c>
      <c r="O3155" s="43" t="s">
        <v>1017</v>
      </c>
      <c r="P3155" s="65"/>
      <c r="Q3155" s="65"/>
      <c r="R3155" s="58"/>
      <c r="T3155" s="65"/>
      <c r="U3155" s="65"/>
      <c r="W3155" s="65"/>
      <c r="Y3155" s="12" t="s">
        <v>1017</v>
      </c>
      <c r="Z3155" s="65"/>
      <c r="AA3155" s="53"/>
      <c r="AB3155" s="12" t="s">
        <v>1017</v>
      </c>
      <c r="AD3155" s="53"/>
    </row>
    <row r="3156" spans="1:30" s="12" customFormat="1" x14ac:dyDescent="0.25">
      <c r="A3156" s="610" t="str">
        <f t="shared" si="1217"/>
        <v>BiK271t1Li--11</v>
      </c>
      <c r="B3156" s="17" t="s">
        <v>5548</v>
      </c>
      <c r="C3156" s="30" t="str">
        <f t="shared" si="1218"/>
        <v>Inbetriebnahme 2011</v>
      </c>
      <c r="D3156" s="17" t="s">
        <v>785</v>
      </c>
      <c r="E3156" s="17" t="s">
        <v>4810</v>
      </c>
      <c r="F3156" s="454">
        <f t="shared" si="1219"/>
        <v>20.76</v>
      </c>
      <c r="G3156" s="529">
        <v>20.76</v>
      </c>
      <c r="H3156" s="487">
        <f t="shared" si="1220"/>
        <v>16.61</v>
      </c>
      <c r="I3156" s="706"/>
      <c r="J3156" s="669" t="s">
        <v>5805</v>
      </c>
      <c r="K3156" s="23"/>
      <c r="L3156" s="70" t="str">
        <f t="shared" si="1221"/>
        <v/>
      </c>
      <c r="M3156" s="49">
        <f t="shared" si="1222"/>
        <v>20.76</v>
      </c>
      <c r="N3156" s="41">
        <f t="shared" si="1223"/>
        <v>9</v>
      </c>
      <c r="O3156" s="61"/>
      <c r="P3156" s="65"/>
      <c r="Q3156" s="65"/>
      <c r="R3156" s="58" t="s">
        <v>1017</v>
      </c>
      <c r="T3156" s="65"/>
      <c r="U3156" s="65"/>
      <c r="W3156" s="65"/>
      <c r="Y3156" s="12" t="s">
        <v>1017</v>
      </c>
      <c r="Z3156" s="65"/>
      <c r="AA3156" s="53"/>
      <c r="AB3156" s="12" t="s">
        <v>1017</v>
      </c>
      <c r="AD3156" s="53"/>
    </row>
    <row r="3157" spans="1:30" s="12" customFormat="1" x14ac:dyDescent="0.25">
      <c r="A3157" s="610" t="str">
        <f t="shared" si="1217"/>
        <v>BiK271t1LiK-11</v>
      </c>
      <c r="B3157" s="17" t="s">
        <v>5548</v>
      </c>
      <c r="C3157" s="30" t="str">
        <f t="shared" si="1218"/>
        <v>Inbetriebnahme 2011</v>
      </c>
      <c r="D3157" s="17" t="s">
        <v>5567</v>
      </c>
      <c r="E3157" s="17" t="s">
        <v>4812</v>
      </c>
      <c r="F3157" s="454">
        <f t="shared" si="1219"/>
        <v>23.7</v>
      </c>
      <c r="G3157" s="529">
        <v>23.7</v>
      </c>
      <c r="H3157" s="487">
        <f t="shared" si="1220"/>
        <v>18.96</v>
      </c>
      <c r="I3157" s="706"/>
      <c r="J3157" s="669" t="s">
        <v>5805</v>
      </c>
      <c r="K3157" s="23"/>
      <c r="L3157" s="70" t="str">
        <f t="shared" si="1221"/>
        <v/>
      </c>
      <c r="M3157" s="49">
        <f t="shared" si="1222"/>
        <v>23.7</v>
      </c>
      <c r="N3157" s="41">
        <f t="shared" si="1223"/>
        <v>9</v>
      </c>
      <c r="O3157" s="43" t="s">
        <v>1017</v>
      </c>
      <c r="P3157" s="65"/>
      <c r="Q3157" s="65"/>
      <c r="R3157" s="58" t="s">
        <v>1017</v>
      </c>
      <c r="T3157" s="65"/>
      <c r="U3157" s="65"/>
      <c r="W3157" s="65"/>
      <c r="Y3157" s="12" t="s">
        <v>1017</v>
      </c>
      <c r="Z3157" s="65"/>
      <c r="AA3157" s="53"/>
      <c r="AB3157" s="12" t="s">
        <v>1017</v>
      </c>
      <c r="AD3157" s="53"/>
    </row>
    <row r="3158" spans="1:30" s="12" customFormat="1" x14ac:dyDescent="0.25">
      <c r="A3158" s="610" t="str">
        <f t="shared" si="1217"/>
        <v>BiK271t1M2--11</v>
      </c>
      <c r="B3158" s="17" t="s">
        <v>5548</v>
      </c>
      <c r="C3158" s="30" t="str">
        <f t="shared" si="1218"/>
        <v>Inbetriebnahme 2011</v>
      </c>
      <c r="D3158" s="17" t="s">
        <v>4391</v>
      </c>
      <c r="E3158" s="17" t="s">
        <v>4810</v>
      </c>
      <c r="F3158" s="454">
        <f t="shared" si="1219"/>
        <v>18.8</v>
      </c>
      <c r="G3158" s="529">
        <v>18.8</v>
      </c>
      <c r="H3158" s="487">
        <f t="shared" si="1220"/>
        <v>15.04</v>
      </c>
      <c r="I3158" s="706"/>
      <c r="J3158" s="669" t="s">
        <v>5805</v>
      </c>
      <c r="K3158" s="23"/>
      <c r="L3158" s="70" t="str">
        <f t="shared" si="1221"/>
        <v/>
      </c>
      <c r="M3158" s="49">
        <f t="shared" si="1222"/>
        <v>18.8</v>
      </c>
      <c r="N3158" s="41">
        <f t="shared" si="1223"/>
        <v>9</v>
      </c>
      <c r="O3158" s="61"/>
      <c r="P3158" s="65"/>
      <c r="Q3158" s="65"/>
      <c r="R3158" s="58"/>
      <c r="T3158" s="65"/>
      <c r="U3158" s="65"/>
      <c r="W3158" s="65"/>
      <c r="X3158" s="12" t="s">
        <v>1017</v>
      </c>
      <c r="Z3158" s="65"/>
      <c r="AA3158" s="53"/>
      <c r="AB3158" s="12" t="s">
        <v>1017</v>
      </c>
      <c r="AD3158" s="53"/>
    </row>
    <row r="3159" spans="1:30" s="12" customFormat="1" x14ac:dyDescent="0.25">
      <c r="A3159" s="610" t="str">
        <f t="shared" si="1217"/>
        <v>BiK271t1M2K-11</v>
      </c>
      <c r="B3159" s="17" t="s">
        <v>5548</v>
      </c>
      <c r="C3159" s="30" t="str">
        <f t="shared" si="1218"/>
        <v>Inbetriebnahme 2011</v>
      </c>
      <c r="D3159" s="17" t="s">
        <v>2922</v>
      </c>
      <c r="E3159" s="17" t="s">
        <v>4812</v>
      </c>
      <c r="F3159" s="454">
        <f t="shared" si="1219"/>
        <v>21.74</v>
      </c>
      <c r="G3159" s="529">
        <v>21.74</v>
      </c>
      <c r="H3159" s="487">
        <f t="shared" si="1220"/>
        <v>17.39</v>
      </c>
      <c r="I3159" s="706"/>
      <c r="J3159" s="669" t="s">
        <v>5805</v>
      </c>
      <c r="K3159" s="23"/>
      <c r="L3159" s="70" t="str">
        <f t="shared" si="1221"/>
        <v/>
      </c>
      <c r="M3159" s="49">
        <f t="shared" si="1222"/>
        <v>21.74</v>
      </c>
      <c r="N3159" s="41">
        <f t="shared" si="1223"/>
        <v>9</v>
      </c>
      <c r="O3159" s="43" t="s">
        <v>1017</v>
      </c>
      <c r="P3159" s="65"/>
      <c r="Q3159" s="65"/>
      <c r="R3159" s="58"/>
      <c r="T3159" s="65"/>
      <c r="U3159" s="65"/>
      <c r="W3159" s="65"/>
      <c r="X3159" s="12" t="s">
        <v>1017</v>
      </c>
      <c r="Z3159" s="65"/>
      <c r="AA3159" s="53"/>
      <c r="AB3159" s="12" t="s">
        <v>1017</v>
      </c>
      <c r="AD3159" s="53"/>
    </row>
    <row r="3160" spans="1:30" s="12" customFormat="1" x14ac:dyDescent="0.25">
      <c r="A3160" s="610" t="str">
        <f t="shared" si="1217"/>
        <v>BiK271t1M2i-11</v>
      </c>
      <c r="B3160" s="17" t="s">
        <v>5548</v>
      </c>
      <c r="C3160" s="30" t="str">
        <f t="shared" si="1218"/>
        <v>Inbetriebnahme 2011</v>
      </c>
      <c r="D3160" s="17" t="s">
        <v>4392</v>
      </c>
      <c r="E3160" s="17" t="s">
        <v>4810</v>
      </c>
      <c r="F3160" s="454">
        <f t="shared" si="1219"/>
        <v>19.78</v>
      </c>
      <c r="G3160" s="529">
        <v>19.78</v>
      </c>
      <c r="H3160" s="487">
        <f t="shared" si="1220"/>
        <v>15.82</v>
      </c>
      <c r="I3160" s="706"/>
      <c r="J3160" s="669" t="s">
        <v>5805</v>
      </c>
      <c r="K3160" s="23"/>
      <c r="L3160" s="70" t="str">
        <f t="shared" si="1221"/>
        <v/>
      </c>
      <c r="M3160" s="49">
        <f t="shared" si="1222"/>
        <v>19.78</v>
      </c>
      <c r="N3160" s="41">
        <f t="shared" si="1223"/>
        <v>9</v>
      </c>
      <c r="O3160" s="61"/>
      <c r="P3160" s="65"/>
      <c r="Q3160" s="65"/>
      <c r="R3160" s="58" t="s">
        <v>1017</v>
      </c>
      <c r="T3160" s="65"/>
      <c r="U3160" s="65"/>
      <c r="W3160" s="65"/>
      <c r="X3160" s="12" t="s">
        <v>1017</v>
      </c>
      <c r="Z3160" s="65"/>
      <c r="AA3160" s="53"/>
      <c r="AB3160" s="12" t="s">
        <v>1017</v>
      </c>
      <c r="AD3160" s="53"/>
    </row>
    <row r="3161" spans="1:30" s="12" customFormat="1" x14ac:dyDescent="0.25">
      <c r="A3161" s="610" t="str">
        <f t="shared" si="1217"/>
        <v>BiK271t1M2iK11</v>
      </c>
      <c r="B3161" s="17" t="s">
        <v>5548</v>
      </c>
      <c r="C3161" s="30" t="str">
        <f t="shared" si="1218"/>
        <v>Inbetriebnahme 2011</v>
      </c>
      <c r="D3161" s="17" t="s">
        <v>2923</v>
      </c>
      <c r="E3161" s="17" t="s">
        <v>4812</v>
      </c>
      <c r="F3161" s="454">
        <f t="shared" si="1219"/>
        <v>22.72</v>
      </c>
      <c r="G3161" s="529">
        <v>22.72</v>
      </c>
      <c r="H3161" s="487">
        <f t="shared" si="1220"/>
        <v>18.18</v>
      </c>
      <c r="I3161" s="706"/>
      <c r="J3161" s="669" t="s">
        <v>5805</v>
      </c>
      <c r="K3161" s="23"/>
      <c r="L3161" s="70" t="str">
        <f t="shared" si="1221"/>
        <v/>
      </c>
      <c r="M3161" s="49">
        <f t="shared" si="1222"/>
        <v>22.72</v>
      </c>
      <c r="N3161" s="41">
        <f t="shared" si="1223"/>
        <v>9</v>
      </c>
      <c r="O3161" s="43" t="s">
        <v>1017</v>
      </c>
      <c r="P3161" s="65"/>
      <c r="Q3161" s="65"/>
      <c r="R3161" s="58" t="s">
        <v>1017</v>
      </c>
      <c r="T3161" s="65"/>
      <c r="U3161" s="65"/>
      <c r="W3161" s="65"/>
      <c r="X3161" s="12" t="s">
        <v>1017</v>
      </c>
      <c r="Z3161" s="65"/>
      <c r="AA3161" s="53"/>
      <c r="AB3161" s="12" t="s">
        <v>1017</v>
      </c>
      <c r="AD3161" s="53"/>
    </row>
    <row r="3162" spans="1:30" s="12" customFormat="1" x14ac:dyDescent="0.25">
      <c r="A3162" s="610" t="str">
        <f t="shared" si="1217"/>
        <v>BiK271t1X2--11</v>
      </c>
      <c r="B3162" s="17" t="s">
        <v>5548</v>
      </c>
      <c r="C3162" s="30" t="str">
        <f t="shared" si="1218"/>
        <v>Inbetriebnahme 2011</v>
      </c>
      <c r="D3162" s="17" t="s">
        <v>2120</v>
      </c>
      <c r="E3162" s="17" t="s">
        <v>4810</v>
      </c>
      <c r="F3162" s="454">
        <f t="shared" si="1219"/>
        <v>20.76</v>
      </c>
      <c r="G3162" s="529">
        <v>20.76</v>
      </c>
      <c r="H3162" s="487">
        <f t="shared" si="1220"/>
        <v>16.61</v>
      </c>
      <c r="I3162" s="706"/>
      <c r="J3162" s="669" t="s">
        <v>5805</v>
      </c>
      <c r="K3162" s="23"/>
      <c r="L3162" s="70" t="str">
        <f t="shared" si="1221"/>
        <v/>
      </c>
      <c r="M3162" s="49">
        <f t="shared" si="1222"/>
        <v>20.76</v>
      </c>
      <c r="N3162" s="41">
        <f t="shared" si="1223"/>
        <v>9</v>
      </c>
      <c r="O3162" s="61"/>
      <c r="P3162" s="65"/>
      <c r="Q3162" s="65"/>
      <c r="R3162" s="58"/>
      <c r="T3162" s="65"/>
      <c r="U3162" s="65"/>
      <c r="W3162" s="65"/>
      <c r="Z3162" s="65"/>
      <c r="AA3162" s="53" t="s">
        <v>1017</v>
      </c>
      <c r="AB3162" s="12" t="s">
        <v>1017</v>
      </c>
      <c r="AD3162" s="53"/>
    </row>
    <row r="3163" spans="1:30" s="12" customFormat="1" x14ac:dyDescent="0.25">
      <c r="A3163" s="610" t="str">
        <f t="shared" si="1217"/>
        <v>BiK271t1X2K-11</v>
      </c>
      <c r="B3163" s="17" t="s">
        <v>5548</v>
      </c>
      <c r="C3163" s="30" t="str">
        <f t="shared" si="1218"/>
        <v>Inbetriebnahme 2011</v>
      </c>
      <c r="D3163" s="17" t="s">
        <v>5565</v>
      </c>
      <c r="E3163" s="17" t="s">
        <v>4812</v>
      </c>
      <c r="F3163" s="454">
        <f t="shared" si="1219"/>
        <v>23.7</v>
      </c>
      <c r="G3163" s="529">
        <v>23.7</v>
      </c>
      <c r="H3163" s="487">
        <f t="shared" si="1220"/>
        <v>18.96</v>
      </c>
      <c r="I3163" s="706"/>
      <c r="J3163" s="669" t="s">
        <v>5805</v>
      </c>
      <c r="K3163" s="23"/>
      <c r="L3163" s="70" t="str">
        <f t="shared" si="1221"/>
        <v/>
      </c>
      <c r="M3163" s="49">
        <f t="shared" si="1222"/>
        <v>23.7</v>
      </c>
      <c r="N3163" s="41">
        <f t="shared" si="1223"/>
        <v>9</v>
      </c>
      <c r="O3163" s="43" t="s">
        <v>1017</v>
      </c>
      <c r="P3163" s="65"/>
      <c r="Q3163" s="65"/>
      <c r="R3163" s="58"/>
      <c r="T3163" s="65"/>
      <c r="U3163" s="65"/>
      <c r="W3163" s="65"/>
      <c r="Z3163" s="65"/>
      <c r="AA3163" s="53" t="s">
        <v>1017</v>
      </c>
      <c r="AB3163" s="12" t="s">
        <v>1017</v>
      </c>
      <c r="AD3163" s="53"/>
    </row>
    <row r="3164" spans="1:30" s="12" customFormat="1" x14ac:dyDescent="0.25">
      <c r="A3164" s="610" t="str">
        <f t="shared" si="1217"/>
        <v>BiK271t1X2i-11</v>
      </c>
      <c r="B3164" s="17" t="s">
        <v>5548</v>
      </c>
      <c r="C3164" s="30" t="str">
        <f t="shared" si="1218"/>
        <v>Inbetriebnahme 2011</v>
      </c>
      <c r="D3164" s="17" t="s">
        <v>2121</v>
      </c>
      <c r="E3164" s="17" t="s">
        <v>4810</v>
      </c>
      <c r="F3164" s="454">
        <f t="shared" si="1219"/>
        <v>21.740000000000002</v>
      </c>
      <c r="G3164" s="529">
        <v>21.740000000000002</v>
      </c>
      <c r="H3164" s="487">
        <f t="shared" si="1220"/>
        <v>17.39</v>
      </c>
      <c r="I3164" s="706"/>
      <c r="J3164" s="669" t="s">
        <v>5805</v>
      </c>
      <c r="K3164" s="23"/>
      <c r="L3164" s="70" t="str">
        <f t="shared" si="1221"/>
        <v/>
      </c>
      <c r="M3164" s="49">
        <f t="shared" si="1222"/>
        <v>21.740000000000002</v>
      </c>
      <c r="N3164" s="41">
        <f t="shared" si="1223"/>
        <v>9</v>
      </c>
      <c r="O3164" s="61"/>
      <c r="P3164" s="65"/>
      <c r="Q3164" s="65"/>
      <c r="R3164" s="58" t="s">
        <v>1017</v>
      </c>
      <c r="T3164" s="65"/>
      <c r="U3164" s="65"/>
      <c r="W3164" s="65"/>
      <c r="Z3164" s="65"/>
      <c r="AA3164" s="53" t="s">
        <v>1017</v>
      </c>
      <c r="AB3164" s="12" t="s">
        <v>1017</v>
      </c>
      <c r="AD3164" s="53"/>
    </row>
    <row r="3165" spans="1:30" s="12" customFormat="1" x14ac:dyDescent="0.25">
      <c r="A3165" s="610" t="str">
        <f t="shared" si="1217"/>
        <v>BiK271t1X2iK11</v>
      </c>
      <c r="B3165" s="17" t="s">
        <v>5548</v>
      </c>
      <c r="C3165" s="30" t="str">
        <f t="shared" si="1218"/>
        <v>Inbetriebnahme 2011</v>
      </c>
      <c r="D3165" s="17" t="s">
        <v>5568</v>
      </c>
      <c r="E3165" s="17" t="s">
        <v>4812</v>
      </c>
      <c r="F3165" s="454">
        <f t="shared" si="1219"/>
        <v>24.68</v>
      </c>
      <c r="G3165" s="529">
        <v>24.68</v>
      </c>
      <c r="H3165" s="487">
        <f t="shared" si="1220"/>
        <v>19.739999999999998</v>
      </c>
      <c r="I3165" s="706"/>
      <c r="J3165" s="669" t="s">
        <v>5805</v>
      </c>
      <c r="K3165" s="23"/>
      <c r="L3165" s="70" t="str">
        <f t="shared" si="1221"/>
        <v/>
      </c>
      <c r="M3165" s="49">
        <f t="shared" si="1222"/>
        <v>24.68</v>
      </c>
      <c r="N3165" s="41">
        <f t="shared" si="1223"/>
        <v>9</v>
      </c>
      <c r="O3165" s="43" t="s">
        <v>1017</v>
      </c>
      <c r="P3165" s="65"/>
      <c r="Q3165" s="65"/>
      <c r="R3165" s="58" t="s">
        <v>1017</v>
      </c>
      <c r="T3165" s="65"/>
      <c r="U3165" s="65"/>
      <c r="W3165" s="65"/>
      <c r="Z3165" s="65"/>
      <c r="AA3165" s="53" t="s">
        <v>1017</v>
      </c>
      <c r="AB3165" s="12" t="s">
        <v>1017</v>
      </c>
      <c r="AD3165" s="53"/>
    </row>
    <row r="3166" spans="1:30" s="12" customFormat="1" x14ac:dyDescent="0.25">
      <c r="A3166" s="610" t="str">
        <f t="shared" si="1217"/>
        <v>BiK271t2----11</v>
      </c>
      <c r="B3166" s="17" t="s">
        <v>5548</v>
      </c>
      <c r="C3166" s="30" t="str">
        <f t="shared" si="1218"/>
        <v>Inbetriebnahme 2011</v>
      </c>
      <c r="D3166" s="17" t="s">
        <v>593</v>
      </c>
      <c r="E3166" s="17" t="s">
        <v>4810</v>
      </c>
      <c r="F3166" s="454">
        <f t="shared" si="1219"/>
        <v>9.98</v>
      </c>
      <c r="G3166" s="529">
        <v>9.98</v>
      </c>
      <c r="H3166" s="487">
        <f t="shared" si="1220"/>
        <v>7.98</v>
      </c>
      <c r="I3166" s="706"/>
      <c r="J3166" s="669" t="s">
        <v>5805</v>
      </c>
      <c r="K3166" s="23"/>
      <c r="L3166" s="70" t="str">
        <f t="shared" si="1221"/>
        <v/>
      </c>
      <c r="M3166" s="49">
        <f t="shared" si="1222"/>
        <v>9.98</v>
      </c>
      <c r="N3166" s="41">
        <f t="shared" si="1223"/>
        <v>9</v>
      </c>
      <c r="O3166" s="61"/>
      <c r="P3166" s="65"/>
      <c r="Q3166" s="65"/>
      <c r="R3166" s="58"/>
      <c r="T3166" s="65"/>
      <c r="U3166" s="65"/>
      <c r="W3166" s="65"/>
      <c r="Z3166" s="65"/>
      <c r="AA3166" s="53"/>
      <c r="AC3166" s="12" t="s">
        <v>1017</v>
      </c>
      <c r="AD3166" s="53"/>
    </row>
    <row r="3167" spans="1:30" s="12" customFormat="1" x14ac:dyDescent="0.25">
      <c r="A3167" s="610" t="str">
        <f t="shared" si="1217"/>
        <v>BiK271t2K---11</v>
      </c>
      <c r="B3167" s="17" t="s">
        <v>5548</v>
      </c>
      <c r="C3167" s="30" t="str">
        <f t="shared" si="1218"/>
        <v>Inbetriebnahme 2011</v>
      </c>
      <c r="D3167" s="17" t="s">
        <v>3197</v>
      </c>
      <c r="E3167" s="17" t="s">
        <v>4812</v>
      </c>
      <c r="F3167" s="454">
        <f t="shared" si="1219"/>
        <v>12.92</v>
      </c>
      <c r="G3167" s="529">
        <v>12.92</v>
      </c>
      <c r="H3167" s="487">
        <f t="shared" si="1220"/>
        <v>10.34</v>
      </c>
      <c r="I3167" s="706"/>
      <c r="J3167" s="669" t="s">
        <v>5805</v>
      </c>
      <c r="K3167" s="23"/>
      <c r="L3167" s="70" t="str">
        <f t="shared" si="1221"/>
        <v/>
      </c>
      <c r="M3167" s="49">
        <f t="shared" si="1222"/>
        <v>12.92</v>
      </c>
      <c r="N3167" s="41">
        <f t="shared" si="1223"/>
        <v>9</v>
      </c>
      <c r="O3167" s="43" t="s">
        <v>1017</v>
      </c>
      <c r="P3167" s="65"/>
      <c r="Q3167" s="65"/>
      <c r="R3167" s="58"/>
      <c r="T3167" s="65"/>
      <c r="U3167" s="65"/>
      <c r="W3167" s="65"/>
      <c r="Z3167" s="65"/>
      <c r="AA3167" s="53"/>
      <c r="AC3167" s="12" t="s">
        <v>1017</v>
      </c>
      <c r="AD3167" s="53"/>
    </row>
    <row r="3168" spans="1:30" s="12" customFormat="1" x14ac:dyDescent="0.25">
      <c r="A3168" s="610" t="str">
        <f t="shared" si="1217"/>
        <v>BiK271t2i---11</v>
      </c>
      <c r="B3168" s="17" t="s">
        <v>5548</v>
      </c>
      <c r="C3168" s="30" t="str">
        <f t="shared" si="1218"/>
        <v>Inbetriebnahme 2011</v>
      </c>
      <c r="D3168" s="30" t="s">
        <v>644</v>
      </c>
      <c r="E3168" s="17" t="s">
        <v>4810</v>
      </c>
      <c r="F3168" s="454">
        <f t="shared" si="1219"/>
        <v>10.96</v>
      </c>
      <c r="G3168" s="529">
        <v>10.96</v>
      </c>
      <c r="H3168" s="487">
        <f t="shared" si="1220"/>
        <v>8.77</v>
      </c>
      <c r="I3168" s="706"/>
      <c r="J3168" s="669" t="s">
        <v>5805</v>
      </c>
      <c r="K3168" s="23"/>
      <c r="L3168" s="70" t="str">
        <f t="shared" si="1221"/>
        <v/>
      </c>
      <c r="M3168" s="49">
        <f t="shared" si="1222"/>
        <v>10.96</v>
      </c>
      <c r="N3168" s="41">
        <f t="shared" si="1223"/>
        <v>9</v>
      </c>
      <c r="O3168" s="61"/>
      <c r="P3168" s="65"/>
      <c r="Q3168" s="65"/>
      <c r="R3168" s="58" t="s">
        <v>1017</v>
      </c>
      <c r="T3168" s="65"/>
      <c r="U3168" s="65"/>
      <c r="W3168" s="65"/>
      <c r="Z3168" s="65"/>
      <c r="AA3168" s="53"/>
      <c r="AC3168" s="12" t="s">
        <v>1017</v>
      </c>
      <c r="AD3168" s="53"/>
    </row>
    <row r="3169" spans="1:30" s="12" customFormat="1" x14ac:dyDescent="0.25">
      <c r="A3169" s="610" t="str">
        <f t="shared" si="1217"/>
        <v>BiK271t2iK--11</v>
      </c>
      <c r="B3169" s="17" t="s">
        <v>5548</v>
      </c>
      <c r="C3169" s="30" t="str">
        <f t="shared" si="1218"/>
        <v>Inbetriebnahme 2011</v>
      </c>
      <c r="D3169" s="30" t="s">
        <v>2136</v>
      </c>
      <c r="E3169" s="17" t="s">
        <v>4812</v>
      </c>
      <c r="F3169" s="454">
        <f t="shared" si="1219"/>
        <v>13.9</v>
      </c>
      <c r="G3169" s="529">
        <v>13.9</v>
      </c>
      <c r="H3169" s="487">
        <f t="shared" si="1220"/>
        <v>11.12</v>
      </c>
      <c r="I3169" s="706"/>
      <c r="J3169" s="669" t="s">
        <v>5805</v>
      </c>
      <c r="K3169" s="23"/>
      <c r="L3169" s="70" t="str">
        <f t="shared" si="1221"/>
        <v/>
      </c>
      <c r="M3169" s="49">
        <f t="shared" si="1222"/>
        <v>13.9</v>
      </c>
      <c r="N3169" s="41">
        <f t="shared" si="1223"/>
        <v>9</v>
      </c>
      <c r="O3169" s="43" t="s">
        <v>1017</v>
      </c>
      <c r="P3169" s="65"/>
      <c r="Q3169" s="65"/>
      <c r="R3169" s="58" t="s">
        <v>1017</v>
      </c>
      <c r="T3169" s="65"/>
      <c r="U3169" s="65"/>
      <c r="W3169" s="65"/>
      <c r="Z3169" s="65"/>
      <c r="AA3169" s="53"/>
      <c r="AC3169" s="12" t="s">
        <v>1017</v>
      </c>
      <c r="AD3169" s="53"/>
    </row>
    <row r="3170" spans="1:30" s="12" customFormat="1" x14ac:dyDescent="0.25">
      <c r="A3170" s="610" t="str">
        <f t="shared" si="1217"/>
        <v>BiK271t2a1--11</v>
      </c>
      <c r="B3170" s="17" t="s">
        <v>5548</v>
      </c>
      <c r="C3170" s="30" t="str">
        <f t="shared" si="1218"/>
        <v>Inbetriebnahme 2011</v>
      </c>
      <c r="D3170" s="17" t="s">
        <v>3293</v>
      </c>
      <c r="E3170" s="17" t="s">
        <v>4810</v>
      </c>
      <c r="F3170" s="454">
        <f t="shared" si="1219"/>
        <v>15.86</v>
      </c>
      <c r="G3170" s="529">
        <v>15.86</v>
      </c>
      <c r="H3170" s="487">
        <f t="shared" si="1220"/>
        <v>12.69</v>
      </c>
      <c r="I3170" s="706"/>
      <c r="J3170" s="669" t="s">
        <v>5805</v>
      </c>
      <c r="K3170" s="23"/>
      <c r="L3170" s="70" t="str">
        <f t="shared" si="1221"/>
        <v/>
      </c>
      <c r="M3170" s="49">
        <f t="shared" si="1222"/>
        <v>15.86</v>
      </c>
      <c r="N3170" s="41">
        <f t="shared" si="1223"/>
        <v>9</v>
      </c>
      <c r="O3170" s="61"/>
      <c r="P3170" s="65"/>
      <c r="Q3170" s="65"/>
      <c r="R3170" s="58"/>
      <c r="S3170" s="12" t="s">
        <v>1017</v>
      </c>
      <c r="T3170" s="65"/>
      <c r="U3170" s="65"/>
      <c r="W3170" s="65"/>
      <c r="Z3170" s="65"/>
      <c r="AA3170" s="53"/>
      <c r="AC3170" s="12" t="s">
        <v>1017</v>
      </c>
      <c r="AD3170" s="53"/>
    </row>
    <row r="3171" spans="1:30" s="12" customFormat="1" x14ac:dyDescent="0.25">
      <c r="A3171" s="610" t="str">
        <f t="shared" si="1217"/>
        <v>BiK271t2a1K-11</v>
      </c>
      <c r="B3171" s="17" t="s">
        <v>5548</v>
      </c>
      <c r="C3171" s="30" t="str">
        <f t="shared" si="1218"/>
        <v>Inbetriebnahme 2011</v>
      </c>
      <c r="D3171" s="17" t="s">
        <v>5569</v>
      </c>
      <c r="E3171" s="17" t="s">
        <v>4812</v>
      </c>
      <c r="F3171" s="454">
        <f t="shared" si="1219"/>
        <v>18.8</v>
      </c>
      <c r="G3171" s="529">
        <v>18.8</v>
      </c>
      <c r="H3171" s="487">
        <f t="shared" si="1220"/>
        <v>15.04</v>
      </c>
      <c r="I3171" s="706"/>
      <c r="J3171" s="669" t="s">
        <v>5805</v>
      </c>
      <c r="K3171" s="23"/>
      <c r="L3171" s="70" t="str">
        <f t="shared" si="1221"/>
        <v/>
      </c>
      <c r="M3171" s="49">
        <f t="shared" si="1222"/>
        <v>18.8</v>
      </c>
      <c r="N3171" s="41">
        <f t="shared" si="1223"/>
        <v>9</v>
      </c>
      <c r="O3171" s="43" t="s">
        <v>1017</v>
      </c>
      <c r="P3171" s="65"/>
      <c r="Q3171" s="65"/>
      <c r="R3171" s="58"/>
      <c r="S3171" s="12" t="s">
        <v>1017</v>
      </c>
      <c r="T3171" s="65"/>
      <c r="U3171" s="65"/>
      <c r="W3171" s="65"/>
      <c r="Z3171" s="65"/>
      <c r="AA3171" s="53"/>
      <c r="AC3171" s="12" t="s">
        <v>1017</v>
      </c>
      <c r="AD3171" s="53"/>
    </row>
    <row r="3172" spans="1:30" s="12" customFormat="1" x14ac:dyDescent="0.25">
      <c r="A3172" s="610" t="str">
        <f t="shared" si="1217"/>
        <v>BiK271t2a1i-11</v>
      </c>
      <c r="B3172" s="17" t="s">
        <v>5548</v>
      </c>
      <c r="C3172" s="30" t="str">
        <f t="shared" si="1218"/>
        <v>Inbetriebnahme 2011</v>
      </c>
      <c r="D3172" s="30" t="s">
        <v>2116</v>
      </c>
      <c r="E3172" s="17" t="s">
        <v>4810</v>
      </c>
      <c r="F3172" s="454">
        <f t="shared" si="1219"/>
        <v>16.84</v>
      </c>
      <c r="G3172" s="529">
        <v>16.84</v>
      </c>
      <c r="H3172" s="487">
        <f t="shared" si="1220"/>
        <v>13.47</v>
      </c>
      <c r="I3172" s="706"/>
      <c r="J3172" s="669" t="s">
        <v>5805</v>
      </c>
      <c r="K3172" s="23"/>
      <c r="L3172" s="70" t="str">
        <f t="shared" si="1221"/>
        <v/>
      </c>
      <c r="M3172" s="49">
        <f t="shared" si="1222"/>
        <v>16.84</v>
      </c>
      <c r="N3172" s="41">
        <f t="shared" si="1223"/>
        <v>9</v>
      </c>
      <c r="O3172" s="61"/>
      <c r="P3172" s="65"/>
      <c r="Q3172" s="65"/>
      <c r="R3172" s="58" t="s">
        <v>1017</v>
      </c>
      <c r="S3172" s="12" t="s">
        <v>1017</v>
      </c>
      <c r="T3172" s="65"/>
      <c r="U3172" s="65"/>
      <c r="W3172" s="65"/>
      <c r="Z3172" s="65"/>
      <c r="AA3172" s="53"/>
      <c r="AC3172" s="12" t="s">
        <v>1017</v>
      </c>
      <c r="AD3172" s="53"/>
    </row>
    <row r="3173" spans="1:30" s="12" customFormat="1" x14ac:dyDescent="0.25">
      <c r="A3173" s="610" t="str">
        <f t="shared" si="1217"/>
        <v>BiK271t2a1iK11</v>
      </c>
      <c r="B3173" s="17" t="s">
        <v>5548</v>
      </c>
      <c r="C3173" s="30" t="str">
        <f t="shared" si="1218"/>
        <v>Inbetriebnahme 2011</v>
      </c>
      <c r="D3173" s="30" t="s">
        <v>2117</v>
      </c>
      <c r="E3173" s="17" t="s">
        <v>4812</v>
      </c>
      <c r="F3173" s="454">
        <f t="shared" si="1219"/>
        <v>19.78</v>
      </c>
      <c r="G3173" s="529">
        <v>19.78</v>
      </c>
      <c r="H3173" s="487">
        <f t="shared" si="1220"/>
        <v>15.82</v>
      </c>
      <c r="I3173" s="706"/>
      <c r="J3173" s="669" t="s">
        <v>5805</v>
      </c>
      <c r="K3173" s="23"/>
      <c r="L3173" s="70" t="str">
        <f t="shared" si="1221"/>
        <v/>
      </c>
      <c r="M3173" s="49">
        <f t="shared" si="1222"/>
        <v>19.78</v>
      </c>
      <c r="N3173" s="41">
        <f t="shared" si="1223"/>
        <v>9</v>
      </c>
      <c r="O3173" s="43" t="s">
        <v>1017</v>
      </c>
      <c r="P3173" s="65"/>
      <c r="Q3173" s="65"/>
      <c r="R3173" s="58" t="s">
        <v>1017</v>
      </c>
      <c r="S3173" s="12" t="s">
        <v>1017</v>
      </c>
      <c r="T3173" s="65"/>
      <c r="U3173" s="65"/>
      <c r="W3173" s="65"/>
      <c r="Z3173" s="65"/>
      <c r="AA3173" s="53"/>
      <c r="AC3173" s="12" t="s">
        <v>1017</v>
      </c>
      <c r="AD3173" s="53"/>
    </row>
    <row r="3174" spans="1:30" s="12" customFormat="1" x14ac:dyDescent="0.25">
      <c r="A3174" s="610" t="str">
        <f t="shared" si="1217"/>
        <v>BiK271t2G---11</v>
      </c>
      <c r="B3174" s="17" t="s">
        <v>5548</v>
      </c>
      <c r="C3174" s="30" t="str">
        <f t="shared" si="1218"/>
        <v>Inbetriebnahme 2011</v>
      </c>
      <c r="D3174" s="17" t="s">
        <v>848</v>
      </c>
      <c r="E3174" s="17" t="s">
        <v>4810</v>
      </c>
      <c r="F3174" s="454">
        <f t="shared" si="1219"/>
        <v>16.84</v>
      </c>
      <c r="G3174" s="529">
        <v>16.84</v>
      </c>
      <c r="H3174" s="487">
        <f t="shared" si="1220"/>
        <v>13.47</v>
      </c>
      <c r="I3174" s="706"/>
      <c r="J3174" s="669" t="s">
        <v>5805</v>
      </c>
      <c r="K3174" s="23"/>
      <c r="L3174" s="70" t="str">
        <f t="shared" si="1221"/>
        <v/>
      </c>
      <c r="M3174" s="49">
        <f t="shared" si="1222"/>
        <v>16.84</v>
      </c>
      <c r="N3174" s="41">
        <f t="shared" si="1223"/>
        <v>9</v>
      </c>
      <c r="O3174" s="61"/>
      <c r="P3174" s="65"/>
      <c r="Q3174" s="65"/>
      <c r="R3174" s="58"/>
      <c r="T3174" s="65"/>
      <c r="U3174" s="65"/>
      <c r="V3174" s="12" t="s">
        <v>1017</v>
      </c>
      <c r="W3174" s="65"/>
      <c r="Z3174" s="65"/>
      <c r="AA3174" s="53"/>
      <c r="AC3174" s="12" t="s">
        <v>1017</v>
      </c>
      <c r="AD3174" s="53"/>
    </row>
    <row r="3175" spans="1:30" s="12" customFormat="1" x14ac:dyDescent="0.25">
      <c r="A3175" s="610" t="str">
        <f t="shared" si="1217"/>
        <v>BiK271t2GK--11</v>
      </c>
      <c r="B3175" s="17" t="s">
        <v>5548</v>
      </c>
      <c r="C3175" s="30" t="str">
        <f t="shared" si="1218"/>
        <v>Inbetriebnahme 2011</v>
      </c>
      <c r="D3175" s="17" t="s">
        <v>2647</v>
      </c>
      <c r="E3175" s="17" t="s">
        <v>4812</v>
      </c>
      <c r="F3175" s="454">
        <f t="shared" si="1219"/>
        <v>19.78</v>
      </c>
      <c r="G3175" s="529">
        <v>19.78</v>
      </c>
      <c r="H3175" s="487">
        <f t="shared" si="1220"/>
        <v>15.82</v>
      </c>
      <c r="I3175" s="706"/>
      <c r="J3175" s="669" t="s">
        <v>5805</v>
      </c>
      <c r="K3175" s="23"/>
      <c r="L3175" s="70" t="str">
        <f t="shared" si="1221"/>
        <v/>
      </c>
      <c r="M3175" s="49">
        <f t="shared" si="1222"/>
        <v>19.78</v>
      </c>
      <c r="N3175" s="41">
        <f t="shared" si="1223"/>
        <v>9</v>
      </c>
      <c r="O3175" s="43" t="s">
        <v>1017</v>
      </c>
      <c r="P3175" s="65"/>
      <c r="Q3175" s="65"/>
      <c r="R3175" s="58"/>
      <c r="T3175" s="65"/>
      <c r="U3175" s="65"/>
      <c r="V3175" s="12" t="s">
        <v>1017</v>
      </c>
      <c r="W3175" s="65"/>
      <c r="Z3175" s="65"/>
      <c r="AA3175" s="53"/>
      <c r="AC3175" s="12" t="s">
        <v>1017</v>
      </c>
      <c r="AD3175" s="53"/>
    </row>
    <row r="3176" spans="1:30" s="12" customFormat="1" x14ac:dyDescent="0.25">
      <c r="A3176" s="610" t="str">
        <f t="shared" si="1217"/>
        <v>BiK271t2Gi--11</v>
      </c>
      <c r="B3176" s="17" t="s">
        <v>5548</v>
      </c>
      <c r="C3176" s="30" t="str">
        <f t="shared" si="1218"/>
        <v>Inbetriebnahme 2011</v>
      </c>
      <c r="D3176" s="17" t="s">
        <v>849</v>
      </c>
      <c r="E3176" s="17" t="s">
        <v>4810</v>
      </c>
      <c r="F3176" s="454">
        <f t="shared" si="1219"/>
        <v>17.82</v>
      </c>
      <c r="G3176" s="529">
        <v>17.82</v>
      </c>
      <c r="H3176" s="487">
        <f t="shared" si="1220"/>
        <v>14.26</v>
      </c>
      <c r="I3176" s="706"/>
      <c r="J3176" s="669" t="s">
        <v>5805</v>
      </c>
      <c r="K3176" s="23"/>
      <c r="L3176" s="70" t="str">
        <f t="shared" si="1221"/>
        <v/>
      </c>
      <c r="M3176" s="49">
        <f t="shared" si="1222"/>
        <v>17.82</v>
      </c>
      <c r="N3176" s="41">
        <f t="shared" si="1223"/>
        <v>9</v>
      </c>
      <c r="O3176" s="61"/>
      <c r="P3176" s="65"/>
      <c r="Q3176" s="65"/>
      <c r="R3176" s="58" t="s">
        <v>1017</v>
      </c>
      <c r="T3176" s="65"/>
      <c r="U3176" s="65"/>
      <c r="V3176" s="12" t="s">
        <v>1017</v>
      </c>
      <c r="W3176" s="65"/>
      <c r="Z3176" s="65"/>
      <c r="AA3176" s="53"/>
      <c r="AC3176" s="12" t="s">
        <v>1017</v>
      </c>
      <c r="AD3176" s="53"/>
    </row>
    <row r="3177" spans="1:30" s="12" customFormat="1" x14ac:dyDescent="0.25">
      <c r="A3177" s="610" t="str">
        <f t="shared" si="1217"/>
        <v>BiK271t2GiK-11</v>
      </c>
      <c r="B3177" s="17" t="s">
        <v>5548</v>
      </c>
      <c r="C3177" s="30" t="str">
        <f t="shared" si="1218"/>
        <v>Inbetriebnahme 2011</v>
      </c>
      <c r="D3177" s="17" t="s">
        <v>2650</v>
      </c>
      <c r="E3177" s="17" t="s">
        <v>4812</v>
      </c>
      <c r="F3177" s="454">
        <f t="shared" si="1219"/>
        <v>20.76</v>
      </c>
      <c r="G3177" s="529">
        <v>20.76</v>
      </c>
      <c r="H3177" s="487">
        <f t="shared" si="1220"/>
        <v>16.61</v>
      </c>
      <c r="I3177" s="706"/>
      <c r="J3177" s="669" t="s">
        <v>5805</v>
      </c>
      <c r="K3177" s="23"/>
      <c r="L3177" s="70" t="str">
        <f t="shared" si="1221"/>
        <v/>
      </c>
      <c r="M3177" s="49">
        <f t="shared" si="1222"/>
        <v>20.76</v>
      </c>
      <c r="N3177" s="41">
        <f t="shared" si="1223"/>
        <v>9</v>
      </c>
      <c r="O3177" s="43" t="s">
        <v>1017</v>
      </c>
      <c r="P3177" s="65"/>
      <c r="Q3177" s="65"/>
      <c r="R3177" s="58" t="s">
        <v>1017</v>
      </c>
      <c r="T3177" s="65"/>
      <c r="U3177" s="65"/>
      <c r="V3177" s="12" t="s">
        <v>1017</v>
      </c>
      <c r="W3177" s="65"/>
      <c r="Z3177" s="65"/>
      <c r="AA3177" s="53"/>
      <c r="AC3177" s="12" t="s">
        <v>1017</v>
      </c>
      <c r="AD3177" s="53"/>
    </row>
    <row r="3178" spans="1:30" s="12" customFormat="1" x14ac:dyDescent="0.25">
      <c r="A3178" s="610" t="str">
        <f t="shared" si="1217"/>
        <v>BiK271t2L---11</v>
      </c>
      <c r="B3178" s="17" t="s">
        <v>5548</v>
      </c>
      <c r="C3178" s="30" t="str">
        <f t="shared" si="1218"/>
        <v>Inbetriebnahme 2011</v>
      </c>
      <c r="D3178" s="17" t="s">
        <v>787</v>
      </c>
      <c r="E3178" s="17" t="s">
        <v>4810</v>
      </c>
      <c r="F3178" s="454">
        <f t="shared" si="1219"/>
        <v>18.8</v>
      </c>
      <c r="G3178" s="529">
        <v>18.8</v>
      </c>
      <c r="H3178" s="487">
        <f t="shared" si="1220"/>
        <v>15.04</v>
      </c>
      <c r="I3178" s="706"/>
      <c r="J3178" s="669" t="s">
        <v>5805</v>
      </c>
      <c r="K3178" s="23"/>
      <c r="L3178" s="70" t="str">
        <f t="shared" si="1221"/>
        <v/>
      </c>
      <c r="M3178" s="49">
        <f t="shared" si="1222"/>
        <v>18.8</v>
      </c>
      <c r="N3178" s="41">
        <f t="shared" si="1223"/>
        <v>9</v>
      </c>
      <c r="O3178" s="61"/>
      <c r="P3178" s="65"/>
      <c r="Q3178" s="65"/>
      <c r="R3178" s="58"/>
      <c r="T3178" s="65"/>
      <c r="U3178" s="65"/>
      <c r="W3178" s="65"/>
      <c r="Y3178" s="12" t="s">
        <v>1017</v>
      </c>
      <c r="Z3178" s="65"/>
      <c r="AA3178" s="53"/>
      <c r="AC3178" s="12" t="s">
        <v>1017</v>
      </c>
      <c r="AD3178" s="53"/>
    </row>
    <row r="3179" spans="1:30" s="12" customFormat="1" x14ac:dyDescent="0.25">
      <c r="A3179" s="610" t="str">
        <f t="shared" si="1217"/>
        <v>BiK271t2LK--11</v>
      </c>
      <c r="B3179" s="17" t="s">
        <v>5548</v>
      </c>
      <c r="C3179" s="30" t="str">
        <f t="shared" si="1218"/>
        <v>Inbetriebnahme 2011</v>
      </c>
      <c r="D3179" s="17" t="s">
        <v>2648</v>
      </c>
      <c r="E3179" s="17" t="s">
        <v>4812</v>
      </c>
      <c r="F3179" s="454">
        <f t="shared" si="1219"/>
        <v>21.740000000000002</v>
      </c>
      <c r="G3179" s="529">
        <v>21.740000000000002</v>
      </c>
      <c r="H3179" s="487">
        <f t="shared" si="1220"/>
        <v>17.39</v>
      </c>
      <c r="I3179" s="706"/>
      <c r="J3179" s="669" t="s">
        <v>5805</v>
      </c>
      <c r="K3179" s="23"/>
      <c r="L3179" s="70" t="str">
        <f t="shared" si="1221"/>
        <v/>
      </c>
      <c r="M3179" s="49">
        <f t="shared" si="1222"/>
        <v>21.740000000000002</v>
      </c>
      <c r="N3179" s="41">
        <f t="shared" si="1223"/>
        <v>9</v>
      </c>
      <c r="O3179" s="43" t="s">
        <v>1017</v>
      </c>
      <c r="P3179" s="65"/>
      <c r="Q3179" s="65"/>
      <c r="R3179" s="58"/>
      <c r="T3179" s="65"/>
      <c r="U3179" s="65"/>
      <c r="W3179" s="65"/>
      <c r="Y3179" s="12" t="s">
        <v>1017</v>
      </c>
      <c r="Z3179" s="65"/>
      <c r="AA3179" s="53"/>
      <c r="AC3179" s="12" t="s">
        <v>1017</v>
      </c>
      <c r="AD3179" s="53"/>
    </row>
    <row r="3180" spans="1:30" s="12" customFormat="1" x14ac:dyDescent="0.25">
      <c r="A3180" s="610" t="str">
        <f t="shared" si="1217"/>
        <v>BiK271t2Li--11</v>
      </c>
      <c r="B3180" s="17" t="s">
        <v>5548</v>
      </c>
      <c r="C3180" s="30" t="str">
        <f t="shared" si="1218"/>
        <v>Inbetriebnahme 2011</v>
      </c>
      <c r="D3180" s="17" t="s">
        <v>788</v>
      </c>
      <c r="E3180" s="17" t="s">
        <v>4810</v>
      </c>
      <c r="F3180" s="454">
        <f t="shared" si="1219"/>
        <v>19.78</v>
      </c>
      <c r="G3180" s="529">
        <v>19.78</v>
      </c>
      <c r="H3180" s="487">
        <f t="shared" si="1220"/>
        <v>15.82</v>
      </c>
      <c r="I3180" s="706"/>
      <c r="J3180" s="669" t="s">
        <v>5805</v>
      </c>
      <c r="K3180" s="23"/>
      <c r="L3180" s="70" t="str">
        <f t="shared" si="1221"/>
        <v/>
      </c>
      <c r="M3180" s="49">
        <f t="shared" si="1222"/>
        <v>19.78</v>
      </c>
      <c r="N3180" s="41">
        <f t="shared" si="1223"/>
        <v>9</v>
      </c>
      <c r="O3180" s="61"/>
      <c r="P3180" s="65"/>
      <c r="Q3180" s="65"/>
      <c r="R3180" s="58" t="s">
        <v>1017</v>
      </c>
      <c r="T3180" s="65"/>
      <c r="U3180" s="65"/>
      <c r="W3180" s="65"/>
      <c r="Y3180" s="12" t="s">
        <v>1017</v>
      </c>
      <c r="Z3180" s="65"/>
      <c r="AA3180" s="53"/>
      <c r="AC3180" s="12" t="s">
        <v>1017</v>
      </c>
      <c r="AD3180" s="53"/>
    </row>
    <row r="3181" spans="1:30" s="12" customFormat="1" x14ac:dyDescent="0.25">
      <c r="A3181" s="610" t="str">
        <f t="shared" si="1217"/>
        <v>BiK271t2LiK-11</v>
      </c>
      <c r="B3181" s="17" t="s">
        <v>5548</v>
      </c>
      <c r="C3181" s="30" t="str">
        <f t="shared" si="1218"/>
        <v>Inbetriebnahme 2011</v>
      </c>
      <c r="D3181" s="17" t="s">
        <v>2651</v>
      </c>
      <c r="E3181" s="17" t="s">
        <v>4812</v>
      </c>
      <c r="F3181" s="454">
        <f t="shared" si="1219"/>
        <v>22.72</v>
      </c>
      <c r="G3181" s="529">
        <v>22.72</v>
      </c>
      <c r="H3181" s="487">
        <f t="shared" si="1220"/>
        <v>18.18</v>
      </c>
      <c r="I3181" s="706"/>
      <c r="J3181" s="669" t="s">
        <v>5805</v>
      </c>
      <c r="K3181" s="23"/>
      <c r="L3181" s="70" t="str">
        <f t="shared" si="1221"/>
        <v/>
      </c>
      <c r="M3181" s="49">
        <f t="shared" si="1222"/>
        <v>22.72</v>
      </c>
      <c r="N3181" s="41">
        <f t="shared" si="1223"/>
        <v>9</v>
      </c>
      <c r="O3181" s="43" t="s">
        <v>1017</v>
      </c>
      <c r="P3181" s="65"/>
      <c r="Q3181" s="65"/>
      <c r="R3181" s="58" t="s">
        <v>1017</v>
      </c>
      <c r="T3181" s="65"/>
      <c r="U3181" s="65"/>
      <c r="W3181" s="65"/>
      <c r="Y3181" s="12" t="s">
        <v>1017</v>
      </c>
      <c r="Z3181" s="65"/>
      <c r="AA3181" s="53"/>
      <c r="AC3181" s="12" t="s">
        <v>1017</v>
      </c>
      <c r="AD3181" s="53"/>
    </row>
    <row r="3182" spans="1:30" s="12" customFormat="1" x14ac:dyDescent="0.25">
      <c r="A3182" s="610" t="str">
        <f t="shared" si="1217"/>
        <v>BiK271t2M2--11</v>
      </c>
      <c r="B3182" s="17" t="s">
        <v>5548</v>
      </c>
      <c r="C3182" s="30" t="str">
        <f t="shared" si="1218"/>
        <v>Inbetriebnahme 2011</v>
      </c>
      <c r="D3182" s="17" t="s">
        <v>4393</v>
      </c>
      <c r="E3182" s="17" t="s">
        <v>4810</v>
      </c>
      <c r="F3182" s="454">
        <f t="shared" si="1219"/>
        <v>17.82</v>
      </c>
      <c r="G3182" s="529">
        <v>17.82</v>
      </c>
      <c r="H3182" s="487">
        <f t="shared" si="1220"/>
        <v>14.26</v>
      </c>
      <c r="I3182" s="706"/>
      <c r="J3182" s="669" t="s">
        <v>5805</v>
      </c>
      <c r="K3182" s="23"/>
      <c r="L3182" s="70" t="str">
        <f t="shared" si="1221"/>
        <v/>
      </c>
      <c r="M3182" s="49">
        <f t="shared" si="1222"/>
        <v>17.82</v>
      </c>
      <c r="N3182" s="41">
        <f t="shared" si="1223"/>
        <v>9</v>
      </c>
      <c r="O3182" s="61"/>
      <c r="P3182" s="65"/>
      <c r="Q3182" s="65"/>
      <c r="R3182" s="58"/>
      <c r="T3182" s="65"/>
      <c r="U3182" s="65"/>
      <c r="W3182" s="65"/>
      <c r="X3182" s="12" t="s">
        <v>1017</v>
      </c>
      <c r="Z3182" s="65"/>
      <c r="AA3182" s="53"/>
      <c r="AC3182" s="12" t="s">
        <v>1017</v>
      </c>
      <c r="AD3182" s="53"/>
    </row>
    <row r="3183" spans="1:30" s="12" customFormat="1" x14ac:dyDescent="0.25">
      <c r="A3183" s="610" t="str">
        <f t="shared" si="1217"/>
        <v>BiK271t2M2K-11</v>
      </c>
      <c r="B3183" s="17" t="s">
        <v>5548</v>
      </c>
      <c r="C3183" s="30" t="str">
        <f t="shared" si="1218"/>
        <v>Inbetriebnahme 2011</v>
      </c>
      <c r="D3183" s="17" t="s">
        <v>5571</v>
      </c>
      <c r="E3183" s="17" t="s">
        <v>4812</v>
      </c>
      <c r="F3183" s="454">
        <f t="shared" si="1219"/>
        <v>20.759999999999998</v>
      </c>
      <c r="G3183" s="529">
        <v>20.759999999999998</v>
      </c>
      <c r="H3183" s="487">
        <f t="shared" si="1220"/>
        <v>16.61</v>
      </c>
      <c r="I3183" s="706"/>
      <c r="J3183" s="669" t="s">
        <v>5805</v>
      </c>
      <c r="K3183" s="23"/>
      <c r="L3183" s="70" t="str">
        <f t="shared" si="1221"/>
        <v/>
      </c>
      <c r="M3183" s="49">
        <f t="shared" si="1222"/>
        <v>20.759999999999998</v>
      </c>
      <c r="N3183" s="41">
        <f t="shared" si="1223"/>
        <v>9</v>
      </c>
      <c r="O3183" s="43" t="s">
        <v>1017</v>
      </c>
      <c r="P3183" s="65"/>
      <c r="Q3183" s="65"/>
      <c r="R3183" s="58"/>
      <c r="T3183" s="65"/>
      <c r="U3183" s="65"/>
      <c r="W3183" s="65"/>
      <c r="X3183" s="12" t="s">
        <v>1017</v>
      </c>
      <c r="Z3183" s="65"/>
      <c r="AA3183" s="53"/>
      <c r="AC3183" s="12" t="s">
        <v>1017</v>
      </c>
      <c r="AD3183" s="53"/>
    </row>
    <row r="3184" spans="1:30" s="12" customFormat="1" x14ac:dyDescent="0.25">
      <c r="A3184" s="610" t="str">
        <f t="shared" si="1217"/>
        <v>BiK271t2M2i-11</v>
      </c>
      <c r="B3184" s="17" t="s">
        <v>5548</v>
      </c>
      <c r="C3184" s="30" t="str">
        <f t="shared" si="1218"/>
        <v>Inbetriebnahme 2011</v>
      </c>
      <c r="D3184" s="21" t="s">
        <v>675</v>
      </c>
      <c r="E3184" s="17" t="s">
        <v>4810</v>
      </c>
      <c r="F3184" s="454">
        <f t="shared" si="1219"/>
        <v>18.8</v>
      </c>
      <c r="G3184" s="529">
        <v>18.8</v>
      </c>
      <c r="H3184" s="487">
        <f t="shared" si="1220"/>
        <v>15.04</v>
      </c>
      <c r="I3184" s="706"/>
      <c r="J3184" s="669" t="s">
        <v>5805</v>
      </c>
      <c r="K3184" s="23"/>
      <c r="L3184" s="70" t="str">
        <f t="shared" si="1221"/>
        <v/>
      </c>
      <c r="M3184" s="49">
        <f t="shared" si="1222"/>
        <v>18.8</v>
      </c>
      <c r="N3184" s="41">
        <f t="shared" si="1223"/>
        <v>9</v>
      </c>
      <c r="O3184" s="61"/>
      <c r="P3184" s="65"/>
      <c r="Q3184" s="65"/>
      <c r="R3184" s="58" t="s">
        <v>1017</v>
      </c>
      <c r="T3184" s="65"/>
      <c r="U3184" s="65"/>
      <c r="W3184" s="65"/>
      <c r="X3184" s="12" t="s">
        <v>1017</v>
      </c>
      <c r="Z3184" s="65"/>
      <c r="AA3184" s="53"/>
      <c r="AC3184" s="12" t="s">
        <v>1017</v>
      </c>
      <c r="AD3184" s="53"/>
    </row>
    <row r="3185" spans="1:30" s="12" customFormat="1" x14ac:dyDescent="0.25">
      <c r="A3185" s="610" t="str">
        <f t="shared" si="1217"/>
        <v>BiK271t2M2iK11</v>
      </c>
      <c r="B3185" s="17" t="s">
        <v>5548</v>
      </c>
      <c r="C3185" s="30" t="str">
        <f t="shared" si="1218"/>
        <v>Inbetriebnahme 2011</v>
      </c>
      <c r="D3185" s="21" t="s">
        <v>676</v>
      </c>
      <c r="E3185" s="17" t="s">
        <v>4812</v>
      </c>
      <c r="F3185" s="454">
        <f t="shared" si="1219"/>
        <v>21.740000000000002</v>
      </c>
      <c r="G3185" s="529">
        <v>21.740000000000002</v>
      </c>
      <c r="H3185" s="487">
        <f t="shared" si="1220"/>
        <v>17.39</v>
      </c>
      <c r="I3185" s="706"/>
      <c r="J3185" s="669" t="s">
        <v>5805</v>
      </c>
      <c r="K3185" s="23"/>
      <c r="L3185" s="70" t="str">
        <f t="shared" si="1221"/>
        <v/>
      </c>
      <c r="M3185" s="49">
        <f t="shared" si="1222"/>
        <v>21.740000000000002</v>
      </c>
      <c r="N3185" s="41">
        <f t="shared" si="1223"/>
        <v>9</v>
      </c>
      <c r="O3185" s="43" t="s">
        <v>1017</v>
      </c>
      <c r="P3185" s="65"/>
      <c r="Q3185" s="65"/>
      <c r="R3185" s="58" t="s">
        <v>1017</v>
      </c>
      <c r="T3185" s="65"/>
      <c r="U3185" s="65"/>
      <c r="W3185" s="65"/>
      <c r="X3185" s="12" t="s">
        <v>1017</v>
      </c>
      <c r="Z3185" s="65"/>
      <c r="AA3185" s="53"/>
      <c r="AC3185" s="12" t="s">
        <v>1017</v>
      </c>
      <c r="AD3185" s="53"/>
    </row>
    <row r="3186" spans="1:30" s="12" customFormat="1" x14ac:dyDescent="0.25">
      <c r="A3186" s="610" t="str">
        <f t="shared" si="1217"/>
        <v>BiK271t2X2--11</v>
      </c>
      <c r="B3186" s="17" t="s">
        <v>5548</v>
      </c>
      <c r="C3186" s="30" t="str">
        <f t="shared" si="1218"/>
        <v>Inbetriebnahme 2011</v>
      </c>
      <c r="D3186" s="17" t="s">
        <v>2122</v>
      </c>
      <c r="E3186" s="17" t="s">
        <v>4810</v>
      </c>
      <c r="F3186" s="454">
        <f t="shared" si="1219"/>
        <v>19.78</v>
      </c>
      <c r="G3186" s="529">
        <v>19.78</v>
      </c>
      <c r="H3186" s="487">
        <f t="shared" si="1220"/>
        <v>15.82</v>
      </c>
      <c r="I3186" s="706"/>
      <c r="J3186" s="669" t="s">
        <v>5805</v>
      </c>
      <c r="K3186" s="23"/>
      <c r="L3186" s="70" t="str">
        <f t="shared" si="1221"/>
        <v/>
      </c>
      <c r="M3186" s="49">
        <f t="shared" si="1222"/>
        <v>19.78</v>
      </c>
      <c r="N3186" s="41">
        <f t="shared" si="1223"/>
        <v>9</v>
      </c>
      <c r="O3186" s="61"/>
      <c r="P3186" s="65"/>
      <c r="Q3186" s="65"/>
      <c r="R3186" s="58"/>
      <c r="T3186" s="65"/>
      <c r="U3186" s="65"/>
      <c r="W3186" s="65"/>
      <c r="Z3186" s="65"/>
      <c r="AA3186" s="53" t="s">
        <v>1017</v>
      </c>
      <c r="AC3186" s="12" t="s">
        <v>1017</v>
      </c>
      <c r="AD3186" s="53"/>
    </row>
    <row r="3187" spans="1:30" s="12" customFormat="1" x14ac:dyDescent="0.25">
      <c r="A3187" s="610" t="str">
        <f t="shared" si="1217"/>
        <v>BiK271t2X2K-11</v>
      </c>
      <c r="B3187" s="17" t="s">
        <v>5548</v>
      </c>
      <c r="C3187" s="30" t="str">
        <f t="shared" si="1218"/>
        <v>Inbetriebnahme 2011</v>
      </c>
      <c r="D3187" s="17" t="s">
        <v>2649</v>
      </c>
      <c r="E3187" s="17" t="s">
        <v>4812</v>
      </c>
      <c r="F3187" s="454">
        <f t="shared" si="1219"/>
        <v>22.72</v>
      </c>
      <c r="G3187" s="529">
        <v>22.72</v>
      </c>
      <c r="H3187" s="487">
        <f t="shared" si="1220"/>
        <v>18.18</v>
      </c>
      <c r="I3187" s="706"/>
      <c r="J3187" s="669" t="s">
        <v>5805</v>
      </c>
      <c r="K3187" s="23"/>
      <c r="L3187" s="70" t="str">
        <f t="shared" si="1221"/>
        <v/>
      </c>
      <c r="M3187" s="49">
        <f t="shared" si="1222"/>
        <v>22.72</v>
      </c>
      <c r="N3187" s="41">
        <f t="shared" si="1223"/>
        <v>9</v>
      </c>
      <c r="O3187" s="43" t="s">
        <v>1017</v>
      </c>
      <c r="P3187" s="65"/>
      <c r="Q3187" s="65"/>
      <c r="R3187" s="58"/>
      <c r="T3187" s="65"/>
      <c r="U3187" s="65"/>
      <c r="W3187" s="65"/>
      <c r="Z3187" s="65"/>
      <c r="AA3187" s="53" t="s">
        <v>1017</v>
      </c>
      <c r="AC3187" s="12" t="s">
        <v>1017</v>
      </c>
      <c r="AD3187" s="53"/>
    </row>
    <row r="3188" spans="1:30" s="12" customFormat="1" x14ac:dyDescent="0.25">
      <c r="A3188" s="610" t="str">
        <f t="shared" si="1217"/>
        <v>BiK271t2X2i-11</v>
      </c>
      <c r="B3188" s="17" t="s">
        <v>5548</v>
      </c>
      <c r="C3188" s="30" t="str">
        <f t="shared" si="1218"/>
        <v>Inbetriebnahme 2011</v>
      </c>
      <c r="D3188" s="17" t="s">
        <v>2123</v>
      </c>
      <c r="E3188" s="17" t="s">
        <v>4810</v>
      </c>
      <c r="F3188" s="454">
        <f t="shared" si="1219"/>
        <v>20.76</v>
      </c>
      <c r="G3188" s="529">
        <v>20.76</v>
      </c>
      <c r="H3188" s="487">
        <f t="shared" si="1220"/>
        <v>16.61</v>
      </c>
      <c r="I3188" s="706"/>
      <c r="J3188" s="669" t="s">
        <v>5805</v>
      </c>
      <c r="K3188" s="23"/>
      <c r="L3188" s="70" t="str">
        <f t="shared" si="1221"/>
        <v/>
      </c>
      <c r="M3188" s="49">
        <f t="shared" si="1222"/>
        <v>20.76</v>
      </c>
      <c r="N3188" s="41">
        <f t="shared" si="1223"/>
        <v>9</v>
      </c>
      <c r="O3188" s="61"/>
      <c r="P3188" s="65"/>
      <c r="Q3188" s="65"/>
      <c r="R3188" s="58" t="s">
        <v>1017</v>
      </c>
      <c r="T3188" s="65"/>
      <c r="U3188" s="65"/>
      <c r="W3188" s="65"/>
      <c r="Z3188" s="65"/>
      <c r="AA3188" s="53" t="s">
        <v>1017</v>
      </c>
      <c r="AC3188" s="12" t="s">
        <v>1017</v>
      </c>
      <c r="AD3188" s="53"/>
    </row>
    <row r="3189" spans="1:30" s="12" customFormat="1" x14ac:dyDescent="0.25">
      <c r="A3189" s="610" t="str">
        <f t="shared" si="1217"/>
        <v>BiK271t2X2iK11</v>
      </c>
      <c r="B3189" s="17" t="s">
        <v>5548</v>
      </c>
      <c r="C3189" s="30" t="str">
        <f t="shared" si="1218"/>
        <v>Inbetriebnahme 2011</v>
      </c>
      <c r="D3189" s="17" t="s">
        <v>2652</v>
      </c>
      <c r="E3189" s="17" t="s">
        <v>4812</v>
      </c>
      <c r="F3189" s="454">
        <f t="shared" si="1219"/>
        <v>23.700000000000003</v>
      </c>
      <c r="G3189" s="529">
        <v>23.700000000000003</v>
      </c>
      <c r="H3189" s="487">
        <f t="shared" si="1220"/>
        <v>18.96</v>
      </c>
      <c r="I3189" s="706"/>
      <c r="J3189" s="669" t="s">
        <v>5805</v>
      </c>
      <c r="K3189" s="23"/>
      <c r="L3189" s="70" t="str">
        <f t="shared" si="1221"/>
        <v/>
      </c>
      <c r="M3189" s="49">
        <f t="shared" si="1222"/>
        <v>23.700000000000003</v>
      </c>
      <c r="N3189" s="41">
        <f t="shared" si="1223"/>
        <v>9</v>
      </c>
      <c r="O3189" s="43" t="s">
        <v>1017</v>
      </c>
      <c r="P3189" s="65"/>
      <c r="Q3189" s="65"/>
      <c r="R3189" s="58" t="s">
        <v>1017</v>
      </c>
      <c r="T3189" s="65"/>
      <c r="U3189" s="65"/>
      <c r="W3189" s="65"/>
      <c r="Z3189" s="65"/>
      <c r="AA3189" s="53" t="s">
        <v>1017</v>
      </c>
      <c r="AC3189" s="12" t="s">
        <v>1017</v>
      </c>
      <c r="AD3189" s="53"/>
    </row>
    <row r="3190" spans="1:30" s="12" customFormat="1" x14ac:dyDescent="0.25">
      <c r="A3190" s="610" t="str">
        <f t="shared" si="1217"/>
        <v>BiK271t3----11</v>
      </c>
      <c r="B3190" s="17" t="s">
        <v>5548</v>
      </c>
      <c r="C3190" s="30" t="str">
        <f t="shared" si="1218"/>
        <v>Inbetriebnahme 2011</v>
      </c>
      <c r="D3190" s="17" t="s">
        <v>595</v>
      </c>
      <c r="E3190" s="17" t="s">
        <v>4810</v>
      </c>
      <c r="F3190" s="454">
        <f t="shared" si="1219"/>
        <v>10.96</v>
      </c>
      <c r="G3190" s="529">
        <v>10.96</v>
      </c>
      <c r="H3190" s="487">
        <f t="shared" si="1220"/>
        <v>8.77</v>
      </c>
      <c r="I3190" s="706"/>
      <c r="J3190" s="669" t="s">
        <v>5805</v>
      </c>
      <c r="K3190" s="23"/>
      <c r="L3190" s="70" t="str">
        <f t="shared" si="1221"/>
        <v/>
      </c>
      <c r="M3190" s="49">
        <f t="shared" si="1222"/>
        <v>10.96</v>
      </c>
      <c r="N3190" s="41">
        <f t="shared" si="1223"/>
        <v>9</v>
      </c>
      <c r="O3190" s="61"/>
      <c r="P3190" s="65"/>
      <c r="Q3190" s="65"/>
      <c r="R3190" s="58"/>
      <c r="T3190" s="65"/>
      <c r="U3190" s="65"/>
      <c r="W3190" s="65"/>
      <c r="Z3190" s="65"/>
      <c r="AA3190" s="53"/>
      <c r="AD3190" s="53" t="s">
        <v>1017</v>
      </c>
    </row>
    <row r="3191" spans="1:30" s="12" customFormat="1" x14ac:dyDescent="0.25">
      <c r="A3191" s="610" t="str">
        <f t="shared" si="1217"/>
        <v>BiK271t3K---11</v>
      </c>
      <c r="B3191" s="17" t="s">
        <v>5548</v>
      </c>
      <c r="C3191" s="30" t="str">
        <f t="shared" si="1218"/>
        <v>Inbetriebnahme 2011</v>
      </c>
      <c r="D3191" s="17" t="s">
        <v>3199</v>
      </c>
      <c r="E3191" s="17" t="s">
        <v>4812</v>
      </c>
      <c r="F3191" s="454">
        <f t="shared" si="1219"/>
        <v>13.9</v>
      </c>
      <c r="G3191" s="529">
        <v>13.9</v>
      </c>
      <c r="H3191" s="487">
        <f t="shared" si="1220"/>
        <v>11.12</v>
      </c>
      <c r="I3191" s="706"/>
      <c r="J3191" s="669" t="s">
        <v>5805</v>
      </c>
      <c r="K3191" s="23"/>
      <c r="L3191" s="70" t="str">
        <f t="shared" si="1221"/>
        <v/>
      </c>
      <c r="M3191" s="49">
        <f t="shared" si="1222"/>
        <v>13.9</v>
      </c>
      <c r="N3191" s="41">
        <f t="shared" si="1223"/>
        <v>9</v>
      </c>
      <c r="O3191" s="43" t="s">
        <v>1017</v>
      </c>
      <c r="P3191" s="65"/>
      <c r="Q3191" s="65"/>
      <c r="R3191" s="58"/>
      <c r="T3191" s="65"/>
      <c r="U3191" s="65"/>
      <c r="W3191" s="65"/>
      <c r="Z3191" s="65"/>
      <c r="AA3191" s="53"/>
      <c r="AD3191" s="53" t="s">
        <v>1017</v>
      </c>
    </row>
    <row r="3192" spans="1:30" s="12" customFormat="1" x14ac:dyDescent="0.25">
      <c r="A3192" s="610" t="str">
        <f t="shared" si="1217"/>
        <v>BiK271t3i---11</v>
      </c>
      <c r="B3192" s="17" t="s">
        <v>5548</v>
      </c>
      <c r="C3192" s="30" t="str">
        <f t="shared" si="1218"/>
        <v>Inbetriebnahme 2011</v>
      </c>
      <c r="D3192" s="30" t="s">
        <v>2139</v>
      </c>
      <c r="E3192" s="17" t="s">
        <v>4810</v>
      </c>
      <c r="F3192" s="454">
        <f t="shared" si="1219"/>
        <v>11.94</v>
      </c>
      <c r="G3192" s="529">
        <v>11.94</v>
      </c>
      <c r="H3192" s="487">
        <f t="shared" si="1220"/>
        <v>9.5500000000000007</v>
      </c>
      <c r="I3192" s="706"/>
      <c r="J3192" s="669" t="s">
        <v>5805</v>
      </c>
      <c r="K3192" s="23"/>
      <c r="L3192" s="70" t="str">
        <f t="shared" si="1221"/>
        <v/>
      </c>
      <c r="M3192" s="49">
        <f t="shared" si="1222"/>
        <v>11.94</v>
      </c>
      <c r="N3192" s="41">
        <f t="shared" si="1223"/>
        <v>9</v>
      </c>
      <c r="O3192" s="61"/>
      <c r="P3192" s="65"/>
      <c r="Q3192" s="65"/>
      <c r="R3192" s="58" t="s">
        <v>1017</v>
      </c>
      <c r="T3192" s="65"/>
      <c r="U3192" s="65"/>
      <c r="W3192" s="65"/>
      <c r="Z3192" s="65"/>
      <c r="AA3192" s="53"/>
      <c r="AD3192" s="53" t="s">
        <v>1017</v>
      </c>
    </row>
    <row r="3193" spans="1:30" s="12" customFormat="1" x14ac:dyDescent="0.25">
      <c r="A3193" s="610" t="str">
        <f t="shared" si="1217"/>
        <v>BiK271t3iK--11</v>
      </c>
      <c r="B3193" s="17" t="s">
        <v>5548</v>
      </c>
      <c r="C3193" s="30" t="str">
        <f t="shared" si="1218"/>
        <v>Inbetriebnahme 2011</v>
      </c>
      <c r="D3193" s="30" t="s">
        <v>2140</v>
      </c>
      <c r="E3193" s="17" t="s">
        <v>4812</v>
      </c>
      <c r="F3193" s="454">
        <f t="shared" si="1219"/>
        <v>14.879999999999999</v>
      </c>
      <c r="G3193" s="529">
        <v>14.879999999999999</v>
      </c>
      <c r="H3193" s="487">
        <f t="shared" si="1220"/>
        <v>11.9</v>
      </c>
      <c r="I3193" s="706"/>
      <c r="J3193" s="669" t="s">
        <v>5805</v>
      </c>
      <c r="K3193" s="23"/>
      <c r="L3193" s="70" t="str">
        <f t="shared" si="1221"/>
        <v/>
      </c>
      <c r="M3193" s="49">
        <f t="shared" si="1222"/>
        <v>14.879999999999999</v>
      </c>
      <c r="N3193" s="41">
        <f t="shared" si="1223"/>
        <v>9</v>
      </c>
      <c r="O3193" s="43" t="s">
        <v>1017</v>
      </c>
      <c r="P3193" s="65"/>
      <c r="Q3193" s="65"/>
      <c r="R3193" s="58" t="s">
        <v>1017</v>
      </c>
      <c r="T3193" s="65"/>
      <c r="U3193" s="65"/>
      <c r="W3193" s="65"/>
      <c r="Z3193" s="65"/>
      <c r="AA3193" s="53"/>
      <c r="AD3193" s="53" t="s">
        <v>1017</v>
      </c>
    </row>
    <row r="3194" spans="1:30" s="12" customFormat="1" x14ac:dyDescent="0.25">
      <c r="A3194" s="610" t="str">
        <f t="shared" si="1217"/>
        <v>BiK271t3a1--11</v>
      </c>
      <c r="B3194" s="17" t="s">
        <v>5548</v>
      </c>
      <c r="C3194" s="30" t="str">
        <f t="shared" si="1218"/>
        <v>Inbetriebnahme 2011</v>
      </c>
      <c r="D3194" s="17" t="s">
        <v>850</v>
      </c>
      <c r="E3194" s="17" t="s">
        <v>4810</v>
      </c>
      <c r="F3194" s="454">
        <f t="shared" si="1219"/>
        <v>16.84</v>
      </c>
      <c r="G3194" s="529">
        <v>16.84</v>
      </c>
      <c r="H3194" s="487">
        <f t="shared" si="1220"/>
        <v>13.47</v>
      </c>
      <c r="I3194" s="706"/>
      <c r="J3194" s="669" t="s">
        <v>5805</v>
      </c>
      <c r="K3194" s="23"/>
      <c r="L3194" s="70" t="str">
        <f t="shared" si="1221"/>
        <v/>
      </c>
      <c r="M3194" s="49">
        <f t="shared" si="1222"/>
        <v>16.84</v>
      </c>
      <c r="N3194" s="41">
        <f t="shared" si="1223"/>
        <v>9</v>
      </c>
      <c r="O3194" s="61"/>
      <c r="P3194" s="65"/>
      <c r="Q3194" s="65"/>
      <c r="R3194" s="58"/>
      <c r="S3194" s="12" t="s">
        <v>1017</v>
      </c>
      <c r="T3194" s="65"/>
      <c r="U3194" s="65"/>
      <c r="W3194" s="65"/>
      <c r="Z3194" s="65"/>
      <c r="AA3194" s="53"/>
      <c r="AD3194" s="53" t="s">
        <v>1017</v>
      </c>
    </row>
    <row r="3195" spans="1:30" s="12" customFormat="1" x14ac:dyDescent="0.25">
      <c r="A3195" s="610" t="str">
        <f t="shared" si="1217"/>
        <v>BiK271t3a1K-11</v>
      </c>
      <c r="B3195" s="17" t="s">
        <v>5548</v>
      </c>
      <c r="C3195" s="30" t="str">
        <f t="shared" si="1218"/>
        <v>Inbetriebnahme 2011</v>
      </c>
      <c r="D3195" s="17" t="s">
        <v>2653</v>
      </c>
      <c r="E3195" s="17" t="s">
        <v>4812</v>
      </c>
      <c r="F3195" s="454">
        <f t="shared" si="1219"/>
        <v>19.78</v>
      </c>
      <c r="G3195" s="529">
        <v>19.78</v>
      </c>
      <c r="H3195" s="487">
        <f t="shared" si="1220"/>
        <v>15.82</v>
      </c>
      <c r="I3195" s="706"/>
      <c r="J3195" s="669" t="s">
        <v>5805</v>
      </c>
      <c r="K3195" s="23"/>
      <c r="L3195" s="70" t="str">
        <f t="shared" si="1221"/>
        <v/>
      </c>
      <c r="M3195" s="49">
        <f t="shared" si="1222"/>
        <v>19.78</v>
      </c>
      <c r="N3195" s="41">
        <f t="shared" si="1223"/>
        <v>9</v>
      </c>
      <c r="O3195" s="43" t="s">
        <v>1017</v>
      </c>
      <c r="P3195" s="65"/>
      <c r="Q3195" s="65"/>
      <c r="R3195" s="58"/>
      <c r="S3195" s="12" t="s">
        <v>1017</v>
      </c>
      <c r="T3195" s="65"/>
      <c r="U3195" s="65"/>
      <c r="W3195" s="65"/>
      <c r="Z3195" s="65"/>
      <c r="AA3195" s="53"/>
      <c r="AD3195" s="53" t="s">
        <v>1017</v>
      </c>
    </row>
    <row r="3196" spans="1:30" s="12" customFormat="1" x14ac:dyDescent="0.25">
      <c r="A3196" s="610" t="str">
        <f t="shared" si="1217"/>
        <v>BiK271t3a1i-11</v>
      </c>
      <c r="B3196" s="17" t="s">
        <v>5548</v>
      </c>
      <c r="C3196" s="30" t="str">
        <f t="shared" si="1218"/>
        <v>Inbetriebnahme 2011</v>
      </c>
      <c r="D3196" s="30" t="s">
        <v>564</v>
      </c>
      <c r="E3196" s="17" t="s">
        <v>4810</v>
      </c>
      <c r="F3196" s="454">
        <f t="shared" si="1219"/>
        <v>17.82</v>
      </c>
      <c r="G3196" s="529">
        <v>17.82</v>
      </c>
      <c r="H3196" s="487">
        <f t="shared" si="1220"/>
        <v>14.26</v>
      </c>
      <c r="I3196" s="706"/>
      <c r="J3196" s="669" t="s">
        <v>5805</v>
      </c>
      <c r="K3196" s="23"/>
      <c r="L3196" s="70" t="str">
        <f t="shared" si="1221"/>
        <v/>
      </c>
      <c r="M3196" s="49">
        <f t="shared" si="1222"/>
        <v>17.82</v>
      </c>
      <c r="N3196" s="41">
        <f t="shared" si="1223"/>
        <v>9</v>
      </c>
      <c r="O3196" s="61"/>
      <c r="P3196" s="65"/>
      <c r="Q3196" s="65"/>
      <c r="R3196" s="58" t="s">
        <v>1017</v>
      </c>
      <c r="S3196" s="12" t="s">
        <v>1017</v>
      </c>
      <c r="T3196" s="65"/>
      <c r="U3196" s="65"/>
      <c r="W3196" s="65"/>
      <c r="Z3196" s="65"/>
      <c r="AA3196" s="53"/>
      <c r="AD3196" s="53" t="s">
        <v>1017</v>
      </c>
    </row>
    <row r="3197" spans="1:30" s="12" customFormat="1" x14ac:dyDescent="0.25">
      <c r="A3197" s="610" t="str">
        <f t="shared" si="1217"/>
        <v>BiK271t3a1iK11</v>
      </c>
      <c r="B3197" s="17" t="s">
        <v>5548</v>
      </c>
      <c r="C3197" s="30" t="str">
        <f t="shared" si="1218"/>
        <v>Inbetriebnahme 2011</v>
      </c>
      <c r="D3197" s="30" t="s">
        <v>565</v>
      </c>
      <c r="E3197" s="17" t="s">
        <v>4812</v>
      </c>
      <c r="F3197" s="454">
        <f t="shared" si="1219"/>
        <v>20.76</v>
      </c>
      <c r="G3197" s="529">
        <v>20.76</v>
      </c>
      <c r="H3197" s="487">
        <f t="shared" si="1220"/>
        <v>16.61</v>
      </c>
      <c r="I3197" s="706"/>
      <c r="J3197" s="669" t="s">
        <v>5805</v>
      </c>
      <c r="K3197" s="23"/>
      <c r="L3197" s="70" t="str">
        <f t="shared" si="1221"/>
        <v/>
      </c>
      <c r="M3197" s="49">
        <f t="shared" si="1222"/>
        <v>20.76</v>
      </c>
      <c r="N3197" s="41">
        <f t="shared" si="1223"/>
        <v>9</v>
      </c>
      <c r="O3197" s="43" t="s">
        <v>1017</v>
      </c>
      <c r="P3197" s="65"/>
      <c r="Q3197" s="65"/>
      <c r="R3197" s="58" t="s">
        <v>1017</v>
      </c>
      <c r="S3197" s="12" t="s">
        <v>1017</v>
      </c>
      <c r="T3197" s="65"/>
      <c r="U3197" s="65"/>
      <c r="W3197" s="65"/>
      <c r="Z3197" s="65"/>
      <c r="AA3197" s="53"/>
      <c r="AD3197" s="53" t="s">
        <v>1017</v>
      </c>
    </row>
    <row r="3198" spans="1:30" s="12" customFormat="1" x14ac:dyDescent="0.25">
      <c r="A3198" s="610" t="str">
        <f t="shared" si="1217"/>
        <v>BiK271t3G---11</v>
      </c>
      <c r="B3198" s="17" t="s">
        <v>5548</v>
      </c>
      <c r="C3198" s="30" t="str">
        <f t="shared" si="1218"/>
        <v>Inbetriebnahme 2011</v>
      </c>
      <c r="D3198" s="17" t="s">
        <v>852</v>
      </c>
      <c r="E3198" s="17" t="s">
        <v>4810</v>
      </c>
      <c r="F3198" s="454">
        <f t="shared" si="1219"/>
        <v>17.82</v>
      </c>
      <c r="G3198" s="529">
        <v>17.82</v>
      </c>
      <c r="H3198" s="487">
        <f t="shared" si="1220"/>
        <v>14.26</v>
      </c>
      <c r="I3198" s="706"/>
      <c r="J3198" s="669" t="s">
        <v>5805</v>
      </c>
      <c r="K3198" s="23"/>
      <c r="L3198" s="70" t="str">
        <f t="shared" si="1221"/>
        <v/>
      </c>
      <c r="M3198" s="49">
        <f t="shared" si="1222"/>
        <v>17.82</v>
      </c>
      <c r="N3198" s="41">
        <f t="shared" si="1223"/>
        <v>9</v>
      </c>
      <c r="O3198" s="61"/>
      <c r="P3198" s="65"/>
      <c r="Q3198" s="65"/>
      <c r="R3198" s="58"/>
      <c r="T3198" s="65"/>
      <c r="U3198" s="65"/>
      <c r="V3198" s="12" t="s">
        <v>1017</v>
      </c>
      <c r="W3198" s="65"/>
      <c r="Z3198" s="65"/>
      <c r="AA3198" s="53"/>
      <c r="AD3198" s="53" t="s">
        <v>1017</v>
      </c>
    </row>
    <row r="3199" spans="1:30" s="12" customFormat="1" x14ac:dyDescent="0.25">
      <c r="A3199" s="610" t="str">
        <f t="shared" si="1217"/>
        <v>BiK271t3GK--11</v>
      </c>
      <c r="B3199" s="17" t="s">
        <v>5548</v>
      </c>
      <c r="C3199" s="30" t="str">
        <f t="shared" si="1218"/>
        <v>Inbetriebnahme 2011</v>
      </c>
      <c r="D3199" s="17" t="s">
        <v>846</v>
      </c>
      <c r="E3199" s="17" t="s">
        <v>4812</v>
      </c>
      <c r="F3199" s="454">
        <f t="shared" si="1219"/>
        <v>20.76</v>
      </c>
      <c r="G3199" s="529">
        <v>20.76</v>
      </c>
      <c r="H3199" s="487">
        <f t="shared" si="1220"/>
        <v>16.61</v>
      </c>
      <c r="I3199" s="706"/>
      <c r="J3199" s="669" t="s">
        <v>5805</v>
      </c>
      <c r="K3199" s="23"/>
      <c r="L3199" s="70" t="str">
        <f t="shared" si="1221"/>
        <v/>
      </c>
      <c r="M3199" s="49">
        <f t="shared" si="1222"/>
        <v>20.76</v>
      </c>
      <c r="N3199" s="41">
        <f t="shared" si="1223"/>
        <v>9</v>
      </c>
      <c r="O3199" s="43" t="s">
        <v>1017</v>
      </c>
      <c r="P3199" s="65"/>
      <c r="Q3199" s="65"/>
      <c r="R3199" s="58"/>
      <c r="T3199" s="65"/>
      <c r="U3199" s="65"/>
      <c r="V3199" s="12" t="s">
        <v>1017</v>
      </c>
      <c r="W3199" s="65"/>
      <c r="Z3199" s="65"/>
      <c r="AA3199" s="53"/>
      <c r="AD3199" s="53" t="s">
        <v>1017</v>
      </c>
    </row>
    <row r="3200" spans="1:30" s="12" customFormat="1" x14ac:dyDescent="0.25">
      <c r="A3200" s="610" t="str">
        <f t="shared" si="1217"/>
        <v>BiK271t3Gi--11</v>
      </c>
      <c r="B3200" s="17" t="s">
        <v>5548</v>
      </c>
      <c r="C3200" s="30" t="str">
        <f t="shared" si="1218"/>
        <v>Inbetriebnahme 2011</v>
      </c>
      <c r="D3200" s="17" t="s">
        <v>2593</v>
      </c>
      <c r="E3200" s="17" t="s">
        <v>4810</v>
      </c>
      <c r="F3200" s="454">
        <f t="shared" si="1219"/>
        <v>18.8</v>
      </c>
      <c r="G3200" s="529">
        <v>18.8</v>
      </c>
      <c r="H3200" s="487">
        <f t="shared" si="1220"/>
        <v>15.04</v>
      </c>
      <c r="I3200" s="706"/>
      <c r="J3200" s="669" t="s">
        <v>5805</v>
      </c>
      <c r="K3200" s="23"/>
      <c r="L3200" s="70" t="str">
        <f t="shared" si="1221"/>
        <v/>
      </c>
      <c r="M3200" s="49">
        <f t="shared" si="1222"/>
        <v>18.8</v>
      </c>
      <c r="N3200" s="41">
        <f t="shared" si="1223"/>
        <v>9</v>
      </c>
      <c r="O3200" s="61"/>
      <c r="P3200" s="65"/>
      <c r="Q3200" s="65"/>
      <c r="R3200" s="58" t="s">
        <v>1017</v>
      </c>
      <c r="T3200" s="65"/>
      <c r="U3200" s="65"/>
      <c r="V3200" s="12" t="s">
        <v>1017</v>
      </c>
      <c r="W3200" s="65"/>
      <c r="Z3200" s="65"/>
      <c r="AA3200" s="53"/>
      <c r="AD3200" s="53" t="s">
        <v>1017</v>
      </c>
    </row>
    <row r="3201" spans="1:30" s="12" customFormat="1" x14ac:dyDescent="0.25">
      <c r="A3201" s="610" t="str">
        <f t="shared" si="1217"/>
        <v>BiK271t3GiK-11</v>
      </c>
      <c r="B3201" s="17" t="s">
        <v>5548</v>
      </c>
      <c r="C3201" s="30" t="str">
        <f t="shared" si="1218"/>
        <v>Inbetriebnahme 2011</v>
      </c>
      <c r="D3201" s="17" t="s">
        <v>2723</v>
      </c>
      <c r="E3201" s="17" t="s">
        <v>4812</v>
      </c>
      <c r="F3201" s="454">
        <f t="shared" si="1219"/>
        <v>21.740000000000002</v>
      </c>
      <c r="G3201" s="529">
        <v>21.740000000000002</v>
      </c>
      <c r="H3201" s="487">
        <f t="shared" si="1220"/>
        <v>17.39</v>
      </c>
      <c r="I3201" s="706"/>
      <c r="J3201" s="669" t="s">
        <v>5805</v>
      </c>
      <c r="K3201" s="23"/>
      <c r="L3201" s="70" t="str">
        <f t="shared" si="1221"/>
        <v/>
      </c>
      <c r="M3201" s="49">
        <f t="shared" si="1222"/>
        <v>21.740000000000002</v>
      </c>
      <c r="N3201" s="41">
        <f t="shared" si="1223"/>
        <v>9</v>
      </c>
      <c r="O3201" s="43" t="s">
        <v>1017</v>
      </c>
      <c r="P3201" s="65"/>
      <c r="Q3201" s="65"/>
      <c r="R3201" s="58" t="s">
        <v>1017</v>
      </c>
      <c r="T3201" s="65"/>
      <c r="U3201" s="65"/>
      <c r="V3201" s="12" t="s">
        <v>1017</v>
      </c>
      <c r="W3201" s="65"/>
      <c r="Z3201" s="65"/>
      <c r="AA3201" s="53"/>
      <c r="AD3201" s="53" t="s">
        <v>1017</v>
      </c>
    </row>
    <row r="3202" spans="1:30" s="12" customFormat="1" x14ac:dyDescent="0.25">
      <c r="A3202" s="610" t="str">
        <f t="shared" si="1217"/>
        <v>BiK271t3L---11</v>
      </c>
      <c r="B3202" s="17" t="s">
        <v>5548</v>
      </c>
      <c r="C3202" s="30" t="str">
        <f t="shared" si="1218"/>
        <v>Inbetriebnahme 2011</v>
      </c>
      <c r="D3202" s="17" t="s">
        <v>789</v>
      </c>
      <c r="E3202" s="17" t="s">
        <v>4810</v>
      </c>
      <c r="F3202" s="454">
        <f t="shared" si="1219"/>
        <v>19.78</v>
      </c>
      <c r="G3202" s="529">
        <v>19.78</v>
      </c>
      <c r="H3202" s="487">
        <f t="shared" si="1220"/>
        <v>15.82</v>
      </c>
      <c r="I3202" s="706"/>
      <c r="J3202" s="669" t="s">
        <v>5805</v>
      </c>
      <c r="K3202" s="23"/>
      <c r="L3202" s="70" t="str">
        <f t="shared" si="1221"/>
        <v/>
      </c>
      <c r="M3202" s="49">
        <f t="shared" si="1222"/>
        <v>19.78</v>
      </c>
      <c r="N3202" s="41">
        <f t="shared" si="1223"/>
        <v>9</v>
      </c>
      <c r="O3202" s="61"/>
      <c r="P3202" s="65"/>
      <c r="Q3202" s="65"/>
      <c r="R3202" s="58"/>
      <c r="T3202" s="65"/>
      <c r="U3202" s="65"/>
      <c r="W3202" s="65"/>
      <c r="Y3202" s="12" t="s">
        <v>1017</v>
      </c>
      <c r="Z3202" s="65"/>
      <c r="AA3202" s="53"/>
      <c r="AD3202" s="53" t="s">
        <v>1017</v>
      </c>
    </row>
    <row r="3203" spans="1:30" s="12" customFormat="1" x14ac:dyDescent="0.25">
      <c r="A3203" s="610" t="str">
        <f t="shared" si="1217"/>
        <v>BiK271t3LK--11</v>
      </c>
      <c r="B3203" s="17" t="s">
        <v>5548</v>
      </c>
      <c r="C3203" s="30" t="str">
        <f t="shared" si="1218"/>
        <v>Inbetriebnahme 2011</v>
      </c>
      <c r="D3203" s="17" t="s">
        <v>847</v>
      </c>
      <c r="E3203" s="17" t="s">
        <v>4812</v>
      </c>
      <c r="F3203" s="454">
        <f t="shared" si="1219"/>
        <v>22.72</v>
      </c>
      <c r="G3203" s="529">
        <v>22.72</v>
      </c>
      <c r="H3203" s="487">
        <f t="shared" si="1220"/>
        <v>18.18</v>
      </c>
      <c r="I3203" s="706"/>
      <c r="J3203" s="669" t="s">
        <v>5805</v>
      </c>
      <c r="K3203" s="23"/>
      <c r="L3203" s="70" t="str">
        <f t="shared" si="1221"/>
        <v/>
      </c>
      <c r="M3203" s="49">
        <f t="shared" si="1222"/>
        <v>22.72</v>
      </c>
      <c r="N3203" s="41">
        <f t="shared" si="1223"/>
        <v>9</v>
      </c>
      <c r="O3203" s="43" t="s">
        <v>1017</v>
      </c>
      <c r="P3203" s="65"/>
      <c r="Q3203" s="65"/>
      <c r="R3203" s="58"/>
      <c r="T3203" s="65"/>
      <c r="U3203" s="65"/>
      <c r="W3203" s="65"/>
      <c r="Y3203" s="12" t="s">
        <v>1017</v>
      </c>
      <c r="Z3203" s="65"/>
      <c r="AA3203" s="53"/>
      <c r="AD3203" s="53" t="s">
        <v>1017</v>
      </c>
    </row>
    <row r="3204" spans="1:30" s="12" customFormat="1" x14ac:dyDescent="0.25">
      <c r="A3204" s="610" t="str">
        <f t="shared" si="1217"/>
        <v>BiK271t3Li--11</v>
      </c>
      <c r="B3204" s="17" t="s">
        <v>5548</v>
      </c>
      <c r="C3204" s="30" t="str">
        <f t="shared" si="1218"/>
        <v>Inbetriebnahme 2011</v>
      </c>
      <c r="D3204" s="17" t="s">
        <v>790</v>
      </c>
      <c r="E3204" s="17" t="s">
        <v>4810</v>
      </c>
      <c r="F3204" s="454">
        <f t="shared" si="1219"/>
        <v>20.76</v>
      </c>
      <c r="G3204" s="529">
        <v>20.76</v>
      </c>
      <c r="H3204" s="487">
        <f t="shared" si="1220"/>
        <v>16.61</v>
      </c>
      <c r="I3204" s="706"/>
      <c r="J3204" s="669" t="s">
        <v>5805</v>
      </c>
      <c r="K3204" s="23"/>
      <c r="L3204" s="70" t="str">
        <f t="shared" si="1221"/>
        <v/>
      </c>
      <c r="M3204" s="49">
        <f t="shared" si="1222"/>
        <v>20.76</v>
      </c>
      <c r="N3204" s="41">
        <f t="shared" si="1223"/>
        <v>9</v>
      </c>
      <c r="O3204" s="61"/>
      <c r="P3204" s="65"/>
      <c r="Q3204" s="65"/>
      <c r="R3204" s="58" t="s">
        <v>1017</v>
      </c>
      <c r="T3204" s="65"/>
      <c r="U3204" s="65"/>
      <c r="W3204" s="65"/>
      <c r="Y3204" s="12" t="s">
        <v>1017</v>
      </c>
      <c r="Z3204" s="65"/>
      <c r="AA3204" s="53"/>
      <c r="AD3204" s="53" t="s">
        <v>1017</v>
      </c>
    </row>
    <row r="3205" spans="1:30" s="12" customFormat="1" x14ac:dyDescent="0.25">
      <c r="A3205" s="610" t="str">
        <f t="shared" si="1217"/>
        <v>BiK271t3LiK-11</v>
      </c>
      <c r="B3205" s="17" t="s">
        <v>5548</v>
      </c>
      <c r="C3205" s="30" t="str">
        <f t="shared" si="1218"/>
        <v>Inbetriebnahme 2011</v>
      </c>
      <c r="D3205" s="17" t="s">
        <v>4383</v>
      </c>
      <c r="E3205" s="17" t="s">
        <v>4812</v>
      </c>
      <c r="F3205" s="454">
        <f t="shared" si="1219"/>
        <v>23.7</v>
      </c>
      <c r="G3205" s="529">
        <v>23.7</v>
      </c>
      <c r="H3205" s="487">
        <f t="shared" si="1220"/>
        <v>18.96</v>
      </c>
      <c r="I3205" s="706"/>
      <c r="J3205" s="669" t="s">
        <v>5805</v>
      </c>
      <c r="K3205" s="23"/>
      <c r="L3205" s="70" t="str">
        <f t="shared" si="1221"/>
        <v/>
      </c>
      <c r="M3205" s="49">
        <f t="shared" si="1222"/>
        <v>23.7</v>
      </c>
      <c r="N3205" s="41">
        <f t="shared" si="1223"/>
        <v>9</v>
      </c>
      <c r="O3205" s="43" t="s">
        <v>1017</v>
      </c>
      <c r="P3205" s="65"/>
      <c r="Q3205" s="65"/>
      <c r="R3205" s="58" t="s">
        <v>1017</v>
      </c>
      <c r="T3205" s="65"/>
      <c r="U3205" s="65"/>
      <c r="W3205" s="65"/>
      <c r="Y3205" s="12" t="s">
        <v>1017</v>
      </c>
      <c r="Z3205" s="65"/>
      <c r="AA3205" s="53"/>
      <c r="AD3205" s="53" t="s">
        <v>1017</v>
      </c>
    </row>
    <row r="3206" spans="1:30" s="12" customFormat="1" x14ac:dyDescent="0.25">
      <c r="A3206" s="610" t="str">
        <f t="shared" si="1217"/>
        <v>BiK271t3M2--11</v>
      </c>
      <c r="B3206" s="17" t="s">
        <v>5548</v>
      </c>
      <c r="C3206" s="30" t="str">
        <f t="shared" si="1218"/>
        <v>Inbetriebnahme 2011</v>
      </c>
      <c r="D3206" s="17" t="s">
        <v>4394</v>
      </c>
      <c r="E3206" s="17" t="s">
        <v>4810</v>
      </c>
      <c r="F3206" s="454">
        <f t="shared" si="1219"/>
        <v>18.8</v>
      </c>
      <c r="G3206" s="529">
        <v>18.8</v>
      </c>
      <c r="H3206" s="487">
        <f t="shared" si="1220"/>
        <v>15.04</v>
      </c>
      <c r="I3206" s="706"/>
      <c r="J3206" s="669" t="s">
        <v>5805</v>
      </c>
      <c r="K3206" s="23"/>
      <c r="L3206" s="70" t="str">
        <f t="shared" si="1221"/>
        <v/>
      </c>
      <c r="M3206" s="49">
        <f t="shared" si="1222"/>
        <v>18.8</v>
      </c>
      <c r="N3206" s="41">
        <f t="shared" si="1223"/>
        <v>9</v>
      </c>
      <c r="O3206" s="61"/>
      <c r="P3206" s="65"/>
      <c r="Q3206" s="65"/>
      <c r="R3206" s="58"/>
      <c r="T3206" s="65"/>
      <c r="U3206" s="65"/>
      <c r="W3206" s="65"/>
      <c r="X3206" s="12" t="s">
        <v>1017</v>
      </c>
      <c r="Z3206" s="65"/>
      <c r="AA3206" s="53"/>
      <c r="AD3206" s="53" t="s">
        <v>1017</v>
      </c>
    </row>
    <row r="3207" spans="1:30" s="12" customFormat="1" x14ac:dyDescent="0.25">
      <c r="A3207" s="610" t="str">
        <f t="shared" si="1217"/>
        <v>BiK271t3M2K-11</v>
      </c>
      <c r="B3207" s="17" t="s">
        <v>5548</v>
      </c>
      <c r="C3207" s="30" t="str">
        <f t="shared" si="1218"/>
        <v>Inbetriebnahme 2011</v>
      </c>
      <c r="D3207" s="17" t="s">
        <v>5572</v>
      </c>
      <c r="E3207" s="17" t="s">
        <v>4812</v>
      </c>
      <c r="F3207" s="454">
        <f t="shared" si="1219"/>
        <v>21.74</v>
      </c>
      <c r="G3207" s="529">
        <v>21.74</v>
      </c>
      <c r="H3207" s="487">
        <f t="shared" si="1220"/>
        <v>17.39</v>
      </c>
      <c r="I3207" s="706"/>
      <c r="J3207" s="669" t="s">
        <v>5805</v>
      </c>
      <c r="K3207" s="23"/>
      <c r="L3207" s="70" t="str">
        <f t="shared" si="1221"/>
        <v/>
      </c>
      <c r="M3207" s="49">
        <f t="shared" si="1222"/>
        <v>21.74</v>
      </c>
      <c r="N3207" s="41">
        <f t="shared" si="1223"/>
        <v>9</v>
      </c>
      <c r="O3207" s="43" t="s">
        <v>1017</v>
      </c>
      <c r="P3207" s="65"/>
      <c r="Q3207" s="65"/>
      <c r="R3207" s="58"/>
      <c r="T3207" s="65"/>
      <c r="U3207" s="65"/>
      <c r="W3207" s="65"/>
      <c r="X3207" s="12" t="s">
        <v>1017</v>
      </c>
      <c r="Z3207" s="65"/>
      <c r="AA3207" s="53"/>
      <c r="AD3207" s="53" t="s">
        <v>1017</v>
      </c>
    </row>
    <row r="3208" spans="1:30" s="12" customFormat="1" x14ac:dyDescent="0.25">
      <c r="A3208" s="610" t="str">
        <f t="shared" si="1217"/>
        <v>BiK271t3M2i-11</v>
      </c>
      <c r="B3208" s="17" t="s">
        <v>5548</v>
      </c>
      <c r="C3208" s="30" t="str">
        <f t="shared" si="1218"/>
        <v>Inbetriebnahme 2011</v>
      </c>
      <c r="D3208" s="17" t="s">
        <v>4782</v>
      </c>
      <c r="E3208" s="17" t="s">
        <v>4810</v>
      </c>
      <c r="F3208" s="454">
        <f t="shared" si="1219"/>
        <v>19.78</v>
      </c>
      <c r="G3208" s="529">
        <v>19.78</v>
      </c>
      <c r="H3208" s="487">
        <f t="shared" si="1220"/>
        <v>15.82</v>
      </c>
      <c r="I3208" s="706"/>
      <c r="J3208" s="669" t="s">
        <v>5805</v>
      </c>
      <c r="K3208" s="23"/>
      <c r="L3208" s="70" t="str">
        <f t="shared" si="1221"/>
        <v/>
      </c>
      <c r="M3208" s="49">
        <f t="shared" si="1222"/>
        <v>19.78</v>
      </c>
      <c r="N3208" s="41">
        <f t="shared" si="1223"/>
        <v>9</v>
      </c>
      <c r="O3208" s="61"/>
      <c r="P3208" s="65"/>
      <c r="Q3208" s="65"/>
      <c r="R3208" s="58" t="s">
        <v>1017</v>
      </c>
      <c r="T3208" s="65"/>
      <c r="U3208" s="65"/>
      <c r="W3208" s="65"/>
      <c r="X3208" s="12" t="s">
        <v>1017</v>
      </c>
      <c r="Z3208" s="65"/>
      <c r="AA3208" s="53"/>
      <c r="AD3208" s="53" t="s">
        <v>1017</v>
      </c>
    </row>
    <row r="3209" spans="1:30" s="12" customFormat="1" x14ac:dyDescent="0.25">
      <c r="A3209" s="610" t="str">
        <f t="shared" si="1217"/>
        <v>BiK271t3M2iK11</v>
      </c>
      <c r="B3209" s="17" t="s">
        <v>5548</v>
      </c>
      <c r="C3209" s="30" t="str">
        <f t="shared" si="1218"/>
        <v>Inbetriebnahme 2011</v>
      </c>
      <c r="D3209" s="17" t="s">
        <v>5573</v>
      </c>
      <c r="E3209" s="17" t="s">
        <v>4812</v>
      </c>
      <c r="F3209" s="454">
        <f t="shared" si="1219"/>
        <v>22.72</v>
      </c>
      <c r="G3209" s="529">
        <v>22.72</v>
      </c>
      <c r="H3209" s="487">
        <f t="shared" si="1220"/>
        <v>18.18</v>
      </c>
      <c r="I3209" s="706"/>
      <c r="J3209" s="669" t="s">
        <v>5805</v>
      </c>
      <c r="K3209" s="23"/>
      <c r="L3209" s="70" t="str">
        <f t="shared" si="1221"/>
        <v/>
      </c>
      <c r="M3209" s="49">
        <f t="shared" si="1222"/>
        <v>22.72</v>
      </c>
      <c r="N3209" s="41">
        <f t="shared" si="1223"/>
        <v>9</v>
      </c>
      <c r="O3209" s="43" t="s">
        <v>1017</v>
      </c>
      <c r="P3209" s="65"/>
      <c r="Q3209" s="65"/>
      <c r="R3209" s="58" t="s">
        <v>1017</v>
      </c>
      <c r="T3209" s="65"/>
      <c r="U3209" s="65"/>
      <c r="W3209" s="65"/>
      <c r="X3209" s="12" t="s">
        <v>1017</v>
      </c>
      <c r="Z3209" s="65"/>
      <c r="AA3209" s="53"/>
      <c r="AD3209" s="53" t="s">
        <v>1017</v>
      </c>
    </row>
    <row r="3210" spans="1:30" s="12" customFormat="1" x14ac:dyDescent="0.25">
      <c r="A3210" s="610" t="str">
        <f t="shared" si="1217"/>
        <v>BiK271t3X2--11</v>
      </c>
      <c r="B3210" s="17" t="s">
        <v>5548</v>
      </c>
      <c r="C3210" s="30" t="str">
        <f t="shared" si="1218"/>
        <v>Inbetriebnahme 2011</v>
      </c>
      <c r="D3210" s="17" t="s">
        <v>2124</v>
      </c>
      <c r="E3210" s="17" t="s">
        <v>4810</v>
      </c>
      <c r="F3210" s="454">
        <f t="shared" si="1219"/>
        <v>20.76</v>
      </c>
      <c r="G3210" s="529">
        <v>20.76</v>
      </c>
      <c r="H3210" s="487">
        <f t="shared" si="1220"/>
        <v>16.61</v>
      </c>
      <c r="I3210" s="706"/>
      <c r="J3210" s="669" t="s">
        <v>5805</v>
      </c>
      <c r="K3210" s="23"/>
      <c r="L3210" s="70" t="str">
        <f t="shared" si="1221"/>
        <v/>
      </c>
      <c r="M3210" s="49">
        <f t="shared" si="1222"/>
        <v>20.76</v>
      </c>
      <c r="N3210" s="41">
        <f t="shared" si="1223"/>
        <v>9</v>
      </c>
      <c r="O3210" s="61"/>
      <c r="P3210" s="65"/>
      <c r="Q3210" s="65"/>
      <c r="R3210" s="58"/>
      <c r="T3210" s="65"/>
      <c r="U3210" s="65"/>
      <c r="W3210" s="65"/>
      <c r="Z3210" s="65"/>
      <c r="AA3210" s="53" t="s">
        <v>1017</v>
      </c>
      <c r="AD3210" s="53" t="s">
        <v>1017</v>
      </c>
    </row>
    <row r="3211" spans="1:30" s="12" customFormat="1" x14ac:dyDescent="0.25">
      <c r="A3211" s="610" t="str">
        <f t="shared" si="1217"/>
        <v>BiK271t3X2K-11</v>
      </c>
      <c r="B3211" s="17" t="s">
        <v>5548</v>
      </c>
      <c r="C3211" s="30" t="str">
        <f t="shared" si="1218"/>
        <v>Inbetriebnahme 2011</v>
      </c>
      <c r="D3211" s="17" t="s">
        <v>2722</v>
      </c>
      <c r="E3211" s="17" t="s">
        <v>4812</v>
      </c>
      <c r="F3211" s="454">
        <f t="shared" si="1219"/>
        <v>23.7</v>
      </c>
      <c r="G3211" s="529">
        <v>23.7</v>
      </c>
      <c r="H3211" s="487">
        <f t="shared" si="1220"/>
        <v>18.96</v>
      </c>
      <c r="I3211" s="706"/>
      <c r="J3211" s="669" t="s">
        <v>5805</v>
      </c>
      <c r="K3211" s="23"/>
      <c r="L3211" s="70" t="str">
        <f t="shared" si="1221"/>
        <v/>
      </c>
      <c r="M3211" s="49">
        <f t="shared" si="1222"/>
        <v>23.7</v>
      </c>
      <c r="N3211" s="41">
        <f t="shared" si="1223"/>
        <v>9</v>
      </c>
      <c r="O3211" s="43" t="s">
        <v>1017</v>
      </c>
      <c r="P3211" s="65"/>
      <c r="Q3211" s="65"/>
      <c r="R3211" s="58"/>
      <c r="T3211" s="65"/>
      <c r="U3211" s="65"/>
      <c r="W3211" s="65"/>
      <c r="Z3211" s="65"/>
      <c r="AA3211" s="53" t="s">
        <v>1017</v>
      </c>
      <c r="AD3211" s="53" t="s">
        <v>1017</v>
      </c>
    </row>
    <row r="3212" spans="1:30" s="12" customFormat="1" x14ac:dyDescent="0.25">
      <c r="A3212" s="610" t="str">
        <f t="shared" si="1217"/>
        <v>BiK271t3X2i-11</v>
      </c>
      <c r="B3212" s="17" t="s">
        <v>5548</v>
      </c>
      <c r="C3212" s="30" t="str">
        <f t="shared" si="1218"/>
        <v>Inbetriebnahme 2011</v>
      </c>
      <c r="D3212" s="17" t="s">
        <v>3193</v>
      </c>
      <c r="E3212" s="17" t="s">
        <v>4810</v>
      </c>
      <c r="F3212" s="454">
        <f t="shared" si="1219"/>
        <v>21.740000000000002</v>
      </c>
      <c r="G3212" s="529">
        <v>21.740000000000002</v>
      </c>
      <c r="H3212" s="487">
        <f t="shared" si="1220"/>
        <v>17.39</v>
      </c>
      <c r="I3212" s="706"/>
      <c r="J3212" s="669" t="s">
        <v>5805</v>
      </c>
      <c r="K3212" s="23"/>
      <c r="L3212" s="70" t="str">
        <f t="shared" si="1221"/>
        <v/>
      </c>
      <c r="M3212" s="49">
        <f t="shared" si="1222"/>
        <v>21.740000000000002</v>
      </c>
      <c r="N3212" s="41">
        <f t="shared" si="1223"/>
        <v>9</v>
      </c>
      <c r="O3212" s="61"/>
      <c r="P3212" s="65"/>
      <c r="Q3212" s="65"/>
      <c r="R3212" s="58" t="s">
        <v>1017</v>
      </c>
      <c r="T3212" s="65"/>
      <c r="U3212" s="65"/>
      <c r="W3212" s="65"/>
      <c r="Z3212" s="65"/>
      <c r="AA3212" s="53" t="s">
        <v>1017</v>
      </c>
      <c r="AD3212" s="53" t="s">
        <v>1017</v>
      </c>
    </row>
    <row r="3213" spans="1:30" s="12" customFormat="1" x14ac:dyDescent="0.25">
      <c r="A3213" s="610" t="str">
        <f t="shared" si="1217"/>
        <v>BiK271t3X2iK11</v>
      </c>
      <c r="B3213" s="17" t="s">
        <v>5548</v>
      </c>
      <c r="C3213" s="30" t="str">
        <f t="shared" si="1218"/>
        <v>Inbetriebnahme 2011</v>
      </c>
      <c r="D3213" s="17" t="s">
        <v>4384</v>
      </c>
      <c r="E3213" s="17" t="s">
        <v>4812</v>
      </c>
      <c r="F3213" s="454">
        <f t="shared" si="1219"/>
        <v>24.68</v>
      </c>
      <c r="G3213" s="529">
        <v>24.68</v>
      </c>
      <c r="H3213" s="487">
        <f t="shared" si="1220"/>
        <v>19.739999999999998</v>
      </c>
      <c r="I3213" s="706"/>
      <c r="J3213" s="669" t="s">
        <v>5805</v>
      </c>
      <c r="K3213" s="23"/>
      <c r="L3213" s="70" t="str">
        <f t="shared" si="1221"/>
        <v/>
      </c>
      <c r="M3213" s="49">
        <f t="shared" si="1222"/>
        <v>24.68</v>
      </c>
      <c r="N3213" s="41">
        <f t="shared" si="1223"/>
        <v>9</v>
      </c>
      <c r="O3213" s="43" t="s">
        <v>1017</v>
      </c>
      <c r="P3213" s="65"/>
      <c r="Q3213" s="65"/>
      <c r="R3213" s="58" t="s">
        <v>1017</v>
      </c>
      <c r="T3213" s="65"/>
      <c r="U3213" s="65"/>
      <c r="W3213" s="65"/>
      <c r="Z3213" s="65"/>
      <c r="AA3213" s="53" t="s">
        <v>1017</v>
      </c>
      <c r="AD3213" s="53" t="s">
        <v>1017</v>
      </c>
    </row>
    <row r="3214" spans="1:30" s="12" customFormat="1" x14ac:dyDescent="0.25">
      <c r="A3214" s="610" t="str">
        <f t="shared" ref="A3214:A3238" si="1224">LEFT(A2991,12)&amp;($M$3018-2000)</f>
        <v>BiK272------11</v>
      </c>
      <c r="B3214" s="17" t="s">
        <v>5548</v>
      </c>
      <c r="C3214" s="30" t="str">
        <f t="shared" ref="C3214:C3238" si="1225">"Inbetriebnahme "&amp;$M$3018</f>
        <v>Inbetriebnahme 2011</v>
      </c>
      <c r="D3214" s="17" t="s">
        <v>5408</v>
      </c>
      <c r="E3214" s="17" t="s">
        <v>4810</v>
      </c>
      <c r="F3214" s="454">
        <f t="shared" ref="F3214:F3238" si="1226">M3214</f>
        <v>8.09</v>
      </c>
      <c r="G3214" s="529">
        <v>8.09</v>
      </c>
      <c r="H3214" s="487">
        <f t="shared" ref="H3214:H3238" si="1227">IF(ISNUMBER(G3214),ROUND(0.8*G3214,2),"")</f>
        <v>6.47</v>
      </c>
      <c r="I3214" s="706"/>
      <c r="J3214" s="669" t="s">
        <v>5805</v>
      </c>
      <c r="K3214" s="23"/>
      <c r="L3214" s="70" t="str">
        <f t="shared" ref="L3214:L3238" si="1228">IF(F3214=M3214,"",FALSE)</f>
        <v/>
      </c>
      <c r="M3214" s="49">
        <f t="shared" ref="M3214:M3238" si="1229">N3214+SUMIF(O3214:AD3214,"x",$O$3021:$AD$3021)</f>
        <v>8.09</v>
      </c>
      <c r="N3214" s="41">
        <f t="shared" ref="N3214:N3238" si="1230">ROUND(N2768*(1-$AE$3020)^($M$3018-2009),2)</f>
        <v>8.09</v>
      </c>
      <c r="O3214" s="61"/>
      <c r="P3214" s="65"/>
      <c r="Q3214" s="65"/>
      <c r="R3214" s="75"/>
      <c r="S3214" s="65"/>
      <c r="V3214" s="65"/>
      <c r="W3214" s="65"/>
      <c r="X3214" s="65"/>
      <c r="Y3214" s="65"/>
      <c r="Z3214" s="65"/>
      <c r="AA3214" s="67"/>
      <c r="AD3214" s="53"/>
    </row>
    <row r="3215" spans="1:30" s="12" customFormat="1" x14ac:dyDescent="0.25">
      <c r="A3215" s="610" t="str">
        <f t="shared" si="1224"/>
        <v>BiK272K-----11</v>
      </c>
      <c r="B3215" s="17" t="s">
        <v>5548</v>
      </c>
      <c r="C3215" s="30" t="str">
        <f t="shared" si="1225"/>
        <v>Inbetriebnahme 2011</v>
      </c>
      <c r="D3215" s="17" t="s">
        <v>2904</v>
      </c>
      <c r="E3215" s="17" t="s">
        <v>4812</v>
      </c>
      <c r="F3215" s="454">
        <f t="shared" si="1226"/>
        <v>11.03</v>
      </c>
      <c r="G3215" s="529">
        <v>11.03</v>
      </c>
      <c r="H3215" s="487">
        <f t="shared" si="1227"/>
        <v>8.82</v>
      </c>
      <c r="I3215" s="706"/>
      <c r="J3215" s="669" t="s">
        <v>5805</v>
      </c>
      <c r="K3215" s="23"/>
      <c r="L3215" s="70" t="str">
        <f t="shared" si="1228"/>
        <v/>
      </c>
      <c r="M3215" s="49">
        <f t="shared" si="1229"/>
        <v>11.03</v>
      </c>
      <c r="N3215" s="41">
        <f t="shared" si="1230"/>
        <v>8.09</v>
      </c>
      <c r="O3215" s="43" t="s">
        <v>1017</v>
      </c>
      <c r="P3215" s="65"/>
      <c r="Q3215" s="65"/>
      <c r="R3215" s="75"/>
      <c r="S3215" s="65"/>
      <c r="V3215" s="65"/>
      <c r="W3215" s="65"/>
      <c r="X3215" s="65"/>
      <c r="Y3215" s="65"/>
      <c r="Z3215" s="65"/>
      <c r="AA3215" s="67"/>
      <c r="AD3215" s="53"/>
    </row>
    <row r="3216" spans="1:30" s="12" customFormat="1" x14ac:dyDescent="0.25">
      <c r="A3216" s="610" t="str">
        <f t="shared" si="1224"/>
        <v>BiK272a2----11</v>
      </c>
      <c r="B3216" s="17" t="s">
        <v>5548</v>
      </c>
      <c r="C3216" s="30" t="str">
        <f t="shared" si="1225"/>
        <v>Inbetriebnahme 2011</v>
      </c>
      <c r="D3216" s="17" t="s">
        <v>598</v>
      </c>
      <c r="E3216" s="17" t="s">
        <v>4810</v>
      </c>
      <c r="F3216" s="454">
        <f t="shared" si="1226"/>
        <v>12.01</v>
      </c>
      <c r="G3216" s="529">
        <v>12.01</v>
      </c>
      <c r="H3216" s="487">
        <f t="shared" si="1227"/>
        <v>9.61</v>
      </c>
      <c r="I3216" s="706"/>
      <c r="J3216" s="669" t="s">
        <v>5805</v>
      </c>
      <c r="K3216" s="23"/>
      <c r="L3216" s="70" t="str">
        <f t="shared" si="1228"/>
        <v/>
      </c>
      <c r="M3216" s="49">
        <f t="shared" si="1229"/>
        <v>12.01</v>
      </c>
      <c r="N3216" s="41">
        <f t="shared" si="1230"/>
        <v>8.09</v>
      </c>
      <c r="O3216" s="61"/>
      <c r="P3216" s="65"/>
      <c r="Q3216" s="65"/>
      <c r="R3216" s="75"/>
      <c r="S3216" s="65"/>
      <c r="T3216" s="12" t="s">
        <v>1017</v>
      </c>
      <c r="V3216" s="65"/>
      <c r="W3216" s="65"/>
      <c r="X3216" s="65"/>
      <c r="Y3216" s="65"/>
      <c r="Z3216" s="65"/>
      <c r="AA3216" s="67"/>
      <c r="AD3216" s="53"/>
    </row>
    <row r="3217" spans="1:30" s="12" customFormat="1" x14ac:dyDescent="0.25">
      <c r="A3217" s="610" t="str">
        <f t="shared" si="1224"/>
        <v>BiK272a2K---11</v>
      </c>
      <c r="B3217" s="17" t="s">
        <v>5548</v>
      </c>
      <c r="C3217" s="30" t="str">
        <f t="shared" si="1225"/>
        <v>Inbetriebnahme 2011</v>
      </c>
      <c r="D3217" s="17" t="s">
        <v>3202</v>
      </c>
      <c r="E3217" s="17" t="s">
        <v>4812</v>
      </c>
      <c r="F3217" s="454">
        <f t="shared" si="1226"/>
        <v>14.95</v>
      </c>
      <c r="G3217" s="529">
        <v>14.95</v>
      </c>
      <c r="H3217" s="487">
        <f t="shared" si="1227"/>
        <v>11.96</v>
      </c>
      <c r="I3217" s="706"/>
      <c r="J3217" s="669" t="s">
        <v>5805</v>
      </c>
      <c r="K3217" s="23"/>
      <c r="L3217" s="70" t="str">
        <f t="shared" si="1228"/>
        <v/>
      </c>
      <c r="M3217" s="49">
        <f t="shared" si="1229"/>
        <v>14.95</v>
      </c>
      <c r="N3217" s="41">
        <f t="shared" si="1230"/>
        <v>8.09</v>
      </c>
      <c r="O3217" s="43" t="s">
        <v>1017</v>
      </c>
      <c r="P3217" s="65"/>
      <c r="Q3217" s="65"/>
      <c r="R3217" s="75"/>
      <c r="S3217" s="65"/>
      <c r="T3217" s="12" t="s">
        <v>1017</v>
      </c>
      <c r="V3217" s="65"/>
      <c r="W3217" s="65"/>
      <c r="X3217" s="65"/>
      <c r="Y3217" s="65"/>
      <c r="Z3217" s="65"/>
      <c r="AA3217" s="67"/>
      <c r="AD3217" s="53"/>
    </row>
    <row r="3218" spans="1:30" s="12" customFormat="1" x14ac:dyDescent="0.25">
      <c r="A3218" s="610" t="str">
        <f t="shared" si="1224"/>
        <v>BiK272ah----11</v>
      </c>
      <c r="B3218" s="17" t="s">
        <v>5548</v>
      </c>
      <c r="C3218" s="30" t="str">
        <f t="shared" si="1225"/>
        <v>Inbetriebnahme 2011</v>
      </c>
      <c r="D3218" s="17" t="s">
        <v>599</v>
      </c>
      <c r="E3218" s="17" t="s">
        <v>4810</v>
      </c>
      <c r="F3218" s="454">
        <f t="shared" si="1226"/>
        <v>10.54</v>
      </c>
      <c r="G3218" s="529">
        <v>10.54</v>
      </c>
      <c r="H3218" s="487">
        <f t="shared" si="1227"/>
        <v>8.43</v>
      </c>
      <c r="I3218" s="706"/>
      <c r="J3218" s="669" t="s">
        <v>5805</v>
      </c>
      <c r="K3218" s="23"/>
      <c r="L3218" s="70" t="str">
        <f t="shared" si="1228"/>
        <v/>
      </c>
      <c r="M3218" s="49">
        <f t="shared" si="1229"/>
        <v>10.54</v>
      </c>
      <c r="N3218" s="41">
        <f t="shared" si="1230"/>
        <v>8.09</v>
      </c>
      <c r="O3218" s="61"/>
      <c r="P3218" s="65"/>
      <c r="Q3218" s="65"/>
      <c r="R3218" s="75"/>
      <c r="S3218" s="65"/>
      <c r="U3218" s="12" t="s">
        <v>1017</v>
      </c>
      <c r="V3218" s="65"/>
      <c r="W3218" s="65"/>
      <c r="X3218" s="65"/>
      <c r="Y3218" s="65"/>
      <c r="Z3218" s="65"/>
      <c r="AA3218" s="67"/>
      <c r="AD3218" s="53"/>
    </row>
    <row r="3219" spans="1:30" s="12" customFormat="1" x14ac:dyDescent="0.25">
      <c r="A3219" s="610" t="str">
        <f t="shared" si="1224"/>
        <v>BiK272ahK---11</v>
      </c>
      <c r="B3219" s="17" t="s">
        <v>5548</v>
      </c>
      <c r="C3219" s="30" t="str">
        <f t="shared" si="1225"/>
        <v>Inbetriebnahme 2011</v>
      </c>
      <c r="D3219" s="17" t="s">
        <v>3203</v>
      </c>
      <c r="E3219" s="17" t="s">
        <v>4812</v>
      </c>
      <c r="F3219" s="454">
        <f t="shared" si="1226"/>
        <v>13.48</v>
      </c>
      <c r="G3219" s="529">
        <v>13.48</v>
      </c>
      <c r="H3219" s="487">
        <f t="shared" si="1227"/>
        <v>10.78</v>
      </c>
      <c r="I3219" s="706"/>
      <c r="J3219" s="669" t="s">
        <v>5805</v>
      </c>
      <c r="K3219" s="23"/>
      <c r="L3219" s="70" t="str">
        <f t="shared" si="1228"/>
        <v/>
      </c>
      <c r="M3219" s="49">
        <f t="shared" si="1229"/>
        <v>13.48</v>
      </c>
      <c r="N3219" s="41">
        <f t="shared" si="1230"/>
        <v>8.09</v>
      </c>
      <c r="O3219" s="43" t="s">
        <v>1017</v>
      </c>
      <c r="P3219" s="65"/>
      <c r="Q3219" s="65"/>
      <c r="R3219" s="75"/>
      <c r="S3219" s="65"/>
      <c r="U3219" s="12" t="s">
        <v>1017</v>
      </c>
      <c r="V3219" s="65"/>
      <c r="W3219" s="65"/>
      <c r="X3219" s="65"/>
      <c r="Y3219" s="65"/>
      <c r="Z3219" s="65"/>
      <c r="AA3219" s="67"/>
      <c r="AD3219" s="53"/>
    </row>
    <row r="3220" spans="1:30" s="12" customFormat="1" x14ac:dyDescent="0.25">
      <c r="A3220" s="610" t="str">
        <f t="shared" si="1224"/>
        <v>BiK272t1----11</v>
      </c>
      <c r="B3220" s="17" t="s">
        <v>5548</v>
      </c>
      <c r="C3220" s="30" t="str">
        <f t="shared" si="1225"/>
        <v>Inbetriebnahme 2011</v>
      </c>
      <c r="D3220" s="17" t="s">
        <v>2907</v>
      </c>
      <c r="E3220" s="17" t="s">
        <v>4810</v>
      </c>
      <c r="F3220" s="454">
        <f t="shared" si="1226"/>
        <v>10.050000000000001</v>
      </c>
      <c r="G3220" s="529">
        <v>10.050000000000001</v>
      </c>
      <c r="H3220" s="487">
        <f t="shared" si="1227"/>
        <v>8.0399999999999991</v>
      </c>
      <c r="I3220" s="706"/>
      <c r="J3220" s="669" t="s">
        <v>5805</v>
      </c>
      <c r="K3220" s="23"/>
      <c r="L3220" s="70" t="str">
        <f t="shared" si="1228"/>
        <v/>
      </c>
      <c r="M3220" s="49">
        <f t="shared" si="1229"/>
        <v>10.050000000000001</v>
      </c>
      <c r="N3220" s="41">
        <f t="shared" si="1230"/>
        <v>8.09</v>
      </c>
      <c r="O3220" s="61"/>
      <c r="P3220" s="65"/>
      <c r="Q3220" s="65"/>
      <c r="R3220" s="75"/>
      <c r="S3220" s="65"/>
      <c r="V3220" s="65"/>
      <c r="W3220" s="65"/>
      <c r="X3220" s="65"/>
      <c r="Y3220" s="65"/>
      <c r="Z3220" s="65"/>
      <c r="AA3220" s="67"/>
      <c r="AB3220" s="12" t="s">
        <v>1017</v>
      </c>
      <c r="AD3220" s="53"/>
    </row>
    <row r="3221" spans="1:30" s="12" customFormat="1" x14ac:dyDescent="0.25">
      <c r="A3221" s="610" t="str">
        <f t="shared" si="1224"/>
        <v>BiK272t1K---11</v>
      </c>
      <c r="B3221" s="17" t="s">
        <v>5548</v>
      </c>
      <c r="C3221" s="30" t="str">
        <f t="shared" si="1225"/>
        <v>Inbetriebnahme 2011</v>
      </c>
      <c r="D3221" s="17" t="s">
        <v>3196</v>
      </c>
      <c r="E3221" s="17" t="s">
        <v>4812</v>
      </c>
      <c r="F3221" s="454">
        <f t="shared" si="1226"/>
        <v>12.99</v>
      </c>
      <c r="G3221" s="529">
        <v>12.99</v>
      </c>
      <c r="H3221" s="487">
        <f t="shared" si="1227"/>
        <v>10.39</v>
      </c>
      <c r="I3221" s="706"/>
      <c r="J3221" s="669" t="s">
        <v>5805</v>
      </c>
      <c r="K3221" s="23"/>
      <c r="L3221" s="70" t="str">
        <f t="shared" si="1228"/>
        <v/>
      </c>
      <c r="M3221" s="49">
        <f t="shared" si="1229"/>
        <v>12.99</v>
      </c>
      <c r="N3221" s="41">
        <f t="shared" si="1230"/>
        <v>8.09</v>
      </c>
      <c r="O3221" s="43" t="s">
        <v>1017</v>
      </c>
      <c r="P3221" s="65"/>
      <c r="Q3221" s="65"/>
      <c r="R3221" s="75"/>
      <c r="S3221" s="65"/>
      <c r="V3221" s="65"/>
      <c r="W3221" s="65"/>
      <c r="X3221" s="65"/>
      <c r="Y3221" s="65"/>
      <c r="Z3221" s="65"/>
      <c r="AA3221" s="67"/>
      <c r="AB3221" s="12" t="s">
        <v>1017</v>
      </c>
      <c r="AD3221" s="53"/>
    </row>
    <row r="3222" spans="1:30" s="12" customFormat="1" x14ac:dyDescent="0.25">
      <c r="A3222" s="610" t="str">
        <f t="shared" si="1224"/>
        <v>BiK272t1a2--11</v>
      </c>
      <c r="B3222" s="17" t="s">
        <v>5548</v>
      </c>
      <c r="C3222" s="30" t="str">
        <f t="shared" si="1225"/>
        <v>Inbetriebnahme 2011</v>
      </c>
      <c r="D3222" s="17" t="s">
        <v>3290</v>
      </c>
      <c r="E3222" s="17" t="s">
        <v>4810</v>
      </c>
      <c r="F3222" s="454">
        <f t="shared" si="1226"/>
        <v>13.969999999999999</v>
      </c>
      <c r="G3222" s="529">
        <v>13.969999999999999</v>
      </c>
      <c r="H3222" s="487">
        <f t="shared" si="1227"/>
        <v>11.18</v>
      </c>
      <c r="I3222" s="706"/>
      <c r="J3222" s="669" t="s">
        <v>5805</v>
      </c>
      <c r="K3222" s="23"/>
      <c r="L3222" s="70" t="str">
        <f t="shared" si="1228"/>
        <v/>
      </c>
      <c r="M3222" s="49">
        <f t="shared" si="1229"/>
        <v>13.969999999999999</v>
      </c>
      <c r="N3222" s="41">
        <f t="shared" si="1230"/>
        <v>8.09</v>
      </c>
      <c r="O3222" s="61"/>
      <c r="P3222" s="65"/>
      <c r="Q3222" s="65"/>
      <c r="R3222" s="75"/>
      <c r="S3222" s="65"/>
      <c r="T3222" s="12" t="s">
        <v>1017</v>
      </c>
      <c r="V3222" s="65"/>
      <c r="W3222" s="65"/>
      <c r="X3222" s="65"/>
      <c r="Y3222" s="65"/>
      <c r="Z3222" s="65"/>
      <c r="AA3222" s="67"/>
      <c r="AB3222" s="12" t="s">
        <v>1017</v>
      </c>
      <c r="AD3222" s="53"/>
    </row>
    <row r="3223" spans="1:30" s="12" customFormat="1" x14ac:dyDescent="0.25">
      <c r="A3223" s="610" t="str">
        <f t="shared" si="1224"/>
        <v>BiK272t1a2K-11</v>
      </c>
      <c r="B3223" s="17" t="s">
        <v>5548</v>
      </c>
      <c r="C3223" s="30" t="str">
        <f t="shared" si="1225"/>
        <v>Inbetriebnahme 2011</v>
      </c>
      <c r="D3223" s="17" t="s">
        <v>5561</v>
      </c>
      <c r="E3223" s="17" t="s">
        <v>4812</v>
      </c>
      <c r="F3223" s="454">
        <f t="shared" si="1226"/>
        <v>16.91</v>
      </c>
      <c r="G3223" s="529">
        <v>16.91</v>
      </c>
      <c r="H3223" s="487">
        <f t="shared" si="1227"/>
        <v>13.53</v>
      </c>
      <c r="I3223" s="706"/>
      <c r="J3223" s="669" t="s">
        <v>5805</v>
      </c>
      <c r="K3223" s="23"/>
      <c r="L3223" s="70" t="str">
        <f t="shared" si="1228"/>
        <v/>
      </c>
      <c r="M3223" s="49">
        <f t="shared" si="1229"/>
        <v>16.91</v>
      </c>
      <c r="N3223" s="41">
        <f t="shared" si="1230"/>
        <v>8.09</v>
      </c>
      <c r="O3223" s="43" t="s">
        <v>1017</v>
      </c>
      <c r="P3223" s="65"/>
      <c r="Q3223" s="65"/>
      <c r="R3223" s="75"/>
      <c r="S3223" s="65"/>
      <c r="T3223" s="12" t="s">
        <v>1017</v>
      </c>
      <c r="V3223" s="65"/>
      <c r="W3223" s="65"/>
      <c r="X3223" s="65"/>
      <c r="Y3223" s="65"/>
      <c r="Z3223" s="65"/>
      <c r="AA3223" s="67"/>
      <c r="AB3223" s="12" t="s">
        <v>1017</v>
      </c>
      <c r="AD3223" s="53"/>
    </row>
    <row r="3224" spans="1:30" s="12" customFormat="1" x14ac:dyDescent="0.25">
      <c r="A3224" s="610" t="str">
        <f t="shared" si="1224"/>
        <v>BiK272t1ah--11</v>
      </c>
      <c r="B3224" s="17" t="s">
        <v>5548</v>
      </c>
      <c r="C3224" s="30" t="str">
        <f t="shared" si="1225"/>
        <v>Inbetriebnahme 2011</v>
      </c>
      <c r="D3224" s="17" t="s">
        <v>2366</v>
      </c>
      <c r="E3224" s="17" t="s">
        <v>4810</v>
      </c>
      <c r="F3224" s="454">
        <f t="shared" si="1226"/>
        <v>12.5</v>
      </c>
      <c r="G3224" s="529">
        <v>12.5</v>
      </c>
      <c r="H3224" s="487">
        <f t="shared" si="1227"/>
        <v>10</v>
      </c>
      <c r="I3224" s="706"/>
      <c r="J3224" s="669" t="s">
        <v>5805</v>
      </c>
      <c r="K3224" s="23"/>
      <c r="L3224" s="70" t="str">
        <f t="shared" si="1228"/>
        <v/>
      </c>
      <c r="M3224" s="49">
        <f t="shared" si="1229"/>
        <v>12.5</v>
      </c>
      <c r="N3224" s="41">
        <f t="shared" si="1230"/>
        <v>8.09</v>
      </c>
      <c r="O3224" s="61"/>
      <c r="P3224" s="65"/>
      <c r="Q3224" s="65"/>
      <c r="R3224" s="75"/>
      <c r="S3224" s="65"/>
      <c r="U3224" s="12" t="s">
        <v>1017</v>
      </c>
      <c r="V3224" s="65"/>
      <c r="W3224" s="65"/>
      <c r="X3224" s="65"/>
      <c r="Y3224" s="65"/>
      <c r="Z3224" s="65"/>
      <c r="AA3224" s="67"/>
      <c r="AB3224" s="12" t="s">
        <v>1017</v>
      </c>
      <c r="AD3224" s="53"/>
    </row>
    <row r="3225" spans="1:30" s="12" customFormat="1" x14ac:dyDescent="0.25">
      <c r="A3225" s="610" t="str">
        <f t="shared" si="1224"/>
        <v>BiK272t1ahK-11</v>
      </c>
      <c r="B3225" s="17" t="s">
        <v>5548</v>
      </c>
      <c r="C3225" s="30" t="str">
        <f t="shared" si="1225"/>
        <v>Inbetriebnahme 2011</v>
      </c>
      <c r="D3225" s="17" t="s">
        <v>5562</v>
      </c>
      <c r="E3225" s="17" t="s">
        <v>4812</v>
      </c>
      <c r="F3225" s="454">
        <f t="shared" si="1226"/>
        <v>15.440000000000001</v>
      </c>
      <c r="G3225" s="529">
        <v>15.440000000000001</v>
      </c>
      <c r="H3225" s="487">
        <f t="shared" si="1227"/>
        <v>12.35</v>
      </c>
      <c r="I3225" s="706"/>
      <c r="J3225" s="669" t="s">
        <v>5805</v>
      </c>
      <c r="K3225" s="23"/>
      <c r="L3225" s="70" t="str">
        <f t="shared" si="1228"/>
        <v/>
      </c>
      <c r="M3225" s="49">
        <f t="shared" si="1229"/>
        <v>15.440000000000001</v>
      </c>
      <c r="N3225" s="41">
        <f t="shared" si="1230"/>
        <v>8.09</v>
      </c>
      <c r="O3225" s="43" t="s">
        <v>1017</v>
      </c>
      <c r="P3225" s="65"/>
      <c r="Q3225" s="65"/>
      <c r="R3225" s="75"/>
      <c r="S3225" s="65"/>
      <c r="U3225" s="12" t="s">
        <v>1017</v>
      </c>
      <c r="V3225" s="65"/>
      <c r="W3225" s="65"/>
      <c r="X3225" s="65"/>
      <c r="Y3225" s="65"/>
      <c r="Z3225" s="65"/>
      <c r="AA3225" s="67"/>
      <c r="AB3225" s="12" t="s">
        <v>1017</v>
      </c>
      <c r="AD3225" s="53"/>
    </row>
    <row r="3226" spans="1:30" s="12" customFormat="1" x14ac:dyDescent="0.25">
      <c r="A3226" s="610" t="str">
        <f t="shared" si="1224"/>
        <v>BiK272t2----11</v>
      </c>
      <c r="B3226" s="17" t="s">
        <v>5548</v>
      </c>
      <c r="C3226" s="30" t="str">
        <f t="shared" si="1225"/>
        <v>Inbetriebnahme 2011</v>
      </c>
      <c r="D3226" s="17" t="s">
        <v>594</v>
      </c>
      <c r="E3226" s="17" t="s">
        <v>4810</v>
      </c>
      <c r="F3226" s="454">
        <f t="shared" si="1226"/>
        <v>9.07</v>
      </c>
      <c r="G3226" s="529">
        <v>9.07</v>
      </c>
      <c r="H3226" s="487">
        <f t="shared" si="1227"/>
        <v>7.26</v>
      </c>
      <c r="I3226" s="706"/>
      <c r="J3226" s="669" t="s">
        <v>5805</v>
      </c>
      <c r="K3226" s="23"/>
      <c r="L3226" s="70" t="str">
        <f t="shared" si="1228"/>
        <v/>
      </c>
      <c r="M3226" s="49">
        <f t="shared" si="1229"/>
        <v>9.07</v>
      </c>
      <c r="N3226" s="41">
        <f t="shared" si="1230"/>
        <v>8.09</v>
      </c>
      <c r="O3226" s="61"/>
      <c r="P3226" s="65"/>
      <c r="Q3226" s="65"/>
      <c r="R3226" s="75"/>
      <c r="S3226" s="65"/>
      <c r="V3226" s="65"/>
      <c r="W3226" s="65"/>
      <c r="X3226" s="65"/>
      <c r="Y3226" s="65"/>
      <c r="Z3226" s="65"/>
      <c r="AA3226" s="67"/>
      <c r="AC3226" s="12" t="s">
        <v>1017</v>
      </c>
      <c r="AD3226" s="53"/>
    </row>
    <row r="3227" spans="1:30" s="12" customFormat="1" x14ac:dyDescent="0.25">
      <c r="A3227" s="610" t="str">
        <f t="shared" si="1224"/>
        <v>BiK272t2K---11</v>
      </c>
      <c r="B3227" s="17" t="s">
        <v>5548</v>
      </c>
      <c r="C3227" s="30" t="str">
        <f t="shared" si="1225"/>
        <v>Inbetriebnahme 2011</v>
      </c>
      <c r="D3227" s="17" t="s">
        <v>3198</v>
      </c>
      <c r="E3227" s="17" t="s">
        <v>4812</v>
      </c>
      <c r="F3227" s="454">
        <f t="shared" si="1226"/>
        <v>12.01</v>
      </c>
      <c r="G3227" s="529">
        <v>12.01</v>
      </c>
      <c r="H3227" s="487">
        <f t="shared" si="1227"/>
        <v>9.61</v>
      </c>
      <c r="I3227" s="706"/>
      <c r="J3227" s="669" t="s">
        <v>5805</v>
      </c>
      <c r="K3227" s="23"/>
      <c r="L3227" s="70" t="str">
        <f t="shared" si="1228"/>
        <v/>
      </c>
      <c r="M3227" s="49">
        <f t="shared" si="1229"/>
        <v>12.01</v>
      </c>
      <c r="N3227" s="41">
        <f t="shared" si="1230"/>
        <v>8.09</v>
      </c>
      <c r="O3227" s="43" t="s">
        <v>1017</v>
      </c>
      <c r="P3227" s="65"/>
      <c r="Q3227" s="65"/>
      <c r="R3227" s="75"/>
      <c r="S3227" s="65"/>
      <c r="V3227" s="65"/>
      <c r="W3227" s="65"/>
      <c r="X3227" s="65"/>
      <c r="Y3227" s="65"/>
      <c r="Z3227" s="65"/>
      <c r="AA3227" s="67"/>
      <c r="AC3227" s="12" t="s">
        <v>1017</v>
      </c>
      <c r="AD3227" s="53"/>
    </row>
    <row r="3228" spans="1:30" s="12" customFormat="1" x14ac:dyDescent="0.25">
      <c r="A3228" s="610" t="str">
        <f t="shared" si="1224"/>
        <v>BiK272t2a2--11</v>
      </c>
      <c r="B3228" s="17" t="s">
        <v>5548</v>
      </c>
      <c r="C3228" s="30" t="str">
        <f t="shared" si="1225"/>
        <v>Inbetriebnahme 2011</v>
      </c>
      <c r="D3228" s="17" t="s">
        <v>3294</v>
      </c>
      <c r="E3228" s="17" t="s">
        <v>4810</v>
      </c>
      <c r="F3228" s="454">
        <f t="shared" si="1226"/>
        <v>12.99</v>
      </c>
      <c r="G3228" s="529">
        <v>12.99</v>
      </c>
      <c r="H3228" s="487">
        <f t="shared" si="1227"/>
        <v>10.39</v>
      </c>
      <c r="I3228" s="706"/>
      <c r="J3228" s="669" t="s">
        <v>5805</v>
      </c>
      <c r="K3228" s="23"/>
      <c r="L3228" s="70" t="str">
        <f t="shared" si="1228"/>
        <v/>
      </c>
      <c r="M3228" s="49">
        <f t="shared" si="1229"/>
        <v>12.99</v>
      </c>
      <c r="N3228" s="41">
        <f t="shared" si="1230"/>
        <v>8.09</v>
      </c>
      <c r="O3228" s="61"/>
      <c r="P3228" s="65"/>
      <c r="Q3228" s="65"/>
      <c r="R3228" s="75"/>
      <c r="S3228" s="65"/>
      <c r="T3228" s="12" t="s">
        <v>1017</v>
      </c>
      <c r="V3228" s="65"/>
      <c r="W3228" s="65"/>
      <c r="X3228" s="65"/>
      <c r="Y3228" s="65"/>
      <c r="Z3228" s="65"/>
      <c r="AA3228" s="67"/>
      <c r="AC3228" s="12" t="s">
        <v>1017</v>
      </c>
      <c r="AD3228" s="53"/>
    </row>
    <row r="3229" spans="1:30" s="12" customFormat="1" x14ac:dyDescent="0.25">
      <c r="A3229" s="610" t="str">
        <f t="shared" si="1224"/>
        <v>BiK272t2a2K-11</v>
      </c>
      <c r="B3229" s="17" t="s">
        <v>5548</v>
      </c>
      <c r="C3229" s="30" t="str">
        <f t="shared" si="1225"/>
        <v>Inbetriebnahme 2011</v>
      </c>
      <c r="D3229" s="17" t="s">
        <v>5570</v>
      </c>
      <c r="E3229" s="17" t="s">
        <v>4812</v>
      </c>
      <c r="F3229" s="454">
        <f t="shared" si="1226"/>
        <v>15.93</v>
      </c>
      <c r="G3229" s="529">
        <v>15.93</v>
      </c>
      <c r="H3229" s="487">
        <f t="shared" si="1227"/>
        <v>12.74</v>
      </c>
      <c r="I3229" s="706"/>
      <c r="J3229" s="669" t="s">
        <v>5805</v>
      </c>
      <c r="K3229" s="23"/>
      <c r="L3229" s="70" t="str">
        <f t="shared" si="1228"/>
        <v/>
      </c>
      <c r="M3229" s="49">
        <f t="shared" si="1229"/>
        <v>15.93</v>
      </c>
      <c r="N3229" s="41">
        <f t="shared" si="1230"/>
        <v>8.09</v>
      </c>
      <c r="O3229" s="43" t="s">
        <v>1017</v>
      </c>
      <c r="P3229" s="65"/>
      <c r="Q3229" s="65"/>
      <c r="R3229" s="75"/>
      <c r="S3229" s="65"/>
      <c r="T3229" s="12" t="s">
        <v>1017</v>
      </c>
      <c r="V3229" s="65"/>
      <c r="W3229" s="65"/>
      <c r="X3229" s="65"/>
      <c r="Y3229" s="65"/>
      <c r="Z3229" s="65"/>
      <c r="AA3229" s="67"/>
      <c r="AC3229" s="12" t="s">
        <v>1017</v>
      </c>
      <c r="AD3229" s="53"/>
    </row>
    <row r="3230" spans="1:30" s="12" customFormat="1" x14ac:dyDescent="0.25">
      <c r="A3230" s="610" t="str">
        <f t="shared" si="1224"/>
        <v>BiK272t2ah--11</v>
      </c>
      <c r="B3230" s="17" t="s">
        <v>5548</v>
      </c>
      <c r="C3230" s="30" t="str">
        <f t="shared" si="1225"/>
        <v>Inbetriebnahme 2011</v>
      </c>
      <c r="D3230" s="17" t="s">
        <v>2367</v>
      </c>
      <c r="E3230" s="17" t="s">
        <v>4810</v>
      </c>
      <c r="F3230" s="454">
        <f t="shared" si="1226"/>
        <v>11.52</v>
      </c>
      <c r="G3230" s="529">
        <v>11.52</v>
      </c>
      <c r="H3230" s="487">
        <f t="shared" si="1227"/>
        <v>9.2200000000000006</v>
      </c>
      <c r="I3230" s="706"/>
      <c r="J3230" s="669" t="s">
        <v>5805</v>
      </c>
      <c r="K3230" s="23"/>
      <c r="L3230" s="70" t="str">
        <f t="shared" si="1228"/>
        <v/>
      </c>
      <c r="M3230" s="49">
        <f t="shared" si="1229"/>
        <v>11.52</v>
      </c>
      <c r="N3230" s="41">
        <f t="shared" si="1230"/>
        <v>8.09</v>
      </c>
      <c r="O3230" s="61"/>
      <c r="P3230" s="65"/>
      <c r="Q3230" s="65"/>
      <c r="R3230" s="75"/>
      <c r="S3230" s="65"/>
      <c r="U3230" s="12" t="s">
        <v>1017</v>
      </c>
      <c r="V3230" s="65"/>
      <c r="W3230" s="65"/>
      <c r="X3230" s="65"/>
      <c r="Y3230" s="65"/>
      <c r="Z3230" s="65"/>
      <c r="AA3230" s="67"/>
      <c r="AC3230" s="12" t="s">
        <v>1017</v>
      </c>
      <c r="AD3230" s="53"/>
    </row>
    <row r="3231" spans="1:30" s="12" customFormat="1" x14ac:dyDescent="0.25">
      <c r="A3231" s="610" t="str">
        <f t="shared" si="1224"/>
        <v>BiK272t2ahK-11</v>
      </c>
      <c r="B3231" s="17" t="s">
        <v>5548</v>
      </c>
      <c r="C3231" s="30" t="str">
        <f t="shared" si="1225"/>
        <v>Inbetriebnahme 2011</v>
      </c>
      <c r="D3231" s="17" t="s">
        <v>2646</v>
      </c>
      <c r="E3231" s="17" t="s">
        <v>4812</v>
      </c>
      <c r="F3231" s="454">
        <f t="shared" si="1226"/>
        <v>14.46</v>
      </c>
      <c r="G3231" s="529">
        <v>14.46</v>
      </c>
      <c r="H3231" s="487">
        <f t="shared" si="1227"/>
        <v>11.57</v>
      </c>
      <c r="I3231" s="706"/>
      <c r="J3231" s="669" t="s">
        <v>5805</v>
      </c>
      <c r="K3231" s="23"/>
      <c r="L3231" s="70" t="str">
        <f t="shared" si="1228"/>
        <v/>
      </c>
      <c r="M3231" s="49">
        <f t="shared" si="1229"/>
        <v>14.46</v>
      </c>
      <c r="N3231" s="41">
        <f t="shared" si="1230"/>
        <v>8.09</v>
      </c>
      <c r="O3231" s="43" t="s">
        <v>1017</v>
      </c>
      <c r="P3231" s="65"/>
      <c r="Q3231" s="65"/>
      <c r="R3231" s="75"/>
      <c r="S3231" s="65"/>
      <c r="U3231" s="12" t="s">
        <v>1017</v>
      </c>
      <c r="V3231" s="65"/>
      <c r="W3231" s="65"/>
      <c r="X3231" s="65"/>
      <c r="Y3231" s="65"/>
      <c r="Z3231" s="65"/>
      <c r="AA3231" s="67"/>
      <c r="AC3231" s="12" t="s">
        <v>1017</v>
      </c>
      <c r="AD3231" s="53"/>
    </row>
    <row r="3232" spans="1:30" s="12" customFormat="1" x14ac:dyDescent="0.25">
      <c r="A3232" s="610" t="str">
        <f t="shared" si="1224"/>
        <v>BiK272t3----11</v>
      </c>
      <c r="B3232" s="17" t="s">
        <v>5548</v>
      </c>
      <c r="C3232" s="30" t="str">
        <f t="shared" si="1225"/>
        <v>Inbetriebnahme 2011</v>
      </c>
      <c r="D3232" s="17" t="s">
        <v>596</v>
      </c>
      <c r="E3232" s="17" t="s">
        <v>4810</v>
      </c>
      <c r="F3232" s="454">
        <f t="shared" si="1226"/>
        <v>10.050000000000001</v>
      </c>
      <c r="G3232" s="529">
        <v>10.050000000000001</v>
      </c>
      <c r="H3232" s="487">
        <f t="shared" si="1227"/>
        <v>8.0399999999999991</v>
      </c>
      <c r="I3232" s="706"/>
      <c r="J3232" s="669" t="s">
        <v>5805</v>
      </c>
      <c r="K3232" s="23"/>
      <c r="L3232" s="70" t="str">
        <f t="shared" si="1228"/>
        <v/>
      </c>
      <c r="M3232" s="49">
        <f t="shared" si="1229"/>
        <v>10.050000000000001</v>
      </c>
      <c r="N3232" s="41">
        <f t="shared" si="1230"/>
        <v>8.09</v>
      </c>
      <c r="O3232" s="61"/>
      <c r="P3232" s="65"/>
      <c r="Q3232" s="65"/>
      <c r="R3232" s="75"/>
      <c r="S3232" s="65"/>
      <c r="V3232" s="65"/>
      <c r="W3232" s="65"/>
      <c r="X3232" s="65"/>
      <c r="Y3232" s="65"/>
      <c r="Z3232" s="65"/>
      <c r="AA3232" s="67"/>
      <c r="AD3232" s="53" t="s">
        <v>1017</v>
      </c>
    </row>
    <row r="3233" spans="1:33" s="12" customFormat="1" x14ac:dyDescent="0.25">
      <c r="A3233" s="610" t="str">
        <f t="shared" si="1224"/>
        <v>BiK272t3K---11</v>
      </c>
      <c r="B3233" s="17" t="s">
        <v>5548</v>
      </c>
      <c r="C3233" s="30" t="str">
        <f t="shared" si="1225"/>
        <v>Inbetriebnahme 2011</v>
      </c>
      <c r="D3233" s="17" t="s">
        <v>3200</v>
      </c>
      <c r="E3233" s="17" t="s">
        <v>4812</v>
      </c>
      <c r="F3233" s="454">
        <f t="shared" si="1226"/>
        <v>12.99</v>
      </c>
      <c r="G3233" s="529">
        <v>12.99</v>
      </c>
      <c r="H3233" s="487">
        <f t="shared" si="1227"/>
        <v>10.39</v>
      </c>
      <c r="I3233" s="706"/>
      <c r="J3233" s="669" t="s">
        <v>5805</v>
      </c>
      <c r="K3233" s="23"/>
      <c r="L3233" s="70" t="str">
        <f t="shared" si="1228"/>
        <v/>
      </c>
      <c r="M3233" s="49">
        <f t="shared" si="1229"/>
        <v>12.99</v>
      </c>
      <c r="N3233" s="41">
        <f t="shared" si="1230"/>
        <v>8.09</v>
      </c>
      <c r="O3233" s="43" t="s">
        <v>1017</v>
      </c>
      <c r="P3233" s="65"/>
      <c r="Q3233" s="65"/>
      <c r="R3233" s="75"/>
      <c r="S3233" s="65"/>
      <c r="V3233" s="65"/>
      <c r="W3233" s="65"/>
      <c r="X3233" s="65"/>
      <c r="Y3233" s="65"/>
      <c r="Z3233" s="65"/>
      <c r="AA3233" s="67"/>
      <c r="AD3233" s="53" t="s">
        <v>1017</v>
      </c>
    </row>
    <row r="3234" spans="1:33" s="12" customFormat="1" x14ac:dyDescent="0.25">
      <c r="A3234" s="610" t="str">
        <f t="shared" si="1224"/>
        <v>BiK272t3a2--11</v>
      </c>
      <c r="B3234" s="17" t="s">
        <v>5548</v>
      </c>
      <c r="C3234" s="30" t="str">
        <f t="shared" si="1225"/>
        <v>Inbetriebnahme 2011</v>
      </c>
      <c r="D3234" s="17" t="s">
        <v>851</v>
      </c>
      <c r="E3234" s="17" t="s">
        <v>4810</v>
      </c>
      <c r="F3234" s="454">
        <f t="shared" si="1226"/>
        <v>13.969999999999999</v>
      </c>
      <c r="G3234" s="529">
        <v>13.969999999999999</v>
      </c>
      <c r="H3234" s="487">
        <f t="shared" si="1227"/>
        <v>11.18</v>
      </c>
      <c r="I3234" s="706"/>
      <c r="J3234" s="669" t="s">
        <v>5805</v>
      </c>
      <c r="K3234" s="23"/>
      <c r="L3234" s="70" t="str">
        <f t="shared" si="1228"/>
        <v/>
      </c>
      <c r="M3234" s="49">
        <f t="shared" si="1229"/>
        <v>13.969999999999999</v>
      </c>
      <c r="N3234" s="41">
        <f t="shared" si="1230"/>
        <v>8.09</v>
      </c>
      <c r="O3234" s="61"/>
      <c r="P3234" s="65"/>
      <c r="Q3234" s="65"/>
      <c r="R3234" s="75"/>
      <c r="S3234" s="65"/>
      <c r="T3234" s="12" t="s">
        <v>1017</v>
      </c>
      <c r="V3234" s="65"/>
      <c r="W3234" s="65"/>
      <c r="X3234" s="65"/>
      <c r="Y3234" s="65"/>
      <c r="Z3234" s="65"/>
      <c r="AA3234" s="67"/>
      <c r="AD3234" s="53" t="s">
        <v>1017</v>
      </c>
    </row>
    <row r="3235" spans="1:33" s="12" customFormat="1" x14ac:dyDescent="0.25">
      <c r="A3235" s="610" t="str">
        <f t="shared" si="1224"/>
        <v>BiK272t3a2K-11</v>
      </c>
      <c r="B3235" s="17" t="s">
        <v>5548</v>
      </c>
      <c r="C3235" s="30" t="str">
        <f t="shared" si="1225"/>
        <v>Inbetriebnahme 2011</v>
      </c>
      <c r="D3235" s="17" t="s">
        <v>2654</v>
      </c>
      <c r="E3235" s="17" t="s">
        <v>4812</v>
      </c>
      <c r="F3235" s="454">
        <f t="shared" si="1226"/>
        <v>16.91</v>
      </c>
      <c r="G3235" s="529">
        <v>16.91</v>
      </c>
      <c r="H3235" s="487">
        <f t="shared" si="1227"/>
        <v>13.53</v>
      </c>
      <c r="I3235" s="706"/>
      <c r="J3235" s="669" t="s">
        <v>5805</v>
      </c>
      <c r="K3235" s="23"/>
      <c r="L3235" s="70" t="str">
        <f t="shared" si="1228"/>
        <v/>
      </c>
      <c r="M3235" s="49">
        <f t="shared" si="1229"/>
        <v>16.91</v>
      </c>
      <c r="N3235" s="41">
        <f t="shared" si="1230"/>
        <v>8.09</v>
      </c>
      <c r="O3235" s="43" t="s">
        <v>1017</v>
      </c>
      <c r="P3235" s="65"/>
      <c r="Q3235" s="65"/>
      <c r="R3235" s="75"/>
      <c r="S3235" s="65"/>
      <c r="T3235" s="12" t="s">
        <v>1017</v>
      </c>
      <c r="V3235" s="65"/>
      <c r="W3235" s="65"/>
      <c r="X3235" s="65"/>
      <c r="Y3235" s="65"/>
      <c r="Z3235" s="65"/>
      <c r="AA3235" s="67"/>
      <c r="AD3235" s="53" t="s">
        <v>1017</v>
      </c>
    </row>
    <row r="3236" spans="1:33" s="12" customFormat="1" x14ac:dyDescent="0.25">
      <c r="A3236" s="610" t="str">
        <f t="shared" si="1224"/>
        <v>BiK272t3ah--11</v>
      </c>
      <c r="B3236" s="17" t="s">
        <v>5548</v>
      </c>
      <c r="C3236" s="30" t="str">
        <f t="shared" si="1225"/>
        <v>Inbetriebnahme 2011</v>
      </c>
      <c r="D3236" s="17" t="s">
        <v>2368</v>
      </c>
      <c r="E3236" s="17" t="s">
        <v>4810</v>
      </c>
      <c r="F3236" s="454">
        <f t="shared" si="1226"/>
        <v>12.5</v>
      </c>
      <c r="G3236" s="529">
        <v>12.5</v>
      </c>
      <c r="H3236" s="487">
        <f t="shared" si="1227"/>
        <v>10</v>
      </c>
      <c r="I3236" s="706"/>
      <c r="J3236" s="669" t="s">
        <v>5805</v>
      </c>
      <c r="K3236" s="23"/>
      <c r="L3236" s="70" t="str">
        <f t="shared" si="1228"/>
        <v/>
      </c>
      <c r="M3236" s="49">
        <f t="shared" si="1229"/>
        <v>12.5</v>
      </c>
      <c r="N3236" s="41">
        <f t="shared" si="1230"/>
        <v>8.09</v>
      </c>
      <c r="O3236" s="61"/>
      <c r="P3236" s="65"/>
      <c r="Q3236" s="65"/>
      <c r="R3236" s="75"/>
      <c r="S3236" s="65"/>
      <c r="U3236" s="12" t="s">
        <v>1017</v>
      </c>
      <c r="V3236" s="65"/>
      <c r="W3236" s="65"/>
      <c r="X3236" s="65"/>
      <c r="Y3236" s="65"/>
      <c r="Z3236" s="65"/>
      <c r="AA3236" s="67"/>
      <c r="AD3236" s="53" t="s">
        <v>1017</v>
      </c>
    </row>
    <row r="3237" spans="1:33" s="12" customFormat="1" x14ac:dyDescent="0.25">
      <c r="A3237" s="610" t="str">
        <f t="shared" si="1224"/>
        <v>BiK272t3ahK-11</v>
      </c>
      <c r="B3237" s="17" t="s">
        <v>5548</v>
      </c>
      <c r="C3237" s="30" t="str">
        <f t="shared" si="1225"/>
        <v>Inbetriebnahme 2011</v>
      </c>
      <c r="D3237" s="17" t="s">
        <v>2655</v>
      </c>
      <c r="E3237" s="17" t="s">
        <v>4812</v>
      </c>
      <c r="F3237" s="454">
        <f t="shared" si="1226"/>
        <v>15.440000000000001</v>
      </c>
      <c r="G3237" s="529">
        <v>15.440000000000001</v>
      </c>
      <c r="H3237" s="487">
        <f t="shared" si="1227"/>
        <v>12.35</v>
      </c>
      <c r="I3237" s="706"/>
      <c r="J3237" s="669" t="s">
        <v>5805</v>
      </c>
      <c r="K3237" s="23"/>
      <c r="L3237" s="70" t="str">
        <f t="shared" si="1228"/>
        <v/>
      </c>
      <c r="M3237" s="49">
        <f t="shared" si="1229"/>
        <v>15.440000000000001</v>
      </c>
      <c r="N3237" s="41">
        <f t="shared" si="1230"/>
        <v>8.09</v>
      </c>
      <c r="O3237" s="43" t="s">
        <v>1017</v>
      </c>
      <c r="P3237" s="65"/>
      <c r="Q3237" s="65"/>
      <c r="R3237" s="75"/>
      <c r="S3237" s="65"/>
      <c r="U3237" s="12" t="s">
        <v>1017</v>
      </c>
      <c r="V3237" s="65"/>
      <c r="W3237" s="65"/>
      <c r="X3237" s="65"/>
      <c r="Y3237" s="65"/>
      <c r="Z3237" s="65"/>
      <c r="AA3237" s="67"/>
      <c r="AD3237" s="53" t="s">
        <v>1017</v>
      </c>
    </row>
    <row r="3238" spans="1:33" s="12" customFormat="1" x14ac:dyDescent="0.25">
      <c r="A3238" s="610" t="str">
        <f t="shared" si="1224"/>
        <v>BiK273K-----11</v>
      </c>
      <c r="B3238" s="17" t="s">
        <v>5548</v>
      </c>
      <c r="C3238" s="30" t="str">
        <f t="shared" si="1225"/>
        <v>Inbetriebnahme 2011</v>
      </c>
      <c r="D3238" s="17" t="s">
        <v>2905</v>
      </c>
      <c r="E3238" s="17" t="s">
        <v>4812</v>
      </c>
      <c r="F3238" s="454">
        <f t="shared" si="1226"/>
        <v>10.57</v>
      </c>
      <c r="G3238" s="529">
        <v>10.57</v>
      </c>
      <c r="H3238" s="487">
        <f t="shared" si="1227"/>
        <v>8.4600000000000009</v>
      </c>
      <c r="I3238" s="706"/>
      <c r="J3238" s="669" t="s">
        <v>5805</v>
      </c>
      <c r="K3238" s="82"/>
      <c r="L3238" s="83" t="str">
        <f t="shared" si="1228"/>
        <v/>
      </c>
      <c r="M3238" s="49">
        <f t="shared" si="1229"/>
        <v>10.57</v>
      </c>
      <c r="N3238" s="41">
        <f t="shared" si="1230"/>
        <v>7.63</v>
      </c>
      <c r="O3238" s="84" t="s">
        <v>1017</v>
      </c>
      <c r="P3238" s="206" t="s">
        <v>1217</v>
      </c>
      <c r="Q3238" s="207"/>
      <c r="R3238" s="208"/>
      <c r="S3238" s="207"/>
      <c r="T3238" s="207"/>
      <c r="U3238" s="207"/>
      <c r="V3238" s="207"/>
      <c r="W3238" s="207"/>
      <c r="X3238" s="207"/>
      <c r="Y3238" s="207"/>
      <c r="Z3238" s="207"/>
      <c r="AA3238" s="209"/>
      <c r="AB3238" s="207"/>
      <c r="AC3238" s="207"/>
      <c r="AD3238" s="209"/>
      <c r="AE3238" s="210"/>
    </row>
    <row r="3239" spans="1:33" x14ac:dyDescent="0.25">
      <c r="A3239" s="4"/>
      <c r="B3239" s="2"/>
      <c r="C3239" s="1"/>
      <c r="D3239" s="2"/>
      <c r="E3239" s="1"/>
      <c r="F3239" s="442"/>
      <c r="G3239" s="520"/>
      <c r="H3239" s="13"/>
      <c r="I3239" s="692"/>
      <c r="J3239" s="669" t="s">
        <v>4180</v>
      </c>
      <c r="K3239" s="28"/>
      <c r="M3239" s="35"/>
      <c r="N3239" s="15"/>
      <c r="O3239" s="15"/>
    </row>
    <row r="3240" spans="1:33" ht="15.75" x14ac:dyDescent="0.25">
      <c r="A3240" s="266" t="s">
        <v>1768</v>
      </c>
      <c r="B3240" s="2"/>
      <c r="C3240" s="1"/>
      <c r="D3240" s="2"/>
      <c r="E3240" s="1"/>
      <c r="F3240" s="442"/>
      <c r="G3240" s="520"/>
      <c r="H3240" s="13"/>
      <c r="I3240" s="692"/>
      <c r="J3240" s="669" t="s">
        <v>4180</v>
      </c>
      <c r="K3240" s="28"/>
      <c r="M3240" s="68" t="str">
        <f>"Vergütungsberechnung für Anlagen mit Inbetriebnahmejahr "&amp;M3243 &amp; " nach EEG 2009"</f>
        <v>Vergütungsberechnung für Anlagen mit Inbetriebnahmejahr 2012 nach EEG 2009</v>
      </c>
      <c r="N3240" s="15"/>
      <c r="O3240" s="15"/>
    </row>
    <row r="3241" spans="1:33" ht="15.75" x14ac:dyDescent="0.25">
      <c r="A3241" s="609"/>
      <c r="B3241" s="1"/>
      <c r="C3241" s="1"/>
      <c r="D3241" s="2"/>
      <c r="E3241" s="1"/>
      <c r="F3241" s="457"/>
      <c r="G3241" s="532"/>
      <c r="H3241" s="490"/>
      <c r="I3241" s="709"/>
      <c r="J3241" s="669" t="s">
        <v>4180</v>
      </c>
      <c r="K3241" s="29"/>
      <c r="M3241" s="223" t="s">
        <v>1710</v>
      </c>
      <c r="N3241" s="39"/>
      <c r="O3241" s="29"/>
      <c r="P3241" s="29"/>
    </row>
    <row r="3242" spans="1:33" s="238" customFormat="1" ht="21.75" customHeight="1" x14ac:dyDescent="0.25">
      <c r="A3242" s="624"/>
      <c r="B3242" s="263"/>
      <c r="C3242" s="263"/>
      <c r="D3242" s="230"/>
      <c r="E3242" s="263"/>
      <c r="F3242" s="462"/>
      <c r="G3242" s="538"/>
      <c r="H3242" s="495"/>
      <c r="I3242" s="716"/>
      <c r="J3242" s="669" t="s">
        <v>4180</v>
      </c>
      <c r="K3242" s="234"/>
      <c r="M3242" s="264" t="s">
        <v>1711</v>
      </c>
      <c r="N3242" s="265"/>
      <c r="O3242" s="234"/>
      <c r="P3242" s="234"/>
    </row>
    <row r="3243" spans="1:33" x14ac:dyDescent="0.25">
      <c r="A3243" s="608"/>
      <c r="B3243" s="2"/>
      <c r="C3243" s="22"/>
      <c r="D3243" s="22"/>
      <c r="E3243" s="34"/>
      <c r="F3243" s="456"/>
      <c r="G3243" s="531"/>
      <c r="H3243" s="489"/>
      <c r="I3243" s="708"/>
      <c r="J3243" s="669" t="s">
        <v>4180</v>
      </c>
      <c r="K3243" s="29"/>
      <c r="L3243" s="29"/>
      <c r="M3243" s="190">
        <v>2012</v>
      </c>
      <c r="N3243" s="29"/>
      <c r="O3243" s="43" t="s">
        <v>2660</v>
      </c>
      <c r="P3243" s="29"/>
      <c r="R3243" s="55"/>
      <c r="S3243" s="43" t="s">
        <v>776</v>
      </c>
      <c r="AA3243" s="50"/>
      <c r="AB3243" s="72" t="s">
        <v>777</v>
      </c>
      <c r="AD3243" s="50"/>
      <c r="AE3243" s="12"/>
      <c r="AF3243" s="12"/>
      <c r="AG3243" s="12"/>
    </row>
    <row r="3244" spans="1:33" ht="79.5" x14ac:dyDescent="0.25">
      <c r="A3244" s="608"/>
      <c r="B3244" s="2"/>
      <c r="C3244" s="22"/>
      <c r="D3244" s="22"/>
      <c r="E3244" s="34"/>
      <c r="F3244" s="456"/>
      <c r="G3244" s="531"/>
      <c r="H3244" s="489"/>
      <c r="I3244" s="708"/>
      <c r="J3244" s="669" t="s">
        <v>4180</v>
      </c>
      <c r="K3244" s="29"/>
      <c r="L3244" s="29"/>
      <c r="M3244" s="48" t="s">
        <v>2914</v>
      </c>
      <c r="N3244" s="42" t="s">
        <v>4234</v>
      </c>
      <c r="O3244" s="44" t="s">
        <v>4852</v>
      </c>
      <c r="P3244" s="63"/>
      <c r="Q3244" s="63"/>
      <c r="R3244" s="80" t="s">
        <v>4854</v>
      </c>
      <c r="S3244" s="42" t="s">
        <v>1021</v>
      </c>
      <c r="T3244" s="42" t="s">
        <v>1029</v>
      </c>
      <c r="U3244" s="42" t="s">
        <v>786</v>
      </c>
      <c r="V3244" s="79" t="s">
        <v>4884</v>
      </c>
      <c r="W3244" s="79" t="s">
        <v>5520</v>
      </c>
      <c r="X3244" s="79" t="s">
        <v>5521</v>
      </c>
      <c r="Y3244" s="79" t="s">
        <v>5522</v>
      </c>
      <c r="Z3244" s="79" t="s">
        <v>4853</v>
      </c>
      <c r="AA3244" s="81" t="s">
        <v>770</v>
      </c>
      <c r="AB3244" s="42" t="s">
        <v>772</v>
      </c>
      <c r="AC3244" s="42" t="s">
        <v>773</v>
      </c>
      <c r="AD3244" s="51" t="s">
        <v>774</v>
      </c>
      <c r="AE3244" s="118" t="s">
        <v>5490</v>
      </c>
      <c r="AF3244" s="12"/>
      <c r="AG3244" s="12"/>
    </row>
    <row r="3245" spans="1:33" ht="34.5" x14ac:dyDescent="0.25">
      <c r="A3245" s="608"/>
      <c r="B3245" s="2"/>
      <c r="C3245" s="22"/>
      <c r="D3245" s="22"/>
      <c r="E3245" s="34"/>
      <c r="F3245" s="456"/>
      <c r="G3245" s="531"/>
      <c r="H3245" s="489"/>
      <c r="I3245" s="708"/>
      <c r="J3245" s="669" t="s">
        <v>4180</v>
      </c>
      <c r="K3245" s="29"/>
      <c r="L3245" s="29"/>
      <c r="M3245" s="46"/>
      <c r="N3245" s="42"/>
      <c r="O3245" s="44" t="s">
        <v>1033</v>
      </c>
      <c r="P3245" s="63"/>
      <c r="Q3245" s="63"/>
      <c r="R3245" s="56" t="s">
        <v>1034</v>
      </c>
      <c r="S3245" s="44" t="s">
        <v>1019</v>
      </c>
      <c r="T3245" s="42" t="s">
        <v>1020</v>
      </c>
      <c r="U3245" s="42" t="s">
        <v>1022</v>
      </c>
      <c r="V3245" s="42" t="s">
        <v>1023</v>
      </c>
      <c r="W3245" s="42" t="s">
        <v>1024</v>
      </c>
      <c r="X3245" s="42" t="s">
        <v>1025</v>
      </c>
      <c r="Y3245" s="42" t="s">
        <v>1026</v>
      </c>
      <c r="Z3245" s="42" t="s">
        <v>1028</v>
      </c>
      <c r="AA3245" s="51" t="s">
        <v>1027</v>
      </c>
      <c r="AB3245" s="42" t="s">
        <v>1032</v>
      </c>
      <c r="AC3245" s="42" t="s">
        <v>1030</v>
      </c>
      <c r="AD3245" s="51" t="s">
        <v>1031</v>
      </c>
      <c r="AE3245" s="125">
        <v>0.01</v>
      </c>
      <c r="AF3245" s="12"/>
      <c r="AG3245" s="12"/>
    </row>
    <row r="3246" spans="1:33" x14ac:dyDescent="0.25">
      <c r="A3246" s="609"/>
      <c r="B3246" s="1"/>
      <c r="C3246" s="1"/>
      <c r="D3246" s="2"/>
      <c r="E3246" s="1"/>
      <c r="F3246" s="457"/>
      <c r="G3246" s="532"/>
      <c r="H3246" s="490"/>
      <c r="I3246" s="709"/>
      <c r="J3246" s="669" t="s">
        <v>4180</v>
      </c>
      <c r="L3246" s="71"/>
      <c r="M3246" s="47"/>
      <c r="N3246" s="40"/>
      <c r="O3246" s="204">
        <f>ROUND(O$2575*(1-$AE$3020)^($M3243-2009),2)</f>
        <v>2.91</v>
      </c>
      <c r="P3246" s="64"/>
      <c r="Q3246" s="64"/>
      <c r="R3246" s="204">
        <f>ROUND(R$2575*(1-$AE$3020)^($M3243-2009),2)</f>
        <v>0.97</v>
      </c>
      <c r="S3246" s="204">
        <f>ROUND(S$2575*(1-$AE$3020)^($M3243-2009),2)</f>
        <v>5.82</v>
      </c>
      <c r="T3246" s="278">
        <f>ROUND(T$2575*(1-$AE$3020)^($M3243-2009),2)</f>
        <v>3.88</v>
      </c>
      <c r="U3246" s="278">
        <f>ROUND(U$2575*(1-$AE$3020)^($M3243-2009),2)</f>
        <v>2.4300000000000002</v>
      </c>
      <c r="V3246" s="278">
        <f>ROUND(V$2575*(1-$AE$3020)^($M3243-2009),2)</f>
        <v>6.79</v>
      </c>
      <c r="W3246" s="278">
        <f>V3246+ROUND(4*(1-$AE$3020)^($M3243-2009),2)</f>
        <v>10.67</v>
      </c>
      <c r="X3246" s="278">
        <f>V3246+ROUND(1*(1-$AE$3020)^($M3243-2009),2)</f>
        <v>7.76</v>
      </c>
      <c r="Y3246" s="278">
        <f>V3246+ROUND(2*(1-$AE$3020)^($M3243-2009),2)</f>
        <v>8.73</v>
      </c>
      <c r="Z3246" s="278">
        <f>W3246+ROUND(2*(1-$AE$3020)^($M3243-2009),2)</f>
        <v>12.61</v>
      </c>
      <c r="AA3246" s="278">
        <f>X3246+ROUND(2*(1-$AE$3020)^($M3243-2009),2)</f>
        <v>9.6999999999999993</v>
      </c>
      <c r="AB3246" s="204">
        <f>ROUND(AB$2575*(1-$AE$3020)^($M3243-2009),2)</f>
        <v>1.94</v>
      </c>
      <c r="AC3246" s="278">
        <f>ROUND(AC$2575*(1-$AE$3020)^($M3243-2009),2)</f>
        <v>0.97</v>
      </c>
      <c r="AD3246" s="279">
        <f>ROUND(AD$2575*(1-$AE$3020)^($M3243-2009),2)</f>
        <v>1.94</v>
      </c>
      <c r="AE3246" s="205" t="s">
        <v>2012</v>
      </c>
    </row>
    <row r="3247" spans="1:33" x14ac:dyDescent="0.25">
      <c r="A3247" s="625" t="s">
        <v>1712</v>
      </c>
      <c r="B3247" s="221" t="s">
        <v>5548</v>
      </c>
      <c r="C3247" s="219" t="str">
        <f t="shared" ref="C3247:C3275" si="1231">"Inbetriebnahme "&amp;$M$3243</f>
        <v>Inbetriebnahme 2012</v>
      </c>
      <c r="D3247" s="221" t="s">
        <v>1780</v>
      </c>
      <c r="E3247" s="221" t="s">
        <v>4810</v>
      </c>
      <c r="F3247" s="455">
        <f t="shared" ref="F3247:F3275" si="1232">M3247</f>
        <v>11.32</v>
      </c>
      <c r="G3247" s="530">
        <v>11.32</v>
      </c>
      <c r="H3247" s="488">
        <f t="shared" ref="H3247:H3275" si="1233">IF(ISNUMBER(G3247),ROUND(0.8*G3247,2),"")</f>
        <v>9.06</v>
      </c>
      <c r="I3247" s="707"/>
      <c r="J3247" s="669" t="s">
        <v>5805</v>
      </c>
      <c r="K3247" s="23"/>
      <c r="L3247" s="70" t="str">
        <f t="shared" ref="L3247:L3275" si="1234">IF(F3247=M3247,"",FALSE)</f>
        <v/>
      </c>
      <c r="M3247" s="49">
        <f t="shared" ref="M3247:M3275" si="1235">N3247+SUMIF(O3247:AD3247,"x",$O$3246:$AD$3246)</f>
        <v>11.32</v>
      </c>
      <c r="N3247" s="41">
        <f>ROUND(N2576*(1-$AE$3245)^($M$3243-2009),2)</f>
        <v>11.32</v>
      </c>
      <c r="O3247" s="60"/>
      <c r="P3247" s="65"/>
      <c r="Q3247" s="65"/>
      <c r="R3247" s="75"/>
      <c r="T3247" s="65"/>
      <c r="U3247" s="65"/>
      <c r="V3247" s="65"/>
      <c r="W3247" s="65"/>
      <c r="X3247" s="65"/>
      <c r="Y3247" s="65"/>
      <c r="Z3247" s="65"/>
      <c r="AA3247" s="65"/>
      <c r="AB3247" s="75"/>
      <c r="AC3247" s="65"/>
      <c r="AD3247" s="62"/>
      <c r="AE3247" t="str">
        <f t="shared" ref="AE3247:AE3275" si="1236">IF(R3247 &amp; V3247 &amp; W3247 &amp; X3247 &amp; Y3247 &amp; Z3247 &amp; AA3247 &amp; AB3247 &amp; AC3247 = "","","x")</f>
        <v/>
      </c>
      <c r="AF3247" t="str">
        <f t="shared" ref="AF3247:AF3275" si="1237">R3247 &amp; V3247 &amp; W3247 &amp; X3247 &amp; Y3247 &amp; Z3247 &amp; AA3247 &amp; AB3247 &amp; AC3247</f>
        <v/>
      </c>
    </row>
    <row r="3248" spans="1:33" x14ac:dyDescent="0.25">
      <c r="A3248" s="625" t="s">
        <v>1713</v>
      </c>
      <c r="B3248" s="221" t="s">
        <v>5548</v>
      </c>
      <c r="C3248" s="219" t="str">
        <f t="shared" si="1231"/>
        <v>Inbetriebnahme 2012</v>
      </c>
      <c r="D3248" s="221" t="s">
        <v>7247</v>
      </c>
      <c r="E3248" s="221" t="s">
        <v>4812</v>
      </c>
      <c r="F3248" s="455">
        <f t="shared" si="1232"/>
        <v>14.23</v>
      </c>
      <c r="G3248" s="530">
        <v>14.23</v>
      </c>
      <c r="H3248" s="488">
        <f t="shared" si="1233"/>
        <v>11.38</v>
      </c>
      <c r="I3248" s="707"/>
      <c r="J3248" s="669" t="s">
        <v>5805</v>
      </c>
      <c r="K3248" s="23"/>
      <c r="L3248" s="70" t="str">
        <f t="shared" si="1234"/>
        <v/>
      </c>
      <c r="M3248" s="49">
        <f t="shared" si="1235"/>
        <v>14.23</v>
      </c>
      <c r="N3248" s="41">
        <f>ROUND(N2577*(1-$AE$3245)^($M$3243-2009),2)</f>
        <v>11.32</v>
      </c>
      <c r="O3248" s="43" t="s">
        <v>1017</v>
      </c>
      <c r="P3248" s="91"/>
      <c r="Q3248" s="91"/>
      <c r="R3248" s="75"/>
      <c r="S3248" s="92"/>
      <c r="T3248" s="91"/>
      <c r="U3248" s="91"/>
      <c r="V3248" s="65"/>
      <c r="W3248" s="65"/>
      <c r="X3248" s="65"/>
      <c r="Y3248" s="65"/>
      <c r="Z3248" s="65"/>
      <c r="AA3248" s="65"/>
      <c r="AB3248" s="75"/>
      <c r="AC3248" s="65"/>
      <c r="AD3248" s="50"/>
      <c r="AE3248" t="str">
        <f t="shared" si="1236"/>
        <v/>
      </c>
      <c r="AF3248" t="str">
        <f t="shared" si="1237"/>
        <v/>
      </c>
    </row>
    <row r="3249" spans="1:255" x14ac:dyDescent="0.25">
      <c r="A3249" s="625" t="s">
        <v>1714</v>
      </c>
      <c r="B3249" s="221" t="s">
        <v>5548</v>
      </c>
      <c r="C3249" s="219" t="str">
        <f t="shared" si="1231"/>
        <v>Inbetriebnahme 2012</v>
      </c>
      <c r="D3249" s="221" t="s">
        <v>6881</v>
      </c>
      <c r="E3249" s="221" t="s">
        <v>4810</v>
      </c>
      <c r="F3249" s="455">
        <f t="shared" si="1232"/>
        <v>17.14</v>
      </c>
      <c r="G3249" s="530">
        <v>17.14</v>
      </c>
      <c r="H3249" s="488">
        <f t="shared" si="1233"/>
        <v>13.71</v>
      </c>
      <c r="I3249" s="707"/>
      <c r="J3249" s="669" t="s">
        <v>5805</v>
      </c>
      <c r="K3249" s="23"/>
      <c r="L3249" s="70" t="str">
        <f t="shared" si="1234"/>
        <v/>
      </c>
      <c r="M3249" s="49">
        <f t="shared" si="1235"/>
        <v>17.14</v>
      </c>
      <c r="N3249" s="41">
        <f>ROUND(N2580*(1-$AE$3245)^($M$3243-2009),2)</f>
        <v>11.32</v>
      </c>
      <c r="O3249" s="61"/>
      <c r="P3249" s="65"/>
      <c r="Q3249" s="65"/>
      <c r="R3249" s="75"/>
      <c r="S3249" t="s">
        <v>1017</v>
      </c>
      <c r="T3249" s="65"/>
      <c r="U3249" s="65"/>
      <c r="V3249" s="65"/>
      <c r="W3249" s="65"/>
      <c r="X3249" s="65"/>
      <c r="Y3249" s="65"/>
      <c r="Z3249" s="65"/>
      <c r="AA3249" s="65"/>
      <c r="AB3249" s="75"/>
      <c r="AC3249" s="65"/>
      <c r="AD3249" s="50"/>
      <c r="AE3249" t="str">
        <f t="shared" si="1236"/>
        <v/>
      </c>
      <c r="AF3249" t="str">
        <f t="shared" si="1237"/>
        <v/>
      </c>
      <c r="AH3249" s="11"/>
      <c r="AI3249" s="16"/>
      <c r="AL3249" s="11"/>
      <c r="AM3249" s="16"/>
      <c r="AP3249" s="11"/>
      <c r="AQ3249" s="16"/>
      <c r="AT3249" s="11"/>
      <c r="AU3249" s="16"/>
      <c r="AX3249" s="11"/>
      <c r="AY3249" s="16"/>
      <c r="BB3249" s="11"/>
      <c r="BC3249" s="16"/>
      <c r="BF3249" s="11"/>
      <c r="BG3249" s="16"/>
      <c r="BJ3249" s="11"/>
      <c r="BK3249" s="16"/>
      <c r="BN3249" s="11"/>
      <c r="BO3249" s="16"/>
      <c r="BR3249" s="11"/>
      <c r="BS3249" s="16"/>
      <c r="BV3249" s="11"/>
      <c r="BW3249" s="16"/>
      <c r="BZ3249" s="11"/>
      <c r="CA3249" s="16"/>
      <c r="CD3249" s="11"/>
      <c r="CE3249" s="16"/>
      <c r="CH3249" s="11"/>
      <c r="CI3249" s="16"/>
      <c r="CL3249" s="11"/>
      <c r="CM3249" s="16"/>
      <c r="CP3249" s="11"/>
      <c r="CQ3249" s="16"/>
      <c r="CT3249" s="11"/>
      <c r="CU3249" s="16"/>
      <c r="CX3249" s="11"/>
      <c r="CY3249" s="16"/>
      <c r="DB3249" s="11"/>
      <c r="DC3249" s="16"/>
      <c r="DF3249" s="11"/>
      <c r="DG3249" s="16"/>
      <c r="DJ3249" s="11"/>
      <c r="DK3249" s="16"/>
      <c r="DN3249" s="11"/>
      <c r="DO3249" s="16"/>
      <c r="DR3249" s="11"/>
      <c r="DS3249" s="16"/>
      <c r="DV3249" s="11"/>
      <c r="DW3249" s="16"/>
      <c r="DZ3249" s="11"/>
      <c r="EA3249" s="16"/>
      <c r="ED3249" s="11"/>
      <c r="EE3249" s="16"/>
      <c r="EH3249" s="11"/>
      <c r="EI3249" s="16"/>
      <c r="EL3249" s="11"/>
      <c r="EM3249" s="16"/>
      <c r="EP3249" s="11"/>
      <c r="EQ3249" s="16"/>
      <c r="ET3249" s="11"/>
      <c r="EU3249" s="16"/>
      <c r="EX3249" s="11"/>
      <c r="EY3249" s="16"/>
      <c r="FB3249" s="11"/>
      <c r="FC3249" s="16"/>
      <c r="FF3249" s="11"/>
      <c r="FG3249" s="16"/>
      <c r="FJ3249" s="11"/>
      <c r="FK3249" s="16"/>
      <c r="FN3249" s="11"/>
      <c r="FO3249" s="16"/>
      <c r="FR3249" s="11"/>
      <c r="FS3249" s="16"/>
      <c r="FV3249" s="11"/>
      <c r="FW3249" s="16"/>
      <c r="FZ3249" s="11"/>
      <c r="GA3249" s="16"/>
      <c r="GD3249" s="11"/>
      <c r="GE3249" s="16"/>
      <c r="GH3249" s="11"/>
      <c r="GI3249" s="16"/>
      <c r="GL3249" s="11"/>
      <c r="GM3249" s="16"/>
      <c r="GP3249" s="11"/>
      <c r="GQ3249" s="16"/>
      <c r="GT3249" s="11"/>
      <c r="GU3249" s="16"/>
      <c r="GX3249" s="11"/>
      <c r="GY3249" s="16"/>
      <c r="HB3249" s="11"/>
      <c r="HC3249" s="16"/>
      <c r="HF3249" s="11"/>
      <c r="HG3249" s="16"/>
      <c r="HJ3249" s="11"/>
      <c r="HK3249" s="16"/>
      <c r="HN3249" s="11"/>
      <c r="HO3249" s="16"/>
      <c r="HR3249" s="11"/>
      <c r="HS3249" s="16"/>
      <c r="HV3249" s="11"/>
      <c r="HW3249" s="16"/>
      <c r="HZ3249" s="11"/>
      <c r="IA3249" s="16"/>
      <c r="ID3249" s="11"/>
      <c r="IE3249" s="16"/>
      <c r="IH3249" s="11"/>
      <c r="II3249" s="16"/>
      <c r="IL3249" s="11"/>
      <c r="IM3249" s="16"/>
      <c r="IP3249" s="11"/>
      <c r="IQ3249" s="16"/>
      <c r="IT3249" s="11"/>
      <c r="IU3249" s="16"/>
    </row>
    <row r="3250" spans="1:255" x14ac:dyDescent="0.25">
      <c r="A3250" s="625" t="s">
        <v>1715</v>
      </c>
      <c r="B3250" s="221" t="s">
        <v>5548</v>
      </c>
      <c r="C3250" s="219" t="str">
        <f t="shared" si="1231"/>
        <v>Inbetriebnahme 2012</v>
      </c>
      <c r="D3250" s="221" t="s">
        <v>7250</v>
      </c>
      <c r="E3250" s="221" t="s">
        <v>4812</v>
      </c>
      <c r="F3250" s="455">
        <f t="shared" si="1232"/>
        <v>20.05</v>
      </c>
      <c r="G3250" s="530">
        <v>20.05</v>
      </c>
      <c r="H3250" s="488">
        <f t="shared" si="1233"/>
        <v>16.04</v>
      </c>
      <c r="I3250" s="707"/>
      <c r="J3250" s="669" t="s">
        <v>5805</v>
      </c>
      <c r="K3250" s="23"/>
      <c r="L3250" s="70" t="str">
        <f t="shared" si="1234"/>
        <v/>
      </c>
      <c r="M3250" s="49">
        <f t="shared" si="1235"/>
        <v>20.05</v>
      </c>
      <c r="N3250" s="41">
        <f>ROUND(N2581*(1-$AE$3245)^($M$3243-2009),2)</f>
        <v>11.32</v>
      </c>
      <c r="O3250" s="43" t="s">
        <v>1017</v>
      </c>
      <c r="P3250" s="65"/>
      <c r="Q3250" s="65"/>
      <c r="R3250" s="75"/>
      <c r="S3250" t="s">
        <v>1017</v>
      </c>
      <c r="T3250" s="65"/>
      <c r="U3250" s="65"/>
      <c r="V3250" s="65"/>
      <c r="W3250" s="65"/>
      <c r="X3250" s="65"/>
      <c r="Y3250" s="65"/>
      <c r="Z3250" s="65"/>
      <c r="AA3250" s="65"/>
      <c r="AB3250" s="75"/>
      <c r="AC3250" s="65"/>
      <c r="AD3250" s="50"/>
      <c r="AE3250" t="str">
        <f t="shared" si="1236"/>
        <v/>
      </c>
      <c r="AF3250" t="str">
        <f t="shared" si="1237"/>
        <v/>
      </c>
      <c r="AH3250" s="11"/>
      <c r="AI3250" s="16"/>
      <c r="AL3250" s="11"/>
      <c r="AM3250" s="16"/>
      <c r="AP3250" s="11"/>
      <c r="AQ3250" s="16"/>
      <c r="AT3250" s="11"/>
      <c r="AU3250" s="16"/>
      <c r="AX3250" s="11"/>
      <c r="AY3250" s="16"/>
      <c r="BB3250" s="11"/>
      <c r="BC3250" s="16"/>
      <c r="BF3250" s="11"/>
      <c r="BG3250" s="16"/>
      <c r="BJ3250" s="11"/>
      <c r="BK3250" s="16"/>
      <c r="BN3250" s="11"/>
      <c r="BO3250" s="16"/>
      <c r="BR3250" s="11"/>
      <c r="BS3250" s="16"/>
      <c r="BV3250" s="11"/>
      <c r="BW3250" s="16"/>
      <c r="BZ3250" s="11"/>
      <c r="CA3250" s="16"/>
      <c r="CD3250" s="11"/>
      <c r="CE3250" s="16"/>
      <c r="CH3250" s="11"/>
      <c r="CI3250" s="16"/>
      <c r="CL3250" s="11"/>
      <c r="CM3250" s="16"/>
      <c r="CP3250" s="11"/>
      <c r="CQ3250" s="16"/>
      <c r="CT3250" s="11"/>
      <c r="CU3250" s="16"/>
      <c r="CX3250" s="11"/>
      <c r="CY3250" s="16"/>
      <c r="DB3250" s="11"/>
      <c r="DC3250" s="16"/>
      <c r="DF3250" s="11"/>
      <c r="DG3250" s="16"/>
      <c r="DJ3250" s="11"/>
      <c r="DK3250" s="16"/>
      <c r="DN3250" s="11"/>
      <c r="DO3250" s="16"/>
      <c r="DR3250" s="11"/>
      <c r="DS3250" s="16"/>
      <c r="DV3250" s="11"/>
      <c r="DW3250" s="16"/>
      <c r="DZ3250" s="11"/>
      <c r="EA3250" s="16"/>
      <c r="ED3250" s="11"/>
      <c r="EE3250" s="16"/>
      <c r="EH3250" s="11"/>
      <c r="EI3250" s="16"/>
      <c r="EL3250" s="11"/>
      <c r="EM3250" s="16"/>
      <c r="EP3250" s="11"/>
      <c r="EQ3250" s="16"/>
      <c r="ET3250" s="11"/>
      <c r="EU3250" s="16"/>
      <c r="EX3250" s="11"/>
      <c r="EY3250" s="16"/>
      <c r="FB3250" s="11"/>
      <c r="FC3250" s="16"/>
      <c r="FF3250" s="11"/>
      <c r="FG3250" s="16"/>
      <c r="FJ3250" s="11"/>
      <c r="FK3250" s="16"/>
      <c r="FN3250" s="11"/>
      <c r="FO3250" s="16"/>
      <c r="FR3250" s="11"/>
      <c r="FS3250" s="16"/>
      <c r="FV3250" s="11"/>
      <c r="FW3250" s="16"/>
      <c r="FZ3250" s="11"/>
      <c r="GA3250" s="16"/>
      <c r="GD3250" s="11"/>
      <c r="GE3250" s="16"/>
      <c r="GH3250" s="11"/>
      <c r="GI3250" s="16"/>
      <c r="GL3250" s="11"/>
      <c r="GM3250" s="16"/>
      <c r="GP3250" s="11"/>
      <c r="GQ3250" s="16"/>
      <c r="GT3250" s="11"/>
      <c r="GU3250" s="16"/>
      <c r="GX3250" s="11"/>
      <c r="GY3250" s="16"/>
      <c r="HB3250" s="11"/>
      <c r="HC3250" s="16"/>
      <c r="HF3250" s="11"/>
      <c r="HG3250" s="16"/>
      <c r="HJ3250" s="11"/>
      <c r="HK3250" s="16"/>
      <c r="HN3250" s="11"/>
      <c r="HO3250" s="16"/>
      <c r="HR3250" s="11"/>
      <c r="HS3250" s="16"/>
      <c r="HV3250" s="11"/>
      <c r="HW3250" s="16"/>
      <c r="HZ3250" s="11"/>
      <c r="IA3250" s="16"/>
      <c r="ID3250" s="11"/>
      <c r="IE3250" s="16"/>
      <c r="IH3250" s="11"/>
      <c r="II3250" s="16"/>
      <c r="IL3250" s="11"/>
      <c r="IM3250" s="16"/>
      <c r="IP3250" s="11"/>
      <c r="IQ3250" s="16"/>
      <c r="IT3250" s="11"/>
      <c r="IU3250" s="16"/>
    </row>
    <row r="3251" spans="1:255" x14ac:dyDescent="0.25">
      <c r="A3251" s="625" t="s">
        <v>1716</v>
      </c>
      <c r="B3251" s="221" t="s">
        <v>5548</v>
      </c>
      <c r="C3251" s="219" t="str">
        <f t="shared" si="1231"/>
        <v>Inbetriebnahme 2012</v>
      </c>
      <c r="D3251" s="221" t="s">
        <v>7314</v>
      </c>
      <c r="E3251" s="221" t="s">
        <v>4810</v>
      </c>
      <c r="F3251" s="455">
        <f t="shared" si="1232"/>
        <v>13.26</v>
      </c>
      <c r="G3251" s="530">
        <v>13.26</v>
      </c>
      <c r="H3251" s="488">
        <f t="shared" si="1233"/>
        <v>10.61</v>
      </c>
      <c r="I3251" s="707"/>
      <c r="J3251" s="669" t="s">
        <v>5805</v>
      </c>
      <c r="K3251" s="23"/>
      <c r="L3251" s="70" t="str">
        <f t="shared" si="1234"/>
        <v/>
      </c>
      <c r="M3251" s="49">
        <f t="shared" si="1235"/>
        <v>13.26</v>
      </c>
      <c r="N3251" s="41">
        <f>ROUND(N2648*(1-$AE$3245)^($M$3243-2009),2)</f>
        <v>11.32</v>
      </c>
      <c r="O3251" s="61"/>
      <c r="P3251" s="65"/>
      <c r="Q3251" s="65"/>
      <c r="R3251" s="75"/>
      <c r="S3251" s="12"/>
      <c r="T3251" s="65"/>
      <c r="U3251" s="65"/>
      <c r="V3251" s="65"/>
      <c r="W3251" s="65"/>
      <c r="X3251" s="65"/>
      <c r="Y3251" s="65"/>
      <c r="Z3251" s="65"/>
      <c r="AA3251" s="65"/>
      <c r="AB3251" s="75"/>
      <c r="AC3251" s="65"/>
      <c r="AD3251" s="53" t="s">
        <v>1017</v>
      </c>
      <c r="AE3251" t="str">
        <f t="shared" si="1236"/>
        <v/>
      </c>
      <c r="AF3251" t="str">
        <f t="shared" si="1237"/>
        <v/>
      </c>
      <c r="AG3251" s="12"/>
    </row>
    <row r="3252" spans="1:255" x14ac:dyDescent="0.25">
      <c r="A3252" s="625" t="s">
        <v>1717</v>
      </c>
      <c r="B3252" s="221" t="s">
        <v>5548</v>
      </c>
      <c r="C3252" s="219" t="str">
        <f t="shared" si="1231"/>
        <v>Inbetriebnahme 2012</v>
      </c>
      <c r="D3252" s="221" t="s">
        <v>7315</v>
      </c>
      <c r="E3252" s="221" t="s">
        <v>4812</v>
      </c>
      <c r="F3252" s="455">
        <f t="shared" si="1232"/>
        <v>16.170000000000002</v>
      </c>
      <c r="G3252" s="530">
        <v>16.170000000000002</v>
      </c>
      <c r="H3252" s="488">
        <f t="shared" si="1233"/>
        <v>12.94</v>
      </c>
      <c r="I3252" s="707"/>
      <c r="J3252" s="669" t="s">
        <v>5805</v>
      </c>
      <c r="K3252" s="23"/>
      <c r="L3252" s="70" t="str">
        <f t="shared" si="1234"/>
        <v/>
      </c>
      <c r="M3252" s="49">
        <f t="shared" si="1235"/>
        <v>16.170000000000002</v>
      </c>
      <c r="N3252" s="41">
        <f>ROUND(N2649*(1-$AE$3245)^($M$3243-2009),2)</f>
        <v>11.32</v>
      </c>
      <c r="O3252" s="43" t="s">
        <v>1017</v>
      </c>
      <c r="P3252" s="65"/>
      <c r="Q3252" s="65"/>
      <c r="R3252" s="75"/>
      <c r="S3252" s="12"/>
      <c r="T3252" s="65"/>
      <c r="U3252" s="65"/>
      <c r="V3252" s="65"/>
      <c r="W3252" s="65"/>
      <c r="X3252" s="65"/>
      <c r="Y3252" s="65"/>
      <c r="Z3252" s="65"/>
      <c r="AA3252" s="65"/>
      <c r="AB3252" s="75"/>
      <c r="AC3252" s="65"/>
      <c r="AD3252" s="53" t="s">
        <v>1017</v>
      </c>
      <c r="AE3252" t="str">
        <f t="shared" si="1236"/>
        <v/>
      </c>
      <c r="AF3252" t="str">
        <f t="shared" si="1237"/>
        <v/>
      </c>
      <c r="AG3252" s="12"/>
    </row>
    <row r="3253" spans="1:255" s="12" customFormat="1" x14ac:dyDescent="0.25">
      <c r="A3253" s="625" t="s">
        <v>1718</v>
      </c>
      <c r="B3253" s="221" t="s">
        <v>5548</v>
      </c>
      <c r="C3253" s="219" t="str">
        <f t="shared" si="1231"/>
        <v>Inbetriebnahme 2012</v>
      </c>
      <c r="D3253" s="221" t="s">
        <v>7318</v>
      </c>
      <c r="E3253" s="221" t="s">
        <v>4810</v>
      </c>
      <c r="F3253" s="455">
        <f t="shared" si="1232"/>
        <v>19.079999999999998</v>
      </c>
      <c r="G3253" s="530">
        <v>19.079999999999998</v>
      </c>
      <c r="H3253" s="488">
        <f t="shared" si="1233"/>
        <v>15.26</v>
      </c>
      <c r="I3253" s="707"/>
      <c r="J3253" s="669" t="s">
        <v>5805</v>
      </c>
      <c r="K3253" s="23"/>
      <c r="L3253" s="70" t="str">
        <f t="shared" si="1234"/>
        <v/>
      </c>
      <c r="M3253" s="49">
        <f t="shared" si="1235"/>
        <v>19.079999999999998</v>
      </c>
      <c r="N3253" s="41">
        <f>ROUND(N2652*(1-$AE$3245)^($M$3243-2009),2)</f>
        <v>11.32</v>
      </c>
      <c r="O3253" s="61"/>
      <c r="P3253" s="65"/>
      <c r="Q3253" s="65"/>
      <c r="R3253" s="75"/>
      <c r="S3253" s="12" t="s">
        <v>1017</v>
      </c>
      <c r="T3253" s="65"/>
      <c r="U3253" s="65"/>
      <c r="V3253" s="65"/>
      <c r="W3253" s="65"/>
      <c r="X3253" s="65"/>
      <c r="Y3253" s="65"/>
      <c r="Z3253" s="65"/>
      <c r="AA3253" s="65"/>
      <c r="AB3253" s="75"/>
      <c r="AC3253" s="65"/>
      <c r="AD3253" s="53" t="s">
        <v>1017</v>
      </c>
      <c r="AE3253" t="str">
        <f t="shared" si="1236"/>
        <v/>
      </c>
      <c r="AF3253" t="str">
        <f t="shared" si="1237"/>
        <v/>
      </c>
    </row>
    <row r="3254" spans="1:255" s="12" customFormat="1" x14ac:dyDescent="0.25">
      <c r="A3254" s="625" t="s">
        <v>1719</v>
      </c>
      <c r="B3254" s="221" t="s">
        <v>5548</v>
      </c>
      <c r="C3254" s="219" t="str">
        <f t="shared" si="1231"/>
        <v>Inbetriebnahme 2012</v>
      </c>
      <c r="D3254" s="221" t="s">
        <v>7319</v>
      </c>
      <c r="E3254" s="221" t="s">
        <v>4812</v>
      </c>
      <c r="F3254" s="455">
        <f t="shared" si="1232"/>
        <v>21.990000000000002</v>
      </c>
      <c r="G3254" s="530">
        <v>21.990000000000002</v>
      </c>
      <c r="H3254" s="488">
        <f t="shared" si="1233"/>
        <v>17.59</v>
      </c>
      <c r="I3254" s="707"/>
      <c r="J3254" s="669" t="s">
        <v>5805</v>
      </c>
      <c r="K3254" s="23"/>
      <c r="L3254" s="70" t="str">
        <f t="shared" si="1234"/>
        <v/>
      </c>
      <c r="M3254" s="49">
        <f t="shared" si="1235"/>
        <v>21.990000000000002</v>
      </c>
      <c r="N3254" s="41">
        <f>ROUND(N2653*(1-$AE$3245)^($M$3243-2009),2)</f>
        <v>11.32</v>
      </c>
      <c r="O3254" s="43" t="s">
        <v>1017</v>
      </c>
      <c r="P3254" s="65"/>
      <c r="Q3254" s="65"/>
      <c r="R3254" s="75"/>
      <c r="S3254" s="12" t="s">
        <v>1017</v>
      </c>
      <c r="T3254" s="65"/>
      <c r="U3254" s="65"/>
      <c r="V3254" s="65"/>
      <c r="W3254" s="65"/>
      <c r="X3254" s="65"/>
      <c r="Y3254" s="65"/>
      <c r="Z3254" s="65"/>
      <c r="AA3254" s="65"/>
      <c r="AB3254" s="75"/>
      <c r="AC3254" s="65"/>
      <c r="AD3254" s="53" t="s">
        <v>1017</v>
      </c>
      <c r="AE3254" t="str">
        <f t="shared" si="1236"/>
        <v/>
      </c>
      <c r="AF3254" t="str">
        <f t="shared" si="1237"/>
        <v/>
      </c>
    </row>
    <row r="3255" spans="1:255" x14ac:dyDescent="0.25">
      <c r="A3255" s="625" t="s">
        <v>1720</v>
      </c>
      <c r="B3255" s="221" t="s">
        <v>5548</v>
      </c>
      <c r="C3255" s="219" t="str">
        <f t="shared" si="1231"/>
        <v>Inbetriebnahme 2012</v>
      </c>
      <c r="D3255" s="221" t="s">
        <v>5415</v>
      </c>
      <c r="E3255" s="221" t="s">
        <v>4810</v>
      </c>
      <c r="F3255" s="455">
        <f t="shared" si="1232"/>
        <v>8.91</v>
      </c>
      <c r="G3255" s="530">
        <v>8.91</v>
      </c>
      <c r="H3255" s="488">
        <f t="shared" si="1233"/>
        <v>7.13</v>
      </c>
      <c r="I3255" s="707"/>
      <c r="J3255" s="669" t="s">
        <v>5805</v>
      </c>
      <c r="K3255" s="23"/>
      <c r="L3255" s="70" t="str">
        <f t="shared" si="1234"/>
        <v/>
      </c>
      <c r="M3255" s="49">
        <f t="shared" si="1235"/>
        <v>8.91</v>
      </c>
      <c r="N3255" s="41">
        <f>ROUND(N2672*(1-$AE$3245)^($M$3243-2009),2)</f>
        <v>8.91</v>
      </c>
      <c r="O3255" s="61"/>
      <c r="P3255" s="65"/>
      <c r="Q3255" s="65"/>
      <c r="R3255" s="75"/>
      <c r="S3255" s="12"/>
      <c r="T3255" s="65"/>
      <c r="U3255" s="65"/>
      <c r="V3255" s="65"/>
      <c r="W3255" s="65"/>
      <c r="X3255" s="65"/>
      <c r="Y3255" s="65"/>
      <c r="Z3255" s="65"/>
      <c r="AA3255" s="65"/>
      <c r="AB3255" s="75"/>
      <c r="AC3255" s="65"/>
      <c r="AD3255" s="53"/>
      <c r="AE3255" t="str">
        <f t="shared" si="1236"/>
        <v/>
      </c>
      <c r="AF3255" t="str">
        <f t="shared" si="1237"/>
        <v/>
      </c>
      <c r="AG3255" s="12"/>
    </row>
    <row r="3256" spans="1:255" x14ac:dyDescent="0.25">
      <c r="A3256" s="625" t="s">
        <v>1721</v>
      </c>
      <c r="B3256" s="221" t="s">
        <v>5548</v>
      </c>
      <c r="C3256" s="219" t="str">
        <f t="shared" si="1231"/>
        <v>Inbetriebnahme 2012</v>
      </c>
      <c r="D3256" s="221" t="s">
        <v>2903</v>
      </c>
      <c r="E3256" s="221" t="s">
        <v>4812</v>
      </c>
      <c r="F3256" s="455">
        <f t="shared" si="1232"/>
        <v>11.82</v>
      </c>
      <c r="G3256" s="530">
        <v>11.82</v>
      </c>
      <c r="H3256" s="488">
        <f t="shared" si="1233"/>
        <v>9.4600000000000009</v>
      </c>
      <c r="I3256" s="707"/>
      <c r="J3256" s="669" t="s">
        <v>5805</v>
      </c>
      <c r="K3256" s="23"/>
      <c r="L3256" s="70" t="str">
        <f t="shared" si="1234"/>
        <v/>
      </c>
      <c r="M3256" s="49">
        <f t="shared" si="1235"/>
        <v>11.82</v>
      </c>
      <c r="N3256" s="41">
        <f>ROUND(N2673*(1-$AE$3245)^($M$3243-2009),2)</f>
        <v>8.91</v>
      </c>
      <c r="O3256" s="43" t="s">
        <v>1017</v>
      </c>
      <c r="P3256" s="65"/>
      <c r="Q3256" s="65"/>
      <c r="R3256" s="75"/>
      <c r="S3256" s="12"/>
      <c r="T3256" s="65"/>
      <c r="U3256" s="65"/>
      <c r="V3256" s="65"/>
      <c r="W3256" s="65"/>
      <c r="X3256" s="65"/>
      <c r="Y3256" s="65"/>
      <c r="Z3256" s="65"/>
      <c r="AA3256" s="65"/>
      <c r="AB3256" s="75"/>
      <c r="AC3256" s="65"/>
      <c r="AD3256" s="53"/>
      <c r="AE3256" t="str">
        <f t="shared" si="1236"/>
        <v/>
      </c>
      <c r="AF3256" t="str">
        <f t="shared" si="1237"/>
        <v/>
      </c>
      <c r="AG3256" s="12"/>
    </row>
    <row r="3257" spans="1:255" x14ac:dyDescent="0.25">
      <c r="A3257" s="625" t="s">
        <v>1722</v>
      </c>
      <c r="B3257" s="221" t="s">
        <v>5548</v>
      </c>
      <c r="C3257" s="219" t="str">
        <f t="shared" si="1231"/>
        <v>Inbetriebnahme 2012</v>
      </c>
      <c r="D3257" s="221" t="s">
        <v>597</v>
      </c>
      <c r="E3257" s="221" t="s">
        <v>4810</v>
      </c>
      <c r="F3257" s="455">
        <f t="shared" si="1232"/>
        <v>14.73</v>
      </c>
      <c r="G3257" s="530">
        <v>14.73</v>
      </c>
      <c r="H3257" s="488">
        <f t="shared" si="1233"/>
        <v>11.78</v>
      </c>
      <c r="I3257" s="707"/>
      <c r="J3257" s="669" t="s">
        <v>5805</v>
      </c>
      <c r="K3257" s="23"/>
      <c r="L3257" s="70" t="str">
        <f t="shared" si="1234"/>
        <v/>
      </c>
      <c r="M3257" s="49">
        <f t="shared" si="1235"/>
        <v>14.73</v>
      </c>
      <c r="N3257" s="41">
        <f>ROUND(N2676*(1-$AE$3245)^($M$3243-2009),2)</f>
        <v>8.91</v>
      </c>
      <c r="O3257" s="61"/>
      <c r="P3257" s="65"/>
      <c r="Q3257" s="65"/>
      <c r="R3257" s="75"/>
      <c r="S3257" s="12" t="s">
        <v>1017</v>
      </c>
      <c r="T3257" s="65"/>
      <c r="U3257" s="65"/>
      <c r="V3257" s="65"/>
      <c r="W3257" s="65"/>
      <c r="X3257" s="65"/>
      <c r="Y3257" s="65"/>
      <c r="Z3257" s="65"/>
      <c r="AA3257" s="65"/>
      <c r="AB3257" s="75"/>
      <c r="AC3257" s="65"/>
      <c r="AD3257" s="53"/>
      <c r="AE3257" t="str">
        <f t="shared" si="1236"/>
        <v/>
      </c>
      <c r="AF3257" t="str">
        <f t="shared" si="1237"/>
        <v/>
      </c>
      <c r="AG3257" s="12"/>
    </row>
    <row r="3258" spans="1:255" x14ac:dyDescent="0.25">
      <c r="A3258" s="625" t="s">
        <v>1723</v>
      </c>
      <c r="B3258" s="221" t="s">
        <v>5548</v>
      </c>
      <c r="C3258" s="219" t="str">
        <f t="shared" si="1231"/>
        <v>Inbetriebnahme 2012</v>
      </c>
      <c r="D3258" s="221" t="s">
        <v>3201</v>
      </c>
      <c r="E3258" s="221" t="s">
        <v>4812</v>
      </c>
      <c r="F3258" s="455">
        <f t="shared" si="1232"/>
        <v>17.64</v>
      </c>
      <c r="G3258" s="530">
        <v>17.64</v>
      </c>
      <c r="H3258" s="488">
        <f t="shared" si="1233"/>
        <v>14.11</v>
      </c>
      <c r="I3258" s="707"/>
      <c r="J3258" s="669" t="s">
        <v>5805</v>
      </c>
      <c r="K3258" s="23"/>
      <c r="L3258" s="70" t="str">
        <f t="shared" si="1234"/>
        <v/>
      </c>
      <c r="M3258" s="49">
        <f t="shared" si="1235"/>
        <v>17.64</v>
      </c>
      <c r="N3258" s="41">
        <f>ROUND(N2677*(1-$AE$3245)^($M$3243-2009),2)</f>
        <v>8.91</v>
      </c>
      <c r="O3258" s="43" t="s">
        <v>1017</v>
      </c>
      <c r="P3258" s="65"/>
      <c r="Q3258" s="65"/>
      <c r="R3258" s="75"/>
      <c r="S3258" s="12" t="s">
        <v>1017</v>
      </c>
      <c r="T3258" s="65"/>
      <c r="U3258" s="65"/>
      <c r="V3258" s="65"/>
      <c r="W3258" s="65"/>
      <c r="X3258" s="65"/>
      <c r="Y3258" s="65"/>
      <c r="Z3258" s="65"/>
      <c r="AA3258" s="65"/>
      <c r="AB3258" s="75"/>
      <c r="AC3258" s="65"/>
      <c r="AD3258" s="53"/>
      <c r="AE3258" t="str">
        <f t="shared" si="1236"/>
        <v/>
      </c>
      <c r="AF3258" t="str">
        <f t="shared" si="1237"/>
        <v/>
      </c>
      <c r="AG3258" s="12"/>
    </row>
    <row r="3259" spans="1:255" x14ac:dyDescent="0.25">
      <c r="A3259" s="625" t="s">
        <v>1724</v>
      </c>
      <c r="B3259" s="221" t="s">
        <v>5548</v>
      </c>
      <c r="C3259" s="219" t="str">
        <f t="shared" si="1231"/>
        <v>Inbetriebnahme 2012</v>
      </c>
      <c r="D3259" s="221" t="s">
        <v>595</v>
      </c>
      <c r="E3259" s="221" t="s">
        <v>4810</v>
      </c>
      <c r="F3259" s="455">
        <f t="shared" si="1232"/>
        <v>10.85</v>
      </c>
      <c r="G3259" s="530">
        <v>10.85</v>
      </c>
      <c r="H3259" s="488">
        <f t="shared" si="1233"/>
        <v>8.68</v>
      </c>
      <c r="I3259" s="707"/>
      <c r="J3259" s="669" t="s">
        <v>5805</v>
      </c>
      <c r="K3259" s="23"/>
      <c r="L3259" s="70" t="str">
        <f t="shared" si="1234"/>
        <v/>
      </c>
      <c r="M3259" s="49">
        <f t="shared" si="1235"/>
        <v>10.85</v>
      </c>
      <c r="N3259" s="41">
        <f>ROUND(N2744*(1-$AE$3245)^($M$3243-2009),2)</f>
        <v>8.91</v>
      </c>
      <c r="O3259" s="61"/>
      <c r="P3259" s="65"/>
      <c r="Q3259" s="65"/>
      <c r="R3259" s="75"/>
      <c r="S3259" s="12"/>
      <c r="T3259" s="65"/>
      <c r="U3259" s="65"/>
      <c r="V3259" s="65"/>
      <c r="W3259" s="65"/>
      <c r="X3259" s="65"/>
      <c r="Y3259" s="65"/>
      <c r="Z3259" s="65"/>
      <c r="AA3259" s="65"/>
      <c r="AB3259" s="75"/>
      <c r="AC3259" s="65"/>
      <c r="AD3259" s="53" t="s">
        <v>1017</v>
      </c>
      <c r="AE3259" t="str">
        <f t="shared" si="1236"/>
        <v/>
      </c>
      <c r="AF3259" t="str">
        <f t="shared" si="1237"/>
        <v/>
      </c>
      <c r="AG3259" s="12"/>
    </row>
    <row r="3260" spans="1:255" x14ac:dyDescent="0.25">
      <c r="A3260" s="625" t="s">
        <v>1725</v>
      </c>
      <c r="B3260" s="221" t="s">
        <v>5548</v>
      </c>
      <c r="C3260" s="219" t="str">
        <f t="shared" si="1231"/>
        <v>Inbetriebnahme 2012</v>
      </c>
      <c r="D3260" s="221" t="s">
        <v>3199</v>
      </c>
      <c r="E3260" s="221" t="s">
        <v>4812</v>
      </c>
      <c r="F3260" s="455">
        <f t="shared" si="1232"/>
        <v>13.76</v>
      </c>
      <c r="G3260" s="530">
        <v>13.76</v>
      </c>
      <c r="H3260" s="488">
        <f t="shared" si="1233"/>
        <v>11.01</v>
      </c>
      <c r="I3260" s="707"/>
      <c r="J3260" s="669" t="s">
        <v>5805</v>
      </c>
      <c r="K3260" s="23"/>
      <c r="L3260" s="70" t="str">
        <f t="shared" si="1234"/>
        <v/>
      </c>
      <c r="M3260" s="49">
        <f t="shared" si="1235"/>
        <v>13.76</v>
      </c>
      <c r="N3260" s="41">
        <f>ROUND(N2745*(1-$AE$3245)^($M$3243-2009),2)</f>
        <v>8.91</v>
      </c>
      <c r="O3260" s="43" t="s">
        <v>1017</v>
      </c>
      <c r="P3260" s="65"/>
      <c r="Q3260" s="65"/>
      <c r="R3260" s="75"/>
      <c r="S3260" s="12"/>
      <c r="T3260" s="65"/>
      <c r="U3260" s="65"/>
      <c r="V3260" s="65"/>
      <c r="W3260" s="65"/>
      <c r="X3260" s="65"/>
      <c r="Y3260" s="65"/>
      <c r="Z3260" s="65"/>
      <c r="AA3260" s="65"/>
      <c r="AB3260" s="75"/>
      <c r="AC3260" s="65"/>
      <c r="AD3260" s="53" t="s">
        <v>1017</v>
      </c>
      <c r="AE3260" t="str">
        <f t="shared" si="1236"/>
        <v/>
      </c>
      <c r="AF3260" t="str">
        <f t="shared" si="1237"/>
        <v/>
      </c>
      <c r="AG3260" s="12"/>
    </row>
    <row r="3261" spans="1:255" x14ac:dyDescent="0.25">
      <c r="A3261" s="625" t="s">
        <v>1726</v>
      </c>
      <c r="B3261" s="221" t="s">
        <v>5548</v>
      </c>
      <c r="C3261" s="219" t="str">
        <f t="shared" si="1231"/>
        <v>Inbetriebnahme 2012</v>
      </c>
      <c r="D3261" s="221" t="s">
        <v>850</v>
      </c>
      <c r="E3261" s="221" t="s">
        <v>4810</v>
      </c>
      <c r="F3261" s="455">
        <f t="shared" si="1232"/>
        <v>16.670000000000002</v>
      </c>
      <c r="G3261" s="530">
        <v>16.670000000000002</v>
      </c>
      <c r="H3261" s="488">
        <f t="shared" si="1233"/>
        <v>13.34</v>
      </c>
      <c r="I3261" s="707"/>
      <c r="J3261" s="669" t="s">
        <v>5805</v>
      </c>
      <c r="K3261" s="23"/>
      <c r="L3261" s="70" t="str">
        <f t="shared" si="1234"/>
        <v/>
      </c>
      <c r="M3261" s="49">
        <f t="shared" si="1235"/>
        <v>16.670000000000002</v>
      </c>
      <c r="N3261" s="41">
        <f>ROUND(N2748*(1-$AE$3245)^($M$3243-2009),2)</f>
        <v>8.91</v>
      </c>
      <c r="O3261" s="61"/>
      <c r="P3261" s="65"/>
      <c r="Q3261" s="65"/>
      <c r="R3261" s="75"/>
      <c r="S3261" s="12" t="s">
        <v>1017</v>
      </c>
      <c r="T3261" s="65"/>
      <c r="U3261" s="65"/>
      <c r="V3261" s="65"/>
      <c r="W3261" s="65"/>
      <c r="X3261" s="65"/>
      <c r="Y3261" s="65"/>
      <c r="Z3261" s="65"/>
      <c r="AA3261" s="65"/>
      <c r="AB3261" s="75"/>
      <c r="AC3261" s="65"/>
      <c r="AD3261" s="53" t="s">
        <v>1017</v>
      </c>
      <c r="AE3261" t="str">
        <f t="shared" si="1236"/>
        <v/>
      </c>
      <c r="AF3261" t="str">
        <f t="shared" si="1237"/>
        <v/>
      </c>
      <c r="AG3261" s="12"/>
    </row>
    <row r="3262" spans="1:255" x14ac:dyDescent="0.25">
      <c r="A3262" s="625" t="s">
        <v>5374</v>
      </c>
      <c r="B3262" s="221" t="s">
        <v>5548</v>
      </c>
      <c r="C3262" s="219" t="str">
        <f t="shared" si="1231"/>
        <v>Inbetriebnahme 2012</v>
      </c>
      <c r="D3262" s="221" t="s">
        <v>2653</v>
      </c>
      <c r="E3262" s="221" t="s">
        <v>4812</v>
      </c>
      <c r="F3262" s="455">
        <f t="shared" si="1232"/>
        <v>19.579999999999998</v>
      </c>
      <c r="G3262" s="530">
        <v>19.579999999999998</v>
      </c>
      <c r="H3262" s="488">
        <f t="shared" si="1233"/>
        <v>15.66</v>
      </c>
      <c r="I3262" s="707"/>
      <c r="J3262" s="669" t="s">
        <v>5805</v>
      </c>
      <c r="K3262" s="23"/>
      <c r="L3262" s="70" t="str">
        <f t="shared" si="1234"/>
        <v/>
      </c>
      <c r="M3262" s="49">
        <f t="shared" si="1235"/>
        <v>19.579999999999998</v>
      </c>
      <c r="N3262" s="41">
        <f>ROUND(N2749*(1-$AE$3245)^($M$3243-2009),2)</f>
        <v>8.91</v>
      </c>
      <c r="O3262" s="43" t="s">
        <v>1017</v>
      </c>
      <c r="P3262" s="65"/>
      <c r="Q3262" s="65"/>
      <c r="R3262" s="75"/>
      <c r="S3262" s="12" t="s">
        <v>1017</v>
      </c>
      <c r="T3262" s="65"/>
      <c r="U3262" s="65"/>
      <c r="V3262" s="65"/>
      <c r="W3262" s="65"/>
      <c r="X3262" s="65"/>
      <c r="Y3262" s="65"/>
      <c r="Z3262" s="65"/>
      <c r="AA3262" s="65"/>
      <c r="AB3262" s="75"/>
      <c r="AC3262" s="65"/>
      <c r="AD3262" s="53" t="s">
        <v>1017</v>
      </c>
      <c r="AE3262" t="str">
        <f t="shared" si="1236"/>
        <v/>
      </c>
      <c r="AF3262" t="str">
        <f t="shared" si="1237"/>
        <v/>
      </c>
      <c r="AG3262" s="12"/>
    </row>
    <row r="3263" spans="1:255" x14ac:dyDescent="0.25">
      <c r="A3263" s="625" t="s">
        <v>1727</v>
      </c>
      <c r="B3263" s="221" t="s">
        <v>5548</v>
      </c>
      <c r="C3263" s="219" t="str">
        <f t="shared" si="1231"/>
        <v>Inbetriebnahme 2012</v>
      </c>
      <c r="D3263" s="221" t="s">
        <v>5408</v>
      </c>
      <c r="E3263" s="221" t="s">
        <v>4810</v>
      </c>
      <c r="F3263" s="455">
        <f t="shared" si="1232"/>
        <v>8</v>
      </c>
      <c r="G3263" s="530">
        <v>8</v>
      </c>
      <c r="H3263" s="488">
        <f t="shared" si="1233"/>
        <v>6.4</v>
      </c>
      <c r="I3263" s="707"/>
      <c r="J3263" s="669" t="s">
        <v>5805</v>
      </c>
      <c r="K3263" s="23"/>
      <c r="L3263" s="70" t="str">
        <f t="shared" si="1234"/>
        <v/>
      </c>
      <c r="M3263" s="49">
        <f t="shared" si="1235"/>
        <v>8</v>
      </c>
      <c r="N3263" s="41">
        <f t="shared" ref="N3263:N3268" si="1238">ROUND(N2768*(1-$AE$3245)^($M$3243-2009),2)</f>
        <v>8</v>
      </c>
      <c r="O3263" s="61"/>
      <c r="P3263" s="65"/>
      <c r="Q3263" s="65"/>
      <c r="R3263" s="75"/>
      <c r="S3263" s="65"/>
      <c r="T3263" s="12"/>
      <c r="U3263" s="12"/>
      <c r="V3263" s="65"/>
      <c r="W3263" s="65"/>
      <c r="X3263" s="65"/>
      <c r="Y3263" s="65"/>
      <c r="Z3263" s="65"/>
      <c r="AA3263" s="65"/>
      <c r="AB3263" s="75"/>
      <c r="AC3263" s="65"/>
      <c r="AD3263" s="53"/>
      <c r="AE3263" t="str">
        <f t="shared" si="1236"/>
        <v/>
      </c>
      <c r="AF3263" t="str">
        <f t="shared" si="1237"/>
        <v/>
      </c>
      <c r="AG3263" s="12"/>
    </row>
    <row r="3264" spans="1:255" x14ac:dyDescent="0.25">
      <c r="A3264" s="625" t="s">
        <v>1728</v>
      </c>
      <c r="B3264" s="221" t="s">
        <v>5548</v>
      </c>
      <c r="C3264" s="219" t="str">
        <f t="shared" si="1231"/>
        <v>Inbetriebnahme 2012</v>
      </c>
      <c r="D3264" s="221" t="s">
        <v>2904</v>
      </c>
      <c r="E3264" s="221" t="s">
        <v>4812</v>
      </c>
      <c r="F3264" s="455">
        <f t="shared" si="1232"/>
        <v>10.91</v>
      </c>
      <c r="G3264" s="530">
        <v>10.91</v>
      </c>
      <c r="H3264" s="488">
        <f t="shared" si="1233"/>
        <v>8.73</v>
      </c>
      <c r="I3264" s="707"/>
      <c r="J3264" s="669" t="s">
        <v>5805</v>
      </c>
      <c r="K3264" s="23"/>
      <c r="L3264" s="70" t="str">
        <f t="shared" si="1234"/>
        <v/>
      </c>
      <c r="M3264" s="49">
        <f t="shared" si="1235"/>
        <v>10.91</v>
      </c>
      <c r="N3264" s="41">
        <f t="shared" si="1238"/>
        <v>8</v>
      </c>
      <c r="O3264" s="43" t="s">
        <v>1017</v>
      </c>
      <c r="P3264" s="65"/>
      <c r="Q3264" s="65"/>
      <c r="R3264" s="75"/>
      <c r="S3264" s="65"/>
      <c r="T3264" s="12"/>
      <c r="U3264" s="12"/>
      <c r="V3264" s="65"/>
      <c r="W3264" s="65"/>
      <c r="X3264" s="65"/>
      <c r="Y3264" s="65"/>
      <c r="Z3264" s="65"/>
      <c r="AA3264" s="65"/>
      <c r="AB3264" s="75"/>
      <c r="AC3264" s="65"/>
      <c r="AD3264" s="53"/>
      <c r="AE3264" t="str">
        <f t="shared" si="1236"/>
        <v/>
      </c>
      <c r="AF3264" t="str">
        <f t="shared" si="1237"/>
        <v/>
      </c>
      <c r="AG3264" s="12"/>
    </row>
    <row r="3265" spans="1:33" x14ac:dyDescent="0.25">
      <c r="A3265" s="625" t="s">
        <v>1729</v>
      </c>
      <c r="B3265" s="221" t="s">
        <v>5548</v>
      </c>
      <c r="C3265" s="219" t="str">
        <f t="shared" si="1231"/>
        <v>Inbetriebnahme 2012</v>
      </c>
      <c r="D3265" s="221" t="s">
        <v>598</v>
      </c>
      <c r="E3265" s="221" t="s">
        <v>4810</v>
      </c>
      <c r="F3265" s="455">
        <f t="shared" si="1232"/>
        <v>11.879999999999999</v>
      </c>
      <c r="G3265" s="530">
        <v>11.879999999999999</v>
      </c>
      <c r="H3265" s="488">
        <f t="shared" si="1233"/>
        <v>9.5</v>
      </c>
      <c r="I3265" s="707"/>
      <c r="J3265" s="669" t="s">
        <v>5805</v>
      </c>
      <c r="K3265" s="23"/>
      <c r="L3265" s="70" t="str">
        <f t="shared" si="1234"/>
        <v/>
      </c>
      <c r="M3265" s="49">
        <f t="shared" si="1235"/>
        <v>11.879999999999999</v>
      </c>
      <c r="N3265" s="41">
        <f t="shared" si="1238"/>
        <v>8</v>
      </c>
      <c r="O3265" s="61"/>
      <c r="P3265" s="65"/>
      <c r="Q3265" s="65"/>
      <c r="R3265" s="75"/>
      <c r="S3265" s="65"/>
      <c r="T3265" s="12" t="s">
        <v>1017</v>
      </c>
      <c r="U3265" s="12"/>
      <c r="V3265" s="65"/>
      <c r="W3265" s="65"/>
      <c r="X3265" s="65"/>
      <c r="Y3265" s="65"/>
      <c r="Z3265" s="65"/>
      <c r="AA3265" s="65"/>
      <c r="AB3265" s="75"/>
      <c r="AC3265" s="65"/>
      <c r="AD3265" s="53"/>
      <c r="AE3265" t="str">
        <f t="shared" si="1236"/>
        <v/>
      </c>
      <c r="AF3265" t="str">
        <f t="shared" si="1237"/>
        <v/>
      </c>
      <c r="AG3265" s="12"/>
    </row>
    <row r="3266" spans="1:33" x14ac:dyDescent="0.25">
      <c r="A3266" s="625" t="s">
        <v>1730</v>
      </c>
      <c r="B3266" s="221" t="s">
        <v>5548</v>
      </c>
      <c r="C3266" s="219" t="str">
        <f t="shared" si="1231"/>
        <v>Inbetriebnahme 2012</v>
      </c>
      <c r="D3266" s="221" t="s">
        <v>3202</v>
      </c>
      <c r="E3266" s="221" t="s">
        <v>4812</v>
      </c>
      <c r="F3266" s="455">
        <f t="shared" si="1232"/>
        <v>14.79</v>
      </c>
      <c r="G3266" s="530">
        <v>14.79</v>
      </c>
      <c r="H3266" s="488">
        <f t="shared" si="1233"/>
        <v>11.83</v>
      </c>
      <c r="I3266" s="707"/>
      <c r="J3266" s="669" t="s">
        <v>5805</v>
      </c>
      <c r="K3266" s="23"/>
      <c r="L3266" s="70" t="str">
        <f t="shared" si="1234"/>
        <v/>
      </c>
      <c r="M3266" s="49">
        <f t="shared" si="1235"/>
        <v>14.79</v>
      </c>
      <c r="N3266" s="41">
        <f t="shared" si="1238"/>
        <v>8</v>
      </c>
      <c r="O3266" s="43" t="s">
        <v>1017</v>
      </c>
      <c r="P3266" s="65"/>
      <c r="Q3266" s="65"/>
      <c r="R3266" s="75"/>
      <c r="S3266" s="65"/>
      <c r="T3266" s="12" t="s">
        <v>1017</v>
      </c>
      <c r="U3266" s="12"/>
      <c r="V3266" s="65"/>
      <c r="W3266" s="65"/>
      <c r="X3266" s="65"/>
      <c r="Y3266" s="65"/>
      <c r="Z3266" s="65"/>
      <c r="AA3266" s="65"/>
      <c r="AB3266" s="75"/>
      <c r="AC3266" s="65"/>
      <c r="AD3266" s="53"/>
      <c r="AE3266" t="str">
        <f t="shared" si="1236"/>
        <v/>
      </c>
      <c r="AF3266" t="str">
        <f t="shared" si="1237"/>
        <v/>
      </c>
      <c r="AG3266" s="12"/>
    </row>
    <row r="3267" spans="1:33" x14ac:dyDescent="0.25">
      <c r="A3267" s="625" t="s">
        <v>1731</v>
      </c>
      <c r="B3267" s="221" t="s">
        <v>5548</v>
      </c>
      <c r="C3267" s="219" t="str">
        <f t="shared" si="1231"/>
        <v>Inbetriebnahme 2012</v>
      </c>
      <c r="D3267" s="221" t="s">
        <v>599</v>
      </c>
      <c r="E3267" s="221" t="s">
        <v>4810</v>
      </c>
      <c r="F3267" s="455">
        <f t="shared" si="1232"/>
        <v>10.43</v>
      </c>
      <c r="G3267" s="530">
        <v>10.43</v>
      </c>
      <c r="H3267" s="488">
        <f t="shared" si="1233"/>
        <v>8.34</v>
      </c>
      <c r="I3267" s="707"/>
      <c r="J3267" s="669" t="s">
        <v>5805</v>
      </c>
      <c r="K3267" s="23"/>
      <c r="L3267" s="70" t="str">
        <f t="shared" si="1234"/>
        <v/>
      </c>
      <c r="M3267" s="49">
        <f t="shared" si="1235"/>
        <v>10.43</v>
      </c>
      <c r="N3267" s="41">
        <f t="shared" si="1238"/>
        <v>8</v>
      </c>
      <c r="O3267" s="61"/>
      <c r="P3267" s="65"/>
      <c r="Q3267" s="65"/>
      <c r="R3267" s="75"/>
      <c r="S3267" s="65"/>
      <c r="T3267" s="12"/>
      <c r="U3267" s="12" t="s">
        <v>1017</v>
      </c>
      <c r="V3267" s="65"/>
      <c r="W3267" s="65"/>
      <c r="X3267" s="65"/>
      <c r="Y3267" s="65"/>
      <c r="Z3267" s="65"/>
      <c r="AA3267" s="65"/>
      <c r="AB3267" s="75"/>
      <c r="AC3267" s="65"/>
      <c r="AD3267" s="53"/>
      <c r="AE3267" t="str">
        <f t="shared" si="1236"/>
        <v/>
      </c>
      <c r="AF3267" t="str">
        <f t="shared" si="1237"/>
        <v/>
      </c>
      <c r="AG3267" s="12"/>
    </row>
    <row r="3268" spans="1:33" x14ac:dyDescent="0.25">
      <c r="A3268" s="625" t="s">
        <v>1732</v>
      </c>
      <c r="B3268" s="221" t="s">
        <v>5548</v>
      </c>
      <c r="C3268" s="219" t="str">
        <f t="shared" si="1231"/>
        <v>Inbetriebnahme 2012</v>
      </c>
      <c r="D3268" s="221" t="s">
        <v>3203</v>
      </c>
      <c r="E3268" s="221" t="s">
        <v>4812</v>
      </c>
      <c r="F3268" s="455">
        <f t="shared" si="1232"/>
        <v>13.34</v>
      </c>
      <c r="G3268" s="530">
        <v>13.34</v>
      </c>
      <c r="H3268" s="488">
        <f t="shared" si="1233"/>
        <v>10.67</v>
      </c>
      <c r="I3268" s="707"/>
      <c r="J3268" s="669" t="s">
        <v>5805</v>
      </c>
      <c r="K3268" s="23"/>
      <c r="L3268" s="70" t="str">
        <f t="shared" si="1234"/>
        <v/>
      </c>
      <c r="M3268" s="49">
        <f t="shared" si="1235"/>
        <v>13.34</v>
      </c>
      <c r="N3268" s="41">
        <f t="shared" si="1238"/>
        <v>8</v>
      </c>
      <c r="O3268" s="43" t="s">
        <v>1017</v>
      </c>
      <c r="P3268" s="65"/>
      <c r="Q3268" s="65"/>
      <c r="R3268" s="75"/>
      <c r="S3268" s="65"/>
      <c r="T3268" s="12"/>
      <c r="U3268" s="12" t="s">
        <v>1017</v>
      </c>
      <c r="V3268" s="65"/>
      <c r="W3268" s="65"/>
      <c r="X3268" s="65"/>
      <c r="Y3268" s="65"/>
      <c r="Z3268" s="65"/>
      <c r="AA3268" s="65"/>
      <c r="AB3268" s="75"/>
      <c r="AC3268" s="65"/>
      <c r="AD3268" s="53"/>
      <c r="AE3268" t="str">
        <f t="shared" si="1236"/>
        <v/>
      </c>
      <c r="AF3268" t="str">
        <f t="shared" si="1237"/>
        <v/>
      </c>
      <c r="AG3268" s="12"/>
    </row>
    <row r="3269" spans="1:33" x14ac:dyDescent="0.25">
      <c r="A3269" s="625" t="s">
        <v>1733</v>
      </c>
      <c r="B3269" s="221" t="s">
        <v>5548</v>
      </c>
      <c r="C3269" s="219" t="str">
        <f t="shared" si="1231"/>
        <v>Inbetriebnahme 2012</v>
      </c>
      <c r="D3269" s="221" t="s">
        <v>596</v>
      </c>
      <c r="E3269" s="221" t="s">
        <v>4810</v>
      </c>
      <c r="F3269" s="455">
        <f t="shared" si="1232"/>
        <v>9.94</v>
      </c>
      <c r="G3269" s="530">
        <v>9.94</v>
      </c>
      <c r="H3269" s="488">
        <f t="shared" si="1233"/>
        <v>7.95</v>
      </c>
      <c r="I3269" s="707"/>
      <c r="J3269" s="669" t="s">
        <v>5805</v>
      </c>
      <c r="K3269" s="23"/>
      <c r="L3269" s="70" t="str">
        <f t="shared" si="1234"/>
        <v/>
      </c>
      <c r="M3269" s="49">
        <f t="shared" si="1235"/>
        <v>9.94</v>
      </c>
      <c r="N3269" s="41">
        <f t="shared" ref="N3269:N3275" si="1239">ROUND(N2786*(1-$AE$3245)^($M$3243-2009),2)</f>
        <v>8</v>
      </c>
      <c r="O3269" s="61"/>
      <c r="P3269" s="65"/>
      <c r="Q3269" s="65"/>
      <c r="R3269" s="75"/>
      <c r="S3269" s="65"/>
      <c r="T3269" s="12"/>
      <c r="U3269" s="12"/>
      <c r="V3269" s="65"/>
      <c r="W3269" s="65"/>
      <c r="X3269" s="65"/>
      <c r="Y3269" s="65"/>
      <c r="Z3269" s="65"/>
      <c r="AA3269" s="65"/>
      <c r="AB3269" s="75"/>
      <c r="AC3269" s="65"/>
      <c r="AD3269" s="53" t="s">
        <v>1017</v>
      </c>
      <c r="AE3269" t="str">
        <f t="shared" si="1236"/>
        <v/>
      </c>
      <c r="AF3269" t="str">
        <f t="shared" si="1237"/>
        <v/>
      </c>
      <c r="AG3269" s="12"/>
    </row>
    <row r="3270" spans="1:33" x14ac:dyDescent="0.25">
      <c r="A3270" s="625" t="s">
        <v>1734</v>
      </c>
      <c r="B3270" s="221" t="s">
        <v>5548</v>
      </c>
      <c r="C3270" s="219" t="str">
        <f t="shared" si="1231"/>
        <v>Inbetriebnahme 2012</v>
      </c>
      <c r="D3270" s="221" t="s">
        <v>3200</v>
      </c>
      <c r="E3270" s="221" t="s">
        <v>4812</v>
      </c>
      <c r="F3270" s="455">
        <f t="shared" si="1232"/>
        <v>12.85</v>
      </c>
      <c r="G3270" s="530">
        <v>12.85</v>
      </c>
      <c r="H3270" s="488">
        <f t="shared" si="1233"/>
        <v>10.28</v>
      </c>
      <c r="I3270" s="707"/>
      <c r="J3270" s="669" t="s">
        <v>5805</v>
      </c>
      <c r="K3270" s="23"/>
      <c r="L3270" s="70" t="str">
        <f t="shared" si="1234"/>
        <v/>
      </c>
      <c r="M3270" s="49">
        <f t="shared" si="1235"/>
        <v>12.85</v>
      </c>
      <c r="N3270" s="41">
        <f t="shared" si="1239"/>
        <v>8</v>
      </c>
      <c r="O3270" s="43" t="s">
        <v>1017</v>
      </c>
      <c r="P3270" s="65"/>
      <c r="Q3270" s="65"/>
      <c r="R3270" s="75"/>
      <c r="S3270" s="65"/>
      <c r="T3270" s="12"/>
      <c r="U3270" s="12"/>
      <c r="V3270" s="65"/>
      <c r="W3270" s="65"/>
      <c r="X3270" s="65"/>
      <c r="Y3270" s="65"/>
      <c r="Z3270" s="65"/>
      <c r="AA3270" s="65"/>
      <c r="AB3270" s="75"/>
      <c r="AC3270" s="65"/>
      <c r="AD3270" s="53" t="s">
        <v>1017</v>
      </c>
      <c r="AE3270" t="str">
        <f t="shared" si="1236"/>
        <v/>
      </c>
      <c r="AF3270" t="str">
        <f t="shared" si="1237"/>
        <v/>
      </c>
      <c r="AG3270" s="12"/>
    </row>
    <row r="3271" spans="1:33" x14ac:dyDescent="0.25">
      <c r="A3271" s="625" t="s">
        <v>1735</v>
      </c>
      <c r="B3271" s="221" t="s">
        <v>5548</v>
      </c>
      <c r="C3271" s="219" t="str">
        <f t="shared" si="1231"/>
        <v>Inbetriebnahme 2012</v>
      </c>
      <c r="D3271" s="221" t="s">
        <v>851</v>
      </c>
      <c r="E3271" s="221" t="s">
        <v>4810</v>
      </c>
      <c r="F3271" s="455">
        <f t="shared" si="1232"/>
        <v>13.82</v>
      </c>
      <c r="G3271" s="530">
        <v>13.82</v>
      </c>
      <c r="H3271" s="488">
        <f t="shared" si="1233"/>
        <v>11.06</v>
      </c>
      <c r="I3271" s="707"/>
      <c r="J3271" s="669" t="s">
        <v>5805</v>
      </c>
      <c r="K3271" s="23"/>
      <c r="L3271" s="70" t="str">
        <f t="shared" si="1234"/>
        <v/>
      </c>
      <c r="M3271" s="49">
        <f t="shared" si="1235"/>
        <v>13.82</v>
      </c>
      <c r="N3271" s="41">
        <f t="shared" si="1239"/>
        <v>8</v>
      </c>
      <c r="O3271" s="61"/>
      <c r="P3271" s="65"/>
      <c r="Q3271" s="65"/>
      <c r="R3271" s="75"/>
      <c r="S3271" s="65"/>
      <c r="T3271" s="12" t="s">
        <v>1017</v>
      </c>
      <c r="U3271" s="12"/>
      <c r="V3271" s="65"/>
      <c r="W3271" s="65"/>
      <c r="X3271" s="65"/>
      <c r="Y3271" s="65"/>
      <c r="Z3271" s="65"/>
      <c r="AA3271" s="65"/>
      <c r="AB3271" s="75"/>
      <c r="AC3271" s="65"/>
      <c r="AD3271" s="53" t="s">
        <v>1017</v>
      </c>
      <c r="AE3271" t="str">
        <f t="shared" si="1236"/>
        <v/>
      </c>
      <c r="AF3271" t="str">
        <f t="shared" si="1237"/>
        <v/>
      </c>
      <c r="AG3271" s="12"/>
    </row>
    <row r="3272" spans="1:33" x14ac:dyDescent="0.25">
      <c r="A3272" s="625" t="s">
        <v>1736</v>
      </c>
      <c r="B3272" s="221" t="s">
        <v>5548</v>
      </c>
      <c r="C3272" s="219" t="str">
        <f t="shared" si="1231"/>
        <v>Inbetriebnahme 2012</v>
      </c>
      <c r="D3272" s="221" t="s">
        <v>2654</v>
      </c>
      <c r="E3272" s="221" t="s">
        <v>4812</v>
      </c>
      <c r="F3272" s="455">
        <f t="shared" si="1232"/>
        <v>16.73</v>
      </c>
      <c r="G3272" s="530">
        <v>16.73</v>
      </c>
      <c r="H3272" s="488">
        <f t="shared" si="1233"/>
        <v>13.38</v>
      </c>
      <c r="I3272" s="707"/>
      <c r="J3272" s="669" t="s">
        <v>5805</v>
      </c>
      <c r="K3272" s="23"/>
      <c r="L3272" s="70" t="str">
        <f t="shared" si="1234"/>
        <v/>
      </c>
      <c r="M3272" s="49">
        <f t="shared" si="1235"/>
        <v>16.73</v>
      </c>
      <c r="N3272" s="41">
        <f t="shared" si="1239"/>
        <v>8</v>
      </c>
      <c r="O3272" s="43" t="s">
        <v>1017</v>
      </c>
      <c r="P3272" s="65"/>
      <c r="Q3272" s="65"/>
      <c r="R3272" s="75"/>
      <c r="S3272" s="65"/>
      <c r="T3272" s="12" t="s">
        <v>1017</v>
      </c>
      <c r="U3272" s="12"/>
      <c r="V3272" s="65"/>
      <c r="W3272" s="65"/>
      <c r="X3272" s="65"/>
      <c r="Y3272" s="65"/>
      <c r="Z3272" s="65"/>
      <c r="AA3272" s="65"/>
      <c r="AB3272" s="75"/>
      <c r="AC3272" s="65"/>
      <c r="AD3272" s="53" t="s">
        <v>1017</v>
      </c>
      <c r="AE3272" t="str">
        <f t="shared" si="1236"/>
        <v/>
      </c>
      <c r="AF3272" t="str">
        <f t="shared" si="1237"/>
        <v/>
      </c>
      <c r="AG3272" s="12"/>
    </row>
    <row r="3273" spans="1:33" x14ac:dyDescent="0.25">
      <c r="A3273" s="625" t="s">
        <v>1737</v>
      </c>
      <c r="B3273" s="221" t="s">
        <v>5548</v>
      </c>
      <c r="C3273" s="219" t="str">
        <f t="shared" si="1231"/>
        <v>Inbetriebnahme 2012</v>
      </c>
      <c r="D3273" s="221" t="s">
        <v>2368</v>
      </c>
      <c r="E3273" s="221" t="s">
        <v>4810</v>
      </c>
      <c r="F3273" s="455">
        <f t="shared" si="1232"/>
        <v>12.370000000000001</v>
      </c>
      <c r="G3273" s="530">
        <v>12.370000000000001</v>
      </c>
      <c r="H3273" s="488">
        <f t="shared" si="1233"/>
        <v>9.9</v>
      </c>
      <c r="I3273" s="707"/>
      <c r="J3273" s="669" t="s">
        <v>5805</v>
      </c>
      <c r="K3273" s="23"/>
      <c r="L3273" s="70" t="str">
        <f t="shared" si="1234"/>
        <v/>
      </c>
      <c r="M3273" s="49">
        <f t="shared" si="1235"/>
        <v>12.370000000000001</v>
      </c>
      <c r="N3273" s="41">
        <f t="shared" si="1239"/>
        <v>8</v>
      </c>
      <c r="O3273" s="61"/>
      <c r="P3273" s="65"/>
      <c r="Q3273" s="65"/>
      <c r="R3273" s="75"/>
      <c r="S3273" s="65"/>
      <c r="T3273" s="12"/>
      <c r="U3273" s="12" t="s">
        <v>1017</v>
      </c>
      <c r="V3273" s="65"/>
      <c r="W3273" s="65"/>
      <c r="X3273" s="65"/>
      <c r="Y3273" s="65"/>
      <c r="Z3273" s="65"/>
      <c r="AA3273" s="65"/>
      <c r="AB3273" s="75"/>
      <c r="AC3273" s="65"/>
      <c r="AD3273" s="53" t="s">
        <v>1017</v>
      </c>
      <c r="AE3273" t="str">
        <f t="shared" si="1236"/>
        <v/>
      </c>
      <c r="AF3273" t="str">
        <f t="shared" si="1237"/>
        <v/>
      </c>
      <c r="AG3273" s="12"/>
    </row>
    <row r="3274" spans="1:33" x14ac:dyDescent="0.25">
      <c r="A3274" s="625" t="s">
        <v>1738</v>
      </c>
      <c r="B3274" s="221" t="s">
        <v>5548</v>
      </c>
      <c r="C3274" s="219" t="str">
        <f t="shared" si="1231"/>
        <v>Inbetriebnahme 2012</v>
      </c>
      <c r="D3274" s="221" t="s">
        <v>2655</v>
      </c>
      <c r="E3274" s="221" t="s">
        <v>4812</v>
      </c>
      <c r="F3274" s="455">
        <f t="shared" si="1232"/>
        <v>15.28</v>
      </c>
      <c r="G3274" s="530">
        <v>15.28</v>
      </c>
      <c r="H3274" s="488">
        <f t="shared" si="1233"/>
        <v>12.22</v>
      </c>
      <c r="I3274" s="707"/>
      <c r="J3274" s="669" t="s">
        <v>5805</v>
      </c>
      <c r="K3274" s="23"/>
      <c r="L3274" s="70" t="str">
        <f t="shared" si="1234"/>
        <v/>
      </c>
      <c r="M3274" s="49">
        <f t="shared" si="1235"/>
        <v>15.28</v>
      </c>
      <c r="N3274" s="41">
        <f t="shared" si="1239"/>
        <v>8</v>
      </c>
      <c r="O3274" s="43" t="s">
        <v>1017</v>
      </c>
      <c r="P3274" s="65"/>
      <c r="Q3274" s="65"/>
      <c r="R3274" s="75"/>
      <c r="S3274" s="65"/>
      <c r="T3274" s="12"/>
      <c r="U3274" s="12" t="s">
        <v>1017</v>
      </c>
      <c r="V3274" s="65"/>
      <c r="W3274" s="65"/>
      <c r="X3274" s="65"/>
      <c r="Y3274" s="65"/>
      <c r="Z3274" s="65"/>
      <c r="AA3274" s="65"/>
      <c r="AB3274" s="75"/>
      <c r="AC3274" s="65"/>
      <c r="AD3274" s="53" t="s">
        <v>1017</v>
      </c>
      <c r="AE3274" t="str">
        <f t="shared" si="1236"/>
        <v/>
      </c>
      <c r="AF3274" t="str">
        <f t="shared" si="1237"/>
        <v/>
      </c>
      <c r="AG3274" s="12"/>
    </row>
    <row r="3275" spans="1:33" x14ac:dyDescent="0.25">
      <c r="A3275" s="625" t="s">
        <v>1739</v>
      </c>
      <c r="B3275" s="221" t="s">
        <v>5548</v>
      </c>
      <c r="C3275" s="219" t="str">
        <f t="shared" si="1231"/>
        <v>Inbetriebnahme 2012</v>
      </c>
      <c r="D3275" s="221" t="s">
        <v>2905</v>
      </c>
      <c r="E3275" s="221" t="s">
        <v>4812</v>
      </c>
      <c r="F3275" s="455">
        <f t="shared" si="1232"/>
        <v>10.469999999999999</v>
      </c>
      <c r="G3275" s="530">
        <v>10.469999999999999</v>
      </c>
      <c r="H3275" s="488">
        <f t="shared" si="1233"/>
        <v>8.3800000000000008</v>
      </c>
      <c r="I3275" s="707"/>
      <c r="J3275" s="669" t="s">
        <v>5805</v>
      </c>
      <c r="K3275" s="82"/>
      <c r="L3275" s="83" t="str">
        <f t="shared" si="1234"/>
        <v/>
      </c>
      <c r="M3275" s="49">
        <f t="shared" si="1235"/>
        <v>10.469999999999999</v>
      </c>
      <c r="N3275" s="41">
        <f t="shared" si="1239"/>
        <v>7.56</v>
      </c>
      <c r="O3275" s="84" t="s">
        <v>1017</v>
      </c>
      <c r="P3275" s="206" t="s">
        <v>1976</v>
      </c>
      <c r="Q3275" s="207"/>
      <c r="R3275" s="208"/>
      <c r="S3275" s="207"/>
      <c r="T3275" s="207"/>
      <c r="U3275" s="207"/>
      <c r="V3275" s="207"/>
      <c r="W3275" s="207"/>
      <c r="X3275" s="207"/>
      <c r="Y3275" s="207"/>
      <c r="Z3275" s="207"/>
      <c r="AA3275" s="209"/>
      <c r="AB3275" s="207"/>
      <c r="AC3275" s="207"/>
      <c r="AD3275" s="209"/>
      <c r="AE3275" t="str">
        <f t="shared" si="1236"/>
        <v/>
      </c>
      <c r="AF3275" t="str">
        <f t="shared" si="1237"/>
        <v/>
      </c>
      <c r="AG3275" s="12"/>
    </row>
    <row r="3276" spans="1:33" x14ac:dyDescent="0.25">
      <c r="A3276" s="4"/>
      <c r="B3276" s="2"/>
      <c r="C3276" s="34"/>
      <c r="D3276" s="2"/>
      <c r="E3276" s="2"/>
      <c r="F3276" s="456"/>
      <c r="G3276" s="531"/>
      <c r="H3276" s="489"/>
      <c r="I3276" s="708"/>
      <c r="J3276" s="669" t="s">
        <v>4180</v>
      </c>
      <c r="K3276" s="224"/>
      <c r="L3276" s="70"/>
      <c r="M3276" s="49"/>
      <c r="N3276" s="41"/>
      <c r="O3276" s="35"/>
      <c r="P3276" s="225"/>
      <c r="Q3276" s="226"/>
      <c r="R3276" s="226"/>
      <c r="S3276" s="226"/>
      <c r="T3276" s="226"/>
      <c r="U3276" s="226"/>
      <c r="V3276" s="226"/>
      <c r="W3276" s="226"/>
      <c r="X3276" s="226"/>
      <c r="Y3276" s="226"/>
      <c r="Z3276" s="226"/>
      <c r="AA3276" s="226"/>
      <c r="AB3276" s="226"/>
      <c r="AC3276" s="226"/>
      <c r="AD3276" s="226"/>
      <c r="AG3276" s="12"/>
    </row>
    <row r="3277" spans="1:33" s="259" customFormat="1" ht="20.25" customHeight="1" x14ac:dyDescent="0.25">
      <c r="A3277" s="266" t="s">
        <v>1767</v>
      </c>
      <c r="B3277" s="255"/>
      <c r="C3277" s="256"/>
      <c r="D3277" s="255"/>
      <c r="E3277" s="256"/>
      <c r="F3277" s="463"/>
      <c r="G3277" s="539"/>
      <c r="H3277" s="257"/>
      <c r="I3277" s="717"/>
      <c r="J3277" s="669" t="s">
        <v>4180</v>
      </c>
      <c r="K3277" s="258"/>
      <c r="M3277" s="260" t="str">
        <f>"Vergütungsberechnung für Anlagen mit Inbetriebnahmejahr "&amp; M3278 &amp; " nach EEG 2012"</f>
        <v>Vergütungsberechnung für Anlagen mit Inbetriebnahmejahr 2012 nach EEG 2012</v>
      </c>
      <c r="N3277" s="261"/>
      <c r="O3277" s="261"/>
      <c r="AG3277" s="262"/>
    </row>
    <row r="3278" spans="1:33" s="238" customFormat="1" ht="39.75" customHeight="1" x14ac:dyDescent="0.25">
      <c r="A3278" s="229"/>
      <c r="B3278" s="230"/>
      <c r="C3278" s="231"/>
      <c r="D3278" s="231"/>
      <c r="E3278" s="232"/>
      <c r="F3278" s="464"/>
      <c r="G3278" s="540"/>
      <c r="H3278" s="496"/>
      <c r="I3278" s="718"/>
      <c r="J3278" s="669" t="s">
        <v>4180</v>
      </c>
      <c r="K3278" s="234"/>
      <c r="L3278" s="234"/>
      <c r="M3278" s="235">
        <v>2012</v>
      </c>
      <c r="N3278" s="234"/>
      <c r="O3278" s="1137" t="s">
        <v>1743</v>
      </c>
      <c r="P3278" s="1138"/>
      <c r="Q3278" s="1138"/>
      <c r="R3278" s="1139"/>
      <c r="S3278" s="1137" t="s">
        <v>1744</v>
      </c>
      <c r="T3278" s="1138"/>
      <c r="U3278" s="1139"/>
      <c r="V3278" s="1158" t="s">
        <v>1745</v>
      </c>
      <c r="W3278" s="1159"/>
      <c r="X3278" s="1160"/>
      <c r="Y3278" s="236"/>
      <c r="Z3278" s="237"/>
    </row>
    <row r="3279" spans="1:33" s="238" customFormat="1" ht="57.75" customHeight="1" x14ac:dyDescent="0.2">
      <c r="A3279" s="229"/>
      <c r="B3279" s="230"/>
      <c r="C3279" s="231"/>
      <c r="D3279" s="231"/>
      <c r="E3279" s="232"/>
      <c r="F3279" s="464"/>
      <c r="G3279" s="540"/>
      <c r="H3279" s="496"/>
      <c r="I3279" s="718"/>
      <c r="J3279" s="669" t="s">
        <v>4180</v>
      </c>
      <c r="K3279" s="234"/>
      <c r="L3279" s="234"/>
      <c r="M3279" s="242" t="s">
        <v>2914</v>
      </c>
      <c r="N3279" s="243" t="s">
        <v>511</v>
      </c>
      <c r="O3279" s="246" t="s">
        <v>1762</v>
      </c>
      <c r="P3279" s="244" t="s">
        <v>1759</v>
      </c>
      <c r="Q3279" s="244" t="s">
        <v>1760</v>
      </c>
      <c r="R3279" s="245" t="s">
        <v>1761</v>
      </c>
      <c r="S3279" s="246" t="s">
        <v>1756</v>
      </c>
      <c r="T3279" s="244" t="s">
        <v>1757</v>
      </c>
      <c r="U3279" s="245" t="s">
        <v>1758</v>
      </c>
      <c r="V3279" s="247" t="s">
        <v>1746</v>
      </c>
      <c r="W3279" s="248" t="s">
        <v>1747</v>
      </c>
      <c r="X3279" s="249" t="s">
        <v>1748</v>
      </c>
      <c r="Y3279" s="118" t="s">
        <v>505</v>
      </c>
    </row>
    <row r="3280" spans="1:33" x14ac:dyDescent="0.25">
      <c r="A3280" s="4"/>
      <c r="B3280" s="2"/>
      <c r="C3280" s="22"/>
      <c r="D3280" s="22"/>
      <c r="E3280" s="34"/>
      <c r="F3280" s="456"/>
      <c r="G3280" s="531"/>
      <c r="H3280" s="489"/>
      <c r="I3280" s="708"/>
      <c r="J3280" s="669" t="s">
        <v>4180</v>
      </c>
      <c r="K3280" s="29"/>
      <c r="L3280" s="29"/>
      <c r="M3280" s="46"/>
      <c r="N3280" s="42"/>
      <c r="O3280" s="250" t="s">
        <v>1749</v>
      </c>
      <c r="P3280" s="251" t="s">
        <v>1750</v>
      </c>
      <c r="Q3280" s="251" t="s">
        <v>1751</v>
      </c>
      <c r="R3280" s="251" t="s">
        <v>1752</v>
      </c>
      <c r="S3280" s="250" t="s">
        <v>1753</v>
      </c>
      <c r="T3280" s="251" t="s">
        <v>1754</v>
      </c>
      <c r="U3280" s="252" t="s">
        <v>1755</v>
      </c>
      <c r="V3280" s="250" t="s">
        <v>1740</v>
      </c>
      <c r="W3280" s="251" t="s">
        <v>1741</v>
      </c>
      <c r="X3280" s="252" t="s">
        <v>1742</v>
      </c>
      <c r="Y3280" s="275">
        <v>0.02</v>
      </c>
      <c r="Z3280" s="280" t="s">
        <v>4238</v>
      </c>
    </row>
    <row r="3281" spans="1:52" x14ac:dyDescent="0.25">
      <c r="A3281" s="609"/>
      <c r="B3281" s="1"/>
      <c r="C3281" s="1"/>
      <c r="D3281" s="2"/>
      <c r="E3281" s="1"/>
      <c r="F3281" s="457"/>
      <c r="G3281" s="532"/>
      <c r="H3281" s="490"/>
      <c r="I3281" s="709"/>
      <c r="J3281" s="669" t="s">
        <v>4180</v>
      </c>
      <c r="L3281" s="71"/>
      <c r="M3281" s="47"/>
      <c r="N3281" s="40"/>
      <c r="O3281" s="227">
        <v>6</v>
      </c>
      <c r="P3281" s="240">
        <v>5</v>
      </c>
      <c r="Q3281" s="240">
        <v>4</v>
      </c>
      <c r="R3281" s="241">
        <v>2.5</v>
      </c>
      <c r="S3281" s="227">
        <v>8</v>
      </c>
      <c r="T3281" s="240">
        <v>8</v>
      </c>
      <c r="U3281" s="241">
        <v>6</v>
      </c>
      <c r="V3281" s="45">
        <v>3</v>
      </c>
      <c r="W3281" s="40">
        <v>2</v>
      </c>
      <c r="X3281" s="52">
        <v>1</v>
      </c>
      <c r="Y3281" s="205" t="str">
        <f xml:space="preserve"> "Bonushöhe bei Inbetriebnahme in " &amp; M3278</f>
        <v>Bonushöhe bei Inbetriebnahme in 2012</v>
      </c>
      <c r="AH3281" t="s">
        <v>1749</v>
      </c>
      <c r="AI3281" t="s">
        <v>1750</v>
      </c>
      <c r="AJ3281" t="s">
        <v>1751</v>
      </c>
      <c r="AK3281" t="s">
        <v>1752</v>
      </c>
      <c r="AL3281" t="s">
        <v>1753</v>
      </c>
      <c r="AM3281" t="s">
        <v>1754</v>
      </c>
      <c r="AN3281" t="s">
        <v>1755</v>
      </c>
      <c r="AO3281" t="s">
        <v>1740</v>
      </c>
      <c r="AP3281" t="s">
        <v>1741</v>
      </c>
      <c r="AQ3281" t="s">
        <v>1742</v>
      </c>
      <c r="AR3281" t="s">
        <v>1764</v>
      </c>
      <c r="AS3281" t="s">
        <v>1765</v>
      </c>
      <c r="AT3281" t="s">
        <v>1766</v>
      </c>
      <c r="AU3281" t="s">
        <v>669</v>
      </c>
      <c r="AV3281" t="s">
        <v>1763</v>
      </c>
    </row>
    <row r="3282" spans="1:52" x14ac:dyDescent="0.25">
      <c r="A3282" s="613" t="str">
        <f t="shared" ref="A3282:A3297" si="1240">"BiK270"&amp;AU3282&amp;RIGHT("------",6-LEN(AU3282))&amp;RIGHT($M$3278,2)</f>
        <v>BiK270------12</v>
      </c>
      <c r="B3282" s="283" t="s">
        <v>5548</v>
      </c>
      <c r="C3282" s="284" t="str">
        <f t="shared" ref="C3282:C3313" si="1241">"Inbetriebnahme "&amp;$M$3278</f>
        <v>Inbetriebnahme 2012</v>
      </c>
      <c r="D3282" s="283" t="str">
        <f t="shared" ref="D3282:D3313" si="1242">IF(COUNTA(O3282:X3282)=0,AH3282,AH3282&amp;", Bonusregel"&amp;IF(AND(COUNTA(O3282:U3282)&gt;0,COUNTA(V3282:X3282)&gt;0),"n "&amp;AK3282&amp;AL3282&amp;AM3282&amp;AN3282&amp;AO3282&amp;AP3282&amp;AQ3282&amp;", "&amp;AR3282&amp;AS3282&amp;AT3282," "&amp;AK3282&amp;AL3282&amp;AM3282&amp;AN3282&amp;AO3282&amp;AP3282&amp;AQ3282&amp;AR3282&amp;AS3282&amp;AT3282))</f>
        <v>0-0,15 MW</v>
      </c>
      <c r="E3282" s="283"/>
      <c r="F3282" s="465">
        <f t="shared" ref="F3282:F3313" si="1243">M3282</f>
        <v>14.3</v>
      </c>
      <c r="G3282" s="541">
        <v>14.3</v>
      </c>
      <c r="H3282" s="497">
        <f t="shared" ref="H3282:H3313" si="1244">IF(ISNUMBER(G3282),ROUND(0.8*G3282,2),"")</f>
        <v>11.44</v>
      </c>
      <c r="I3282" s="719"/>
      <c r="J3282" s="669" t="s">
        <v>5805</v>
      </c>
      <c r="K3282" s="23"/>
      <c r="L3282" s="70" t="str">
        <f t="shared" ref="L3282:L3313" si="1245">IF(F3282=M3282,"",FALSE)</f>
        <v/>
      </c>
      <c r="M3282" s="49">
        <f t="shared" ref="M3282:M3313" si="1246">N3282+SUMIF(O3282:X3282,"x",$O$3281:$X$3281)</f>
        <v>14.3</v>
      </c>
      <c r="N3282" s="41">
        <v>14.3</v>
      </c>
      <c r="O3282" s="60"/>
      <c r="P3282" s="65"/>
      <c r="Q3282" s="65"/>
      <c r="R3282" s="65"/>
      <c r="S3282" s="60"/>
      <c r="T3282" s="239"/>
      <c r="U3282" s="65"/>
      <c r="V3282" s="60"/>
      <c r="W3282" s="29"/>
      <c r="X3282" s="62"/>
      <c r="AH3282" s="253" t="s">
        <v>1780</v>
      </c>
      <c r="AK3282" t="str">
        <f t="shared" ref="AK3282:AK3313" si="1247">IF(O3282="x",O$3280,"")</f>
        <v/>
      </c>
      <c r="AL3282" t="str">
        <f t="shared" ref="AL3282:AL3313" si="1248">IF(P3282="x",P$3280,"")</f>
        <v/>
      </c>
      <c r="AM3282" t="str">
        <f t="shared" ref="AM3282:AM3313" si="1249">IF(Q3282="x",Q$3280,"")</f>
        <v/>
      </c>
      <c r="AN3282" t="str">
        <f t="shared" ref="AN3282:AN3313" si="1250">IF(R3282="x",R$3280,"")</f>
        <v/>
      </c>
      <c r="AO3282" t="str">
        <f t="shared" ref="AO3282:AO3313" si="1251">IF(S3282="x",S$3280,"")</f>
        <v/>
      </c>
      <c r="AP3282" t="str">
        <f t="shared" ref="AP3282:AP3313" si="1252">IF(T3282="x",T$3280,"")</f>
        <v/>
      </c>
      <c r="AQ3282" t="str">
        <f t="shared" ref="AQ3282:AQ3313" si="1253">IF(U3282="x",U$3280,"")</f>
        <v/>
      </c>
      <c r="AR3282" t="str">
        <f t="shared" ref="AR3282:AR3313" si="1254">IF(V3282="x",V$3280,"")</f>
        <v/>
      </c>
      <c r="AS3282" t="str">
        <f t="shared" ref="AS3282:AS3313" si="1255">IF(W3282="x",W$3280,"")</f>
        <v/>
      </c>
      <c r="AT3282" t="str">
        <f t="shared" ref="AT3282:AT3313" si="1256">IF(X3282="x",X$3280,"")</f>
        <v/>
      </c>
      <c r="AU3282" t="str">
        <f t="shared" ref="AU3282:AU3313" si="1257">AK3282&amp;AL3282&amp;AM3282&amp;AN3282&amp;AO3282&amp;AP3282&amp;AQ3282&amp;AR3282&amp;AS3282&amp;AT3282</f>
        <v/>
      </c>
      <c r="AV3282" s="254" t="str">
        <f t="shared" ref="AV3282:AV3297" si="1258">"BiK270"&amp;AU3282&amp;RIGHT("------",6-LEN(AU3282))&amp;RIGHT($M$3278,2)</f>
        <v>BiK270------12</v>
      </c>
      <c r="AW3282">
        <f t="shared" ref="AW3282:AW3313" si="1259">LEN(AV3282)</f>
        <v>14</v>
      </c>
      <c r="AX3282" t="str">
        <f t="shared" ref="AX3282:AX3313" si="1260">IF(COUNTA(O3282:X3282)=0,AH3282,AH3282&amp;", Bonusregel"&amp;IF(AND(COUNTA(O3282:U3282)&gt;0,COUNTA(V3282:X3282)&gt;0),"n "&amp;AK3282&amp;AL3282&amp;AM3282&amp;AN3282&amp;AO3282&amp;AP3282&amp;AQ3282&amp;", "&amp;AR3282&amp;AS3282&amp;AT3282," "&amp;AK3282&amp;AL3282&amp;AM3282&amp;AN3282&amp;AO3282&amp;AP3282&amp;AQ3282&amp;AR3282&amp;AS3282&amp;AT3282))</f>
        <v>0-0,15 MW</v>
      </c>
      <c r="AY3282" t="str">
        <f t="shared" ref="AY3282:AY3313" si="1261">IF(COUNTA(O3282:U3282)&gt;1,"Fehler ESVK",IF(COUNTA(V3282:X3282)&gt;1,"Fehler GAB",IF(AW3282&lt;&gt;14,"Fehler Kategorie","")))</f>
        <v/>
      </c>
      <c r="AZ3282" t="str">
        <f>SUBSTITUTE(AU3282,", ","")</f>
        <v/>
      </c>
    </row>
    <row r="3283" spans="1:52" x14ac:dyDescent="0.25">
      <c r="A3283" s="613" t="str">
        <f t="shared" si="1240"/>
        <v>BiK270E1a---12</v>
      </c>
      <c r="B3283" s="283" t="s">
        <v>5548</v>
      </c>
      <c r="C3283" s="284" t="str">
        <f t="shared" si="1241"/>
        <v>Inbetriebnahme 2012</v>
      </c>
      <c r="D3283" s="283" t="str">
        <f t="shared" si="1242"/>
        <v>0-0,15 MW, Bonusregel E1a</v>
      </c>
      <c r="E3283" s="283"/>
      <c r="F3283" s="465">
        <f t="shared" si="1243"/>
        <v>20.3</v>
      </c>
      <c r="G3283" s="541">
        <v>20.3</v>
      </c>
      <c r="H3283" s="497">
        <f t="shared" si="1244"/>
        <v>16.239999999999998</v>
      </c>
      <c r="I3283" s="719"/>
      <c r="J3283" s="669" t="s">
        <v>5805</v>
      </c>
      <c r="K3283" s="23"/>
      <c r="L3283" s="70" t="str">
        <f t="shared" si="1245"/>
        <v/>
      </c>
      <c r="M3283" s="49">
        <f t="shared" si="1246"/>
        <v>20.3</v>
      </c>
      <c r="N3283" s="41">
        <f t="shared" ref="N3283:N3297" si="1262">N3282</f>
        <v>14.3</v>
      </c>
      <c r="O3283" s="228" t="s">
        <v>1017</v>
      </c>
      <c r="P3283" s="65"/>
      <c r="Q3283" s="65"/>
      <c r="R3283" s="65"/>
      <c r="S3283" s="43"/>
      <c r="T3283" s="35"/>
      <c r="U3283" s="65"/>
      <c r="V3283" s="43"/>
      <c r="W3283" s="35"/>
      <c r="X3283" s="50"/>
      <c r="AH3283" s="253" t="s">
        <v>1780</v>
      </c>
      <c r="AK3283" t="str">
        <f t="shared" si="1247"/>
        <v>E1a</v>
      </c>
      <c r="AL3283" t="str">
        <f t="shared" si="1248"/>
        <v/>
      </c>
      <c r="AM3283" t="str">
        <f t="shared" si="1249"/>
        <v/>
      </c>
      <c r="AN3283" t="str">
        <f t="shared" si="1250"/>
        <v/>
      </c>
      <c r="AO3283" t="str">
        <f t="shared" si="1251"/>
        <v/>
      </c>
      <c r="AP3283" t="str">
        <f t="shared" si="1252"/>
        <v/>
      </c>
      <c r="AQ3283" t="str">
        <f t="shared" si="1253"/>
        <v/>
      </c>
      <c r="AR3283" t="str">
        <f t="shared" si="1254"/>
        <v/>
      </c>
      <c r="AS3283" t="str">
        <f t="shared" si="1255"/>
        <v/>
      </c>
      <c r="AT3283" t="str">
        <f t="shared" si="1256"/>
        <v/>
      </c>
      <c r="AU3283" t="str">
        <f t="shared" si="1257"/>
        <v>E1a</v>
      </c>
      <c r="AV3283" s="254" t="str">
        <f t="shared" si="1258"/>
        <v>BiK270E1a---12</v>
      </c>
      <c r="AW3283">
        <f t="shared" si="1259"/>
        <v>14</v>
      </c>
      <c r="AX3283" t="str">
        <f t="shared" si="1260"/>
        <v>0-0,15 MW, Bonusregel E1a</v>
      </c>
      <c r="AY3283" t="str">
        <f t="shared" si="1261"/>
        <v/>
      </c>
    </row>
    <row r="3284" spans="1:52" x14ac:dyDescent="0.25">
      <c r="A3284" s="613" t="str">
        <f t="shared" si="1240"/>
        <v>BiK270E2a---12</v>
      </c>
      <c r="B3284" s="283" t="s">
        <v>5548</v>
      </c>
      <c r="C3284" s="284" t="str">
        <f t="shared" si="1241"/>
        <v>Inbetriebnahme 2012</v>
      </c>
      <c r="D3284" s="283" t="str">
        <f t="shared" si="1242"/>
        <v>0-0,15 MW, Bonusregel E2a</v>
      </c>
      <c r="E3284" s="283"/>
      <c r="F3284" s="465">
        <f t="shared" si="1243"/>
        <v>22.3</v>
      </c>
      <c r="G3284" s="541">
        <v>22.3</v>
      </c>
      <c r="H3284" s="497">
        <f t="shared" si="1244"/>
        <v>17.84</v>
      </c>
      <c r="I3284" s="719"/>
      <c r="J3284" s="669" t="s">
        <v>5805</v>
      </c>
      <c r="K3284" s="23"/>
      <c r="L3284" s="70" t="str">
        <f t="shared" si="1245"/>
        <v/>
      </c>
      <c r="M3284" s="49">
        <f t="shared" si="1246"/>
        <v>22.3</v>
      </c>
      <c r="N3284" s="41">
        <f t="shared" si="1262"/>
        <v>14.3</v>
      </c>
      <c r="O3284" s="61"/>
      <c r="P3284" s="65"/>
      <c r="Q3284" s="65"/>
      <c r="R3284" s="65"/>
      <c r="S3284" s="228" t="s">
        <v>1017</v>
      </c>
      <c r="T3284" s="29"/>
      <c r="U3284" s="65"/>
      <c r="V3284" s="61"/>
      <c r="W3284" s="29"/>
      <c r="X3284" s="50"/>
      <c r="AH3284" s="253" t="s">
        <v>1780</v>
      </c>
      <c r="AK3284" t="str">
        <f t="shared" si="1247"/>
        <v/>
      </c>
      <c r="AL3284" t="str">
        <f t="shared" si="1248"/>
        <v/>
      </c>
      <c r="AM3284" t="str">
        <f t="shared" si="1249"/>
        <v/>
      </c>
      <c r="AN3284" t="str">
        <f t="shared" si="1250"/>
        <v/>
      </c>
      <c r="AO3284" t="str">
        <f t="shared" si="1251"/>
        <v>E2a</v>
      </c>
      <c r="AP3284" t="str">
        <f t="shared" si="1252"/>
        <v/>
      </c>
      <c r="AQ3284" t="str">
        <f t="shared" si="1253"/>
        <v/>
      </c>
      <c r="AR3284" t="str">
        <f t="shared" si="1254"/>
        <v/>
      </c>
      <c r="AS3284" t="str">
        <f t="shared" si="1255"/>
        <v/>
      </c>
      <c r="AT3284" t="str">
        <f t="shared" si="1256"/>
        <v/>
      </c>
      <c r="AU3284" t="str">
        <f t="shared" si="1257"/>
        <v>E2a</v>
      </c>
      <c r="AV3284" s="254" t="str">
        <f t="shared" si="1258"/>
        <v>BiK270E2a---12</v>
      </c>
      <c r="AW3284">
        <f t="shared" si="1259"/>
        <v>14</v>
      </c>
      <c r="AX3284" t="str">
        <f t="shared" si="1260"/>
        <v>0-0,15 MW, Bonusregel E2a</v>
      </c>
      <c r="AY3284" t="str">
        <f t="shared" si="1261"/>
        <v/>
      </c>
    </row>
    <row r="3285" spans="1:52" x14ac:dyDescent="0.25">
      <c r="A3285" s="613" t="str">
        <f t="shared" si="1240"/>
        <v>BiK270E2b---12</v>
      </c>
      <c r="B3285" s="283" t="s">
        <v>5548</v>
      </c>
      <c r="C3285" s="284" t="str">
        <f t="shared" si="1241"/>
        <v>Inbetriebnahme 2012</v>
      </c>
      <c r="D3285" s="283" t="str">
        <f t="shared" si="1242"/>
        <v>0-0,15 MW, Bonusregel E2b</v>
      </c>
      <c r="E3285" s="283"/>
      <c r="F3285" s="465">
        <f t="shared" si="1243"/>
        <v>22.3</v>
      </c>
      <c r="G3285" s="541">
        <v>22.3</v>
      </c>
      <c r="H3285" s="497">
        <f t="shared" si="1244"/>
        <v>17.84</v>
      </c>
      <c r="I3285" s="719"/>
      <c r="J3285" s="669" t="s">
        <v>5805</v>
      </c>
      <c r="K3285" s="23"/>
      <c r="L3285" s="70" t="str">
        <f t="shared" si="1245"/>
        <v/>
      </c>
      <c r="M3285" s="49">
        <f t="shared" si="1246"/>
        <v>22.3</v>
      </c>
      <c r="N3285" s="41">
        <f t="shared" si="1262"/>
        <v>14.3</v>
      </c>
      <c r="O3285" s="43"/>
      <c r="P3285" s="65"/>
      <c r="Q3285" s="65"/>
      <c r="R3285" s="65"/>
      <c r="S3285" s="228"/>
      <c r="T3285" s="253" t="s">
        <v>1017</v>
      </c>
      <c r="U3285" s="65"/>
      <c r="V3285" s="43"/>
      <c r="W3285" s="35"/>
      <c r="X3285" s="50"/>
      <c r="AH3285" s="253" t="s">
        <v>1780</v>
      </c>
      <c r="AK3285" t="str">
        <f t="shared" si="1247"/>
        <v/>
      </c>
      <c r="AL3285" t="str">
        <f t="shared" si="1248"/>
        <v/>
      </c>
      <c r="AM3285" t="str">
        <f t="shared" si="1249"/>
        <v/>
      </c>
      <c r="AN3285" t="str">
        <f t="shared" si="1250"/>
        <v/>
      </c>
      <c r="AO3285" t="str">
        <f t="shared" si="1251"/>
        <v/>
      </c>
      <c r="AP3285" t="str">
        <f t="shared" si="1252"/>
        <v>E2b</v>
      </c>
      <c r="AQ3285" t="str">
        <f t="shared" si="1253"/>
        <v/>
      </c>
      <c r="AR3285" t="str">
        <f t="shared" si="1254"/>
        <v/>
      </c>
      <c r="AS3285" t="str">
        <f t="shared" si="1255"/>
        <v/>
      </c>
      <c r="AT3285" t="str">
        <f t="shared" si="1256"/>
        <v/>
      </c>
      <c r="AU3285" t="str">
        <f t="shared" si="1257"/>
        <v>E2b</v>
      </c>
      <c r="AV3285" s="254" t="str">
        <f t="shared" si="1258"/>
        <v>BiK270E2b---12</v>
      </c>
      <c r="AW3285">
        <f t="shared" si="1259"/>
        <v>14</v>
      </c>
      <c r="AX3285" t="str">
        <f t="shared" si="1260"/>
        <v>0-0,15 MW, Bonusregel E2b</v>
      </c>
      <c r="AY3285" t="str">
        <f t="shared" si="1261"/>
        <v/>
      </c>
    </row>
    <row r="3286" spans="1:52" x14ac:dyDescent="0.25">
      <c r="A3286" s="613" t="str">
        <f t="shared" si="1240"/>
        <v>BiK270G1----12</v>
      </c>
      <c r="B3286" s="283" t="s">
        <v>5548</v>
      </c>
      <c r="C3286" s="284" t="str">
        <f t="shared" si="1241"/>
        <v>Inbetriebnahme 2012</v>
      </c>
      <c r="D3286" s="283" t="str">
        <f t="shared" si="1242"/>
        <v>0-0,15 MW, Bonusregel G1</v>
      </c>
      <c r="E3286" s="283"/>
      <c r="F3286" s="465">
        <f t="shared" si="1243"/>
        <v>17.3</v>
      </c>
      <c r="G3286" s="541">
        <v>17.3</v>
      </c>
      <c r="H3286" s="497">
        <f t="shared" si="1244"/>
        <v>13.84</v>
      </c>
      <c r="I3286" s="719"/>
      <c r="J3286" s="669" t="s">
        <v>5805</v>
      </c>
      <c r="K3286" s="23"/>
      <c r="L3286" s="70" t="str">
        <f t="shared" si="1245"/>
        <v/>
      </c>
      <c r="M3286" s="49">
        <f t="shared" si="1246"/>
        <v>17.3</v>
      </c>
      <c r="N3286" s="41">
        <f t="shared" si="1262"/>
        <v>14.3</v>
      </c>
      <c r="O3286" s="61"/>
      <c r="P3286" s="65"/>
      <c r="Q3286" s="65"/>
      <c r="R3286" s="65"/>
      <c r="S3286" s="61"/>
      <c r="T3286" s="29"/>
      <c r="U3286" s="65"/>
      <c r="V3286" s="228" t="s">
        <v>1017</v>
      </c>
      <c r="W3286" s="29"/>
      <c r="X3286" s="50"/>
      <c r="AH3286" s="253" t="s">
        <v>1780</v>
      </c>
      <c r="AK3286" t="str">
        <f t="shared" si="1247"/>
        <v/>
      </c>
      <c r="AL3286" t="str">
        <f t="shared" si="1248"/>
        <v/>
      </c>
      <c r="AM3286" t="str">
        <f t="shared" si="1249"/>
        <v/>
      </c>
      <c r="AN3286" t="str">
        <f t="shared" si="1250"/>
        <v/>
      </c>
      <c r="AO3286" t="str">
        <f t="shared" si="1251"/>
        <v/>
      </c>
      <c r="AP3286" t="str">
        <f t="shared" si="1252"/>
        <v/>
      </c>
      <c r="AQ3286" t="str">
        <f t="shared" si="1253"/>
        <v/>
      </c>
      <c r="AR3286" t="str">
        <f t="shared" si="1254"/>
        <v>G1</v>
      </c>
      <c r="AS3286" t="str">
        <f t="shared" si="1255"/>
        <v/>
      </c>
      <c r="AT3286" t="str">
        <f t="shared" si="1256"/>
        <v/>
      </c>
      <c r="AU3286" t="str">
        <f t="shared" si="1257"/>
        <v>G1</v>
      </c>
      <c r="AV3286" s="254" t="str">
        <f t="shared" si="1258"/>
        <v>BiK270G1----12</v>
      </c>
      <c r="AW3286">
        <f t="shared" si="1259"/>
        <v>14</v>
      </c>
      <c r="AX3286" t="str">
        <f t="shared" si="1260"/>
        <v>0-0,15 MW, Bonusregel G1</v>
      </c>
      <c r="AY3286" t="str">
        <f t="shared" si="1261"/>
        <v/>
      </c>
    </row>
    <row r="3287" spans="1:52" x14ac:dyDescent="0.25">
      <c r="A3287" s="613" t="str">
        <f t="shared" si="1240"/>
        <v>BiK270E1aG1-12</v>
      </c>
      <c r="B3287" s="283" t="s">
        <v>5548</v>
      </c>
      <c r="C3287" s="284" t="str">
        <f t="shared" si="1241"/>
        <v>Inbetriebnahme 2012</v>
      </c>
      <c r="D3287" s="283" t="str">
        <f t="shared" si="1242"/>
        <v>0-0,15 MW, Bonusregeln E1a, G1</v>
      </c>
      <c r="E3287" s="283"/>
      <c r="F3287" s="465">
        <f t="shared" si="1243"/>
        <v>23.3</v>
      </c>
      <c r="G3287" s="541">
        <v>23.3</v>
      </c>
      <c r="H3287" s="497">
        <f t="shared" si="1244"/>
        <v>18.64</v>
      </c>
      <c r="I3287" s="719"/>
      <c r="J3287" s="669" t="s">
        <v>5805</v>
      </c>
      <c r="K3287" s="23"/>
      <c r="L3287" s="70" t="str">
        <f t="shared" si="1245"/>
        <v/>
      </c>
      <c r="M3287" s="49">
        <f t="shared" si="1246"/>
        <v>23.3</v>
      </c>
      <c r="N3287" s="41">
        <f t="shared" si="1262"/>
        <v>14.3</v>
      </c>
      <c r="O3287" s="43" t="s">
        <v>1017</v>
      </c>
      <c r="P3287" s="65"/>
      <c r="Q3287" s="65"/>
      <c r="R3287" s="65"/>
      <c r="S3287" s="228"/>
      <c r="T3287" s="35"/>
      <c r="U3287" s="65"/>
      <c r="V3287" s="228" t="s">
        <v>1017</v>
      </c>
      <c r="W3287" s="35"/>
      <c r="X3287" s="50"/>
      <c r="AH3287" s="253" t="s">
        <v>1780</v>
      </c>
      <c r="AK3287" t="str">
        <f t="shared" si="1247"/>
        <v>E1a</v>
      </c>
      <c r="AL3287" t="str">
        <f t="shared" si="1248"/>
        <v/>
      </c>
      <c r="AM3287" t="str">
        <f t="shared" si="1249"/>
        <v/>
      </c>
      <c r="AN3287" t="str">
        <f t="shared" si="1250"/>
        <v/>
      </c>
      <c r="AO3287" t="str">
        <f t="shared" si="1251"/>
        <v/>
      </c>
      <c r="AP3287" t="str">
        <f t="shared" si="1252"/>
        <v/>
      </c>
      <c r="AQ3287" t="str">
        <f t="shared" si="1253"/>
        <v/>
      </c>
      <c r="AR3287" t="str">
        <f t="shared" si="1254"/>
        <v>G1</v>
      </c>
      <c r="AS3287" t="str">
        <f t="shared" si="1255"/>
        <v/>
      </c>
      <c r="AT3287" t="str">
        <f t="shared" si="1256"/>
        <v/>
      </c>
      <c r="AU3287" t="str">
        <f t="shared" si="1257"/>
        <v>E1aG1</v>
      </c>
      <c r="AV3287" s="254" t="str">
        <f t="shared" si="1258"/>
        <v>BiK270E1aG1-12</v>
      </c>
      <c r="AW3287">
        <f t="shared" si="1259"/>
        <v>14</v>
      </c>
      <c r="AX3287" t="str">
        <f t="shared" si="1260"/>
        <v>0-0,15 MW, Bonusregeln E1a, G1</v>
      </c>
      <c r="AY3287" t="str">
        <f t="shared" si="1261"/>
        <v/>
      </c>
    </row>
    <row r="3288" spans="1:52" x14ac:dyDescent="0.25">
      <c r="A3288" s="613" t="str">
        <f t="shared" si="1240"/>
        <v>BiK270E2aG1-12</v>
      </c>
      <c r="B3288" s="283" t="s">
        <v>5548</v>
      </c>
      <c r="C3288" s="284" t="str">
        <f t="shared" si="1241"/>
        <v>Inbetriebnahme 2012</v>
      </c>
      <c r="D3288" s="283" t="str">
        <f t="shared" si="1242"/>
        <v>0-0,15 MW, Bonusregeln E2a, G1</v>
      </c>
      <c r="E3288" s="283"/>
      <c r="F3288" s="465">
        <f t="shared" si="1243"/>
        <v>25.3</v>
      </c>
      <c r="G3288" s="541">
        <v>25.3</v>
      </c>
      <c r="H3288" s="497">
        <f t="shared" si="1244"/>
        <v>20.239999999999998</v>
      </c>
      <c r="I3288" s="719"/>
      <c r="J3288" s="669" t="s">
        <v>5805</v>
      </c>
      <c r="K3288" s="23"/>
      <c r="L3288" s="70" t="str">
        <f t="shared" si="1245"/>
        <v/>
      </c>
      <c r="M3288" s="49">
        <f t="shared" si="1246"/>
        <v>25.3</v>
      </c>
      <c r="N3288" s="41">
        <f t="shared" si="1262"/>
        <v>14.3</v>
      </c>
      <c r="O3288" s="43"/>
      <c r="P3288" s="65"/>
      <c r="Q3288" s="65"/>
      <c r="R3288" s="65"/>
      <c r="S3288" s="228" t="s">
        <v>1017</v>
      </c>
      <c r="T3288" s="35"/>
      <c r="U3288" s="65"/>
      <c r="V3288" s="228" t="s">
        <v>1017</v>
      </c>
      <c r="W3288" s="35"/>
      <c r="X3288" s="50"/>
      <c r="AH3288" s="253" t="s">
        <v>1780</v>
      </c>
      <c r="AK3288" t="str">
        <f t="shared" si="1247"/>
        <v/>
      </c>
      <c r="AL3288" t="str">
        <f t="shared" si="1248"/>
        <v/>
      </c>
      <c r="AM3288" t="str">
        <f t="shared" si="1249"/>
        <v/>
      </c>
      <c r="AN3288" t="str">
        <f t="shared" si="1250"/>
        <v/>
      </c>
      <c r="AO3288" t="str">
        <f t="shared" si="1251"/>
        <v>E2a</v>
      </c>
      <c r="AP3288" t="str">
        <f t="shared" si="1252"/>
        <v/>
      </c>
      <c r="AQ3288" t="str">
        <f t="shared" si="1253"/>
        <v/>
      </c>
      <c r="AR3288" t="str">
        <f t="shared" si="1254"/>
        <v>G1</v>
      </c>
      <c r="AS3288" t="str">
        <f t="shared" si="1255"/>
        <v/>
      </c>
      <c r="AT3288" t="str">
        <f t="shared" si="1256"/>
        <v/>
      </c>
      <c r="AU3288" t="str">
        <f t="shared" si="1257"/>
        <v>E2aG1</v>
      </c>
      <c r="AV3288" s="254" t="str">
        <f t="shared" si="1258"/>
        <v>BiK270E2aG1-12</v>
      </c>
      <c r="AW3288">
        <f t="shared" si="1259"/>
        <v>14</v>
      </c>
      <c r="AX3288" t="str">
        <f t="shared" si="1260"/>
        <v>0-0,15 MW, Bonusregeln E2a, G1</v>
      </c>
      <c r="AY3288" t="str">
        <f t="shared" si="1261"/>
        <v/>
      </c>
    </row>
    <row r="3289" spans="1:52" x14ac:dyDescent="0.25">
      <c r="A3289" s="613" t="str">
        <f t="shared" si="1240"/>
        <v>BiK270E2bG1-12</v>
      </c>
      <c r="B3289" s="283" t="s">
        <v>5548</v>
      </c>
      <c r="C3289" s="284" t="str">
        <f t="shared" si="1241"/>
        <v>Inbetriebnahme 2012</v>
      </c>
      <c r="D3289" s="283" t="str">
        <f t="shared" si="1242"/>
        <v>0-0,15 MW, Bonusregeln E2b, G1</v>
      </c>
      <c r="E3289" s="283"/>
      <c r="F3289" s="465">
        <f t="shared" si="1243"/>
        <v>25.3</v>
      </c>
      <c r="G3289" s="541">
        <v>25.3</v>
      </c>
      <c r="H3289" s="497">
        <f t="shared" si="1244"/>
        <v>20.239999999999998</v>
      </c>
      <c r="I3289" s="719"/>
      <c r="J3289" s="669" t="s">
        <v>5805</v>
      </c>
      <c r="K3289" s="23"/>
      <c r="L3289" s="70" t="str">
        <f t="shared" si="1245"/>
        <v/>
      </c>
      <c r="M3289" s="49">
        <f t="shared" si="1246"/>
        <v>25.3</v>
      </c>
      <c r="N3289" s="41">
        <f t="shared" si="1262"/>
        <v>14.3</v>
      </c>
      <c r="O3289" s="43"/>
      <c r="P3289" s="65"/>
      <c r="Q3289" s="65"/>
      <c r="R3289" s="65"/>
      <c r="S3289" s="228"/>
      <c r="T3289" s="35" t="s">
        <v>1017</v>
      </c>
      <c r="U3289" s="65"/>
      <c r="V3289" s="228" t="s">
        <v>1017</v>
      </c>
      <c r="W3289" s="35"/>
      <c r="X3289" s="50"/>
      <c r="AH3289" s="253" t="s">
        <v>1780</v>
      </c>
      <c r="AK3289" t="str">
        <f t="shared" si="1247"/>
        <v/>
      </c>
      <c r="AL3289" t="str">
        <f t="shared" si="1248"/>
        <v/>
      </c>
      <c r="AM3289" t="str">
        <f t="shared" si="1249"/>
        <v/>
      </c>
      <c r="AN3289" t="str">
        <f t="shared" si="1250"/>
        <v/>
      </c>
      <c r="AO3289" t="str">
        <f t="shared" si="1251"/>
        <v/>
      </c>
      <c r="AP3289" t="str">
        <f t="shared" si="1252"/>
        <v>E2b</v>
      </c>
      <c r="AQ3289" t="str">
        <f t="shared" si="1253"/>
        <v/>
      </c>
      <c r="AR3289" t="str">
        <f t="shared" si="1254"/>
        <v>G1</v>
      </c>
      <c r="AS3289" t="str">
        <f t="shared" si="1255"/>
        <v/>
      </c>
      <c r="AT3289" t="str">
        <f t="shared" si="1256"/>
        <v/>
      </c>
      <c r="AU3289" t="str">
        <f t="shared" si="1257"/>
        <v>E2bG1</v>
      </c>
      <c r="AV3289" s="254" t="str">
        <f t="shared" si="1258"/>
        <v>BiK270E2bG1-12</v>
      </c>
      <c r="AW3289">
        <f t="shared" si="1259"/>
        <v>14</v>
      </c>
      <c r="AX3289" t="str">
        <f t="shared" si="1260"/>
        <v>0-0,15 MW, Bonusregeln E2b, G1</v>
      </c>
      <c r="AY3289" t="str">
        <f t="shared" si="1261"/>
        <v/>
      </c>
    </row>
    <row r="3290" spans="1:52" x14ac:dyDescent="0.25">
      <c r="A3290" s="613" t="str">
        <f t="shared" si="1240"/>
        <v>BiK270G2----12</v>
      </c>
      <c r="B3290" s="283" t="s">
        <v>5548</v>
      </c>
      <c r="C3290" s="284" t="str">
        <f t="shared" si="1241"/>
        <v>Inbetriebnahme 2012</v>
      </c>
      <c r="D3290" s="283" t="str">
        <f t="shared" si="1242"/>
        <v>0-0,15 MW, Bonusregel G2</v>
      </c>
      <c r="E3290" s="283"/>
      <c r="F3290" s="465">
        <f t="shared" si="1243"/>
        <v>16.3</v>
      </c>
      <c r="G3290" s="541">
        <v>16.3</v>
      </c>
      <c r="H3290" s="497">
        <f t="shared" si="1244"/>
        <v>13.04</v>
      </c>
      <c r="I3290" s="719"/>
      <c r="J3290" s="669" t="s">
        <v>5805</v>
      </c>
      <c r="K3290" s="23"/>
      <c r="L3290" s="70" t="str">
        <f t="shared" si="1245"/>
        <v/>
      </c>
      <c r="M3290" s="49">
        <f t="shared" si="1246"/>
        <v>16.3</v>
      </c>
      <c r="N3290" s="41">
        <f t="shared" si="1262"/>
        <v>14.3</v>
      </c>
      <c r="O3290" s="61"/>
      <c r="P3290" s="65"/>
      <c r="Q3290" s="65"/>
      <c r="R3290" s="65"/>
      <c r="S3290" s="61"/>
      <c r="T3290" s="29"/>
      <c r="U3290" s="65"/>
      <c r="V3290" s="228"/>
      <c r="W3290" s="253" t="s">
        <v>1017</v>
      </c>
      <c r="X3290" s="50"/>
      <c r="AH3290" s="253" t="s">
        <v>1780</v>
      </c>
      <c r="AK3290" t="str">
        <f t="shared" si="1247"/>
        <v/>
      </c>
      <c r="AL3290" t="str">
        <f t="shared" si="1248"/>
        <v/>
      </c>
      <c r="AM3290" t="str">
        <f t="shared" si="1249"/>
        <v/>
      </c>
      <c r="AN3290" t="str">
        <f t="shared" si="1250"/>
        <v/>
      </c>
      <c r="AO3290" t="str">
        <f t="shared" si="1251"/>
        <v/>
      </c>
      <c r="AP3290" t="str">
        <f t="shared" si="1252"/>
        <v/>
      </c>
      <c r="AQ3290" t="str">
        <f t="shared" si="1253"/>
        <v/>
      </c>
      <c r="AR3290" t="str">
        <f t="shared" si="1254"/>
        <v/>
      </c>
      <c r="AS3290" t="str">
        <f t="shared" si="1255"/>
        <v>G2</v>
      </c>
      <c r="AT3290" t="str">
        <f t="shared" si="1256"/>
        <v/>
      </c>
      <c r="AU3290" t="str">
        <f t="shared" si="1257"/>
        <v>G2</v>
      </c>
      <c r="AV3290" s="254" t="str">
        <f t="shared" si="1258"/>
        <v>BiK270G2----12</v>
      </c>
      <c r="AW3290">
        <f t="shared" si="1259"/>
        <v>14</v>
      </c>
      <c r="AX3290" t="str">
        <f t="shared" si="1260"/>
        <v>0-0,15 MW, Bonusregel G2</v>
      </c>
      <c r="AY3290" t="str">
        <f t="shared" si="1261"/>
        <v/>
      </c>
    </row>
    <row r="3291" spans="1:52" x14ac:dyDescent="0.25">
      <c r="A3291" s="613" t="str">
        <f t="shared" si="1240"/>
        <v>BiK270E1aG2-12</v>
      </c>
      <c r="B3291" s="283" t="s">
        <v>5548</v>
      </c>
      <c r="C3291" s="284" t="str">
        <f t="shared" si="1241"/>
        <v>Inbetriebnahme 2012</v>
      </c>
      <c r="D3291" s="283" t="str">
        <f t="shared" si="1242"/>
        <v>0-0,15 MW, Bonusregeln E1a, G2</v>
      </c>
      <c r="E3291" s="283"/>
      <c r="F3291" s="465">
        <f t="shared" si="1243"/>
        <v>22.3</v>
      </c>
      <c r="G3291" s="541">
        <v>22.3</v>
      </c>
      <c r="H3291" s="497">
        <f t="shared" si="1244"/>
        <v>17.84</v>
      </c>
      <c r="I3291" s="719"/>
      <c r="J3291" s="669" t="s">
        <v>5805</v>
      </c>
      <c r="K3291" s="23"/>
      <c r="L3291" s="70" t="str">
        <f t="shared" si="1245"/>
        <v/>
      </c>
      <c r="M3291" s="49">
        <f t="shared" si="1246"/>
        <v>22.3</v>
      </c>
      <c r="N3291" s="41">
        <f t="shared" si="1262"/>
        <v>14.3</v>
      </c>
      <c r="O3291" s="43" t="s">
        <v>1017</v>
      </c>
      <c r="P3291" s="65"/>
      <c r="Q3291" s="65"/>
      <c r="R3291" s="65"/>
      <c r="S3291" s="228"/>
      <c r="T3291" s="35"/>
      <c r="U3291" s="65"/>
      <c r="V3291" s="228"/>
      <c r="W3291" s="253" t="s">
        <v>1017</v>
      </c>
      <c r="X3291" s="50"/>
      <c r="AH3291" s="253" t="s">
        <v>1780</v>
      </c>
      <c r="AK3291" t="str">
        <f t="shared" si="1247"/>
        <v>E1a</v>
      </c>
      <c r="AL3291" t="str">
        <f t="shared" si="1248"/>
        <v/>
      </c>
      <c r="AM3291" t="str">
        <f t="shared" si="1249"/>
        <v/>
      </c>
      <c r="AN3291" t="str">
        <f t="shared" si="1250"/>
        <v/>
      </c>
      <c r="AO3291" t="str">
        <f t="shared" si="1251"/>
        <v/>
      </c>
      <c r="AP3291" t="str">
        <f t="shared" si="1252"/>
        <v/>
      </c>
      <c r="AQ3291" t="str">
        <f t="shared" si="1253"/>
        <v/>
      </c>
      <c r="AR3291" t="str">
        <f t="shared" si="1254"/>
        <v/>
      </c>
      <c r="AS3291" t="str">
        <f t="shared" si="1255"/>
        <v>G2</v>
      </c>
      <c r="AT3291" t="str">
        <f t="shared" si="1256"/>
        <v/>
      </c>
      <c r="AU3291" t="str">
        <f t="shared" si="1257"/>
        <v>E1aG2</v>
      </c>
      <c r="AV3291" s="254" t="str">
        <f t="shared" si="1258"/>
        <v>BiK270E1aG2-12</v>
      </c>
      <c r="AW3291">
        <f t="shared" si="1259"/>
        <v>14</v>
      </c>
      <c r="AX3291" t="str">
        <f t="shared" si="1260"/>
        <v>0-0,15 MW, Bonusregeln E1a, G2</v>
      </c>
      <c r="AY3291" t="str">
        <f t="shared" si="1261"/>
        <v/>
      </c>
    </row>
    <row r="3292" spans="1:52" x14ac:dyDescent="0.25">
      <c r="A3292" s="613" t="str">
        <f t="shared" si="1240"/>
        <v>BiK270E2aG2-12</v>
      </c>
      <c r="B3292" s="283" t="s">
        <v>5548</v>
      </c>
      <c r="C3292" s="284" t="str">
        <f t="shared" si="1241"/>
        <v>Inbetriebnahme 2012</v>
      </c>
      <c r="D3292" s="283" t="str">
        <f t="shared" si="1242"/>
        <v>0-0,15 MW, Bonusregeln E2a, G2</v>
      </c>
      <c r="E3292" s="283"/>
      <c r="F3292" s="465">
        <f t="shared" si="1243"/>
        <v>24.3</v>
      </c>
      <c r="G3292" s="541">
        <v>24.3</v>
      </c>
      <c r="H3292" s="497">
        <f t="shared" si="1244"/>
        <v>19.440000000000001</v>
      </c>
      <c r="I3292" s="719"/>
      <c r="J3292" s="669" t="s">
        <v>5805</v>
      </c>
      <c r="K3292" s="23"/>
      <c r="L3292" s="70" t="str">
        <f t="shared" si="1245"/>
        <v/>
      </c>
      <c r="M3292" s="49">
        <f t="shared" si="1246"/>
        <v>24.3</v>
      </c>
      <c r="N3292" s="41">
        <f t="shared" si="1262"/>
        <v>14.3</v>
      </c>
      <c r="O3292" s="43"/>
      <c r="P3292" s="65"/>
      <c r="Q3292" s="65"/>
      <c r="R3292" s="65"/>
      <c r="S3292" s="228" t="s">
        <v>1017</v>
      </c>
      <c r="T3292" s="35"/>
      <c r="U3292" s="65"/>
      <c r="V3292" s="228"/>
      <c r="W3292" s="253" t="s">
        <v>1017</v>
      </c>
      <c r="X3292" s="50"/>
      <c r="AH3292" s="253" t="s">
        <v>1780</v>
      </c>
      <c r="AK3292" t="str">
        <f t="shared" si="1247"/>
        <v/>
      </c>
      <c r="AL3292" t="str">
        <f t="shared" si="1248"/>
        <v/>
      </c>
      <c r="AM3292" t="str">
        <f t="shared" si="1249"/>
        <v/>
      </c>
      <c r="AN3292" t="str">
        <f t="shared" si="1250"/>
        <v/>
      </c>
      <c r="AO3292" t="str">
        <f t="shared" si="1251"/>
        <v>E2a</v>
      </c>
      <c r="AP3292" t="str">
        <f t="shared" si="1252"/>
        <v/>
      </c>
      <c r="AQ3292" t="str">
        <f t="shared" si="1253"/>
        <v/>
      </c>
      <c r="AR3292" t="str">
        <f t="shared" si="1254"/>
        <v/>
      </c>
      <c r="AS3292" t="str">
        <f t="shared" si="1255"/>
        <v>G2</v>
      </c>
      <c r="AT3292" t="str">
        <f t="shared" si="1256"/>
        <v/>
      </c>
      <c r="AU3292" t="str">
        <f t="shared" si="1257"/>
        <v>E2aG2</v>
      </c>
      <c r="AV3292" s="254" t="str">
        <f t="shared" si="1258"/>
        <v>BiK270E2aG2-12</v>
      </c>
      <c r="AW3292">
        <f t="shared" si="1259"/>
        <v>14</v>
      </c>
      <c r="AX3292" t="str">
        <f t="shared" si="1260"/>
        <v>0-0,15 MW, Bonusregeln E2a, G2</v>
      </c>
      <c r="AY3292" t="str">
        <f t="shared" si="1261"/>
        <v/>
      </c>
    </row>
    <row r="3293" spans="1:52" x14ac:dyDescent="0.25">
      <c r="A3293" s="613" t="str">
        <f t="shared" si="1240"/>
        <v>BiK270E2bG2-12</v>
      </c>
      <c r="B3293" s="283" t="s">
        <v>5548</v>
      </c>
      <c r="C3293" s="284" t="str">
        <f t="shared" si="1241"/>
        <v>Inbetriebnahme 2012</v>
      </c>
      <c r="D3293" s="283" t="str">
        <f t="shared" si="1242"/>
        <v>0-0,15 MW, Bonusregeln E2b, G2</v>
      </c>
      <c r="E3293" s="283"/>
      <c r="F3293" s="465">
        <f t="shared" si="1243"/>
        <v>24.3</v>
      </c>
      <c r="G3293" s="541">
        <v>24.3</v>
      </c>
      <c r="H3293" s="497">
        <f t="shared" si="1244"/>
        <v>19.440000000000001</v>
      </c>
      <c r="I3293" s="719"/>
      <c r="J3293" s="669" t="s">
        <v>5805</v>
      </c>
      <c r="K3293" s="23"/>
      <c r="L3293" s="70" t="str">
        <f t="shared" si="1245"/>
        <v/>
      </c>
      <c r="M3293" s="49">
        <f t="shared" si="1246"/>
        <v>24.3</v>
      </c>
      <c r="N3293" s="41">
        <f t="shared" si="1262"/>
        <v>14.3</v>
      </c>
      <c r="O3293" s="43"/>
      <c r="P3293" s="65"/>
      <c r="Q3293" s="65"/>
      <c r="R3293" s="65"/>
      <c r="S3293" s="228"/>
      <c r="T3293" s="35" t="s">
        <v>1017</v>
      </c>
      <c r="U3293" s="65"/>
      <c r="V3293" s="228"/>
      <c r="W3293" s="253" t="s">
        <v>1017</v>
      </c>
      <c r="X3293" s="50"/>
      <c r="AH3293" s="253" t="s">
        <v>1780</v>
      </c>
      <c r="AK3293" t="str">
        <f t="shared" si="1247"/>
        <v/>
      </c>
      <c r="AL3293" t="str">
        <f t="shared" si="1248"/>
        <v/>
      </c>
      <c r="AM3293" t="str">
        <f t="shared" si="1249"/>
        <v/>
      </c>
      <c r="AN3293" t="str">
        <f t="shared" si="1250"/>
        <v/>
      </c>
      <c r="AO3293" t="str">
        <f t="shared" si="1251"/>
        <v/>
      </c>
      <c r="AP3293" t="str">
        <f t="shared" si="1252"/>
        <v>E2b</v>
      </c>
      <c r="AQ3293" t="str">
        <f t="shared" si="1253"/>
        <v/>
      </c>
      <c r="AR3293" t="str">
        <f t="shared" si="1254"/>
        <v/>
      </c>
      <c r="AS3293" t="str">
        <f t="shared" si="1255"/>
        <v>G2</v>
      </c>
      <c r="AT3293" t="str">
        <f t="shared" si="1256"/>
        <v/>
      </c>
      <c r="AU3293" t="str">
        <f t="shared" si="1257"/>
        <v>E2bG2</v>
      </c>
      <c r="AV3293" s="254" t="str">
        <f t="shared" si="1258"/>
        <v>BiK270E2bG2-12</v>
      </c>
      <c r="AW3293">
        <f t="shared" si="1259"/>
        <v>14</v>
      </c>
      <c r="AX3293" t="str">
        <f t="shared" si="1260"/>
        <v>0-0,15 MW, Bonusregeln E2b, G2</v>
      </c>
      <c r="AY3293" t="str">
        <f t="shared" si="1261"/>
        <v/>
      </c>
    </row>
    <row r="3294" spans="1:52" x14ac:dyDescent="0.25">
      <c r="A3294" s="613" t="str">
        <f t="shared" si="1240"/>
        <v>BiK270G3----12</v>
      </c>
      <c r="B3294" s="283" t="s">
        <v>5548</v>
      </c>
      <c r="C3294" s="284" t="str">
        <f t="shared" si="1241"/>
        <v>Inbetriebnahme 2012</v>
      </c>
      <c r="D3294" s="283" t="str">
        <f t="shared" si="1242"/>
        <v>0-0,15 MW, Bonusregel G3</v>
      </c>
      <c r="E3294" s="283"/>
      <c r="F3294" s="465">
        <f t="shared" si="1243"/>
        <v>15.3</v>
      </c>
      <c r="G3294" s="541">
        <v>15.3</v>
      </c>
      <c r="H3294" s="497">
        <f t="shared" si="1244"/>
        <v>12.24</v>
      </c>
      <c r="I3294" s="719"/>
      <c r="J3294" s="669" t="s">
        <v>5805</v>
      </c>
      <c r="K3294" s="23"/>
      <c r="L3294" s="70" t="str">
        <f t="shared" si="1245"/>
        <v/>
      </c>
      <c r="M3294" s="49">
        <f t="shared" si="1246"/>
        <v>15.3</v>
      </c>
      <c r="N3294" s="41">
        <f t="shared" si="1262"/>
        <v>14.3</v>
      </c>
      <c r="O3294" s="61"/>
      <c r="P3294" s="65"/>
      <c r="Q3294" s="65"/>
      <c r="R3294" s="65"/>
      <c r="S3294" s="61"/>
      <c r="T3294" s="29"/>
      <c r="U3294" s="65"/>
      <c r="V3294" s="228"/>
      <c r="W3294" s="35"/>
      <c r="X3294" s="50" t="s">
        <v>1017</v>
      </c>
      <c r="AH3294" s="253" t="s">
        <v>1780</v>
      </c>
      <c r="AK3294" t="str">
        <f t="shared" si="1247"/>
        <v/>
      </c>
      <c r="AL3294" t="str">
        <f t="shared" si="1248"/>
        <v/>
      </c>
      <c r="AM3294" t="str">
        <f t="shared" si="1249"/>
        <v/>
      </c>
      <c r="AN3294" t="str">
        <f t="shared" si="1250"/>
        <v/>
      </c>
      <c r="AO3294" t="str">
        <f t="shared" si="1251"/>
        <v/>
      </c>
      <c r="AP3294" t="str">
        <f t="shared" si="1252"/>
        <v/>
      </c>
      <c r="AQ3294" t="str">
        <f t="shared" si="1253"/>
        <v/>
      </c>
      <c r="AR3294" t="str">
        <f t="shared" si="1254"/>
        <v/>
      </c>
      <c r="AS3294" t="str">
        <f t="shared" si="1255"/>
        <v/>
      </c>
      <c r="AT3294" t="str">
        <f t="shared" si="1256"/>
        <v>G3</v>
      </c>
      <c r="AU3294" t="str">
        <f t="shared" si="1257"/>
        <v>G3</v>
      </c>
      <c r="AV3294" s="254" t="str">
        <f t="shared" si="1258"/>
        <v>BiK270G3----12</v>
      </c>
      <c r="AW3294">
        <f t="shared" si="1259"/>
        <v>14</v>
      </c>
      <c r="AX3294" t="str">
        <f t="shared" si="1260"/>
        <v>0-0,15 MW, Bonusregel G3</v>
      </c>
      <c r="AY3294" t="str">
        <f t="shared" si="1261"/>
        <v/>
      </c>
    </row>
    <row r="3295" spans="1:52" x14ac:dyDescent="0.25">
      <c r="A3295" s="613" t="str">
        <f t="shared" si="1240"/>
        <v>BiK270E1aG3-12</v>
      </c>
      <c r="B3295" s="283" t="s">
        <v>5548</v>
      </c>
      <c r="C3295" s="284" t="str">
        <f t="shared" si="1241"/>
        <v>Inbetriebnahme 2012</v>
      </c>
      <c r="D3295" s="283" t="str">
        <f t="shared" si="1242"/>
        <v>0-0,15 MW, Bonusregeln E1a, G3</v>
      </c>
      <c r="E3295" s="283"/>
      <c r="F3295" s="465">
        <f t="shared" si="1243"/>
        <v>21.3</v>
      </c>
      <c r="G3295" s="541">
        <v>21.3</v>
      </c>
      <c r="H3295" s="497">
        <f t="shared" si="1244"/>
        <v>17.04</v>
      </c>
      <c r="I3295" s="719"/>
      <c r="J3295" s="669" t="s">
        <v>5805</v>
      </c>
      <c r="K3295" s="23"/>
      <c r="L3295" s="70" t="str">
        <f t="shared" si="1245"/>
        <v/>
      </c>
      <c r="M3295" s="49">
        <f t="shared" si="1246"/>
        <v>21.3</v>
      </c>
      <c r="N3295" s="41">
        <f t="shared" si="1262"/>
        <v>14.3</v>
      </c>
      <c r="O3295" s="43" t="s">
        <v>1017</v>
      </c>
      <c r="P3295" s="65"/>
      <c r="Q3295" s="65"/>
      <c r="R3295" s="65"/>
      <c r="S3295" s="228"/>
      <c r="T3295" s="35"/>
      <c r="U3295" s="65"/>
      <c r="V3295" s="228"/>
      <c r="W3295" s="35"/>
      <c r="X3295" s="50" t="s">
        <v>1017</v>
      </c>
      <c r="AH3295" s="253" t="s">
        <v>1780</v>
      </c>
      <c r="AK3295" t="str">
        <f t="shared" si="1247"/>
        <v>E1a</v>
      </c>
      <c r="AL3295" t="str">
        <f t="shared" si="1248"/>
        <v/>
      </c>
      <c r="AM3295" t="str">
        <f t="shared" si="1249"/>
        <v/>
      </c>
      <c r="AN3295" t="str">
        <f t="shared" si="1250"/>
        <v/>
      </c>
      <c r="AO3295" t="str">
        <f t="shared" si="1251"/>
        <v/>
      </c>
      <c r="AP3295" t="str">
        <f t="shared" si="1252"/>
        <v/>
      </c>
      <c r="AQ3295" t="str">
        <f t="shared" si="1253"/>
        <v/>
      </c>
      <c r="AR3295" t="str">
        <f t="shared" si="1254"/>
        <v/>
      </c>
      <c r="AS3295" t="str">
        <f t="shared" si="1255"/>
        <v/>
      </c>
      <c r="AT3295" t="str">
        <f t="shared" si="1256"/>
        <v>G3</v>
      </c>
      <c r="AU3295" t="str">
        <f t="shared" si="1257"/>
        <v>E1aG3</v>
      </c>
      <c r="AV3295" s="254" t="str">
        <f t="shared" si="1258"/>
        <v>BiK270E1aG3-12</v>
      </c>
      <c r="AW3295">
        <f t="shared" si="1259"/>
        <v>14</v>
      </c>
      <c r="AX3295" t="str">
        <f t="shared" si="1260"/>
        <v>0-0,15 MW, Bonusregeln E1a, G3</v>
      </c>
      <c r="AY3295" t="str">
        <f t="shared" si="1261"/>
        <v/>
      </c>
    </row>
    <row r="3296" spans="1:52" x14ac:dyDescent="0.25">
      <c r="A3296" s="613" t="str">
        <f t="shared" si="1240"/>
        <v>BiK270E2aG3-12</v>
      </c>
      <c r="B3296" s="283" t="s">
        <v>5548</v>
      </c>
      <c r="C3296" s="284" t="str">
        <f t="shared" si="1241"/>
        <v>Inbetriebnahme 2012</v>
      </c>
      <c r="D3296" s="283" t="str">
        <f t="shared" si="1242"/>
        <v>0-0,15 MW, Bonusregeln E2a, G3</v>
      </c>
      <c r="E3296" s="283"/>
      <c r="F3296" s="465">
        <f t="shared" si="1243"/>
        <v>23.3</v>
      </c>
      <c r="G3296" s="541">
        <v>23.3</v>
      </c>
      <c r="H3296" s="497">
        <f t="shared" si="1244"/>
        <v>18.64</v>
      </c>
      <c r="I3296" s="719"/>
      <c r="J3296" s="669" t="s">
        <v>5805</v>
      </c>
      <c r="K3296" s="23"/>
      <c r="L3296" s="70" t="str">
        <f t="shared" si="1245"/>
        <v/>
      </c>
      <c r="M3296" s="49">
        <f t="shared" si="1246"/>
        <v>23.3</v>
      </c>
      <c r="N3296" s="41">
        <f t="shared" si="1262"/>
        <v>14.3</v>
      </c>
      <c r="O3296" s="43"/>
      <c r="P3296" s="65"/>
      <c r="Q3296" s="65"/>
      <c r="R3296" s="65"/>
      <c r="S3296" s="228" t="s">
        <v>1017</v>
      </c>
      <c r="T3296" s="35"/>
      <c r="U3296" s="65"/>
      <c r="V3296" s="228"/>
      <c r="W3296" s="35"/>
      <c r="X3296" s="50" t="s">
        <v>1017</v>
      </c>
      <c r="AH3296" s="253" t="s">
        <v>1780</v>
      </c>
      <c r="AK3296" t="str">
        <f t="shared" si="1247"/>
        <v/>
      </c>
      <c r="AL3296" t="str">
        <f t="shared" si="1248"/>
        <v/>
      </c>
      <c r="AM3296" t="str">
        <f t="shared" si="1249"/>
        <v/>
      </c>
      <c r="AN3296" t="str">
        <f t="shared" si="1250"/>
        <v/>
      </c>
      <c r="AO3296" t="str">
        <f t="shared" si="1251"/>
        <v>E2a</v>
      </c>
      <c r="AP3296" t="str">
        <f t="shared" si="1252"/>
        <v/>
      </c>
      <c r="AQ3296" t="str">
        <f t="shared" si="1253"/>
        <v/>
      </c>
      <c r="AR3296" t="str">
        <f t="shared" si="1254"/>
        <v/>
      </c>
      <c r="AS3296" t="str">
        <f t="shared" si="1255"/>
        <v/>
      </c>
      <c r="AT3296" t="str">
        <f t="shared" si="1256"/>
        <v>G3</v>
      </c>
      <c r="AU3296" t="str">
        <f t="shared" si="1257"/>
        <v>E2aG3</v>
      </c>
      <c r="AV3296" s="254" t="str">
        <f t="shared" si="1258"/>
        <v>BiK270E2aG3-12</v>
      </c>
      <c r="AW3296">
        <f t="shared" si="1259"/>
        <v>14</v>
      </c>
      <c r="AX3296" t="str">
        <f t="shared" si="1260"/>
        <v>0-0,15 MW, Bonusregeln E2a, G3</v>
      </c>
      <c r="AY3296" t="str">
        <f t="shared" si="1261"/>
        <v/>
      </c>
    </row>
    <row r="3297" spans="1:51" x14ac:dyDescent="0.25">
      <c r="A3297" s="613" t="str">
        <f t="shared" si="1240"/>
        <v>BiK270E2bG3-12</v>
      </c>
      <c r="B3297" s="283" t="s">
        <v>5548</v>
      </c>
      <c r="C3297" s="284" t="str">
        <f t="shared" si="1241"/>
        <v>Inbetriebnahme 2012</v>
      </c>
      <c r="D3297" s="283" t="str">
        <f t="shared" si="1242"/>
        <v>0-0,15 MW, Bonusregeln E2b, G3</v>
      </c>
      <c r="E3297" s="283"/>
      <c r="F3297" s="465">
        <f t="shared" si="1243"/>
        <v>23.3</v>
      </c>
      <c r="G3297" s="541">
        <v>23.3</v>
      </c>
      <c r="H3297" s="497">
        <f t="shared" si="1244"/>
        <v>18.64</v>
      </c>
      <c r="I3297" s="719"/>
      <c r="J3297" s="669" t="s">
        <v>5805</v>
      </c>
      <c r="K3297" s="23"/>
      <c r="L3297" s="70" t="str">
        <f t="shared" si="1245"/>
        <v/>
      </c>
      <c r="M3297" s="49">
        <f t="shared" si="1246"/>
        <v>23.3</v>
      </c>
      <c r="N3297" s="41">
        <f t="shared" si="1262"/>
        <v>14.3</v>
      </c>
      <c r="O3297" s="35"/>
      <c r="P3297" s="65"/>
      <c r="Q3297" s="65"/>
      <c r="R3297" s="65"/>
      <c r="S3297" s="253"/>
      <c r="T3297" s="35" t="s">
        <v>1017</v>
      </c>
      <c r="U3297" s="65"/>
      <c r="V3297" s="228"/>
      <c r="W3297" s="35"/>
      <c r="X3297" s="50" t="s">
        <v>1017</v>
      </c>
      <c r="AH3297" s="253" t="s">
        <v>1780</v>
      </c>
      <c r="AK3297" t="str">
        <f t="shared" si="1247"/>
        <v/>
      </c>
      <c r="AL3297" t="str">
        <f t="shared" si="1248"/>
        <v/>
      </c>
      <c r="AM3297" t="str">
        <f t="shared" si="1249"/>
        <v/>
      </c>
      <c r="AN3297" t="str">
        <f t="shared" si="1250"/>
        <v/>
      </c>
      <c r="AO3297" t="str">
        <f t="shared" si="1251"/>
        <v/>
      </c>
      <c r="AP3297" t="str">
        <f t="shared" si="1252"/>
        <v>E2b</v>
      </c>
      <c r="AQ3297" t="str">
        <f t="shared" si="1253"/>
        <v/>
      </c>
      <c r="AR3297" t="str">
        <f t="shared" si="1254"/>
        <v/>
      </c>
      <c r="AS3297" t="str">
        <f t="shared" si="1255"/>
        <v/>
      </c>
      <c r="AT3297" t="str">
        <f t="shared" si="1256"/>
        <v>G3</v>
      </c>
      <c r="AU3297" t="str">
        <f t="shared" si="1257"/>
        <v>E2bG3</v>
      </c>
      <c r="AV3297" s="254" t="str">
        <f t="shared" si="1258"/>
        <v>BiK270E2bG3-12</v>
      </c>
      <c r="AW3297">
        <f t="shared" si="1259"/>
        <v>14</v>
      </c>
      <c r="AX3297" t="str">
        <f t="shared" si="1260"/>
        <v>0-0,15 MW, Bonusregeln E2b, G3</v>
      </c>
      <c r="AY3297" t="str">
        <f t="shared" si="1261"/>
        <v/>
      </c>
    </row>
    <row r="3298" spans="1:51" x14ac:dyDescent="0.25">
      <c r="A3298" s="613" t="str">
        <f t="shared" ref="A3298:A3313" si="1263">"BiK271"&amp;AU3298&amp;RIGHT("------",6-LEN(AU3298))&amp;RIGHT($M$3278,2)</f>
        <v>BiK271------12</v>
      </c>
      <c r="B3298" s="283" t="s">
        <v>5548</v>
      </c>
      <c r="C3298" s="284" t="str">
        <f t="shared" si="1241"/>
        <v>Inbetriebnahme 2012</v>
      </c>
      <c r="D3298" s="283" t="str">
        <f t="shared" si="1242"/>
        <v>0,15-0,5 MW</v>
      </c>
      <c r="E3298" s="283"/>
      <c r="F3298" s="465">
        <f t="shared" si="1243"/>
        <v>12.3</v>
      </c>
      <c r="G3298" s="541">
        <v>12.3</v>
      </c>
      <c r="H3298" s="497">
        <f t="shared" si="1244"/>
        <v>9.84</v>
      </c>
      <c r="I3298" s="719"/>
      <c r="J3298" s="669" t="s">
        <v>5805</v>
      </c>
      <c r="K3298" s="23"/>
      <c r="L3298" s="70" t="str">
        <f t="shared" si="1245"/>
        <v/>
      </c>
      <c r="M3298" s="49">
        <f t="shared" si="1246"/>
        <v>12.3</v>
      </c>
      <c r="N3298" s="41">
        <v>12.3</v>
      </c>
      <c r="O3298" s="61"/>
      <c r="P3298" s="65"/>
      <c r="Q3298" s="65"/>
      <c r="R3298" s="65"/>
      <c r="S3298" s="61"/>
      <c r="T3298" s="29"/>
      <c r="U3298" s="65"/>
      <c r="V3298" s="61"/>
      <c r="W3298" s="29"/>
      <c r="X3298" s="50"/>
      <c r="AH3298" s="253" t="s">
        <v>1779</v>
      </c>
      <c r="AK3298" t="str">
        <f t="shared" si="1247"/>
        <v/>
      </c>
      <c r="AL3298" t="str">
        <f t="shared" si="1248"/>
        <v/>
      </c>
      <c r="AM3298" t="str">
        <f t="shared" si="1249"/>
        <v/>
      </c>
      <c r="AN3298" t="str">
        <f t="shared" si="1250"/>
        <v/>
      </c>
      <c r="AO3298" t="str">
        <f t="shared" si="1251"/>
        <v/>
      </c>
      <c r="AP3298" t="str">
        <f t="shared" si="1252"/>
        <v/>
      </c>
      <c r="AQ3298" t="str">
        <f t="shared" si="1253"/>
        <v/>
      </c>
      <c r="AR3298" t="str">
        <f t="shared" si="1254"/>
        <v/>
      </c>
      <c r="AS3298" t="str">
        <f t="shared" si="1255"/>
        <v/>
      </c>
      <c r="AT3298" t="str">
        <f t="shared" si="1256"/>
        <v/>
      </c>
      <c r="AU3298" t="str">
        <f t="shared" si="1257"/>
        <v/>
      </c>
      <c r="AV3298" s="254" t="str">
        <f t="shared" ref="AV3298:AV3313" si="1264">"BiK271"&amp;AU3298&amp;RIGHT("------",6-LEN(AU3298))&amp;RIGHT($M$3278,2)</f>
        <v>BiK271------12</v>
      </c>
      <c r="AW3298">
        <f t="shared" si="1259"/>
        <v>14</v>
      </c>
      <c r="AX3298" t="str">
        <f t="shared" si="1260"/>
        <v>0,15-0,5 MW</v>
      </c>
      <c r="AY3298" t="str">
        <f t="shared" si="1261"/>
        <v/>
      </c>
    </row>
    <row r="3299" spans="1:51" x14ac:dyDescent="0.25">
      <c r="A3299" s="613" t="str">
        <f t="shared" si="1263"/>
        <v>BiK271E1a---12</v>
      </c>
      <c r="B3299" s="283" t="s">
        <v>5548</v>
      </c>
      <c r="C3299" s="284" t="str">
        <f t="shared" si="1241"/>
        <v>Inbetriebnahme 2012</v>
      </c>
      <c r="D3299" s="283" t="str">
        <f t="shared" si="1242"/>
        <v>0,15-0,5 MW, Bonusregel E1a</v>
      </c>
      <c r="E3299" s="283"/>
      <c r="F3299" s="465">
        <f t="shared" si="1243"/>
        <v>18.3</v>
      </c>
      <c r="G3299" s="541">
        <v>18.3</v>
      </c>
      <c r="H3299" s="497">
        <f t="shared" si="1244"/>
        <v>14.64</v>
      </c>
      <c r="I3299" s="719"/>
      <c r="J3299" s="669" t="s">
        <v>5805</v>
      </c>
      <c r="K3299" s="23"/>
      <c r="L3299" s="70" t="str">
        <f t="shared" si="1245"/>
        <v/>
      </c>
      <c r="M3299" s="49">
        <f t="shared" si="1246"/>
        <v>18.3</v>
      </c>
      <c r="N3299" s="41">
        <f t="shared" ref="N3299:N3313" si="1265">N3298</f>
        <v>12.3</v>
      </c>
      <c r="O3299" s="228" t="s">
        <v>1017</v>
      </c>
      <c r="P3299" s="65"/>
      <c r="Q3299" s="65"/>
      <c r="R3299" s="65"/>
      <c r="S3299" s="43"/>
      <c r="T3299" s="35"/>
      <c r="U3299" s="65"/>
      <c r="V3299" s="43"/>
      <c r="W3299" s="35"/>
      <c r="X3299" s="50"/>
      <c r="AH3299" s="253" t="s">
        <v>1779</v>
      </c>
      <c r="AK3299" t="str">
        <f t="shared" si="1247"/>
        <v>E1a</v>
      </c>
      <c r="AL3299" t="str">
        <f t="shared" si="1248"/>
        <v/>
      </c>
      <c r="AM3299" t="str">
        <f t="shared" si="1249"/>
        <v/>
      </c>
      <c r="AN3299" t="str">
        <f t="shared" si="1250"/>
        <v/>
      </c>
      <c r="AO3299" t="str">
        <f t="shared" si="1251"/>
        <v/>
      </c>
      <c r="AP3299" t="str">
        <f t="shared" si="1252"/>
        <v/>
      </c>
      <c r="AQ3299" t="str">
        <f t="shared" si="1253"/>
        <v/>
      </c>
      <c r="AR3299" t="str">
        <f t="shared" si="1254"/>
        <v/>
      </c>
      <c r="AS3299" t="str">
        <f t="shared" si="1255"/>
        <v/>
      </c>
      <c r="AT3299" t="str">
        <f t="shared" si="1256"/>
        <v/>
      </c>
      <c r="AU3299" t="str">
        <f t="shared" si="1257"/>
        <v>E1a</v>
      </c>
      <c r="AV3299" s="254" t="str">
        <f t="shared" si="1264"/>
        <v>BiK271E1a---12</v>
      </c>
      <c r="AW3299">
        <f t="shared" si="1259"/>
        <v>14</v>
      </c>
      <c r="AX3299" t="str">
        <f t="shared" si="1260"/>
        <v>0,15-0,5 MW, Bonusregel E1a</v>
      </c>
      <c r="AY3299" t="str">
        <f t="shared" si="1261"/>
        <v/>
      </c>
    </row>
    <row r="3300" spans="1:51" x14ac:dyDescent="0.25">
      <c r="A3300" s="613" t="str">
        <f t="shared" si="1263"/>
        <v>BiK271E2a---12</v>
      </c>
      <c r="B3300" s="283" t="s">
        <v>5548</v>
      </c>
      <c r="C3300" s="284" t="str">
        <f t="shared" si="1241"/>
        <v>Inbetriebnahme 2012</v>
      </c>
      <c r="D3300" s="283" t="str">
        <f t="shared" si="1242"/>
        <v>0,15-0,5 MW, Bonusregel E2a</v>
      </c>
      <c r="E3300" s="283"/>
      <c r="F3300" s="465">
        <f t="shared" si="1243"/>
        <v>20.3</v>
      </c>
      <c r="G3300" s="541">
        <v>20.3</v>
      </c>
      <c r="H3300" s="497">
        <f t="shared" si="1244"/>
        <v>16.239999999999998</v>
      </c>
      <c r="I3300" s="719"/>
      <c r="J3300" s="669" t="s">
        <v>5805</v>
      </c>
      <c r="K3300" s="23"/>
      <c r="L3300" s="70" t="str">
        <f t="shared" si="1245"/>
        <v/>
      </c>
      <c r="M3300" s="49">
        <f t="shared" si="1246"/>
        <v>20.3</v>
      </c>
      <c r="N3300" s="41">
        <f t="shared" si="1265"/>
        <v>12.3</v>
      </c>
      <c r="O3300" s="61"/>
      <c r="P3300" s="65"/>
      <c r="Q3300" s="65"/>
      <c r="R3300" s="65"/>
      <c r="S3300" s="228" t="s">
        <v>1017</v>
      </c>
      <c r="T3300" s="29"/>
      <c r="U3300" s="65"/>
      <c r="V3300" s="61"/>
      <c r="W3300" s="29"/>
      <c r="X3300" s="50"/>
      <c r="AH3300" s="253" t="s">
        <v>1779</v>
      </c>
      <c r="AK3300" t="str">
        <f t="shared" si="1247"/>
        <v/>
      </c>
      <c r="AL3300" t="str">
        <f t="shared" si="1248"/>
        <v/>
      </c>
      <c r="AM3300" t="str">
        <f t="shared" si="1249"/>
        <v/>
      </c>
      <c r="AN3300" t="str">
        <f t="shared" si="1250"/>
        <v/>
      </c>
      <c r="AO3300" t="str">
        <f t="shared" si="1251"/>
        <v>E2a</v>
      </c>
      <c r="AP3300" t="str">
        <f t="shared" si="1252"/>
        <v/>
      </c>
      <c r="AQ3300" t="str">
        <f t="shared" si="1253"/>
        <v/>
      </c>
      <c r="AR3300" t="str">
        <f t="shared" si="1254"/>
        <v/>
      </c>
      <c r="AS3300" t="str">
        <f t="shared" si="1255"/>
        <v/>
      </c>
      <c r="AT3300" t="str">
        <f t="shared" si="1256"/>
        <v/>
      </c>
      <c r="AU3300" t="str">
        <f t="shared" si="1257"/>
        <v>E2a</v>
      </c>
      <c r="AV3300" s="254" t="str">
        <f t="shared" si="1264"/>
        <v>BiK271E2a---12</v>
      </c>
      <c r="AW3300">
        <f t="shared" si="1259"/>
        <v>14</v>
      </c>
      <c r="AX3300" t="str">
        <f t="shared" si="1260"/>
        <v>0,15-0,5 MW, Bonusregel E2a</v>
      </c>
      <c r="AY3300" t="str">
        <f t="shared" si="1261"/>
        <v/>
      </c>
    </row>
    <row r="3301" spans="1:51" x14ac:dyDescent="0.25">
      <c r="A3301" s="613" t="str">
        <f t="shared" si="1263"/>
        <v>BiK271E2b---12</v>
      </c>
      <c r="B3301" s="283" t="s">
        <v>5548</v>
      </c>
      <c r="C3301" s="284" t="str">
        <f t="shared" si="1241"/>
        <v>Inbetriebnahme 2012</v>
      </c>
      <c r="D3301" s="283" t="str">
        <f t="shared" si="1242"/>
        <v>0,15-0,5 MW, Bonusregel E2b</v>
      </c>
      <c r="E3301" s="283"/>
      <c r="F3301" s="465">
        <f t="shared" si="1243"/>
        <v>20.3</v>
      </c>
      <c r="G3301" s="541">
        <v>20.3</v>
      </c>
      <c r="H3301" s="497">
        <f t="shared" si="1244"/>
        <v>16.239999999999998</v>
      </c>
      <c r="I3301" s="719"/>
      <c r="J3301" s="669" t="s">
        <v>5805</v>
      </c>
      <c r="K3301" s="23"/>
      <c r="L3301" s="70" t="str">
        <f t="shared" si="1245"/>
        <v/>
      </c>
      <c r="M3301" s="49">
        <f t="shared" si="1246"/>
        <v>20.3</v>
      </c>
      <c r="N3301" s="41">
        <f t="shared" si="1265"/>
        <v>12.3</v>
      </c>
      <c r="O3301" s="43"/>
      <c r="P3301" s="65"/>
      <c r="Q3301" s="65"/>
      <c r="R3301" s="65"/>
      <c r="S3301" s="228"/>
      <c r="T3301" s="253" t="s">
        <v>1017</v>
      </c>
      <c r="U3301" s="65"/>
      <c r="V3301" s="43"/>
      <c r="W3301" s="35"/>
      <c r="X3301" s="50"/>
      <c r="AH3301" s="253" t="s">
        <v>1779</v>
      </c>
      <c r="AK3301" t="str">
        <f t="shared" si="1247"/>
        <v/>
      </c>
      <c r="AL3301" t="str">
        <f t="shared" si="1248"/>
        <v/>
      </c>
      <c r="AM3301" t="str">
        <f t="shared" si="1249"/>
        <v/>
      </c>
      <c r="AN3301" t="str">
        <f t="shared" si="1250"/>
        <v/>
      </c>
      <c r="AO3301" t="str">
        <f t="shared" si="1251"/>
        <v/>
      </c>
      <c r="AP3301" t="str">
        <f t="shared" si="1252"/>
        <v>E2b</v>
      </c>
      <c r="AQ3301" t="str">
        <f t="shared" si="1253"/>
        <v/>
      </c>
      <c r="AR3301" t="str">
        <f t="shared" si="1254"/>
        <v/>
      </c>
      <c r="AS3301" t="str">
        <f t="shared" si="1255"/>
        <v/>
      </c>
      <c r="AT3301" t="str">
        <f t="shared" si="1256"/>
        <v/>
      </c>
      <c r="AU3301" t="str">
        <f t="shared" si="1257"/>
        <v>E2b</v>
      </c>
      <c r="AV3301" s="254" t="str">
        <f t="shared" si="1264"/>
        <v>BiK271E2b---12</v>
      </c>
      <c r="AW3301">
        <f t="shared" si="1259"/>
        <v>14</v>
      </c>
      <c r="AX3301" t="str">
        <f t="shared" si="1260"/>
        <v>0,15-0,5 MW, Bonusregel E2b</v>
      </c>
      <c r="AY3301" t="str">
        <f t="shared" si="1261"/>
        <v/>
      </c>
    </row>
    <row r="3302" spans="1:51" x14ac:dyDescent="0.25">
      <c r="A3302" s="613" t="str">
        <f t="shared" si="1263"/>
        <v>BiK271G1----12</v>
      </c>
      <c r="B3302" s="283" t="s">
        <v>5548</v>
      </c>
      <c r="C3302" s="284" t="str">
        <f t="shared" si="1241"/>
        <v>Inbetriebnahme 2012</v>
      </c>
      <c r="D3302" s="283" t="str">
        <f t="shared" si="1242"/>
        <v>0,15-0,5 MW, Bonusregel G1</v>
      </c>
      <c r="E3302" s="283"/>
      <c r="F3302" s="465">
        <f t="shared" si="1243"/>
        <v>15.3</v>
      </c>
      <c r="G3302" s="541">
        <v>15.3</v>
      </c>
      <c r="H3302" s="497">
        <f t="shared" si="1244"/>
        <v>12.24</v>
      </c>
      <c r="I3302" s="719"/>
      <c r="J3302" s="669" t="s">
        <v>5805</v>
      </c>
      <c r="K3302" s="23"/>
      <c r="L3302" s="70" t="str">
        <f t="shared" si="1245"/>
        <v/>
      </c>
      <c r="M3302" s="49">
        <f t="shared" si="1246"/>
        <v>15.3</v>
      </c>
      <c r="N3302" s="41">
        <f t="shared" si="1265"/>
        <v>12.3</v>
      </c>
      <c r="O3302" s="61"/>
      <c r="P3302" s="65"/>
      <c r="Q3302" s="65"/>
      <c r="R3302" s="65"/>
      <c r="S3302" s="61"/>
      <c r="T3302" s="29"/>
      <c r="U3302" s="65"/>
      <c r="V3302" s="228" t="s">
        <v>1017</v>
      </c>
      <c r="W3302" s="29"/>
      <c r="X3302" s="50"/>
      <c r="AH3302" s="253" t="s">
        <v>1779</v>
      </c>
      <c r="AK3302" t="str">
        <f t="shared" si="1247"/>
        <v/>
      </c>
      <c r="AL3302" t="str">
        <f t="shared" si="1248"/>
        <v/>
      </c>
      <c r="AM3302" t="str">
        <f t="shared" si="1249"/>
        <v/>
      </c>
      <c r="AN3302" t="str">
        <f t="shared" si="1250"/>
        <v/>
      </c>
      <c r="AO3302" t="str">
        <f t="shared" si="1251"/>
        <v/>
      </c>
      <c r="AP3302" t="str">
        <f t="shared" si="1252"/>
        <v/>
      </c>
      <c r="AQ3302" t="str">
        <f t="shared" si="1253"/>
        <v/>
      </c>
      <c r="AR3302" t="str">
        <f t="shared" si="1254"/>
        <v>G1</v>
      </c>
      <c r="AS3302" t="str">
        <f t="shared" si="1255"/>
        <v/>
      </c>
      <c r="AT3302" t="str">
        <f t="shared" si="1256"/>
        <v/>
      </c>
      <c r="AU3302" t="str">
        <f t="shared" si="1257"/>
        <v>G1</v>
      </c>
      <c r="AV3302" s="254" t="str">
        <f t="shared" si="1264"/>
        <v>BiK271G1----12</v>
      </c>
      <c r="AW3302">
        <f t="shared" si="1259"/>
        <v>14</v>
      </c>
      <c r="AX3302" t="str">
        <f t="shared" si="1260"/>
        <v>0,15-0,5 MW, Bonusregel G1</v>
      </c>
      <c r="AY3302" t="str">
        <f t="shared" si="1261"/>
        <v/>
      </c>
    </row>
    <row r="3303" spans="1:51" x14ac:dyDescent="0.25">
      <c r="A3303" s="613" t="str">
        <f t="shared" si="1263"/>
        <v>BiK271E1aG1-12</v>
      </c>
      <c r="B3303" s="283" t="s">
        <v>5548</v>
      </c>
      <c r="C3303" s="284" t="str">
        <f t="shared" si="1241"/>
        <v>Inbetriebnahme 2012</v>
      </c>
      <c r="D3303" s="283" t="str">
        <f t="shared" si="1242"/>
        <v>0,15-0,5 MW, Bonusregeln E1a, G1</v>
      </c>
      <c r="E3303" s="283"/>
      <c r="F3303" s="465">
        <f t="shared" si="1243"/>
        <v>21.3</v>
      </c>
      <c r="G3303" s="541">
        <v>21.3</v>
      </c>
      <c r="H3303" s="497">
        <f t="shared" si="1244"/>
        <v>17.04</v>
      </c>
      <c r="I3303" s="719"/>
      <c r="J3303" s="669" t="s">
        <v>5805</v>
      </c>
      <c r="K3303" s="23"/>
      <c r="L3303" s="70" t="str">
        <f t="shared" si="1245"/>
        <v/>
      </c>
      <c r="M3303" s="49">
        <f t="shared" si="1246"/>
        <v>21.3</v>
      </c>
      <c r="N3303" s="41">
        <f t="shared" si="1265"/>
        <v>12.3</v>
      </c>
      <c r="O3303" s="43" t="s">
        <v>1017</v>
      </c>
      <c r="P3303" s="65"/>
      <c r="Q3303" s="65"/>
      <c r="R3303" s="65"/>
      <c r="S3303" s="228"/>
      <c r="T3303" s="35"/>
      <c r="U3303" s="65"/>
      <c r="V3303" s="228" t="s">
        <v>1017</v>
      </c>
      <c r="W3303" s="35"/>
      <c r="X3303" s="50"/>
      <c r="AH3303" s="253" t="s">
        <v>1779</v>
      </c>
      <c r="AK3303" t="str">
        <f t="shared" si="1247"/>
        <v>E1a</v>
      </c>
      <c r="AL3303" t="str">
        <f t="shared" si="1248"/>
        <v/>
      </c>
      <c r="AM3303" t="str">
        <f t="shared" si="1249"/>
        <v/>
      </c>
      <c r="AN3303" t="str">
        <f t="shared" si="1250"/>
        <v/>
      </c>
      <c r="AO3303" t="str">
        <f t="shared" si="1251"/>
        <v/>
      </c>
      <c r="AP3303" t="str">
        <f t="shared" si="1252"/>
        <v/>
      </c>
      <c r="AQ3303" t="str">
        <f t="shared" si="1253"/>
        <v/>
      </c>
      <c r="AR3303" t="str">
        <f t="shared" si="1254"/>
        <v>G1</v>
      </c>
      <c r="AS3303" t="str">
        <f t="shared" si="1255"/>
        <v/>
      </c>
      <c r="AT3303" t="str">
        <f t="shared" si="1256"/>
        <v/>
      </c>
      <c r="AU3303" t="str">
        <f t="shared" si="1257"/>
        <v>E1aG1</v>
      </c>
      <c r="AV3303" s="254" t="str">
        <f t="shared" si="1264"/>
        <v>BiK271E1aG1-12</v>
      </c>
      <c r="AW3303">
        <f t="shared" si="1259"/>
        <v>14</v>
      </c>
      <c r="AX3303" t="str">
        <f t="shared" si="1260"/>
        <v>0,15-0,5 MW, Bonusregeln E1a, G1</v>
      </c>
      <c r="AY3303" t="str">
        <f t="shared" si="1261"/>
        <v/>
      </c>
    </row>
    <row r="3304" spans="1:51" x14ac:dyDescent="0.25">
      <c r="A3304" s="613" t="str">
        <f t="shared" si="1263"/>
        <v>BiK271E2aG1-12</v>
      </c>
      <c r="B3304" s="283" t="s">
        <v>5548</v>
      </c>
      <c r="C3304" s="284" t="str">
        <f t="shared" si="1241"/>
        <v>Inbetriebnahme 2012</v>
      </c>
      <c r="D3304" s="283" t="str">
        <f t="shared" si="1242"/>
        <v>0,15-0,5 MW, Bonusregeln E2a, G1</v>
      </c>
      <c r="E3304" s="283"/>
      <c r="F3304" s="465">
        <f t="shared" si="1243"/>
        <v>23.3</v>
      </c>
      <c r="G3304" s="541">
        <v>23.3</v>
      </c>
      <c r="H3304" s="497">
        <f t="shared" si="1244"/>
        <v>18.64</v>
      </c>
      <c r="I3304" s="719"/>
      <c r="J3304" s="669" t="s">
        <v>5805</v>
      </c>
      <c r="K3304" s="23"/>
      <c r="L3304" s="70" t="str">
        <f t="shared" si="1245"/>
        <v/>
      </c>
      <c r="M3304" s="49">
        <f t="shared" si="1246"/>
        <v>23.3</v>
      </c>
      <c r="N3304" s="41">
        <f t="shared" si="1265"/>
        <v>12.3</v>
      </c>
      <c r="O3304" s="43"/>
      <c r="P3304" s="65"/>
      <c r="Q3304" s="65"/>
      <c r="R3304" s="65"/>
      <c r="S3304" s="228" t="s">
        <v>1017</v>
      </c>
      <c r="T3304" s="35"/>
      <c r="U3304" s="65"/>
      <c r="V3304" s="228" t="s">
        <v>1017</v>
      </c>
      <c r="W3304" s="35"/>
      <c r="X3304" s="50"/>
      <c r="AH3304" s="253" t="s">
        <v>1779</v>
      </c>
      <c r="AK3304" t="str">
        <f t="shared" si="1247"/>
        <v/>
      </c>
      <c r="AL3304" t="str">
        <f t="shared" si="1248"/>
        <v/>
      </c>
      <c r="AM3304" t="str">
        <f t="shared" si="1249"/>
        <v/>
      </c>
      <c r="AN3304" t="str">
        <f t="shared" si="1250"/>
        <v/>
      </c>
      <c r="AO3304" t="str">
        <f t="shared" si="1251"/>
        <v>E2a</v>
      </c>
      <c r="AP3304" t="str">
        <f t="shared" si="1252"/>
        <v/>
      </c>
      <c r="AQ3304" t="str">
        <f t="shared" si="1253"/>
        <v/>
      </c>
      <c r="AR3304" t="str">
        <f t="shared" si="1254"/>
        <v>G1</v>
      </c>
      <c r="AS3304" t="str">
        <f t="shared" si="1255"/>
        <v/>
      </c>
      <c r="AT3304" t="str">
        <f t="shared" si="1256"/>
        <v/>
      </c>
      <c r="AU3304" t="str">
        <f t="shared" si="1257"/>
        <v>E2aG1</v>
      </c>
      <c r="AV3304" s="254" t="str">
        <f t="shared" si="1264"/>
        <v>BiK271E2aG1-12</v>
      </c>
      <c r="AW3304">
        <f t="shared" si="1259"/>
        <v>14</v>
      </c>
      <c r="AX3304" t="str">
        <f t="shared" si="1260"/>
        <v>0,15-0,5 MW, Bonusregeln E2a, G1</v>
      </c>
      <c r="AY3304" t="str">
        <f t="shared" si="1261"/>
        <v/>
      </c>
    </row>
    <row r="3305" spans="1:51" x14ac:dyDescent="0.25">
      <c r="A3305" s="613" t="str">
        <f t="shared" si="1263"/>
        <v>BiK271E2bG1-12</v>
      </c>
      <c r="B3305" s="283" t="s">
        <v>5548</v>
      </c>
      <c r="C3305" s="284" t="str">
        <f t="shared" si="1241"/>
        <v>Inbetriebnahme 2012</v>
      </c>
      <c r="D3305" s="283" t="str">
        <f t="shared" si="1242"/>
        <v>0,15-0,5 MW, Bonusregeln E2b, G1</v>
      </c>
      <c r="E3305" s="283"/>
      <c r="F3305" s="465">
        <f t="shared" si="1243"/>
        <v>23.3</v>
      </c>
      <c r="G3305" s="541">
        <v>23.3</v>
      </c>
      <c r="H3305" s="497">
        <f t="shared" si="1244"/>
        <v>18.64</v>
      </c>
      <c r="I3305" s="719"/>
      <c r="J3305" s="669" t="s">
        <v>5805</v>
      </c>
      <c r="K3305" s="23"/>
      <c r="L3305" s="70" t="str">
        <f t="shared" si="1245"/>
        <v/>
      </c>
      <c r="M3305" s="49">
        <f t="shared" si="1246"/>
        <v>23.3</v>
      </c>
      <c r="N3305" s="41">
        <f t="shared" si="1265"/>
        <v>12.3</v>
      </c>
      <c r="O3305" s="43"/>
      <c r="P3305" s="65"/>
      <c r="Q3305" s="65"/>
      <c r="R3305" s="65"/>
      <c r="S3305" s="228"/>
      <c r="T3305" s="35" t="s">
        <v>1017</v>
      </c>
      <c r="U3305" s="65"/>
      <c r="V3305" s="228" t="s">
        <v>1017</v>
      </c>
      <c r="W3305" s="35"/>
      <c r="X3305" s="50"/>
      <c r="AH3305" s="253" t="s">
        <v>1779</v>
      </c>
      <c r="AK3305" t="str">
        <f t="shared" si="1247"/>
        <v/>
      </c>
      <c r="AL3305" t="str">
        <f t="shared" si="1248"/>
        <v/>
      </c>
      <c r="AM3305" t="str">
        <f t="shared" si="1249"/>
        <v/>
      </c>
      <c r="AN3305" t="str">
        <f t="shared" si="1250"/>
        <v/>
      </c>
      <c r="AO3305" t="str">
        <f t="shared" si="1251"/>
        <v/>
      </c>
      <c r="AP3305" t="str">
        <f t="shared" si="1252"/>
        <v>E2b</v>
      </c>
      <c r="AQ3305" t="str">
        <f t="shared" si="1253"/>
        <v/>
      </c>
      <c r="AR3305" t="str">
        <f t="shared" si="1254"/>
        <v>G1</v>
      </c>
      <c r="AS3305" t="str">
        <f t="shared" si="1255"/>
        <v/>
      </c>
      <c r="AT3305" t="str">
        <f t="shared" si="1256"/>
        <v/>
      </c>
      <c r="AU3305" t="str">
        <f t="shared" si="1257"/>
        <v>E2bG1</v>
      </c>
      <c r="AV3305" s="254" t="str">
        <f t="shared" si="1264"/>
        <v>BiK271E2bG1-12</v>
      </c>
      <c r="AW3305">
        <f t="shared" si="1259"/>
        <v>14</v>
      </c>
      <c r="AX3305" t="str">
        <f t="shared" si="1260"/>
        <v>0,15-0,5 MW, Bonusregeln E2b, G1</v>
      </c>
      <c r="AY3305" t="str">
        <f t="shared" si="1261"/>
        <v/>
      </c>
    </row>
    <row r="3306" spans="1:51" x14ac:dyDescent="0.25">
      <c r="A3306" s="613" t="str">
        <f t="shared" si="1263"/>
        <v>BiK271G2----12</v>
      </c>
      <c r="B3306" s="283" t="s">
        <v>5548</v>
      </c>
      <c r="C3306" s="284" t="str">
        <f t="shared" si="1241"/>
        <v>Inbetriebnahme 2012</v>
      </c>
      <c r="D3306" s="283" t="str">
        <f t="shared" si="1242"/>
        <v>0,15-0,5 MW, Bonusregel G2</v>
      </c>
      <c r="E3306" s="283"/>
      <c r="F3306" s="465">
        <f t="shared" si="1243"/>
        <v>14.3</v>
      </c>
      <c r="G3306" s="541">
        <v>14.3</v>
      </c>
      <c r="H3306" s="497">
        <f t="shared" si="1244"/>
        <v>11.44</v>
      </c>
      <c r="I3306" s="719"/>
      <c r="J3306" s="669" t="s">
        <v>5805</v>
      </c>
      <c r="K3306" s="23"/>
      <c r="L3306" s="70" t="str">
        <f t="shared" si="1245"/>
        <v/>
      </c>
      <c r="M3306" s="49">
        <f t="shared" si="1246"/>
        <v>14.3</v>
      </c>
      <c r="N3306" s="41">
        <f t="shared" si="1265"/>
        <v>12.3</v>
      </c>
      <c r="O3306" s="61"/>
      <c r="P3306" s="65"/>
      <c r="Q3306" s="65"/>
      <c r="R3306" s="65"/>
      <c r="S3306" s="61"/>
      <c r="T3306" s="29"/>
      <c r="U3306" s="65"/>
      <c r="V3306" s="228"/>
      <c r="W3306" s="253" t="s">
        <v>1017</v>
      </c>
      <c r="X3306" s="50"/>
      <c r="AH3306" s="253" t="s">
        <v>1779</v>
      </c>
      <c r="AK3306" t="str">
        <f t="shared" si="1247"/>
        <v/>
      </c>
      <c r="AL3306" t="str">
        <f t="shared" si="1248"/>
        <v/>
      </c>
      <c r="AM3306" t="str">
        <f t="shared" si="1249"/>
        <v/>
      </c>
      <c r="AN3306" t="str">
        <f t="shared" si="1250"/>
        <v/>
      </c>
      <c r="AO3306" t="str">
        <f t="shared" si="1251"/>
        <v/>
      </c>
      <c r="AP3306" t="str">
        <f t="shared" si="1252"/>
        <v/>
      </c>
      <c r="AQ3306" t="str">
        <f t="shared" si="1253"/>
        <v/>
      </c>
      <c r="AR3306" t="str">
        <f t="shared" si="1254"/>
        <v/>
      </c>
      <c r="AS3306" t="str">
        <f t="shared" si="1255"/>
        <v>G2</v>
      </c>
      <c r="AT3306" t="str">
        <f t="shared" si="1256"/>
        <v/>
      </c>
      <c r="AU3306" t="str">
        <f t="shared" si="1257"/>
        <v>G2</v>
      </c>
      <c r="AV3306" s="254" t="str">
        <f t="shared" si="1264"/>
        <v>BiK271G2----12</v>
      </c>
      <c r="AW3306">
        <f t="shared" si="1259"/>
        <v>14</v>
      </c>
      <c r="AX3306" t="str">
        <f t="shared" si="1260"/>
        <v>0,15-0,5 MW, Bonusregel G2</v>
      </c>
      <c r="AY3306" t="str">
        <f t="shared" si="1261"/>
        <v/>
      </c>
    </row>
    <row r="3307" spans="1:51" x14ac:dyDescent="0.25">
      <c r="A3307" s="613" t="str">
        <f t="shared" si="1263"/>
        <v>BiK271E1aG2-12</v>
      </c>
      <c r="B3307" s="283" t="s">
        <v>5548</v>
      </c>
      <c r="C3307" s="284" t="str">
        <f t="shared" si="1241"/>
        <v>Inbetriebnahme 2012</v>
      </c>
      <c r="D3307" s="283" t="str">
        <f t="shared" si="1242"/>
        <v>0,15-0,5 MW, Bonusregeln E1a, G2</v>
      </c>
      <c r="E3307" s="283"/>
      <c r="F3307" s="465">
        <f t="shared" si="1243"/>
        <v>20.3</v>
      </c>
      <c r="G3307" s="541">
        <v>20.3</v>
      </c>
      <c r="H3307" s="497">
        <f t="shared" si="1244"/>
        <v>16.239999999999998</v>
      </c>
      <c r="I3307" s="719"/>
      <c r="J3307" s="669" t="s">
        <v>5805</v>
      </c>
      <c r="K3307" s="23"/>
      <c r="L3307" s="70" t="str">
        <f t="shared" si="1245"/>
        <v/>
      </c>
      <c r="M3307" s="49">
        <f t="shared" si="1246"/>
        <v>20.3</v>
      </c>
      <c r="N3307" s="41">
        <f t="shared" si="1265"/>
        <v>12.3</v>
      </c>
      <c r="O3307" s="43" t="s">
        <v>1017</v>
      </c>
      <c r="P3307" s="65"/>
      <c r="Q3307" s="65"/>
      <c r="R3307" s="65"/>
      <c r="S3307" s="228"/>
      <c r="T3307" s="35"/>
      <c r="U3307" s="65"/>
      <c r="V3307" s="228"/>
      <c r="W3307" s="253" t="s">
        <v>1017</v>
      </c>
      <c r="X3307" s="50"/>
      <c r="AH3307" s="253" t="s">
        <v>1779</v>
      </c>
      <c r="AK3307" t="str">
        <f t="shared" si="1247"/>
        <v>E1a</v>
      </c>
      <c r="AL3307" t="str">
        <f t="shared" si="1248"/>
        <v/>
      </c>
      <c r="AM3307" t="str">
        <f t="shared" si="1249"/>
        <v/>
      </c>
      <c r="AN3307" t="str">
        <f t="shared" si="1250"/>
        <v/>
      </c>
      <c r="AO3307" t="str">
        <f t="shared" si="1251"/>
        <v/>
      </c>
      <c r="AP3307" t="str">
        <f t="shared" si="1252"/>
        <v/>
      </c>
      <c r="AQ3307" t="str">
        <f t="shared" si="1253"/>
        <v/>
      </c>
      <c r="AR3307" t="str">
        <f t="shared" si="1254"/>
        <v/>
      </c>
      <c r="AS3307" t="str">
        <f t="shared" si="1255"/>
        <v>G2</v>
      </c>
      <c r="AT3307" t="str">
        <f t="shared" si="1256"/>
        <v/>
      </c>
      <c r="AU3307" t="str">
        <f t="shared" si="1257"/>
        <v>E1aG2</v>
      </c>
      <c r="AV3307" s="254" t="str">
        <f t="shared" si="1264"/>
        <v>BiK271E1aG2-12</v>
      </c>
      <c r="AW3307">
        <f t="shared" si="1259"/>
        <v>14</v>
      </c>
      <c r="AX3307" t="str">
        <f t="shared" si="1260"/>
        <v>0,15-0,5 MW, Bonusregeln E1a, G2</v>
      </c>
      <c r="AY3307" t="str">
        <f t="shared" si="1261"/>
        <v/>
      </c>
    </row>
    <row r="3308" spans="1:51" x14ac:dyDescent="0.25">
      <c r="A3308" s="613" t="str">
        <f t="shared" si="1263"/>
        <v>BiK271E2aG2-12</v>
      </c>
      <c r="B3308" s="283" t="s">
        <v>5548</v>
      </c>
      <c r="C3308" s="284" t="str">
        <f t="shared" si="1241"/>
        <v>Inbetriebnahme 2012</v>
      </c>
      <c r="D3308" s="283" t="str">
        <f t="shared" si="1242"/>
        <v>0,15-0,5 MW, Bonusregeln E2a, G2</v>
      </c>
      <c r="E3308" s="283"/>
      <c r="F3308" s="465">
        <f t="shared" si="1243"/>
        <v>22.3</v>
      </c>
      <c r="G3308" s="541">
        <v>22.3</v>
      </c>
      <c r="H3308" s="497">
        <f t="shared" si="1244"/>
        <v>17.84</v>
      </c>
      <c r="I3308" s="719"/>
      <c r="J3308" s="669" t="s">
        <v>5805</v>
      </c>
      <c r="K3308" s="23"/>
      <c r="L3308" s="70" t="str">
        <f t="shared" si="1245"/>
        <v/>
      </c>
      <c r="M3308" s="49">
        <f t="shared" si="1246"/>
        <v>22.3</v>
      </c>
      <c r="N3308" s="41">
        <f t="shared" si="1265"/>
        <v>12.3</v>
      </c>
      <c r="O3308" s="43"/>
      <c r="P3308" s="65"/>
      <c r="Q3308" s="65"/>
      <c r="R3308" s="65"/>
      <c r="S3308" s="228" t="s">
        <v>1017</v>
      </c>
      <c r="T3308" s="35"/>
      <c r="U3308" s="65"/>
      <c r="V3308" s="228"/>
      <c r="W3308" s="253" t="s">
        <v>1017</v>
      </c>
      <c r="X3308" s="50"/>
      <c r="AH3308" s="253" t="s">
        <v>1779</v>
      </c>
      <c r="AK3308" t="str">
        <f t="shared" si="1247"/>
        <v/>
      </c>
      <c r="AL3308" t="str">
        <f t="shared" si="1248"/>
        <v/>
      </c>
      <c r="AM3308" t="str">
        <f t="shared" si="1249"/>
        <v/>
      </c>
      <c r="AN3308" t="str">
        <f t="shared" si="1250"/>
        <v/>
      </c>
      <c r="AO3308" t="str">
        <f t="shared" si="1251"/>
        <v>E2a</v>
      </c>
      <c r="AP3308" t="str">
        <f t="shared" si="1252"/>
        <v/>
      </c>
      <c r="AQ3308" t="str">
        <f t="shared" si="1253"/>
        <v/>
      </c>
      <c r="AR3308" t="str">
        <f t="shared" si="1254"/>
        <v/>
      </c>
      <c r="AS3308" t="str">
        <f t="shared" si="1255"/>
        <v>G2</v>
      </c>
      <c r="AT3308" t="str">
        <f t="shared" si="1256"/>
        <v/>
      </c>
      <c r="AU3308" t="str">
        <f t="shared" si="1257"/>
        <v>E2aG2</v>
      </c>
      <c r="AV3308" s="254" t="str">
        <f t="shared" si="1264"/>
        <v>BiK271E2aG2-12</v>
      </c>
      <c r="AW3308">
        <f t="shared" si="1259"/>
        <v>14</v>
      </c>
      <c r="AX3308" t="str">
        <f t="shared" si="1260"/>
        <v>0,15-0,5 MW, Bonusregeln E2a, G2</v>
      </c>
      <c r="AY3308" t="str">
        <f t="shared" si="1261"/>
        <v/>
      </c>
    </row>
    <row r="3309" spans="1:51" x14ac:dyDescent="0.25">
      <c r="A3309" s="613" t="str">
        <f t="shared" si="1263"/>
        <v>BiK271E2bG2-12</v>
      </c>
      <c r="B3309" s="283" t="s">
        <v>5548</v>
      </c>
      <c r="C3309" s="284" t="str">
        <f t="shared" si="1241"/>
        <v>Inbetriebnahme 2012</v>
      </c>
      <c r="D3309" s="283" t="str">
        <f t="shared" si="1242"/>
        <v>0,15-0,5 MW, Bonusregeln E2b, G2</v>
      </c>
      <c r="E3309" s="283"/>
      <c r="F3309" s="465">
        <f t="shared" si="1243"/>
        <v>22.3</v>
      </c>
      <c r="G3309" s="541">
        <v>22.3</v>
      </c>
      <c r="H3309" s="497">
        <f t="shared" si="1244"/>
        <v>17.84</v>
      </c>
      <c r="I3309" s="719"/>
      <c r="J3309" s="669" t="s">
        <v>5805</v>
      </c>
      <c r="K3309" s="23"/>
      <c r="L3309" s="70" t="str">
        <f t="shared" si="1245"/>
        <v/>
      </c>
      <c r="M3309" s="49">
        <f t="shared" si="1246"/>
        <v>22.3</v>
      </c>
      <c r="N3309" s="41">
        <f t="shared" si="1265"/>
        <v>12.3</v>
      </c>
      <c r="O3309" s="43"/>
      <c r="P3309" s="65"/>
      <c r="Q3309" s="65"/>
      <c r="R3309" s="65"/>
      <c r="S3309" s="228"/>
      <c r="T3309" s="35" t="s">
        <v>1017</v>
      </c>
      <c r="U3309" s="65"/>
      <c r="V3309" s="228"/>
      <c r="W3309" s="253" t="s">
        <v>1017</v>
      </c>
      <c r="X3309" s="50"/>
      <c r="AH3309" s="253" t="s">
        <v>1779</v>
      </c>
      <c r="AK3309" t="str">
        <f t="shared" si="1247"/>
        <v/>
      </c>
      <c r="AL3309" t="str">
        <f t="shared" si="1248"/>
        <v/>
      </c>
      <c r="AM3309" t="str">
        <f t="shared" si="1249"/>
        <v/>
      </c>
      <c r="AN3309" t="str">
        <f t="shared" si="1250"/>
        <v/>
      </c>
      <c r="AO3309" t="str">
        <f t="shared" si="1251"/>
        <v/>
      </c>
      <c r="AP3309" t="str">
        <f t="shared" si="1252"/>
        <v>E2b</v>
      </c>
      <c r="AQ3309" t="str">
        <f t="shared" si="1253"/>
        <v/>
      </c>
      <c r="AR3309" t="str">
        <f t="shared" si="1254"/>
        <v/>
      </c>
      <c r="AS3309" t="str">
        <f t="shared" si="1255"/>
        <v>G2</v>
      </c>
      <c r="AT3309" t="str">
        <f t="shared" si="1256"/>
        <v/>
      </c>
      <c r="AU3309" t="str">
        <f t="shared" si="1257"/>
        <v>E2bG2</v>
      </c>
      <c r="AV3309" s="254" t="str">
        <f t="shared" si="1264"/>
        <v>BiK271E2bG2-12</v>
      </c>
      <c r="AW3309">
        <f t="shared" si="1259"/>
        <v>14</v>
      </c>
      <c r="AX3309" t="str">
        <f t="shared" si="1260"/>
        <v>0,15-0,5 MW, Bonusregeln E2b, G2</v>
      </c>
      <c r="AY3309" t="str">
        <f t="shared" si="1261"/>
        <v/>
      </c>
    </row>
    <row r="3310" spans="1:51" x14ac:dyDescent="0.25">
      <c r="A3310" s="613" t="str">
        <f t="shared" si="1263"/>
        <v>BiK271G3----12</v>
      </c>
      <c r="B3310" s="283" t="s">
        <v>5548</v>
      </c>
      <c r="C3310" s="284" t="str">
        <f t="shared" si="1241"/>
        <v>Inbetriebnahme 2012</v>
      </c>
      <c r="D3310" s="283" t="str">
        <f t="shared" si="1242"/>
        <v>0,15-0,5 MW, Bonusregel G3</v>
      </c>
      <c r="E3310" s="283"/>
      <c r="F3310" s="465">
        <f t="shared" si="1243"/>
        <v>13.3</v>
      </c>
      <c r="G3310" s="541">
        <v>13.3</v>
      </c>
      <c r="H3310" s="497">
        <f t="shared" si="1244"/>
        <v>10.64</v>
      </c>
      <c r="I3310" s="719"/>
      <c r="J3310" s="669" t="s">
        <v>5805</v>
      </c>
      <c r="K3310" s="23"/>
      <c r="L3310" s="70" t="str">
        <f t="shared" si="1245"/>
        <v/>
      </c>
      <c r="M3310" s="49">
        <f t="shared" si="1246"/>
        <v>13.3</v>
      </c>
      <c r="N3310" s="41">
        <f t="shared" si="1265"/>
        <v>12.3</v>
      </c>
      <c r="O3310" s="61"/>
      <c r="P3310" s="65"/>
      <c r="Q3310" s="65"/>
      <c r="R3310" s="65"/>
      <c r="S3310" s="61"/>
      <c r="T3310" s="29"/>
      <c r="U3310" s="65"/>
      <c r="V3310" s="228"/>
      <c r="W3310" s="35"/>
      <c r="X3310" s="50" t="s">
        <v>1017</v>
      </c>
      <c r="AH3310" s="253" t="s">
        <v>1779</v>
      </c>
      <c r="AK3310" t="str">
        <f t="shared" si="1247"/>
        <v/>
      </c>
      <c r="AL3310" t="str">
        <f t="shared" si="1248"/>
        <v/>
      </c>
      <c r="AM3310" t="str">
        <f t="shared" si="1249"/>
        <v/>
      </c>
      <c r="AN3310" t="str">
        <f t="shared" si="1250"/>
        <v/>
      </c>
      <c r="AO3310" t="str">
        <f t="shared" si="1251"/>
        <v/>
      </c>
      <c r="AP3310" t="str">
        <f t="shared" si="1252"/>
        <v/>
      </c>
      <c r="AQ3310" t="str">
        <f t="shared" si="1253"/>
        <v/>
      </c>
      <c r="AR3310" t="str">
        <f t="shared" si="1254"/>
        <v/>
      </c>
      <c r="AS3310" t="str">
        <f t="shared" si="1255"/>
        <v/>
      </c>
      <c r="AT3310" t="str">
        <f t="shared" si="1256"/>
        <v>G3</v>
      </c>
      <c r="AU3310" t="str">
        <f t="shared" si="1257"/>
        <v>G3</v>
      </c>
      <c r="AV3310" s="254" t="str">
        <f t="shared" si="1264"/>
        <v>BiK271G3----12</v>
      </c>
      <c r="AW3310">
        <f t="shared" si="1259"/>
        <v>14</v>
      </c>
      <c r="AX3310" t="str">
        <f t="shared" si="1260"/>
        <v>0,15-0,5 MW, Bonusregel G3</v>
      </c>
      <c r="AY3310" t="str">
        <f t="shared" si="1261"/>
        <v/>
      </c>
    </row>
    <row r="3311" spans="1:51" x14ac:dyDescent="0.25">
      <c r="A3311" s="613" t="str">
        <f t="shared" si="1263"/>
        <v>BiK271E1aG3-12</v>
      </c>
      <c r="B3311" s="283" t="s">
        <v>5548</v>
      </c>
      <c r="C3311" s="284" t="str">
        <f t="shared" si="1241"/>
        <v>Inbetriebnahme 2012</v>
      </c>
      <c r="D3311" s="283" t="str">
        <f t="shared" si="1242"/>
        <v>0,15-0,5 MW, Bonusregeln E1a, G3</v>
      </c>
      <c r="E3311" s="283"/>
      <c r="F3311" s="465">
        <f t="shared" si="1243"/>
        <v>19.3</v>
      </c>
      <c r="G3311" s="541">
        <v>19.3</v>
      </c>
      <c r="H3311" s="497">
        <f t="shared" si="1244"/>
        <v>15.44</v>
      </c>
      <c r="I3311" s="719"/>
      <c r="J3311" s="669" t="s">
        <v>5805</v>
      </c>
      <c r="K3311" s="23"/>
      <c r="L3311" s="70" t="str">
        <f t="shared" si="1245"/>
        <v/>
      </c>
      <c r="M3311" s="49">
        <f t="shared" si="1246"/>
        <v>19.3</v>
      </c>
      <c r="N3311" s="41">
        <f t="shared" si="1265"/>
        <v>12.3</v>
      </c>
      <c r="O3311" s="43" t="s">
        <v>1017</v>
      </c>
      <c r="P3311" s="65"/>
      <c r="Q3311" s="65"/>
      <c r="R3311" s="65"/>
      <c r="S3311" s="228"/>
      <c r="T3311" s="35"/>
      <c r="U3311" s="65"/>
      <c r="V3311" s="228"/>
      <c r="W3311" s="35"/>
      <c r="X3311" s="50" t="s">
        <v>1017</v>
      </c>
      <c r="AH3311" s="253" t="s">
        <v>1779</v>
      </c>
      <c r="AK3311" t="str">
        <f t="shared" si="1247"/>
        <v>E1a</v>
      </c>
      <c r="AL3311" t="str">
        <f t="shared" si="1248"/>
        <v/>
      </c>
      <c r="AM3311" t="str">
        <f t="shared" si="1249"/>
        <v/>
      </c>
      <c r="AN3311" t="str">
        <f t="shared" si="1250"/>
        <v/>
      </c>
      <c r="AO3311" t="str">
        <f t="shared" si="1251"/>
        <v/>
      </c>
      <c r="AP3311" t="str">
        <f t="shared" si="1252"/>
        <v/>
      </c>
      <c r="AQ3311" t="str">
        <f t="shared" si="1253"/>
        <v/>
      </c>
      <c r="AR3311" t="str">
        <f t="shared" si="1254"/>
        <v/>
      </c>
      <c r="AS3311" t="str">
        <f t="shared" si="1255"/>
        <v/>
      </c>
      <c r="AT3311" t="str">
        <f t="shared" si="1256"/>
        <v>G3</v>
      </c>
      <c r="AU3311" t="str">
        <f t="shared" si="1257"/>
        <v>E1aG3</v>
      </c>
      <c r="AV3311" s="254" t="str">
        <f t="shared" si="1264"/>
        <v>BiK271E1aG3-12</v>
      </c>
      <c r="AW3311">
        <f t="shared" si="1259"/>
        <v>14</v>
      </c>
      <c r="AX3311" t="str">
        <f t="shared" si="1260"/>
        <v>0,15-0,5 MW, Bonusregeln E1a, G3</v>
      </c>
      <c r="AY3311" t="str">
        <f t="shared" si="1261"/>
        <v/>
      </c>
    </row>
    <row r="3312" spans="1:51" x14ac:dyDescent="0.25">
      <c r="A3312" s="613" t="str">
        <f t="shared" si="1263"/>
        <v>BiK271E2aG3-12</v>
      </c>
      <c r="B3312" s="283" t="s">
        <v>5548</v>
      </c>
      <c r="C3312" s="284" t="str">
        <f t="shared" si="1241"/>
        <v>Inbetriebnahme 2012</v>
      </c>
      <c r="D3312" s="283" t="str">
        <f t="shared" si="1242"/>
        <v>0,15-0,5 MW, Bonusregeln E2a, G3</v>
      </c>
      <c r="E3312" s="283"/>
      <c r="F3312" s="465">
        <f t="shared" si="1243"/>
        <v>21.3</v>
      </c>
      <c r="G3312" s="541">
        <v>21.3</v>
      </c>
      <c r="H3312" s="497">
        <f t="shared" si="1244"/>
        <v>17.04</v>
      </c>
      <c r="I3312" s="719"/>
      <c r="J3312" s="669" t="s">
        <v>5805</v>
      </c>
      <c r="K3312" s="23"/>
      <c r="L3312" s="70" t="str">
        <f t="shared" si="1245"/>
        <v/>
      </c>
      <c r="M3312" s="49">
        <f t="shared" si="1246"/>
        <v>21.3</v>
      </c>
      <c r="N3312" s="41">
        <f t="shared" si="1265"/>
        <v>12.3</v>
      </c>
      <c r="O3312" s="43"/>
      <c r="P3312" s="65"/>
      <c r="Q3312" s="65"/>
      <c r="R3312" s="65"/>
      <c r="S3312" s="228" t="s">
        <v>1017</v>
      </c>
      <c r="T3312" s="35"/>
      <c r="U3312" s="65"/>
      <c r="V3312" s="228"/>
      <c r="W3312" s="35"/>
      <c r="X3312" s="50" t="s">
        <v>1017</v>
      </c>
      <c r="AH3312" s="253" t="s">
        <v>1779</v>
      </c>
      <c r="AK3312" t="str">
        <f t="shared" si="1247"/>
        <v/>
      </c>
      <c r="AL3312" t="str">
        <f t="shared" si="1248"/>
        <v/>
      </c>
      <c r="AM3312" t="str">
        <f t="shared" si="1249"/>
        <v/>
      </c>
      <c r="AN3312" t="str">
        <f t="shared" si="1250"/>
        <v/>
      </c>
      <c r="AO3312" t="str">
        <f t="shared" si="1251"/>
        <v>E2a</v>
      </c>
      <c r="AP3312" t="str">
        <f t="shared" si="1252"/>
        <v/>
      </c>
      <c r="AQ3312" t="str">
        <f t="shared" si="1253"/>
        <v/>
      </c>
      <c r="AR3312" t="str">
        <f t="shared" si="1254"/>
        <v/>
      </c>
      <c r="AS3312" t="str">
        <f t="shared" si="1255"/>
        <v/>
      </c>
      <c r="AT3312" t="str">
        <f t="shared" si="1256"/>
        <v>G3</v>
      </c>
      <c r="AU3312" t="str">
        <f t="shared" si="1257"/>
        <v>E2aG3</v>
      </c>
      <c r="AV3312" s="254" t="str">
        <f t="shared" si="1264"/>
        <v>BiK271E2aG3-12</v>
      </c>
      <c r="AW3312">
        <f t="shared" si="1259"/>
        <v>14</v>
      </c>
      <c r="AX3312" t="str">
        <f t="shared" si="1260"/>
        <v>0,15-0,5 MW, Bonusregeln E2a, G3</v>
      </c>
      <c r="AY3312" t="str">
        <f t="shared" si="1261"/>
        <v/>
      </c>
    </row>
    <row r="3313" spans="1:51" x14ac:dyDescent="0.25">
      <c r="A3313" s="613" t="str">
        <f t="shared" si="1263"/>
        <v>BiK271E2bG3-12</v>
      </c>
      <c r="B3313" s="283" t="s">
        <v>5548</v>
      </c>
      <c r="C3313" s="284" t="str">
        <f t="shared" si="1241"/>
        <v>Inbetriebnahme 2012</v>
      </c>
      <c r="D3313" s="283" t="str">
        <f t="shared" si="1242"/>
        <v>0,15-0,5 MW, Bonusregeln E2b, G3</v>
      </c>
      <c r="E3313" s="283"/>
      <c r="F3313" s="465">
        <f t="shared" si="1243"/>
        <v>21.3</v>
      </c>
      <c r="G3313" s="541">
        <v>21.3</v>
      </c>
      <c r="H3313" s="497">
        <f t="shared" si="1244"/>
        <v>17.04</v>
      </c>
      <c r="I3313" s="719"/>
      <c r="J3313" s="669" t="s">
        <v>5805</v>
      </c>
      <c r="K3313" s="23"/>
      <c r="L3313" s="70" t="str">
        <f t="shared" si="1245"/>
        <v/>
      </c>
      <c r="M3313" s="49">
        <f t="shared" si="1246"/>
        <v>21.3</v>
      </c>
      <c r="N3313" s="41">
        <f t="shared" si="1265"/>
        <v>12.3</v>
      </c>
      <c r="O3313" s="43"/>
      <c r="P3313" s="65"/>
      <c r="Q3313" s="65"/>
      <c r="R3313" s="65"/>
      <c r="S3313" s="228"/>
      <c r="T3313" s="35" t="s">
        <v>1017</v>
      </c>
      <c r="U3313" s="65"/>
      <c r="V3313" s="228"/>
      <c r="W3313" s="35"/>
      <c r="X3313" s="50" t="s">
        <v>1017</v>
      </c>
      <c r="AH3313" s="253" t="s">
        <v>1779</v>
      </c>
      <c r="AK3313" t="str">
        <f t="shared" si="1247"/>
        <v/>
      </c>
      <c r="AL3313" t="str">
        <f t="shared" si="1248"/>
        <v/>
      </c>
      <c r="AM3313" t="str">
        <f t="shared" si="1249"/>
        <v/>
      </c>
      <c r="AN3313" t="str">
        <f t="shared" si="1250"/>
        <v/>
      </c>
      <c r="AO3313" t="str">
        <f t="shared" si="1251"/>
        <v/>
      </c>
      <c r="AP3313" t="str">
        <f t="shared" si="1252"/>
        <v>E2b</v>
      </c>
      <c r="AQ3313" t="str">
        <f t="shared" si="1253"/>
        <v/>
      </c>
      <c r="AR3313" t="str">
        <f t="shared" si="1254"/>
        <v/>
      </c>
      <c r="AS3313" t="str">
        <f t="shared" si="1255"/>
        <v/>
      </c>
      <c r="AT3313" t="str">
        <f t="shared" si="1256"/>
        <v>G3</v>
      </c>
      <c r="AU3313" t="str">
        <f t="shared" si="1257"/>
        <v>E2bG3</v>
      </c>
      <c r="AV3313" s="254" t="str">
        <f t="shared" si="1264"/>
        <v>BiK271E2bG3-12</v>
      </c>
      <c r="AW3313">
        <f t="shared" si="1259"/>
        <v>14</v>
      </c>
      <c r="AX3313" t="str">
        <f t="shared" si="1260"/>
        <v>0,15-0,5 MW, Bonusregeln E2b, G3</v>
      </c>
      <c r="AY3313" t="str">
        <f t="shared" si="1261"/>
        <v/>
      </c>
    </row>
    <row r="3314" spans="1:51" x14ac:dyDescent="0.25">
      <c r="A3314" s="613" t="str">
        <f t="shared" ref="A3314:A3333" si="1266">"BiK272"&amp;AU3314&amp;RIGHT("------",6-LEN(AU3314))&amp;RIGHT($M$3278,2)</f>
        <v>BiK272------12</v>
      </c>
      <c r="B3314" s="283" t="s">
        <v>5548</v>
      </c>
      <c r="C3314" s="284" t="str">
        <f t="shared" ref="C3314:C3345" si="1267">"Inbetriebnahme "&amp;$M$3278</f>
        <v>Inbetriebnahme 2012</v>
      </c>
      <c r="D3314" s="283" t="str">
        <f t="shared" ref="D3314:D3345" si="1268">IF(COUNTA(O3314:X3314)=0,AH3314,AH3314&amp;", Bonusregel"&amp;IF(AND(COUNTA(O3314:U3314)&gt;0,COUNTA(V3314:X3314)&gt;0),"n "&amp;AK3314&amp;AL3314&amp;AM3314&amp;AN3314&amp;AO3314&amp;AP3314&amp;AQ3314&amp;", "&amp;AR3314&amp;AS3314&amp;AT3314," "&amp;AK3314&amp;AL3314&amp;AM3314&amp;AN3314&amp;AO3314&amp;AP3314&amp;AQ3314&amp;AR3314&amp;AS3314&amp;AT3314))</f>
        <v>0,5-0,75 MW</v>
      </c>
      <c r="E3314" s="283"/>
      <c r="F3314" s="465">
        <f t="shared" ref="F3314:F3345" si="1269">M3314</f>
        <v>11</v>
      </c>
      <c r="G3314" s="541">
        <v>11</v>
      </c>
      <c r="H3314" s="497">
        <f t="shared" ref="H3314:H3345" si="1270">IF(ISNUMBER(G3314),ROUND(0.8*G3314,2),"")</f>
        <v>8.8000000000000007</v>
      </c>
      <c r="I3314" s="719"/>
      <c r="J3314" s="669" t="s">
        <v>5805</v>
      </c>
      <c r="K3314" s="23"/>
      <c r="L3314" s="70" t="str">
        <f t="shared" ref="L3314:L3345" si="1271">IF(F3314=M3314,"",FALSE)</f>
        <v/>
      </c>
      <c r="M3314" s="49">
        <f t="shared" ref="M3314:M3345" si="1272">N3314+SUMIF(O3314:X3314,"x",$O$3281:$X$3281)</f>
        <v>11</v>
      </c>
      <c r="N3314" s="41">
        <v>11</v>
      </c>
      <c r="O3314" s="196"/>
      <c r="P3314" s="35"/>
      <c r="Q3314" s="65"/>
      <c r="R3314" s="35"/>
      <c r="S3314" s="228"/>
      <c r="T3314" s="65"/>
      <c r="U3314" s="35"/>
      <c r="V3314" s="228"/>
      <c r="W3314" s="35"/>
      <c r="X3314" s="50"/>
      <c r="AH3314" s="253" t="s">
        <v>1778</v>
      </c>
      <c r="AK3314" t="str">
        <f t="shared" ref="AK3314:AK3345" si="1273">IF(O3314="x",O$3280,"")</f>
        <v/>
      </c>
      <c r="AL3314" t="str">
        <f t="shared" ref="AL3314:AL3345" si="1274">IF(P3314="x",P$3280,"")</f>
        <v/>
      </c>
      <c r="AM3314" t="str">
        <f t="shared" ref="AM3314:AM3345" si="1275">IF(Q3314="x",Q$3280,"")</f>
        <v/>
      </c>
      <c r="AN3314" t="str">
        <f t="shared" ref="AN3314:AN3345" si="1276">IF(R3314="x",R$3280,"")</f>
        <v/>
      </c>
      <c r="AO3314" t="str">
        <f t="shared" ref="AO3314:AO3345" si="1277">IF(S3314="x",S$3280,"")</f>
        <v/>
      </c>
      <c r="AP3314" t="str">
        <f t="shared" ref="AP3314:AP3345" si="1278">IF(T3314="x",T$3280,"")</f>
        <v/>
      </c>
      <c r="AQ3314" t="str">
        <f t="shared" ref="AQ3314:AQ3345" si="1279">IF(U3314="x",U$3280,"")</f>
        <v/>
      </c>
      <c r="AR3314" t="str">
        <f t="shared" ref="AR3314:AR3345" si="1280">IF(V3314="x",V$3280,"")</f>
        <v/>
      </c>
      <c r="AS3314" t="str">
        <f t="shared" ref="AS3314:AS3345" si="1281">IF(W3314="x",W$3280,"")</f>
        <v/>
      </c>
      <c r="AT3314" t="str">
        <f t="shared" ref="AT3314:AT3345" si="1282">IF(X3314="x",X$3280,"")</f>
        <v/>
      </c>
      <c r="AU3314" t="str">
        <f t="shared" ref="AU3314:AU3345" si="1283">AK3314&amp;AL3314&amp;AM3314&amp;AN3314&amp;AO3314&amp;AP3314&amp;AQ3314&amp;AR3314&amp;AS3314&amp;AT3314</f>
        <v/>
      </c>
      <c r="AV3314" s="254" t="str">
        <f t="shared" ref="AV3314:AV3333" si="1284">"BiK272"&amp;AU3314&amp;RIGHT("------",6-LEN(AU3314))&amp;RIGHT($M$3278,2)</f>
        <v>BiK272------12</v>
      </c>
      <c r="AW3314">
        <f t="shared" ref="AW3314:AW3345" si="1285">LEN(AV3314)</f>
        <v>14</v>
      </c>
      <c r="AX3314" t="str">
        <f t="shared" ref="AX3314:AX3345" si="1286">IF(COUNTA(O3314:X3314)=0,AH3314,AH3314&amp;", Bonusregel"&amp;IF(AND(COUNTA(O3314:U3314)&gt;0,COUNTA(V3314:X3314)&gt;0),"n "&amp;AK3314&amp;AL3314&amp;AM3314&amp;AN3314&amp;AO3314&amp;AP3314&amp;AQ3314&amp;", "&amp;AR3314&amp;AS3314&amp;AT3314," "&amp;AK3314&amp;AL3314&amp;AM3314&amp;AN3314&amp;AO3314&amp;AP3314&amp;AQ3314&amp;AR3314&amp;AS3314&amp;AT3314))</f>
        <v>0,5-0,75 MW</v>
      </c>
      <c r="AY3314" t="str">
        <f t="shared" ref="AY3314:AY3345" si="1287">IF(COUNTA(O3314:U3314)&gt;1,"Fehler ESVK",IF(COUNTA(V3314:X3314)&gt;1,"Fehler GAB",IF(AW3314&lt;&gt;14,"Fehler Kategorie","")))</f>
        <v/>
      </c>
    </row>
    <row r="3315" spans="1:51" x14ac:dyDescent="0.25">
      <c r="A3315" s="613" t="str">
        <f t="shared" si="1266"/>
        <v>BiK272E1b---12</v>
      </c>
      <c r="B3315" s="283" t="s">
        <v>5548</v>
      </c>
      <c r="C3315" s="284" t="str">
        <f t="shared" si="1267"/>
        <v>Inbetriebnahme 2012</v>
      </c>
      <c r="D3315" s="283" t="str">
        <f t="shared" si="1268"/>
        <v>0,5-0,75 MW, Bonusregel E1b</v>
      </c>
      <c r="E3315" s="283"/>
      <c r="F3315" s="465">
        <f t="shared" si="1269"/>
        <v>16</v>
      </c>
      <c r="G3315" s="541">
        <v>16</v>
      </c>
      <c r="H3315" s="497">
        <f t="shared" si="1270"/>
        <v>12.8</v>
      </c>
      <c r="I3315" s="719"/>
      <c r="J3315" s="669" t="s">
        <v>5805</v>
      </c>
      <c r="K3315" s="23"/>
      <c r="L3315" s="70" t="str">
        <f t="shared" si="1271"/>
        <v/>
      </c>
      <c r="M3315" s="49">
        <f t="shared" si="1272"/>
        <v>16</v>
      </c>
      <c r="N3315" s="41">
        <f t="shared" ref="N3315:N3353" si="1288">N3314</f>
        <v>11</v>
      </c>
      <c r="O3315" s="196"/>
      <c r="P3315" s="253" t="s">
        <v>1017</v>
      </c>
      <c r="Q3315" s="65"/>
      <c r="R3315" s="35"/>
      <c r="S3315" s="228"/>
      <c r="T3315" s="65"/>
      <c r="U3315" s="35"/>
      <c r="V3315" s="228"/>
      <c r="W3315" s="35"/>
      <c r="X3315" s="50"/>
      <c r="AH3315" s="253" t="s">
        <v>1778</v>
      </c>
      <c r="AK3315" t="str">
        <f t="shared" si="1273"/>
        <v/>
      </c>
      <c r="AL3315" t="str">
        <f t="shared" si="1274"/>
        <v>E1b</v>
      </c>
      <c r="AM3315" t="str">
        <f t="shared" si="1275"/>
        <v/>
      </c>
      <c r="AN3315" t="str">
        <f t="shared" si="1276"/>
        <v/>
      </c>
      <c r="AO3315" t="str">
        <f t="shared" si="1277"/>
        <v/>
      </c>
      <c r="AP3315" t="str">
        <f t="shared" si="1278"/>
        <v/>
      </c>
      <c r="AQ3315" t="str">
        <f t="shared" si="1279"/>
        <v/>
      </c>
      <c r="AR3315" t="str">
        <f t="shared" si="1280"/>
        <v/>
      </c>
      <c r="AS3315" t="str">
        <f t="shared" si="1281"/>
        <v/>
      </c>
      <c r="AT3315" t="str">
        <f t="shared" si="1282"/>
        <v/>
      </c>
      <c r="AU3315" t="str">
        <f t="shared" si="1283"/>
        <v>E1b</v>
      </c>
      <c r="AV3315" s="254" t="str">
        <f t="shared" si="1284"/>
        <v>BiK272E1b---12</v>
      </c>
      <c r="AW3315">
        <f t="shared" si="1285"/>
        <v>14</v>
      </c>
      <c r="AX3315" t="str">
        <f t="shared" si="1286"/>
        <v>0,5-0,75 MW, Bonusregel E1b</v>
      </c>
      <c r="AY3315" t="str">
        <f t="shared" si="1287"/>
        <v/>
      </c>
    </row>
    <row r="3316" spans="1:51" x14ac:dyDescent="0.25">
      <c r="A3316" s="613" t="str">
        <f t="shared" si="1266"/>
        <v>BiK272E1d---12</v>
      </c>
      <c r="B3316" s="283" t="s">
        <v>5548</v>
      </c>
      <c r="C3316" s="284" t="str">
        <f t="shared" si="1267"/>
        <v>Inbetriebnahme 2012</v>
      </c>
      <c r="D3316" s="283" t="str">
        <f t="shared" si="1268"/>
        <v>0,5-0,75 MW, Bonusregel E1d</v>
      </c>
      <c r="E3316" s="283"/>
      <c r="F3316" s="465">
        <f t="shared" si="1269"/>
        <v>13.5</v>
      </c>
      <c r="G3316" s="541">
        <v>13.5</v>
      </c>
      <c r="H3316" s="497">
        <f t="shared" si="1270"/>
        <v>10.8</v>
      </c>
      <c r="I3316" s="719"/>
      <c r="J3316" s="669" t="s">
        <v>5805</v>
      </c>
      <c r="K3316" s="23"/>
      <c r="L3316" s="70" t="str">
        <f t="shared" si="1271"/>
        <v/>
      </c>
      <c r="M3316" s="49">
        <f t="shared" si="1272"/>
        <v>13.5</v>
      </c>
      <c r="N3316" s="41">
        <f t="shared" si="1288"/>
        <v>11</v>
      </c>
      <c r="O3316" s="196"/>
      <c r="P3316" s="35"/>
      <c r="Q3316" s="65"/>
      <c r="R3316" s="253" t="s">
        <v>1017</v>
      </c>
      <c r="S3316" s="228"/>
      <c r="T3316" s="65"/>
      <c r="U3316" s="35"/>
      <c r="V3316" s="228"/>
      <c r="W3316" s="35"/>
      <c r="X3316" s="50"/>
      <c r="AH3316" s="253" t="s">
        <v>1778</v>
      </c>
      <c r="AK3316" t="str">
        <f t="shared" si="1273"/>
        <v/>
      </c>
      <c r="AL3316" t="str">
        <f t="shared" si="1274"/>
        <v/>
      </c>
      <c r="AM3316" t="str">
        <f t="shared" si="1275"/>
        <v/>
      </c>
      <c r="AN3316" t="str">
        <f t="shared" si="1276"/>
        <v>E1d</v>
      </c>
      <c r="AO3316" t="str">
        <f t="shared" si="1277"/>
        <v/>
      </c>
      <c r="AP3316" t="str">
        <f t="shared" si="1278"/>
        <v/>
      </c>
      <c r="AQ3316" t="str">
        <f t="shared" si="1279"/>
        <v/>
      </c>
      <c r="AR3316" t="str">
        <f t="shared" si="1280"/>
        <v/>
      </c>
      <c r="AS3316" t="str">
        <f t="shared" si="1281"/>
        <v/>
      </c>
      <c r="AT3316" t="str">
        <f t="shared" si="1282"/>
        <v/>
      </c>
      <c r="AU3316" t="str">
        <f t="shared" si="1283"/>
        <v>E1d</v>
      </c>
      <c r="AV3316" s="254" t="str">
        <f t="shared" si="1284"/>
        <v>BiK272E1d---12</v>
      </c>
      <c r="AW3316">
        <f t="shared" si="1285"/>
        <v>14</v>
      </c>
      <c r="AX3316" t="str">
        <f t="shared" si="1286"/>
        <v>0,5-0,75 MW, Bonusregel E1d</v>
      </c>
      <c r="AY3316" t="str">
        <f t="shared" si="1287"/>
        <v/>
      </c>
    </row>
    <row r="3317" spans="1:51" x14ac:dyDescent="0.25">
      <c r="A3317" s="613" t="str">
        <f t="shared" si="1266"/>
        <v>BiK272E2a---12</v>
      </c>
      <c r="B3317" s="283" t="s">
        <v>5548</v>
      </c>
      <c r="C3317" s="284" t="str">
        <f t="shared" si="1267"/>
        <v>Inbetriebnahme 2012</v>
      </c>
      <c r="D3317" s="283" t="str">
        <f t="shared" si="1268"/>
        <v>0,5-0,75 MW, Bonusregel E2a</v>
      </c>
      <c r="E3317" s="283"/>
      <c r="F3317" s="465">
        <f t="shared" si="1269"/>
        <v>19</v>
      </c>
      <c r="G3317" s="541">
        <v>19</v>
      </c>
      <c r="H3317" s="497">
        <f t="shared" si="1270"/>
        <v>15.2</v>
      </c>
      <c r="I3317" s="719"/>
      <c r="J3317" s="669" t="s">
        <v>5805</v>
      </c>
      <c r="K3317" s="23"/>
      <c r="L3317" s="70" t="str">
        <f t="shared" si="1271"/>
        <v/>
      </c>
      <c r="M3317" s="49">
        <f t="shared" si="1272"/>
        <v>19</v>
      </c>
      <c r="N3317" s="41">
        <f t="shared" si="1288"/>
        <v>11</v>
      </c>
      <c r="O3317" s="196"/>
      <c r="P3317" s="35"/>
      <c r="Q3317" s="65"/>
      <c r="R3317" s="35"/>
      <c r="S3317" s="228" t="s">
        <v>1017</v>
      </c>
      <c r="T3317" s="65"/>
      <c r="U3317" s="35"/>
      <c r="V3317" s="228"/>
      <c r="W3317" s="35"/>
      <c r="X3317" s="50"/>
      <c r="AH3317" s="253" t="s">
        <v>1778</v>
      </c>
      <c r="AK3317" t="str">
        <f t="shared" si="1273"/>
        <v/>
      </c>
      <c r="AL3317" t="str">
        <f t="shared" si="1274"/>
        <v/>
      </c>
      <c r="AM3317" t="str">
        <f t="shared" si="1275"/>
        <v/>
      </c>
      <c r="AN3317" t="str">
        <f t="shared" si="1276"/>
        <v/>
      </c>
      <c r="AO3317" t="str">
        <f t="shared" si="1277"/>
        <v>E2a</v>
      </c>
      <c r="AP3317" t="str">
        <f t="shared" si="1278"/>
        <v/>
      </c>
      <c r="AQ3317" t="str">
        <f t="shared" si="1279"/>
        <v/>
      </c>
      <c r="AR3317" t="str">
        <f t="shared" si="1280"/>
        <v/>
      </c>
      <c r="AS3317" t="str">
        <f t="shared" si="1281"/>
        <v/>
      </c>
      <c r="AT3317" t="str">
        <f t="shared" si="1282"/>
        <v/>
      </c>
      <c r="AU3317" t="str">
        <f t="shared" si="1283"/>
        <v>E2a</v>
      </c>
      <c r="AV3317" s="254" t="str">
        <f t="shared" si="1284"/>
        <v>BiK272E2a---12</v>
      </c>
      <c r="AW3317">
        <f t="shared" si="1285"/>
        <v>14</v>
      </c>
      <c r="AX3317" t="str">
        <f t="shared" si="1286"/>
        <v>0,5-0,75 MW, Bonusregel E2a</v>
      </c>
      <c r="AY3317" t="str">
        <f t="shared" si="1287"/>
        <v/>
      </c>
    </row>
    <row r="3318" spans="1:51" x14ac:dyDescent="0.25">
      <c r="A3318" s="613" t="str">
        <f t="shared" si="1266"/>
        <v>BiK272E2c---12</v>
      </c>
      <c r="B3318" s="283" t="s">
        <v>5548</v>
      </c>
      <c r="C3318" s="284" t="str">
        <f t="shared" si="1267"/>
        <v>Inbetriebnahme 2012</v>
      </c>
      <c r="D3318" s="283" t="str">
        <f t="shared" si="1268"/>
        <v>0,5-0,75 MW, Bonusregel E2c</v>
      </c>
      <c r="E3318" s="283"/>
      <c r="F3318" s="465">
        <f t="shared" si="1269"/>
        <v>17</v>
      </c>
      <c r="G3318" s="541">
        <v>17</v>
      </c>
      <c r="H3318" s="497">
        <f t="shared" si="1270"/>
        <v>13.6</v>
      </c>
      <c r="I3318" s="719"/>
      <c r="J3318" s="669" t="s">
        <v>5805</v>
      </c>
      <c r="K3318" s="23"/>
      <c r="L3318" s="70" t="str">
        <f t="shared" si="1271"/>
        <v/>
      </c>
      <c r="M3318" s="49">
        <f t="shared" si="1272"/>
        <v>17</v>
      </c>
      <c r="N3318" s="41">
        <f t="shared" si="1288"/>
        <v>11</v>
      </c>
      <c r="O3318" s="196"/>
      <c r="P3318" s="35"/>
      <c r="Q3318" s="65"/>
      <c r="R3318" s="35"/>
      <c r="S3318" s="228"/>
      <c r="T3318" s="65"/>
      <c r="U3318" s="253" t="s">
        <v>1017</v>
      </c>
      <c r="V3318" s="228"/>
      <c r="W3318" s="35"/>
      <c r="X3318" s="50"/>
      <c r="AH3318" s="253" t="s">
        <v>1778</v>
      </c>
      <c r="AK3318" t="str">
        <f t="shared" si="1273"/>
        <v/>
      </c>
      <c r="AL3318" t="str">
        <f t="shared" si="1274"/>
        <v/>
      </c>
      <c r="AM3318" t="str">
        <f t="shared" si="1275"/>
        <v/>
      </c>
      <c r="AN3318" t="str">
        <f t="shared" si="1276"/>
        <v/>
      </c>
      <c r="AO3318" t="str">
        <f t="shared" si="1277"/>
        <v/>
      </c>
      <c r="AP3318" t="str">
        <f t="shared" si="1278"/>
        <v/>
      </c>
      <c r="AQ3318" t="str">
        <f t="shared" si="1279"/>
        <v>E2c</v>
      </c>
      <c r="AR3318" t="str">
        <f t="shared" si="1280"/>
        <v/>
      </c>
      <c r="AS3318" t="str">
        <f t="shared" si="1281"/>
        <v/>
      </c>
      <c r="AT3318" t="str">
        <f t="shared" si="1282"/>
        <v/>
      </c>
      <c r="AU3318" t="str">
        <f t="shared" si="1283"/>
        <v>E2c</v>
      </c>
      <c r="AV3318" s="254" t="str">
        <f t="shared" si="1284"/>
        <v>BiK272E2c---12</v>
      </c>
      <c r="AW3318">
        <f t="shared" si="1285"/>
        <v>14</v>
      </c>
      <c r="AX3318" t="str">
        <f t="shared" si="1286"/>
        <v>0,5-0,75 MW, Bonusregel E2c</v>
      </c>
      <c r="AY3318" t="str">
        <f t="shared" si="1287"/>
        <v/>
      </c>
    </row>
    <row r="3319" spans="1:51" x14ac:dyDescent="0.25">
      <c r="A3319" s="613" t="str">
        <f t="shared" si="1266"/>
        <v>BiK272G1----12</v>
      </c>
      <c r="B3319" s="283" t="s">
        <v>5548</v>
      </c>
      <c r="C3319" s="284" t="str">
        <f t="shared" si="1267"/>
        <v>Inbetriebnahme 2012</v>
      </c>
      <c r="D3319" s="283" t="str">
        <f t="shared" si="1268"/>
        <v>0,5-0,75 MW, Bonusregel G1</v>
      </c>
      <c r="E3319" s="283"/>
      <c r="F3319" s="465">
        <f t="shared" si="1269"/>
        <v>14</v>
      </c>
      <c r="G3319" s="541">
        <v>14</v>
      </c>
      <c r="H3319" s="497">
        <f t="shared" si="1270"/>
        <v>11.2</v>
      </c>
      <c r="I3319" s="719"/>
      <c r="J3319" s="669" t="s">
        <v>5805</v>
      </c>
      <c r="K3319" s="23"/>
      <c r="L3319" s="70" t="str">
        <f t="shared" si="1271"/>
        <v/>
      </c>
      <c r="M3319" s="49">
        <f t="shared" si="1272"/>
        <v>14</v>
      </c>
      <c r="N3319" s="41">
        <f t="shared" si="1288"/>
        <v>11</v>
      </c>
      <c r="O3319" s="196"/>
      <c r="P3319" s="35"/>
      <c r="Q3319" s="65"/>
      <c r="R3319" s="35"/>
      <c r="S3319" s="228"/>
      <c r="T3319" s="65"/>
      <c r="U3319" s="35"/>
      <c r="V3319" s="228" t="s">
        <v>1017</v>
      </c>
      <c r="W3319" s="35"/>
      <c r="X3319" s="50"/>
      <c r="AH3319" s="253" t="s">
        <v>1778</v>
      </c>
      <c r="AK3319" t="str">
        <f t="shared" si="1273"/>
        <v/>
      </c>
      <c r="AL3319" t="str">
        <f t="shared" si="1274"/>
        <v/>
      </c>
      <c r="AM3319" t="str">
        <f t="shared" si="1275"/>
        <v/>
      </c>
      <c r="AN3319" t="str">
        <f t="shared" si="1276"/>
        <v/>
      </c>
      <c r="AO3319" t="str">
        <f t="shared" si="1277"/>
        <v/>
      </c>
      <c r="AP3319" t="str">
        <f t="shared" si="1278"/>
        <v/>
      </c>
      <c r="AQ3319" t="str">
        <f t="shared" si="1279"/>
        <v/>
      </c>
      <c r="AR3319" t="str">
        <f t="shared" si="1280"/>
        <v>G1</v>
      </c>
      <c r="AS3319" t="str">
        <f t="shared" si="1281"/>
        <v/>
      </c>
      <c r="AT3319" t="str">
        <f t="shared" si="1282"/>
        <v/>
      </c>
      <c r="AU3319" t="str">
        <f t="shared" si="1283"/>
        <v>G1</v>
      </c>
      <c r="AV3319" s="254" t="str">
        <f t="shared" si="1284"/>
        <v>BiK272G1----12</v>
      </c>
      <c r="AW3319">
        <f t="shared" si="1285"/>
        <v>14</v>
      </c>
      <c r="AX3319" t="str">
        <f t="shared" si="1286"/>
        <v>0,5-0,75 MW, Bonusregel G1</v>
      </c>
      <c r="AY3319" t="str">
        <f t="shared" si="1287"/>
        <v/>
      </c>
    </row>
    <row r="3320" spans="1:51" x14ac:dyDescent="0.25">
      <c r="A3320" s="613" t="str">
        <f t="shared" si="1266"/>
        <v>BiK272E1bG1-12</v>
      </c>
      <c r="B3320" s="283" t="s">
        <v>5548</v>
      </c>
      <c r="C3320" s="284" t="str">
        <f t="shared" si="1267"/>
        <v>Inbetriebnahme 2012</v>
      </c>
      <c r="D3320" s="283" t="str">
        <f t="shared" si="1268"/>
        <v>0,5-0,75 MW, Bonusregeln E1b, G1</v>
      </c>
      <c r="E3320" s="283"/>
      <c r="F3320" s="465">
        <f t="shared" si="1269"/>
        <v>19</v>
      </c>
      <c r="G3320" s="541">
        <v>19</v>
      </c>
      <c r="H3320" s="497">
        <f t="shared" si="1270"/>
        <v>15.2</v>
      </c>
      <c r="I3320" s="719"/>
      <c r="J3320" s="669" t="s">
        <v>5805</v>
      </c>
      <c r="K3320" s="23"/>
      <c r="L3320" s="70" t="str">
        <f t="shared" si="1271"/>
        <v/>
      </c>
      <c r="M3320" s="49">
        <f t="shared" si="1272"/>
        <v>19</v>
      </c>
      <c r="N3320" s="41">
        <f t="shared" si="1288"/>
        <v>11</v>
      </c>
      <c r="O3320" s="196"/>
      <c r="P3320" s="253" t="s">
        <v>1017</v>
      </c>
      <c r="Q3320" s="65"/>
      <c r="R3320" s="35"/>
      <c r="S3320" s="228"/>
      <c r="T3320" s="65"/>
      <c r="U3320" s="35"/>
      <c r="V3320" s="228" t="s">
        <v>1017</v>
      </c>
      <c r="W3320" s="35"/>
      <c r="X3320" s="50"/>
      <c r="AH3320" s="253" t="s">
        <v>1778</v>
      </c>
      <c r="AK3320" t="str">
        <f t="shared" si="1273"/>
        <v/>
      </c>
      <c r="AL3320" t="str">
        <f t="shared" si="1274"/>
        <v>E1b</v>
      </c>
      <c r="AM3320" t="str">
        <f t="shared" si="1275"/>
        <v/>
      </c>
      <c r="AN3320" t="str">
        <f t="shared" si="1276"/>
        <v/>
      </c>
      <c r="AO3320" t="str">
        <f t="shared" si="1277"/>
        <v/>
      </c>
      <c r="AP3320" t="str">
        <f t="shared" si="1278"/>
        <v/>
      </c>
      <c r="AQ3320" t="str">
        <f t="shared" si="1279"/>
        <v/>
      </c>
      <c r="AR3320" t="str">
        <f t="shared" si="1280"/>
        <v>G1</v>
      </c>
      <c r="AS3320" t="str">
        <f t="shared" si="1281"/>
        <v/>
      </c>
      <c r="AT3320" t="str">
        <f t="shared" si="1282"/>
        <v/>
      </c>
      <c r="AU3320" t="str">
        <f t="shared" si="1283"/>
        <v>E1bG1</v>
      </c>
      <c r="AV3320" s="254" t="str">
        <f t="shared" si="1284"/>
        <v>BiK272E1bG1-12</v>
      </c>
      <c r="AW3320">
        <f t="shared" si="1285"/>
        <v>14</v>
      </c>
      <c r="AX3320" t="str">
        <f t="shared" si="1286"/>
        <v>0,5-0,75 MW, Bonusregeln E1b, G1</v>
      </c>
      <c r="AY3320" t="str">
        <f t="shared" si="1287"/>
        <v/>
      </c>
    </row>
    <row r="3321" spans="1:51" x14ac:dyDescent="0.25">
      <c r="A3321" s="613" t="str">
        <f t="shared" si="1266"/>
        <v>BiK272E1dG1-12</v>
      </c>
      <c r="B3321" s="283" t="s">
        <v>5548</v>
      </c>
      <c r="C3321" s="284" t="str">
        <f t="shared" si="1267"/>
        <v>Inbetriebnahme 2012</v>
      </c>
      <c r="D3321" s="283" t="str">
        <f t="shared" si="1268"/>
        <v>0,5-0,75 MW, Bonusregeln E1d, G1</v>
      </c>
      <c r="E3321" s="283"/>
      <c r="F3321" s="465">
        <f t="shared" si="1269"/>
        <v>16.5</v>
      </c>
      <c r="G3321" s="541">
        <v>16.5</v>
      </c>
      <c r="H3321" s="497">
        <f t="shared" si="1270"/>
        <v>13.2</v>
      </c>
      <c r="I3321" s="719"/>
      <c r="J3321" s="669" t="s">
        <v>5805</v>
      </c>
      <c r="K3321" s="23"/>
      <c r="L3321" s="70" t="str">
        <f t="shared" si="1271"/>
        <v/>
      </c>
      <c r="M3321" s="49">
        <f t="shared" si="1272"/>
        <v>16.5</v>
      </c>
      <c r="N3321" s="41">
        <f t="shared" si="1288"/>
        <v>11</v>
      </c>
      <c r="O3321" s="196"/>
      <c r="P3321" s="35"/>
      <c r="Q3321" s="65"/>
      <c r="R3321" s="253" t="s">
        <v>1017</v>
      </c>
      <c r="S3321" s="228"/>
      <c r="T3321" s="65"/>
      <c r="U3321" s="35"/>
      <c r="V3321" s="228" t="s">
        <v>1017</v>
      </c>
      <c r="W3321" s="35"/>
      <c r="X3321" s="50"/>
      <c r="AH3321" s="253" t="s">
        <v>1778</v>
      </c>
      <c r="AK3321" t="str">
        <f t="shared" si="1273"/>
        <v/>
      </c>
      <c r="AL3321" t="str">
        <f t="shared" si="1274"/>
        <v/>
      </c>
      <c r="AM3321" t="str">
        <f t="shared" si="1275"/>
        <v/>
      </c>
      <c r="AN3321" t="str">
        <f t="shared" si="1276"/>
        <v>E1d</v>
      </c>
      <c r="AO3321" t="str">
        <f t="shared" si="1277"/>
        <v/>
      </c>
      <c r="AP3321" t="str">
        <f t="shared" si="1278"/>
        <v/>
      </c>
      <c r="AQ3321" t="str">
        <f t="shared" si="1279"/>
        <v/>
      </c>
      <c r="AR3321" t="str">
        <f t="shared" si="1280"/>
        <v>G1</v>
      </c>
      <c r="AS3321" t="str">
        <f t="shared" si="1281"/>
        <v/>
      </c>
      <c r="AT3321" t="str">
        <f t="shared" si="1282"/>
        <v/>
      </c>
      <c r="AU3321" t="str">
        <f t="shared" si="1283"/>
        <v>E1dG1</v>
      </c>
      <c r="AV3321" s="254" t="str">
        <f t="shared" si="1284"/>
        <v>BiK272E1dG1-12</v>
      </c>
      <c r="AW3321">
        <f t="shared" si="1285"/>
        <v>14</v>
      </c>
      <c r="AX3321" t="str">
        <f t="shared" si="1286"/>
        <v>0,5-0,75 MW, Bonusregeln E1d, G1</v>
      </c>
      <c r="AY3321" t="str">
        <f t="shared" si="1287"/>
        <v/>
      </c>
    </row>
    <row r="3322" spans="1:51" x14ac:dyDescent="0.25">
      <c r="A3322" s="613" t="str">
        <f t="shared" si="1266"/>
        <v>BiK272E2aG1-12</v>
      </c>
      <c r="B3322" s="283" t="s">
        <v>5548</v>
      </c>
      <c r="C3322" s="284" t="str">
        <f t="shared" si="1267"/>
        <v>Inbetriebnahme 2012</v>
      </c>
      <c r="D3322" s="283" t="str">
        <f t="shared" si="1268"/>
        <v>0,5-0,75 MW, Bonusregeln E2a, G1</v>
      </c>
      <c r="E3322" s="283"/>
      <c r="F3322" s="465">
        <f t="shared" si="1269"/>
        <v>22</v>
      </c>
      <c r="G3322" s="541">
        <v>22</v>
      </c>
      <c r="H3322" s="497">
        <f t="shared" si="1270"/>
        <v>17.600000000000001</v>
      </c>
      <c r="I3322" s="719"/>
      <c r="J3322" s="669" t="s">
        <v>5805</v>
      </c>
      <c r="K3322" s="23"/>
      <c r="L3322" s="70" t="str">
        <f t="shared" si="1271"/>
        <v/>
      </c>
      <c r="M3322" s="49">
        <f t="shared" si="1272"/>
        <v>22</v>
      </c>
      <c r="N3322" s="41">
        <f t="shared" si="1288"/>
        <v>11</v>
      </c>
      <c r="O3322" s="196"/>
      <c r="P3322" s="35"/>
      <c r="Q3322" s="65"/>
      <c r="R3322" s="35"/>
      <c r="S3322" s="228" t="s">
        <v>1017</v>
      </c>
      <c r="T3322" s="65"/>
      <c r="U3322" s="35"/>
      <c r="V3322" s="228" t="s">
        <v>1017</v>
      </c>
      <c r="W3322" s="35"/>
      <c r="X3322" s="50"/>
      <c r="AH3322" s="253" t="s">
        <v>1778</v>
      </c>
      <c r="AK3322" t="str">
        <f t="shared" si="1273"/>
        <v/>
      </c>
      <c r="AL3322" t="str">
        <f t="shared" si="1274"/>
        <v/>
      </c>
      <c r="AM3322" t="str">
        <f t="shared" si="1275"/>
        <v/>
      </c>
      <c r="AN3322" t="str">
        <f t="shared" si="1276"/>
        <v/>
      </c>
      <c r="AO3322" t="str">
        <f t="shared" si="1277"/>
        <v>E2a</v>
      </c>
      <c r="AP3322" t="str">
        <f t="shared" si="1278"/>
        <v/>
      </c>
      <c r="AQ3322" t="str">
        <f t="shared" si="1279"/>
        <v/>
      </c>
      <c r="AR3322" t="str">
        <f t="shared" si="1280"/>
        <v>G1</v>
      </c>
      <c r="AS3322" t="str">
        <f t="shared" si="1281"/>
        <v/>
      </c>
      <c r="AT3322" t="str">
        <f t="shared" si="1282"/>
        <v/>
      </c>
      <c r="AU3322" t="str">
        <f t="shared" si="1283"/>
        <v>E2aG1</v>
      </c>
      <c r="AV3322" s="254" t="str">
        <f t="shared" si="1284"/>
        <v>BiK272E2aG1-12</v>
      </c>
      <c r="AW3322">
        <f t="shared" si="1285"/>
        <v>14</v>
      </c>
      <c r="AX3322" t="str">
        <f t="shared" si="1286"/>
        <v>0,5-0,75 MW, Bonusregeln E2a, G1</v>
      </c>
      <c r="AY3322" t="str">
        <f t="shared" si="1287"/>
        <v/>
      </c>
    </row>
    <row r="3323" spans="1:51" x14ac:dyDescent="0.25">
      <c r="A3323" s="613" t="str">
        <f t="shared" si="1266"/>
        <v>BiK272E2cG1-12</v>
      </c>
      <c r="B3323" s="283" t="s">
        <v>5548</v>
      </c>
      <c r="C3323" s="284" t="str">
        <f t="shared" si="1267"/>
        <v>Inbetriebnahme 2012</v>
      </c>
      <c r="D3323" s="283" t="str">
        <f t="shared" si="1268"/>
        <v>0,5-0,75 MW, Bonusregeln E2c, G1</v>
      </c>
      <c r="E3323" s="283"/>
      <c r="F3323" s="465">
        <f t="shared" si="1269"/>
        <v>20</v>
      </c>
      <c r="G3323" s="541">
        <v>20</v>
      </c>
      <c r="H3323" s="497">
        <f t="shared" si="1270"/>
        <v>16</v>
      </c>
      <c r="I3323" s="719"/>
      <c r="J3323" s="669" t="s">
        <v>5805</v>
      </c>
      <c r="K3323" s="23"/>
      <c r="L3323" s="70" t="str">
        <f t="shared" si="1271"/>
        <v/>
      </c>
      <c r="M3323" s="49">
        <f t="shared" si="1272"/>
        <v>20</v>
      </c>
      <c r="N3323" s="41">
        <f t="shared" si="1288"/>
        <v>11</v>
      </c>
      <c r="O3323" s="196"/>
      <c r="P3323" s="35"/>
      <c r="Q3323" s="65"/>
      <c r="R3323" s="35"/>
      <c r="S3323" s="228"/>
      <c r="T3323" s="65"/>
      <c r="U3323" s="253" t="s">
        <v>1017</v>
      </c>
      <c r="V3323" s="228" t="s">
        <v>1017</v>
      </c>
      <c r="W3323" s="253"/>
      <c r="X3323" s="50"/>
      <c r="AH3323" s="253" t="s">
        <v>1778</v>
      </c>
      <c r="AK3323" t="str">
        <f t="shared" si="1273"/>
        <v/>
      </c>
      <c r="AL3323" t="str">
        <f t="shared" si="1274"/>
        <v/>
      </c>
      <c r="AM3323" t="str">
        <f t="shared" si="1275"/>
        <v/>
      </c>
      <c r="AN3323" t="str">
        <f t="shared" si="1276"/>
        <v/>
      </c>
      <c r="AO3323" t="str">
        <f t="shared" si="1277"/>
        <v/>
      </c>
      <c r="AP3323" t="str">
        <f t="shared" si="1278"/>
        <v/>
      </c>
      <c r="AQ3323" t="str">
        <f t="shared" si="1279"/>
        <v>E2c</v>
      </c>
      <c r="AR3323" t="str">
        <f t="shared" si="1280"/>
        <v>G1</v>
      </c>
      <c r="AS3323" t="str">
        <f t="shared" si="1281"/>
        <v/>
      </c>
      <c r="AT3323" t="str">
        <f t="shared" si="1282"/>
        <v/>
      </c>
      <c r="AU3323" t="str">
        <f t="shared" si="1283"/>
        <v>E2cG1</v>
      </c>
      <c r="AV3323" s="254" t="str">
        <f t="shared" si="1284"/>
        <v>BiK272E2cG1-12</v>
      </c>
      <c r="AW3323">
        <f t="shared" si="1285"/>
        <v>14</v>
      </c>
      <c r="AX3323" t="str">
        <f t="shared" si="1286"/>
        <v>0,5-0,75 MW, Bonusregeln E2c, G1</v>
      </c>
      <c r="AY3323" t="str">
        <f t="shared" si="1287"/>
        <v/>
      </c>
    </row>
    <row r="3324" spans="1:51" x14ac:dyDescent="0.25">
      <c r="A3324" s="613" t="str">
        <f t="shared" si="1266"/>
        <v>BiK272G2----12</v>
      </c>
      <c r="B3324" s="283" t="s">
        <v>5548</v>
      </c>
      <c r="C3324" s="284" t="str">
        <f t="shared" si="1267"/>
        <v>Inbetriebnahme 2012</v>
      </c>
      <c r="D3324" s="283" t="str">
        <f t="shared" si="1268"/>
        <v>0,5-0,75 MW, Bonusregel G2</v>
      </c>
      <c r="E3324" s="283"/>
      <c r="F3324" s="465">
        <f t="shared" si="1269"/>
        <v>13</v>
      </c>
      <c r="G3324" s="541">
        <v>13</v>
      </c>
      <c r="H3324" s="497">
        <f t="shared" si="1270"/>
        <v>10.4</v>
      </c>
      <c r="I3324" s="719"/>
      <c r="J3324" s="669" t="s">
        <v>5805</v>
      </c>
      <c r="K3324" s="23"/>
      <c r="L3324" s="70" t="str">
        <f t="shared" si="1271"/>
        <v/>
      </c>
      <c r="M3324" s="49">
        <f t="shared" si="1272"/>
        <v>13</v>
      </c>
      <c r="N3324" s="41">
        <f t="shared" si="1288"/>
        <v>11</v>
      </c>
      <c r="O3324" s="196"/>
      <c r="P3324" s="35"/>
      <c r="Q3324" s="65"/>
      <c r="R3324" s="35"/>
      <c r="S3324" s="228"/>
      <c r="T3324" s="65"/>
      <c r="U3324" s="35"/>
      <c r="V3324" s="228"/>
      <c r="W3324" s="253" t="s">
        <v>1017</v>
      </c>
      <c r="X3324" s="50"/>
      <c r="AH3324" s="253" t="s">
        <v>1778</v>
      </c>
      <c r="AK3324" t="str">
        <f t="shared" si="1273"/>
        <v/>
      </c>
      <c r="AL3324" t="str">
        <f t="shared" si="1274"/>
        <v/>
      </c>
      <c r="AM3324" t="str">
        <f t="shared" si="1275"/>
        <v/>
      </c>
      <c r="AN3324" t="str">
        <f t="shared" si="1276"/>
        <v/>
      </c>
      <c r="AO3324" t="str">
        <f t="shared" si="1277"/>
        <v/>
      </c>
      <c r="AP3324" t="str">
        <f t="shared" si="1278"/>
        <v/>
      </c>
      <c r="AQ3324" t="str">
        <f t="shared" si="1279"/>
        <v/>
      </c>
      <c r="AR3324" t="str">
        <f t="shared" si="1280"/>
        <v/>
      </c>
      <c r="AS3324" t="str">
        <f t="shared" si="1281"/>
        <v>G2</v>
      </c>
      <c r="AT3324" t="str">
        <f t="shared" si="1282"/>
        <v/>
      </c>
      <c r="AU3324" t="str">
        <f t="shared" si="1283"/>
        <v>G2</v>
      </c>
      <c r="AV3324" s="254" t="str">
        <f t="shared" si="1284"/>
        <v>BiK272G2----12</v>
      </c>
      <c r="AW3324">
        <f t="shared" si="1285"/>
        <v>14</v>
      </c>
      <c r="AX3324" t="str">
        <f t="shared" si="1286"/>
        <v>0,5-0,75 MW, Bonusregel G2</v>
      </c>
      <c r="AY3324" t="str">
        <f t="shared" si="1287"/>
        <v/>
      </c>
    </row>
    <row r="3325" spans="1:51" x14ac:dyDescent="0.25">
      <c r="A3325" s="613" t="str">
        <f t="shared" si="1266"/>
        <v>BiK272E1bG2-12</v>
      </c>
      <c r="B3325" s="283" t="s">
        <v>5548</v>
      </c>
      <c r="C3325" s="284" t="str">
        <f t="shared" si="1267"/>
        <v>Inbetriebnahme 2012</v>
      </c>
      <c r="D3325" s="283" t="str">
        <f t="shared" si="1268"/>
        <v>0,5-0,75 MW, Bonusregeln E1b, G2</v>
      </c>
      <c r="E3325" s="283"/>
      <c r="F3325" s="465">
        <f t="shared" si="1269"/>
        <v>18</v>
      </c>
      <c r="G3325" s="541">
        <v>18</v>
      </c>
      <c r="H3325" s="497">
        <f t="shared" si="1270"/>
        <v>14.4</v>
      </c>
      <c r="I3325" s="719"/>
      <c r="J3325" s="669" t="s">
        <v>5805</v>
      </c>
      <c r="K3325" s="23"/>
      <c r="L3325" s="70" t="str">
        <f t="shared" si="1271"/>
        <v/>
      </c>
      <c r="M3325" s="49">
        <f t="shared" si="1272"/>
        <v>18</v>
      </c>
      <c r="N3325" s="41">
        <f t="shared" si="1288"/>
        <v>11</v>
      </c>
      <c r="O3325" s="196"/>
      <c r="P3325" s="253" t="s">
        <v>1017</v>
      </c>
      <c r="Q3325" s="65"/>
      <c r="R3325" s="35"/>
      <c r="S3325" s="228"/>
      <c r="T3325" s="65"/>
      <c r="U3325" s="35"/>
      <c r="V3325" s="228"/>
      <c r="W3325" s="253" t="s">
        <v>1017</v>
      </c>
      <c r="X3325" s="50"/>
      <c r="AH3325" s="253" t="s">
        <v>1778</v>
      </c>
      <c r="AK3325" t="str">
        <f t="shared" si="1273"/>
        <v/>
      </c>
      <c r="AL3325" t="str">
        <f t="shared" si="1274"/>
        <v>E1b</v>
      </c>
      <c r="AM3325" t="str">
        <f t="shared" si="1275"/>
        <v/>
      </c>
      <c r="AN3325" t="str">
        <f t="shared" si="1276"/>
        <v/>
      </c>
      <c r="AO3325" t="str">
        <f t="shared" si="1277"/>
        <v/>
      </c>
      <c r="AP3325" t="str">
        <f t="shared" si="1278"/>
        <v/>
      </c>
      <c r="AQ3325" t="str">
        <f t="shared" si="1279"/>
        <v/>
      </c>
      <c r="AR3325" t="str">
        <f t="shared" si="1280"/>
        <v/>
      </c>
      <c r="AS3325" t="str">
        <f t="shared" si="1281"/>
        <v>G2</v>
      </c>
      <c r="AT3325" t="str">
        <f t="shared" si="1282"/>
        <v/>
      </c>
      <c r="AU3325" t="str">
        <f t="shared" si="1283"/>
        <v>E1bG2</v>
      </c>
      <c r="AV3325" s="254" t="str">
        <f t="shared" si="1284"/>
        <v>BiK272E1bG2-12</v>
      </c>
      <c r="AW3325">
        <f t="shared" si="1285"/>
        <v>14</v>
      </c>
      <c r="AX3325" t="str">
        <f t="shared" si="1286"/>
        <v>0,5-0,75 MW, Bonusregeln E1b, G2</v>
      </c>
      <c r="AY3325" t="str">
        <f t="shared" si="1287"/>
        <v/>
      </c>
    </row>
    <row r="3326" spans="1:51" x14ac:dyDescent="0.25">
      <c r="A3326" s="613" t="str">
        <f t="shared" si="1266"/>
        <v>BiK272E1dG2-12</v>
      </c>
      <c r="B3326" s="283" t="s">
        <v>5548</v>
      </c>
      <c r="C3326" s="284" t="str">
        <f t="shared" si="1267"/>
        <v>Inbetriebnahme 2012</v>
      </c>
      <c r="D3326" s="283" t="str">
        <f t="shared" si="1268"/>
        <v>0,5-0,75 MW, Bonusregeln E1d, G2</v>
      </c>
      <c r="E3326" s="283"/>
      <c r="F3326" s="465">
        <f t="shared" si="1269"/>
        <v>15.5</v>
      </c>
      <c r="G3326" s="541">
        <v>15.5</v>
      </c>
      <c r="H3326" s="497">
        <f t="shared" si="1270"/>
        <v>12.4</v>
      </c>
      <c r="I3326" s="719"/>
      <c r="J3326" s="669" t="s">
        <v>5805</v>
      </c>
      <c r="K3326" s="23"/>
      <c r="L3326" s="70" t="str">
        <f t="shared" si="1271"/>
        <v/>
      </c>
      <c r="M3326" s="49">
        <f t="shared" si="1272"/>
        <v>15.5</v>
      </c>
      <c r="N3326" s="41">
        <f t="shared" si="1288"/>
        <v>11</v>
      </c>
      <c r="O3326" s="196"/>
      <c r="P3326" s="35"/>
      <c r="Q3326" s="65"/>
      <c r="R3326" s="253" t="s">
        <v>1017</v>
      </c>
      <c r="S3326" s="228"/>
      <c r="T3326" s="65"/>
      <c r="U3326" s="35"/>
      <c r="V3326" s="228"/>
      <c r="W3326" s="253" t="s">
        <v>1017</v>
      </c>
      <c r="X3326" s="50"/>
      <c r="AH3326" s="253" t="s">
        <v>1778</v>
      </c>
      <c r="AK3326" t="str">
        <f t="shared" si="1273"/>
        <v/>
      </c>
      <c r="AL3326" t="str">
        <f t="shared" si="1274"/>
        <v/>
      </c>
      <c r="AM3326" t="str">
        <f t="shared" si="1275"/>
        <v/>
      </c>
      <c r="AN3326" t="str">
        <f t="shared" si="1276"/>
        <v>E1d</v>
      </c>
      <c r="AO3326" t="str">
        <f t="shared" si="1277"/>
        <v/>
      </c>
      <c r="AP3326" t="str">
        <f t="shared" si="1278"/>
        <v/>
      </c>
      <c r="AQ3326" t="str">
        <f t="shared" si="1279"/>
        <v/>
      </c>
      <c r="AR3326" t="str">
        <f t="shared" si="1280"/>
        <v/>
      </c>
      <c r="AS3326" t="str">
        <f t="shared" si="1281"/>
        <v>G2</v>
      </c>
      <c r="AT3326" t="str">
        <f t="shared" si="1282"/>
        <v/>
      </c>
      <c r="AU3326" t="str">
        <f t="shared" si="1283"/>
        <v>E1dG2</v>
      </c>
      <c r="AV3326" s="254" t="str">
        <f t="shared" si="1284"/>
        <v>BiK272E1dG2-12</v>
      </c>
      <c r="AW3326">
        <f t="shared" si="1285"/>
        <v>14</v>
      </c>
      <c r="AX3326" t="str">
        <f t="shared" si="1286"/>
        <v>0,5-0,75 MW, Bonusregeln E1d, G2</v>
      </c>
      <c r="AY3326" t="str">
        <f t="shared" si="1287"/>
        <v/>
      </c>
    </row>
    <row r="3327" spans="1:51" x14ac:dyDescent="0.25">
      <c r="A3327" s="613" t="str">
        <f t="shared" si="1266"/>
        <v>BiK272E2aG2-12</v>
      </c>
      <c r="B3327" s="283" t="s">
        <v>5548</v>
      </c>
      <c r="C3327" s="284" t="str">
        <f t="shared" si="1267"/>
        <v>Inbetriebnahme 2012</v>
      </c>
      <c r="D3327" s="283" t="str">
        <f t="shared" si="1268"/>
        <v>0,5-0,75 MW, Bonusregeln E2a, G2</v>
      </c>
      <c r="E3327" s="283"/>
      <c r="F3327" s="465">
        <f t="shared" si="1269"/>
        <v>21</v>
      </c>
      <c r="G3327" s="541">
        <v>21</v>
      </c>
      <c r="H3327" s="497">
        <f t="shared" si="1270"/>
        <v>16.8</v>
      </c>
      <c r="I3327" s="719"/>
      <c r="J3327" s="669" t="s">
        <v>5805</v>
      </c>
      <c r="K3327" s="23"/>
      <c r="L3327" s="70" t="str">
        <f t="shared" si="1271"/>
        <v/>
      </c>
      <c r="M3327" s="49">
        <f t="shared" si="1272"/>
        <v>21</v>
      </c>
      <c r="N3327" s="41">
        <f t="shared" si="1288"/>
        <v>11</v>
      </c>
      <c r="O3327" s="196"/>
      <c r="P3327" s="35"/>
      <c r="Q3327" s="65"/>
      <c r="R3327" s="35"/>
      <c r="S3327" s="228" t="s">
        <v>1017</v>
      </c>
      <c r="T3327" s="65"/>
      <c r="U3327" s="35"/>
      <c r="V3327" s="228"/>
      <c r="W3327" s="253" t="s">
        <v>1017</v>
      </c>
      <c r="X3327" s="50"/>
      <c r="AH3327" s="253" t="s">
        <v>1778</v>
      </c>
      <c r="AK3327" t="str">
        <f t="shared" si="1273"/>
        <v/>
      </c>
      <c r="AL3327" t="str">
        <f t="shared" si="1274"/>
        <v/>
      </c>
      <c r="AM3327" t="str">
        <f t="shared" si="1275"/>
        <v/>
      </c>
      <c r="AN3327" t="str">
        <f t="shared" si="1276"/>
        <v/>
      </c>
      <c r="AO3327" t="str">
        <f t="shared" si="1277"/>
        <v>E2a</v>
      </c>
      <c r="AP3327" t="str">
        <f t="shared" si="1278"/>
        <v/>
      </c>
      <c r="AQ3327" t="str">
        <f t="shared" si="1279"/>
        <v/>
      </c>
      <c r="AR3327" t="str">
        <f t="shared" si="1280"/>
        <v/>
      </c>
      <c r="AS3327" t="str">
        <f t="shared" si="1281"/>
        <v>G2</v>
      </c>
      <c r="AT3327" t="str">
        <f t="shared" si="1282"/>
        <v/>
      </c>
      <c r="AU3327" t="str">
        <f t="shared" si="1283"/>
        <v>E2aG2</v>
      </c>
      <c r="AV3327" s="254" t="str">
        <f t="shared" si="1284"/>
        <v>BiK272E2aG2-12</v>
      </c>
      <c r="AW3327">
        <f t="shared" si="1285"/>
        <v>14</v>
      </c>
      <c r="AX3327" t="str">
        <f t="shared" si="1286"/>
        <v>0,5-0,75 MW, Bonusregeln E2a, G2</v>
      </c>
      <c r="AY3327" t="str">
        <f t="shared" si="1287"/>
        <v/>
      </c>
    </row>
    <row r="3328" spans="1:51" x14ac:dyDescent="0.25">
      <c r="A3328" s="613" t="str">
        <f t="shared" si="1266"/>
        <v>BiK272E2cG2-12</v>
      </c>
      <c r="B3328" s="283" t="s">
        <v>5548</v>
      </c>
      <c r="C3328" s="284" t="str">
        <f t="shared" si="1267"/>
        <v>Inbetriebnahme 2012</v>
      </c>
      <c r="D3328" s="283" t="str">
        <f t="shared" si="1268"/>
        <v>0,5-0,75 MW, Bonusregeln E2c, G2</v>
      </c>
      <c r="E3328" s="283"/>
      <c r="F3328" s="465">
        <f t="shared" si="1269"/>
        <v>19</v>
      </c>
      <c r="G3328" s="541">
        <v>19</v>
      </c>
      <c r="H3328" s="497">
        <f t="shared" si="1270"/>
        <v>15.2</v>
      </c>
      <c r="I3328" s="719"/>
      <c r="J3328" s="669" t="s">
        <v>5805</v>
      </c>
      <c r="K3328" s="23"/>
      <c r="L3328" s="70" t="str">
        <f t="shared" si="1271"/>
        <v/>
      </c>
      <c r="M3328" s="49">
        <f t="shared" si="1272"/>
        <v>19</v>
      </c>
      <c r="N3328" s="41">
        <f t="shared" si="1288"/>
        <v>11</v>
      </c>
      <c r="O3328" s="196"/>
      <c r="P3328" s="35"/>
      <c r="Q3328" s="65"/>
      <c r="R3328" s="35"/>
      <c r="S3328" s="228"/>
      <c r="T3328" s="65"/>
      <c r="U3328" s="253" t="s">
        <v>1017</v>
      </c>
      <c r="V3328" s="228"/>
      <c r="W3328" s="253" t="s">
        <v>1017</v>
      </c>
      <c r="X3328" s="50"/>
      <c r="AH3328" s="253" t="s">
        <v>1778</v>
      </c>
      <c r="AK3328" t="str">
        <f t="shared" si="1273"/>
        <v/>
      </c>
      <c r="AL3328" t="str">
        <f t="shared" si="1274"/>
        <v/>
      </c>
      <c r="AM3328" t="str">
        <f t="shared" si="1275"/>
        <v/>
      </c>
      <c r="AN3328" t="str">
        <f t="shared" si="1276"/>
        <v/>
      </c>
      <c r="AO3328" t="str">
        <f t="shared" si="1277"/>
        <v/>
      </c>
      <c r="AP3328" t="str">
        <f t="shared" si="1278"/>
        <v/>
      </c>
      <c r="AQ3328" t="str">
        <f t="shared" si="1279"/>
        <v>E2c</v>
      </c>
      <c r="AR3328" t="str">
        <f t="shared" si="1280"/>
        <v/>
      </c>
      <c r="AS3328" t="str">
        <f t="shared" si="1281"/>
        <v>G2</v>
      </c>
      <c r="AT3328" t="str">
        <f t="shared" si="1282"/>
        <v/>
      </c>
      <c r="AU3328" t="str">
        <f t="shared" si="1283"/>
        <v>E2cG2</v>
      </c>
      <c r="AV3328" s="254" t="str">
        <f t="shared" si="1284"/>
        <v>BiK272E2cG2-12</v>
      </c>
      <c r="AW3328">
        <f t="shared" si="1285"/>
        <v>14</v>
      </c>
      <c r="AX3328" t="str">
        <f t="shared" si="1286"/>
        <v>0,5-0,75 MW, Bonusregeln E2c, G2</v>
      </c>
      <c r="AY3328" t="str">
        <f t="shared" si="1287"/>
        <v/>
      </c>
    </row>
    <row r="3329" spans="1:51" x14ac:dyDescent="0.25">
      <c r="A3329" s="613" t="str">
        <f t="shared" si="1266"/>
        <v>BiK272G3----12</v>
      </c>
      <c r="B3329" s="283" t="s">
        <v>5548</v>
      </c>
      <c r="C3329" s="284" t="str">
        <f t="shared" si="1267"/>
        <v>Inbetriebnahme 2012</v>
      </c>
      <c r="D3329" s="283" t="str">
        <f t="shared" si="1268"/>
        <v>0,5-0,75 MW, Bonusregel G3</v>
      </c>
      <c r="E3329" s="283"/>
      <c r="F3329" s="465">
        <f t="shared" si="1269"/>
        <v>12</v>
      </c>
      <c r="G3329" s="541">
        <v>12</v>
      </c>
      <c r="H3329" s="497">
        <f t="shared" si="1270"/>
        <v>9.6</v>
      </c>
      <c r="I3329" s="719"/>
      <c r="J3329" s="669" t="s">
        <v>5805</v>
      </c>
      <c r="K3329" s="23"/>
      <c r="L3329" s="70" t="str">
        <f t="shared" si="1271"/>
        <v/>
      </c>
      <c r="M3329" s="49">
        <f t="shared" si="1272"/>
        <v>12</v>
      </c>
      <c r="N3329" s="41">
        <f t="shared" si="1288"/>
        <v>11</v>
      </c>
      <c r="O3329" s="196"/>
      <c r="P3329" s="35"/>
      <c r="Q3329" s="65"/>
      <c r="R3329" s="35"/>
      <c r="S3329" s="228"/>
      <c r="T3329" s="65"/>
      <c r="U3329" s="35"/>
      <c r="V3329" s="228"/>
      <c r="W3329" s="35"/>
      <c r="X3329" s="50" t="s">
        <v>1017</v>
      </c>
      <c r="AH3329" s="253" t="s">
        <v>1778</v>
      </c>
      <c r="AK3329" t="str">
        <f t="shared" si="1273"/>
        <v/>
      </c>
      <c r="AL3329" t="str">
        <f t="shared" si="1274"/>
        <v/>
      </c>
      <c r="AM3329" t="str">
        <f t="shared" si="1275"/>
        <v/>
      </c>
      <c r="AN3329" t="str">
        <f t="shared" si="1276"/>
        <v/>
      </c>
      <c r="AO3329" t="str">
        <f t="shared" si="1277"/>
        <v/>
      </c>
      <c r="AP3329" t="str">
        <f t="shared" si="1278"/>
        <v/>
      </c>
      <c r="AQ3329" t="str">
        <f t="shared" si="1279"/>
        <v/>
      </c>
      <c r="AR3329" t="str">
        <f t="shared" si="1280"/>
        <v/>
      </c>
      <c r="AS3329" t="str">
        <f t="shared" si="1281"/>
        <v/>
      </c>
      <c r="AT3329" t="str">
        <f t="shared" si="1282"/>
        <v>G3</v>
      </c>
      <c r="AU3329" t="str">
        <f t="shared" si="1283"/>
        <v>G3</v>
      </c>
      <c r="AV3329" s="254" t="str">
        <f t="shared" si="1284"/>
        <v>BiK272G3----12</v>
      </c>
      <c r="AW3329">
        <f t="shared" si="1285"/>
        <v>14</v>
      </c>
      <c r="AX3329" t="str">
        <f t="shared" si="1286"/>
        <v>0,5-0,75 MW, Bonusregel G3</v>
      </c>
      <c r="AY3329" t="str">
        <f t="shared" si="1287"/>
        <v/>
      </c>
    </row>
    <row r="3330" spans="1:51" x14ac:dyDescent="0.25">
      <c r="A3330" s="613" t="str">
        <f t="shared" si="1266"/>
        <v>BiK272E1bG3-12</v>
      </c>
      <c r="B3330" s="283" t="s">
        <v>5548</v>
      </c>
      <c r="C3330" s="284" t="str">
        <f t="shared" si="1267"/>
        <v>Inbetriebnahme 2012</v>
      </c>
      <c r="D3330" s="283" t="str">
        <f t="shared" si="1268"/>
        <v>0,5-0,75 MW, Bonusregeln E1b, G3</v>
      </c>
      <c r="E3330" s="283"/>
      <c r="F3330" s="465">
        <f t="shared" si="1269"/>
        <v>17</v>
      </c>
      <c r="G3330" s="541">
        <v>17</v>
      </c>
      <c r="H3330" s="497">
        <f t="shared" si="1270"/>
        <v>13.6</v>
      </c>
      <c r="I3330" s="719"/>
      <c r="J3330" s="669" t="s">
        <v>5805</v>
      </c>
      <c r="K3330" s="23"/>
      <c r="L3330" s="70" t="str">
        <f t="shared" si="1271"/>
        <v/>
      </c>
      <c r="M3330" s="49">
        <f t="shared" si="1272"/>
        <v>17</v>
      </c>
      <c r="N3330" s="41">
        <f t="shared" si="1288"/>
        <v>11</v>
      </c>
      <c r="O3330" s="196"/>
      <c r="P3330" s="253" t="s">
        <v>1017</v>
      </c>
      <c r="Q3330" s="65"/>
      <c r="R3330" s="35"/>
      <c r="S3330" s="228"/>
      <c r="T3330" s="65"/>
      <c r="U3330" s="35"/>
      <c r="V3330" s="228"/>
      <c r="W3330" s="35"/>
      <c r="X3330" s="50" t="s">
        <v>1017</v>
      </c>
      <c r="AH3330" s="253" t="s">
        <v>1778</v>
      </c>
      <c r="AK3330" t="str">
        <f t="shared" si="1273"/>
        <v/>
      </c>
      <c r="AL3330" t="str">
        <f t="shared" si="1274"/>
        <v>E1b</v>
      </c>
      <c r="AM3330" t="str">
        <f t="shared" si="1275"/>
        <v/>
      </c>
      <c r="AN3330" t="str">
        <f t="shared" si="1276"/>
        <v/>
      </c>
      <c r="AO3330" t="str">
        <f t="shared" si="1277"/>
        <v/>
      </c>
      <c r="AP3330" t="str">
        <f t="shared" si="1278"/>
        <v/>
      </c>
      <c r="AQ3330" t="str">
        <f t="shared" si="1279"/>
        <v/>
      </c>
      <c r="AR3330" t="str">
        <f t="shared" si="1280"/>
        <v/>
      </c>
      <c r="AS3330" t="str">
        <f t="shared" si="1281"/>
        <v/>
      </c>
      <c r="AT3330" t="str">
        <f t="shared" si="1282"/>
        <v>G3</v>
      </c>
      <c r="AU3330" t="str">
        <f t="shared" si="1283"/>
        <v>E1bG3</v>
      </c>
      <c r="AV3330" s="254" t="str">
        <f t="shared" si="1284"/>
        <v>BiK272E1bG3-12</v>
      </c>
      <c r="AW3330">
        <f t="shared" si="1285"/>
        <v>14</v>
      </c>
      <c r="AX3330" t="str">
        <f t="shared" si="1286"/>
        <v>0,5-0,75 MW, Bonusregeln E1b, G3</v>
      </c>
      <c r="AY3330" t="str">
        <f t="shared" si="1287"/>
        <v/>
      </c>
    </row>
    <row r="3331" spans="1:51" x14ac:dyDescent="0.25">
      <c r="A3331" s="613" t="str">
        <f t="shared" si="1266"/>
        <v>BiK272E1dG3-12</v>
      </c>
      <c r="B3331" s="283" t="s">
        <v>5548</v>
      </c>
      <c r="C3331" s="284" t="str">
        <f t="shared" si="1267"/>
        <v>Inbetriebnahme 2012</v>
      </c>
      <c r="D3331" s="283" t="str">
        <f t="shared" si="1268"/>
        <v>0,5-0,75 MW, Bonusregeln E1d, G3</v>
      </c>
      <c r="E3331" s="283"/>
      <c r="F3331" s="465">
        <f t="shared" si="1269"/>
        <v>14.5</v>
      </c>
      <c r="G3331" s="541">
        <v>14.5</v>
      </c>
      <c r="H3331" s="497">
        <f t="shared" si="1270"/>
        <v>11.6</v>
      </c>
      <c r="I3331" s="719"/>
      <c r="J3331" s="669" t="s">
        <v>5805</v>
      </c>
      <c r="K3331" s="23"/>
      <c r="L3331" s="70" t="str">
        <f t="shared" si="1271"/>
        <v/>
      </c>
      <c r="M3331" s="49">
        <f t="shared" si="1272"/>
        <v>14.5</v>
      </c>
      <c r="N3331" s="41">
        <f t="shared" si="1288"/>
        <v>11</v>
      </c>
      <c r="O3331" s="196"/>
      <c r="P3331" s="35"/>
      <c r="Q3331" s="65"/>
      <c r="R3331" s="253" t="s">
        <v>1017</v>
      </c>
      <c r="S3331" s="228"/>
      <c r="T3331" s="65"/>
      <c r="U3331" s="35"/>
      <c r="V3331" s="228"/>
      <c r="W3331" s="35"/>
      <c r="X3331" s="50" t="s">
        <v>1017</v>
      </c>
      <c r="AH3331" s="253" t="s">
        <v>1778</v>
      </c>
      <c r="AK3331" t="str">
        <f t="shared" si="1273"/>
        <v/>
      </c>
      <c r="AL3331" t="str">
        <f t="shared" si="1274"/>
        <v/>
      </c>
      <c r="AM3331" t="str">
        <f t="shared" si="1275"/>
        <v/>
      </c>
      <c r="AN3331" t="str">
        <f t="shared" si="1276"/>
        <v>E1d</v>
      </c>
      <c r="AO3331" t="str">
        <f t="shared" si="1277"/>
        <v/>
      </c>
      <c r="AP3331" t="str">
        <f t="shared" si="1278"/>
        <v/>
      </c>
      <c r="AQ3331" t="str">
        <f t="shared" si="1279"/>
        <v/>
      </c>
      <c r="AR3331" t="str">
        <f t="shared" si="1280"/>
        <v/>
      </c>
      <c r="AS3331" t="str">
        <f t="shared" si="1281"/>
        <v/>
      </c>
      <c r="AT3331" t="str">
        <f t="shared" si="1282"/>
        <v>G3</v>
      </c>
      <c r="AU3331" t="str">
        <f t="shared" si="1283"/>
        <v>E1dG3</v>
      </c>
      <c r="AV3331" s="254" t="str">
        <f t="shared" si="1284"/>
        <v>BiK272E1dG3-12</v>
      </c>
      <c r="AW3331">
        <f t="shared" si="1285"/>
        <v>14</v>
      </c>
      <c r="AX3331" t="str">
        <f t="shared" si="1286"/>
        <v>0,5-0,75 MW, Bonusregeln E1d, G3</v>
      </c>
      <c r="AY3331" t="str">
        <f t="shared" si="1287"/>
        <v/>
      </c>
    </row>
    <row r="3332" spans="1:51" x14ac:dyDescent="0.25">
      <c r="A3332" s="613" t="str">
        <f t="shared" si="1266"/>
        <v>BiK272E2aG3-12</v>
      </c>
      <c r="B3332" s="283" t="s">
        <v>5548</v>
      </c>
      <c r="C3332" s="284" t="str">
        <f t="shared" si="1267"/>
        <v>Inbetriebnahme 2012</v>
      </c>
      <c r="D3332" s="283" t="str">
        <f t="shared" si="1268"/>
        <v>0,5-0,75 MW, Bonusregeln E2a, G3</v>
      </c>
      <c r="E3332" s="283"/>
      <c r="F3332" s="465">
        <f t="shared" si="1269"/>
        <v>20</v>
      </c>
      <c r="G3332" s="541">
        <v>20</v>
      </c>
      <c r="H3332" s="497">
        <f t="shared" si="1270"/>
        <v>16</v>
      </c>
      <c r="I3332" s="719"/>
      <c r="J3332" s="669" t="s">
        <v>5805</v>
      </c>
      <c r="K3332" s="23"/>
      <c r="L3332" s="70" t="str">
        <f t="shared" si="1271"/>
        <v/>
      </c>
      <c r="M3332" s="49">
        <f t="shared" si="1272"/>
        <v>20</v>
      </c>
      <c r="N3332" s="41">
        <f t="shared" si="1288"/>
        <v>11</v>
      </c>
      <c r="O3332" s="196"/>
      <c r="P3332" s="35"/>
      <c r="Q3332" s="65"/>
      <c r="R3332" s="35"/>
      <c r="S3332" s="228" t="s">
        <v>1017</v>
      </c>
      <c r="T3332" s="65"/>
      <c r="U3332" s="35"/>
      <c r="V3332" s="228"/>
      <c r="W3332" s="35"/>
      <c r="X3332" s="50" t="s">
        <v>1017</v>
      </c>
      <c r="AH3332" s="253" t="s">
        <v>1778</v>
      </c>
      <c r="AK3332" t="str">
        <f t="shared" si="1273"/>
        <v/>
      </c>
      <c r="AL3332" t="str">
        <f t="shared" si="1274"/>
        <v/>
      </c>
      <c r="AM3332" t="str">
        <f t="shared" si="1275"/>
        <v/>
      </c>
      <c r="AN3332" t="str">
        <f t="shared" si="1276"/>
        <v/>
      </c>
      <c r="AO3332" t="str">
        <f t="shared" si="1277"/>
        <v>E2a</v>
      </c>
      <c r="AP3332" t="str">
        <f t="shared" si="1278"/>
        <v/>
      </c>
      <c r="AQ3332" t="str">
        <f t="shared" si="1279"/>
        <v/>
      </c>
      <c r="AR3332" t="str">
        <f t="shared" si="1280"/>
        <v/>
      </c>
      <c r="AS3332" t="str">
        <f t="shared" si="1281"/>
        <v/>
      </c>
      <c r="AT3332" t="str">
        <f t="shared" si="1282"/>
        <v>G3</v>
      </c>
      <c r="AU3332" t="str">
        <f t="shared" si="1283"/>
        <v>E2aG3</v>
      </c>
      <c r="AV3332" s="254" t="str">
        <f t="shared" si="1284"/>
        <v>BiK272E2aG3-12</v>
      </c>
      <c r="AW3332">
        <f t="shared" si="1285"/>
        <v>14</v>
      </c>
      <c r="AX3332" t="str">
        <f t="shared" si="1286"/>
        <v>0,5-0,75 MW, Bonusregeln E2a, G3</v>
      </c>
      <c r="AY3332" t="str">
        <f t="shared" si="1287"/>
        <v/>
      </c>
    </row>
    <row r="3333" spans="1:51" x14ac:dyDescent="0.25">
      <c r="A3333" s="613" t="str">
        <f t="shared" si="1266"/>
        <v>BiK272E2cG3-12</v>
      </c>
      <c r="B3333" s="283" t="s">
        <v>5548</v>
      </c>
      <c r="C3333" s="284" t="str">
        <f t="shared" si="1267"/>
        <v>Inbetriebnahme 2012</v>
      </c>
      <c r="D3333" s="283" t="str">
        <f t="shared" si="1268"/>
        <v>0,5-0,75 MW, Bonusregeln E2c, G3</v>
      </c>
      <c r="E3333" s="283"/>
      <c r="F3333" s="465">
        <f t="shared" si="1269"/>
        <v>18</v>
      </c>
      <c r="G3333" s="541">
        <v>18</v>
      </c>
      <c r="H3333" s="497">
        <f t="shared" si="1270"/>
        <v>14.4</v>
      </c>
      <c r="I3333" s="719"/>
      <c r="J3333" s="669" t="s">
        <v>5805</v>
      </c>
      <c r="K3333" s="23"/>
      <c r="L3333" s="70" t="str">
        <f t="shared" si="1271"/>
        <v/>
      </c>
      <c r="M3333" s="49">
        <f t="shared" si="1272"/>
        <v>18</v>
      </c>
      <c r="N3333" s="41">
        <f t="shared" si="1288"/>
        <v>11</v>
      </c>
      <c r="O3333" s="196"/>
      <c r="P3333" s="35"/>
      <c r="Q3333" s="65"/>
      <c r="R3333" s="35"/>
      <c r="S3333" s="228"/>
      <c r="T3333" s="65"/>
      <c r="U3333" s="253" t="s">
        <v>1017</v>
      </c>
      <c r="V3333" s="228"/>
      <c r="W3333" s="35"/>
      <c r="X3333" s="50" t="s">
        <v>1017</v>
      </c>
      <c r="AH3333" s="253" t="s">
        <v>1778</v>
      </c>
      <c r="AK3333" t="str">
        <f t="shared" si="1273"/>
        <v/>
      </c>
      <c r="AL3333" t="str">
        <f t="shared" si="1274"/>
        <v/>
      </c>
      <c r="AM3333" t="str">
        <f t="shared" si="1275"/>
        <v/>
      </c>
      <c r="AN3333" t="str">
        <f t="shared" si="1276"/>
        <v/>
      </c>
      <c r="AO3333" t="str">
        <f t="shared" si="1277"/>
        <v/>
      </c>
      <c r="AP3333" t="str">
        <f t="shared" si="1278"/>
        <v/>
      </c>
      <c r="AQ3333" t="str">
        <f t="shared" si="1279"/>
        <v>E2c</v>
      </c>
      <c r="AR3333" t="str">
        <f t="shared" si="1280"/>
        <v/>
      </c>
      <c r="AS3333" t="str">
        <f t="shared" si="1281"/>
        <v/>
      </c>
      <c r="AT3333" t="str">
        <f t="shared" si="1282"/>
        <v>G3</v>
      </c>
      <c r="AU3333" t="str">
        <f t="shared" si="1283"/>
        <v>E2cG3</v>
      </c>
      <c r="AV3333" s="254" t="str">
        <f t="shared" si="1284"/>
        <v>BiK272E2cG3-12</v>
      </c>
      <c r="AW3333">
        <f t="shared" si="1285"/>
        <v>14</v>
      </c>
      <c r="AX3333" t="str">
        <f t="shared" si="1286"/>
        <v>0,5-0,75 MW, Bonusregeln E2c, G3</v>
      </c>
      <c r="AY3333" t="str">
        <f t="shared" si="1287"/>
        <v/>
      </c>
    </row>
    <row r="3334" spans="1:51" x14ac:dyDescent="0.25">
      <c r="A3334" s="613" t="str">
        <f t="shared" ref="A3334:A3353" si="1289">"BiK273"&amp;AU3334&amp;RIGHT("------",6-LEN(AU3334))&amp;RIGHT($M$3278,2)</f>
        <v>BiK273------12</v>
      </c>
      <c r="B3334" s="283" t="s">
        <v>5548</v>
      </c>
      <c r="C3334" s="284" t="str">
        <f t="shared" si="1267"/>
        <v>Inbetriebnahme 2012</v>
      </c>
      <c r="D3334" s="283" t="str">
        <f t="shared" si="1268"/>
        <v>0,75-5 MW</v>
      </c>
      <c r="E3334" s="283"/>
      <c r="F3334" s="465">
        <f t="shared" si="1269"/>
        <v>11</v>
      </c>
      <c r="G3334" s="541">
        <v>11</v>
      </c>
      <c r="H3334" s="497">
        <f t="shared" si="1270"/>
        <v>8.8000000000000007</v>
      </c>
      <c r="I3334" s="719"/>
      <c r="J3334" s="669" t="s">
        <v>5805</v>
      </c>
      <c r="K3334" s="23"/>
      <c r="L3334" s="70" t="str">
        <f t="shared" si="1271"/>
        <v/>
      </c>
      <c r="M3334" s="49">
        <f t="shared" si="1272"/>
        <v>11</v>
      </c>
      <c r="N3334" s="41">
        <f t="shared" si="1288"/>
        <v>11</v>
      </c>
      <c r="O3334" s="196"/>
      <c r="P3334" s="65"/>
      <c r="Q3334" s="35"/>
      <c r="R3334" s="35"/>
      <c r="S3334" s="228"/>
      <c r="T3334" s="65"/>
      <c r="U3334" s="35"/>
      <c r="V3334" s="228"/>
      <c r="W3334" s="35"/>
      <c r="X3334" s="50"/>
      <c r="AH3334" s="253" t="s">
        <v>1777</v>
      </c>
      <c r="AK3334" t="str">
        <f t="shared" si="1273"/>
        <v/>
      </c>
      <c r="AL3334" t="str">
        <f t="shared" si="1274"/>
        <v/>
      </c>
      <c r="AM3334" t="str">
        <f t="shared" si="1275"/>
        <v/>
      </c>
      <c r="AN3334" t="str">
        <f t="shared" si="1276"/>
        <v/>
      </c>
      <c r="AO3334" t="str">
        <f t="shared" si="1277"/>
        <v/>
      </c>
      <c r="AP3334" t="str">
        <f t="shared" si="1278"/>
        <v/>
      </c>
      <c r="AQ3334" t="str">
        <f t="shared" si="1279"/>
        <v/>
      </c>
      <c r="AR3334" t="str">
        <f t="shared" si="1280"/>
        <v/>
      </c>
      <c r="AS3334" t="str">
        <f t="shared" si="1281"/>
        <v/>
      </c>
      <c r="AT3334" t="str">
        <f t="shared" si="1282"/>
        <v/>
      </c>
      <c r="AU3334" t="str">
        <f t="shared" si="1283"/>
        <v/>
      </c>
      <c r="AV3334" s="254" t="str">
        <f t="shared" ref="AV3334:AV3353" si="1290">"BiK273"&amp;AU3334&amp;RIGHT("------",6-LEN(AU3334))&amp;RIGHT($M$3278,2)</f>
        <v>BiK273------12</v>
      </c>
      <c r="AW3334">
        <f t="shared" si="1285"/>
        <v>14</v>
      </c>
      <c r="AX3334" t="str">
        <f t="shared" si="1286"/>
        <v>0,75-5 MW</v>
      </c>
      <c r="AY3334" t="str">
        <f t="shared" si="1287"/>
        <v/>
      </c>
    </row>
    <row r="3335" spans="1:51" x14ac:dyDescent="0.25">
      <c r="A3335" s="613" t="str">
        <f t="shared" si="1289"/>
        <v>BiK273E1c---12</v>
      </c>
      <c r="B3335" s="283" t="s">
        <v>5548</v>
      </c>
      <c r="C3335" s="284" t="str">
        <f t="shared" si="1267"/>
        <v>Inbetriebnahme 2012</v>
      </c>
      <c r="D3335" s="283" t="str">
        <f t="shared" si="1268"/>
        <v>0,75-5 MW, Bonusregel E1c</v>
      </c>
      <c r="E3335" s="283"/>
      <c r="F3335" s="465">
        <f t="shared" si="1269"/>
        <v>15</v>
      </c>
      <c r="G3335" s="541">
        <v>15</v>
      </c>
      <c r="H3335" s="497">
        <f t="shared" si="1270"/>
        <v>12</v>
      </c>
      <c r="I3335" s="719"/>
      <c r="J3335" s="669" t="s">
        <v>5805</v>
      </c>
      <c r="K3335" s="23"/>
      <c r="L3335" s="70" t="str">
        <f t="shared" si="1271"/>
        <v/>
      </c>
      <c r="M3335" s="49">
        <f t="shared" si="1272"/>
        <v>15</v>
      </c>
      <c r="N3335" s="41">
        <f t="shared" si="1288"/>
        <v>11</v>
      </c>
      <c r="O3335" s="196"/>
      <c r="P3335" s="65"/>
      <c r="Q3335" s="253" t="s">
        <v>1017</v>
      </c>
      <c r="R3335" s="35"/>
      <c r="S3335" s="228"/>
      <c r="T3335" s="65"/>
      <c r="U3335" s="35"/>
      <c r="V3335" s="228"/>
      <c r="W3335" s="35"/>
      <c r="X3335" s="50"/>
      <c r="AH3335" s="253" t="s">
        <v>1777</v>
      </c>
      <c r="AK3335" t="str">
        <f t="shared" si="1273"/>
        <v/>
      </c>
      <c r="AL3335" t="str">
        <f t="shared" si="1274"/>
        <v/>
      </c>
      <c r="AM3335" t="str">
        <f t="shared" si="1275"/>
        <v>E1c</v>
      </c>
      <c r="AN3335" t="str">
        <f t="shared" si="1276"/>
        <v/>
      </c>
      <c r="AO3335" t="str">
        <f t="shared" si="1277"/>
        <v/>
      </c>
      <c r="AP3335" t="str">
        <f t="shared" si="1278"/>
        <v/>
      </c>
      <c r="AQ3335" t="str">
        <f t="shared" si="1279"/>
        <v/>
      </c>
      <c r="AR3335" t="str">
        <f t="shared" si="1280"/>
        <v/>
      </c>
      <c r="AS3335" t="str">
        <f t="shared" si="1281"/>
        <v/>
      </c>
      <c r="AT3335" t="str">
        <f t="shared" si="1282"/>
        <v/>
      </c>
      <c r="AU3335" t="str">
        <f t="shared" si="1283"/>
        <v>E1c</v>
      </c>
      <c r="AV3335" s="254" t="str">
        <f t="shared" si="1290"/>
        <v>BiK273E1c---12</v>
      </c>
      <c r="AW3335">
        <f t="shared" si="1285"/>
        <v>14</v>
      </c>
      <c r="AX3335" t="str">
        <f t="shared" si="1286"/>
        <v>0,75-5 MW, Bonusregel E1c</v>
      </c>
      <c r="AY3335" t="str">
        <f t="shared" si="1287"/>
        <v/>
      </c>
    </row>
    <row r="3336" spans="1:51" x14ac:dyDescent="0.25">
      <c r="A3336" s="613" t="str">
        <f t="shared" si="1289"/>
        <v>BiK273E1d---12</v>
      </c>
      <c r="B3336" s="283" t="s">
        <v>5548</v>
      </c>
      <c r="C3336" s="284" t="str">
        <f t="shared" si="1267"/>
        <v>Inbetriebnahme 2012</v>
      </c>
      <c r="D3336" s="283" t="str">
        <f t="shared" si="1268"/>
        <v>0,75-5 MW, Bonusregel E1d</v>
      </c>
      <c r="E3336" s="283"/>
      <c r="F3336" s="465">
        <f t="shared" si="1269"/>
        <v>13.5</v>
      </c>
      <c r="G3336" s="541">
        <v>13.5</v>
      </c>
      <c r="H3336" s="497">
        <f t="shared" si="1270"/>
        <v>10.8</v>
      </c>
      <c r="I3336" s="719"/>
      <c r="J3336" s="669" t="s">
        <v>5805</v>
      </c>
      <c r="K3336" s="23"/>
      <c r="L3336" s="70" t="str">
        <f t="shared" si="1271"/>
        <v/>
      </c>
      <c r="M3336" s="49">
        <f t="shared" si="1272"/>
        <v>13.5</v>
      </c>
      <c r="N3336" s="41">
        <f t="shared" si="1288"/>
        <v>11</v>
      </c>
      <c r="O3336" s="196"/>
      <c r="P3336" s="65"/>
      <c r="Q3336" s="35"/>
      <c r="R3336" s="253" t="s">
        <v>1017</v>
      </c>
      <c r="S3336" s="228"/>
      <c r="T3336" s="65"/>
      <c r="U3336" s="35"/>
      <c r="V3336" s="228"/>
      <c r="W3336" s="35"/>
      <c r="X3336" s="50"/>
      <c r="AH3336" s="253" t="s">
        <v>1777</v>
      </c>
      <c r="AK3336" t="str">
        <f t="shared" si="1273"/>
        <v/>
      </c>
      <c r="AL3336" t="str">
        <f t="shared" si="1274"/>
        <v/>
      </c>
      <c r="AM3336" t="str">
        <f t="shared" si="1275"/>
        <v/>
      </c>
      <c r="AN3336" t="str">
        <f t="shared" si="1276"/>
        <v>E1d</v>
      </c>
      <c r="AO3336" t="str">
        <f t="shared" si="1277"/>
        <v/>
      </c>
      <c r="AP3336" t="str">
        <f t="shared" si="1278"/>
        <v/>
      </c>
      <c r="AQ3336" t="str">
        <f t="shared" si="1279"/>
        <v/>
      </c>
      <c r="AR3336" t="str">
        <f t="shared" si="1280"/>
        <v/>
      </c>
      <c r="AS3336" t="str">
        <f t="shared" si="1281"/>
        <v/>
      </c>
      <c r="AT3336" t="str">
        <f t="shared" si="1282"/>
        <v/>
      </c>
      <c r="AU3336" t="str">
        <f t="shared" si="1283"/>
        <v>E1d</v>
      </c>
      <c r="AV3336" s="254" t="str">
        <f t="shared" si="1290"/>
        <v>BiK273E1d---12</v>
      </c>
      <c r="AW3336">
        <f t="shared" si="1285"/>
        <v>14</v>
      </c>
      <c r="AX3336" t="str">
        <f t="shared" si="1286"/>
        <v>0,75-5 MW, Bonusregel E1d</v>
      </c>
      <c r="AY3336" t="str">
        <f t="shared" si="1287"/>
        <v/>
      </c>
    </row>
    <row r="3337" spans="1:51" x14ac:dyDescent="0.25">
      <c r="A3337" s="613" t="str">
        <f t="shared" si="1289"/>
        <v>BiK273E2a---12</v>
      </c>
      <c r="B3337" s="283" t="s">
        <v>5548</v>
      </c>
      <c r="C3337" s="284" t="str">
        <f t="shared" si="1267"/>
        <v>Inbetriebnahme 2012</v>
      </c>
      <c r="D3337" s="283" t="str">
        <f t="shared" si="1268"/>
        <v>0,75-5 MW, Bonusregel E2a</v>
      </c>
      <c r="E3337" s="283"/>
      <c r="F3337" s="465">
        <f t="shared" si="1269"/>
        <v>19</v>
      </c>
      <c r="G3337" s="541">
        <v>19</v>
      </c>
      <c r="H3337" s="497">
        <f t="shared" si="1270"/>
        <v>15.2</v>
      </c>
      <c r="I3337" s="719"/>
      <c r="J3337" s="669" t="s">
        <v>5805</v>
      </c>
      <c r="K3337" s="23"/>
      <c r="L3337" s="70" t="str">
        <f t="shared" si="1271"/>
        <v/>
      </c>
      <c r="M3337" s="49">
        <f t="shared" si="1272"/>
        <v>19</v>
      </c>
      <c r="N3337" s="41">
        <f t="shared" si="1288"/>
        <v>11</v>
      </c>
      <c r="O3337" s="196"/>
      <c r="P3337" s="65"/>
      <c r="Q3337" s="35"/>
      <c r="R3337" s="35"/>
      <c r="S3337" s="228" t="s">
        <v>1017</v>
      </c>
      <c r="T3337" s="65"/>
      <c r="U3337" s="35"/>
      <c r="V3337" s="228"/>
      <c r="W3337" s="35"/>
      <c r="X3337" s="50"/>
      <c r="AH3337" s="253" t="s">
        <v>1777</v>
      </c>
      <c r="AK3337" t="str">
        <f t="shared" si="1273"/>
        <v/>
      </c>
      <c r="AL3337" t="str">
        <f t="shared" si="1274"/>
        <v/>
      </c>
      <c r="AM3337" t="str">
        <f t="shared" si="1275"/>
        <v/>
      </c>
      <c r="AN3337" t="str">
        <f t="shared" si="1276"/>
        <v/>
      </c>
      <c r="AO3337" t="str">
        <f t="shared" si="1277"/>
        <v>E2a</v>
      </c>
      <c r="AP3337" t="str">
        <f t="shared" si="1278"/>
        <v/>
      </c>
      <c r="AQ3337" t="str">
        <f t="shared" si="1279"/>
        <v/>
      </c>
      <c r="AR3337" t="str">
        <f t="shared" si="1280"/>
        <v/>
      </c>
      <c r="AS3337" t="str">
        <f t="shared" si="1281"/>
        <v/>
      </c>
      <c r="AT3337" t="str">
        <f t="shared" si="1282"/>
        <v/>
      </c>
      <c r="AU3337" t="str">
        <f t="shared" si="1283"/>
        <v>E2a</v>
      </c>
      <c r="AV3337" s="254" t="str">
        <f t="shared" si="1290"/>
        <v>BiK273E2a---12</v>
      </c>
      <c r="AW3337">
        <f t="shared" si="1285"/>
        <v>14</v>
      </c>
      <c r="AX3337" t="str">
        <f t="shared" si="1286"/>
        <v>0,75-5 MW, Bonusregel E2a</v>
      </c>
      <c r="AY3337" t="str">
        <f t="shared" si="1287"/>
        <v/>
      </c>
    </row>
    <row r="3338" spans="1:51" x14ac:dyDescent="0.25">
      <c r="A3338" s="613" t="str">
        <f t="shared" si="1289"/>
        <v>BiK273E2c---12</v>
      </c>
      <c r="B3338" s="283" t="s">
        <v>5548</v>
      </c>
      <c r="C3338" s="284" t="str">
        <f t="shared" si="1267"/>
        <v>Inbetriebnahme 2012</v>
      </c>
      <c r="D3338" s="283" t="str">
        <f t="shared" si="1268"/>
        <v>0,75-5 MW, Bonusregel E2c</v>
      </c>
      <c r="E3338" s="283"/>
      <c r="F3338" s="465">
        <f t="shared" si="1269"/>
        <v>17</v>
      </c>
      <c r="G3338" s="541">
        <v>17</v>
      </c>
      <c r="H3338" s="497">
        <f t="shared" si="1270"/>
        <v>13.6</v>
      </c>
      <c r="I3338" s="719"/>
      <c r="J3338" s="669" t="s">
        <v>5805</v>
      </c>
      <c r="K3338" s="23"/>
      <c r="L3338" s="70" t="str">
        <f t="shared" si="1271"/>
        <v/>
      </c>
      <c r="M3338" s="49">
        <f t="shared" si="1272"/>
        <v>17</v>
      </c>
      <c r="N3338" s="41">
        <f t="shared" si="1288"/>
        <v>11</v>
      </c>
      <c r="O3338" s="196"/>
      <c r="P3338" s="65"/>
      <c r="Q3338" s="35"/>
      <c r="R3338" s="35"/>
      <c r="S3338" s="228"/>
      <c r="T3338" s="65"/>
      <c r="U3338" s="253" t="s">
        <v>1017</v>
      </c>
      <c r="V3338" s="228"/>
      <c r="W3338" s="35"/>
      <c r="X3338" s="50"/>
      <c r="AH3338" s="253" t="s">
        <v>1777</v>
      </c>
      <c r="AK3338" t="str">
        <f t="shared" si="1273"/>
        <v/>
      </c>
      <c r="AL3338" t="str">
        <f t="shared" si="1274"/>
        <v/>
      </c>
      <c r="AM3338" t="str">
        <f t="shared" si="1275"/>
        <v/>
      </c>
      <c r="AN3338" t="str">
        <f t="shared" si="1276"/>
        <v/>
      </c>
      <c r="AO3338" t="str">
        <f t="shared" si="1277"/>
        <v/>
      </c>
      <c r="AP3338" t="str">
        <f t="shared" si="1278"/>
        <v/>
      </c>
      <c r="AQ3338" t="str">
        <f t="shared" si="1279"/>
        <v>E2c</v>
      </c>
      <c r="AR3338" t="str">
        <f t="shared" si="1280"/>
        <v/>
      </c>
      <c r="AS3338" t="str">
        <f t="shared" si="1281"/>
        <v/>
      </c>
      <c r="AT3338" t="str">
        <f t="shared" si="1282"/>
        <v/>
      </c>
      <c r="AU3338" t="str">
        <f t="shared" si="1283"/>
        <v>E2c</v>
      </c>
      <c r="AV3338" s="254" t="str">
        <f t="shared" si="1290"/>
        <v>BiK273E2c---12</v>
      </c>
      <c r="AW3338">
        <f t="shared" si="1285"/>
        <v>14</v>
      </c>
      <c r="AX3338" t="str">
        <f t="shared" si="1286"/>
        <v>0,75-5 MW, Bonusregel E2c</v>
      </c>
      <c r="AY3338" t="str">
        <f t="shared" si="1287"/>
        <v/>
      </c>
    </row>
    <row r="3339" spans="1:51" x14ac:dyDescent="0.25">
      <c r="A3339" s="613" t="str">
        <f t="shared" si="1289"/>
        <v>BiK273G1----12</v>
      </c>
      <c r="B3339" s="283" t="s">
        <v>5548</v>
      </c>
      <c r="C3339" s="284" t="str">
        <f t="shared" si="1267"/>
        <v>Inbetriebnahme 2012</v>
      </c>
      <c r="D3339" s="283" t="str">
        <f t="shared" si="1268"/>
        <v>0,75-5 MW, Bonusregel G1</v>
      </c>
      <c r="E3339" s="283"/>
      <c r="F3339" s="465">
        <f t="shared" si="1269"/>
        <v>14</v>
      </c>
      <c r="G3339" s="541">
        <v>14</v>
      </c>
      <c r="H3339" s="497">
        <f t="shared" si="1270"/>
        <v>11.2</v>
      </c>
      <c r="I3339" s="719"/>
      <c r="J3339" s="669" t="s">
        <v>5805</v>
      </c>
      <c r="K3339" s="23"/>
      <c r="L3339" s="70" t="str">
        <f t="shared" si="1271"/>
        <v/>
      </c>
      <c r="M3339" s="49">
        <f t="shared" si="1272"/>
        <v>14</v>
      </c>
      <c r="N3339" s="41">
        <f t="shared" si="1288"/>
        <v>11</v>
      </c>
      <c r="O3339" s="196"/>
      <c r="P3339" s="65"/>
      <c r="Q3339" s="35"/>
      <c r="R3339" s="35"/>
      <c r="S3339" s="228"/>
      <c r="T3339" s="65"/>
      <c r="U3339" s="35"/>
      <c r="V3339" s="228" t="s">
        <v>1017</v>
      </c>
      <c r="W3339" s="35"/>
      <c r="X3339" s="50"/>
      <c r="AH3339" s="253" t="s">
        <v>1777</v>
      </c>
      <c r="AK3339" t="str">
        <f t="shared" si="1273"/>
        <v/>
      </c>
      <c r="AL3339" t="str">
        <f t="shared" si="1274"/>
        <v/>
      </c>
      <c r="AM3339" t="str">
        <f t="shared" si="1275"/>
        <v/>
      </c>
      <c r="AN3339" t="str">
        <f t="shared" si="1276"/>
        <v/>
      </c>
      <c r="AO3339" t="str">
        <f t="shared" si="1277"/>
        <v/>
      </c>
      <c r="AP3339" t="str">
        <f t="shared" si="1278"/>
        <v/>
      </c>
      <c r="AQ3339" t="str">
        <f t="shared" si="1279"/>
        <v/>
      </c>
      <c r="AR3339" t="str">
        <f t="shared" si="1280"/>
        <v>G1</v>
      </c>
      <c r="AS3339" t="str">
        <f t="shared" si="1281"/>
        <v/>
      </c>
      <c r="AT3339" t="str">
        <f t="shared" si="1282"/>
        <v/>
      </c>
      <c r="AU3339" t="str">
        <f t="shared" si="1283"/>
        <v>G1</v>
      </c>
      <c r="AV3339" s="254" t="str">
        <f t="shared" si="1290"/>
        <v>BiK273G1----12</v>
      </c>
      <c r="AW3339">
        <f t="shared" si="1285"/>
        <v>14</v>
      </c>
      <c r="AX3339" t="str">
        <f t="shared" si="1286"/>
        <v>0,75-5 MW, Bonusregel G1</v>
      </c>
      <c r="AY3339" t="str">
        <f t="shared" si="1287"/>
        <v/>
      </c>
    </row>
    <row r="3340" spans="1:51" x14ac:dyDescent="0.25">
      <c r="A3340" s="613" t="str">
        <f t="shared" si="1289"/>
        <v>BiK273E1cG1-12</v>
      </c>
      <c r="B3340" s="283" t="s">
        <v>5548</v>
      </c>
      <c r="C3340" s="284" t="str">
        <f t="shared" si="1267"/>
        <v>Inbetriebnahme 2012</v>
      </c>
      <c r="D3340" s="283" t="str">
        <f t="shared" si="1268"/>
        <v>0,75-5 MW, Bonusregeln E1c, G1</v>
      </c>
      <c r="E3340" s="283"/>
      <c r="F3340" s="465">
        <f t="shared" si="1269"/>
        <v>18</v>
      </c>
      <c r="G3340" s="541">
        <v>18</v>
      </c>
      <c r="H3340" s="497">
        <f t="shared" si="1270"/>
        <v>14.4</v>
      </c>
      <c r="I3340" s="719"/>
      <c r="J3340" s="669" t="s">
        <v>5805</v>
      </c>
      <c r="K3340" s="23"/>
      <c r="L3340" s="70" t="str">
        <f t="shared" si="1271"/>
        <v/>
      </c>
      <c r="M3340" s="49">
        <f t="shared" si="1272"/>
        <v>18</v>
      </c>
      <c r="N3340" s="41">
        <f t="shared" si="1288"/>
        <v>11</v>
      </c>
      <c r="O3340" s="196"/>
      <c r="P3340" s="65"/>
      <c r="Q3340" s="253" t="s">
        <v>1017</v>
      </c>
      <c r="R3340" s="35"/>
      <c r="S3340" s="228"/>
      <c r="T3340" s="65"/>
      <c r="U3340" s="35"/>
      <c r="V3340" s="228" t="s">
        <v>1017</v>
      </c>
      <c r="W3340" s="35"/>
      <c r="X3340" s="50"/>
      <c r="AH3340" s="253" t="s">
        <v>1777</v>
      </c>
      <c r="AK3340" t="str">
        <f t="shared" si="1273"/>
        <v/>
      </c>
      <c r="AL3340" t="str">
        <f t="shared" si="1274"/>
        <v/>
      </c>
      <c r="AM3340" t="str">
        <f t="shared" si="1275"/>
        <v>E1c</v>
      </c>
      <c r="AN3340" t="str">
        <f t="shared" si="1276"/>
        <v/>
      </c>
      <c r="AO3340" t="str">
        <f t="shared" si="1277"/>
        <v/>
      </c>
      <c r="AP3340" t="str">
        <f t="shared" si="1278"/>
        <v/>
      </c>
      <c r="AQ3340" t="str">
        <f t="shared" si="1279"/>
        <v/>
      </c>
      <c r="AR3340" t="str">
        <f t="shared" si="1280"/>
        <v>G1</v>
      </c>
      <c r="AS3340" t="str">
        <f t="shared" si="1281"/>
        <v/>
      </c>
      <c r="AT3340" t="str">
        <f t="shared" si="1282"/>
        <v/>
      </c>
      <c r="AU3340" t="str">
        <f t="shared" si="1283"/>
        <v>E1cG1</v>
      </c>
      <c r="AV3340" s="254" t="str">
        <f t="shared" si="1290"/>
        <v>BiK273E1cG1-12</v>
      </c>
      <c r="AW3340">
        <f t="shared" si="1285"/>
        <v>14</v>
      </c>
      <c r="AX3340" t="str">
        <f t="shared" si="1286"/>
        <v>0,75-5 MW, Bonusregeln E1c, G1</v>
      </c>
      <c r="AY3340" t="str">
        <f t="shared" si="1287"/>
        <v/>
      </c>
    </row>
    <row r="3341" spans="1:51" x14ac:dyDescent="0.25">
      <c r="A3341" s="613" t="str">
        <f t="shared" si="1289"/>
        <v>BiK273E1dG1-12</v>
      </c>
      <c r="B3341" s="283" t="s">
        <v>5548</v>
      </c>
      <c r="C3341" s="284" t="str">
        <f t="shared" si="1267"/>
        <v>Inbetriebnahme 2012</v>
      </c>
      <c r="D3341" s="283" t="str">
        <f t="shared" si="1268"/>
        <v>0,75-5 MW, Bonusregeln E1d, G1</v>
      </c>
      <c r="E3341" s="283"/>
      <c r="F3341" s="465">
        <f t="shared" si="1269"/>
        <v>16.5</v>
      </c>
      <c r="G3341" s="541">
        <v>16.5</v>
      </c>
      <c r="H3341" s="497">
        <f t="shared" si="1270"/>
        <v>13.2</v>
      </c>
      <c r="I3341" s="719"/>
      <c r="J3341" s="669" t="s">
        <v>5805</v>
      </c>
      <c r="K3341" s="23"/>
      <c r="L3341" s="70" t="str">
        <f t="shared" si="1271"/>
        <v/>
      </c>
      <c r="M3341" s="49">
        <f t="shared" si="1272"/>
        <v>16.5</v>
      </c>
      <c r="N3341" s="41">
        <f t="shared" si="1288"/>
        <v>11</v>
      </c>
      <c r="O3341" s="196"/>
      <c r="P3341" s="65"/>
      <c r="Q3341" s="35"/>
      <c r="R3341" s="253" t="s">
        <v>1017</v>
      </c>
      <c r="S3341" s="228"/>
      <c r="T3341" s="65"/>
      <c r="U3341" s="35"/>
      <c r="V3341" s="228" t="s">
        <v>1017</v>
      </c>
      <c r="W3341" s="35"/>
      <c r="X3341" s="50"/>
      <c r="AH3341" s="253" t="s">
        <v>1777</v>
      </c>
      <c r="AK3341" t="str">
        <f t="shared" si="1273"/>
        <v/>
      </c>
      <c r="AL3341" t="str">
        <f t="shared" si="1274"/>
        <v/>
      </c>
      <c r="AM3341" t="str">
        <f t="shared" si="1275"/>
        <v/>
      </c>
      <c r="AN3341" t="str">
        <f t="shared" si="1276"/>
        <v>E1d</v>
      </c>
      <c r="AO3341" t="str">
        <f t="shared" si="1277"/>
        <v/>
      </c>
      <c r="AP3341" t="str">
        <f t="shared" si="1278"/>
        <v/>
      </c>
      <c r="AQ3341" t="str">
        <f t="shared" si="1279"/>
        <v/>
      </c>
      <c r="AR3341" t="str">
        <f t="shared" si="1280"/>
        <v>G1</v>
      </c>
      <c r="AS3341" t="str">
        <f t="shared" si="1281"/>
        <v/>
      </c>
      <c r="AT3341" t="str">
        <f t="shared" si="1282"/>
        <v/>
      </c>
      <c r="AU3341" t="str">
        <f t="shared" si="1283"/>
        <v>E1dG1</v>
      </c>
      <c r="AV3341" s="254" t="str">
        <f t="shared" si="1290"/>
        <v>BiK273E1dG1-12</v>
      </c>
      <c r="AW3341">
        <f t="shared" si="1285"/>
        <v>14</v>
      </c>
      <c r="AX3341" t="str">
        <f t="shared" si="1286"/>
        <v>0,75-5 MW, Bonusregeln E1d, G1</v>
      </c>
      <c r="AY3341" t="str">
        <f t="shared" si="1287"/>
        <v/>
      </c>
    </row>
    <row r="3342" spans="1:51" x14ac:dyDescent="0.25">
      <c r="A3342" s="613" t="str">
        <f t="shared" si="1289"/>
        <v>BiK273E2aG1-12</v>
      </c>
      <c r="B3342" s="283" t="s">
        <v>5548</v>
      </c>
      <c r="C3342" s="284" t="str">
        <f t="shared" si="1267"/>
        <v>Inbetriebnahme 2012</v>
      </c>
      <c r="D3342" s="283" t="str">
        <f t="shared" si="1268"/>
        <v>0,75-5 MW, Bonusregeln E2a, G1</v>
      </c>
      <c r="E3342" s="283"/>
      <c r="F3342" s="465">
        <f t="shared" si="1269"/>
        <v>22</v>
      </c>
      <c r="G3342" s="541">
        <v>22</v>
      </c>
      <c r="H3342" s="497">
        <f t="shared" si="1270"/>
        <v>17.600000000000001</v>
      </c>
      <c r="I3342" s="719"/>
      <c r="J3342" s="669" t="s">
        <v>5805</v>
      </c>
      <c r="K3342" s="23"/>
      <c r="L3342" s="70" t="str">
        <f t="shared" si="1271"/>
        <v/>
      </c>
      <c r="M3342" s="49">
        <f t="shared" si="1272"/>
        <v>22</v>
      </c>
      <c r="N3342" s="41">
        <f t="shared" si="1288"/>
        <v>11</v>
      </c>
      <c r="O3342" s="196"/>
      <c r="P3342" s="65"/>
      <c r="Q3342" s="35"/>
      <c r="R3342" s="35"/>
      <c r="S3342" s="228" t="s">
        <v>1017</v>
      </c>
      <c r="T3342" s="65"/>
      <c r="U3342" s="35"/>
      <c r="V3342" s="228" t="s">
        <v>1017</v>
      </c>
      <c r="W3342" s="35"/>
      <c r="X3342" s="50"/>
      <c r="AH3342" s="253" t="s">
        <v>1777</v>
      </c>
      <c r="AK3342" t="str">
        <f t="shared" si="1273"/>
        <v/>
      </c>
      <c r="AL3342" t="str">
        <f t="shared" si="1274"/>
        <v/>
      </c>
      <c r="AM3342" t="str">
        <f t="shared" si="1275"/>
        <v/>
      </c>
      <c r="AN3342" t="str">
        <f t="shared" si="1276"/>
        <v/>
      </c>
      <c r="AO3342" t="str">
        <f t="shared" si="1277"/>
        <v>E2a</v>
      </c>
      <c r="AP3342" t="str">
        <f t="shared" si="1278"/>
        <v/>
      </c>
      <c r="AQ3342" t="str">
        <f t="shared" si="1279"/>
        <v/>
      </c>
      <c r="AR3342" t="str">
        <f t="shared" si="1280"/>
        <v>G1</v>
      </c>
      <c r="AS3342" t="str">
        <f t="shared" si="1281"/>
        <v/>
      </c>
      <c r="AT3342" t="str">
        <f t="shared" si="1282"/>
        <v/>
      </c>
      <c r="AU3342" t="str">
        <f t="shared" si="1283"/>
        <v>E2aG1</v>
      </c>
      <c r="AV3342" s="254" t="str">
        <f t="shared" si="1290"/>
        <v>BiK273E2aG1-12</v>
      </c>
      <c r="AW3342">
        <f t="shared" si="1285"/>
        <v>14</v>
      </c>
      <c r="AX3342" t="str">
        <f t="shared" si="1286"/>
        <v>0,75-5 MW, Bonusregeln E2a, G1</v>
      </c>
      <c r="AY3342" t="str">
        <f t="shared" si="1287"/>
        <v/>
      </c>
    </row>
    <row r="3343" spans="1:51" x14ac:dyDescent="0.25">
      <c r="A3343" s="613" t="str">
        <f t="shared" si="1289"/>
        <v>BiK273E2cG1-12</v>
      </c>
      <c r="B3343" s="283" t="s">
        <v>5548</v>
      </c>
      <c r="C3343" s="284" t="str">
        <f t="shared" si="1267"/>
        <v>Inbetriebnahme 2012</v>
      </c>
      <c r="D3343" s="283" t="str">
        <f t="shared" si="1268"/>
        <v>0,75-5 MW, Bonusregeln E2c, G1</v>
      </c>
      <c r="E3343" s="283"/>
      <c r="F3343" s="465">
        <f t="shared" si="1269"/>
        <v>20</v>
      </c>
      <c r="G3343" s="541">
        <v>20</v>
      </c>
      <c r="H3343" s="497">
        <f t="shared" si="1270"/>
        <v>16</v>
      </c>
      <c r="I3343" s="719"/>
      <c r="J3343" s="669" t="s">
        <v>5805</v>
      </c>
      <c r="K3343" s="23"/>
      <c r="L3343" s="70" t="str">
        <f t="shared" si="1271"/>
        <v/>
      </c>
      <c r="M3343" s="49">
        <f t="shared" si="1272"/>
        <v>20</v>
      </c>
      <c r="N3343" s="41">
        <f t="shared" si="1288"/>
        <v>11</v>
      </c>
      <c r="O3343" s="196"/>
      <c r="P3343" s="65"/>
      <c r="Q3343" s="35"/>
      <c r="R3343" s="35"/>
      <c r="S3343" s="228"/>
      <c r="T3343" s="65"/>
      <c r="U3343" s="253" t="s">
        <v>1017</v>
      </c>
      <c r="V3343" s="228" t="s">
        <v>1017</v>
      </c>
      <c r="W3343" s="35"/>
      <c r="X3343" s="50"/>
      <c r="AH3343" s="253" t="s">
        <v>1777</v>
      </c>
      <c r="AK3343" t="str">
        <f t="shared" si="1273"/>
        <v/>
      </c>
      <c r="AL3343" t="str">
        <f t="shared" si="1274"/>
        <v/>
      </c>
      <c r="AM3343" t="str">
        <f t="shared" si="1275"/>
        <v/>
      </c>
      <c r="AN3343" t="str">
        <f t="shared" si="1276"/>
        <v/>
      </c>
      <c r="AO3343" t="str">
        <f t="shared" si="1277"/>
        <v/>
      </c>
      <c r="AP3343" t="str">
        <f t="shared" si="1278"/>
        <v/>
      </c>
      <c r="AQ3343" t="str">
        <f t="shared" si="1279"/>
        <v>E2c</v>
      </c>
      <c r="AR3343" t="str">
        <f t="shared" si="1280"/>
        <v>G1</v>
      </c>
      <c r="AS3343" t="str">
        <f t="shared" si="1281"/>
        <v/>
      </c>
      <c r="AT3343" t="str">
        <f t="shared" si="1282"/>
        <v/>
      </c>
      <c r="AU3343" t="str">
        <f t="shared" si="1283"/>
        <v>E2cG1</v>
      </c>
      <c r="AV3343" s="254" t="str">
        <f t="shared" si="1290"/>
        <v>BiK273E2cG1-12</v>
      </c>
      <c r="AW3343">
        <f t="shared" si="1285"/>
        <v>14</v>
      </c>
      <c r="AX3343" t="str">
        <f t="shared" si="1286"/>
        <v>0,75-5 MW, Bonusregeln E2c, G1</v>
      </c>
      <c r="AY3343" t="str">
        <f t="shared" si="1287"/>
        <v/>
      </c>
    </row>
    <row r="3344" spans="1:51" x14ac:dyDescent="0.25">
      <c r="A3344" s="613" t="str">
        <f t="shared" si="1289"/>
        <v>BiK273G2----12</v>
      </c>
      <c r="B3344" s="283" t="s">
        <v>5548</v>
      </c>
      <c r="C3344" s="284" t="str">
        <f t="shared" si="1267"/>
        <v>Inbetriebnahme 2012</v>
      </c>
      <c r="D3344" s="283" t="str">
        <f t="shared" si="1268"/>
        <v>0,75-5 MW, Bonusregel G2</v>
      </c>
      <c r="E3344" s="283"/>
      <c r="F3344" s="465">
        <f t="shared" si="1269"/>
        <v>13</v>
      </c>
      <c r="G3344" s="541">
        <v>13</v>
      </c>
      <c r="H3344" s="497">
        <f t="shared" si="1270"/>
        <v>10.4</v>
      </c>
      <c r="I3344" s="719"/>
      <c r="J3344" s="669" t="s">
        <v>5805</v>
      </c>
      <c r="K3344" s="23"/>
      <c r="L3344" s="70" t="str">
        <f t="shared" si="1271"/>
        <v/>
      </c>
      <c r="M3344" s="49">
        <f t="shared" si="1272"/>
        <v>13</v>
      </c>
      <c r="N3344" s="41">
        <f t="shared" si="1288"/>
        <v>11</v>
      </c>
      <c r="O3344" s="196"/>
      <c r="P3344" s="65"/>
      <c r="Q3344" s="35"/>
      <c r="R3344" s="35"/>
      <c r="S3344" s="228"/>
      <c r="T3344" s="65"/>
      <c r="U3344" s="35"/>
      <c r="V3344" s="228"/>
      <c r="W3344" s="253" t="s">
        <v>1017</v>
      </c>
      <c r="X3344" s="50"/>
      <c r="AH3344" s="253" t="s">
        <v>1777</v>
      </c>
      <c r="AK3344" t="str">
        <f t="shared" si="1273"/>
        <v/>
      </c>
      <c r="AL3344" t="str">
        <f t="shared" si="1274"/>
        <v/>
      </c>
      <c r="AM3344" t="str">
        <f t="shared" si="1275"/>
        <v/>
      </c>
      <c r="AN3344" t="str">
        <f t="shared" si="1276"/>
        <v/>
      </c>
      <c r="AO3344" t="str">
        <f t="shared" si="1277"/>
        <v/>
      </c>
      <c r="AP3344" t="str">
        <f t="shared" si="1278"/>
        <v/>
      </c>
      <c r="AQ3344" t="str">
        <f t="shared" si="1279"/>
        <v/>
      </c>
      <c r="AR3344" t="str">
        <f t="shared" si="1280"/>
        <v/>
      </c>
      <c r="AS3344" t="str">
        <f t="shared" si="1281"/>
        <v>G2</v>
      </c>
      <c r="AT3344" t="str">
        <f t="shared" si="1282"/>
        <v/>
      </c>
      <c r="AU3344" t="str">
        <f t="shared" si="1283"/>
        <v>G2</v>
      </c>
      <c r="AV3344" s="254" t="str">
        <f t="shared" si="1290"/>
        <v>BiK273G2----12</v>
      </c>
      <c r="AW3344">
        <f t="shared" si="1285"/>
        <v>14</v>
      </c>
      <c r="AX3344" t="str">
        <f t="shared" si="1286"/>
        <v>0,75-5 MW, Bonusregel G2</v>
      </c>
      <c r="AY3344" t="str">
        <f t="shared" si="1287"/>
        <v/>
      </c>
    </row>
    <row r="3345" spans="1:51" x14ac:dyDescent="0.25">
      <c r="A3345" s="613" t="str">
        <f t="shared" si="1289"/>
        <v>BiK273E1cG2-12</v>
      </c>
      <c r="B3345" s="283" t="s">
        <v>5548</v>
      </c>
      <c r="C3345" s="284" t="str">
        <f t="shared" si="1267"/>
        <v>Inbetriebnahme 2012</v>
      </c>
      <c r="D3345" s="283" t="str">
        <f t="shared" si="1268"/>
        <v>0,75-5 MW, Bonusregeln E1c, G2</v>
      </c>
      <c r="E3345" s="283"/>
      <c r="F3345" s="465">
        <f t="shared" si="1269"/>
        <v>17</v>
      </c>
      <c r="G3345" s="541">
        <v>17</v>
      </c>
      <c r="H3345" s="497">
        <f t="shared" si="1270"/>
        <v>13.6</v>
      </c>
      <c r="I3345" s="719"/>
      <c r="J3345" s="669" t="s">
        <v>5805</v>
      </c>
      <c r="K3345" s="23"/>
      <c r="L3345" s="70" t="str">
        <f t="shared" si="1271"/>
        <v/>
      </c>
      <c r="M3345" s="49">
        <f t="shared" si="1272"/>
        <v>17</v>
      </c>
      <c r="N3345" s="41">
        <f t="shared" si="1288"/>
        <v>11</v>
      </c>
      <c r="O3345" s="196"/>
      <c r="P3345" s="65"/>
      <c r="Q3345" s="253" t="s">
        <v>1017</v>
      </c>
      <c r="R3345" s="35"/>
      <c r="S3345" s="228"/>
      <c r="T3345" s="65"/>
      <c r="U3345" s="35"/>
      <c r="V3345" s="228"/>
      <c r="W3345" s="253" t="s">
        <v>1017</v>
      </c>
      <c r="X3345" s="50"/>
      <c r="AH3345" s="253" t="s">
        <v>1777</v>
      </c>
      <c r="AK3345" t="str">
        <f t="shared" si="1273"/>
        <v/>
      </c>
      <c r="AL3345" t="str">
        <f t="shared" si="1274"/>
        <v/>
      </c>
      <c r="AM3345" t="str">
        <f t="shared" si="1275"/>
        <v>E1c</v>
      </c>
      <c r="AN3345" t="str">
        <f t="shared" si="1276"/>
        <v/>
      </c>
      <c r="AO3345" t="str">
        <f t="shared" si="1277"/>
        <v/>
      </c>
      <c r="AP3345" t="str">
        <f t="shared" si="1278"/>
        <v/>
      </c>
      <c r="AQ3345" t="str">
        <f t="shared" si="1279"/>
        <v/>
      </c>
      <c r="AR3345" t="str">
        <f t="shared" si="1280"/>
        <v/>
      </c>
      <c r="AS3345" t="str">
        <f t="shared" si="1281"/>
        <v>G2</v>
      </c>
      <c r="AT3345" t="str">
        <f t="shared" si="1282"/>
        <v/>
      </c>
      <c r="AU3345" t="str">
        <f t="shared" si="1283"/>
        <v>E1cG2</v>
      </c>
      <c r="AV3345" s="254" t="str">
        <f t="shared" si="1290"/>
        <v>BiK273E1cG2-12</v>
      </c>
      <c r="AW3345">
        <f t="shared" si="1285"/>
        <v>14</v>
      </c>
      <c r="AX3345" t="str">
        <f t="shared" si="1286"/>
        <v>0,75-5 MW, Bonusregeln E1c, G2</v>
      </c>
      <c r="AY3345" t="str">
        <f t="shared" si="1287"/>
        <v/>
      </c>
    </row>
    <row r="3346" spans="1:51" x14ac:dyDescent="0.25">
      <c r="A3346" s="613" t="str">
        <f t="shared" si="1289"/>
        <v>BiK273E1dG2-12</v>
      </c>
      <c r="B3346" s="283" t="s">
        <v>5548</v>
      </c>
      <c r="C3346" s="284" t="str">
        <f t="shared" ref="C3346:C3354" si="1291">"Inbetriebnahme "&amp;$M$3278</f>
        <v>Inbetriebnahme 2012</v>
      </c>
      <c r="D3346" s="283" t="str">
        <f t="shared" ref="D3346:D3354" si="1292">IF(COUNTA(O3346:X3346)=0,AH3346,AH3346&amp;", Bonusregel"&amp;IF(AND(COUNTA(O3346:U3346)&gt;0,COUNTA(V3346:X3346)&gt;0),"n "&amp;AK3346&amp;AL3346&amp;AM3346&amp;AN3346&amp;AO3346&amp;AP3346&amp;AQ3346&amp;", "&amp;AR3346&amp;AS3346&amp;AT3346," "&amp;AK3346&amp;AL3346&amp;AM3346&amp;AN3346&amp;AO3346&amp;AP3346&amp;AQ3346&amp;AR3346&amp;AS3346&amp;AT3346))</f>
        <v>0,75-5 MW, Bonusregeln E1d, G2</v>
      </c>
      <c r="E3346" s="283"/>
      <c r="F3346" s="465">
        <f t="shared" ref="F3346:F3354" si="1293">M3346</f>
        <v>15.5</v>
      </c>
      <c r="G3346" s="541">
        <v>15.5</v>
      </c>
      <c r="H3346" s="497">
        <f t="shared" ref="H3346:H3354" si="1294">IF(ISNUMBER(G3346),ROUND(0.8*G3346,2),"")</f>
        <v>12.4</v>
      </c>
      <c r="I3346" s="719"/>
      <c r="J3346" s="669" t="s">
        <v>5805</v>
      </c>
      <c r="K3346" s="23"/>
      <c r="L3346" s="70" t="str">
        <f t="shared" ref="L3346:L3354" si="1295">IF(F3346=M3346,"",FALSE)</f>
        <v/>
      </c>
      <c r="M3346" s="49">
        <f t="shared" ref="M3346:M3354" si="1296">N3346+SUMIF(O3346:X3346,"x",$O$3281:$X$3281)</f>
        <v>15.5</v>
      </c>
      <c r="N3346" s="41">
        <f t="shared" si="1288"/>
        <v>11</v>
      </c>
      <c r="O3346" s="196"/>
      <c r="P3346" s="65"/>
      <c r="Q3346" s="35"/>
      <c r="R3346" s="253" t="s">
        <v>1017</v>
      </c>
      <c r="S3346" s="228"/>
      <c r="T3346" s="65"/>
      <c r="U3346" s="35"/>
      <c r="V3346" s="228"/>
      <c r="W3346" s="253" t="s">
        <v>1017</v>
      </c>
      <c r="X3346" s="50"/>
      <c r="AH3346" s="253" t="s">
        <v>1777</v>
      </c>
      <c r="AK3346" t="str">
        <f t="shared" ref="AK3346:AK3354" si="1297">IF(O3346="x",O$3280,"")</f>
        <v/>
      </c>
      <c r="AL3346" t="str">
        <f t="shared" ref="AL3346:AL3354" si="1298">IF(P3346="x",P$3280,"")</f>
        <v/>
      </c>
      <c r="AM3346" t="str">
        <f t="shared" ref="AM3346:AM3354" si="1299">IF(Q3346="x",Q$3280,"")</f>
        <v/>
      </c>
      <c r="AN3346" t="str">
        <f t="shared" ref="AN3346:AN3354" si="1300">IF(R3346="x",R$3280,"")</f>
        <v>E1d</v>
      </c>
      <c r="AO3346" t="str">
        <f t="shared" ref="AO3346:AO3354" si="1301">IF(S3346="x",S$3280,"")</f>
        <v/>
      </c>
      <c r="AP3346" t="str">
        <f t="shared" ref="AP3346:AP3354" si="1302">IF(T3346="x",T$3280,"")</f>
        <v/>
      </c>
      <c r="AQ3346" t="str">
        <f t="shared" ref="AQ3346:AQ3354" si="1303">IF(U3346="x",U$3280,"")</f>
        <v/>
      </c>
      <c r="AR3346" t="str">
        <f t="shared" ref="AR3346:AR3354" si="1304">IF(V3346="x",V$3280,"")</f>
        <v/>
      </c>
      <c r="AS3346" t="str">
        <f t="shared" ref="AS3346:AS3354" si="1305">IF(W3346="x",W$3280,"")</f>
        <v>G2</v>
      </c>
      <c r="AT3346" t="str">
        <f t="shared" ref="AT3346:AT3354" si="1306">IF(X3346="x",X$3280,"")</f>
        <v/>
      </c>
      <c r="AU3346" t="str">
        <f t="shared" ref="AU3346:AU3354" si="1307">AK3346&amp;AL3346&amp;AM3346&amp;AN3346&amp;AO3346&amp;AP3346&amp;AQ3346&amp;AR3346&amp;AS3346&amp;AT3346</f>
        <v>E1dG2</v>
      </c>
      <c r="AV3346" s="254" t="str">
        <f t="shared" si="1290"/>
        <v>BiK273E1dG2-12</v>
      </c>
      <c r="AW3346">
        <f t="shared" ref="AW3346:AW3354" si="1308">LEN(AV3346)</f>
        <v>14</v>
      </c>
      <c r="AX3346" t="str">
        <f t="shared" ref="AX3346:AX3354" si="1309">IF(COUNTA(O3346:X3346)=0,AH3346,AH3346&amp;", Bonusregel"&amp;IF(AND(COUNTA(O3346:U3346)&gt;0,COUNTA(V3346:X3346)&gt;0),"n "&amp;AK3346&amp;AL3346&amp;AM3346&amp;AN3346&amp;AO3346&amp;AP3346&amp;AQ3346&amp;", "&amp;AR3346&amp;AS3346&amp;AT3346," "&amp;AK3346&amp;AL3346&amp;AM3346&amp;AN3346&amp;AO3346&amp;AP3346&amp;AQ3346&amp;AR3346&amp;AS3346&amp;AT3346))</f>
        <v>0,75-5 MW, Bonusregeln E1d, G2</v>
      </c>
      <c r="AY3346" t="str">
        <f t="shared" ref="AY3346:AY3354" si="1310">IF(COUNTA(O3346:U3346)&gt;1,"Fehler ESVK",IF(COUNTA(V3346:X3346)&gt;1,"Fehler GAB",IF(AW3346&lt;&gt;14,"Fehler Kategorie","")))</f>
        <v/>
      </c>
    </row>
    <row r="3347" spans="1:51" x14ac:dyDescent="0.25">
      <c r="A3347" s="613" t="str">
        <f t="shared" si="1289"/>
        <v>BiK273E2aG2-12</v>
      </c>
      <c r="B3347" s="283" t="s">
        <v>5548</v>
      </c>
      <c r="C3347" s="284" t="str">
        <f t="shared" si="1291"/>
        <v>Inbetriebnahme 2012</v>
      </c>
      <c r="D3347" s="283" t="str">
        <f t="shared" si="1292"/>
        <v>0,75-5 MW, Bonusregeln E2a, G2</v>
      </c>
      <c r="E3347" s="283"/>
      <c r="F3347" s="465">
        <f t="shared" si="1293"/>
        <v>21</v>
      </c>
      <c r="G3347" s="541">
        <v>21</v>
      </c>
      <c r="H3347" s="497">
        <f t="shared" si="1294"/>
        <v>16.8</v>
      </c>
      <c r="I3347" s="719"/>
      <c r="J3347" s="669" t="s">
        <v>5805</v>
      </c>
      <c r="K3347" s="23"/>
      <c r="L3347" s="70" t="str">
        <f t="shared" si="1295"/>
        <v/>
      </c>
      <c r="M3347" s="49">
        <f t="shared" si="1296"/>
        <v>21</v>
      </c>
      <c r="N3347" s="41">
        <f t="shared" si="1288"/>
        <v>11</v>
      </c>
      <c r="O3347" s="196"/>
      <c r="P3347" s="65"/>
      <c r="Q3347" s="35"/>
      <c r="R3347" s="35"/>
      <c r="S3347" s="228" t="s">
        <v>1017</v>
      </c>
      <c r="T3347" s="65"/>
      <c r="U3347" s="35"/>
      <c r="V3347" s="228"/>
      <c r="W3347" s="253" t="s">
        <v>1017</v>
      </c>
      <c r="X3347" s="50"/>
      <c r="AH3347" s="253" t="s">
        <v>1777</v>
      </c>
      <c r="AK3347" t="str">
        <f t="shared" si="1297"/>
        <v/>
      </c>
      <c r="AL3347" t="str">
        <f t="shared" si="1298"/>
        <v/>
      </c>
      <c r="AM3347" t="str">
        <f t="shared" si="1299"/>
        <v/>
      </c>
      <c r="AN3347" t="str">
        <f t="shared" si="1300"/>
        <v/>
      </c>
      <c r="AO3347" t="str">
        <f t="shared" si="1301"/>
        <v>E2a</v>
      </c>
      <c r="AP3347" t="str">
        <f t="shared" si="1302"/>
        <v/>
      </c>
      <c r="AQ3347" t="str">
        <f t="shared" si="1303"/>
        <v/>
      </c>
      <c r="AR3347" t="str">
        <f t="shared" si="1304"/>
        <v/>
      </c>
      <c r="AS3347" t="str">
        <f t="shared" si="1305"/>
        <v>G2</v>
      </c>
      <c r="AT3347" t="str">
        <f t="shared" si="1306"/>
        <v/>
      </c>
      <c r="AU3347" t="str">
        <f t="shared" si="1307"/>
        <v>E2aG2</v>
      </c>
      <c r="AV3347" s="254" t="str">
        <f t="shared" si="1290"/>
        <v>BiK273E2aG2-12</v>
      </c>
      <c r="AW3347">
        <f t="shared" si="1308"/>
        <v>14</v>
      </c>
      <c r="AX3347" t="str">
        <f t="shared" si="1309"/>
        <v>0,75-5 MW, Bonusregeln E2a, G2</v>
      </c>
      <c r="AY3347" t="str">
        <f t="shared" si="1310"/>
        <v/>
      </c>
    </row>
    <row r="3348" spans="1:51" x14ac:dyDescent="0.25">
      <c r="A3348" s="613" t="str">
        <f t="shared" si="1289"/>
        <v>BiK273E2cG2-12</v>
      </c>
      <c r="B3348" s="283" t="s">
        <v>5548</v>
      </c>
      <c r="C3348" s="284" t="str">
        <f t="shared" si="1291"/>
        <v>Inbetriebnahme 2012</v>
      </c>
      <c r="D3348" s="283" t="str">
        <f t="shared" si="1292"/>
        <v>0,75-5 MW, Bonusregeln E2c, G2</v>
      </c>
      <c r="E3348" s="283"/>
      <c r="F3348" s="465">
        <f t="shared" si="1293"/>
        <v>19</v>
      </c>
      <c r="G3348" s="541">
        <v>19</v>
      </c>
      <c r="H3348" s="497">
        <f t="shared" si="1294"/>
        <v>15.2</v>
      </c>
      <c r="I3348" s="719"/>
      <c r="J3348" s="669" t="s">
        <v>5805</v>
      </c>
      <c r="K3348" s="23"/>
      <c r="L3348" s="70" t="str">
        <f t="shared" si="1295"/>
        <v/>
      </c>
      <c r="M3348" s="49">
        <f t="shared" si="1296"/>
        <v>19</v>
      </c>
      <c r="N3348" s="41">
        <f t="shared" si="1288"/>
        <v>11</v>
      </c>
      <c r="O3348" s="196"/>
      <c r="P3348" s="65"/>
      <c r="Q3348" s="35"/>
      <c r="R3348" s="35"/>
      <c r="S3348" s="228"/>
      <c r="T3348" s="65"/>
      <c r="U3348" s="253" t="s">
        <v>1017</v>
      </c>
      <c r="V3348" s="228"/>
      <c r="W3348" s="253" t="s">
        <v>1017</v>
      </c>
      <c r="X3348" s="50"/>
      <c r="AH3348" s="253" t="s">
        <v>1777</v>
      </c>
      <c r="AK3348" t="str">
        <f t="shared" si="1297"/>
        <v/>
      </c>
      <c r="AL3348" t="str">
        <f t="shared" si="1298"/>
        <v/>
      </c>
      <c r="AM3348" t="str">
        <f t="shared" si="1299"/>
        <v/>
      </c>
      <c r="AN3348" t="str">
        <f t="shared" si="1300"/>
        <v/>
      </c>
      <c r="AO3348" t="str">
        <f t="shared" si="1301"/>
        <v/>
      </c>
      <c r="AP3348" t="str">
        <f t="shared" si="1302"/>
        <v/>
      </c>
      <c r="AQ3348" t="str">
        <f t="shared" si="1303"/>
        <v>E2c</v>
      </c>
      <c r="AR3348" t="str">
        <f t="shared" si="1304"/>
        <v/>
      </c>
      <c r="AS3348" t="str">
        <f t="shared" si="1305"/>
        <v>G2</v>
      </c>
      <c r="AT3348" t="str">
        <f t="shared" si="1306"/>
        <v/>
      </c>
      <c r="AU3348" t="str">
        <f t="shared" si="1307"/>
        <v>E2cG2</v>
      </c>
      <c r="AV3348" s="254" t="str">
        <f t="shared" si="1290"/>
        <v>BiK273E2cG2-12</v>
      </c>
      <c r="AW3348">
        <f t="shared" si="1308"/>
        <v>14</v>
      </c>
      <c r="AX3348" t="str">
        <f t="shared" si="1309"/>
        <v>0,75-5 MW, Bonusregeln E2c, G2</v>
      </c>
      <c r="AY3348" t="str">
        <f t="shared" si="1310"/>
        <v/>
      </c>
    </row>
    <row r="3349" spans="1:51" x14ac:dyDescent="0.25">
      <c r="A3349" s="613" t="str">
        <f t="shared" si="1289"/>
        <v>BiK273G3----12</v>
      </c>
      <c r="B3349" s="283" t="s">
        <v>5548</v>
      </c>
      <c r="C3349" s="284" t="str">
        <f t="shared" si="1291"/>
        <v>Inbetriebnahme 2012</v>
      </c>
      <c r="D3349" s="283" t="str">
        <f t="shared" si="1292"/>
        <v>0,75-5 MW, Bonusregel G3</v>
      </c>
      <c r="E3349" s="283"/>
      <c r="F3349" s="465">
        <f t="shared" si="1293"/>
        <v>12</v>
      </c>
      <c r="G3349" s="541">
        <v>12</v>
      </c>
      <c r="H3349" s="497">
        <f t="shared" si="1294"/>
        <v>9.6</v>
      </c>
      <c r="I3349" s="719"/>
      <c r="J3349" s="669" t="s">
        <v>5805</v>
      </c>
      <c r="K3349" s="23"/>
      <c r="L3349" s="70" t="str">
        <f t="shared" si="1295"/>
        <v/>
      </c>
      <c r="M3349" s="49">
        <f t="shared" si="1296"/>
        <v>12</v>
      </c>
      <c r="N3349" s="41">
        <f t="shared" si="1288"/>
        <v>11</v>
      </c>
      <c r="O3349" s="196"/>
      <c r="P3349" s="65"/>
      <c r="Q3349" s="35"/>
      <c r="R3349" s="35"/>
      <c r="S3349" s="228"/>
      <c r="T3349" s="65"/>
      <c r="U3349" s="35"/>
      <c r="V3349" s="228"/>
      <c r="W3349" s="35"/>
      <c r="X3349" s="50" t="s">
        <v>1017</v>
      </c>
      <c r="AH3349" s="253" t="s">
        <v>1777</v>
      </c>
      <c r="AK3349" t="str">
        <f t="shared" si="1297"/>
        <v/>
      </c>
      <c r="AL3349" t="str">
        <f t="shared" si="1298"/>
        <v/>
      </c>
      <c r="AM3349" t="str">
        <f t="shared" si="1299"/>
        <v/>
      </c>
      <c r="AN3349" t="str">
        <f t="shared" si="1300"/>
        <v/>
      </c>
      <c r="AO3349" t="str">
        <f t="shared" si="1301"/>
        <v/>
      </c>
      <c r="AP3349" t="str">
        <f t="shared" si="1302"/>
        <v/>
      </c>
      <c r="AQ3349" t="str">
        <f t="shared" si="1303"/>
        <v/>
      </c>
      <c r="AR3349" t="str">
        <f t="shared" si="1304"/>
        <v/>
      </c>
      <c r="AS3349" t="str">
        <f t="shared" si="1305"/>
        <v/>
      </c>
      <c r="AT3349" t="str">
        <f t="shared" si="1306"/>
        <v>G3</v>
      </c>
      <c r="AU3349" t="str">
        <f t="shared" si="1307"/>
        <v>G3</v>
      </c>
      <c r="AV3349" s="254" t="str">
        <f t="shared" si="1290"/>
        <v>BiK273G3----12</v>
      </c>
      <c r="AW3349">
        <f t="shared" si="1308"/>
        <v>14</v>
      </c>
      <c r="AX3349" t="str">
        <f t="shared" si="1309"/>
        <v>0,75-5 MW, Bonusregel G3</v>
      </c>
      <c r="AY3349" t="str">
        <f t="shared" si="1310"/>
        <v/>
      </c>
    </row>
    <row r="3350" spans="1:51" x14ac:dyDescent="0.25">
      <c r="A3350" s="613" t="str">
        <f t="shared" si="1289"/>
        <v>BiK273E1cG3-12</v>
      </c>
      <c r="B3350" s="283" t="s">
        <v>5548</v>
      </c>
      <c r="C3350" s="284" t="str">
        <f t="shared" si="1291"/>
        <v>Inbetriebnahme 2012</v>
      </c>
      <c r="D3350" s="283" t="str">
        <f t="shared" si="1292"/>
        <v>0,75-5 MW, Bonusregeln E1c, G3</v>
      </c>
      <c r="E3350" s="283"/>
      <c r="F3350" s="465">
        <f t="shared" si="1293"/>
        <v>16</v>
      </c>
      <c r="G3350" s="541">
        <v>16</v>
      </c>
      <c r="H3350" s="497">
        <f t="shared" si="1294"/>
        <v>12.8</v>
      </c>
      <c r="I3350" s="719"/>
      <c r="J3350" s="669" t="s">
        <v>5805</v>
      </c>
      <c r="K3350" s="23"/>
      <c r="L3350" s="70" t="str">
        <f t="shared" si="1295"/>
        <v/>
      </c>
      <c r="M3350" s="49">
        <f t="shared" si="1296"/>
        <v>16</v>
      </c>
      <c r="N3350" s="41">
        <f t="shared" si="1288"/>
        <v>11</v>
      </c>
      <c r="O3350" s="196"/>
      <c r="P3350" s="65"/>
      <c r="Q3350" s="253" t="s">
        <v>1017</v>
      </c>
      <c r="R3350" s="35"/>
      <c r="S3350" s="228"/>
      <c r="T3350" s="65"/>
      <c r="U3350" s="35"/>
      <c r="V3350" s="228"/>
      <c r="W3350" s="35"/>
      <c r="X3350" s="50" t="s">
        <v>1017</v>
      </c>
      <c r="AH3350" s="253" t="s">
        <v>1777</v>
      </c>
      <c r="AK3350" t="str">
        <f t="shared" si="1297"/>
        <v/>
      </c>
      <c r="AL3350" t="str">
        <f t="shared" si="1298"/>
        <v/>
      </c>
      <c r="AM3350" t="str">
        <f t="shared" si="1299"/>
        <v>E1c</v>
      </c>
      <c r="AN3350" t="str">
        <f t="shared" si="1300"/>
        <v/>
      </c>
      <c r="AO3350" t="str">
        <f t="shared" si="1301"/>
        <v/>
      </c>
      <c r="AP3350" t="str">
        <f t="shared" si="1302"/>
        <v/>
      </c>
      <c r="AQ3350" t="str">
        <f t="shared" si="1303"/>
        <v/>
      </c>
      <c r="AR3350" t="str">
        <f t="shared" si="1304"/>
        <v/>
      </c>
      <c r="AS3350" t="str">
        <f t="shared" si="1305"/>
        <v/>
      </c>
      <c r="AT3350" t="str">
        <f t="shared" si="1306"/>
        <v>G3</v>
      </c>
      <c r="AU3350" t="str">
        <f t="shared" si="1307"/>
        <v>E1cG3</v>
      </c>
      <c r="AV3350" s="254" t="str">
        <f t="shared" si="1290"/>
        <v>BiK273E1cG3-12</v>
      </c>
      <c r="AW3350">
        <f t="shared" si="1308"/>
        <v>14</v>
      </c>
      <c r="AX3350" t="str">
        <f t="shared" si="1309"/>
        <v>0,75-5 MW, Bonusregeln E1c, G3</v>
      </c>
      <c r="AY3350" t="str">
        <f t="shared" si="1310"/>
        <v/>
      </c>
    </row>
    <row r="3351" spans="1:51" x14ac:dyDescent="0.25">
      <c r="A3351" s="613" t="str">
        <f t="shared" si="1289"/>
        <v>BiK273E1dG3-12</v>
      </c>
      <c r="B3351" s="283" t="s">
        <v>5548</v>
      </c>
      <c r="C3351" s="284" t="str">
        <f t="shared" si="1291"/>
        <v>Inbetriebnahme 2012</v>
      </c>
      <c r="D3351" s="283" t="str">
        <f t="shared" si="1292"/>
        <v>0,75-5 MW, Bonusregeln E1d, G3</v>
      </c>
      <c r="E3351" s="283"/>
      <c r="F3351" s="465">
        <f t="shared" si="1293"/>
        <v>14.5</v>
      </c>
      <c r="G3351" s="541">
        <v>14.5</v>
      </c>
      <c r="H3351" s="497">
        <f t="shared" si="1294"/>
        <v>11.6</v>
      </c>
      <c r="I3351" s="719"/>
      <c r="J3351" s="669" t="s">
        <v>5805</v>
      </c>
      <c r="K3351" s="23"/>
      <c r="L3351" s="70" t="str">
        <f t="shared" si="1295"/>
        <v/>
      </c>
      <c r="M3351" s="49">
        <f t="shared" si="1296"/>
        <v>14.5</v>
      </c>
      <c r="N3351" s="41">
        <f t="shared" si="1288"/>
        <v>11</v>
      </c>
      <c r="O3351" s="196"/>
      <c r="P3351" s="65"/>
      <c r="Q3351" s="35"/>
      <c r="R3351" s="253" t="s">
        <v>1017</v>
      </c>
      <c r="S3351" s="228"/>
      <c r="T3351" s="65"/>
      <c r="U3351" s="35"/>
      <c r="V3351" s="228"/>
      <c r="W3351" s="35"/>
      <c r="X3351" s="50" t="s">
        <v>1017</v>
      </c>
      <c r="AH3351" s="253" t="s">
        <v>1777</v>
      </c>
      <c r="AK3351" t="str">
        <f t="shared" si="1297"/>
        <v/>
      </c>
      <c r="AL3351" t="str">
        <f t="shared" si="1298"/>
        <v/>
      </c>
      <c r="AM3351" t="str">
        <f t="shared" si="1299"/>
        <v/>
      </c>
      <c r="AN3351" t="str">
        <f t="shared" si="1300"/>
        <v>E1d</v>
      </c>
      <c r="AO3351" t="str">
        <f t="shared" si="1301"/>
        <v/>
      </c>
      <c r="AP3351" t="str">
        <f t="shared" si="1302"/>
        <v/>
      </c>
      <c r="AQ3351" t="str">
        <f t="shared" si="1303"/>
        <v/>
      </c>
      <c r="AR3351" t="str">
        <f t="shared" si="1304"/>
        <v/>
      </c>
      <c r="AS3351" t="str">
        <f t="shared" si="1305"/>
        <v/>
      </c>
      <c r="AT3351" t="str">
        <f t="shared" si="1306"/>
        <v>G3</v>
      </c>
      <c r="AU3351" t="str">
        <f t="shared" si="1307"/>
        <v>E1dG3</v>
      </c>
      <c r="AV3351" s="254" t="str">
        <f t="shared" si="1290"/>
        <v>BiK273E1dG3-12</v>
      </c>
      <c r="AW3351">
        <f t="shared" si="1308"/>
        <v>14</v>
      </c>
      <c r="AX3351" t="str">
        <f t="shared" si="1309"/>
        <v>0,75-5 MW, Bonusregeln E1d, G3</v>
      </c>
      <c r="AY3351" t="str">
        <f t="shared" si="1310"/>
        <v/>
      </c>
    </row>
    <row r="3352" spans="1:51" x14ac:dyDescent="0.25">
      <c r="A3352" s="613" t="str">
        <f t="shared" si="1289"/>
        <v>BiK273E2aG3-12</v>
      </c>
      <c r="B3352" s="283" t="s">
        <v>5548</v>
      </c>
      <c r="C3352" s="284" t="str">
        <f t="shared" si="1291"/>
        <v>Inbetriebnahme 2012</v>
      </c>
      <c r="D3352" s="283" t="str">
        <f t="shared" si="1292"/>
        <v>0,75-5 MW, Bonusregeln E2a, G3</v>
      </c>
      <c r="E3352" s="283"/>
      <c r="F3352" s="465">
        <f t="shared" si="1293"/>
        <v>20</v>
      </c>
      <c r="G3352" s="541">
        <v>20</v>
      </c>
      <c r="H3352" s="497">
        <f t="shared" si="1294"/>
        <v>16</v>
      </c>
      <c r="I3352" s="719"/>
      <c r="J3352" s="669" t="s">
        <v>5805</v>
      </c>
      <c r="K3352" s="23"/>
      <c r="L3352" s="70" t="str">
        <f t="shared" si="1295"/>
        <v/>
      </c>
      <c r="M3352" s="49">
        <f t="shared" si="1296"/>
        <v>20</v>
      </c>
      <c r="N3352" s="41">
        <f t="shared" si="1288"/>
        <v>11</v>
      </c>
      <c r="O3352" s="196"/>
      <c r="P3352" s="65"/>
      <c r="Q3352" s="35"/>
      <c r="R3352" s="35"/>
      <c r="S3352" s="228" t="s">
        <v>1017</v>
      </c>
      <c r="T3352" s="65"/>
      <c r="U3352" s="35"/>
      <c r="V3352" s="228"/>
      <c r="W3352" s="35"/>
      <c r="X3352" s="50" t="s">
        <v>1017</v>
      </c>
      <c r="AH3352" s="253" t="s">
        <v>1777</v>
      </c>
      <c r="AK3352" t="str">
        <f t="shared" si="1297"/>
        <v/>
      </c>
      <c r="AL3352" t="str">
        <f t="shared" si="1298"/>
        <v/>
      </c>
      <c r="AM3352" t="str">
        <f t="shared" si="1299"/>
        <v/>
      </c>
      <c r="AN3352" t="str">
        <f t="shared" si="1300"/>
        <v/>
      </c>
      <c r="AO3352" t="str">
        <f t="shared" si="1301"/>
        <v>E2a</v>
      </c>
      <c r="AP3352" t="str">
        <f t="shared" si="1302"/>
        <v/>
      </c>
      <c r="AQ3352" t="str">
        <f t="shared" si="1303"/>
        <v/>
      </c>
      <c r="AR3352" t="str">
        <f t="shared" si="1304"/>
        <v/>
      </c>
      <c r="AS3352" t="str">
        <f t="shared" si="1305"/>
        <v/>
      </c>
      <c r="AT3352" t="str">
        <f t="shared" si="1306"/>
        <v>G3</v>
      </c>
      <c r="AU3352" t="str">
        <f t="shared" si="1307"/>
        <v>E2aG3</v>
      </c>
      <c r="AV3352" s="254" t="str">
        <f t="shared" si="1290"/>
        <v>BiK273E2aG3-12</v>
      </c>
      <c r="AW3352">
        <f t="shared" si="1308"/>
        <v>14</v>
      </c>
      <c r="AX3352" t="str">
        <f t="shared" si="1309"/>
        <v>0,75-5 MW, Bonusregeln E2a, G3</v>
      </c>
      <c r="AY3352" t="str">
        <f t="shared" si="1310"/>
        <v/>
      </c>
    </row>
    <row r="3353" spans="1:51" x14ac:dyDescent="0.25">
      <c r="A3353" s="613" t="str">
        <f t="shared" si="1289"/>
        <v>BiK273E2cG3-12</v>
      </c>
      <c r="B3353" s="283" t="s">
        <v>5548</v>
      </c>
      <c r="C3353" s="284" t="str">
        <f t="shared" si="1291"/>
        <v>Inbetriebnahme 2012</v>
      </c>
      <c r="D3353" s="283" t="str">
        <f t="shared" si="1292"/>
        <v>0,75-5 MW, Bonusregeln E2c, G3</v>
      </c>
      <c r="E3353" s="283"/>
      <c r="F3353" s="465">
        <f t="shared" si="1293"/>
        <v>18</v>
      </c>
      <c r="G3353" s="541">
        <v>18</v>
      </c>
      <c r="H3353" s="497">
        <f t="shared" si="1294"/>
        <v>14.4</v>
      </c>
      <c r="I3353" s="719"/>
      <c r="J3353" s="669" t="s">
        <v>5805</v>
      </c>
      <c r="K3353" s="23"/>
      <c r="L3353" s="70" t="str">
        <f t="shared" si="1295"/>
        <v/>
      </c>
      <c r="M3353" s="49">
        <f t="shared" si="1296"/>
        <v>18</v>
      </c>
      <c r="N3353" s="41">
        <f t="shared" si="1288"/>
        <v>11</v>
      </c>
      <c r="O3353" s="196"/>
      <c r="P3353" s="65"/>
      <c r="Q3353" s="35"/>
      <c r="R3353" s="35"/>
      <c r="S3353" s="228"/>
      <c r="T3353" s="65"/>
      <c r="U3353" s="253" t="s">
        <v>1017</v>
      </c>
      <c r="V3353" s="228"/>
      <c r="W3353" s="35"/>
      <c r="X3353" s="50" t="s">
        <v>1017</v>
      </c>
      <c r="AH3353" s="253" t="s">
        <v>1777</v>
      </c>
      <c r="AK3353" t="str">
        <f t="shared" si="1297"/>
        <v/>
      </c>
      <c r="AL3353" t="str">
        <f t="shared" si="1298"/>
        <v/>
      </c>
      <c r="AM3353" t="str">
        <f t="shared" si="1299"/>
        <v/>
      </c>
      <c r="AN3353" t="str">
        <f t="shared" si="1300"/>
        <v/>
      </c>
      <c r="AO3353" t="str">
        <f t="shared" si="1301"/>
        <v/>
      </c>
      <c r="AP3353" t="str">
        <f t="shared" si="1302"/>
        <v/>
      </c>
      <c r="AQ3353" t="str">
        <f t="shared" si="1303"/>
        <v>E2c</v>
      </c>
      <c r="AR3353" t="str">
        <f t="shared" si="1304"/>
        <v/>
      </c>
      <c r="AS3353" t="str">
        <f t="shared" si="1305"/>
        <v/>
      </c>
      <c r="AT3353" t="str">
        <f t="shared" si="1306"/>
        <v>G3</v>
      </c>
      <c r="AU3353" t="str">
        <f t="shared" si="1307"/>
        <v>E2cG3</v>
      </c>
      <c r="AV3353" s="254" t="str">
        <f t="shared" si="1290"/>
        <v>BiK273E2cG3-12</v>
      </c>
      <c r="AW3353">
        <f t="shared" si="1308"/>
        <v>14</v>
      </c>
      <c r="AX3353" t="str">
        <f t="shared" si="1309"/>
        <v>0,75-5 MW, Bonusregeln E2c, G3</v>
      </c>
      <c r="AY3353" t="str">
        <f t="shared" si="1310"/>
        <v/>
      </c>
    </row>
    <row r="3354" spans="1:51" x14ac:dyDescent="0.25">
      <c r="A3354" s="613" t="str">
        <f>"BiK274"&amp;AU3354&amp;RIGHT("------",6-LEN(AU3354))&amp;RIGHT($M$3278,2)</f>
        <v>BiK274------12</v>
      </c>
      <c r="B3354" s="283" t="s">
        <v>5548</v>
      </c>
      <c r="C3354" s="284" t="str">
        <f t="shared" si="1291"/>
        <v>Inbetriebnahme 2012</v>
      </c>
      <c r="D3354" s="283" t="str">
        <f t="shared" si="1292"/>
        <v>5-20 MW</v>
      </c>
      <c r="E3354" s="283"/>
      <c r="F3354" s="465">
        <f t="shared" si="1293"/>
        <v>6</v>
      </c>
      <c r="G3354" s="541">
        <v>6</v>
      </c>
      <c r="H3354" s="497">
        <f t="shared" si="1294"/>
        <v>4.8</v>
      </c>
      <c r="I3354" s="719"/>
      <c r="J3354" s="669" t="s">
        <v>5805</v>
      </c>
      <c r="K3354" s="23"/>
      <c r="L3354" s="70" t="str">
        <f t="shared" si="1295"/>
        <v/>
      </c>
      <c r="M3354" s="49">
        <f t="shared" si="1296"/>
        <v>6</v>
      </c>
      <c r="N3354" s="41">
        <v>6</v>
      </c>
      <c r="O3354" s="196"/>
      <c r="P3354" s="65"/>
      <c r="Q3354" s="65"/>
      <c r="R3354" s="67"/>
      <c r="S3354" s="65"/>
      <c r="T3354" s="65"/>
      <c r="U3354" s="67"/>
      <c r="V3354" s="65"/>
      <c r="W3354" s="65"/>
      <c r="X3354" s="67"/>
      <c r="AH3354" s="253" t="s">
        <v>1776</v>
      </c>
      <c r="AK3354" t="str">
        <f t="shared" si="1297"/>
        <v/>
      </c>
      <c r="AL3354" t="str">
        <f t="shared" si="1298"/>
        <v/>
      </c>
      <c r="AM3354" t="str">
        <f t="shared" si="1299"/>
        <v/>
      </c>
      <c r="AN3354" t="str">
        <f t="shared" si="1300"/>
        <v/>
      </c>
      <c r="AO3354" t="str">
        <f t="shared" si="1301"/>
        <v/>
      </c>
      <c r="AP3354" t="str">
        <f t="shared" si="1302"/>
        <v/>
      </c>
      <c r="AQ3354" t="str">
        <f t="shared" si="1303"/>
        <v/>
      </c>
      <c r="AR3354" t="str">
        <f t="shared" si="1304"/>
        <v/>
      </c>
      <c r="AS3354" t="str">
        <f t="shared" si="1305"/>
        <v/>
      </c>
      <c r="AT3354" t="str">
        <f t="shared" si="1306"/>
        <v/>
      </c>
      <c r="AU3354" t="str">
        <f t="shared" si="1307"/>
        <v/>
      </c>
      <c r="AV3354" s="254" t="str">
        <f>"BiK274"&amp;AU3354&amp;RIGHT("------",6-LEN(AU3354))&amp;RIGHT($M$3278,2)</f>
        <v>BiK274------12</v>
      </c>
      <c r="AW3354">
        <f t="shared" si="1308"/>
        <v>14</v>
      </c>
      <c r="AX3354" t="str">
        <f t="shared" si="1309"/>
        <v>5-20 MW</v>
      </c>
      <c r="AY3354" t="str">
        <f t="shared" si="1310"/>
        <v/>
      </c>
    </row>
    <row r="3355" spans="1:51" x14ac:dyDescent="0.25">
      <c r="A3355" s="608"/>
      <c r="B3355" s="2"/>
      <c r="C3355" s="1"/>
      <c r="D3355" s="2"/>
      <c r="E3355" s="1"/>
      <c r="F3355" s="442"/>
      <c r="G3355" s="520"/>
      <c r="H3355" s="13"/>
      <c r="I3355" s="692"/>
      <c r="J3355" s="669" t="s">
        <v>4180</v>
      </c>
      <c r="K3355" s="12"/>
      <c r="L3355" s="97"/>
      <c r="M3355" s="15"/>
    </row>
    <row r="3356" spans="1:51" ht="17.25" customHeight="1" x14ac:dyDescent="0.25">
      <c r="A3356" s="609"/>
      <c r="B3356" s="1"/>
      <c r="C3356" s="1"/>
      <c r="D3356" s="2"/>
      <c r="E3356" s="1"/>
      <c r="F3356" s="457"/>
      <c r="G3356" s="532"/>
      <c r="H3356" s="490"/>
      <c r="I3356" s="709"/>
      <c r="J3356" s="669" t="s">
        <v>4180</v>
      </c>
      <c r="K3356" s="29"/>
      <c r="M3356" s="68" t="str">
        <f>"Vergütungsberechnung für Anlagen mit Inbetriebnahmejahr "&amp;M3360</f>
        <v>Vergütungsberechnung für Anlagen mit Inbetriebnahmejahr 2013</v>
      </c>
      <c r="N3356" s="39"/>
      <c r="O3356" s="29"/>
      <c r="P3356" s="29"/>
    </row>
    <row r="3357" spans="1:51" s="238" customFormat="1" ht="39.75" customHeight="1" x14ac:dyDescent="0.25">
      <c r="A3357" s="621"/>
      <c r="B3357" s="230"/>
      <c r="C3357" s="231"/>
      <c r="D3357" s="231"/>
      <c r="E3357" s="232"/>
      <c r="F3357" s="464"/>
      <c r="G3357" s="540"/>
      <c r="H3357" s="496"/>
      <c r="I3357" s="718"/>
      <c r="J3357" s="669" t="s">
        <v>4180</v>
      </c>
      <c r="K3357" s="234"/>
      <c r="L3357" s="234"/>
      <c r="M3357" s="235"/>
      <c r="N3357" s="234"/>
      <c r="O3357" s="1137" t="s">
        <v>1743</v>
      </c>
      <c r="P3357" s="1138"/>
      <c r="Q3357" s="1138"/>
      <c r="R3357" s="1139"/>
      <c r="S3357" s="1137" t="s">
        <v>1744</v>
      </c>
      <c r="T3357" s="1138"/>
      <c r="U3357" s="1139"/>
      <c r="V3357" s="1158" t="s">
        <v>1745</v>
      </c>
      <c r="W3357" s="1159"/>
      <c r="X3357" s="1160"/>
      <c r="Y3357" s="236"/>
      <c r="Z3357" s="237"/>
    </row>
    <row r="3358" spans="1:51" s="238" customFormat="1" ht="57.75" customHeight="1" x14ac:dyDescent="0.2">
      <c r="A3358" s="621"/>
      <c r="B3358" s="230"/>
      <c r="C3358" s="231"/>
      <c r="D3358" s="231"/>
      <c r="E3358" s="232"/>
      <c r="F3358" s="464"/>
      <c r="G3358" s="540"/>
      <c r="H3358" s="496"/>
      <c r="I3358" s="718"/>
      <c r="J3358" s="669" t="s">
        <v>4180</v>
      </c>
      <c r="K3358" s="234"/>
      <c r="L3358" s="234"/>
      <c r="M3358" s="242" t="s">
        <v>2914</v>
      </c>
      <c r="N3358" s="243" t="s">
        <v>511</v>
      </c>
      <c r="O3358" s="246" t="s">
        <v>1762</v>
      </c>
      <c r="P3358" s="244" t="s">
        <v>1759</v>
      </c>
      <c r="Q3358" s="244" t="s">
        <v>1760</v>
      </c>
      <c r="R3358" s="245" t="s">
        <v>1761</v>
      </c>
      <c r="S3358" s="246" t="s">
        <v>1756</v>
      </c>
      <c r="T3358" s="244" t="s">
        <v>1757</v>
      </c>
      <c r="U3358" s="245" t="s">
        <v>1758</v>
      </c>
      <c r="V3358" s="247" t="s">
        <v>1746</v>
      </c>
      <c r="W3358" s="248" t="s">
        <v>1747</v>
      </c>
      <c r="X3358" s="249" t="s">
        <v>1748</v>
      </c>
      <c r="Y3358" s="118" t="s">
        <v>505</v>
      </c>
    </row>
    <row r="3359" spans="1:51" x14ac:dyDescent="0.25">
      <c r="A3359" s="608"/>
      <c r="B3359" s="2"/>
      <c r="C3359" s="22"/>
      <c r="D3359" s="22"/>
      <c r="E3359" s="34"/>
      <c r="F3359" s="456"/>
      <c r="G3359" s="531"/>
      <c r="H3359" s="489"/>
      <c r="I3359" s="708"/>
      <c r="J3359" s="669" t="s">
        <v>4180</v>
      </c>
      <c r="K3359" s="29"/>
      <c r="L3359" s="29"/>
      <c r="M3359" s="46"/>
      <c r="N3359" s="42"/>
      <c r="O3359" s="250" t="s">
        <v>1749</v>
      </c>
      <c r="P3359" s="251" t="s">
        <v>1750</v>
      </c>
      <c r="Q3359" s="251" t="s">
        <v>1751</v>
      </c>
      <c r="R3359" s="251" t="s">
        <v>1752</v>
      </c>
      <c r="S3359" s="250" t="s">
        <v>1753</v>
      </c>
      <c r="T3359" s="251" t="s">
        <v>1754</v>
      </c>
      <c r="U3359" s="252" t="s">
        <v>1755</v>
      </c>
      <c r="V3359" s="250" t="s">
        <v>1740</v>
      </c>
      <c r="W3359" s="251" t="s">
        <v>1741</v>
      </c>
      <c r="X3359" s="252" t="s">
        <v>1742</v>
      </c>
      <c r="Z3359" s="251" t="s">
        <v>1740</v>
      </c>
      <c r="AA3359" s="251" t="s">
        <v>1741</v>
      </c>
      <c r="AB3359" s="251" t="s">
        <v>1742</v>
      </c>
    </row>
    <row r="3360" spans="1:51" x14ac:dyDescent="0.25">
      <c r="A3360" s="609"/>
      <c r="B3360" s="1"/>
      <c r="C3360" s="1"/>
      <c r="D3360" s="2"/>
      <c r="E3360" s="1"/>
      <c r="F3360" s="457"/>
      <c r="G3360" s="532"/>
      <c r="H3360" s="490"/>
      <c r="I3360" s="709"/>
      <c r="J3360" s="669" t="s">
        <v>4180</v>
      </c>
      <c r="L3360" s="71"/>
      <c r="M3360" s="355">
        <v>2013</v>
      </c>
      <c r="N3360" s="40"/>
      <c r="O3360" s="227">
        <v>6</v>
      </c>
      <c r="P3360" s="240">
        <v>5</v>
      </c>
      <c r="Q3360" s="240">
        <v>4</v>
      </c>
      <c r="R3360" s="241">
        <v>2.5</v>
      </c>
      <c r="S3360" s="227">
        <v>8</v>
      </c>
      <c r="T3360" s="240">
        <v>8</v>
      </c>
      <c r="U3360" s="241">
        <v>6</v>
      </c>
      <c r="V3360" s="45">
        <f>ROUND(Z3360,2)</f>
        <v>2.94</v>
      </c>
      <c r="W3360" s="40">
        <f>ROUND(AA3360,2)</f>
        <v>1.96</v>
      </c>
      <c r="X3360" s="52">
        <f>ROUND(AB3360,2)</f>
        <v>0.98</v>
      </c>
      <c r="Y3360" s="345">
        <v>0.02</v>
      </c>
      <c r="Z3360" s="41">
        <f>V3281*(1-$Y$3360)</f>
        <v>2.94</v>
      </c>
      <c r="AA3360" s="41">
        <f>W3281*(1-$Y$3360)</f>
        <v>1.96</v>
      </c>
      <c r="AB3360" s="41">
        <f>X3281*(1-$Y$3360)</f>
        <v>0.98</v>
      </c>
      <c r="AC3360" s="205" t="str">
        <f xml:space="preserve"> "Bonushöhe bei Inbetriebnahme in " &amp; M3360</f>
        <v>Bonushöhe bei Inbetriebnahme in 2013</v>
      </c>
      <c r="AH3360" t="s">
        <v>1749</v>
      </c>
      <c r="AI3360" t="s">
        <v>1750</v>
      </c>
      <c r="AJ3360" t="s">
        <v>1751</v>
      </c>
      <c r="AK3360" t="s">
        <v>1752</v>
      </c>
      <c r="AL3360" t="s">
        <v>1753</v>
      </c>
      <c r="AM3360" t="s">
        <v>1754</v>
      </c>
      <c r="AN3360" t="s">
        <v>1755</v>
      </c>
      <c r="AO3360" t="s">
        <v>1740</v>
      </c>
      <c r="AP3360" t="s">
        <v>1741</v>
      </c>
      <c r="AQ3360" t="s">
        <v>1742</v>
      </c>
      <c r="AR3360" t="s">
        <v>1764</v>
      </c>
      <c r="AS3360" t="s">
        <v>1765</v>
      </c>
      <c r="AT3360" t="s">
        <v>1766</v>
      </c>
      <c r="AU3360" t="s">
        <v>669</v>
      </c>
      <c r="AV3360" t="s">
        <v>1763</v>
      </c>
    </row>
    <row r="3361" spans="1:52" x14ac:dyDescent="0.25">
      <c r="A3361" s="615" t="str">
        <f t="shared" ref="A3361:A3376" si="1311">"BiK270"&amp;AU3361&amp;RIGHT("------",6-LEN(AU3361))&amp;RIGHT($M$3360,2)</f>
        <v>BiK270------13</v>
      </c>
      <c r="B3361" s="372" t="s">
        <v>5548</v>
      </c>
      <c r="C3361" s="375" t="str">
        <f t="shared" ref="C3361:C3392" si="1312">"Inbetriebnahme "&amp;$M$3360</f>
        <v>Inbetriebnahme 2013</v>
      </c>
      <c r="D3361" s="372" t="str">
        <f t="shared" ref="D3361:D3392" si="1313">IF(COUNTA(O3361:X3361)=0,AH3361,AH3361&amp;", Bonusregel"&amp;IF(AND(COUNTA(O3361:U3361)&gt;0,COUNTA(V3361:X3361)&gt;0),"n "&amp;AK3361&amp;AL3361&amp;AM3361&amp;AN3361&amp;AO3361&amp;AP3361&amp;AQ3361&amp;", "&amp;AR3361&amp;AS3361&amp;AT3361," "&amp;AK3361&amp;AL3361&amp;AM3361&amp;AN3361&amp;AO3361&amp;AP3361&amp;AQ3361&amp;AR3361&amp;AS3361&amp;AT3361))</f>
        <v>0-0,15 MW</v>
      </c>
      <c r="E3361" s="372"/>
      <c r="F3361" s="459">
        <f t="shared" ref="F3361:F3392" si="1314">M3361</f>
        <v>14.01</v>
      </c>
      <c r="G3361" s="535">
        <v>14.01</v>
      </c>
      <c r="H3361" s="493">
        <f t="shared" ref="H3361:H3392" si="1315">IF(ISNUMBER(G3361),ROUND(0.8*G3361,2),"")</f>
        <v>11.21</v>
      </c>
      <c r="I3361" s="711"/>
      <c r="J3361" s="669" t="s">
        <v>5805</v>
      </c>
      <c r="K3361" s="23"/>
      <c r="L3361" s="70" t="str">
        <f t="shared" ref="L3361:L3392" si="1316">IF(F3361=M3361,"",FALSE)</f>
        <v/>
      </c>
      <c r="M3361" s="49">
        <f t="shared" ref="M3361:M3392" si="1317">ROUND(N3361,2)+SUMIF(O3361:X3361,"x",$O$3360:$X$3360)</f>
        <v>14.01</v>
      </c>
      <c r="N3361" s="41">
        <f t="shared" ref="N3361:N3392" si="1318">N3282*(1-$Y$3360)</f>
        <v>14.014000000000001</v>
      </c>
      <c r="O3361" s="60"/>
      <c r="P3361" s="65"/>
      <c r="Q3361" s="65"/>
      <c r="R3361" s="65"/>
      <c r="S3361" s="60"/>
      <c r="T3361" s="239"/>
      <c r="U3361" s="65"/>
      <c r="V3361" s="60"/>
      <c r="W3361" s="29"/>
      <c r="X3361" s="62"/>
      <c r="AH3361" s="253" t="s">
        <v>1780</v>
      </c>
      <c r="AK3361" t="str">
        <f t="shared" ref="AK3361:AK3392" si="1319">IF(O3361="x",O$3280,"")</f>
        <v/>
      </c>
      <c r="AL3361" t="str">
        <f t="shared" ref="AL3361:AL3392" si="1320">IF(P3361="x",P$3280,"")</f>
        <v/>
      </c>
      <c r="AM3361" t="str">
        <f t="shared" ref="AM3361:AM3392" si="1321">IF(Q3361="x",Q$3280,"")</f>
        <v/>
      </c>
      <c r="AN3361" t="str">
        <f t="shared" ref="AN3361:AN3392" si="1322">IF(R3361="x",R$3280,"")</f>
        <v/>
      </c>
      <c r="AO3361" t="str">
        <f t="shared" ref="AO3361:AO3392" si="1323">IF(S3361="x",S$3280,"")</f>
        <v/>
      </c>
      <c r="AP3361" t="str">
        <f t="shared" ref="AP3361:AP3392" si="1324">IF(T3361="x",T$3280,"")</f>
        <v/>
      </c>
      <c r="AQ3361" t="str">
        <f t="shared" ref="AQ3361:AQ3392" si="1325">IF(U3361="x",U$3280,"")</f>
        <v/>
      </c>
      <c r="AR3361" t="str">
        <f t="shared" ref="AR3361:AR3392" si="1326">IF(V3361="x",V$3280,"")</f>
        <v/>
      </c>
      <c r="AS3361" t="str">
        <f t="shared" ref="AS3361:AS3392" si="1327">IF(W3361="x",W$3280,"")</f>
        <v/>
      </c>
      <c r="AT3361" t="str">
        <f t="shared" ref="AT3361:AT3392" si="1328">IF(X3361="x",X$3280,"")</f>
        <v/>
      </c>
      <c r="AU3361" t="str">
        <f t="shared" ref="AU3361:AU3392" si="1329">AK3361&amp;AL3361&amp;AM3361&amp;AN3361&amp;AO3361&amp;AP3361&amp;AQ3361&amp;AR3361&amp;AS3361&amp;AT3361</f>
        <v/>
      </c>
      <c r="AV3361" s="254" t="str">
        <f t="shared" ref="AV3361:AV3376" si="1330">"BiK270"&amp;AU3361&amp;RIGHT("------",6-LEN(AU3361))&amp;RIGHT($M$3278,2)</f>
        <v>BiK270------12</v>
      </c>
      <c r="AW3361">
        <f t="shared" ref="AW3361:AW3392" si="1331">LEN(AV3361)</f>
        <v>14</v>
      </c>
      <c r="AX3361" t="str">
        <f t="shared" ref="AX3361:AX3392" si="1332">IF(COUNTA(O3361:X3361)=0,AH3361,AH3361&amp;", Bonusregel"&amp;IF(AND(COUNTA(O3361:U3361)&gt;0,COUNTA(V3361:X3361)&gt;0),"n "&amp;AK3361&amp;AL3361&amp;AM3361&amp;AN3361&amp;AO3361&amp;AP3361&amp;AQ3361&amp;", "&amp;AR3361&amp;AS3361&amp;AT3361," "&amp;AK3361&amp;AL3361&amp;AM3361&amp;AN3361&amp;AO3361&amp;AP3361&amp;AQ3361&amp;AR3361&amp;AS3361&amp;AT3361))</f>
        <v>0-0,15 MW</v>
      </c>
      <c r="AY3361" t="str">
        <f t="shared" ref="AY3361:AY3392" si="1333">IF(COUNTA(O3361:U3361)&gt;1,"Fehler ESVK",IF(COUNTA(V3361:X3361)&gt;1,"Fehler GAB",IF(AW3361&lt;&gt;14,"Fehler Kategorie","")))</f>
        <v/>
      </c>
      <c r="AZ3361" t="str">
        <f>SUBSTITUTE(AU3361,", ","")</f>
        <v/>
      </c>
    </row>
    <row r="3362" spans="1:52" x14ac:dyDescent="0.25">
      <c r="A3362" s="615" t="str">
        <f t="shared" si="1311"/>
        <v>BiK270E1a---13</v>
      </c>
      <c r="B3362" s="372" t="s">
        <v>5548</v>
      </c>
      <c r="C3362" s="375" t="str">
        <f t="shared" si="1312"/>
        <v>Inbetriebnahme 2013</v>
      </c>
      <c r="D3362" s="372" t="str">
        <f t="shared" si="1313"/>
        <v>0-0,15 MW, Bonusregel E1a</v>
      </c>
      <c r="E3362" s="372"/>
      <c r="F3362" s="459">
        <f t="shared" si="1314"/>
        <v>20.009999999999998</v>
      </c>
      <c r="G3362" s="535">
        <v>20.009999999999998</v>
      </c>
      <c r="H3362" s="493">
        <f t="shared" si="1315"/>
        <v>16.010000000000002</v>
      </c>
      <c r="I3362" s="711"/>
      <c r="J3362" s="669" t="s">
        <v>5805</v>
      </c>
      <c r="K3362" s="23"/>
      <c r="L3362" s="70" t="str">
        <f t="shared" si="1316"/>
        <v/>
      </c>
      <c r="M3362" s="49">
        <f t="shared" si="1317"/>
        <v>20.009999999999998</v>
      </c>
      <c r="N3362" s="41">
        <f t="shared" si="1318"/>
        <v>14.014000000000001</v>
      </c>
      <c r="O3362" s="228" t="s">
        <v>1017</v>
      </c>
      <c r="P3362" s="65"/>
      <c r="Q3362" s="65"/>
      <c r="R3362" s="65"/>
      <c r="S3362" s="43"/>
      <c r="T3362" s="35"/>
      <c r="U3362" s="65"/>
      <c r="V3362" s="43"/>
      <c r="W3362" s="35"/>
      <c r="X3362" s="50"/>
      <c r="AH3362" s="253" t="s">
        <v>1780</v>
      </c>
      <c r="AK3362" t="str">
        <f t="shared" si="1319"/>
        <v>E1a</v>
      </c>
      <c r="AL3362" t="str">
        <f t="shared" si="1320"/>
        <v/>
      </c>
      <c r="AM3362" t="str">
        <f t="shared" si="1321"/>
        <v/>
      </c>
      <c r="AN3362" t="str">
        <f t="shared" si="1322"/>
        <v/>
      </c>
      <c r="AO3362" t="str">
        <f t="shared" si="1323"/>
        <v/>
      </c>
      <c r="AP3362" t="str">
        <f t="shared" si="1324"/>
        <v/>
      </c>
      <c r="AQ3362" t="str">
        <f t="shared" si="1325"/>
        <v/>
      </c>
      <c r="AR3362" t="str">
        <f t="shared" si="1326"/>
        <v/>
      </c>
      <c r="AS3362" t="str">
        <f t="shared" si="1327"/>
        <v/>
      </c>
      <c r="AT3362" t="str">
        <f t="shared" si="1328"/>
        <v/>
      </c>
      <c r="AU3362" t="str">
        <f t="shared" si="1329"/>
        <v>E1a</v>
      </c>
      <c r="AV3362" s="254" t="str">
        <f t="shared" si="1330"/>
        <v>BiK270E1a---12</v>
      </c>
      <c r="AW3362">
        <f t="shared" si="1331"/>
        <v>14</v>
      </c>
      <c r="AX3362" t="str">
        <f t="shared" si="1332"/>
        <v>0-0,15 MW, Bonusregel E1a</v>
      </c>
      <c r="AY3362" t="str">
        <f t="shared" si="1333"/>
        <v/>
      </c>
    </row>
    <row r="3363" spans="1:52" x14ac:dyDescent="0.25">
      <c r="A3363" s="615" t="str">
        <f t="shared" si="1311"/>
        <v>BiK270E2a---13</v>
      </c>
      <c r="B3363" s="372" t="s">
        <v>5548</v>
      </c>
      <c r="C3363" s="375" t="str">
        <f t="shared" si="1312"/>
        <v>Inbetriebnahme 2013</v>
      </c>
      <c r="D3363" s="372" t="str">
        <f t="shared" si="1313"/>
        <v>0-0,15 MW, Bonusregel E2a</v>
      </c>
      <c r="E3363" s="372"/>
      <c r="F3363" s="459">
        <f t="shared" si="1314"/>
        <v>22.009999999999998</v>
      </c>
      <c r="G3363" s="535">
        <v>22.009999999999998</v>
      </c>
      <c r="H3363" s="493">
        <f t="shared" si="1315"/>
        <v>17.61</v>
      </c>
      <c r="I3363" s="711"/>
      <c r="J3363" s="669" t="s">
        <v>5805</v>
      </c>
      <c r="K3363" s="23"/>
      <c r="L3363" s="70" t="str">
        <f t="shared" si="1316"/>
        <v/>
      </c>
      <c r="M3363" s="49">
        <f t="shared" si="1317"/>
        <v>22.009999999999998</v>
      </c>
      <c r="N3363" s="41">
        <f t="shared" si="1318"/>
        <v>14.014000000000001</v>
      </c>
      <c r="O3363" s="61"/>
      <c r="P3363" s="65"/>
      <c r="Q3363" s="65"/>
      <c r="R3363" s="65"/>
      <c r="S3363" s="228" t="s">
        <v>1017</v>
      </c>
      <c r="T3363" s="29"/>
      <c r="U3363" s="65"/>
      <c r="V3363" s="61"/>
      <c r="W3363" s="29"/>
      <c r="X3363" s="50"/>
      <c r="AH3363" s="253" t="s">
        <v>1780</v>
      </c>
      <c r="AK3363" t="str">
        <f t="shared" si="1319"/>
        <v/>
      </c>
      <c r="AL3363" t="str">
        <f t="shared" si="1320"/>
        <v/>
      </c>
      <c r="AM3363" t="str">
        <f t="shared" si="1321"/>
        <v/>
      </c>
      <c r="AN3363" t="str">
        <f t="shared" si="1322"/>
        <v/>
      </c>
      <c r="AO3363" t="str">
        <f t="shared" si="1323"/>
        <v>E2a</v>
      </c>
      <c r="AP3363" t="str">
        <f t="shared" si="1324"/>
        <v/>
      </c>
      <c r="AQ3363" t="str">
        <f t="shared" si="1325"/>
        <v/>
      </c>
      <c r="AR3363" t="str">
        <f t="shared" si="1326"/>
        <v/>
      </c>
      <c r="AS3363" t="str">
        <f t="shared" si="1327"/>
        <v/>
      </c>
      <c r="AT3363" t="str">
        <f t="shared" si="1328"/>
        <v/>
      </c>
      <c r="AU3363" t="str">
        <f t="shared" si="1329"/>
        <v>E2a</v>
      </c>
      <c r="AV3363" s="254" t="str">
        <f t="shared" si="1330"/>
        <v>BiK270E2a---12</v>
      </c>
      <c r="AW3363">
        <f t="shared" si="1331"/>
        <v>14</v>
      </c>
      <c r="AX3363" t="str">
        <f t="shared" si="1332"/>
        <v>0-0,15 MW, Bonusregel E2a</v>
      </c>
      <c r="AY3363" t="str">
        <f t="shared" si="1333"/>
        <v/>
      </c>
    </row>
    <row r="3364" spans="1:52" x14ac:dyDescent="0.25">
      <c r="A3364" s="615" t="str">
        <f t="shared" si="1311"/>
        <v>BiK270E2b---13</v>
      </c>
      <c r="B3364" s="372" t="s">
        <v>5548</v>
      </c>
      <c r="C3364" s="375" t="str">
        <f t="shared" si="1312"/>
        <v>Inbetriebnahme 2013</v>
      </c>
      <c r="D3364" s="372" t="str">
        <f t="shared" si="1313"/>
        <v>0-0,15 MW, Bonusregel E2b</v>
      </c>
      <c r="E3364" s="372"/>
      <c r="F3364" s="459">
        <f t="shared" si="1314"/>
        <v>22.009999999999998</v>
      </c>
      <c r="G3364" s="535">
        <v>22.009999999999998</v>
      </c>
      <c r="H3364" s="493">
        <f t="shared" si="1315"/>
        <v>17.61</v>
      </c>
      <c r="I3364" s="711"/>
      <c r="J3364" s="669" t="s">
        <v>5805</v>
      </c>
      <c r="K3364" s="23"/>
      <c r="L3364" s="70" t="str">
        <f t="shared" si="1316"/>
        <v/>
      </c>
      <c r="M3364" s="49">
        <f t="shared" si="1317"/>
        <v>22.009999999999998</v>
      </c>
      <c r="N3364" s="41">
        <f t="shared" si="1318"/>
        <v>14.014000000000001</v>
      </c>
      <c r="O3364" s="43"/>
      <c r="P3364" s="65"/>
      <c r="Q3364" s="65"/>
      <c r="R3364" s="65"/>
      <c r="S3364" s="228"/>
      <c r="T3364" s="253" t="s">
        <v>1017</v>
      </c>
      <c r="U3364" s="65"/>
      <c r="V3364" s="43"/>
      <c r="W3364" s="35"/>
      <c r="X3364" s="50"/>
      <c r="AH3364" s="253" t="s">
        <v>1780</v>
      </c>
      <c r="AK3364" t="str">
        <f t="shared" si="1319"/>
        <v/>
      </c>
      <c r="AL3364" t="str">
        <f t="shared" si="1320"/>
        <v/>
      </c>
      <c r="AM3364" t="str">
        <f t="shared" si="1321"/>
        <v/>
      </c>
      <c r="AN3364" t="str">
        <f t="shared" si="1322"/>
        <v/>
      </c>
      <c r="AO3364" t="str">
        <f t="shared" si="1323"/>
        <v/>
      </c>
      <c r="AP3364" t="str">
        <f t="shared" si="1324"/>
        <v>E2b</v>
      </c>
      <c r="AQ3364" t="str">
        <f t="shared" si="1325"/>
        <v/>
      </c>
      <c r="AR3364" t="str">
        <f t="shared" si="1326"/>
        <v/>
      </c>
      <c r="AS3364" t="str">
        <f t="shared" si="1327"/>
        <v/>
      </c>
      <c r="AT3364" t="str">
        <f t="shared" si="1328"/>
        <v/>
      </c>
      <c r="AU3364" t="str">
        <f t="shared" si="1329"/>
        <v>E2b</v>
      </c>
      <c r="AV3364" s="254" t="str">
        <f t="shared" si="1330"/>
        <v>BiK270E2b---12</v>
      </c>
      <c r="AW3364">
        <f t="shared" si="1331"/>
        <v>14</v>
      </c>
      <c r="AX3364" t="str">
        <f t="shared" si="1332"/>
        <v>0-0,15 MW, Bonusregel E2b</v>
      </c>
      <c r="AY3364" t="str">
        <f t="shared" si="1333"/>
        <v/>
      </c>
    </row>
    <row r="3365" spans="1:52" x14ac:dyDescent="0.25">
      <c r="A3365" s="615" t="str">
        <f t="shared" si="1311"/>
        <v>BiK270G1----13</v>
      </c>
      <c r="B3365" s="372" t="s">
        <v>5548</v>
      </c>
      <c r="C3365" s="375" t="str">
        <f t="shared" si="1312"/>
        <v>Inbetriebnahme 2013</v>
      </c>
      <c r="D3365" s="372" t="str">
        <f t="shared" si="1313"/>
        <v>0-0,15 MW, Bonusregel G1</v>
      </c>
      <c r="E3365" s="372"/>
      <c r="F3365" s="459">
        <f t="shared" si="1314"/>
        <v>16.95</v>
      </c>
      <c r="G3365" s="535">
        <v>16.95</v>
      </c>
      <c r="H3365" s="493">
        <f t="shared" si="1315"/>
        <v>13.56</v>
      </c>
      <c r="I3365" s="711"/>
      <c r="J3365" s="669" t="s">
        <v>5805</v>
      </c>
      <c r="K3365" s="23"/>
      <c r="L3365" s="70" t="str">
        <f t="shared" si="1316"/>
        <v/>
      </c>
      <c r="M3365" s="49">
        <f t="shared" si="1317"/>
        <v>16.95</v>
      </c>
      <c r="N3365" s="41">
        <f t="shared" si="1318"/>
        <v>14.014000000000001</v>
      </c>
      <c r="O3365" s="61"/>
      <c r="P3365" s="65"/>
      <c r="Q3365" s="65"/>
      <c r="R3365" s="65"/>
      <c r="S3365" s="61"/>
      <c r="T3365" s="29"/>
      <c r="U3365" s="65"/>
      <c r="V3365" s="228" t="s">
        <v>1017</v>
      </c>
      <c r="W3365" s="29"/>
      <c r="X3365" s="50"/>
      <c r="AH3365" s="253" t="s">
        <v>1780</v>
      </c>
      <c r="AK3365" t="str">
        <f t="shared" si="1319"/>
        <v/>
      </c>
      <c r="AL3365" t="str">
        <f t="shared" si="1320"/>
        <v/>
      </c>
      <c r="AM3365" t="str">
        <f t="shared" si="1321"/>
        <v/>
      </c>
      <c r="AN3365" t="str">
        <f t="shared" si="1322"/>
        <v/>
      </c>
      <c r="AO3365" t="str">
        <f t="shared" si="1323"/>
        <v/>
      </c>
      <c r="AP3365" t="str">
        <f t="shared" si="1324"/>
        <v/>
      </c>
      <c r="AQ3365" t="str">
        <f t="shared" si="1325"/>
        <v/>
      </c>
      <c r="AR3365" t="str">
        <f t="shared" si="1326"/>
        <v>G1</v>
      </c>
      <c r="AS3365" t="str">
        <f t="shared" si="1327"/>
        <v/>
      </c>
      <c r="AT3365" t="str">
        <f t="shared" si="1328"/>
        <v/>
      </c>
      <c r="AU3365" t="str">
        <f t="shared" si="1329"/>
        <v>G1</v>
      </c>
      <c r="AV3365" s="254" t="str">
        <f t="shared" si="1330"/>
        <v>BiK270G1----12</v>
      </c>
      <c r="AW3365">
        <f t="shared" si="1331"/>
        <v>14</v>
      </c>
      <c r="AX3365" t="str">
        <f t="shared" si="1332"/>
        <v>0-0,15 MW, Bonusregel G1</v>
      </c>
      <c r="AY3365" t="str">
        <f t="shared" si="1333"/>
        <v/>
      </c>
    </row>
    <row r="3366" spans="1:52" x14ac:dyDescent="0.25">
      <c r="A3366" s="615" t="str">
        <f t="shared" si="1311"/>
        <v>BiK270E1aG1-13</v>
      </c>
      <c r="B3366" s="372" t="s">
        <v>5548</v>
      </c>
      <c r="C3366" s="375" t="str">
        <f t="shared" si="1312"/>
        <v>Inbetriebnahme 2013</v>
      </c>
      <c r="D3366" s="372" t="str">
        <f t="shared" si="1313"/>
        <v>0-0,15 MW, Bonusregeln E1a, G1</v>
      </c>
      <c r="E3366" s="372"/>
      <c r="F3366" s="459">
        <f t="shared" si="1314"/>
        <v>22.95</v>
      </c>
      <c r="G3366" s="535">
        <v>22.95</v>
      </c>
      <c r="H3366" s="493">
        <f t="shared" si="1315"/>
        <v>18.36</v>
      </c>
      <c r="I3366" s="711"/>
      <c r="J3366" s="669" t="s">
        <v>5805</v>
      </c>
      <c r="K3366" s="23"/>
      <c r="L3366" s="70" t="str">
        <f t="shared" si="1316"/>
        <v/>
      </c>
      <c r="M3366" s="49">
        <f t="shared" si="1317"/>
        <v>22.95</v>
      </c>
      <c r="N3366" s="41">
        <f t="shared" si="1318"/>
        <v>14.014000000000001</v>
      </c>
      <c r="O3366" s="43" t="s">
        <v>1017</v>
      </c>
      <c r="P3366" s="65"/>
      <c r="Q3366" s="65"/>
      <c r="R3366" s="65"/>
      <c r="S3366" s="228"/>
      <c r="T3366" s="35"/>
      <c r="U3366" s="65"/>
      <c r="V3366" s="228" t="s">
        <v>1017</v>
      </c>
      <c r="W3366" s="35"/>
      <c r="X3366" s="50"/>
      <c r="AH3366" s="253" t="s">
        <v>1780</v>
      </c>
      <c r="AK3366" t="str">
        <f t="shared" si="1319"/>
        <v>E1a</v>
      </c>
      <c r="AL3366" t="str">
        <f t="shared" si="1320"/>
        <v/>
      </c>
      <c r="AM3366" t="str">
        <f t="shared" si="1321"/>
        <v/>
      </c>
      <c r="AN3366" t="str">
        <f t="shared" si="1322"/>
        <v/>
      </c>
      <c r="AO3366" t="str">
        <f t="shared" si="1323"/>
        <v/>
      </c>
      <c r="AP3366" t="str">
        <f t="shared" si="1324"/>
        <v/>
      </c>
      <c r="AQ3366" t="str">
        <f t="shared" si="1325"/>
        <v/>
      </c>
      <c r="AR3366" t="str">
        <f t="shared" si="1326"/>
        <v>G1</v>
      </c>
      <c r="AS3366" t="str">
        <f t="shared" si="1327"/>
        <v/>
      </c>
      <c r="AT3366" t="str">
        <f t="shared" si="1328"/>
        <v/>
      </c>
      <c r="AU3366" t="str">
        <f t="shared" si="1329"/>
        <v>E1aG1</v>
      </c>
      <c r="AV3366" s="254" t="str">
        <f t="shared" si="1330"/>
        <v>BiK270E1aG1-12</v>
      </c>
      <c r="AW3366">
        <f t="shared" si="1331"/>
        <v>14</v>
      </c>
      <c r="AX3366" t="str">
        <f t="shared" si="1332"/>
        <v>0-0,15 MW, Bonusregeln E1a, G1</v>
      </c>
      <c r="AY3366" t="str">
        <f t="shared" si="1333"/>
        <v/>
      </c>
    </row>
    <row r="3367" spans="1:52" x14ac:dyDescent="0.25">
      <c r="A3367" s="615" t="str">
        <f t="shared" si="1311"/>
        <v>BiK270E2aG1-13</v>
      </c>
      <c r="B3367" s="372" t="s">
        <v>5548</v>
      </c>
      <c r="C3367" s="375" t="str">
        <f t="shared" si="1312"/>
        <v>Inbetriebnahme 2013</v>
      </c>
      <c r="D3367" s="372" t="str">
        <f t="shared" si="1313"/>
        <v>0-0,15 MW, Bonusregeln E2a, G1</v>
      </c>
      <c r="E3367" s="372"/>
      <c r="F3367" s="459">
        <f t="shared" si="1314"/>
        <v>24.95</v>
      </c>
      <c r="G3367" s="535">
        <v>24.95</v>
      </c>
      <c r="H3367" s="493">
        <f t="shared" si="1315"/>
        <v>19.96</v>
      </c>
      <c r="I3367" s="711"/>
      <c r="J3367" s="669" t="s">
        <v>5805</v>
      </c>
      <c r="K3367" s="23"/>
      <c r="L3367" s="70" t="str">
        <f t="shared" si="1316"/>
        <v/>
      </c>
      <c r="M3367" s="49">
        <f t="shared" si="1317"/>
        <v>24.95</v>
      </c>
      <c r="N3367" s="41">
        <f t="shared" si="1318"/>
        <v>14.014000000000001</v>
      </c>
      <c r="O3367" s="43"/>
      <c r="P3367" s="65"/>
      <c r="Q3367" s="65"/>
      <c r="R3367" s="65"/>
      <c r="S3367" s="228" t="s">
        <v>1017</v>
      </c>
      <c r="T3367" s="35"/>
      <c r="U3367" s="65"/>
      <c r="V3367" s="228" t="s">
        <v>1017</v>
      </c>
      <c r="W3367" s="35"/>
      <c r="X3367" s="50"/>
      <c r="AH3367" s="253" t="s">
        <v>1780</v>
      </c>
      <c r="AK3367" t="str">
        <f t="shared" si="1319"/>
        <v/>
      </c>
      <c r="AL3367" t="str">
        <f t="shared" si="1320"/>
        <v/>
      </c>
      <c r="AM3367" t="str">
        <f t="shared" si="1321"/>
        <v/>
      </c>
      <c r="AN3367" t="str">
        <f t="shared" si="1322"/>
        <v/>
      </c>
      <c r="AO3367" t="str">
        <f t="shared" si="1323"/>
        <v>E2a</v>
      </c>
      <c r="AP3367" t="str">
        <f t="shared" si="1324"/>
        <v/>
      </c>
      <c r="AQ3367" t="str">
        <f t="shared" si="1325"/>
        <v/>
      </c>
      <c r="AR3367" t="str">
        <f t="shared" si="1326"/>
        <v>G1</v>
      </c>
      <c r="AS3367" t="str">
        <f t="shared" si="1327"/>
        <v/>
      </c>
      <c r="AT3367" t="str">
        <f t="shared" si="1328"/>
        <v/>
      </c>
      <c r="AU3367" t="str">
        <f t="shared" si="1329"/>
        <v>E2aG1</v>
      </c>
      <c r="AV3367" s="254" t="str">
        <f t="shared" si="1330"/>
        <v>BiK270E2aG1-12</v>
      </c>
      <c r="AW3367">
        <f t="shared" si="1331"/>
        <v>14</v>
      </c>
      <c r="AX3367" t="str">
        <f t="shared" si="1332"/>
        <v>0-0,15 MW, Bonusregeln E2a, G1</v>
      </c>
      <c r="AY3367" t="str">
        <f t="shared" si="1333"/>
        <v/>
      </c>
    </row>
    <row r="3368" spans="1:52" x14ac:dyDescent="0.25">
      <c r="A3368" s="615" t="str">
        <f t="shared" si="1311"/>
        <v>BiK270E2bG1-13</v>
      </c>
      <c r="B3368" s="372" t="s">
        <v>5548</v>
      </c>
      <c r="C3368" s="375" t="str">
        <f t="shared" si="1312"/>
        <v>Inbetriebnahme 2013</v>
      </c>
      <c r="D3368" s="372" t="str">
        <f t="shared" si="1313"/>
        <v>0-0,15 MW, Bonusregeln E2b, G1</v>
      </c>
      <c r="E3368" s="372"/>
      <c r="F3368" s="459">
        <f t="shared" si="1314"/>
        <v>24.95</v>
      </c>
      <c r="G3368" s="535">
        <v>24.95</v>
      </c>
      <c r="H3368" s="493">
        <f t="shared" si="1315"/>
        <v>19.96</v>
      </c>
      <c r="I3368" s="711"/>
      <c r="J3368" s="669" t="s">
        <v>5805</v>
      </c>
      <c r="K3368" s="23"/>
      <c r="L3368" s="70" t="str">
        <f t="shared" si="1316"/>
        <v/>
      </c>
      <c r="M3368" s="49">
        <f t="shared" si="1317"/>
        <v>24.95</v>
      </c>
      <c r="N3368" s="41">
        <f t="shared" si="1318"/>
        <v>14.014000000000001</v>
      </c>
      <c r="O3368" s="43"/>
      <c r="P3368" s="65"/>
      <c r="Q3368" s="65"/>
      <c r="R3368" s="65"/>
      <c r="S3368" s="228"/>
      <c r="T3368" s="35" t="s">
        <v>1017</v>
      </c>
      <c r="U3368" s="65"/>
      <c r="V3368" s="228" t="s">
        <v>1017</v>
      </c>
      <c r="W3368" s="35"/>
      <c r="X3368" s="50"/>
      <c r="AH3368" s="253" t="s">
        <v>1780</v>
      </c>
      <c r="AK3368" t="str">
        <f t="shared" si="1319"/>
        <v/>
      </c>
      <c r="AL3368" t="str">
        <f t="shared" si="1320"/>
        <v/>
      </c>
      <c r="AM3368" t="str">
        <f t="shared" si="1321"/>
        <v/>
      </c>
      <c r="AN3368" t="str">
        <f t="shared" si="1322"/>
        <v/>
      </c>
      <c r="AO3368" t="str">
        <f t="shared" si="1323"/>
        <v/>
      </c>
      <c r="AP3368" t="str">
        <f t="shared" si="1324"/>
        <v>E2b</v>
      </c>
      <c r="AQ3368" t="str">
        <f t="shared" si="1325"/>
        <v/>
      </c>
      <c r="AR3368" t="str">
        <f t="shared" si="1326"/>
        <v>G1</v>
      </c>
      <c r="AS3368" t="str">
        <f t="shared" si="1327"/>
        <v/>
      </c>
      <c r="AT3368" t="str">
        <f t="shared" si="1328"/>
        <v/>
      </c>
      <c r="AU3368" t="str">
        <f t="shared" si="1329"/>
        <v>E2bG1</v>
      </c>
      <c r="AV3368" s="254" t="str">
        <f t="shared" si="1330"/>
        <v>BiK270E2bG1-12</v>
      </c>
      <c r="AW3368">
        <f t="shared" si="1331"/>
        <v>14</v>
      </c>
      <c r="AX3368" t="str">
        <f t="shared" si="1332"/>
        <v>0-0,15 MW, Bonusregeln E2b, G1</v>
      </c>
      <c r="AY3368" t="str">
        <f t="shared" si="1333"/>
        <v/>
      </c>
    </row>
    <row r="3369" spans="1:52" x14ac:dyDescent="0.25">
      <c r="A3369" s="615" t="str">
        <f t="shared" si="1311"/>
        <v>BiK270G2----13</v>
      </c>
      <c r="B3369" s="372" t="s">
        <v>5548</v>
      </c>
      <c r="C3369" s="375" t="str">
        <f t="shared" si="1312"/>
        <v>Inbetriebnahme 2013</v>
      </c>
      <c r="D3369" s="372" t="str">
        <f t="shared" si="1313"/>
        <v>0-0,15 MW, Bonusregel G2</v>
      </c>
      <c r="E3369" s="372"/>
      <c r="F3369" s="459">
        <f t="shared" si="1314"/>
        <v>15.969999999999999</v>
      </c>
      <c r="G3369" s="535">
        <v>15.969999999999999</v>
      </c>
      <c r="H3369" s="493">
        <f t="shared" si="1315"/>
        <v>12.78</v>
      </c>
      <c r="I3369" s="711"/>
      <c r="J3369" s="669" t="s">
        <v>5805</v>
      </c>
      <c r="K3369" s="23"/>
      <c r="L3369" s="70" t="str">
        <f t="shared" si="1316"/>
        <v/>
      </c>
      <c r="M3369" s="49">
        <f t="shared" si="1317"/>
        <v>15.969999999999999</v>
      </c>
      <c r="N3369" s="41">
        <f t="shared" si="1318"/>
        <v>14.014000000000001</v>
      </c>
      <c r="O3369" s="61"/>
      <c r="P3369" s="65"/>
      <c r="Q3369" s="65"/>
      <c r="R3369" s="65"/>
      <c r="S3369" s="61"/>
      <c r="T3369" s="29"/>
      <c r="U3369" s="65"/>
      <c r="V3369" s="228"/>
      <c r="W3369" s="253" t="s">
        <v>1017</v>
      </c>
      <c r="X3369" s="50"/>
      <c r="AH3369" s="253" t="s">
        <v>1780</v>
      </c>
      <c r="AK3369" t="str">
        <f t="shared" si="1319"/>
        <v/>
      </c>
      <c r="AL3369" t="str">
        <f t="shared" si="1320"/>
        <v/>
      </c>
      <c r="AM3369" t="str">
        <f t="shared" si="1321"/>
        <v/>
      </c>
      <c r="AN3369" t="str">
        <f t="shared" si="1322"/>
        <v/>
      </c>
      <c r="AO3369" t="str">
        <f t="shared" si="1323"/>
        <v/>
      </c>
      <c r="AP3369" t="str">
        <f t="shared" si="1324"/>
        <v/>
      </c>
      <c r="AQ3369" t="str">
        <f t="shared" si="1325"/>
        <v/>
      </c>
      <c r="AR3369" t="str">
        <f t="shared" si="1326"/>
        <v/>
      </c>
      <c r="AS3369" t="str">
        <f t="shared" si="1327"/>
        <v>G2</v>
      </c>
      <c r="AT3369" t="str">
        <f t="shared" si="1328"/>
        <v/>
      </c>
      <c r="AU3369" t="str">
        <f t="shared" si="1329"/>
        <v>G2</v>
      </c>
      <c r="AV3369" s="254" t="str">
        <f t="shared" si="1330"/>
        <v>BiK270G2----12</v>
      </c>
      <c r="AW3369">
        <f t="shared" si="1331"/>
        <v>14</v>
      </c>
      <c r="AX3369" t="str">
        <f t="shared" si="1332"/>
        <v>0-0,15 MW, Bonusregel G2</v>
      </c>
      <c r="AY3369" t="str">
        <f t="shared" si="1333"/>
        <v/>
      </c>
    </row>
    <row r="3370" spans="1:52" x14ac:dyDescent="0.25">
      <c r="A3370" s="615" t="str">
        <f t="shared" si="1311"/>
        <v>BiK270E1aG2-13</v>
      </c>
      <c r="B3370" s="372" t="s">
        <v>5548</v>
      </c>
      <c r="C3370" s="375" t="str">
        <f t="shared" si="1312"/>
        <v>Inbetriebnahme 2013</v>
      </c>
      <c r="D3370" s="372" t="str">
        <f t="shared" si="1313"/>
        <v>0-0,15 MW, Bonusregeln E1a, G2</v>
      </c>
      <c r="E3370" s="372"/>
      <c r="F3370" s="459">
        <f t="shared" si="1314"/>
        <v>21.97</v>
      </c>
      <c r="G3370" s="535">
        <v>21.97</v>
      </c>
      <c r="H3370" s="493">
        <f t="shared" si="1315"/>
        <v>17.579999999999998</v>
      </c>
      <c r="I3370" s="711"/>
      <c r="J3370" s="669" t="s">
        <v>5805</v>
      </c>
      <c r="K3370" s="23"/>
      <c r="L3370" s="70" t="str">
        <f t="shared" si="1316"/>
        <v/>
      </c>
      <c r="M3370" s="49">
        <f t="shared" si="1317"/>
        <v>21.97</v>
      </c>
      <c r="N3370" s="41">
        <f t="shared" si="1318"/>
        <v>14.014000000000001</v>
      </c>
      <c r="O3370" s="43" t="s">
        <v>1017</v>
      </c>
      <c r="P3370" s="65"/>
      <c r="Q3370" s="65"/>
      <c r="R3370" s="65"/>
      <c r="S3370" s="228"/>
      <c r="T3370" s="35"/>
      <c r="U3370" s="65"/>
      <c r="V3370" s="228"/>
      <c r="W3370" s="253" t="s">
        <v>1017</v>
      </c>
      <c r="X3370" s="50"/>
      <c r="AH3370" s="253" t="s">
        <v>1780</v>
      </c>
      <c r="AK3370" t="str">
        <f t="shared" si="1319"/>
        <v>E1a</v>
      </c>
      <c r="AL3370" t="str">
        <f t="shared" si="1320"/>
        <v/>
      </c>
      <c r="AM3370" t="str">
        <f t="shared" si="1321"/>
        <v/>
      </c>
      <c r="AN3370" t="str">
        <f t="shared" si="1322"/>
        <v/>
      </c>
      <c r="AO3370" t="str">
        <f t="shared" si="1323"/>
        <v/>
      </c>
      <c r="AP3370" t="str">
        <f t="shared" si="1324"/>
        <v/>
      </c>
      <c r="AQ3370" t="str">
        <f t="shared" si="1325"/>
        <v/>
      </c>
      <c r="AR3370" t="str">
        <f t="shared" si="1326"/>
        <v/>
      </c>
      <c r="AS3370" t="str">
        <f t="shared" si="1327"/>
        <v>G2</v>
      </c>
      <c r="AT3370" t="str">
        <f t="shared" si="1328"/>
        <v/>
      </c>
      <c r="AU3370" t="str">
        <f t="shared" si="1329"/>
        <v>E1aG2</v>
      </c>
      <c r="AV3370" s="254" t="str">
        <f t="shared" si="1330"/>
        <v>BiK270E1aG2-12</v>
      </c>
      <c r="AW3370">
        <f t="shared" si="1331"/>
        <v>14</v>
      </c>
      <c r="AX3370" t="str">
        <f t="shared" si="1332"/>
        <v>0-0,15 MW, Bonusregeln E1a, G2</v>
      </c>
      <c r="AY3370" t="str">
        <f t="shared" si="1333"/>
        <v/>
      </c>
    </row>
    <row r="3371" spans="1:52" x14ac:dyDescent="0.25">
      <c r="A3371" s="615" t="str">
        <f t="shared" si="1311"/>
        <v>BiK270E2aG2-13</v>
      </c>
      <c r="B3371" s="372" t="s">
        <v>5548</v>
      </c>
      <c r="C3371" s="375" t="str">
        <f t="shared" si="1312"/>
        <v>Inbetriebnahme 2013</v>
      </c>
      <c r="D3371" s="372" t="str">
        <f t="shared" si="1313"/>
        <v>0-0,15 MW, Bonusregeln E2a, G2</v>
      </c>
      <c r="E3371" s="372"/>
      <c r="F3371" s="459">
        <f t="shared" si="1314"/>
        <v>23.97</v>
      </c>
      <c r="G3371" s="535">
        <v>23.97</v>
      </c>
      <c r="H3371" s="493">
        <f t="shared" si="1315"/>
        <v>19.18</v>
      </c>
      <c r="I3371" s="711"/>
      <c r="J3371" s="669" t="s">
        <v>5805</v>
      </c>
      <c r="K3371" s="23"/>
      <c r="L3371" s="70" t="str">
        <f t="shared" si="1316"/>
        <v/>
      </c>
      <c r="M3371" s="49">
        <f t="shared" si="1317"/>
        <v>23.97</v>
      </c>
      <c r="N3371" s="41">
        <f t="shared" si="1318"/>
        <v>14.014000000000001</v>
      </c>
      <c r="O3371" s="43"/>
      <c r="P3371" s="65"/>
      <c r="Q3371" s="65"/>
      <c r="R3371" s="65"/>
      <c r="S3371" s="228" t="s">
        <v>1017</v>
      </c>
      <c r="T3371" s="35"/>
      <c r="U3371" s="65"/>
      <c r="V3371" s="228"/>
      <c r="W3371" s="253" t="s">
        <v>1017</v>
      </c>
      <c r="X3371" s="50"/>
      <c r="AH3371" s="253" t="s">
        <v>1780</v>
      </c>
      <c r="AK3371" t="str">
        <f t="shared" si="1319"/>
        <v/>
      </c>
      <c r="AL3371" t="str">
        <f t="shared" si="1320"/>
        <v/>
      </c>
      <c r="AM3371" t="str">
        <f t="shared" si="1321"/>
        <v/>
      </c>
      <c r="AN3371" t="str">
        <f t="shared" si="1322"/>
        <v/>
      </c>
      <c r="AO3371" t="str">
        <f t="shared" si="1323"/>
        <v>E2a</v>
      </c>
      <c r="AP3371" t="str">
        <f t="shared" si="1324"/>
        <v/>
      </c>
      <c r="AQ3371" t="str">
        <f t="shared" si="1325"/>
        <v/>
      </c>
      <c r="AR3371" t="str">
        <f t="shared" si="1326"/>
        <v/>
      </c>
      <c r="AS3371" t="str">
        <f t="shared" si="1327"/>
        <v>G2</v>
      </c>
      <c r="AT3371" t="str">
        <f t="shared" si="1328"/>
        <v/>
      </c>
      <c r="AU3371" t="str">
        <f t="shared" si="1329"/>
        <v>E2aG2</v>
      </c>
      <c r="AV3371" s="254" t="str">
        <f t="shared" si="1330"/>
        <v>BiK270E2aG2-12</v>
      </c>
      <c r="AW3371">
        <f t="shared" si="1331"/>
        <v>14</v>
      </c>
      <c r="AX3371" t="str">
        <f t="shared" si="1332"/>
        <v>0-0,15 MW, Bonusregeln E2a, G2</v>
      </c>
      <c r="AY3371" t="str">
        <f t="shared" si="1333"/>
        <v/>
      </c>
    </row>
    <row r="3372" spans="1:52" x14ac:dyDescent="0.25">
      <c r="A3372" s="615" t="str">
        <f t="shared" si="1311"/>
        <v>BiK270E2bG2-13</v>
      </c>
      <c r="B3372" s="372" t="s">
        <v>5548</v>
      </c>
      <c r="C3372" s="375" t="str">
        <f t="shared" si="1312"/>
        <v>Inbetriebnahme 2013</v>
      </c>
      <c r="D3372" s="372" t="str">
        <f t="shared" si="1313"/>
        <v>0-0,15 MW, Bonusregeln E2b, G2</v>
      </c>
      <c r="E3372" s="372"/>
      <c r="F3372" s="459">
        <f t="shared" si="1314"/>
        <v>23.97</v>
      </c>
      <c r="G3372" s="535">
        <v>23.97</v>
      </c>
      <c r="H3372" s="493">
        <f t="shared" si="1315"/>
        <v>19.18</v>
      </c>
      <c r="I3372" s="711"/>
      <c r="J3372" s="669" t="s">
        <v>5805</v>
      </c>
      <c r="K3372" s="23"/>
      <c r="L3372" s="70" t="str">
        <f t="shared" si="1316"/>
        <v/>
      </c>
      <c r="M3372" s="49">
        <f t="shared" si="1317"/>
        <v>23.97</v>
      </c>
      <c r="N3372" s="41">
        <f t="shared" si="1318"/>
        <v>14.014000000000001</v>
      </c>
      <c r="O3372" s="43"/>
      <c r="P3372" s="65"/>
      <c r="Q3372" s="65"/>
      <c r="R3372" s="65"/>
      <c r="S3372" s="228"/>
      <c r="T3372" s="35" t="s">
        <v>1017</v>
      </c>
      <c r="U3372" s="65"/>
      <c r="V3372" s="228"/>
      <c r="W3372" s="253" t="s">
        <v>1017</v>
      </c>
      <c r="X3372" s="50"/>
      <c r="AH3372" s="253" t="s">
        <v>1780</v>
      </c>
      <c r="AK3372" t="str">
        <f t="shared" si="1319"/>
        <v/>
      </c>
      <c r="AL3372" t="str">
        <f t="shared" si="1320"/>
        <v/>
      </c>
      <c r="AM3372" t="str">
        <f t="shared" si="1321"/>
        <v/>
      </c>
      <c r="AN3372" t="str">
        <f t="shared" si="1322"/>
        <v/>
      </c>
      <c r="AO3372" t="str">
        <f t="shared" si="1323"/>
        <v/>
      </c>
      <c r="AP3372" t="str">
        <f t="shared" si="1324"/>
        <v>E2b</v>
      </c>
      <c r="AQ3372" t="str">
        <f t="shared" si="1325"/>
        <v/>
      </c>
      <c r="AR3372" t="str">
        <f t="shared" si="1326"/>
        <v/>
      </c>
      <c r="AS3372" t="str">
        <f t="shared" si="1327"/>
        <v>G2</v>
      </c>
      <c r="AT3372" t="str">
        <f t="shared" si="1328"/>
        <v/>
      </c>
      <c r="AU3372" t="str">
        <f t="shared" si="1329"/>
        <v>E2bG2</v>
      </c>
      <c r="AV3372" s="254" t="str">
        <f t="shared" si="1330"/>
        <v>BiK270E2bG2-12</v>
      </c>
      <c r="AW3372">
        <f t="shared" si="1331"/>
        <v>14</v>
      </c>
      <c r="AX3372" t="str">
        <f t="shared" si="1332"/>
        <v>0-0,15 MW, Bonusregeln E2b, G2</v>
      </c>
      <c r="AY3372" t="str">
        <f t="shared" si="1333"/>
        <v/>
      </c>
    </row>
    <row r="3373" spans="1:52" x14ac:dyDescent="0.25">
      <c r="A3373" s="615" t="str">
        <f t="shared" si="1311"/>
        <v>BiK270G3----13</v>
      </c>
      <c r="B3373" s="372" t="s">
        <v>5548</v>
      </c>
      <c r="C3373" s="375" t="str">
        <f t="shared" si="1312"/>
        <v>Inbetriebnahme 2013</v>
      </c>
      <c r="D3373" s="372" t="str">
        <f t="shared" si="1313"/>
        <v>0-0,15 MW, Bonusregel G3</v>
      </c>
      <c r="E3373" s="372"/>
      <c r="F3373" s="459">
        <f t="shared" si="1314"/>
        <v>14.99</v>
      </c>
      <c r="G3373" s="535">
        <v>14.99</v>
      </c>
      <c r="H3373" s="493">
        <f t="shared" si="1315"/>
        <v>11.99</v>
      </c>
      <c r="I3373" s="711"/>
      <c r="J3373" s="669" t="s">
        <v>5805</v>
      </c>
      <c r="K3373" s="23"/>
      <c r="L3373" s="70" t="str">
        <f t="shared" si="1316"/>
        <v/>
      </c>
      <c r="M3373" s="49">
        <f t="shared" si="1317"/>
        <v>14.99</v>
      </c>
      <c r="N3373" s="41">
        <f t="shared" si="1318"/>
        <v>14.014000000000001</v>
      </c>
      <c r="O3373" s="61"/>
      <c r="P3373" s="65"/>
      <c r="Q3373" s="65"/>
      <c r="R3373" s="65"/>
      <c r="S3373" s="61"/>
      <c r="T3373" s="29"/>
      <c r="U3373" s="65"/>
      <c r="V3373" s="228"/>
      <c r="W3373" s="35"/>
      <c r="X3373" s="50" t="s">
        <v>1017</v>
      </c>
      <c r="AH3373" s="253" t="s">
        <v>1780</v>
      </c>
      <c r="AK3373" t="str">
        <f t="shared" si="1319"/>
        <v/>
      </c>
      <c r="AL3373" t="str">
        <f t="shared" si="1320"/>
        <v/>
      </c>
      <c r="AM3373" t="str">
        <f t="shared" si="1321"/>
        <v/>
      </c>
      <c r="AN3373" t="str">
        <f t="shared" si="1322"/>
        <v/>
      </c>
      <c r="AO3373" t="str">
        <f t="shared" si="1323"/>
        <v/>
      </c>
      <c r="AP3373" t="str">
        <f t="shared" si="1324"/>
        <v/>
      </c>
      <c r="AQ3373" t="str">
        <f t="shared" si="1325"/>
        <v/>
      </c>
      <c r="AR3373" t="str">
        <f t="shared" si="1326"/>
        <v/>
      </c>
      <c r="AS3373" t="str">
        <f t="shared" si="1327"/>
        <v/>
      </c>
      <c r="AT3373" t="str">
        <f t="shared" si="1328"/>
        <v>G3</v>
      </c>
      <c r="AU3373" t="str">
        <f t="shared" si="1329"/>
        <v>G3</v>
      </c>
      <c r="AV3373" s="254" t="str">
        <f t="shared" si="1330"/>
        <v>BiK270G3----12</v>
      </c>
      <c r="AW3373">
        <f t="shared" si="1331"/>
        <v>14</v>
      </c>
      <c r="AX3373" t="str">
        <f t="shared" si="1332"/>
        <v>0-0,15 MW, Bonusregel G3</v>
      </c>
      <c r="AY3373" t="str">
        <f t="shared" si="1333"/>
        <v/>
      </c>
    </row>
    <row r="3374" spans="1:52" x14ac:dyDescent="0.25">
      <c r="A3374" s="615" t="str">
        <f t="shared" si="1311"/>
        <v>BiK270E1aG3-13</v>
      </c>
      <c r="B3374" s="372" t="s">
        <v>5548</v>
      </c>
      <c r="C3374" s="375" t="str">
        <f t="shared" si="1312"/>
        <v>Inbetriebnahme 2013</v>
      </c>
      <c r="D3374" s="372" t="str">
        <f t="shared" si="1313"/>
        <v>0-0,15 MW, Bonusregeln E1a, G3</v>
      </c>
      <c r="E3374" s="372"/>
      <c r="F3374" s="459">
        <f t="shared" si="1314"/>
        <v>20.990000000000002</v>
      </c>
      <c r="G3374" s="535">
        <v>20.990000000000002</v>
      </c>
      <c r="H3374" s="493">
        <f t="shared" si="1315"/>
        <v>16.79</v>
      </c>
      <c r="I3374" s="711"/>
      <c r="J3374" s="669" t="s">
        <v>5805</v>
      </c>
      <c r="K3374" s="23"/>
      <c r="L3374" s="70" t="str">
        <f t="shared" si="1316"/>
        <v/>
      </c>
      <c r="M3374" s="49">
        <f t="shared" si="1317"/>
        <v>20.990000000000002</v>
      </c>
      <c r="N3374" s="41">
        <f t="shared" si="1318"/>
        <v>14.014000000000001</v>
      </c>
      <c r="O3374" s="43" t="s">
        <v>1017</v>
      </c>
      <c r="P3374" s="65"/>
      <c r="Q3374" s="65"/>
      <c r="R3374" s="65"/>
      <c r="S3374" s="228"/>
      <c r="T3374" s="35"/>
      <c r="U3374" s="65"/>
      <c r="V3374" s="228"/>
      <c r="W3374" s="35"/>
      <c r="X3374" s="50" t="s">
        <v>1017</v>
      </c>
      <c r="AH3374" s="253" t="s">
        <v>1780</v>
      </c>
      <c r="AK3374" t="str">
        <f t="shared" si="1319"/>
        <v>E1a</v>
      </c>
      <c r="AL3374" t="str">
        <f t="shared" si="1320"/>
        <v/>
      </c>
      <c r="AM3374" t="str">
        <f t="shared" si="1321"/>
        <v/>
      </c>
      <c r="AN3374" t="str">
        <f t="shared" si="1322"/>
        <v/>
      </c>
      <c r="AO3374" t="str">
        <f t="shared" si="1323"/>
        <v/>
      </c>
      <c r="AP3374" t="str">
        <f t="shared" si="1324"/>
        <v/>
      </c>
      <c r="AQ3374" t="str">
        <f t="shared" si="1325"/>
        <v/>
      </c>
      <c r="AR3374" t="str">
        <f t="shared" si="1326"/>
        <v/>
      </c>
      <c r="AS3374" t="str">
        <f t="shared" si="1327"/>
        <v/>
      </c>
      <c r="AT3374" t="str">
        <f t="shared" si="1328"/>
        <v>G3</v>
      </c>
      <c r="AU3374" t="str">
        <f t="shared" si="1329"/>
        <v>E1aG3</v>
      </c>
      <c r="AV3374" s="254" t="str">
        <f t="shared" si="1330"/>
        <v>BiK270E1aG3-12</v>
      </c>
      <c r="AW3374">
        <f t="shared" si="1331"/>
        <v>14</v>
      </c>
      <c r="AX3374" t="str">
        <f t="shared" si="1332"/>
        <v>0-0,15 MW, Bonusregeln E1a, G3</v>
      </c>
      <c r="AY3374" t="str">
        <f t="shared" si="1333"/>
        <v/>
      </c>
    </row>
    <row r="3375" spans="1:52" x14ac:dyDescent="0.25">
      <c r="A3375" s="615" t="str">
        <f t="shared" si="1311"/>
        <v>BiK270E2aG3-13</v>
      </c>
      <c r="B3375" s="372" t="s">
        <v>5548</v>
      </c>
      <c r="C3375" s="375" t="str">
        <f t="shared" si="1312"/>
        <v>Inbetriebnahme 2013</v>
      </c>
      <c r="D3375" s="372" t="str">
        <f t="shared" si="1313"/>
        <v>0-0,15 MW, Bonusregeln E2a, G3</v>
      </c>
      <c r="E3375" s="372"/>
      <c r="F3375" s="459">
        <f t="shared" si="1314"/>
        <v>22.990000000000002</v>
      </c>
      <c r="G3375" s="535">
        <v>22.990000000000002</v>
      </c>
      <c r="H3375" s="493">
        <f t="shared" si="1315"/>
        <v>18.39</v>
      </c>
      <c r="I3375" s="711"/>
      <c r="J3375" s="669" t="s">
        <v>5805</v>
      </c>
      <c r="K3375" s="23"/>
      <c r="L3375" s="70" t="str">
        <f t="shared" si="1316"/>
        <v/>
      </c>
      <c r="M3375" s="49">
        <f t="shared" si="1317"/>
        <v>22.990000000000002</v>
      </c>
      <c r="N3375" s="41">
        <f t="shared" si="1318"/>
        <v>14.014000000000001</v>
      </c>
      <c r="O3375" s="43"/>
      <c r="P3375" s="65"/>
      <c r="Q3375" s="65"/>
      <c r="R3375" s="65"/>
      <c r="S3375" s="228" t="s">
        <v>1017</v>
      </c>
      <c r="T3375" s="35"/>
      <c r="U3375" s="65"/>
      <c r="V3375" s="228"/>
      <c r="W3375" s="35"/>
      <c r="X3375" s="50" t="s">
        <v>1017</v>
      </c>
      <c r="AH3375" s="253" t="s">
        <v>1780</v>
      </c>
      <c r="AK3375" t="str">
        <f t="shared" si="1319"/>
        <v/>
      </c>
      <c r="AL3375" t="str">
        <f t="shared" si="1320"/>
        <v/>
      </c>
      <c r="AM3375" t="str">
        <f t="shared" si="1321"/>
        <v/>
      </c>
      <c r="AN3375" t="str">
        <f t="shared" si="1322"/>
        <v/>
      </c>
      <c r="AO3375" t="str">
        <f t="shared" si="1323"/>
        <v>E2a</v>
      </c>
      <c r="AP3375" t="str">
        <f t="shared" si="1324"/>
        <v/>
      </c>
      <c r="AQ3375" t="str">
        <f t="shared" si="1325"/>
        <v/>
      </c>
      <c r="AR3375" t="str">
        <f t="shared" si="1326"/>
        <v/>
      </c>
      <c r="AS3375" t="str">
        <f t="shared" si="1327"/>
        <v/>
      </c>
      <c r="AT3375" t="str">
        <f t="shared" si="1328"/>
        <v>G3</v>
      </c>
      <c r="AU3375" t="str">
        <f t="shared" si="1329"/>
        <v>E2aG3</v>
      </c>
      <c r="AV3375" s="254" t="str">
        <f t="shared" si="1330"/>
        <v>BiK270E2aG3-12</v>
      </c>
      <c r="AW3375">
        <f t="shared" si="1331"/>
        <v>14</v>
      </c>
      <c r="AX3375" t="str">
        <f t="shared" si="1332"/>
        <v>0-0,15 MW, Bonusregeln E2a, G3</v>
      </c>
      <c r="AY3375" t="str">
        <f t="shared" si="1333"/>
        <v/>
      </c>
    </row>
    <row r="3376" spans="1:52" x14ac:dyDescent="0.25">
      <c r="A3376" s="615" t="str">
        <f t="shared" si="1311"/>
        <v>BiK270E2bG3-13</v>
      </c>
      <c r="B3376" s="372" t="s">
        <v>5548</v>
      </c>
      <c r="C3376" s="375" t="str">
        <f t="shared" si="1312"/>
        <v>Inbetriebnahme 2013</v>
      </c>
      <c r="D3376" s="372" t="str">
        <f t="shared" si="1313"/>
        <v>0-0,15 MW, Bonusregeln E2b, G3</v>
      </c>
      <c r="E3376" s="372"/>
      <c r="F3376" s="459">
        <f t="shared" si="1314"/>
        <v>22.990000000000002</v>
      </c>
      <c r="G3376" s="535">
        <v>22.990000000000002</v>
      </c>
      <c r="H3376" s="493">
        <f t="shared" si="1315"/>
        <v>18.39</v>
      </c>
      <c r="I3376" s="711"/>
      <c r="J3376" s="669" t="s">
        <v>5805</v>
      </c>
      <c r="K3376" s="23"/>
      <c r="L3376" s="70" t="str">
        <f t="shared" si="1316"/>
        <v/>
      </c>
      <c r="M3376" s="49">
        <f t="shared" si="1317"/>
        <v>22.990000000000002</v>
      </c>
      <c r="N3376" s="41">
        <f t="shared" si="1318"/>
        <v>14.014000000000001</v>
      </c>
      <c r="O3376" s="35"/>
      <c r="P3376" s="65"/>
      <c r="Q3376" s="65"/>
      <c r="R3376" s="65"/>
      <c r="S3376" s="253"/>
      <c r="T3376" s="35" t="s">
        <v>1017</v>
      </c>
      <c r="U3376" s="65"/>
      <c r="V3376" s="228"/>
      <c r="W3376" s="35"/>
      <c r="X3376" s="50" t="s">
        <v>1017</v>
      </c>
      <c r="AH3376" s="253" t="s">
        <v>1780</v>
      </c>
      <c r="AK3376" t="str">
        <f t="shared" si="1319"/>
        <v/>
      </c>
      <c r="AL3376" t="str">
        <f t="shared" si="1320"/>
        <v/>
      </c>
      <c r="AM3376" t="str">
        <f t="shared" si="1321"/>
        <v/>
      </c>
      <c r="AN3376" t="str">
        <f t="shared" si="1322"/>
        <v/>
      </c>
      <c r="AO3376" t="str">
        <f t="shared" si="1323"/>
        <v/>
      </c>
      <c r="AP3376" t="str">
        <f t="shared" si="1324"/>
        <v>E2b</v>
      </c>
      <c r="AQ3376" t="str">
        <f t="shared" si="1325"/>
        <v/>
      </c>
      <c r="AR3376" t="str">
        <f t="shared" si="1326"/>
        <v/>
      </c>
      <c r="AS3376" t="str">
        <f t="shared" si="1327"/>
        <v/>
      </c>
      <c r="AT3376" t="str">
        <f t="shared" si="1328"/>
        <v>G3</v>
      </c>
      <c r="AU3376" t="str">
        <f t="shared" si="1329"/>
        <v>E2bG3</v>
      </c>
      <c r="AV3376" s="254" t="str">
        <f t="shared" si="1330"/>
        <v>BiK270E2bG3-12</v>
      </c>
      <c r="AW3376">
        <f t="shared" si="1331"/>
        <v>14</v>
      </c>
      <c r="AX3376" t="str">
        <f t="shared" si="1332"/>
        <v>0-0,15 MW, Bonusregeln E2b, G3</v>
      </c>
      <c r="AY3376" t="str">
        <f t="shared" si="1333"/>
        <v/>
      </c>
    </row>
    <row r="3377" spans="1:51" x14ac:dyDescent="0.25">
      <c r="A3377" s="615" t="str">
        <f t="shared" ref="A3377:A3392" si="1334">"BiK271"&amp;AU3377&amp;RIGHT("------",6-LEN(AU3377))&amp;RIGHT($M$3360,2)</f>
        <v>BiK271------13</v>
      </c>
      <c r="B3377" s="372" t="s">
        <v>5548</v>
      </c>
      <c r="C3377" s="375" t="str">
        <f t="shared" si="1312"/>
        <v>Inbetriebnahme 2013</v>
      </c>
      <c r="D3377" s="372" t="str">
        <f t="shared" si="1313"/>
        <v>0,15-0,5 MW</v>
      </c>
      <c r="E3377" s="372"/>
      <c r="F3377" s="459">
        <f t="shared" si="1314"/>
        <v>12.05</v>
      </c>
      <c r="G3377" s="535">
        <v>12.05</v>
      </c>
      <c r="H3377" s="493">
        <f t="shared" si="1315"/>
        <v>9.64</v>
      </c>
      <c r="I3377" s="711"/>
      <c r="J3377" s="669" t="s">
        <v>5805</v>
      </c>
      <c r="K3377" s="23"/>
      <c r="L3377" s="70" t="str">
        <f t="shared" si="1316"/>
        <v/>
      </c>
      <c r="M3377" s="49">
        <f t="shared" si="1317"/>
        <v>12.05</v>
      </c>
      <c r="N3377" s="41">
        <f t="shared" si="1318"/>
        <v>12.054</v>
      </c>
      <c r="O3377" s="61"/>
      <c r="P3377" s="65"/>
      <c r="Q3377" s="65"/>
      <c r="R3377" s="65"/>
      <c r="S3377" s="61"/>
      <c r="T3377" s="29"/>
      <c r="U3377" s="65"/>
      <c r="V3377" s="61"/>
      <c r="W3377" s="29"/>
      <c r="X3377" s="50"/>
      <c r="AH3377" s="253" t="s">
        <v>1779</v>
      </c>
      <c r="AK3377" t="str">
        <f t="shared" si="1319"/>
        <v/>
      </c>
      <c r="AL3377" t="str">
        <f t="shared" si="1320"/>
        <v/>
      </c>
      <c r="AM3377" t="str">
        <f t="shared" si="1321"/>
        <v/>
      </c>
      <c r="AN3377" t="str">
        <f t="shared" si="1322"/>
        <v/>
      </c>
      <c r="AO3377" t="str">
        <f t="shared" si="1323"/>
        <v/>
      </c>
      <c r="AP3377" t="str">
        <f t="shared" si="1324"/>
        <v/>
      </c>
      <c r="AQ3377" t="str">
        <f t="shared" si="1325"/>
        <v/>
      </c>
      <c r="AR3377" t="str">
        <f t="shared" si="1326"/>
        <v/>
      </c>
      <c r="AS3377" t="str">
        <f t="shared" si="1327"/>
        <v/>
      </c>
      <c r="AT3377" t="str">
        <f t="shared" si="1328"/>
        <v/>
      </c>
      <c r="AU3377" t="str">
        <f t="shared" si="1329"/>
        <v/>
      </c>
      <c r="AV3377" s="254" t="str">
        <f t="shared" ref="AV3377:AV3392" si="1335">"BiK271"&amp;AU3377&amp;RIGHT("------",6-LEN(AU3377))&amp;RIGHT($M$3278,2)</f>
        <v>BiK271------12</v>
      </c>
      <c r="AW3377">
        <f t="shared" si="1331"/>
        <v>14</v>
      </c>
      <c r="AX3377" t="str">
        <f t="shared" si="1332"/>
        <v>0,15-0,5 MW</v>
      </c>
      <c r="AY3377" t="str">
        <f t="shared" si="1333"/>
        <v/>
      </c>
    </row>
    <row r="3378" spans="1:51" x14ac:dyDescent="0.25">
      <c r="A3378" s="615" t="str">
        <f t="shared" si="1334"/>
        <v>BiK271E1a---13</v>
      </c>
      <c r="B3378" s="372" t="s">
        <v>5548</v>
      </c>
      <c r="C3378" s="375" t="str">
        <f t="shared" si="1312"/>
        <v>Inbetriebnahme 2013</v>
      </c>
      <c r="D3378" s="372" t="str">
        <f t="shared" si="1313"/>
        <v>0,15-0,5 MW, Bonusregel E1a</v>
      </c>
      <c r="E3378" s="372"/>
      <c r="F3378" s="459">
        <f t="shared" si="1314"/>
        <v>18.05</v>
      </c>
      <c r="G3378" s="535">
        <v>18.05</v>
      </c>
      <c r="H3378" s="493">
        <f t="shared" si="1315"/>
        <v>14.44</v>
      </c>
      <c r="I3378" s="711"/>
      <c r="J3378" s="669" t="s">
        <v>5805</v>
      </c>
      <c r="K3378" s="23"/>
      <c r="L3378" s="70" t="str">
        <f t="shared" si="1316"/>
        <v/>
      </c>
      <c r="M3378" s="49">
        <f t="shared" si="1317"/>
        <v>18.05</v>
      </c>
      <c r="N3378" s="41">
        <f t="shared" si="1318"/>
        <v>12.054</v>
      </c>
      <c r="O3378" s="228" t="s">
        <v>1017</v>
      </c>
      <c r="P3378" s="65"/>
      <c r="Q3378" s="65"/>
      <c r="R3378" s="65"/>
      <c r="S3378" s="43"/>
      <c r="T3378" s="35"/>
      <c r="U3378" s="65"/>
      <c r="V3378" s="43"/>
      <c r="W3378" s="35"/>
      <c r="X3378" s="50"/>
      <c r="AH3378" s="253" t="s">
        <v>1779</v>
      </c>
      <c r="AK3378" t="str">
        <f t="shared" si="1319"/>
        <v>E1a</v>
      </c>
      <c r="AL3378" t="str">
        <f t="shared" si="1320"/>
        <v/>
      </c>
      <c r="AM3378" t="str">
        <f t="shared" si="1321"/>
        <v/>
      </c>
      <c r="AN3378" t="str">
        <f t="shared" si="1322"/>
        <v/>
      </c>
      <c r="AO3378" t="str">
        <f t="shared" si="1323"/>
        <v/>
      </c>
      <c r="AP3378" t="str">
        <f t="shared" si="1324"/>
        <v/>
      </c>
      <c r="AQ3378" t="str">
        <f t="shared" si="1325"/>
        <v/>
      </c>
      <c r="AR3378" t="str">
        <f t="shared" si="1326"/>
        <v/>
      </c>
      <c r="AS3378" t="str">
        <f t="shared" si="1327"/>
        <v/>
      </c>
      <c r="AT3378" t="str">
        <f t="shared" si="1328"/>
        <v/>
      </c>
      <c r="AU3378" t="str">
        <f t="shared" si="1329"/>
        <v>E1a</v>
      </c>
      <c r="AV3378" s="254" t="str">
        <f t="shared" si="1335"/>
        <v>BiK271E1a---12</v>
      </c>
      <c r="AW3378">
        <f t="shared" si="1331"/>
        <v>14</v>
      </c>
      <c r="AX3378" t="str">
        <f t="shared" si="1332"/>
        <v>0,15-0,5 MW, Bonusregel E1a</v>
      </c>
      <c r="AY3378" t="str">
        <f t="shared" si="1333"/>
        <v/>
      </c>
    </row>
    <row r="3379" spans="1:51" x14ac:dyDescent="0.25">
      <c r="A3379" s="615" t="str">
        <f t="shared" si="1334"/>
        <v>BiK271E2a---13</v>
      </c>
      <c r="B3379" s="372" t="s">
        <v>5548</v>
      </c>
      <c r="C3379" s="375" t="str">
        <f t="shared" si="1312"/>
        <v>Inbetriebnahme 2013</v>
      </c>
      <c r="D3379" s="372" t="str">
        <f t="shared" si="1313"/>
        <v>0,15-0,5 MW, Bonusregel E2a</v>
      </c>
      <c r="E3379" s="372"/>
      <c r="F3379" s="459">
        <f t="shared" si="1314"/>
        <v>20.05</v>
      </c>
      <c r="G3379" s="535">
        <v>20.05</v>
      </c>
      <c r="H3379" s="493">
        <f t="shared" si="1315"/>
        <v>16.04</v>
      </c>
      <c r="I3379" s="711"/>
      <c r="J3379" s="669" t="s">
        <v>5805</v>
      </c>
      <c r="K3379" s="23"/>
      <c r="L3379" s="70" t="str">
        <f t="shared" si="1316"/>
        <v/>
      </c>
      <c r="M3379" s="49">
        <f t="shared" si="1317"/>
        <v>20.05</v>
      </c>
      <c r="N3379" s="41">
        <f t="shared" si="1318"/>
        <v>12.054</v>
      </c>
      <c r="O3379" s="61"/>
      <c r="P3379" s="65"/>
      <c r="Q3379" s="65"/>
      <c r="R3379" s="65"/>
      <c r="S3379" s="228" t="s">
        <v>1017</v>
      </c>
      <c r="T3379" s="29"/>
      <c r="U3379" s="65"/>
      <c r="V3379" s="61"/>
      <c r="W3379" s="29"/>
      <c r="X3379" s="50"/>
      <c r="AH3379" s="253" t="s">
        <v>1779</v>
      </c>
      <c r="AK3379" t="str">
        <f t="shared" si="1319"/>
        <v/>
      </c>
      <c r="AL3379" t="str">
        <f t="shared" si="1320"/>
        <v/>
      </c>
      <c r="AM3379" t="str">
        <f t="shared" si="1321"/>
        <v/>
      </c>
      <c r="AN3379" t="str">
        <f t="shared" si="1322"/>
        <v/>
      </c>
      <c r="AO3379" t="str">
        <f t="shared" si="1323"/>
        <v>E2a</v>
      </c>
      <c r="AP3379" t="str">
        <f t="shared" si="1324"/>
        <v/>
      </c>
      <c r="AQ3379" t="str">
        <f t="shared" si="1325"/>
        <v/>
      </c>
      <c r="AR3379" t="str">
        <f t="shared" si="1326"/>
        <v/>
      </c>
      <c r="AS3379" t="str">
        <f t="shared" si="1327"/>
        <v/>
      </c>
      <c r="AT3379" t="str">
        <f t="shared" si="1328"/>
        <v/>
      </c>
      <c r="AU3379" t="str">
        <f t="shared" si="1329"/>
        <v>E2a</v>
      </c>
      <c r="AV3379" s="254" t="str">
        <f t="shared" si="1335"/>
        <v>BiK271E2a---12</v>
      </c>
      <c r="AW3379">
        <f t="shared" si="1331"/>
        <v>14</v>
      </c>
      <c r="AX3379" t="str">
        <f t="shared" si="1332"/>
        <v>0,15-0,5 MW, Bonusregel E2a</v>
      </c>
      <c r="AY3379" t="str">
        <f t="shared" si="1333"/>
        <v/>
      </c>
    </row>
    <row r="3380" spans="1:51" x14ac:dyDescent="0.25">
      <c r="A3380" s="615" t="str">
        <f t="shared" si="1334"/>
        <v>BiK271E2b---13</v>
      </c>
      <c r="B3380" s="372" t="s">
        <v>5548</v>
      </c>
      <c r="C3380" s="375" t="str">
        <f t="shared" si="1312"/>
        <v>Inbetriebnahme 2013</v>
      </c>
      <c r="D3380" s="372" t="str">
        <f t="shared" si="1313"/>
        <v>0,15-0,5 MW, Bonusregel E2b</v>
      </c>
      <c r="E3380" s="372"/>
      <c r="F3380" s="459">
        <f t="shared" si="1314"/>
        <v>20.05</v>
      </c>
      <c r="G3380" s="535">
        <v>20.05</v>
      </c>
      <c r="H3380" s="493">
        <f t="shared" si="1315"/>
        <v>16.04</v>
      </c>
      <c r="I3380" s="711"/>
      <c r="J3380" s="669" t="s">
        <v>5805</v>
      </c>
      <c r="K3380" s="23"/>
      <c r="L3380" s="70" t="str">
        <f t="shared" si="1316"/>
        <v/>
      </c>
      <c r="M3380" s="49">
        <f t="shared" si="1317"/>
        <v>20.05</v>
      </c>
      <c r="N3380" s="41">
        <f t="shared" si="1318"/>
        <v>12.054</v>
      </c>
      <c r="O3380" s="43"/>
      <c r="P3380" s="65"/>
      <c r="Q3380" s="65"/>
      <c r="R3380" s="65"/>
      <c r="S3380" s="228"/>
      <c r="T3380" s="253" t="s">
        <v>1017</v>
      </c>
      <c r="U3380" s="65"/>
      <c r="V3380" s="43"/>
      <c r="W3380" s="35"/>
      <c r="X3380" s="50"/>
      <c r="AH3380" s="253" t="s">
        <v>1779</v>
      </c>
      <c r="AK3380" t="str">
        <f t="shared" si="1319"/>
        <v/>
      </c>
      <c r="AL3380" t="str">
        <f t="shared" si="1320"/>
        <v/>
      </c>
      <c r="AM3380" t="str">
        <f t="shared" si="1321"/>
        <v/>
      </c>
      <c r="AN3380" t="str">
        <f t="shared" si="1322"/>
        <v/>
      </c>
      <c r="AO3380" t="str">
        <f t="shared" si="1323"/>
        <v/>
      </c>
      <c r="AP3380" t="str">
        <f t="shared" si="1324"/>
        <v>E2b</v>
      </c>
      <c r="AQ3380" t="str">
        <f t="shared" si="1325"/>
        <v/>
      </c>
      <c r="AR3380" t="str">
        <f t="shared" si="1326"/>
        <v/>
      </c>
      <c r="AS3380" t="str">
        <f t="shared" si="1327"/>
        <v/>
      </c>
      <c r="AT3380" t="str">
        <f t="shared" si="1328"/>
        <v/>
      </c>
      <c r="AU3380" t="str">
        <f t="shared" si="1329"/>
        <v>E2b</v>
      </c>
      <c r="AV3380" s="254" t="str">
        <f t="shared" si="1335"/>
        <v>BiK271E2b---12</v>
      </c>
      <c r="AW3380">
        <f t="shared" si="1331"/>
        <v>14</v>
      </c>
      <c r="AX3380" t="str">
        <f t="shared" si="1332"/>
        <v>0,15-0,5 MW, Bonusregel E2b</v>
      </c>
      <c r="AY3380" t="str">
        <f t="shared" si="1333"/>
        <v/>
      </c>
    </row>
    <row r="3381" spans="1:51" x14ac:dyDescent="0.25">
      <c r="A3381" s="615" t="str">
        <f t="shared" si="1334"/>
        <v>BiK271G1----13</v>
      </c>
      <c r="B3381" s="372" t="s">
        <v>5548</v>
      </c>
      <c r="C3381" s="375" t="str">
        <f t="shared" si="1312"/>
        <v>Inbetriebnahme 2013</v>
      </c>
      <c r="D3381" s="372" t="str">
        <f t="shared" si="1313"/>
        <v>0,15-0,5 MW, Bonusregel G1</v>
      </c>
      <c r="E3381" s="372"/>
      <c r="F3381" s="459">
        <f t="shared" si="1314"/>
        <v>14.99</v>
      </c>
      <c r="G3381" s="535">
        <v>14.99</v>
      </c>
      <c r="H3381" s="493">
        <f t="shared" si="1315"/>
        <v>11.99</v>
      </c>
      <c r="I3381" s="711"/>
      <c r="J3381" s="669" t="s">
        <v>5805</v>
      </c>
      <c r="K3381" s="23"/>
      <c r="L3381" s="70" t="str">
        <f t="shared" si="1316"/>
        <v/>
      </c>
      <c r="M3381" s="49">
        <f t="shared" si="1317"/>
        <v>14.99</v>
      </c>
      <c r="N3381" s="41">
        <f t="shared" si="1318"/>
        <v>12.054</v>
      </c>
      <c r="O3381" s="61"/>
      <c r="P3381" s="65"/>
      <c r="Q3381" s="65"/>
      <c r="R3381" s="65"/>
      <c r="S3381" s="61"/>
      <c r="T3381" s="29"/>
      <c r="U3381" s="65"/>
      <c r="V3381" s="228" t="s">
        <v>1017</v>
      </c>
      <c r="W3381" s="29"/>
      <c r="X3381" s="50"/>
      <c r="AH3381" s="253" t="s">
        <v>1779</v>
      </c>
      <c r="AK3381" t="str">
        <f t="shared" si="1319"/>
        <v/>
      </c>
      <c r="AL3381" t="str">
        <f t="shared" si="1320"/>
        <v/>
      </c>
      <c r="AM3381" t="str">
        <f t="shared" si="1321"/>
        <v/>
      </c>
      <c r="AN3381" t="str">
        <f t="shared" si="1322"/>
        <v/>
      </c>
      <c r="AO3381" t="str">
        <f t="shared" si="1323"/>
        <v/>
      </c>
      <c r="AP3381" t="str">
        <f t="shared" si="1324"/>
        <v/>
      </c>
      <c r="AQ3381" t="str">
        <f t="shared" si="1325"/>
        <v/>
      </c>
      <c r="AR3381" t="str">
        <f t="shared" si="1326"/>
        <v>G1</v>
      </c>
      <c r="AS3381" t="str">
        <f t="shared" si="1327"/>
        <v/>
      </c>
      <c r="AT3381" t="str">
        <f t="shared" si="1328"/>
        <v/>
      </c>
      <c r="AU3381" t="str">
        <f t="shared" si="1329"/>
        <v>G1</v>
      </c>
      <c r="AV3381" s="254" t="str">
        <f t="shared" si="1335"/>
        <v>BiK271G1----12</v>
      </c>
      <c r="AW3381">
        <f t="shared" si="1331"/>
        <v>14</v>
      </c>
      <c r="AX3381" t="str">
        <f t="shared" si="1332"/>
        <v>0,15-0,5 MW, Bonusregel G1</v>
      </c>
      <c r="AY3381" t="str">
        <f t="shared" si="1333"/>
        <v/>
      </c>
    </row>
    <row r="3382" spans="1:51" x14ac:dyDescent="0.25">
      <c r="A3382" s="615" t="str">
        <f t="shared" si="1334"/>
        <v>BiK271E1aG1-13</v>
      </c>
      <c r="B3382" s="372" t="s">
        <v>5548</v>
      </c>
      <c r="C3382" s="375" t="str">
        <f t="shared" si="1312"/>
        <v>Inbetriebnahme 2013</v>
      </c>
      <c r="D3382" s="372" t="str">
        <f t="shared" si="1313"/>
        <v>0,15-0,5 MW, Bonusregeln E1a, G1</v>
      </c>
      <c r="E3382" s="372"/>
      <c r="F3382" s="459">
        <f t="shared" si="1314"/>
        <v>20.990000000000002</v>
      </c>
      <c r="G3382" s="535">
        <v>20.990000000000002</v>
      </c>
      <c r="H3382" s="493">
        <f t="shared" si="1315"/>
        <v>16.79</v>
      </c>
      <c r="I3382" s="711"/>
      <c r="J3382" s="669" t="s">
        <v>5805</v>
      </c>
      <c r="K3382" s="23"/>
      <c r="L3382" s="70" t="str">
        <f t="shared" si="1316"/>
        <v/>
      </c>
      <c r="M3382" s="49">
        <f t="shared" si="1317"/>
        <v>20.990000000000002</v>
      </c>
      <c r="N3382" s="41">
        <f t="shared" si="1318"/>
        <v>12.054</v>
      </c>
      <c r="O3382" s="43" t="s">
        <v>1017</v>
      </c>
      <c r="P3382" s="65"/>
      <c r="Q3382" s="65"/>
      <c r="R3382" s="65"/>
      <c r="S3382" s="228"/>
      <c r="T3382" s="35"/>
      <c r="U3382" s="65"/>
      <c r="V3382" s="228" t="s">
        <v>1017</v>
      </c>
      <c r="W3382" s="35"/>
      <c r="X3382" s="50"/>
      <c r="AH3382" s="253" t="s">
        <v>1779</v>
      </c>
      <c r="AK3382" t="str">
        <f t="shared" si="1319"/>
        <v>E1a</v>
      </c>
      <c r="AL3382" t="str">
        <f t="shared" si="1320"/>
        <v/>
      </c>
      <c r="AM3382" t="str">
        <f t="shared" si="1321"/>
        <v/>
      </c>
      <c r="AN3382" t="str">
        <f t="shared" si="1322"/>
        <v/>
      </c>
      <c r="AO3382" t="str">
        <f t="shared" si="1323"/>
        <v/>
      </c>
      <c r="AP3382" t="str">
        <f t="shared" si="1324"/>
        <v/>
      </c>
      <c r="AQ3382" t="str">
        <f t="shared" si="1325"/>
        <v/>
      </c>
      <c r="AR3382" t="str">
        <f t="shared" si="1326"/>
        <v>G1</v>
      </c>
      <c r="AS3382" t="str">
        <f t="shared" si="1327"/>
        <v/>
      </c>
      <c r="AT3382" t="str">
        <f t="shared" si="1328"/>
        <v/>
      </c>
      <c r="AU3382" t="str">
        <f t="shared" si="1329"/>
        <v>E1aG1</v>
      </c>
      <c r="AV3382" s="254" t="str">
        <f t="shared" si="1335"/>
        <v>BiK271E1aG1-12</v>
      </c>
      <c r="AW3382">
        <f t="shared" si="1331"/>
        <v>14</v>
      </c>
      <c r="AX3382" t="str">
        <f t="shared" si="1332"/>
        <v>0,15-0,5 MW, Bonusregeln E1a, G1</v>
      </c>
      <c r="AY3382" t="str">
        <f t="shared" si="1333"/>
        <v/>
      </c>
    </row>
    <row r="3383" spans="1:51" x14ac:dyDescent="0.25">
      <c r="A3383" s="615" t="str">
        <f t="shared" si="1334"/>
        <v>BiK271E2aG1-13</v>
      </c>
      <c r="B3383" s="372" t="s">
        <v>5548</v>
      </c>
      <c r="C3383" s="375" t="str">
        <f t="shared" si="1312"/>
        <v>Inbetriebnahme 2013</v>
      </c>
      <c r="D3383" s="372" t="str">
        <f t="shared" si="1313"/>
        <v>0,15-0,5 MW, Bonusregeln E2a, G1</v>
      </c>
      <c r="E3383" s="372"/>
      <c r="F3383" s="459">
        <f t="shared" si="1314"/>
        <v>22.990000000000002</v>
      </c>
      <c r="G3383" s="535">
        <v>22.990000000000002</v>
      </c>
      <c r="H3383" s="493">
        <f t="shared" si="1315"/>
        <v>18.39</v>
      </c>
      <c r="I3383" s="711"/>
      <c r="J3383" s="669" t="s">
        <v>5805</v>
      </c>
      <c r="K3383" s="23"/>
      <c r="L3383" s="70" t="str">
        <f t="shared" si="1316"/>
        <v/>
      </c>
      <c r="M3383" s="49">
        <f t="shared" si="1317"/>
        <v>22.990000000000002</v>
      </c>
      <c r="N3383" s="41">
        <f t="shared" si="1318"/>
        <v>12.054</v>
      </c>
      <c r="O3383" s="43"/>
      <c r="P3383" s="65"/>
      <c r="Q3383" s="65"/>
      <c r="R3383" s="65"/>
      <c r="S3383" s="228" t="s">
        <v>1017</v>
      </c>
      <c r="T3383" s="35"/>
      <c r="U3383" s="65"/>
      <c r="V3383" s="228" t="s">
        <v>1017</v>
      </c>
      <c r="W3383" s="35"/>
      <c r="X3383" s="50"/>
      <c r="AH3383" s="253" t="s">
        <v>1779</v>
      </c>
      <c r="AK3383" t="str">
        <f t="shared" si="1319"/>
        <v/>
      </c>
      <c r="AL3383" t="str">
        <f t="shared" si="1320"/>
        <v/>
      </c>
      <c r="AM3383" t="str">
        <f t="shared" si="1321"/>
        <v/>
      </c>
      <c r="AN3383" t="str">
        <f t="shared" si="1322"/>
        <v/>
      </c>
      <c r="AO3383" t="str">
        <f t="shared" si="1323"/>
        <v>E2a</v>
      </c>
      <c r="AP3383" t="str">
        <f t="shared" si="1324"/>
        <v/>
      </c>
      <c r="AQ3383" t="str">
        <f t="shared" si="1325"/>
        <v/>
      </c>
      <c r="AR3383" t="str">
        <f t="shared" si="1326"/>
        <v>G1</v>
      </c>
      <c r="AS3383" t="str">
        <f t="shared" si="1327"/>
        <v/>
      </c>
      <c r="AT3383" t="str">
        <f t="shared" si="1328"/>
        <v/>
      </c>
      <c r="AU3383" t="str">
        <f t="shared" si="1329"/>
        <v>E2aG1</v>
      </c>
      <c r="AV3383" s="254" t="str">
        <f t="shared" si="1335"/>
        <v>BiK271E2aG1-12</v>
      </c>
      <c r="AW3383">
        <f t="shared" si="1331"/>
        <v>14</v>
      </c>
      <c r="AX3383" t="str">
        <f t="shared" si="1332"/>
        <v>0,15-0,5 MW, Bonusregeln E2a, G1</v>
      </c>
      <c r="AY3383" t="str">
        <f t="shared" si="1333"/>
        <v/>
      </c>
    </row>
    <row r="3384" spans="1:51" x14ac:dyDescent="0.25">
      <c r="A3384" s="615" t="str">
        <f t="shared" si="1334"/>
        <v>BiK271E2bG1-13</v>
      </c>
      <c r="B3384" s="372" t="s">
        <v>5548</v>
      </c>
      <c r="C3384" s="375" t="str">
        <f t="shared" si="1312"/>
        <v>Inbetriebnahme 2013</v>
      </c>
      <c r="D3384" s="372" t="str">
        <f t="shared" si="1313"/>
        <v>0,15-0,5 MW, Bonusregeln E2b, G1</v>
      </c>
      <c r="E3384" s="372"/>
      <c r="F3384" s="459">
        <f t="shared" si="1314"/>
        <v>22.990000000000002</v>
      </c>
      <c r="G3384" s="535">
        <v>22.990000000000002</v>
      </c>
      <c r="H3384" s="493">
        <f t="shared" si="1315"/>
        <v>18.39</v>
      </c>
      <c r="I3384" s="711"/>
      <c r="J3384" s="669" t="s">
        <v>5805</v>
      </c>
      <c r="K3384" s="23"/>
      <c r="L3384" s="70" t="str">
        <f t="shared" si="1316"/>
        <v/>
      </c>
      <c r="M3384" s="49">
        <f t="shared" si="1317"/>
        <v>22.990000000000002</v>
      </c>
      <c r="N3384" s="41">
        <f t="shared" si="1318"/>
        <v>12.054</v>
      </c>
      <c r="O3384" s="43"/>
      <c r="P3384" s="65"/>
      <c r="Q3384" s="65"/>
      <c r="R3384" s="65"/>
      <c r="S3384" s="228"/>
      <c r="T3384" s="35" t="s">
        <v>1017</v>
      </c>
      <c r="U3384" s="65"/>
      <c r="V3384" s="228" t="s">
        <v>1017</v>
      </c>
      <c r="W3384" s="35"/>
      <c r="X3384" s="50"/>
      <c r="AH3384" s="253" t="s">
        <v>1779</v>
      </c>
      <c r="AK3384" t="str">
        <f t="shared" si="1319"/>
        <v/>
      </c>
      <c r="AL3384" t="str">
        <f t="shared" si="1320"/>
        <v/>
      </c>
      <c r="AM3384" t="str">
        <f t="shared" si="1321"/>
        <v/>
      </c>
      <c r="AN3384" t="str">
        <f t="shared" si="1322"/>
        <v/>
      </c>
      <c r="AO3384" t="str">
        <f t="shared" si="1323"/>
        <v/>
      </c>
      <c r="AP3384" t="str">
        <f t="shared" si="1324"/>
        <v>E2b</v>
      </c>
      <c r="AQ3384" t="str">
        <f t="shared" si="1325"/>
        <v/>
      </c>
      <c r="AR3384" t="str">
        <f t="shared" si="1326"/>
        <v>G1</v>
      </c>
      <c r="AS3384" t="str">
        <f t="shared" si="1327"/>
        <v/>
      </c>
      <c r="AT3384" t="str">
        <f t="shared" si="1328"/>
        <v/>
      </c>
      <c r="AU3384" t="str">
        <f t="shared" si="1329"/>
        <v>E2bG1</v>
      </c>
      <c r="AV3384" s="254" t="str">
        <f t="shared" si="1335"/>
        <v>BiK271E2bG1-12</v>
      </c>
      <c r="AW3384">
        <f t="shared" si="1331"/>
        <v>14</v>
      </c>
      <c r="AX3384" t="str">
        <f t="shared" si="1332"/>
        <v>0,15-0,5 MW, Bonusregeln E2b, G1</v>
      </c>
      <c r="AY3384" t="str">
        <f t="shared" si="1333"/>
        <v/>
      </c>
    </row>
    <row r="3385" spans="1:51" x14ac:dyDescent="0.25">
      <c r="A3385" s="615" t="str">
        <f t="shared" si="1334"/>
        <v>BiK271G2----13</v>
      </c>
      <c r="B3385" s="372" t="s">
        <v>5548</v>
      </c>
      <c r="C3385" s="375" t="str">
        <f t="shared" si="1312"/>
        <v>Inbetriebnahme 2013</v>
      </c>
      <c r="D3385" s="372" t="str">
        <f t="shared" si="1313"/>
        <v>0,15-0,5 MW, Bonusregel G2</v>
      </c>
      <c r="E3385" s="372"/>
      <c r="F3385" s="459">
        <f t="shared" si="1314"/>
        <v>14.010000000000002</v>
      </c>
      <c r="G3385" s="535">
        <v>14.010000000000002</v>
      </c>
      <c r="H3385" s="493">
        <f t="shared" si="1315"/>
        <v>11.21</v>
      </c>
      <c r="I3385" s="711"/>
      <c r="J3385" s="669" t="s">
        <v>5805</v>
      </c>
      <c r="K3385" s="23"/>
      <c r="L3385" s="70" t="str">
        <f t="shared" si="1316"/>
        <v/>
      </c>
      <c r="M3385" s="49">
        <f t="shared" si="1317"/>
        <v>14.010000000000002</v>
      </c>
      <c r="N3385" s="41">
        <f t="shared" si="1318"/>
        <v>12.054</v>
      </c>
      <c r="O3385" s="61"/>
      <c r="P3385" s="65"/>
      <c r="Q3385" s="65"/>
      <c r="R3385" s="65"/>
      <c r="S3385" s="61"/>
      <c r="T3385" s="29"/>
      <c r="U3385" s="65"/>
      <c r="V3385" s="228"/>
      <c r="W3385" s="253" t="s">
        <v>1017</v>
      </c>
      <c r="X3385" s="50"/>
      <c r="AH3385" s="253" t="s">
        <v>1779</v>
      </c>
      <c r="AK3385" t="str">
        <f t="shared" si="1319"/>
        <v/>
      </c>
      <c r="AL3385" t="str">
        <f t="shared" si="1320"/>
        <v/>
      </c>
      <c r="AM3385" t="str">
        <f t="shared" si="1321"/>
        <v/>
      </c>
      <c r="AN3385" t="str">
        <f t="shared" si="1322"/>
        <v/>
      </c>
      <c r="AO3385" t="str">
        <f t="shared" si="1323"/>
        <v/>
      </c>
      <c r="AP3385" t="str">
        <f t="shared" si="1324"/>
        <v/>
      </c>
      <c r="AQ3385" t="str">
        <f t="shared" si="1325"/>
        <v/>
      </c>
      <c r="AR3385" t="str">
        <f t="shared" si="1326"/>
        <v/>
      </c>
      <c r="AS3385" t="str">
        <f t="shared" si="1327"/>
        <v>G2</v>
      </c>
      <c r="AT3385" t="str">
        <f t="shared" si="1328"/>
        <v/>
      </c>
      <c r="AU3385" t="str">
        <f t="shared" si="1329"/>
        <v>G2</v>
      </c>
      <c r="AV3385" s="254" t="str">
        <f t="shared" si="1335"/>
        <v>BiK271G2----12</v>
      </c>
      <c r="AW3385">
        <f t="shared" si="1331"/>
        <v>14</v>
      </c>
      <c r="AX3385" t="str">
        <f t="shared" si="1332"/>
        <v>0,15-0,5 MW, Bonusregel G2</v>
      </c>
      <c r="AY3385" t="str">
        <f t="shared" si="1333"/>
        <v/>
      </c>
    </row>
    <row r="3386" spans="1:51" x14ac:dyDescent="0.25">
      <c r="A3386" s="615" t="str">
        <f t="shared" si="1334"/>
        <v>BiK271E1aG2-13</v>
      </c>
      <c r="B3386" s="372" t="s">
        <v>5548</v>
      </c>
      <c r="C3386" s="375" t="str">
        <f t="shared" si="1312"/>
        <v>Inbetriebnahme 2013</v>
      </c>
      <c r="D3386" s="372" t="str">
        <f t="shared" si="1313"/>
        <v>0,15-0,5 MW, Bonusregeln E1a, G2</v>
      </c>
      <c r="E3386" s="372"/>
      <c r="F3386" s="459">
        <f t="shared" si="1314"/>
        <v>20.010000000000002</v>
      </c>
      <c r="G3386" s="535">
        <v>20.010000000000002</v>
      </c>
      <c r="H3386" s="493">
        <f t="shared" si="1315"/>
        <v>16.010000000000002</v>
      </c>
      <c r="I3386" s="711"/>
      <c r="J3386" s="669" t="s">
        <v>5805</v>
      </c>
      <c r="K3386" s="23"/>
      <c r="L3386" s="70" t="str">
        <f t="shared" si="1316"/>
        <v/>
      </c>
      <c r="M3386" s="49">
        <f t="shared" si="1317"/>
        <v>20.010000000000002</v>
      </c>
      <c r="N3386" s="41">
        <f t="shared" si="1318"/>
        <v>12.054</v>
      </c>
      <c r="O3386" s="43" t="s">
        <v>1017</v>
      </c>
      <c r="P3386" s="65"/>
      <c r="Q3386" s="65"/>
      <c r="R3386" s="65"/>
      <c r="S3386" s="228"/>
      <c r="T3386" s="35"/>
      <c r="U3386" s="65"/>
      <c r="V3386" s="228"/>
      <c r="W3386" s="253" t="s">
        <v>1017</v>
      </c>
      <c r="X3386" s="50"/>
      <c r="AH3386" s="253" t="s">
        <v>1779</v>
      </c>
      <c r="AK3386" t="str">
        <f t="shared" si="1319"/>
        <v>E1a</v>
      </c>
      <c r="AL3386" t="str">
        <f t="shared" si="1320"/>
        <v/>
      </c>
      <c r="AM3386" t="str">
        <f t="shared" si="1321"/>
        <v/>
      </c>
      <c r="AN3386" t="str">
        <f t="shared" si="1322"/>
        <v/>
      </c>
      <c r="AO3386" t="str">
        <f t="shared" si="1323"/>
        <v/>
      </c>
      <c r="AP3386" t="str">
        <f t="shared" si="1324"/>
        <v/>
      </c>
      <c r="AQ3386" t="str">
        <f t="shared" si="1325"/>
        <v/>
      </c>
      <c r="AR3386" t="str">
        <f t="shared" si="1326"/>
        <v/>
      </c>
      <c r="AS3386" t="str">
        <f t="shared" si="1327"/>
        <v>G2</v>
      </c>
      <c r="AT3386" t="str">
        <f t="shared" si="1328"/>
        <v/>
      </c>
      <c r="AU3386" t="str">
        <f t="shared" si="1329"/>
        <v>E1aG2</v>
      </c>
      <c r="AV3386" s="254" t="str">
        <f t="shared" si="1335"/>
        <v>BiK271E1aG2-12</v>
      </c>
      <c r="AW3386">
        <f t="shared" si="1331"/>
        <v>14</v>
      </c>
      <c r="AX3386" t="str">
        <f t="shared" si="1332"/>
        <v>0,15-0,5 MW, Bonusregeln E1a, G2</v>
      </c>
      <c r="AY3386" t="str">
        <f t="shared" si="1333"/>
        <v/>
      </c>
    </row>
    <row r="3387" spans="1:51" x14ac:dyDescent="0.25">
      <c r="A3387" s="615" t="str">
        <f t="shared" si="1334"/>
        <v>BiK271E2aG2-13</v>
      </c>
      <c r="B3387" s="372" t="s">
        <v>5548</v>
      </c>
      <c r="C3387" s="375" t="str">
        <f t="shared" si="1312"/>
        <v>Inbetriebnahme 2013</v>
      </c>
      <c r="D3387" s="372" t="str">
        <f t="shared" si="1313"/>
        <v>0,15-0,5 MW, Bonusregeln E2a, G2</v>
      </c>
      <c r="E3387" s="372"/>
      <c r="F3387" s="459">
        <f t="shared" si="1314"/>
        <v>22.01</v>
      </c>
      <c r="G3387" s="535">
        <v>22.01</v>
      </c>
      <c r="H3387" s="493">
        <f t="shared" si="1315"/>
        <v>17.61</v>
      </c>
      <c r="I3387" s="711"/>
      <c r="J3387" s="669" t="s">
        <v>5805</v>
      </c>
      <c r="K3387" s="23"/>
      <c r="L3387" s="70" t="str">
        <f t="shared" si="1316"/>
        <v/>
      </c>
      <c r="M3387" s="49">
        <f t="shared" si="1317"/>
        <v>22.01</v>
      </c>
      <c r="N3387" s="41">
        <f t="shared" si="1318"/>
        <v>12.054</v>
      </c>
      <c r="O3387" s="43"/>
      <c r="P3387" s="65"/>
      <c r="Q3387" s="65"/>
      <c r="R3387" s="65"/>
      <c r="S3387" s="228" t="s">
        <v>1017</v>
      </c>
      <c r="T3387" s="35"/>
      <c r="U3387" s="65"/>
      <c r="V3387" s="228"/>
      <c r="W3387" s="253" t="s">
        <v>1017</v>
      </c>
      <c r="X3387" s="50"/>
      <c r="AH3387" s="253" t="s">
        <v>1779</v>
      </c>
      <c r="AK3387" t="str">
        <f t="shared" si="1319"/>
        <v/>
      </c>
      <c r="AL3387" t="str">
        <f t="shared" si="1320"/>
        <v/>
      </c>
      <c r="AM3387" t="str">
        <f t="shared" si="1321"/>
        <v/>
      </c>
      <c r="AN3387" t="str">
        <f t="shared" si="1322"/>
        <v/>
      </c>
      <c r="AO3387" t="str">
        <f t="shared" si="1323"/>
        <v>E2a</v>
      </c>
      <c r="AP3387" t="str">
        <f t="shared" si="1324"/>
        <v/>
      </c>
      <c r="AQ3387" t="str">
        <f t="shared" si="1325"/>
        <v/>
      </c>
      <c r="AR3387" t="str">
        <f t="shared" si="1326"/>
        <v/>
      </c>
      <c r="AS3387" t="str">
        <f t="shared" si="1327"/>
        <v>G2</v>
      </c>
      <c r="AT3387" t="str">
        <f t="shared" si="1328"/>
        <v/>
      </c>
      <c r="AU3387" t="str">
        <f t="shared" si="1329"/>
        <v>E2aG2</v>
      </c>
      <c r="AV3387" s="254" t="str">
        <f t="shared" si="1335"/>
        <v>BiK271E2aG2-12</v>
      </c>
      <c r="AW3387">
        <f t="shared" si="1331"/>
        <v>14</v>
      </c>
      <c r="AX3387" t="str">
        <f t="shared" si="1332"/>
        <v>0,15-0,5 MW, Bonusregeln E2a, G2</v>
      </c>
      <c r="AY3387" t="str">
        <f t="shared" si="1333"/>
        <v/>
      </c>
    </row>
    <row r="3388" spans="1:51" x14ac:dyDescent="0.25">
      <c r="A3388" s="615" t="str">
        <f t="shared" si="1334"/>
        <v>BiK271E2bG2-13</v>
      </c>
      <c r="B3388" s="372" t="s">
        <v>5548</v>
      </c>
      <c r="C3388" s="375" t="str">
        <f t="shared" si="1312"/>
        <v>Inbetriebnahme 2013</v>
      </c>
      <c r="D3388" s="372" t="str">
        <f t="shared" si="1313"/>
        <v>0,15-0,5 MW, Bonusregeln E2b, G2</v>
      </c>
      <c r="E3388" s="372"/>
      <c r="F3388" s="459">
        <f t="shared" si="1314"/>
        <v>22.01</v>
      </c>
      <c r="G3388" s="535">
        <v>22.01</v>
      </c>
      <c r="H3388" s="493">
        <f t="shared" si="1315"/>
        <v>17.61</v>
      </c>
      <c r="I3388" s="711"/>
      <c r="J3388" s="669" t="s">
        <v>5805</v>
      </c>
      <c r="K3388" s="23"/>
      <c r="L3388" s="70" t="str">
        <f t="shared" si="1316"/>
        <v/>
      </c>
      <c r="M3388" s="49">
        <f t="shared" si="1317"/>
        <v>22.01</v>
      </c>
      <c r="N3388" s="41">
        <f t="shared" si="1318"/>
        <v>12.054</v>
      </c>
      <c r="O3388" s="43"/>
      <c r="P3388" s="65"/>
      <c r="Q3388" s="65"/>
      <c r="R3388" s="65"/>
      <c r="S3388" s="228"/>
      <c r="T3388" s="35" t="s">
        <v>1017</v>
      </c>
      <c r="U3388" s="65"/>
      <c r="V3388" s="228"/>
      <c r="W3388" s="253" t="s">
        <v>1017</v>
      </c>
      <c r="X3388" s="50"/>
      <c r="AH3388" s="253" t="s">
        <v>1779</v>
      </c>
      <c r="AK3388" t="str">
        <f t="shared" si="1319"/>
        <v/>
      </c>
      <c r="AL3388" t="str">
        <f t="shared" si="1320"/>
        <v/>
      </c>
      <c r="AM3388" t="str">
        <f t="shared" si="1321"/>
        <v/>
      </c>
      <c r="AN3388" t="str">
        <f t="shared" si="1322"/>
        <v/>
      </c>
      <c r="AO3388" t="str">
        <f t="shared" si="1323"/>
        <v/>
      </c>
      <c r="AP3388" t="str">
        <f t="shared" si="1324"/>
        <v>E2b</v>
      </c>
      <c r="AQ3388" t="str">
        <f t="shared" si="1325"/>
        <v/>
      </c>
      <c r="AR3388" t="str">
        <f t="shared" si="1326"/>
        <v/>
      </c>
      <c r="AS3388" t="str">
        <f t="shared" si="1327"/>
        <v>G2</v>
      </c>
      <c r="AT3388" t="str">
        <f t="shared" si="1328"/>
        <v/>
      </c>
      <c r="AU3388" t="str">
        <f t="shared" si="1329"/>
        <v>E2bG2</v>
      </c>
      <c r="AV3388" s="254" t="str">
        <f t="shared" si="1335"/>
        <v>BiK271E2bG2-12</v>
      </c>
      <c r="AW3388">
        <f t="shared" si="1331"/>
        <v>14</v>
      </c>
      <c r="AX3388" t="str">
        <f t="shared" si="1332"/>
        <v>0,15-0,5 MW, Bonusregeln E2b, G2</v>
      </c>
      <c r="AY3388" t="str">
        <f t="shared" si="1333"/>
        <v/>
      </c>
    </row>
    <row r="3389" spans="1:51" x14ac:dyDescent="0.25">
      <c r="A3389" s="615" t="str">
        <f t="shared" si="1334"/>
        <v>BiK271G3----13</v>
      </c>
      <c r="B3389" s="372" t="s">
        <v>5548</v>
      </c>
      <c r="C3389" s="375" t="str">
        <f t="shared" si="1312"/>
        <v>Inbetriebnahme 2013</v>
      </c>
      <c r="D3389" s="372" t="str">
        <f t="shared" si="1313"/>
        <v>0,15-0,5 MW, Bonusregel G3</v>
      </c>
      <c r="E3389" s="372"/>
      <c r="F3389" s="459">
        <f t="shared" si="1314"/>
        <v>13.030000000000001</v>
      </c>
      <c r="G3389" s="535">
        <v>13.030000000000001</v>
      </c>
      <c r="H3389" s="493">
        <f t="shared" si="1315"/>
        <v>10.42</v>
      </c>
      <c r="I3389" s="711"/>
      <c r="J3389" s="669" t="s">
        <v>5805</v>
      </c>
      <c r="K3389" s="23"/>
      <c r="L3389" s="70" t="str">
        <f t="shared" si="1316"/>
        <v/>
      </c>
      <c r="M3389" s="49">
        <f t="shared" si="1317"/>
        <v>13.030000000000001</v>
      </c>
      <c r="N3389" s="41">
        <f t="shared" si="1318"/>
        <v>12.054</v>
      </c>
      <c r="O3389" s="61"/>
      <c r="P3389" s="65"/>
      <c r="Q3389" s="65"/>
      <c r="R3389" s="65"/>
      <c r="S3389" s="61"/>
      <c r="T3389" s="29"/>
      <c r="U3389" s="65"/>
      <c r="V3389" s="228"/>
      <c r="W3389" s="35"/>
      <c r="X3389" s="50" t="s">
        <v>1017</v>
      </c>
      <c r="AH3389" s="253" t="s">
        <v>1779</v>
      </c>
      <c r="AK3389" t="str">
        <f t="shared" si="1319"/>
        <v/>
      </c>
      <c r="AL3389" t="str">
        <f t="shared" si="1320"/>
        <v/>
      </c>
      <c r="AM3389" t="str">
        <f t="shared" si="1321"/>
        <v/>
      </c>
      <c r="AN3389" t="str">
        <f t="shared" si="1322"/>
        <v/>
      </c>
      <c r="AO3389" t="str">
        <f t="shared" si="1323"/>
        <v/>
      </c>
      <c r="AP3389" t="str">
        <f t="shared" si="1324"/>
        <v/>
      </c>
      <c r="AQ3389" t="str">
        <f t="shared" si="1325"/>
        <v/>
      </c>
      <c r="AR3389" t="str">
        <f t="shared" si="1326"/>
        <v/>
      </c>
      <c r="AS3389" t="str">
        <f t="shared" si="1327"/>
        <v/>
      </c>
      <c r="AT3389" t="str">
        <f t="shared" si="1328"/>
        <v>G3</v>
      </c>
      <c r="AU3389" t="str">
        <f t="shared" si="1329"/>
        <v>G3</v>
      </c>
      <c r="AV3389" s="254" t="str">
        <f t="shared" si="1335"/>
        <v>BiK271G3----12</v>
      </c>
      <c r="AW3389">
        <f t="shared" si="1331"/>
        <v>14</v>
      </c>
      <c r="AX3389" t="str">
        <f t="shared" si="1332"/>
        <v>0,15-0,5 MW, Bonusregel G3</v>
      </c>
      <c r="AY3389" t="str">
        <f t="shared" si="1333"/>
        <v/>
      </c>
    </row>
    <row r="3390" spans="1:51" x14ac:dyDescent="0.25">
      <c r="A3390" s="615" t="str">
        <f t="shared" si="1334"/>
        <v>BiK271E1aG3-13</v>
      </c>
      <c r="B3390" s="372" t="s">
        <v>5548</v>
      </c>
      <c r="C3390" s="375" t="str">
        <f t="shared" si="1312"/>
        <v>Inbetriebnahme 2013</v>
      </c>
      <c r="D3390" s="372" t="str">
        <f t="shared" si="1313"/>
        <v>0,15-0,5 MW, Bonusregeln E1a, G3</v>
      </c>
      <c r="E3390" s="372"/>
      <c r="F3390" s="459">
        <f t="shared" si="1314"/>
        <v>19.03</v>
      </c>
      <c r="G3390" s="535">
        <v>19.03</v>
      </c>
      <c r="H3390" s="493">
        <f t="shared" si="1315"/>
        <v>15.22</v>
      </c>
      <c r="I3390" s="711"/>
      <c r="J3390" s="669" t="s">
        <v>5805</v>
      </c>
      <c r="K3390" s="23"/>
      <c r="L3390" s="70" t="str">
        <f t="shared" si="1316"/>
        <v/>
      </c>
      <c r="M3390" s="49">
        <f t="shared" si="1317"/>
        <v>19.03</v>
      </c>
      <c r="N3390" s="41">
        <f t="shared" si="1318"/>
        <v>12.054</v>
      </c>
      <c r="O3390" s="43" t="s">
        <v>1017</v>
      </c>
      <c r="P3390" s="65"/>
      <c r="Q3390" s="65"/>
      <c r="R3390" s="65"/>
      <c r="S3390" s="228"/>
      <c r="T3390" s="35"/>
      <c r="U3390" s="65"/>
      <c r="V3390" s="228"/>
      <c r="W3390" s="35"/>
      <c r="X3390" s="50" t="s">
        <v>1017</v>
      </c>
      <c r="AH3390" s="253" t="s">
        <v>1779</v>
      </c>
      <c r="AK3390" t="str">
        <f t="shared" si="1319"/>
        <v>E1a</v>
      </c>
      <c r="AL3390" t="str">
        <f t="shared" si="1320"/>
        <v/>
      </c>
      <c r="AM3390" t="str">
        <f t="shared" si="1321"/>
        <v/>
      </c>
      <c r="AN3390" t="str">
        <f t="shared" si="1322"/>
        <v/>
      </c>
      <c r="AO3390" t="str">
        <f t="shared" si="1323"/>
        <v/>
      </c>
      <c r="AP3390" t="str">
        <f t="shared" si="1324"/>
        <v/>
      </c>
      <c r="AQ3390" t="str">
        <f t="shared" si="1325"/>
        <v/>
      </c>
      <c r="AR3390" t="str">
        <f t="shared" si="1326"/>
        <v/>
      </c>
      <c r="AS3390" t="str">
        <f t="shared" si="1327"/>
        <v/>
      </c>
      <c r="AT3390" t="str">
        <f t="shared" si="1328"/>
        <v>G3</v>
      </c>
      <c r="AU3390" t="str">
        <f t="shared" si="1329"/>
        <v>E1aG3</v>
      </c>
      <c r="AV3390" s="254" t="str">
        <f t="shared" si="1335"/>
        <v>BiK271E1aG3-12</v>
      </c>
      <c r="AW3390">
        <f t="shared" si="1331"/>
        <v>14</v>
      </c>
      <c r="AX3390" t="str">
        <f t="shared" si="1332"/>
        <v>0,15-0,5 MW, Bonusregeln E1a, G3</v>
      </c>
      <c r="AY3390" t="str">
        <f t="shared" si="1333"/>
        <v/>
      </c>
    </row>
    <row r="3391" spans="1:51" x14ac:dyDescent="0.25">
      <c r="A3391" s="615" t="str">
        <f t="shared" si="1334"/>
        <v>BiK271E2aG3-13</v>
      </c>
      <c r="B3391" s="372" t="s">
        <v>5548</v>
      </c>
      <c r="C3391" s="375" t="str">
        <f t="shared" si="1312"/>
        <v>Inbetriebnahme 2013</v>
      </c>
      <c r="D3391" s="372" t="str">
        <f t="shared" si="1313"/>
        <v>0,15-0,5 MW, Bonusregeln E2a, G3</v>
      </c>
      <c r="E3391" s="372"/>
      <c r="F3391" s="459">
        <f t="shared" si="1314"/>
        <v>21.03</v>
      </c>
      <c r="G3391" s="535">
        <v>21.03</v>
      </c>
      <c r="H3391" s="493">
        <f t="shared" si="1315"/>
        <v>16.82</v>
      </c>
      <c r="I3391" s="711"/>
      <c r="J3391" s="669" t="s">
        <v>5805</v>
      </c>
      <c r="K3391" s="23"/>
      <c r="L3391" s="70" t="str">
        <f t="shared" si="1316"/>
        <v/>
      </c>
      <c r="M3391" s="49">
        <f t="shared" si="1317"/>
        <v>21.03</v>
      </c>
      <c r="N3391" s="41">
        <f t="shared" si="1318"/>
        <v>12.054</v>
      </c>
      <c r="O3391" s="43"/>
      <c r="P3391" s="65"/>
      <c r="Q3391" s="65"/>
      <c r="R3391" s="65"/>
      <c r="S3391" s="228" t="s">
        <v>1017</v>
      </c>
      <c r="T3391" s="35"/>
      <c r="U3391" s="65"/>
      <c r="V3391" s="228"/>
      <c r="W3391" s="35"/>
      <c r="X3391" s="50" t="s">
        <v>1017</v>
      </c>
      <c r="AH3391" s="253" t="s">
        <v>1779</v>
      </c>
      <c r="AK3391" t="str">
        <f t="shared" si="1319"/>
        <v/>
      </c>
      <c r="AL3391" t="str">
        <f t="shared" si="1320"/>
        <v/>
      </c>
      <c r="AM3391" t="str">
        <f t="shared" si="1321"/>
        <v/>
      </c>
      <c r="AN3391" t="str">
        <f t="shared" si="1322"/>
        <v/>
      </c>
      <c r="AO3391" t="str">
        <f t="shared" si="1323"/>
        <v>E2a</v>
      </c>
      <c r="AP3391" t="str">
        <f t="shared" si="1324"/>
        <v/>
      </c>
      <c r="AQ3391" t="str">
        <f t="shared" si="1325"/>
        <v/>
      </c>
      <c r="AR3391" t="str">
        <f t="shared" si="1326"/>
        <v/>
      </c>
      <c r="AS3391" t="str">
        <f t="shared" si="1327"/>
        <v/>
      </c>
      <c r="AT3391" t="str">
        <f t="shared" si="1328"/>
        <v>G3</v>
      </c>
      <c r="AU3391" t="str">
        <f t="shared" si="1329"/>
        <v>E2aG3</v>
      </c>
      <c r="AV3391" s="254" t="str">
        <f t="shared" si="1335"/>
        <v>BiK271E2aG3-12</v>
      </c>
      <c r="AW3391">
        <f t="shared" si="1331"/>
        <v>14</v>
      </c>
      <c r="AX3391" t="str">
        <f t="shared" si="1332"/>
        <v>0,15-0,5 MW, Bonusregeln E2a, G3</v>
      </c>
      <c r="AY3391" t="str">
        <f t="shared" si="1333"/>
        <v/>
      </c>
    </row>
    <row r="3392" spans="1:51" x14ac:dyDescent="0.25">
      <c r="A3392" s="615" t="str">
        <f t="shared" si="1334"/>
        <v>BiK271E2bG3-13</v>
      </c>
      <c r="B3392" s="372" t="s">
        <v>5548</v>
      </c>
      <c r="C3392" s="375" t="str">
        <f t="shared" si="1312"/>
        <v>Inbetriebnahme 2013</v>
      </c>
      <c r="D3392" s="372" t="str">
        <f t="shared" si="1313"/>
        <v>0,15-0,5 MW, Bonusregeln E2b, G3</v>
      </c>
      <c r="E3392" s="372"/>
      <c r="F3392" s="459">
        <f t="shared" si="1314"/>
        <v>21.03</v>
      </c>
      <c r="G3392" s="535">
        <v>21.03</v>
      </c>
      <c r="H3392" s="493">
        <f t="shared" si="1315"/>
        <v>16.82</v>
      </c>
      <c r="I3392" s="711"/>
      <c r="J3392" s="669" t="s">
        <v>5805</v>
      </c>
      <c r="K3392" s="23"/>
      <c r="L3392" s="70" t="str">
        <f t="shared" si="1316"/>
        <v/>
      </c>
      <c r="M3392" s="49">
        <f t="shared" si="1317"/>
        <v>21.03</v>
      </c>
      <c r="N3392" s="41">
        <f t="shared" si="1318"/>
        <v>12.054</v>
      </c>
      <c r="O3392" s="43"/>
      <c r="P3392" s="65"/>
      <c r="Q3392" s="65"/>
      <c r="R3392" s="65"/>
      <c r="S3392" s="228"/>
      <c r="T3392" s="35" t="s">
        <v>1017</v>
      </c>
      <c r="U3392" s="65"/>
      <c r="V3392" s="228"/>
      <c r="W3392" s="35"/>
      <c r="X3392" s="50" t="s">
        <v>1017</v>
      </c>
      <c r="AH3392" s="253" t="s">
        <v>1779</v>
      </c>
      <c r="AK3392" t="str">
        <f t="shared" si="1319"/>
        <v/>
      </c>
      <c r="AL3392" t="str">
        <f t="shared" si="1320"/>
        <v/>
      </c>
      <c r="AM3392" t="str">
        <f t="shared" si="1321"/>
        <v/>
      </c>
      <c r="AN3392" t="str">
        <f t="shared" si="1322"/>
        <v/>
      </c>
      <c r="AO3392" t="str">
        <f t="shared" si="1323"/>
        <v/>
      </c>
      <c r="AP3392" t="str">
        <f t="shared" si="1324"/>
        <v>E2b</v>
      </c>
      <c r="AQ3392" t="str">
        <f t="shared" si="1325"/>
        <v/>
      </c>
      <c r="AR3392" t="str">
        <f t="shared" si="1326"/>
        <v/>
      </c>
      <c r="AS3392" t="str">
        <f t="shared" si="1327"/>
        <v/>
      </c>
      <c r="AT3392" t="str">
        <f t="shared" si="1328"/>
        <v>G3</v>
      </c>
      <c r="AU3392" t="str">
        <f t="shared" si="1329"/>
        <v>E2bG3</v>
      </c>
      <c r="AV3392" s="254" t="str">
        <f t="shared" si="1335"/>
        <v>BiK271E2bG3-12</v>
      </c>
      <c r="AW3392">
        <f t="shared" si="1331"/>
        <v>14</v>
      </c>
      <c r="AX3392" t="str">
        <f t="shared" si="1332"/>
        <v>0,15-0,5 MW, Bonusregeln E2b, G3</v>
      </c>
      <c r="AY3392" t="str">
        <f t="shared" si="1333"/>
        <v/>
      </c>
    </row>
    <row r="3393" spans="1:51" x14ac:dyDescent="0.25">
      <c r="A3393" s="615" t="str">
        <f t="shared" ref="A3393:A3412" si="1336">"BiK272"&amp;AU3393&amp;RIGHT("------",6-LEN(AU3393))&amp;RIGHT($M$3360,2)</f>
        <v>BiK272------13</v>
      </c>
      <c r="B3393" s="372" t="s">
        <v>5548</v>
      </c>
      <c r="C3393" s="375" t="str">
        <f t="shared" ref="C3393:C3424" si="1337">"Inbetriebnahme "&amp;$M$3360</f>
        <v>Inbetriebnahme 2013</v>
      </c>
      <c r="D3393" s="372" t="str">
        <f t="shared" ref="D3393:D3424" si="1338">IF(COUNTA(O3393:X3393)=0,AH3393,AH3393&amp;", Bonusregel"&amp;IF(AND(COUNTA(O3393:U3393)&gt;0,COUNTA(V3393:X3393)&gt;0),"n "&amp;AK3393&amp;AL3393&amp;AM3393&amp;AN3393&amp;AO3393&amp;AP3393&amp;AQ3393&amp;", "&amp;AR3393&amp;AS3393&amp;AT3393," "&amp;AK3393&amp;AL3393&amp;AM3393&amp;AN3393&amp;AO3393&amp;AP3393&amp;AQ3393&amp;AR3393&amp;AS3393&amp;AT3393))</f>
        <v>0,5-0,75 MW</v>
      </c>
      <c r="E3393" s="372"/>
      <c r="F3393" s="459">
        <f t="shared" ref="F3393:F3424" si="1339">M3393</f>
        <v>10.78</v>
      </c>
      <c r="G3393" s="535">
        <v>10.78</v>
      </c>
      <c r="H3393" s="493">
        <f t="shared" ref="H3393:H3424" si="1340">IF(ISNUMBER(G3393),ROUND(0.8*G3393,2),"")</f>
        <v>8.6199999999999992</v>
      </c>
      <c r="I3393" s="711"/>
      <c r="J3393" s="669" t="s">
        <v>5805</v>
      </c>
      <c r="K3393" s="23"/>
      <c r="L3393" s="70" t="str">
        <f t="shared" ref="L3393:L3424" si="1341">IF(F3393=M3393,"",FALSE)</f>
        <v/>
      </c>
      <c r="M3393" s="49">
        <f t="shared" ref="M3393:M3424" si="1342">ROUND(N3393,2)+SUMIF(O3393:X3393,"x",$O$3360:$X$3360)</f>
        <v>10.78</v>
      </c>
      <c r="N3393" s="41">
        <f t="shared" ref="N3393:N3424" si="1343">N3314*(1-$Y$3360)</f>
        <v>10.78</v>
      </c>
      <c r="O3393" s="196"/>
      <c r="P3393" s="35"/>
      <c r="Q3393" s="65"/>
      <c r="R3393" s="35"/>
      <c r="S3393" s="228"/>
      <c r="T3393" s="65"/>
      <c r="U3393" s="35"/>
      <c r="V3393" s="228"/>
      <c r="W3393" s="35"/>
      <c r="X3393" s="50"/>
      <c r="AH3393" s="253" t="s">
        <v>1778</v>
      </c>
      <c r="AK3393" t="str">
        <f t="shared" ref="AK3393:AK3424" si="1344">IF(O3393="x",O$3280,"")</f>
        <v/>
      </c>
      <c r="AL3393" t="str">
        <f t="shared" ref="AL3393:AL3424" si="1345">IF(P3393="x",P$3280,"")</f>
        <v/>
      </c>
      <c r="AM3393" t="str">
        <f t="shared" ref="AM3393:AM3424" si="1346">IF(Q3393="x",Q$3280,"")</f>
        <v/>
      </c>
      <c r="AN3393" t="str">
        <f t="shared" ref="AN3393:AN3424" si="1347">IF(R3393="x",R$3280,"")</f>
        <v/>
      </c>
      <c r="AO3393" t="str">
        <f t="shared" ref="AO3393:AO3424" si="1348">IF(S3393="x",S$3280,"")</f>
        <v/>
      </c>
      <c r="AP3393" t="str">
        <f t="shared" ref="AP3393:AP3424" si="1349">IF(T3393="x",T$3280,"")</f>
        <v/>
      </c>
      <c r="AQ3393" t="str">
        <f t="shared" ref="AQ3393:AQ3424" si="1350">IF(U3393="x",U$3280,"")</f>
        <v/>
      </c>
      <c r="AR3393" t="str">
        <f t="shared" ref="AR3393:AR3424" si="1351">IF(V3393="x",V$3280,"")</f>
        <v/>
      </c>
      <c r="AS3393" t="str">
        <f t="shared" ref="AS3393:AS3424" si="1352">IF(W3393="x",W$3280,"")</f>
        <v/>
      </c>
      <c r="AT3393" t="str">
        <f t="shared" ref="AT3393:AT3424" si="1353">IF(X3393="x",X$3280,"")</f>
        <v/>
      </c>
      <c r="AU3393" t="str">
        <f t="shared" ref="AU3393:AU3424" si="1354">AK3393&amp;AL3393&amp;AM3393&amp;AN3393&amp;AO3393&amp;AP3393&amp;AQ3393&amp;AR3393&amp;AS3393&amp;AT3393</f>
        <v/>
      </c>
      <c r="AV3393" s="254" t="str">
        <f t="shared" ref="AV3393:AV3412" si="1355">"BiK272"&amp;AU3393&amp;RIGHT("------",6-LEN(AU3393))&amp;RIGHT($M$3278,2)</f>
        <v>BiK272------12</v>
      </c>
      <c r="AW3393">
        <f t="shared" ref="AW3393:AW3424" si="1356">LEN(AV3393)</f>
        <v>14</v>
      </c>
      <c r="AX3393" t="str">
        <f t="shared" ref="AX3393:AX3424" si="1357">IF(COUNTA(O3393:X3393)=0,AH3393,AH3393&amp;", Bonusregel"&amp;IF(AND(COUNTA(O3393:U3393)&gt;0,COUNTA(V3393:X3393)&gt;0),"n "&amp;AK3393&amp;AL3393&amp;AM3393&amp;AN3393&amp;AO3393&amp;AP3393&amp;AQ3393&amp;", "&amp;AR3393&amp;AS3393&amp;AT3393," "&amp;AK3393&amp;AL3393&amp;AM3393&amp;AN3393&amp;AO3393&amp;AP3393&amp;AQ3393&amp;AR3393&amp;AS3393&amp;AT3393))</f>
        <v>0,5-0,75 MW</v>
      </c>
      <c r="AY3393" t="str">
        <f t="shared" ref="AY3393:AY3424" si="1358">IF(COUNTA(O3393:U3393)&gt;1,"Fehler ESVK",IF(COUNTA(V3393:X3393)&gt;1,"Fehler GAB",IF(AW3393&lt;&gt;14,"Fehler Kategorie","")))</f>
        <v/>
      </c>
    </row>
    <row r="3394" spans="1:51" x14ac:dyDescent="0.25">
      <c r="A3394" s="615" t="str">
        <f t="shared" si="1336"/>
        <v>BiK272E1b---13</v>
      </c>
      <c r="B3394" s="372" t="s">
        <v>5548</v>
      </c>
      <c r="C3394" s="375" t="str">
        <f t="shared" si="1337"/>
        <v>Inbetriebnahme 2013</v>
      </c>
      <c r="D3394" s="372" t="str">
        <f t="shared" si="1338"/>
        <v>0,5-0,75 MW, Bonusregel E1b</v>
      </c>
      <c r="E3394" s="372"/>
      <c r="F3394" s="459">
        <f t="shared" si="1339"/>
        <v>15.78</v>
      </c>
      <c r="G3394" s="535">
        <v>15.78</v>
      </c>
      <c r="H3394" s="493">
        <f t="shared" si="1340"/>
        <v>12.62</v>
      </c>
      <c r="I3394" s="711"/>
      <c r="J3394" s="669" t="s">
        <v>5805</v>
      </c>
      <c r="K3394" s="23"/>
      <c r="L3394" s="70" t="str">
        <f t="shared" si="1341"/>
        <v/>
      </c>
      <c r="M3394" s="49">
        <f t="shared" si="1342"/>
        <v>15.78</v>
      </c>
      <c r="N3394" s="41">
        <f t="shared" si="1343"/>
        <v>10.78</v>
      </c>
      <c r="O3394" s="196"/>
      <c r="P3394" s="253" t="s">
        <v>1017</v>
      </c>
      <c r="Q3394" s="65"/>
      <c r="R3394" s="35"/>
      <c r="S3394" s="228"/>
      <c r="T3394" s="65"/>
      <c r="U3394" s="35"/>
      <c r="V3394" s="228"/>
      <c r="W3394" s="35"/>
      <c r="X3394" s="50"/>
      <c r="AH3394" s="253" t="s">
        <v>1778</v>
      </c>
      <c r="AK3394" t="str">
        <f t="shared" si="1344"/>
        <v/>
      </c>
      <c r="AL3394" t="str">
        <f t="shared" si="1345"/>
        <v>E1b</v>
      </c>
      <c r="AM3394" t="str">
        <f t="shared" si="1346"/>
        <v/>
      </c>
      <c r="AN3394" t="str">
        <f t="shared" si="1347"/>
        <v/>
      </c>
      <c r="AO3394" t="str">
        <f t="shared" si="1348"/>
        <v/>
      </c>
      <c r="AP3394" t="str">
        <f t="shared" si="1349"/>
        <v/>
      </c>
      <c r="AQ3394" t="str">
        <f t="shared" si="1350"/>
        <v/>
      </c>
      <c r="AR3394" t="str">
        <f t="shared" si="1351"/>
        <v/>
      </c>
      <c r="AS3394" t="str">
        <f t="shared" si="1352"/>
        <v/>
      </c>
      <c r="AT3394" t="str">
        <f t="shared" si="1353"/>
        <v/>
      </c>
      <c r="AU3394" t="str">
        <f t="shared" si="1354"/>
        <v>E1b</v>
      </c>
      <c r="AV3394" s="254" t="str">
        <f t="shared" si="1355"/>
        <v>BiK272E1b---12</v>
      </c>
      <c r="AW3394">
        <f t="shared" si="1356"/>
        <v>14</v>
      </c>
      <c r="AX3394" t="str">
        <f t="shared" si="1357"/>
        <v>0,5-0,75 MW, Bonusregel E1b</v>
      </c>
      <c r="AY3394" t="str">
        <f t="shared" si="1358"/>
        <v/>
      </c>
    </row>
    <row r="3395" spans="1:51" x14ac:dyDescent="0.25">
      <c r="A3395" s="615" t="str">
        <f t="shared" si="1336"/>
        <v>BiK272E1d---13</v>
      </c>
      <c r="B3395" s="372" t="s">
        <v>5548</v>
      </c>
      <c r="C3395" s="375" t="str">
        <f t="shared" si="1337"/>
        <v>Inbetriebnahme 2013</v>
      </c>
      <c r="D3395" s="372" t="str">
        <f t="shared" si="1338"/>
        <v>0,5-0,75 MW, Bonusregel E1d</v>
      </c>
      <c r="E3395" s="372"/>
      <c r="F3395" s="459">
        <f t="shared" si="1339"/>
        <v>13.28</v>
      </c>
      <c r="G3395" s="535">
        <v>13.28</v>
      </c>
      <c r="H3395" s="493">
        <f t="shared" si="1340"/>
        <v>10.62</v>
      </c>
      <c r="I3395" s="711"/>
      <c r="J3395" s="669" t="s">
        <v>5805</v>
      </c>
      <c r="K3395" s="23"/>
      <c r="L3395" s="70" t="str">
        <f t="shared" si="1341"/>
        <v/>
      </c>
      <c r="M3395" s="49">
        <f t="shared" si="1342"/>
        <v>13.28</v>
      </c>
      <c r="N3395" s="41">
        <f t="shared" si="1343"/>
        <v>10.78</v>
      </c>
      <c r="O3395" s="196"/>
      <c r="P3395" s="35"/>
      <c r="Q3395" s="65"/>
      <c r="R3395" s="253" t="s">
        <v>1017</v>
      </c>
      <c r="S3395" s="228"/>
      <c r="T3395" s="65"/>
      <c r="U3395" s="35"/>
      <c r="V3395" s="228"/>
      <c r="W3395" s="35"/>
      <c r="X3395" s="50"/>
      <c r="AH3395" s="253" t="s">
        <v>1778</v>
      </c>
      <c r="AK3395" t="str">
        <f t="shared" si="1344"/>
        <v/>
      </c>
      <c r="AL3395" t="str">
        <f t="shared" si="1345"/>
        <v/>
      </c>
      <c r="AM3395" t="str">
        <f t="shared" si="1346"/>
        <v/>
      </c>
      <c r="AN3395" t="str">
        <f t="shared" si="1347"/>
        <v>E1d</v>
      </c>
      <c r="AO3395" t="str">
        <f t="shared" si="1348"/>
        <v/>
      </c>
      <c r="AP3395" t="str">
        <f t="shared" si="1349"/>
        <v/>
      </c>
      <c r="AQ3395" t="str">
        <f t="shared" si="1350"/>
        <v/>
      </c>
      <c r="AR3395" t="str">
        <f t="shared" si="1351"/>
        <v/>
      </c>
      <c r="AS3395" t="str">
        <f t="shared" si="1352"/>
        <v/>
      </c>
      <c r="AT3395" t="str">
        <f t="shared" si="1353"/>
        <v/>
      </c>
      <c r="AU3395" t="str">
        <f t="shared" si="1354"/>
        <v>E1d</v>
      </c>
      <c r="AV3395" s="254" t="str">
        <f t="shared" si="1355"/>
        <v>BiK272E1d---12</v>
      </c>
      <c r="AW3395">
        <f t="shared" si="1356"/>
        <v>14</v>
      </c>
      <c r="AX3395" t="str">
        <f t="shared" si="1357"/>
        <v>0,5-0,75 MW, Bonusregel E1d</v>
      </c>
      <c r="AY3395" t="str">
        <f t="shared" si="1358"/>
        <v/>
      </c>
    </row>
    <row r="3396" spans="1:51" x14ac:dyDescent="0.25">
      <c r="A3396" s="615" t="str">
        <f t="shared" si="1336"/>
        <v>BiK272E2a---13</v>
      </c>
      <c r="B3396" s="372" t="s">
        <v>5548</v>
      </c>
      <c r="C3396" s="375" t="str">
        <f t="shared" si="1337"/>
        <v>Inbetriebnahme 2013</v>
      </c>
      <c r="D3396" s="372" t="str">
        <f t="shared" si="1338"/>
        <v>0,5-0,75 MW, Bonusregel E2a</v>
      </c>
      <c r="E3396" s="372"/>
      <c r="F3396" s="459">
        <f t="shared" si="1339"/>
        <v>18.78</v>
      </c>
      <c r="G3396" s="535">
        <v>18.78</v>
      </c>
      <c r="H3396" s="493">
        <f t="shared" si="1340"/>
        <v>15.02</v>
      </c>
      <c r="I3396" s="711"/>
      <c r="J3396" s="669" t="s">
        <v>5805</v>
      </c>
      <c r="K3396" s="23"/>
      <c r="L3396" s="70" t="str">
        <f t="shared" si="1341"/>
        <v/>
      </c>
      <c r="M3396" s="49">
        <f t="shared" si="1342"/>
        <v>18.78</v>
      </c>
      <c r="N3396" s="41">
        <f t="shared" si="1343"/>
        <v>10.78</v>
      </c>
      <c r="O3396" s="196"/>
      <c r="P3396" s="35"/>
      <c r="Q3396" s="65"/>
      <c r="R3396" s="35"/>
      <c r="S3396" s="228" t="s">
        <v>1017</v>
      </c>
      <c r="T3396" s="65"/>
      <c r="U3396" s="35"/>
      <c r="V3396" s="228"/>
      <c r="W3396" s="35"/>
      <c r="X3396" s="50"/>
      <c r="AH3396" s="253" t="s">
        <v>1778</v>
      </c>
      <c r="AK3396" t="str">
        <f t="shared" si="1344"/>
        <v/>
      </c>
      <c r="AL3396" t="str">
        <f t="shared" si="1345"/>
        <v/>
      </c>
      <c r="AM3396" t="str">
        <f t="shared" si="1346"/>
        <v/>
      </c>
      <c r="AN3396" t="str">
        <f t="shared" si="1347"/>
        <v/>
      </c>
      <c r="AO3396" t="str">
        <f t="shared" si="1348"/>
        <v>E2a</v>
      </c>
      <c r="AP3396" t="str">
        <f t="shared" si="1349"/>
        <v/>
      </c>
      <c r="AQ3396" t="str">
        <f t="shared" si="1350"/>
        <v/>
      </c>
      <c r="AR3396" t="str">
        <f t="shared" si="1351"/>
        <v/>
      </c>
      <c r="AS3396" t="str">
        <f t="shared" si="1352"/>
        <v/>
      </c>
      <c r="AT3396" t="str">
        <f t="shared" si="1353"/>
        <v/>
      </c>
      <c r="AU3396" t="str">
        <f t="shared" si="1354"/>
        <v>E2a</v>
      </c>
      <c r="AV3396" s="254" t="str">
        <f t="shared" si="1355"/>
        <v>BiK272E2a---12</v>
      </c>
      <c r="AW3396">
        <f t="shared" si="1356"/>
        <v>14</v>
      </c>
      <c r="AX3396" t="str">
        <f t="shared" si="1357"/>
        <v>0,5-0,75 MW, Bonusregel E2a</v>
      </c>
      <c r="AY3396" t="str">
        <f t="shared" si="1358"/>
        <v/>
      </c>
    </row>
    <row r="3397" spans="1:51" x14ac:dyDescent="0.25">
      <c r="A3397" s="615" t="str">
        <f t="shared" si="1336"/>
        <v>BiK272E2c---13</v>
      </c>
      <c r="B3397" s="372" t="s">
        <v>5548</v>
      </c>
      <c r="C3397" s="375" t="str">
        <f t="shared" si="1337"/>
        <v>Inbetriebnahme 2013</v>
      </c>
      <c r="D3397" s="372" t="str">
        <f t="shared" si="1338"/>
        <v>0,5-0,75 MW, Bonusregel E2c</v>
      </c>
      <c r="E3397" s="372"/>
      <c r="F3397" s="459">
        <f t="shared" si="1339"/>
        <v>16.78</v>
      </c>
      <c r="G3397" s="535">
        <v>16.78</v>
      </c>
      <c r="H3397" s="493">
        <f t="shared" si="1340"/>
        <v>13.42</v>
      </c>
      <c r="I3397" s="711"/>
      <c r="J3397" s="669" t="s">
        <v>5805</v>
      </c>
      <c r="K3397" s="23"/>
      <c r="L3397" s="70" t="str">
        <f t="shared" si="1341"/>
        <v/>
      </c>
      <c r="M3397" s="49">
        <f t="shared" si="1342"/>
        <v>16.78</v>
      </c>
      <c r="N3397" s="41">
        <f t="shared" si="1343"/>
        <v>10.78</v>
      </c>
      <c r="O3397" s="196"/>
      <c r="P3397" s="35"/>
      <c r="Q3397" s="65"/>
      <c r="R3397" s="35"/>
      <c r="S3397" s="228"/>
      <c r="T3397" s="65"/>
      <c r="U3397" s="253" t="s">
        <v>1017</v>
      </c>
      <c r="V3397" s="228"/>
      <c r="W3397" s="35"/>
      <c r="X3397" s="50"/>
      <c r="AH3397" s="253" t="s">
        <v>1778</v>
      </c>
      <c r="AK3397" t="str">
        <f t="shared" si="1344"/>
        <v/>
      </c>
      <c r="AL3397" t="str">
        <f t="shared" si="1345"/>
        <v/>
      </c>
      <c r="AM3397" t="str">
        <f t="shared" si="1346"/>
        <v/>
      </c>
      <c r="AN3397" t="str">
        <f t="shared" si="1347"/>
        <v/>
      </c>
      <c r="AO3397" t="str">
        <f t="shared" si="1348"/>
        <v/>
      </c>
      <c r="AP3397" t="str">
        <f t="shared" si="1349"/>
        <v/>
      </c>
      <c r="AQ3397" t="str">
        <f t="shared" si="1350"/>
        <v>E2c</v>
      </c>
      <c r="AR3397" t="str">
        <f t="shared" si="1351"/>
        <v/>
      </c>
      <c r="AS3397" t="str">
        <f t="shared" si="1352"/>
        <v/>
      </c>
      <c r="AT3397" t="str">
        <f t="shared" si="1353"/>
        <v/>
      </c>
      <c r="AU3397" t="str">
        <f t="shared" si="1354"/>
        <v>E2c</v>
      </c>
      <c r="AV3397" s="254" t="str">
        <f t="shared" si="1355"/>
        <v>BiK272E2c---12</v>
      </c>
      <c r="AW3397">
        <f t="shared" si="1356"/>
        <v>14</v>
      </c>
      <c r="AX3397" t="str">
        <f t="shared" si="1357"/>
        <v>0,5-0,75 MW, Bonusregel E2c</v>
      </c>
      <c r="AY3397" t="str">
        <f t="shared" si="1358"/>
        <v/>
      </c>
    </row>
    <row r="3398" spans="1:51" x14ac:dyDescent="0.25">
      <c r="A3398" s="615" t="str">
        <f t="shared" si="1336"/>
        <v>BiK272G1----13</v>
      </c>
      <c r="B3398" s="372" t="s">
        <v>5548</v>
      </c>
      <c r="C3398" s="375" t="str">
        <f t="shared" si="1337"/>
        <v>Inbetriebnahme 2013</v>
      </c>
      <c r="D3398" s="372" t="str">
        <f t="shared" si="1338"/>
        <v>0,5-0,75 MW, Bonusregel G1</v>
      </c>
      <c r="E3398" s="372"/>
      <c r="F3398" s="459">
        <f t="shared" si="1339"/>
        <v>13.719999999999999</v>
      </c>
      <c r="G3398" s="535">
        <v>13.719999999999999</v>
      </c>
      <c r="H3398" s="493">
        <f t="shared" si="1340"/>
        <v>10.98</v>
      </c>
      <c r="I3398" s="711"/>
      <c r="J3398" s="669" t="s">
        <v>5805</v>
      </c>
      <c r="K3398" s="23"/>
      <c r="L3398" s="70" t="str">
        <f t="shared" si="1341"/>
        <v/>
      </c>
      <c r="M3398" s="49">
        <f t="shared" si="1342"/>
        <v>13.719999999999999</v>
      </c>
      <c r="N3398" s="41">
        <f t="shared" si="1343"/>
        <v>10.78</v>
      </c>
      <c r="O3398" s="196"/>
      <c r="P3398" s="35"/>
      <c r="Q3398" s="65"/>
      <c r="R3398" s="35"/>
      <c r="S3398" s="228"/>
      <c r="T3398" s="65"/>
      <c r="U3398" s="35"/>
      <c r="V3398" s="228" t="s">
        <v>1017</v>
      </c>
      <c r="W3398" s="35"/>
      <c r="X3398" s="50"/>
      <c r="AH3398" s="253" t="s">
        <v>1778</v>
      </c>
      <c r="AK3398" t="str">
        <f t="shared" si="1344"/>
        <v/>
      </c>
      <c r="AL3398" t="str">
        <f t="shared" si="1345"/>
        <v/>
      </c>
      <c r="AM3398" t="str">
        <f t="shared" si="1346"/>
        <v/>
      </c>
      <c r="AN3398" t="str">
        <f t="shared" si="1347"/>
        <v/>
      </c>
      <c r="AO3398" t="str">
        <f t="shared" si="1348"/>
        <v/>
      </c>
      <c r="AP3398" t="str">
        <f t="shared" si="1349"/>
        <v/>
      </c>
      <c r="AQ3398" t="str">
        <f t="shared" si="1350"/>
        <v/>
      </c>
      <c r="AR3398" t="str">
        <f t="shared" si="1351"/>
        <v>G1</v>
      </c>
      <c r="AS3398" t="str">
        <f t="shared" si="1352"/>
        <v/>
      </c>
      <c r="AT3398" t="str">
        <f t="shared" si="1353"/>
        <v/>
      </c>
      <c r="AU3398" t="str">
        <f t="shared" si="1354"/>
        <v>G1</v>
      </c>
      <c r="AV3398" s="254" t="str">
        <f t="shared" si="1355"/>
        <v>BiK272G1----12</v>
      </c>
      <c r="AW3398">
        <f t="shared" si="1356"/>
        <v>14</v>
      </c>
      <c r="AX3398" t="str">
        <f t="shared" si="1357"/>
        <v>0,5-0,75 MW, Bonusregel G1</v>
      </c>
      <c r="AY3398" t="str">
        <f t="shared" si="1358"/>
        <v/>
      </c>
    </row>
    <row r="3399" spans="1:51" x14ac:dyDescent="0.25">
      <c r="A3399" s="615" t="str">
        <f t="shared" si="1336"/>
        <v>BiK272E1bG1-13</v>
      </c>
      <c r="B3399" s="372" t="s">
        <v>5548</v>
      </c>
      <c r="C3399" s="375" t="str">
        <f t="shared" si="1337"/>
        <v>Inbetriebnahme 2013</v>
      </c>
      <c r="D3399" s="372" t="str">
        <f t="shared" si="1338"/>
        <v>0,5-0,75 MW, Bonusregeln E1b, G1</v>
      </c>
      <c r="E3399" s="372"/>
      <c r="F3399" s="459">
        <f t="shared" si="1339"/>
        <v>18.72</v>
      </c>
      <c r="G3399" s="535">
        <v>18.72</v>
      </c>
      <c r="H3399" s="493">
        <f t="shared" si="1340"/>
        <v>14.98</v>
      </c>
      <c r="I3399" s="711"/>
      <c r="J3399" s="669" t="s">
        <v>5805</v>
      </c>
      <c r="K3399" s="23"/>
      <c r="L3399" s="70" t="str">
        <f t="shared" si="1341"/>
        <v/>
      </c>
      <c r="M3399" s="49">
        <f t="shared" si="1342"/>
        <v>18.72</v>
      </c>
      <c r="N3399" s="41">
        <f t="shared" si="1343"/>
        <v>10.78</v>
      </c>
      <c r="O3399" s="196"/>
      <c r="P3399" s="253" t="s">
        <v>1017</v>
      </c>
      <c r="Q3399" s="65"/>
      <c r="R3399" s="35"/>
      <c r="S3399" s="228"/>
      <c r="T3399" s="65"/>
      <c r="U3399" s="35"/>
      <c r="V3399" s="228" t="s">
        <v>1017</v>
      </c>
      <c r="W3399" s="35"/>
      <c r="X3399" s="50"/>
      <c r="AH3399" s="253" t="s">
        <v>1778</v>
      </c>
      <c r="AK3399" t="str">
        <f t="shared" si="1344"/>
        <v/>
      </c>
      <c r="AL3399" t="str">
        <f t="shared" si="1345"/>
        <v>E1b</v>
      </c>
      <c r="AM3399" t="str">
        <f t="shared" si="1346"/>
        <v/>
      </c>
      <c r="AN3399" t="str">
        <f t="shared" si="1347"/>
        <v/>
      </c>
      <c r="AO3399" t="str">
        <f t="shared" si="1348"/>
        <v/>
      </c>
      <c r="AP3399" t="str">
        <f t="shared" si="1349"/>
        <v/>
      </c>
      <c r="AQ3399" t="str">
        <f t="shared" si="1350"/>
        <v/>
      </c>
      <c r="AR3399" t="str">
        <f t="shared" si="1351"/>
        <v>G1</v>
      </c>
      <c r="AS3399" t="str">
        <f t="shared" si="1352"/>
        <v/>
      </c>
      <c r="AT3399" t="str">
        <f t="shared" si="1353"/>
        <v/>
      </c>
      <c r="AU3399" t="str">
        <f t="shared" si="1354"/>
        <v>E1bG1</v>
      </c>
      <c r="AV3399" s="254" t="str">
        <f t="shared" si="1355"/>
        <v>BiK272E1bG1-12</v>
      </c>
      <c r="AW3399">
        <f t="shared" si="1356"/>
        <v>14</v>
      </c>
      <c r="AX3399" t="str">
        <f t="shared" si="1357"/>
        <v>0,5-0,75 MW, Bonusregeln E1b, G1</v>
      </c>
      <c r="AY3399" t="str">
        <f t="shared" si="1358"/>
        <v/>
      </c>
    </row>
    <row r="3400" spans="1:51" x14ac:dyDescent="0.25">
      <c r="A3400" s="615" t="str">
        <f t="shared" si="1336"/>
        <v>BiK272E1dG1-13</v>
      </c>
      <c r="B3400" s="372" t="s">
        <v>5548</v>
      </c>
      <c r="C3400" s="375" t="str">
        <f t="shared" si="1337"/>
        <v>Inbetriebnahme 2013</v>
      </c>
      <c r="D3400" s="372" t="str">
        <f t="shared" si="1338"/>
        <v>0,5-0,75 MW, Bonusregeln E1d, G1</v>
      </c>
      <c r="E3400" s="372"/>
      <c r="F3400" s="459">
        <f t="shared" si="1339"/>
        <v>16.22</v>
      </c>
      <c r="G3400" s="535">
        <v>16.22</v>
      </c>
      <c r="H3400" s="493">
        <f t="shared" si="1340"/>
        <v>12.98</v>
      </c>
      <c r="I3400" s="711"/>
      <c r="J3400" s="669" t="s">
        <v>5805</v>
      </c>
      <c r="K3400" s="23"/>
      <c r="L3400" s="70" t="str">
        <f t="shared" si="1341"/>
        <v/>
      </c>
      <c r="M3400" s="49">
        <f t="shared" si="1342"/>
        <v>16.22</v>
      </c>
      <c r="N3400" s="41">
        <f t="shared" si="1343"/>
        <v>10.78</v>
      </c>
      <c r="O3400" s="196"/>
      <c r="P3400" s="35"/>
      <c r="Q3400" s="65"/>
      <c r="R3400" s="253" t="s">
        <v>1017</v>
      </c>
      <c r="S3400" s="228"/>
      <c r="T3400" s="65"/>
      <c r="U3400" s="35"/>
      <c r="V3400" s="228" t="s">
        <v>1017</v>
      </c>
      <c r="W3400" s="35"/>
      <c r="X3400" s="50"/>
      <c r="AH3400" s="253" t="s">
        <v>1778</v>
      </c>
      <c r="AK3400" t="str">
        <f t="shared" si="1344"/>
        <v/>
      </c>
      <c r="AL3400" t="str">
        <f t="shared" si="1345"/>
        <v/>
      </c>
      <c r="AM3400" t="str">
        <f t="shared" si="1346"/>
        <v/>
      </c>
      <c r="AN3400" t="str">
        <f t="shared" si="1347"/>
        <v>E1d</v>
      </c>
      <c r="AO3400" t="str">
        <f t="shared" si="1348"/>
        <v/>
      </c>
      <c r="AP3400" t="str">
        <f t="shared" si="1349"/>
        <v/>
      </c>
      <c r="AQ3400" t="str">
        <f t="shared" si="1350"/>
        <v/>
      </c>
      <c r="AR3400" t="str">
        <f t="shared" si="1351"/>
        <v>G1</v>
      </c>
      <c r="AS3400" t="str">
        <f t="shared" si="1352"/>
        <v/>
      </c>
      <c r="AT3400" t="str">
        <f t="shared" si="1353"/>
        <v/>
      </c>
      <c r="AU3400" t="str">
        <f t="shared" si="1354"/>
        <v>E1dG1</v>
      </c>
      <c r="AV3400" s="254" t="str">
        <f t="shared" si="1355"/>
        <v>BiK272E1dG1-12</v>
      </c>
      <c r="AW3400">
        <f t="shared" si="1356"/>
        <v>14</v>
      </c>
      <c r="AX3400" t="str">
        <f t="shared" si="1357"/>
        <v>0,5-0,75 MW, Bonusregeln E1d, G1</v>
      </c>
      <c r="AY3400" t="str">
        <f t="shared" si="1358"/>
        <v/>
      </c>
    </row>
    <row r="3401" spans="1:51" x14ac:dyDescent="0.25">
      <c r="A3401" s="615" t="str">
        <f t="shared" si="1336"/>
        <v>BiK272E2aG1-13</v>
      </c>
      <c r="B3401" s="372" t="s">
        <v>5548</v>
      </c>
      <c r="C3401" s="375" t="str">
        <f t="shared" si="1337"/>
        <v>Inbetriebnahme 2013</v>
      </c>
      <c r="D3401" s="372" t="str">
        <f t="shared" si="1338"/>
        <v>0,5-0,75 MW, Bonusregeln E2a, G1</v>
      </c>
      <c r="E3401" s="372"/>
      <c r="F3401" s="459">
        <f t="shared" si="1339"/>
        <v>21.72</v>
      </c>
      <c r="G3401" s="535">
        <v>21.72</v>
      </c>
      <c r="H3401" s="493">
        <f t="shared" si="1340"/>
        <v>17.38</v>
      </c>
      <c r="I3401" s="711"/>
      <c r="J3401" s="669" t="s">
        <v>5805</v>
      </c>
      <c r="K3401" s="23"/>
      <c r="L3401" s="70" t="str">
        <f t="shared" si="1341"/>
        <v/>
      </c>
      <c r="M3401" s="49">
        <f t="shared" si="1342"/>
        <v>21.72</v>
      </c>
      <c r="N3401" s="41">
        <f t="shared" si="1343"/>
        <v>10.78</v>
      </c>
      <c r="O3401" s="196"/>
      <c r="P3401" s="35"/>
      <c r="Q3401" s="65"/>
      <c r="R3401" s="35"/>
      <c r="S3401" s="228" t="s">
        <v>1017</v>
      </c>
      <c r="T3401" s="65"/>
      <c r="U3401" s="35"/>
      <c r="V3401" s="228" t="s">
        <v>1017</v>
      </c>
      <c r="W3401" s="35"/>
      <c r="X3401" s="50"/>
      <c r="AH3401" s="253" t="s">
        <v>1778</v>
      </c>
      <c r="AK3401" t="str">
        <f t="shared" si="1344"/>
        <v/>
      </c>
      <c r="AL3401" t="str">
        <f t="shared" si="1345"/>
        <v/>
      </c>
      <c r="AM3401" t="str">
        <f t="shared" si="1346"/>
        <v/>
      </c>
      <c r="AN3401" t="str">
        <f t="shared" si="1347"/>
        <v/>
      </c>
      <c r="AO3401" t="str">
        <f t="shared" si="1348"/>
        <v>E2a</v>
      </c>
      <c r="AP3401" t="str">
        <f t="shared" si="1349"/>
        <v/>
      </c>
      <c r="AQ3401" t="str">
        <f t="shared" si="1350"/>
        <v/>
      </c>
      <c r="AR3401" t="str">
        <f t="shared" si="1351"/>
        <v>G1</v>
      </c>
      <c r="AS3401" t="str">
        <f t="shared" si="1352"/>
        <v/>
      </c>
      <c r="AT3401" t="str">
        <f t="shared" si="1353"/>
        <v/>
      </c>
      <c r="AU3401" t="str">
        <f t="shared" si="1354"/>
        <v>E2aG1</v>
      </c>
      <c r="AV3401" s="254" t="str">
        <f t="shared" si="1355"/>
        <v>BiK272E2aG1-12</v>
      </c>
      <c r="AW3401">
        <f t="shared" si="1356"/>
        <v>14</v>
      </c>
      <c r="AX3401" t="str">
        <f t="shared" si="1357"/>
        <v>0,5-0,75 MW, Bonusregeln E2a, G1</v>
      </c>
      <c r="AY3401" t="str">
        <f t="shared" si="1358"/>
        <v/>
      </c>
    </row>
    <row r="3402" spans="1:51" x14ac:dyDescent="0.25">
      <c r="A3402" s="615" t="str">
        <f t="shared" si="1336"/>
        <v>BiK272E2cG1-13</v>
      </c>
      <c r="B3402" s="372" t="s">
        <v>5548</v>
      </c>
      <c r="C3402" s="375" t="str">
        <f t="shared" si="1337"/>
        <v>Inbetriebnahme 2013</v>
      </c>
      <c r="D3402" s="372" t="str">
        <f t="shared" si="1338"/>
        <v>0,5-0,75 MW, Bonusregeln E2c, G1</v>
      </c>
      <c r="E3402" s="372"/>
      <c r="F3402" s="459">
        <f t="shared" si="1339"/>
        <v>19.72</v>
      </c>
      <c r="G3402" s="535">
        <v>19.72</v>
      </c>
      <c r="H3402" s="493">
        <f t="shared" si="1340"/>
        <v>15.78</v>
      </c>
      <c r="I3402" s="711"/>
      <c r="J3402" s="669" t="s">
        <v>5805</v>
      </c>
      <c r="K3402" s="23"/>
      <c r="L3402" s="70" t="str">
        <f t="shared" si="1341"/>
        <v/>
      </c>
      <c r="M3402" s="49">
        <f t="shared" si="1342"/>
        <v>19.72</v>
      </c>
      <c r="N3402" s="41">
        <f t="shared" si="1343"/>
        <v>10.78</v>
      </c>
      <c r="O3402" s="196"/>
      <c r="P3402" s="35"/>
      <c r="Q3402" s="65"/>
      <c r="R3402" s="35"/>
      <c r="S3402" s="228"/>
      <c r="T3402" s="65"/>
      <c r="U3402" s="253" t="s">
        <v>1017</v>
      </c>
      <c r="V3402" s="228" t="s">
        <v>1017</v>
      </c>
      <c r="W3402" s="253"/>
      <c r="X3402" s="50"/>
      <c r="AH3402" s="253" t="s">
        <v>1778</v>
      </c>
      <c r="AK3402" t="str">
        <f t="shared" si="1344"/>
        <v/>
      </c>
      <c r="AL3402" t="str">
        <f t="shared" si="1345"/>
        <v/>
      </c>
      <c r="AM3402" t="str">
        <f t="shared" si="1346"/>
        <v/>
      </c>
      <c r="AN3402" t="str">
        <f t="shared" si="1347"/>
        <v/>
      </c>
      <c r="AO3402" t="str">
        <f t="shared" si="1348"/>
        <v/>
      </c>
      <c r="AP3402" t="str">
        <f t="shared" si="1349"/>
        <v/>
      </c>
      <c r="AQ3402" t="str">
        <f t="shared" si="1350"/>
        <v>E2c</v>
      </c>
      <c r="AR3402" t="str">
        <f t="shared" si="1351"/>
        <v>G1</v>
      </c>
      <c r="AS3402" t="str">
        <f t="shared" si="1352"/>
        <v/>
      </c>
      <c r="AT3402" t="str">
        <f t="shared" si="1353"/>
        <v/>
      </c>
      <c r="AU3402" t="str">
        <f t="shared" si="1354"/>
        <v>E2cG1</v>
      </c>
      <c r="AV3402" s="254" t="str">
        <f t="shared" si="1355"/>
        <v>BiK272E2cG1-12</v>
      </c>
      <c r="AW3402">
        <f t="shared" si="1356"/>
        <v>14</v>
      </c>
      <c r="AX3402" t="str">
        <f t="shared" si="1357"/>
        <v>0,5-0,75 MW, Bonusregeln E2c, G1</v>
      </c>
      <c r="AY3402" t="str">
        <f t="shared" si="1358"/>
        <v/>
      </c>
    </row>
    <row r="3403" spans="1:51" x14ac:dyDescent="0.25">
      <c r="A3403" s="615" t="str">
        <f t="shared" si="1336"/>
        <v>BiK272G2----13</v>
      </c>
      <c r="B3403" s="372" t="s">
        <v>5548</v>
      </c>
      <c r="C3403" s="375" t="str">
        <f t="shared" si="1337"/>
        <v>Inbetriebnahme 2013</v>
      </c>
      <c r="D3403" s="372" t="str">
        <f t="shared" si="1338"/>
        <v>0,5-0,75 MW, Bonusregel G2</v>
      </c>
      <c r="E3403" s="372"/>
      <c r="F3403" s="459">
        <f t="shared" si="1339"/>
        <v>12.739999999999998</v>
      </c>
      <c r="G3403" s="535">
        <v>12.739999999999998</v>
      </c>
      <c r="H3403" s="493">
        <f t="shared" si="1340"/>
        <v>10.19</v>
      </c>
      <c r="I3403" s="711"/>
      <c r="J3403" s="669" t="s">
        <v>5805</v>
      </c>
      <c r="K3403" s="23"/>
      <c r="L3403" s="70" t="str">
        <f t="shared" si="1341"/>
        <v/>
      </c>
      <c r="M3403" s="49">
        <f t="shared" si="1342"/>
        <v>12.739999999999998</v>
      </c>
      <c r="N3403" s="41">
        <f t="shared" si="1343"/>
        <v>10.78</v>
      </c>
      <c r="O3403" s="196"/>
      <c r="P3403" s="35"/>
      <c r="Q3403" s="65"/>
      <c r="R3403" s="35"/>
      <c r="S3403" s="228"/>
      <c r="T3403" s="65"/>
      <c r="U3403" s="35"/>
      <c r="V3403" s="228"/>
      <c r="W3403" s="253" t="s">
        <v>1017</v>
      </c>
      <c r="X3403" s="50"/>
      <c r="AH3403" s="253" t="s">
        <v>1778</v>
      </c>
      <c r="AK3403" t="str">
        <f t="shared" si="1344"/>
        <v/>
      </c>
      <c r="AL3403" t="str">
        <f t="shared" si="1345"/>
        <v/>
      </c>
      <c r="AM3403" t="str">
        <f t="shared" si="1346"/>
        <v/>
      </c>
      <c r="AN3403" t="str">
        <f t="shared" si="1347"/>
        <v/>
      </c>
      <c r="AO3403" t="str">
        <f t="shared" si="1348"/>
        <v/>
      </c>
      <c r="AP3403" t="str">
        <f t="shared" si="1349"/>
        <v/>
      </c>
      <c r="AQ3403" t="str">
        <f t="shared" si="1350"/>
        <v/>
      </c>
      <c r="AR3403" t="str">
        <f t="shared" si="1351"/>
        <v/>
      </c>
      <c r="AS3403" t="str">
        <f t="shared" si="1352"/>
        <v>G2</v>
      </c>
      <c r="AT3403" t="str">
        <f t="shared" si="1353"/>
        <v/>
      </c>
      <c r="AU3403" t="str">
        <f t="shared" si="1354"/>
        <v>G2</v>
      </c>
      <c r="AV3403" s="254" t="str">
        <f t="shared" si="1355"/>
        <v>BiK272G2----12</v>
      </c>
      <c r="AW3403">
        <f t="shared" si="1356"/>
        <v>14</v>
      </c>
      <c r="AX3403" t="str">
        <f t="shared" si="1357"/>
        <v>0,5-0,75 MW, Bonusregel G2</v>
      </c>
      <c r="AY3403" t="str">
        <f t="shared" si="1358"/>
        <v/>
      </c>
    </row>
    <row r="3404" spans="1:51" x14ac:dyDescent="0.25">
      <c r="A3404" s="615" t="str">
        <f t="shared" si="1336"/>
        <v>BiK272E1bG2-13</v>
      </c>
      <c r="B3404" s="372" t="s">
        <v>5548</v>
      </c>
      <c r="C3404" s="375" t="str">
        <f t="shared" si="1337"/>
        <v>Inbetriebnahme 2013</v>
      </c>
      <c r="D3404" s="372" t="str">
        <f t="shared" si="1338"/>
        <v>0,5-0,75 MW, Bonusregeln E1b, G2</v>
      </c>
      <c r="E3404" s="372"/>
      <c r="F3404" s="459">
        <f t="shared" si="1339"/>
        <v>17.739999999999998</v>
      </c>
      <c r="G3404" s="535">
        <v>17.739999999999998</v>
      </c>
      <c r="H3404" s="493">
        <f t="shared" si="1340"/>
        <v>14.19</v>
      </c>
      <c r="I3404" s="711"/>
      <c r="J3404" s="669" t="s">
        <v>5805</v>
      </c>
      <c r="K3404" s="23"/>
      <c r="L3404" s="70" t="str">
        <f t="shared" si="1341"/>
        <v/>
      </c>
      <c r="M3404" s="49">
        <f t="shared" si="1342"/>
        <v>17.739999999999998</v>
      </c>
      <c r="N3404" s="41">
        <f t="shared" si="1343"/>
        <v>10.78</v>
      </c>
      <c r="O3404" s="196"/>
      <c r="P3404" s="253" t="s">
        <v>1017</v>
      </c>
      <c r="Q3404" s="65"/>
      <c r="R3404" s="35"/>
      <c r="S3404" s="228"/>
      <c r="T3404" s="65"/>
      <c r="U3404" s="35"/>
      <c r="V3404" s="228"/>
      <c r="W3404" s="253" t="s">
        <v>1017</v>
      </c>
      <c r="X3404" s="50"/>
      <c r="AH3404" s="253" t="s">
        <v>1778</v>
      </c>
      <c r="AK3404" t="str">
        <f t="shared" si="1344"/>
        <v/>
      </c>
      <c r="AL3404" t="str">
        <f t="shared" si="1345"/>
        <v>E1b</v>
      </c>
      <c r="AM3404" t="str">
        <f t="shared" si="1346"/>
        <v/>
      </c>
      <c r="AN3404" t="str">
        <f t="shared" si="1347"/>
        <v/>
      </c>
      <c r="AO3404" t="str">
        <f t="shared" si="1348"/>
        <v/>
      </c>
      <c r="AP3404" t="str">
        <f t="shared" si="1349"/>
        <v/>
      </c>
      <c r="AQ3404" t="str">
        <f t="shared" si="1350"/>
        <v/>
      </c>
      <c r="AR3404" t="str">
        <f t="shared" si="1351"/>
        <v/>
      </c>
      <c r="AS3404" t="str">
        <f t="shared" si="1352"/>
        <v>G2</v>
      </c>
      <c r="AT3404" t="str">
        <f t="shared" si="1353"/>
        <v/>
      </c>
      <c r="AU3404" t="str">
        <f t="shared" si="1354"/>
        <v>E1bG2</v>
      </c>
      <c r="AV3404" s="254" t="str">
        <f t="shared" si="1355"/>
        <v>BiK272E1bG2-12</v>
      </c>
      <c r="AW3404">
        <f t="shared" si="1356"/>
        <v>14</v>
      </c>
      <c r="AX3404" t="str">
        <f t="shared" si="1357"/>
        <v>0,5-0,75 MW, Bonusregeln E1b, G2</v>
      </c>
      <c r="AY3404" t="str">
        <f t="shared" si="1358"/>
        <v/>
      </c>
    </row>
    <row r="3405" spans="1:51" x14ac:dyDescent="0.25">
      <c r="A3405" s="615" t="str">
        <f t="shared" si="1336"/>
        <v>BiK272E1dG2-13</v>
      </c>
      <c r="B3405" s="372" t="s">
        <v>5548</v>
      </c>
      <c r="C3405" s="375" t="str">
        <f t="shared" si="1337"/>
        <v>Inbetriebnahme 2013</v>
      </c>
      <c r="D3405" s="372" t="str">
        <f t="shared" si="1338"/>
        <v>0,5-0,75 MW, Bonusregeln E1d, G2</v>
      </c>
      <c r="E3405" s="372"/>
      <c r="F3405" s="459">
        <f t="shared" si="1339"/>
        <v>15.239999999999998</v>
      </c>
      <c r="G3405" s="535">
        <v>15.239999999999998</v>
      </c>
      <c r="H3405" s="493">
        <f t="shared" si="1340"/>
        <v>12.19</v>
      </c>
      <c r="I3405" s="711"/>
      <c r="J3405" s="669" t="s">
        <v>5805</v>
      </c>
      <c r="K3405" s="23"/>
      <c r="L3405" s="70" t="str">
        <f t="shared" si="1341"/>
        <v/>
      </c>
      <c r="M3405" s="49">
        <f t="shared" si="1342"/>
        <v>15.239999999999998</v>
      </c>
      <c r="N3405" s="41">
        <f t="shared" si="1343"/>
        <v>10.78</v>
      </c>
      <c r="O3405" s="196"/>
      <c r="P3405" s="35"/>
      <c r="Q3405" s="65"/>
      <c r="R3405" s="253" t="s">
        <v>1017</v>
      </c>
      <c r="S3405" s="228"/>
      <c r="T3405" s="65"/>
      <c r="U3405" s="35"/>
      <c r="V3405" s="228"/>
      <c r="W3405" s="253" t="s">
        <v>1017</v>
      </c>
      <c r="X3405" s="50"/>
      <c r="AH3405" s="253" t="s">
        <v>1778</v>
      </c>
      <c r="AK3405" t="str">
        <f t="shared" si="1344"/>
        <v/>
      </c>
      <c r="AL3405" t="str">
        <f t="shared" si="1345"/>
        <v/>
      </c>
      <c r="AM3405" t="str">
        <f t="shared" si="1346"/>
        <v/>
      </c>
      <c r="AN3405" t="str">
        <f t="shared" si="1347"/>
        <v>E1d</v>
      </c>
      <c r="AO3405" t="str">
        <f t="shared" si="1348"/>
        <v/>
      </c>
      <c r="AP3405" t="str">
        <f t="shared" si="1349"/>
        <v/>
      </c>
      <c r="AQ3405" t="str">
        <f t="shared" si="1350"/>
        <v/>
      </c>
      <c r="AR3405" t="str">
        <f t="shared" si="1351"/>
        <v/>
      </c>
      <c r="AS3405" t="str">
        <f t="shared" si="1352"/>
        <v>G2</v>
      </c>
      <c r="AT3405" t="str">
        <f t="shared" si="1353"/>
        <v/>
      </c>
      <c r="AU3405" t="str">
        <f t="shared" si="1354"/>
        <v>E1dG2</v>
      </c>
      <c r="AV3405" s="254" t="str">
        <f t="shared" si="1355"/>
        <v>BiK272E1dG2-12</v>
      </c>
      <c r="AW3405">
        <f t="shared" si="1356"/>
        <v>14</v>
      </c>
      <c r="AX3405" t="str">
        <f t="shared" si="1357"/>
        <v>0,5-0,75 MW, Bonusregeln E1d, G2</v>
      </c>
      <c r="AY3405" t="str">
        <f t="shared" si="1358"/>
        <v/>
      </c>
    </row>
    <row r="3406" spans="1:51" x14ac:dyDescent="0.25">
      <c r="A3406" s="615" t="str">
        <f t="shared" si="1336"/>
        <v>BiK272E2aG2-13</v>
      </c>
      <c r="B3406" s="372" t="s">
        <v>5548</v>
      </c>
      <c r="C3406" s="375" t="str">
        <f t="shared" si="1337"/>
        <v>Inbetriebnahme 2013</v>
      </c>
      <c r="D3406" s="372" t="str">
        <f t="shared" si="1338"/>
        <v>0,5-0,75 MW, Bonusregeln E2a, G2</v>
      </c>
      <c r="E3406" s="372"/>
      <c r="F3406" s="459">
        <f t="shared" si="1339"/>
        <v>20.740000000000002</v>
      </c>
      <c r="G3406" s="535">
        <v>20.740000000000002</v>
      </c>
      <c r="H3406" s="493">
        <f t="shared" si="1340"/>
        <v>16.59</v>
      </c>
      <c r="I3406" s="711"/>
      <c r="J3406" s="669" t="s">
        <v>5805</v>
      </c>
      <c r="K3406" s="23"/>
      <c r="L3406" s="70" t="str">
        <f t="shared" si="1341"/>
        <v/>
      </c>
      <c r="M3406" s="49">
        <f t="shared" si="1342"/>
        <v>20.740000000000002</v>
      </c>
      <c r="N3406" s="41">
        <f t="shared" si="1343"/>
        <v>10.78</v>
      </c>
      <c r="O3406" s="196"/>
      <c r="P3406" s="35"/>
      <c r="Q3406" s="65"/>
      <c r="R3406" s="35"/>
      <c r="S3406" s="228" t="s">
        <v>1017</v>
      </c>
      <c r="T3406" s="65"/>
      <c r="U3406" s="35"/>
      <c r="V3406" s="228"/>
      <c r="W3406" s="253" t="s">
        <v>1017</v>
      </c>
      <c r="X3406" s="50"/>
      <c r="AH3406" s="253" t="s">
        <v>1778</v>
      </c>
      <c r="AK3406" t="str">
        <f t="shared" si="1344"/>
        <v/>
      </c>
      <c r="AL3406" t="str">
        <f t="shared" si="1345"/>
        <v/>
      </c>
      <c r="AM3406" t="str">
        <f t="shared" si="1346"/>
        <v/>
      </c>
      <c r="AN3406" t="str">
        <f t="shared" si="1347"/>
        <v/>
      </c>
      <c r="AO3406" t="str">
        <f t="shared" si="1348"/>
        <v>E2a</v>
      </c>
      <c r="AP3406" t="str">
        <f t="shared" si="1349"/>
        <v/>
      </c>
      <c r="AQ3406" t="str">
        <f t="shared" si="1350"/>
        <v/>
      </c>
      <c r="AR3406" t="str">
        <f t="shared" si="1351"/>
        <v/>
      </c>
      <c r="AS3406" t="str">
        <f t="shared" si="1352"/>
        <v>G2</v>
      </c>
      <c r="AT3406" t="str">
        <f t="shared" si="1353"/>
        <v/>
      </c>
      <c r="AU3406" t="str">
        <f t="shared" si="1354"/>
        <v>E2aG2</v>
      </c>
      <c r="AV3406" s="254" t="str">
        <f t="shared" si="1355"/>
        <v>BiK272E2aG2-12</v>
      </c>
      <c r="AW3406">
        <f t="shared" si="1356"/>
        <v>14</v>
      </c>
      <c r="AX3406" t="str">
        <f t="shared" si="1357"/>
        <v>0,5-0,75 MW, Bonusregeln E2a, G2</v>
      </c>
      <c r="AY3406" t="str">
        <f t="shared" si="1358"/>
        <v/>
      </c>
    </row>
    <row r="3407" spans="1:51" x14ac:dyDescent="0.25">
      <c r="A3407" s="615" t="str">
        <f t="shared" si="1336"/>
        <v>BiK272E2cG2-13</v>
      </c>
      <c r="B3407" s="372" t="s">
        <v>5548</v>
      </c>
      <c r="C3407" s="375" t="str">
        <f t="shared" si="1337"/>
        <v>Inbetriebnahme 2013</v>
      </c>
      <c r="D3407" s="372" t="str">
        <f t="shared" si="1338"/>
        <v>0,5-0,75 MW, Bonusregeln E2c, G2</v>
      </c>
      <c r="E3407" s="372"/>
      <c r="F3407" s="459">
        <f t="shared" si="1339"/>
        <v>18.739999999999998</v>
      </c>
      <c r="G3407" s="535">
        <v>18.739999999999998</v>
      </c>
      <c r="H3407" s="493">
        <f t="shared" si="1340"/>
        <v>14.99</v>
      </c>
      <c r="I3407" s="711"/>
      <c r="J3407" s="669" t="s">
        <v>5805</v>
      </c>
      <c r="K3407" s="23"/>
      <c r="L3407" s="70" t="str">
        <f t="shared" si="1341"/>
        <v/>
      </c>
      <c r="M3407" s="49">
        <f t="shared" si="1342"/>
        <v>18.739999999999998</v>
      </c>
      <c r="N3407" s="41">
        <f t="shared" si="1343"/>
        <v>10.78</v>
      </c>
      <c r="O3407" s="196"/>
      <c r="P3407" s="35"/>
      <c r="Q3407" s="65"/>
      <c r="R3407" s="35"/>
      <c r="S3407" s="228"/>
      <c r="T3407" s="65"/>
      <c r="U3407" s="253" t="s">
        <v>1017</v>
      </c>
      <c r="V3407" s="228"/>
      <c r="W3407" s="253" t="s">
        <v>1017</v>
      </c>
      <c r="X3407" s="50"/>
      <c r="AH3407" s="253" t="s">
        <v>1778</v>
      </c>
      <c r="AK3407" t="str">
        <f t="shared" si="1344"/>
        <v/>
      </c>
      <c r="AL3407" t="str">
        <f t="shared" si="1345"/>
        <v/>
      </c>
      <c r="AM3407" t="str">
        <f t="shared" si="1346"/>
        <v/>
      </c>
      <c r="AN3407" t="str">
        <f t="shared" si="1347"/>
        <v/>
      </c>
      <c r="AO3407" t="str">
        <f t="shared" si="1348"/>
        <v/>
      </c>
      <c r="AP3407" t="str">
        <f t="shared" si="1349"/>
        <v/>
      </c>
      <c r="AQ3407" t="str">
        <f t="shared" si="1350"/>
        <v>E2c</v>
      </c>
      <c r="AR3407" t="str">
        <f t="shared" si="1351"/>
        <v/>
      </c>
      <c r="AS3407" t="str">
        <f t="shared" si="1352"/>
        <v>G2</v>
      </c>
      <c r="AT3407" t="str">
        <f t="shared" si="1353"/>
        <v/>
      </c>
      <c r="AU3407" t="str">
        <f t="shared" si="1354"/>
        <v>E2cG2</v>
      </c>
      <c r="AV3407" s="254" t="str">
        <f t="shared" si="1355"/>
        <v>BiK272E2cG2-12</v>
      </c>
      <c r="AW3407">
        <f t="shared" si="1356"/>
        <v>14</v>
      </c>
      <c r="AX3407" t="str">
        <f t="shared" si="1357"/>
        <v>0,5-0,75 MW, Bonusregeln E2c, G2</v>
      </c>
      <c r="AY3407" t="str">
        <f t="shared" si="1358"/>
        <v/>
      </c>
    </row>
    <row r="3408" spans="1:51" x14ac:dyDescent="0.25">
      <c r="A3408" s="615" t="str">
        <f t="shared" si="1336"/>
        <v>BiK272G3----13</v>
      </c>
      <c r="B3408" s="372" t="s">
        <v>5548</v>
      </c>
      <c r="C3408" s="375" t="str">
        <f t="shared" si="1337"/>
        <v>Inbetriebnahme 2013</v>
      </c>
      <c r="D3408" s="372" t="str">
        <f t="shared" si="1338"/>
        <v>0,5-0,75 MW, Bonusregel G3</v>
      </c>
      <c r="E3408" s="372"/>
      <c r="F3408" s="459">
        <f t="shared" si="1339"/>
        <v>11.76</v>
      </c>
      <c r="G3408" s="535">
        <v>11.76</v>
      </c>
      <c r="H3408" s="493">
        <f t="shared" si="1340"/>
        <v>9.41</v>
      </c>
      <c r="I3408" s="711"/>
      <c r="J3408" s="669" t="s">
        <v>5805</v>
      </c>
      <c r="K3408" s="23"/>
      <c r="L3408" s="70" t="str">
        <f t="shared" si="1341"/>
        <v/>
      </c>
      <c r="M3408" s="49">
        <f t="shared" si="1342"/>
        <v>11.76</v>
      </c>
      <c r="N3408" s="41">
        <f t="shared" si="1343"/>
        <v>10.78</v>
      </c>
      <c r="O3408" s="196"/>
      <c r="P3408" s="35"/>
      <c r="Q3408" s="65"/>
      <c r="R3408" s="35"/>
      <c r="S3408" s="228"/>
      <c r="T3408" s="65"/>
      <c r="U3408" s="35"/>
      <c r="V3408" s="228"/>
      <c r="W3408" s="35"/>
      <c r="X3408" s="50" t="s">
        <v>1017</v>
      </c>
      <c r="AH3408" s="253" t="s">
        <v>1778</v>
      </c>
      <c r="AK3408" t="str">
        <f t="shared" si="1344"/>
        <v/>
      </c>
      <c r="AL3408" t="str">
        <f t="shared" si="1345"/>
        <v/>
      </c>
      <c r="AM3408" t="str">
        <f t="shared" si="1346"/>
        <v/>
      </c>
      <c r="AN3408" t="str">
        <f t="shared" si="1347"/>
        <v/>
      </c>
      <c r="AO3408" t="str">
        <f t="shared" si="1348"/>
        <v/>
      </c>
      <c r="AP3408" t="str">
        <f t="shared" si="1349"/>
        <v/>
      </c>
      <c r="AQ3408" t="str">
        <f t="shared" si="1350"/>
        <v/>
      </c>
      <c r="AR3408" t="str">
        <f t="shared" si="1351"/>
        <v/>
      </c>
      <c r="AS3408" t="str">
        <f t="shared" si="1352"/>
        <v/>
      </c>
      <c r="AT3408" t="str">
        <f t="shared" si="1353"/>
        <v>G3</v>
      </c>
      <c r="AU3408" t="str">
        <f t="shared" si="1354"/>
        <v>G3</v>
      </c>
      <c r="AV3408" s="254" t="str">
        <f t="shared" si="1355"/>
        <v>BiK272G3----12</v>
      </c>
      <c r="AW3408">
        <f t="shared" si="1356"/>
        <v>14</v>
      </c>
      <c r="AX3408" t="str">
        <f t="shared" si="1357"/>
        <v>0,5-0,75 MW, Bonusregel G3</v>
      </c>
      <c r="AY3408" t="str">
        <f t="shared" si="1358"/>
        <v/>
      </c>
    </row>
    <row r="3409" spans="1:51" x14ac:dyDescent="0.25">
      <c r="A3409" s="615" t="str">
        <f t="shared" si="1336"/>
        <v>BiK272E1bG3-13</v>
      </c>
      <c r="B3409" s="372" t="s">
        <v>5548</v>
      </c>
      <c r="C3409" s="375" t="str">
        <f t="shared" si="1337"/>
        <v>Inbetriebnahme 2013</v>
      </c>
      <c r="D3409" s="372" t="str">
        <f t="shared" si="1338"/>
        <v>0,5-0,75 MW, Bonusregeln E1b, G3</v>
      </c>
      <c r="E3409" s="372"/>
      <c r="F3409" s="459">
        <f t="shared" si="1339"/>
        <v>16.759999999999998</v>
      </c>
      <c r="G3409" s="535">
        <v>16.759999999999998</v>
      </c>
      <c r="H3409" s="493">
        <f t="shared" si="1340"/>
        <v>13.41</v>
      </c>
      <c r="I3409" s="711"/>
      <c r="J3409" s="669" t="s">
        <v>5805</v>
      </c>
      <c r="K3409" s="23"/>
      <c r="L3409" s="70" t="str">
        <f t="shared" si="1341"/>
        <v/>
      </c>
      <c r="M3409" s="49">
        <f t="shared" si="1342"/>
        <v>16.759999999999998</v>
      </c>
      <c r="N3409" s="41">
        <f t="shared" si="1343"/>
        <v>10.78</v>
      </c>
      <c r="O3409" s="196"/>
      <c r="P3409" s="253" t="s">
        <v>1017</v>
      </c>
      <c r="Q3409" s="65"/>
      <c r="R3409" s="35"/>
      <c r="S3409" s="228"/>
      <c r="T3409" s="65"/>
      <c r="U3409" s="35"/>
      <c r="V3409" s="228"/>
      <c r="W3409" s="35"/>
      <c r="X3409" s="50" t="s">
        <v>1017</v>
      </c>
      <c r="AH3409" s="253" t="s">
        <v>1778</v>
      </c>
      <c r="AK3409" t="str">
        <f t="shared" si="1344"/>
        <v/>
      </c>
      <c r="AL3409" t="str">
        <f t="shared" si="1345"/>
        <v>E1b</v>
      </c>
      <c r="AM3409" t="str">
        <f t="shared" si="1346"/>
        <v/>
      </c>
      <c r="AN3409" t="str">
        <f t="shared" si="1347"/>
        <v/>
      </c>
      <c r="AO3409" t="str">
        <f t="shared" si="1348"/>
        <v/>
      </c>
      <c r="AP3409" t="str">
        <f t="shared" si="1349"/>
        <v/>
      </c>
      <c r="AQ3409" t="str">
        <f t="shared" si="1350"/>
        <v/>
      </c>
      <c r="AR3409" t="str">
        <f t="shared" si="1351"/>
        <v/>
      </c>
      <c r="AS3409" t="str">
        <f t="shared" si="1352"/>
        <v/>
      </c>
      <c r="AT3409" t="str">
        <f t="shared" si="1353"/>
        <v>G3</v>
      </c>
      <c r="AU3409" t="str">
        <f t="shared" si="1354"/>
        <v>E1bG3</v>
      </c>
      <c r="AV3409" s="254" t="str">
        <f t="shared" si="1355"/>
        <v>BiK272E1bG3-12</v>
      </c>
      <c r="AW3409">
        <f t="shared" si="1356"/>
        <v>14</v>
      </c>
      <c r="AX3409" t="str">
        <f t="shared" si="1357"/>
        <v>0,5-0,75 MW, Bonusregeln E1b, G3</v>
      </c>
      <c r="AY3409" t="str">
        <f t="shared" si="1358"/>
        <v/>
      </c>
    </row>
    <row r="3410" spans="1:51" x14ac:dyDescent="0.25">
      <c r="A3410" s="615" t="str">
        <f t="shared" si="1336"/>
        <v>BiK272E1dG3-13</v>
      </c>
      <c r="B3410" s="372" t="s">
        <v>5548</v>
      </c>
      <c r="C3410" s="375" t="str">
        <f t="shared" si="1337"/>
        <v>Inbetriebnahme 2013</v>
      </c>
      <c r="D3410" s="372" t="str">
        <f t="shared" si="1338"/>
        <v>0,5-0,75 MW, Bonusregeln E1d, G3</v>
      </c>
      <c r="E3410" s="372"/>
      <c r="F3410" s="459">
        <f t="shared" si="1339"/>
        <v>14.26</v>
      </c>
      <c r="G3410" s="535">
        <v>14.26</v>
      </c>
      <c r="H3410" s="493">
        <f t="shared" si="1340"/>
        <v>11.41</v>
      </c>
      <c r="I3410" s="711"/>
      <c r="J3410" s="669" t="s">
        <v>5805</v>
      </c>
      <c r="K3410" s="23"/>
      <c r="L3410" s="70" t="str">
        <f t="shared" si="1341"/>
        <v/>
      </c>
      <c r="M3410" s="49">
        <f t="shared" si="1342"/>
        <v>14.26</v>
      </c>
      <c r="N3410" s="41">
        <f t="shared" si="1343"/>
        <v>10.78</v>
      </c>
      <c r="O3410" s="196"/>
      <c r="P3410" s="35"/>
      <c r="Q3410" s="65"/>
      <c r="R3410" s="253" t="s">
        <v>1017</v>
      </c>
      <c r="S3410" s="228"/>
      <c r="T3410" s="65"/>
      <c r="U3410" s="35"/>
      <c r="V3410" s="228"/>
      <c r="W3410" s="35"/>
      <c r="X3410" s="50" t="s">
        <v>1017</v>
      </c>
      <c r="AH3410" s="253" t="s">
        <v>1778</v>
      </c>
      <c r="AK3410" t="str">
        <f t="shared" si="1344"/>
        <v/>
      </c>
      <c r="AL3410" t="str">
        <f t="shared" si="1345"/>
        <v/>
      </c>
      <c r="AM3410" t="str">
        <f t="shared" si="1346"/>
        <v/>
      </c>
      <c r="AN3410" t="str">
        <f t="shared" si="1347"/>
        <v>E1d</v>
      </c>
      <c r="AO3410" t="str">
        <f t="shared" si="1348"/>
        <v/>
      </c>
      <c r="AP3410" t="str">
        <f t="shared" si="1349"/>
        <v/>
      </c>
      <c r="AQ3410" t="str">
        <f t="shared" si="1350"/>
        <v/>
      </c>
      <c r="AR3410" t="str">
        <f t="shared" si="1351"/>
        <v/>
      </c>
      <c r="AS3410" t="str">
        <f t="shared" si="1352"/>
        <v/>
      </c>
      <c r="AT3410" t="str">
        <f t="shared" si="1353"/>
        <v>G3</v>
      </c>
      <c r="AU3410" t="str">
        <f t="shared" si="1354"/>
        <v>E1dG3</v>
      </c>
      <c r="AV3410" s="254" t="str">
        <f t="shared" si="1355"/>
        <v>BiK272E1dG3-12</v>
      </c>
      <c r="AW3410">
        <f t="shared" si="1356"/>
        <v>14</v>
      </c>
      <c r="AX3410" t="str">
        <f t="shared" si="1357"/>
        <v>0,5-0,75 MW, Bonusregeln E1d, G3</v>
      </c>
      <c r="AY3410" t="str">
        <f t="shared" si="1358"/>
        <v/>
      </c>
    </row>
    <row r="3411" spans="1:51" x14ac:dyDescent="0.25">
      <c r="A3411" s="615" t="str">
        <f t="shared" si="1336"/>
        <v>BiK272E2aG3-13</v>
      </c>
      <c r="B3411" s="372" t="s">
        <v>5548</v>
      </c>
      <c r="C3411" s="375" t="str">
        <f t="shared" si="1337"/>
        <v>Inbetriebnahme 2013</v>
      </c>
      <c r="D3411" s="372" t="str">
        <f t="shared" si="1338"/>
        <v>0,5-0,75 MW, Bonusregeln E2a, G3</v>
      </c>
      <c r="E3411" s="372"/>
      <c r="F3411" s="459">
        <f t="shared" si="1339"/>
        <v>19.759999999999998</v>
      </c>
      <c r="G3411" s="535">
        <v>19.759999999999998</v>
      </c>
      <c r="H3411" s="493">
        <f t="shared" si="1340"/>
        <v>15.81</v>
      </c>
      <c r="I3411" s="711"/>
      <c r="J3411" s="669" t="s">
        <v>5805</v>
      </c>
      <c r="K3411" s="23"/>
      <c r="L3411" s="70" t="str">
        <f t="shared" si="1341"/>
        <v/>
      </c>
      <c r="M3411" s="49">
        <f t="shared" si="1342"/>
        <v>19.759999999999998</v>
      </c>
      <c r="N3411" s="41">
        <f t="shared" si="1343"/>
        <v>10.78</v>
      </c>
      <c r="O3411" s="196"/>
      <c r="P3411" s="35"/>
      <c r="Q3411" s="65"/>
      <c r="R3411" s="35"/>
      <c r="S3411" s="228" t="s">
        <v>1017</v>
      </c>
      <c r="T3411" s="65"/>
      <c r="U3411" s="35"/>
      <c r="V3411" s="228"/>
      <c r="W3411" s="35"/>
      <c r="X3411" s="50" t="s">
        <v>1017</v>
      </c>
      <c r="AH3411" s="253" t="s">
        <v>1778</v>
      </c>
      <c r="AK3411" t="str">
        <f t="shared" si="1344"/>
        <v/>
      </c>
      <c r="AL3411" t="str">
        <f t="shared" si="1345"/>
        <v/>
      </c>
      <c r="AM3411" t="str">
        <f t="shared" si="1346"/>
        <v/>
      </c>
      <c r="AN3411" t="str">
        <f t="shared" si="1347"/>
        <v/>
      </c>
      <c r="AO3411" t="str">
        <f t="shared" si="1348"/>
        <v>E2a</v>
      </c>
      <c r="AP3411" t="str">
        <f t="shared" si="1349"/>
        <v/>
      </c>
      <c r="AQ3411" t="str">
        <f t="shared" si="1350"/>
        <v/>
      </c>
      <c r="AR3411" t="str">
        <f t="shared" si="1351"/>
        <v/>
      </c>
      <c r="AS3411" t="str">
        <f t="shared" si="1352"/>
        <v/>
      </c>
      <c r="AT3411" t="str">
        <f t="shared" si="1353"/>
        <v>G3</v>
      </c>
      <c r="AU3411" t="str">
        <f t="shared" si="1354"/>
        <v>E2aG3</v>
      </c>
      <c r="AV3411" s="254" t="str">
        <f t="shared" si="1355"/>
        <v>BiK272E2aG3-12</v>
      </c>
      <c r="AW3411">
        <f t="shared" si="1356"/>
        <v>14</v>
      </c>
      <c r="AX3411" t="str">
        <f t="shared" si="1357"/>
        <v>0,5-0,75 MW, Bonusregeln E2a, G3</v>
      </c>
      <c r="AY3411" t="str">
        <f t="shared" si="1358"/>
        <v/>
      </c>
    </row>
    <row r="3412" spans="1:51" x14ac:dyDescent="0.25">
      <c r="A3412" s="615" t="str">
        <f t="shared" si="1336"/>
        <v>BiK272E2cG3-13</v>
      </c>
      <c r="B3412" s="372" t="s">
        <v>5548</v>
      </c>
      <c r="C3412" s="375" t="str">
        <f t="shared" si="1337"/>
        <v>Inbetriebnahme 2013</v>
      </c>
      <c r="D3412" s="372" t="str">
        <f t="shared" si="1338"/>
        <v>0,5-0,75 MW, Bonusregeln E2c, G3</v>
      </c>
      <c r="E3412" s="372"/>
      <c r="F3412" s="459">
        <f t="shared" si="1339"/>
        <v>17.759999999999998</v>
      </c>
      <c r="G3412" s="535">
        <v>17.759999999999998</v>
      </c>
      <c r="H3412" s="493">
        <f t="shared" si="1340"/>
        <v>14.21</v>
      </c>
      <c r="I3412" s="711"/>
      <c r="J3412" s="669" t="s">
        <v>5805</v>
      </c>
      <c r="K3412" s="23"/>
      <c r="L3412" s="70" t="str">
        <f t="shared" si="1341"/>
        <v/>
      </c>
      <c r="M3412" s="49">
        <f t="shared" si="1342"/>
        <v>17.759999999999998</v>
      </c>
      <c r="N3412" s="41">
        <f t="shared" si="1343"/>
        <v>10.78</v>
      </c>
      <c r="O3412" s="196"/>
      <c r="P3412" s="35"/>
      <c r="Q3412" s="65"/>
      <c r="R3412" s="35"/>
      <c r="S3412" s="228"/>
      <c r="T3412" s="65"/>
      <c r="U3412" s="253" t="s">
        <v>1017</v>
      </c>
      <c r="V3412" s="228"/>
      <c r="W3412" s="35"/>
      <c r="X3412" s="50" t="s">
        <v>1017</v>
      </c>
      <c r="AH3412" s="253" t="s">
        <v>1778</v>
      </c>
      <c r="AK3412" t="str">
        <f t="shared" si="1344"/>
        <v/>
      </c>
      <c r="AL3412" t="str">
        <f t="shared" si="1345"/>
        <v/>
      </c>
      <c r="AM3412" t="str">
        <f t="shared" si="1346"/>
        <v/>
      </c>
      <c r="AN3412" t="str">
        <f t="shared" si="1347"/>
        <v/>
      </c>
      <c r="AO3412" t="str">
        <f t="shared" si="1348"/>
        <v/>
      </c>
      <c r="AP3412" t="str">
        <f t="shared" si="1349"/>
        <v/>
      </c>
      <c r="AQ3412" t="str">
        <f t="shared" si="1350"/>
        <v>E2c</v>
      </c>
      <c r="AR3412" t="str">
        <f t="shared" si="1351"/>
        <v/>
      </c>
      <c r="AS3412" t="str">
        <f t="shared" si="1352"/>
        <v/>
      </c>
      <c r="AT3412" t="str">
        <f t="shared" si="1353"/>
        <v>G3</v>
      </c>
      <c r="AU3412" t="str">
        <f t="shared" si="1354"/>
        <v>E2cG3</v>
      </c>
      <c r="AV3412" s="254" t="str">
        <f t="shared" si="1355"/>
        <v>BiK272E2cG3-12</v>
      </c>
      <c r="AW3412">
        <f t="shared" si="1356"/>
        <v>14</v>
      </c>
      <c r="AX3412" t="str">
        <f t="shared" si="1357"/>
        <v>0,5-0,75 MW, Bonusregeln E2c, G3</v>
      </c>
      <c r="AY3412" t="str">
        <f t="shared" si="1358"/>
        <v/>
      </c>
    </row>
    <row r="3413" spans="1:51" x14ac:dyDescent="0.25">
      <c r="A3413" s="615" t="str">
        <f t="shared" ref="A3413:A3432" si="1359">"BiK273"&amp;AU3413&amp;RIGHT("------",6-LEN(AU3413))&amp;RIGHT($M$3360,2)</f>
        <v>BiK273------13</v>
      </c>
      <c r="B3413" s="372" t="s">
        <v>5548</v>
      </c>
      <c r="C3413" s="375" t="str">
        <f t="shared" si="1337"/>
        <v>Inbetriebnahme 2013</v>
      </c>
      <c r="D3413" s="372" t="str">
        <f t="shared" si="1338"/>
        <v>0,75-5 MW</v>
      </c>
      <c r="E3413" s="372"/>
      <c r="F3413" s="459">
        <f t="shared" si="1339"/>
        <v>10.78</v>
      </c>
      <c r="G3413" s="535">
        <v>10.78</v>
      </c>
      <c r="H3413" s="493">
        <f t="shared" si="1340"/>
        <v>8.6199999999999992</v>
      </c>
      <c r="I3413" s="711"/>
      <c r="J3413" s="669" t="s">
        <v>5805</v>
      </c>
      <c r="K3413" s="23"/>
      <c r="L3413" s="70" t="str">
        <f t="shared" si="1341"/>
        <v/>
      </c>
      <c r="M3413" s="49">
        <f t="shared" si="1342"/>
        <v>10.78</v>
      </c>
      <c r="N3413" s="41">
        <f t="shared" si="1343"/>
        <v>10.78</v>
      </c>
      <c r="O3413" s="196"/>
      <c r="P3413" s="65"/>
      <c r="Q3413" s="35"/>
      <c r="R3413" s="35"/>
      <c r="S3413" s="228"/>
      <c r="T3413" s="65"/>
      <c r="U3413" s="35"/>
      <c r="V3413" s="228"/>
      <c r="W3413" s="35"/>
      <c r="X3413" s="50"/>
      <c r="AH3413" s="253" t="s">
        <v>1777</v>
      </c>
      <c r="AK3413" t="str">
        <f t="shared" si="1344"/>
        <v/>
      </c>
      <c r="AL3413" t="str">
        <f t="shared" si="1345"/>
        <v/>
      </c>
      <c r="AM3413" t="str">
        <f t="shared" si="1346"/>
        <v/>
      </c>
      <c r="AN3413" t="str">
        <f t="shared" si="1347"/>
        <v/>
      </c>
      <c r="AO3413" t="str">
        <f t="shared" si="1348"/>
        <v/>
      </c>
      <c r="AP3413" t="str">
        <f t="shared" si="1349"/>
        <v/>
      </c>
      <c r="AQ3413" t="str">
        <f t="shared" si="1350"/>
        <v/>
      </c>
      <c r="AR3413" t="str">
        <f t="shared" si="1351"/>
        <v/>
      </c>
      <c r="AS3413" t="str">
        <f t="shared" si="1352"/>
        <v/>
      </c>
      <c r="AT3413" t="str">
        <f t="shared" si="1353"/>
        <v/>
      </c>
      <c r="AU3413" t="str">
        <f t="shared" si="1354"/>
        <v/>
      </c>
      <c r="AV3413" s="254" t="str">
        <f t="shared" ref="AV3413:AV3432" si="1360">"BiK273"&amp;AU3413&amp;RIGHT("------",6-LEN(AU3413))&amp;RIGHT($M$3278,2)</f>
        <v>BiK273------12</v>
      </c>
      <c r="AW3413">
        <f t="shared" si="1356"/>
        <v>14</v>
      </c>
      <c r="AX3413" t="str">
        <f t="shared" si="1357"/>
        <v>0,75-5 MW</v>
      </c>
      <c r="AY3413" t="str">
        <f t="shared" si="1358"/>
        <v/>
      </c>
    </row>
    <row r="3414" spans="1:51" x14ac:dyDescent="0.25">
      <c r="A3414" s="615" t="str">
        <f t="shared" si="1359"/>
        <v>BiK273E1c---13</v>
      </c>
      <c r="B3414" s="372" t="s">
        <v>5548</v>
      </c>
      <c r="C3414" s="375" t="str">
        <f t="shared" si="1337"/>
        <v>Inbetriebnahme 2013</v>
      </c>
      <c r="D3414" s="372" t="str">
        <f t="shared" si="1338"/>
        <v>0,75-5 MW, Bonusregel E1c</v>
      </c>
      <c r="E3414" s="372"/>
      <c r="F3414" s="459">
        <f t="shared" si="1339"/>
        <v>14.78</v>
      </c>
      <c r="G3414" s="535">
        <v>14.78</v>
      </c>
      <c r="H3414" s="493">
        <f t="shared" si="1340"/>
        <v>11.82</v>
      </c>
      <c r="I3414" s="711"/>
      <c r="J3414" s="669" t="s">
        <v>5805</v>
      </c>
      <c r="K3414" s="23"/>
      <c r="L3414" s="70" t="str">
        <f t="shared" si="1341"/>
        <v/>
      </c>
      <c r="M3414" s="49">
        <f t="shared" si="1342"/>
        <v>14.78</v>
      </c>
      <c r="N3414" s="41">
        <f t="shared" si="1343"/>
        <v>10.78</v>
      </c>
      <c r="O3414" s="196"/>
      <c r="P3414" s="65"/>
      <c r="Q3414" s="253" t="s">
        <v>1017</v>
      </c>
      <c r="R3414" s="35"/>
      <c r="S3414" s="228"/>
      <c r="T3414" s="65"/>
      <c r="U3414" s="35"/>
      <c r="V3414" s="228"/>
      <c r="W3414" s="35"/>
      <c r="X3414" s="50"/>
      <c r="AH3414" s="253" t="s">
        <v>1777</v>
      </c>
      <c r="AK3414" t="str">
        <f t="shared" si="1344"/>
        <v/>
      </c>
      <c r="AL3414" t="str">
        <f t="shared" si="1345"/>
        <v/>
      </c>
      <c r="AM3414" t="str">
        <f t="shared" si="1346"/>
        <v>E1c</v>
      </c>
      <c r="AN3414" t="str">
        <f t="shared" si="1347"/>
        <v/>
      </c>
      <c r="AO3414" t="str">
        <f t="shared" si="1348"/>
        <v/>
      </c>
      <c r="AP3414" t="str">
        <f t="shared" si="1349"/>
        <v/>
      </c>
      <c r="AQ3414" t="str">
        <f t="shared" si="1350"/>
        <v/>
      </c>
      <c r="AR3414" t="str">
        <f t="shared" si="1351"/>
        <v/>
      </c>
      <c r="AS3414" t="str">
        <f t="shared" si="1352"/>
        <v/>
      </c>
      <c r="AT3414" t="str">
        <f t="shared" si="1353"/>
        <v/>
      </c>
      <c r="AU3414" t="str">
        <f t="shared" si="1354"/>
        <v>E1c</v>
      </c>
      <c r="AV3414" s="254" t="str">
        <f t="shared" si="1360"/>
        <v>BiK273E1c---12</v>
      </c>
      <c r="AW3414">
        <f t="shared" si="1356"/>
        <v>14</v>
      </c>
      <c r="AX3414" t="str">
        <f t="shared" si="1357"/>
        <v>0,75-5 MW, Bonusregel E1c</v>
      </c>
      <c r="AY3414" t="str">
        <f t="shared" si="1358"/>
        <v/>
      </c>
    </row>
    <row r="3415" spans="1:51" x14ac:dyDescent="0.25">
      <c r="A3415" s="615" t="str">
        <f t="shared" si="1359"/>
        <v>BiK273E1d---13</v>
      </c>
      <c r="B3415" s="372" t="s">
        <v>5548</v>
      </c>
      <c r="C3415" s="375" t="str">
        <f t="shared" si="1337"/>
        <v>Inbetriebnahme 2013</v>
      </c>
      <c r="D3415" s="372" t="str">
        <f t="shared" si="1338"/>
        <v>0,75-5 MW, Bonusregel E1d</v>
      </c>
      <c r="E3415" s="372"/>
      <c r="F3415" s="459">
        <f t="shared" si="1339"/>
        <v>13.28</v>
      </c>
      <c r="G3415" s="535">
        <v>13.28</v>
      </c>
      <c r="H3415" s="493">
        <f t="shared" si="1340"/>
        <v>10.62</v>
      </c>
      <c r="I3415" s="711"/>
      <c r="J3415" s="669" t="s">
        <v>5805</v>
      </c>
      <c r="K3415" s="23"/>
      <c r="L3415" s="70" t="str">
        <f t="shared" si="1341"/>
        <v/>
      </c>
      <c r="M3415" s="49">
        <f t="shared" si="1342"/>
        <v>13.28</v>
      </c>
      <c r="N3415" s="41">
        <f t="shared" si="1343"/>
        <v>10.78</v>
      </c>
      <c r="O3415" s="196"/>
      <c r="P3415" s="65"/>
      <c r="Q3415" s="35"/>
      <c r="R3415" s="253" t="s">
        <v>1017</v>
      </c>
      <c r="S3415" s="228"/>
      <c r="T3415" s="65"/>
      <c r="U3415" s="35"/>
      <c r="V3415" s="228"/>
      <c r="W3415" s="35"/>
      <c r="X3415" s="50"/>
      <c r="AH3415" s="253" t="s">
        <v>1777</v>
      </c>
      <c r="AK3415" t="str">
        <f t="shared" si="1344"/>
        <v/>
      </c>
      <c r="AL3415" t="str">
        <f t="shared" si="1345"/>
        <v/>
      </c>
      <c r="AM3415" t="str">
        <f t="shared" si="1346"/>
        <v/>
      </c>
      <c r="AN3415" t="str">
        <f t="shared" si="1347"/>
        <v>E1d</v>
      </c>
      <c r="AO3415" t="str">
        <f t="shared" si="1348"/>
        <v/>
      </c>
      <c r="AP3415" t="str">
        <f t="shared" si="1349"/>
        <v/>
      </c>
      <c r="AQ3415" t="str">
        <f t="shared" si="1350"/>
        <v/>
      </c>
      <c r="AR3415" t="str">
        <f t="shared" si="1351"/>
        <v/>
      </c>
      <c r="AS3415" t="str">
        <f t="shared" si="1352"/>
        <v/>
      </c>
      <c r="AT3415" t="str">
        <f t="shared" si="1353"/>
        <v/>
      </c>
      <c r="AU3415" t="str">
        <f t="shared" si="1354"/>
        <v>E1d</v>
      </c>
      <c r="AV3415" s="254" t="str">
        <f t="shared" si="1360"/>
        <v>BiK273E1d---12</v>
      </c>
      <c r="AW3415">
        <f t="shared" si="1356"/>
        <v>14</v>
      </c>
      <c r="AX3415" t="str">
        <f t="shared" si="1357"/>
        <v>0,75-5 MW, Bonusregel E1d</v>
      </c>
      <c r="AY3415" t="str">
        <f t="shared" si="1358"/>
        <v/>
      </c>
    </row>
    <row r="3416" spans="1:51" x14ac:dyDescent="0.25">
      <c r="A3416" s="615" t="str">
        <f t="shared" si="1359"/>
        <v>BiK273E2a---13</v>
      </c>
      <c r="B3416" s="372" t="s">
        <v>5548</v>
      </c>
      <c r="C3416" s="375" t="str">
        <f t="shared" si="1337"/>
        <v>Inbetriebnahme 2013</v>
      </c>
      <c r="D3416" s="372" t="str">
        <f t="shared" si="1338"/>
        <v>0,75-5 MW, Bonusregel E2a</v>
      </c>
      <c r="E3416" s="372"/>
      <c r="F3416" s="459">
        <f t="shared" si="1339"/>
        <v>18.78</v>
      </c>
      <c r="G3416" s="535">
        <v>18.78</v>
      </c>
      <c r="H3416" s="493">
        <f t="shared" si="1340"/>
        <v>15.02</v>
      </c>
      <c r="I3416" s="711"/>
      <c r="J3416" s="669" t="s">
        <v>5805</v>
      </c>
      <c r="K3416" s="23"/>
      <c r="L3416" s="70" t="str">
        <f t="shared" si="1341"/>
        <v/>
      </c>
      <c r="M3416" s="49">
        <f t="shared" si="1342"/>
        <v>18.78</v>
      </c>
      <c r="N3416" s="41">
        <f t="shared" si="1343"/>
        <v>10.78</v>
      </c>
      <c r="O3416" s="196"/>
      <c r="P3416" s="65"/>
      <c r="Q3416" s="35"/>
      <c r="R3416" s="35"/>
      <c r="S3416" s="228" t="s">
        <v>1017</v>
      </c>
      <c r="T3416" s="65"/>
      <c r="U3416" s="35"/>
      <c r="V3416" s="228"/>
      <c r="W3416" s="35"/>
      <c r="X3416" s="50"/>
      <c r="AH3416" s="253" t="s">
        <v>1777</v>
      </c>
      <c r="AK3416" t="str">
        <f t="shared" si="1344"/>
        <v/>
      </c>
      <c r="AL3416" t="str">
        <f t="shared" si="1345"/>
        <v/>
      </c>
      <c r="AM3416" t="str">
        <f t="shared" si="1346"/>
        <v/>
      </c>
      <c r="AN3416" t="str">
        <f t="shared" si="1347"/>
        <v/>
      </c>
      <c r="AO3416" t="str">
        <f t="shared" si="1348"/>
        <v>E2a</v>
      </c>
      <c r="AP3416" t="str">
        <f t="shared" si="1349"/>
        <v/>
      </c>
      <c r="AQ3416" t="str">
        <f t="shared" si="1350"/>
        <v/>
      </c>
      <c r="AR3416" t="str">
        <f t="shared" si="1351"/>
        <v/>
      </c>
      <c r="AS3416" t="str">
        <f t="shared" si="1352"/>
        <v/>
      </c>
      <c r="AT3416" t="str">
        <f t="shared" si="1353"/>
        <v/>
      </c>
      <c r="AU3416" t="str">
        <f t="shared" si="1354"/>
        <v>E2a</v>
      </c>
      <c r="AV3416" s="254" t="str">
        <f t="shared" si="1360"/>
        <v>BiK273E2a---12</v>
      </c>
      <c r="AW3416">
        <f t="shared" si="1356"/>
        <v>14</v>
      </c>
      <c r="AX3416" t="str">
        <f t="shared" si="1357"/>
        <v>0,75-5 MW, Bonusregel E2a</v>
      </c>
      <c r="AY3416" t="str">
        <f t="shared" si="1358"/>
        <v/>
      </c>
    </row>
    <row r="3417" spans="1:51" x14ac:dyDescent="0.25">
      <c r="A3417" s="615" t="str">
        <f t="shared" si="1359"/>
        <v>BiK273E2c---13</v>
      </c>
      <c r="B3417" s="372" t="s">
        <v>5548</v>
      </c>
      <c r="C3417" s="375" t="str">
        <f t="shared" si="1337"/>
        <v>Inbetriebnahme 2013</v>
      </c>
      <c r="D3417" s="372" t="str">
        <f t="shared" si="1338"/>
        <v>0,75-5 MW, Bonusregel E2c</v>
      </c>
      <c r="E3417" s="372"/>
      <c r="F3417" s="459">
        <f t="shared" si="1339"/>
        <v>16.78</v>
      </c>
      <c r="G3417" s="535">
        <v>16.78</v>
      </c>
      <c r="H3417" s="493">
        <f t="shared" si="1340"/>
        <v>13.42</v>
      </c>
      <c r="I3417" s="711"/>
      <c r="J3417" s="669" t="s">
        <v>5805</v>
      </c>
      <c r="K3417" s="23"/>
      <c r="L3417" s="70" t="str">
        <f t="shared" si="1341"/>
        <v/>
      </c>
      <c r="M3417" s="49">
        <f t="shared" si="1342"/>
        <v>16.78</v>
      </c>
      <c r="N3417" s="41">
        <f t="shared" si="1343"/>
        <v>10.78</v>
      </c>
      <c r="O3417" s="196"/>
      <c r="P3417" s="65"/>
      <c r="Q3417" s="35"/>
      <c r="R3417" s="35"/>
      <c r="S3417" s="228"/>
      <c r="T3417" s="65"/>
      <c r="U3417" s="253" t="s">
        <v>1017</v>
      </c>
      <c r="V3417" s="228"/>
      <c r="W3417" s="35"/>
      <c r="X3417" s="50"/>
      <c r="AH3417" s="253" t="s">
        <v>1777</v>
      </c>
      <c r="AK3417" t="str">
        <f t="shared" si="1344"/>
        <v/>
      </c>
      <c r="AL3417" t="str">
        <f t="shared" si="1345"/>
        <v/>
      </c>
      <c r="AM3417" t="str">
        <f t="shared" si="1346"/>
        <v/>
      </c>
      <c r="AN3417" t="str">
        <f t="shared" si="1347"/>
        <v/>
      </c>
      <c r="AO3417" t="str">
        <f t="shared" si="1348"/>
        <v/>
      </c>
      <c r="AP3417" t="str">
        <f t="shared" si="1349"/>
        <v/>
      </c>
      <c r="AQ3417" t="str">
        <f t="shared" si="1350"/>
        <v>E2c</v>
      </c>
      <c r="AR3417" t="str">
        <f t="shared" si="1351"/>
        <v/>
      </c>
      <c r="AS3417" t="str">
        <f t="shared" si="1352"/>
        <v/>
      </c>
      <c r="AT3417" t="str">
        <f t="shared" si="1353"/>
        <v/>
      </c>
      <c r="AU3417" t="str">
        <f t="shared" si="1354"/>
        <v>E2c</v>
      </c>
      <c r="AV3417" s="254" t="str">
        <f t="shared" si="1360"/>
        <v>BiK273E2c---12</v>
      </c>
      <c r="AW3417">
        <f t="shared" si="1356"/>
        <v>14</v>
      </c>
      <c r="AX3417" t="str">
        <f t="shared" si="1357"/>
        <v>0,75-5 MW, Bonusregel E2c</v>
      </c>
      <c r="AY3417" t="str">
        <f t="shared" si="1358"/>
        <v/>
      </c>
    </row>
    <row r="3418" spans="1:51" x14ac:dyDescent="0.25">
      <c r="A3418" s="615" t="str">
        <f t="shared" si="1359"/>
        <v>BiK273G1----13</v>
      </c>
      <c r="B3418" s="372" t="s">
        <v>5548</v>
      </c>
      <c r="C3418" s="375" t="str">
        <f t="shared" si="1337"/>
        <v>Inbetriebnahme 2013</v>
      </c>
      <c r="D3418" s="372" t="str">
        <f t="shared" si="1338"/>
        <v>0,75-5 MW, Bonusregel G1</v>
      </c>
      <c r="E3418" s="372"/>
      <c r="F3418" s="459">
        <f t="shared" si="1339"/>
        <v>13.719999999999999</v>
      </c>
      <c r="G3418" s="535">
        <v>13.719999999999999</v>
      </c>
      <c r="H3418" s="493">
        <f t="shared" si="1340"/>
        <v>10.98</v>
      </c>
      <c r="I3418" s="711"/>
      <c r="J3418" s="669" t="s">
        <v>5805</v>
      </c>
      <c r="K3418" s="23"/>
      <c r="L3418" s="70" t="str">
        <f t="shared" si="1341"/>
        <v/>
      </c>
      <c r="M3418" s="49">
        <f t="shared" si="1342"/>
        <v>13.719999999999999</v>
      </c>
      <c r="N3418" s="41">
        <f t="shared" si="1343"/>
        <v>10.78</v>
      </c>
      <c r="O3418" s="196"/>
      <c r="P3418" s="65"/>
      <c r="Q3418" s="35"/>
      <c r="R3418" s="35"/>
      <c r="S3418" s="228"/>
      <c r="T3418" s="65"/>
      <c r="U3418" s="35"/>
      <c r="V3418" s="228" t="s">
        <v>1017</v>
      </c>
      <c r="W3418" s="35"/>
      <c r="X3418" s="50"/>
      <c r="AH3418" s="253" t="s">
        <v>1777</v>
      </c>
      <c r="AK3418" t="str">
        <f t="shared" si="1344"/>
        <v/>
      </c>
      <c r="AL3418" t="str">
        <f t="shared" si="1345"/>
        <v/>
      </c>
      <c r="AM3418" t="str">
        <f t="shared" si="1346"/>
        <v/>
      </c>
      <c r="AN3418" t="str">
        <f t="shared" si="1347"/>
        <v/>
      </c>
      <c r="AO3418" t="str">
        <f t="shared" si="1348"/>
        <v/>
      </c>
      <c r="AP3418" t="str">
        <f t="shared" si="1349"/>
        <v/>
      </c>
      <c r="AQ3418" t="str">
        <f t="shared" si="1350"/>
        <v/>
      </c>
      <c r="AR3418" t="str">
        <f t="shared" si="1351"/>
        <v>G1</v>
      </c>
      <c r="AS3418" t="str">
        <f t="shared" si="1352"/>
        <v/>
      </c>
      <c r="AT3418" t="str">
        <f t="shared" si="1353"/>
        <v/>
      </c>
      <c r="AU3418" t="str">
        <f t="shared" si="1354"/>
        <v>G1</v>
      </c>
      <c r="AV3418" s="254" t="str">
        <f t="shared" si="1360"/>
        <v>BiK273G1----12</v>
      </c>
      <c r="AW3418">
        <f t="shared" si="1356"/>
        <v>14</v>
      </c>
      <c r="AX3418" t="str">
        <f t="shared" si="1357"/>
        <v>0,75-5 MW, Bonusregel G1</v>
      </c>
      <c r="AY3418" t="str">
        <f t="shared" si="1358"/>
        <v/>
      </c>
    </row>
    <row r="3419" spans="1:51" x14ac:dyDescent="0.25">
      <c r="A3419" s="615" t="str">
        <f t="shared" si="1359"/>
        <v>BiK273E1cG1-13</v>
      </c>
      <c r="B3419" s="372" t="s">
        <v>5548</v>
      </c>
      <c r="C3419" s="375" t="str">
        <f t="shared" si="1337"/>
        <v>Inbetriebnahme 2013</v>
      </c>
      <c r="D3419" s="372" t="str">
        <f t="shared" si="1338"/>
        <v>0,75-5 MW, Bonusregeln E1c, G1</v>
      </c>
      <c r="E3419" s="372"/>
      <c r="F3419" s="459">
        <f t="shared" si="1339"/>
        <v>17.72</v>
      </c>
      <c r="G3419" s="535">
        <v>17.72</v>
      </c>
      <c r="H3419" s="493">
        <f t="shared" si="1340"/>
        <v>14.18</v>
      </c>
      <c r="I3419" s="711"/>
      <c r="J3419" s="669" t="s">
        <v>5805</v>
      </c>
      <c r="K3419" s="23"/>
      <c r="L3419" s="70" t="str">
        <f t="shared" si="1341"/>
        <v/>
      </c>
      <c r="M3419" s="49">
        <f t="shared" si="1342"/>
        <v>17.72</v>
      </c>
      <c r="N3419" s="41">
        <f t="shared" si="1343"/>
        <v>10.78</v>
      </c>
      <c r="O3419" s="196"/>
      <c r="P3419" s="65"/>
      <c r="Q3419" s="253" t="s">
        <v>1017</v>
      </c>
      <c r="R3419" s="35"/>
      <c r="S3419" s="228"/>
      <c r="T3419" s="65"/>
      <c r="U3419" s="35"/>
      <c r="V3419" s="228" t="s">
        <v>1017</v>
      </c>
      <c r="W3419" s="35"/>
      <c r="X3419" s="50"/>
      <c r="AH3419" s="253" t="s">
        <v>1777</v>
      </c>
      <c r="AK3419" t="str">
        <f t="shared" si="1344"/>
        <v/>
      </c>
      <c r="AL3419" t="str">
        <f t="shared" si="1345"/>
        <v/>
      </c>
      <c r="AM3419" t="str">
        <f t="shared" si="1346"/>
        <v>E1c</v>
      </c>
      <c r="AN3419" t="str">
        <f t="shared" si="1347"/>
        <v/>
      </c>
      <c r="AO3419" t="str">
        <f t="shared" si="1348"/>
        <v/>
      </c>
      <c r="AP3419" t="str">
        <f t="shared" si="1349"/>
        <v/>
      </c>
      <c r="AQ3419" t="str">
        <f t="shared" si="1350"/>
        <v/>
      </c>
      <c r="AR3419" t="str">
        <f t="shared" si="1351"/>
        <v>G1</v>
      </c>
      <c r="AS3419" t="str">
        <f t="shared" si="1352"/>
        <v/>
      </c>
      <c r="AT3419" t="str">
        <f t="shared" si="1353"/>
        <v/>
      </c>
      <c r="AU3419" t="str">
        <f t="shared" si="1354"/>
        <v>E1cG1</v>
      </c>
      <c r="AV3419" s="254" t="str">
        <f t="shared" si="1360"/>
        <v>BiK273E1cG1-12</v>
      </c>
      <c r="AW3419">
        <f t="shared" si="1356"/>
        <v>14</v>
      </c>
      <c r="AX3419" t="str">
        <f t="shared" si="1357"/>
        <v>0,75-5 MW, Bonusregeln E1c, G1</v>
      </c>
      <c r="AY3419" t="str">
        <f t="shared" si="1358"/>
        <v/>
      </c>
    </row>
    <row r="3420" spans="1:51" x14ac:dyDescent="0.25">
      <c r="A3420" s="615" t="str">
        <f t="shared" si="1359"/>
        <v>BiK273E1dG1-13</v>
      </c>
      <c r="B3420" s="372" t="s">
        <v>5548</v>
      </c>
      <c r="C3420" s="375" t="str">
        <f t="shared" si="1337"/>
        <v>Inbetriebnahme 2013</v>
      </c>
      <c r="D3420" s="372" t="str">
        <f t="shared" si="1338"/>
        <v>0,75-5 MW, Bonusregeln E1d, G1</v>
      </c>
      <c r="E3420" s="372"/>
      <c r="F3420" s="459">
        <f t="shared" si="1339"/>
        <v>16.22</v>
      </c>
      <c r="G3420" s="535">
        <v>16.22</v>
      </c>
      <c r="H3420" s="493">
        <f t="shared" si="1340"/>
        <v>12.98</v>
      </c>
      <c r="I3420" s="711"/>
      <c r="J3420" s="669" t="s">
        <v>5805</v>
      </c>
      <c r="K3420" s="23"/>
      <c r="L3420" s="70" t="str">
        <f t="shared" si="1341"/>
        <v/>
      </c>
      <c r="M3420" s="49">
        <f t="shared" si="1342"/>
        <v>16.22</v>
      </c>
      <c r="N3420" s="41">
        <f t="shared" si="1343"/>
        <v>10.78</v>
      </c>
      <c r="O3420" s="196"/>
      <c r="P3420" s="65"/>
      <c r="Q3420" s="35"/>
      <c r="R3420" s="253" t="s">
        <v>1017</v>
      </c>
      <c r="S3420" s="228"/>
      <c r="T3420" s="65"/>
      <c r="U3420" s="35"/>
      <c r="V3420" s="228" t="s">
        <v>1017</v>
      </c>
      <c r="W3420" s="35"/>
      <c r="X3420" s="50"/>
      <c r="AH3420" s="253" t="s">
        <v>1777</v>
      </c>
      <c r="AK3420" t="str">
        <f t="shared" si="1344"/>
        <v/>
      </c>
      <c r="AL3420" t="str">
        <f t="shared" si="1345"/>
        <v/>
      </c>
      <c r="AM3420" t="str">
        <f t="shared" si="1346"/>
        <v/>
      </c>
      <c r="AN3420" t="str">
        <f t="shared" si="1347"/>
        <v>E1d</v>
      </c>
      <c r="AO3420" t="str">
        <f t="shared" si="1348"/>
        <v/>
      </c>
      <c r="AP3420" t="str">
        <f t="shared" si="1349"/>
        <v/>
      </c>
      <c r="AQ3420" t="str">
        <f t="shared" si="1350"/>
        <v/>
      </c>
      <c r="AR3420" t="str">
        <f t="shared" si="1351"/>
        <v>G1</v>
      </c>
      <c r="AS3420" t="str">
        <f t="shared" si="1352"/>
        <v/>
      </c>
      <c r="AT3420" t="str">
        <f t="shared" si="1353"/>
        <v/>
      </c>
      <c r="AU3420" t="str">
        <f t="shared" si="1354"/>
        <v>E1dG1</v>
      </c>
      <c r="AV3420" s="254" t="str">
        <f t="shared" si="1360"/>
        <v>BiK273E1dG1-12</v>
      </c>
      <c r="AW3420">
        <f t="shared" si="1356"/>
        <v>14</v>
      </c>
      <c r="AX3420" t="str">
        <f t="shared" si="1357"/>
        <v>0,75-5 MW, Bonusregeln E1d, G1</v>
      </c>
      <c r="AY3420" t="str">
        <f t="shared" si="1358"/>
        <v/>
      </c>
    </row>
    <row r="3421" spans="1:51" x14ac:dyDescent="0.25">
      <c r="A3421" s="615" t="str">
        <f t="shared" si="1359"/>
        <v>BiK273E2aG1-13</v>
      </c>
      <c r="B3421" s="372" t="s">
        <v>5548</v>
      </c>
      <c r="C3421" s="375" t="str">
        <f t="shared" si="1337"/>
        <v>Inbetriebnahme 2013</v>
      </c>
      <c r="D3421" s="372" t="str">
        <f t="shared" si="1338"/>
        <v>0,75-5 MW, Bonusregeln E2a, G1</v>
      </c>
      <c r="E3421" s="372"/>
      <c r="F3421" s="459">
        <f t="shared" si="1339"/>
        <v>21.72</v>
      </c>
      <c r="G3421" s="535">
        <v>21.72</v>
      </c>
      <c r="H3421" s="493">
        <f t="shared" si="1340"/>
        <v>17.38</v>
      </c>
      <c r="I3421" s="711"/>
      <c r="J3421" s="669" t="s">
        <v>5805</v>
      </c>
      <c r="K3421" s="23"/>
      <c r="L3421" s="70" t="str">
        <f t="shared" si="1341"/>
        <v/>
      </c>
      <c r="M3421" s="49">
        <f t="shared" si="1342"/>
        <v>21.72</v>
      </c>
      <c r="N3421" s="41">
        <f t="shared" si="1343"/>
        <v>10.78</v>
      </c>
      <c r="O3421" s="196"/>
      <c r="P3421" s="65"/>
      <c r="Q3421" s="35"/>
      <c r="R3421" s="35"/>
      <c r="S3421" s="228" t="s">
        <v>1017</v>
      </c>
      <c r="T3421" s="65"/>
      <c r="U3421" s="35"/>
      <c r="V3421" s="228" t="s">
        <v>1017</v>
      </c>
      <c r="W3421" s="35"/>
      <c r="X3421" s="50"/>
      <c r="AH3421" s="253" t="s">
        <v>1777</v>
      </c>
      <c r="AK3421" t="str">
        <f t="shared" si="1344"/>
        <v/>
      </c>
      <c r="AL3421" t="str">
        <f t="shared" si="1345"/>
        <v/>
      </c>
      <c r="AM3421" t="str">
        <f t="shared" si="1346"/>
        <v/>
      </c>
      <c r="AN3421" t="str">
        <f t="shared" si="1347"/>
        <v/>
      </c>
      <c r="AO3421" t="str">
        <f t="shared" si="1348"/>
        <v>E2a</v>
      </c>
      <c r="AP3421" t="str">
        <f t="shared" si="1349"/>
        <v/>
      </c>
      <c r="AQ3421" t="str">
        <f t="shared" si="1350"/>
        <v/>
      </c>
      <c r="AR3421" t="str">
        <f t="shared" si="1351"/>
        <v>G1</v>
      </c>
      <c r="AS3421" t="str">
        <f t="shared" si="1352"/>
        <v/>
      </c>
      <c r="AT3421" t="str">
        <f t="shared" si="1353"/>
        <v/>
      </c>
      <c r="AU3421" t="str">
        <f t="shared" si="1354"/>
        <v>E2aG1</v>
      </c>
      <c r="AV3421" s="254" t="str">
        <f t="shared" si="1360"/>
        <v>BiK273E2aG1-12</v>
      </c>
      <c r="AW3421">
        <f t="shared" si="1356"/>
        <v>14</v>
      </c>
      <c r="AX3421" t="str">
        <f t="shared" si="1357"/>
        <v>0,75-5 MW, Bonusregeln E2a, G1</v>
      </c>
      <c r="AY3421" t="str">
        <f t="shared" si="1358"/>
        <v/>
      </c>
    </row>
    <row r="3422" spans="1:51" x14ac:dyDescent="0.25">
      <c r="A3422" s="615" t="str">
        <f t="shared" si="1359"/>
        <v>BiK273E2cG1-13</v>
      </c>
      <c r="B3422" s="372" t="s">
        <v>5548</v>
      </c>
      <c r="C3422" s="375" t="str">
        <f t="shared" si="1337"/>
        <v>Inbetriebnahme 2013</v>
      </c>
      <c r="D3422" s="372" t="str">
        <f t="shared" si="1338"/>
        <v>0,75-5 MW, Bonusregeln E2c, G1</v>
      </c>
      <c r="E3422" s="372"/>
      <c r="F3422" s="459">
        <f t="shared" si="1339"/>
        <v>19.72</v>
      </c>
      <c r="G3422" s="535">
        <v>19.72</v>
      </c>
      <c r="H3422" s="493">
        <f t="shared" si="1340"/>
        <v>15.78</v>
      </c>
      <c r="I3422" s="711"/>
      <c r="J3422" s="669" t="s">
        <v>5805</v>
      </c>
      <c r="K3422" s="23"/>
      <c r="L3422" s="70" t="str">
        <f t="shared" si="1341"/>
        <v/>
      </c>
      <c r="M3422" s="49">
        <f t="shared" si="1342"/>
        <v>19.72</v>
      </c>
      <c r="N3422" s="41">
        <f t="shared" si="1343"/>
        <v>10.78</v>
      </c>
      <c r="O3422" s="196"/>
      <c r="P3422" s="65"/>
      <c r="Q3422" s="35"/>
      <c r="R3422" s="35"/>
      <c r="S3422" s="228"/>
      <c r="T3422" s="65"/>
      <c r="U3422" s="253" t="s">
        <v>1017</v>
      </c>
      <c r="V3422" s="228" t="s">
        <v>1017</v>
      </c>
      <c r="W3422" s="35"/>
      <c r="X3422" s="50"/>
      <c r="AH3422" s="253" t="s">
        <v>1777</v>
      </c>
      <c r="AK3422" t="str">
        <f t="shared" si="1344"/>
        <v/>
      </c>
      <c r="AL3422" t="str">
        <f t="shared" si="1345"/>
        <v/>
      </c>
      <c r="AM3422" t="str">
        <f t="shared" si="1346"/>
        <v/>
      </c>
      <c r="AN3422" t="str">
        <f t="shared" si="1347"/>
        <v/>
      </c>
      <c r="AO3422" t="str">
        <f t="shared" si="1348"/>
        <v/>
      </c>
      <c r="AP3422" t="str">
        <f t="shared" si="1349"/>
        <v/>
      </c>
      <c r="AQ3422" t="str">
        <f t="shared" si="1350"/>
        <v>E2c</v>
      </c>
      <c r="AR3422" t="str">
        <f t="shared" si="1351"/>
        <v>G1</v>
      </c>
      <c r="AS3422" t="str">
        <f t="shared" si="1352"/>
        <v/>
      </c>
      <c r="AT3422" t="str">
        <f t="shared" si="1353"/>
        <v/>
      </c>
      <c r="AU3422" t="str">
        <f t="shared" si="1354"/>
        <v>E2cG1</v>
      </c>
      <c r="AV3422" s="254" t="str">
        <f t="shared" si="1360"/>
        <v>BiK273E2cG1-12</v>
      </c>
      <c r="AW3422">
        <f t="shared" si="1356"/>
        <v>14</v>
      </c>
      <c r="AX3422" t="str">
        <f t="shared" si="1357"/>
        <v>0,75-5 MW, Bonusregeln E2c, G1</v>
      </c>
      <c r="AY3422" t="str">
        <f t="shared" si="1358"/>
        <v/>
      </c>
    </row>
    <row r="3423" spans="1:51" x14ac:dyDescent="0.25">
      <c r="A3423" s="615" t="str">
        <f t="shared" si="1359"/>
        <v>BiK273G2----13</v>
      </c>
      <c r="B3423" s="372" t="s">
        <v>5548</v>
      </c>
      <c r="C3423" s="375" t="str">
        <f t="shared" si="1337"/>
        <v>Inbetriebnahme 2013</v>
      </c>
      <c r="D3423" s="372" t="str">
        <f t="shared" si="1338"/>
        <v>0,75-5 MW, Bonusregel G2</v>
      </c>
      <c r="E3423" s="372"/>
      <c r="F3423" s="459">
        <f t="shared" si="1339"/>
        <v>12.739999999999998</v>
      </c>
      <c r="G3423" s="535">
        <v>12.739999999999998</v>
      </c>
      <c r="H3423" s="493">
        <f t="shared" si="1340"/>
        <v>10.19</v>
      </c>
      <c r="I3423" s="711"/>
      <c r="J3423" s="669" t="s">
        <v>5805</v>
      </c>
      <c r="K3423" s="23"/>
      <c r="L3423" s="70" t="str">
        <f t="shared" si="1341"/>
        <v/>
      </c>
      <c r="M3423" s="49">
        <f t="shared" si="1342"/>
        <v>12.739999999999998</v>
      </c>
      <c r="N3423" s="41">
        <f t="shared" si="1343"/>
        <v>10.78</v>
      </c>
      <c r="O3423" s="196"/>
      <c r="P3423" s="65"/>
      <c r="Q3423" s="35"/>
      <c r="R3423" s="35"/>
      <c r="S3423" s="228"/>
      <c r="T3423" s="65"/>
      <c r="U3423" s="35"/>
      <c r="V3423" s="228"/>
      <c r="W3423" s="253" t="s">
        <v>1017</v>
      </c>
      <c r="X3423" s="50"/>
      <c r="AH3423" s="253" t="s">
        <v>1777</v>
      </c>
      <c r="AK3423" t="str">
        <f t="shared" si="1344"/>
        <v/>
      </c>
      <c r="AL3423" t="str">
        <f t="shared" si="1345"/>
        <v/>
      </c>
      <c r="AM3423" t="str">
        <f t="shared" si="1346"/>
        <v/>
      </c>
      <c r="AN3423" t="str">
        <f t="shared" si="1347"/>
        <v/>
      </c>
      <c r="AO3423" t="str">
        <f t="shared" si="1348"/>
        <v/>
      </c>
      <c r="AP3423" t="str">
        <f t="shared" si="1349"/>
        <v/>
      </c>
      <c r="AQ3423" t="str">
        <f t="shared" si="1350"/>
        <v/>
      </c>
      <c r="AR3423" t="str">
        <f t="shared" si="1351"/>
        <v/>
      </c>
      <c r="AS3423" t="str">
        <f t="shared" si="1352"/>
        <v>G2</v>
      </c>
      <c r="AT3423" t="str">
        <f t="shared" si="1353"/>
        <v/>
      </c>
      <c r="AU3423" t="str">
        <f t="shared" si="1354"/>
        <v>G2</v>
      </c>
      <c r="AV3423" s="254" t="str">
        <f t="shared" si="1360"/>
        <v>BiK273G2----12</v>
      </c>
      <c r="AW3423">
        <f t="shared" si="1356"/>
        <v>14</v>
      </c>
      <c r="AX3423" t="str">
        <f t="shared" si="1357"/>
        <v>0,75-5 MW, Bonusregel G2</v>
      </c>
      <c r="AY3423" t="str">
        <f t="shared" si="1358"/>
        <v/>
      </c>
    </row>
    <row r="3424" spans="1:51" x14ac:dyDescent="0.25">
      <c r="A3424" s="615" t="str">
        <f t="shared" si="1359"/>
        <v>BiK273E1cG2-13</v>
      </c>
      <c r="B3424" s="372" t="s">
        <v>5548</v>
      </c>
      <c r="C3424" s="375" t="str">
        <f t="shared" si="1337"/>
        <v>Inbetriebnahme 2013</v>
      </c>
      <c r="D3424" s="372" t="str">
        <f t="shared" si="1338"/>
        <v>0,75-5 MW, Bonusregeln E1c, G2</v>
      </c>
      <c r="E3424" s="372"/>
      <c r="F3424" s="459">
        <f t="shared" si="1339"/>
        <v>16.739999999999998</v>
      </c>
      <c r="G3424" s="535">
        <v>16.739999999999998</v>
      </c>
      <c r="H3424" s="493">
        <f t="shared" si="1340"/>
        <v>13.39</v>
      </c>
      <c r="I3424" s="711"/>
      <c r="J3424" s="669" t="s">
        <v>5805</v>
      </c>
      <c r="K3424" s="23"/>
      <c r="L3424" s="70" t="str">
        <f t="shared" si="1341"/>
        <v/>
      </c>
      <c r="M3424" s="49">
        <f t="shared" si="1342"/>
        <v>16.739999999999998</v>
      </c>
      <c r="N3424" s="41">
        <f t="shared" si="1343"/>
        <v>10.78</v>
      </c>
      <c r="O3424" s="196"/>
      <c r="P3424" s="65"/>
      <c r="Q3424" s="253" t="s">
        <v>1017</v>
      </c>
      <c r="R3424" s="35"/>
      <c r="S3424" s="228"/>
      <c r="T3424" s="65"/>
      <c r="U3424" s="35"/>
      <c r="V3424" s="228"/>
      <c r="W3424" s="253" t="s">
        <v>1017</v>
      </c>
      <c r="X3424" s="50"/>
      <c r="AH3424" s="253" t="s">
        <v>1777</v>
      </c>
      <c r="AK3424" t="str">
        <f t="shared" si="1344"/>
        <v/>
      </c>
      <c r="AL3424" t="str">
        <f t="shared" si="1345"/>
        <v/>
      </c>
      <c r="AM3424" t="str">
        <f t="shared" si="1346"/>
        <v>E1c</v>
      </c>
      <c r="AN3424" t="str">
        <f t="shared" si="1347"/>
        <v/>
      </c>
      <c r="AO3424" t="str">
        <f t="shared" si="1348"/>
        <v/>
      </c>
      <c r="AP3424" t="str">
        <f t="shared" si="1349"/>
        <v/>
      </c>
      <c r="AQ3424" t="str">
        <f t="shared" si="1350"/>
        <v/>
      </c>
      <c r="AR3424" t="str">
        <f t="shared" si="1351"/>
        <v/>
      </c>
      <c r="AS3424" t="str">
        <f t="shared" si="1352"/>
        <v>G2</v>
      </c>
      <c r="AT3424" t="str">
        <f t="shared" si="1353"/>
        <v/>
      </c>
      <c r="AU3424" t="str">
        <f t="shared" si="1354"/>
        <v>E1cG2</v>
      </c>
      <c r="AV3424" s="254" t="str">
        <f t="shared" si="1360"/>
        <v>BiK273E1cG2-12</v>
      </c>
      <c r="AW3424">
        <f t="shared" si="1356"/>
        <v>14</v>
      </c>
      <c r="AX3424" t="str">
        <f t="shared" si="1357"/>
        <v>0,75-5 MW, Bonusregeln E1c, G2</v>
      </c>
      <c r="AY3424" t="str">
        <f t="shared" si="1358"/>
        <v/>
      </c>
    </row>
    <row r="3425" spans="1:51" x14ac:dyDescent="0.25">
      <c r="A3425" s="615" t="str">
        <f t="shared" si="1359"/>
        <v>BiK273E1dG2-13</v>
      </c>
      <c r="B3425" s="372" t="s">
        <v>5548</v>
      </c>
      <c r="C3425" s="375" t="str">
        <f t="shared" ref="C3425:C3433" si="1361">"Inbetriebnahme "&amp;$M$3360</f>
        <v>Inbetriebnahme 2013</v>
      </c>
      <c r="D3425" s="372" t="str">
        <f t="shared" ref="D3425:D3433" si="1362">IF(COUNTA(O3425:X3425)=0,AH3425,AH3425&amp;", Bonusregel"&amp;IF(AND(COUNTA(O3425:U3425)&gt;0,COUNTA(V3425:X3425)&gt;0),"n "&amp;AK3425&amp;AL3425&amp;AM3425&amp;AN3425&amp;AO3425&amp;AP3425&amp;AQ3425&amp;", "&amp;AR3425&amp;AS3425&amp;AT3425," "&amp;AK3425&amp;AL3425&amp;AM3425&amp;AN3425&amp;AO3425&amp;AP3425&amp;AQ3425&amp;AR3425&amp;AS3425&amp;AT3425))</f>
        <v>0,75-5 MW, Bonusregeln E1d, G2</v>
      </c>
      <c r="E3425" s="372"/>
      <c r="F3425" s="459">
        <f t="shared" ref="F3425:F3433" si="1363">M3425</f>
        <v>15.239999999999998</v>
      </c>
      <c r="G3425" s="535">
        <v>15.239999999999998</v>
      </c>
      <c r="H3425" s="493">
        <f t="shared" ref="H3425:H3433" si="1364">IF(ISNUMBER(G3425),ROUND(0.8*G3425,2),"")</f>
        <v>12.19</v>
      </c>
      <c r="I3425" s="711"/>
      <c r="J3425" s="669" t="s">
        <v>5805</v>
      </c>
      <c r="K3425" s="23"/>
      <c r="L3425" s="70" t="str">
        <f t="shared" ref="L3425:L3433" si="1365">IF(F3425=M3425,"",FALSE)</f>
        <v/>
      </c>
      <c r="M3425" s="49">
        <f t="shared" ref="M3425:M3433" si="1366">ROUND(N3425,2)+SUMIF(O3425:X3425,"x",$O$3360:$X$3360)</f>
        <v>15.239999999999998</v>
      </c>
      <c r="N3425" s="41">
        <f t="shared" ref="N3425:N3433" si="1367">N3346*(1-$Y$3360)</f>
        <v>10.78</v>
      </c>
      <c r="O3425" s="196"/>
      <c r="P3425" s="65"/>
      <c r="Q3425" s="35"/>
      <c r="R3425" s="253" t="s">
        <v>1017</v>
      </c>
      <c r="S3425" s="228"/>
      <c r="T3425" s="65"/>
      <c r="U3425" s="35"/>
      <c r="V3425" s="228"/>
      <c r="W3425" s="253" t="s">
        <v>1017</v>
      </c>
      <c r="X3425" s="50"/>
      <c r="AH3425" s="253" t="s">
        <v>1777</v>
      </c>
      <c r="AK3425" t="str">
        <f t="shared" ref="AK3425:AK3433" si="1368">IF(O3425="x",O$3280,"")</f>
        <v/>
      </c>
      <c r="AL3425" t="str">
        <f t="shared" ref="AL3425:AL3433" si="1369">IF(P3425="x",P$3280,"")</f>
        <v/>
      </c>
      <c r="AM3425" t="str">
        <f t="shared" ref="AM3425:AM3433" si="1370">IF(Q3425="x",Q$3280,"")</f>
        <v/>
      </c>
      <c r="AN3425" t="str">
        <f t="shared" ref="AN3425:AN3433" si="1371">IF(R3425="x",R$3280,"")</f>
        <v>E1d</v>
      </c>
      <c r="AO3425" t="str">
        <f t="shared" ref="AO3425:AO3433" si="1372">IF(S3425="x",S$3280,"")</f>
        <v/>
      </c>
      <c r="AP3425" t="str">
        <f t="shared" ref="AP3425:AP3433" si="1373">IF(T3425="x",T$3280,"")</f>
        <v/>
      </c>
      <c r="AQ3425" t="str">
        <f t="shared" ref="AQ3425:AQ3433" si="1374">IF(U3425="x",U$3280,"")</f>
        <v/>
      </c>
      <c r="AR3425" t="str">
        <f t="shared" ref="AR3425:AR3433" si="1375">IF(V3425="x",V$3280,"")</f>
        <v/>
      </c>
      <c r="AS3425" t="str">
        <f t="shared" ref="AS3425:AS3433" si="1376">IF(W3425="x",W$3280,"")</f>
        <v>G2</v>
      </c>
      <c r="AT3425" t="str">
        <f t="shared" ref="AT3425:AT3433" si="1377">IF(X3425="x",X$3280,"")</f>
        <v/>
      </c>
      <c r="AU3425" t="str">
        <f t="shared" ref="AU3425:AU3433" si="1378">AK3425&amp;AL3425&amp;AM3425&amp;AN3425&amp;AO3425&amp;AP3425&amp;AQ3425&amp;AR3425&amp;AS3425&amp;AT3425</f>
        <v>E1dG2</v>
      </c>
      <c r="AV3425" s="254" t="str">
        <f t="shared" si="1360"/>
        <v>BiK273E1dG2-12</v>
      </c>
      <c r="AW3425">
        <f t="shared" ref="AW3425:AW3433" si="1379">LEN(AV3425)</f>
        <v>14</v>
      </c>
      <c r="AX3425" t="str">
        <f t="shared" ref="AX3425:AX3433" si="1380">IF(COUNTA(O3425:X3425)=0,AH3425,AH3425&amp;", Bonusregel"&amp;IF(AND(COUNTA(O3425:U3425)&gt;0,COUNTA(V3425:X3425)&gt;0),"n "&amp;AK3425&amp;AL3425&amp;AM3425&amp;AN3425&amp;AO3425&amp;AP3425&amp;AQ3425&amp;", "&amp;AR3425&amp;AS3425&amp;AT3425," "&amp;AK3425&amp;AL3425&amp;AM3425&amp;AN3425&amp;AO3425&amp;AP3425&amp;AQ3425&amp;AR3425&amp;AS3425&amp;AT3425))</f>
        <v>0,75-5 MW, Bonusregeln E1d, G2</v>
      </c>
      <c r="AY3425" t="str">
        <f t="shared" ref="AY3425:AY3433" si="1381">IF(COUNTA(O3425:U3425)&gt;1,"Fehler ESVK",IF(COUNTA(V3425:X3425)&gt;1,"Fehler GAB",IF(AW3425&lt;&gt;14,"Fehler Kategorie","")))</f>
        <v/>
      </c>
    </row>
    <row r="3426" spans="1:51" x14ac:dyDescent="0.25">
      <c r="A3426" s="615" t="str">
        <f t="shared" si="1359"/>
        <v>BiK273E2aG2-13</v>
      </c>
      <c r="B3426" s="372" t="s">
        <v>5548</v>
      </c>
      <c r="C3426" s="375" t="str">
        <f t="shared" si="1361"/>
        <v>Inbetriebnahme 2013</v>
      </c>
      <c r="D3426" s="372" t="str">
        <f t="shared" si="1362"/>
        <v>0,75-5 MW, Bonusregeln E2a, G2</v>
      </c>
      <c r="E3426" s="372"/>
      <c r="F3426" s="459">
        <f t="shared" si="1363"/>
        <v>20.740000000000002</v>
      </c>
      <c r="G3426" s="535">
        <v>20.740000000000002</v>
      </c>
      <c r="H3426" s="493">
        <f t="shared" si="1364"/>
        <v>16.59</v>
      </c>
      <c r="I3426" s="711"/>
      <c r="J3426" s="669" t="s">
        <v>5805</v>
      </c>
      <c r="K3426" s="23"/>
      <c r="L3426" s="70" t="str">
        <f t="shared" si="1365"/>
        <v/>
      </c>
      <c r="M3426" s="49">
        <f t="shared" si="1366"/>
        <v>20.740000000000002</v>
      </c>
      <c r="N3426" s="41">
        <f t="shared" si="1367"/>
        <v>10.78</v>
      </c>
      <c r="O3426" s="196"/>
      <c r="P3426" s="65"/>
      <c r="Q3426" s="35"/>
      <c r="R3426" s="35"/>
      <c r="S3426" s="228" t="s">
        <v>1017</v>
      </c>
      <c r="T3426" s="65"/>
      <c r="U3426" s="35"/>
      <c r="V3426" s="228"/>
      <c r="W3426" s="253" t="s">
        <v>1017</v>
      </c>
      <c r="X3426" s="50"/>
      <c r="AH3426" s="253" t="s">
        <v>1777</v>
      </c>
      <c r="AK3426" t="str">
        <f t="shared" si="1368"/>
        <v/>
      </c>
      <c r="AL3426" t="str">
        <f t="shared" si="1369"/>
        <v/>
      </c>
      <c r="AM3426" t="str">
        <f t="shared" si="1370"/>
        <v/>
      </c>
      <c r="AN3426" t="str">
        <f t="shared" si="1371"/>
        <v/>
      </c>
      <c r="AO3426" t="str">
        <f t="shared" si="1372"/>
        <v>E2a</v>
      </c>
      <c r="AP3426" t="str">
        <f t="shared" si="1373"/>
        <v/>
      </c>
      <c r="AQ3426" t="str">
        <f t="shared" si="1374"/>
        <v/>
      </c>
      <c r="AR3426" t="str">
        <f t="shared" si="1375"/>
        <v/>
      </c>
      <c r="AS3426" t="str">
        <f t="shared" si="1376"/>
        <v>G2</v>
      </c>
      <c r="AT3426" t="str">
        <f t="shared" si="1377"/>
        <v/>
      </c>
      <c r="AU3426" t="str">
        <f t="shared" si="1378"/>
        <v>E2aG2</v>
      </c>
      <c r="AV3426" s="254" t="str">
        <f t="shared" si="1360"/>
        <v>BiK273E2aG2-12</v>
      </c>
      <c r="AW3426">
        <f t="shared" si="1379"/>
        <v>14</v>
      </c>
      <c r="AX3426" t="str">
        <f t="shared" si="1380"/>
        <v>0,75-5 MW, Bonusregeln E2a, G2</v>
      </c>
      <c r="AY3426" t="str">
        <f t="shared" si="1381"/>
        <v/>
      </c>
    </row>
    <row r="3427" spans="1:51" x14ac:dyDescent="0.25">
      <c r="A3427" s="615" t="str">
        <f t="shared" si="1359"/>
        <v>BiK273E2cG2-13</v>
      </c>
      <c r="B3427" s="372" t="s">
        <v>5548</v>
      </c>
      <c r="C3427" s="375" t="str">
        <f t="shared" si="1361"/>
        <v>Inbetriebnahme 2013</v>
      </c>
      <c r="D3427" s="372" t="str">
        <f t="shared" si="1362"/>
        <v>0,75-5 MW, Bonusregeln E2c, G2</v>
      </c>
      <c r="E3427" s="372"/>
      <c r="F3427" s="459">
        <f t="shared" si="1363"/>
        <v>18.739999999999998</v>
      </c>
      <c r="G3427" s="535">
        <v>18.739999999999998</v>
      </c>
      <c r="H3427" s="493">
        <f t="shared" si="1364"/>
        <v>14.99</v>
      </c>
      <c r="I3427" s="711"/>
      <c r="J3427" s="669" t="s">
        <v>5805</v>
      </c>
      <c r="K3427" s="23"/>
      <c r="L3427" s="70" t="str">
        <f t="shared" si="1365"/>
        <v/>
      </c>
      <c r="M3427" s="49">
        <f t="shared" si="1366"/>
        <v>18.739999999999998</v>
      </c>
      <c r="N3427" s="41">
        <f t="shared" si="1367"/>
        <v>10.78</v>
      </c>
      <c r="O3427" s="196"/>
      <c r="P3427" s="65"/>
      <c r="Q3427" s="35"/>
      <c r="R3427" s="35"/>
      <c r="S3427" s="228"/>
      <c r="T3427" s="65"/>
      <c r="U3427" s="253" t="s">
        <v>1017</v>
      </c>
      <c r="V3427" s="228"/>
      <c r="W3427" s="253" t="s">
        <v>1017</v>
      </c>
      <c r="X3427" s="50"/>
      <c r="AH3427" s="253" t="s">
        <v>1777</v>
      </c>
      <c r="AK3427" t="str">
        <f t="shared" si="1368"/>
        <v/>
      </c>
      <c r="AL3427" t="str">
        <f t="shared" si="1369"/>
        <v/>
      </c>
      <c r="AM3427" t="str">
        <f t="shared" si="1370"/>
        <v/>
      </c>
      <c r="AN3427" t="str">
        <f t="shared" si="1371"/>
        <v/>
      </c>
      <c r="AO3427" t="str">
        <f t="shared" si="1372"/>
        <v/>
      </c>
      <c r="AP3427" t="str">
        <f t="shared" si="1373"/>
        <v/>
      </c>
      <c r="AQ3427" t="str">
        <f t="shared" si="1374"/>
        <v>E2c</v>
      </c>
      <c r="AR3427" t="str">
        <f t="shared" si="1375"/>
        <v/>
      </c>
      <c r="AS3427" t="str">
        <f t="shared" si="1376"/>
        <v>G2</v>
      </c>
      <c r="AT3427" t="str">
        <f t="shared" si="1377"/>
        <v/>
      </c>
      <c r="AU3427" t="str">
        <f t="shared" si="1378"/>
        <v>E2cG2</v>
      </c>
      <c r="AV3427" s="254" t="str">
        <f t="shared" si="1360"/>
        <v>BiK273E2cG2-12</v>
      </c>
      <c r="AW3427">
        <f t="shared" si="1379"/>
        <v>14</v>
      </c>
      <c r="AX3427" t="str">
        <f t="shared" si="1380"/>
        <v>0,75-5 MW, Bonusregeln E2c, G2</v>
      </c>
      <c r="AY3427" t="str">
        <f t="shared" si="1381"/>
        <v/>
      </c>
    </row>
    <row r="3428" spans="1:51" x14ac:dyDescent="0.25">
      <c r="A3428" s="615" t="str">
        <f t="shared" si="1359"/>
        <v>BiK273G3----13</v>
      </c>
      <c r="B3428" s="372" t="s">
        <v>5548</v>
      </c>
      <c r="C3428" s="375" t="str">
        <f t="shared" si="1361"/>
        <v>Inbetriebnahme 2013</v>
      </c>
      <c r="D3428" s="372" t="str">
        <f t="shared" si="1362"/>
        <v>0,75-5 MW, Bonusregel G3</v>
      </c>
      <c r="E3428" s="372"/>
      <c r="F3428" s="459">
        <f t="shared" si="1363"/>
        <v>11.76</v>
      </c>
      <c r="G3428" s="535">
        <v>11.76</v>
      </c>
      <c r="H3428" s="493">
        <f t="shared" si="1364"/>
        <v>9.41</v>
      </c>
      <c r="I3428" s="711"/>
      <c r="J3428" s="669" t="s">
        <v>5805</v>
      </c>
      <c r="K3428" s="23"/>
      <c r="L3428" s="70" t="str">
        <f t="shared" si="1365"/>
        <v/>
      </c>
      <c r="M3428" s="49">
        <f t="shared" si="1366"/>
        <v>11.76</v>
      </c>
      <c r="N3428" s="41">
        <f t="shared" si="1367"/>
        <v>10.78</v>
      </c>
      <c r="O3428" s="196"/>
      <c r="P3428" s="65"/>
      <c r="Q3428" s="35"/>
      <c r="R3428" s="35"/>
      <c r="S3428" s="228"/>
      <c r="T3428" s="65"/>
      <c r="U3428" s="35"/>
      <c r="V3428" s="228"/>
      <c r="W3428" s="35"/>
      <c r="X3428" s="50" t="s">
        <v>1017</v>
      </c>
      <c r="AH3428" s="253" t="s">
        <v>1777</v>
      </c>
      <c r="AK3428" t="str">
        <f t="shared" si="1368"/>
        <v/>
      </c>
      <c r="AL3428" t="str">
        <f t="shared" si="1369"/>
        <v/>
      </c>
      <c r="AM3428" t="str">
        <f t="shared" si="1370"/>
        <v/>
      </c>
      <c r="AN3428" t="str">
        <f t="shared" si="1371"/>
        <v/>
      </c>
      <c r="AO3428" t="str">
        <f t="shared" si="1372"/>
        <v/>
      </c>
      <c r="AP3428" t="str">
        <f t="shared" si="1373"/>
        <v/>
      </c>
      <c r="AQ3428" t="str">
        <f t="shared" si="1374"/>
        <v/>
      </c>
      <c r="AR3428" t="str">
        <f t="shared" si="1375"/>
        <v/>
      </c>
      <c r="AS3428" t="str">
        <f t="shared" si="1376"/>
        <v/>
      </c>
      <c r="AT3428" t="str">
        <f t="shared" si="1377"/>
        <v>G3</v>
      </c>
      <c r="AU3428" t="str">
        <f t="shared" si="1378"/>
        <v>G3</v>
      </c>
      <c r="AV3428" s="254" t="str">
        <f t="shared" si="1360"/>
        <v>BiK273G3----12</v>
      </c>
      <c r="AW3428">
        <f t="shared" si="1379"/>
        <v>14</v>
      </c>
      <c r="AX3428" t="str">
        <f t="shared" si="1380"/>
        <v>0,75-5 MW, Bonusregel G3</v>
      </c>
      <c r="AY3428" t="str">
        <f t="shared" si="1381"/>
        <v/>
      </c>
    </row>
    <row r="3429" spans="1:51" x14ac:dyDescent="0.25">
      <c r="A3429" s="615" t="str">
        <f t="shared" si="1359"/>
        <v>BiK273E1cG3-13</v>
      </c>
      <c r="B3429" s="372" t="s">
        <v>5548</v>
      </c>
      <c r="C3429" s="375" t="str">
        <f t="shared" si="1361"/>
        <v>Inbetriebnahme 2013</v>
      </c>
      <c r="D3429" s="372" t="str">
        <f t="shared" si="1362"/>
        <v>0,75-5 MW, Bonusregeln E1c, G3</v>
      </c>
      <c r="E3429" s="372"/>
      <c r="F3429" s="459">
        <f t="shared" si="1363"/>
        <v>15.76</v>
      </c>
      <c r="G3429" s="535">
        <v>15.76</v>
      </c>
      <c r="H3429" s="493">
        <f t="shared" si="1364"/>
        <v>12.61</v>
      </c>
      <c r="I3429" s="711"/>
      <c r="J3429" s="669" t="s">
        <v>5805</v>
      </c>
      <c r="K3429" s="23"/>
      <c r="L3429" s="70" t="str">
        <f t="shared" si="1365"/>
        <v/>
      </c>
      <c r="M3429" s="49">
        <f t="shared" si="1366"/>
        <v>15.76</v>
      </c>
      <c r="N3429" s="41">
        <f t="shared" si="1367"/>
        <v>10.78</v>
      </c>
      <c r="O3429" s="196"/>
      <c r="P3429" s="65"/>
      <c r="Q3429" s="253" t="s">
        <v>1017</v>
      </c>
      <c r="R3429" s="35"/>
      <c r="S3429" s="228"/>
      <c r="T3429" s="65"/>
      <c r="U3429" s="35"/>
      <c r="V3429" s="228"/>
      <c r="W3429" s="35"/>
      <c r="X3429" s="50" t="s">
        <v>1017</v>
      </c>
      <c r="AH3429" s="253" t="s">
        <v>1777</v>
      </c>
      <c r="AK3429" t="str">
        <f t="shared" si="1368"/>
        <v/>
      </c>
      <c r="AL3429" t="str">
        <f t="shared" si="1369"/>
        <v/>
      </c>
      <c r="AM3429" t="str">
        <f t="shared" si="1370"/>
        <v>E1c</v>
      </c>
      <c r="AN3429" t="str">
        <f t="shared" si="1371"/>
        <v/>
      </c>
      <c r="AO3429" t="str">
        <f t="shared" si="1372"/>
        <v/>
      </c>
      <c r="AP3429" t="str">
        <f t="shared" si="1373"/>
        <v/>
      </c>
      <c r="AQ3429" t="str">
        <f t="shared" si="1374"/>
        <v/>
      </c>
      <c r="AR3429" t="str">
        <f t="shared" si="1375"/>
        <v/>
      </c>
      <c r="AS3429" t="str">
        <f t="shared" si="1376"/>
        <v/>
      </c>
      <c r="AT3429" t="str">
        <f t="shared" si="1377"/>
        <v>G3</v>
      </c>
      <c r="AU3429" t="str">
        <f t="shared" si="1378"/>
        <v>E1cG3</v>
      </c>
      <c r="AV3429" s="254" t="str">
        <f t="shared" si="1360"/>
        <v>BiK273E1cG3-12</v>
      </c>
      <c r="AW3429">
        <f t="shared" si="1379"/>
        <v>14</v>
      </c>
      <c r="AX3429" t="str">
        <f t="shared" si="1380"/>
        <v>0,75-5 MW, Bonusregeln E1c, G3</v>
      </c>
      <c r="AY3429" t="str">
        <f t="shared" si="1381"/>
        <v/>
      </c>
    </row>
    <row r="3430" spans="1:51" x14ac:dyDescent="0.25">
      <c r="A3430" s="615" t="str">
        <f t="shared" si="1359"/>
        <v>BiK273E1dG3-13</v>
      </c>
      <c r="B3430" s="372" t="s">
        <v>5548</v>
      </c>
      <c r="C3430" s="375" t="str">
        <f t="shared" si="1361"/>
        <v>Inbetriebnahme 2013</v>
      </c>
      <c r="D3430" s="372" t="str">
        <f t="shared" si="1362"/>
        <v>0,75-5 MW, Bonusregeln E1d, G3</v>
      </c>
      <c r="E3430" s="372"/>
      <c r="F3430" s="459">
        <f t="shared" si="1363"/>
        <v>14.26</v>
      </c>
      <c r="G3430" s="535">
        <v>14.26</v>
      </c>
      <c r="H3430" s="493">
        <f t="shared" si="1364"/>
        <v>11.41</v>
      </c>
      <c r="I3430" s="711"/>
      <c r="J3430" s="669" t="s">
        <v>5805</v>
      </c>
      <c r="K3430" s="23"/>
      <c r="L3430" s="70" t="str">
        <f t="shared" si="1365"/>
        <v/>
      </c>
      <c r="M3430" s="49">
        <f t="shared" si="1366"/>
        <v>14.26</v>
      </c>
      <c r="N3430" s="41">
        <f t="shared" si="1367"/>
        <v>10.78</v>
      </c>
      <c r="O3430" s="196"/>
      <c r="P3430" s="65"/>
      <c r="Q3430" s="35"/>
      <c r="R3430" s="253" t="s">
        <v>1017</v>
      </c>
      <c r="S3430" s="228"/>
      <c r="T3430" s="65"/>
      <c r="U3430" s="35"/>
      <c r="V3430" s="228"/>
      <c r="W3430" s="35"/>
      <c r="X3430" s="50" t="s">
        <v>1017</v>
      </c>
      <c r="AH3430" s="253" t="s">
        <v>1777</v>
      </c>
      <c r="AK3430" t="str">
        <f t="shared" si="1368"/>
        <v/>
      </c>
      <c r="AL3430" t="str">
        <f t="shared" si="1369"/>
        <v/>
      </c>
      <c r="AM3430" t="str">
        <f t="shared" si="1370"/>
        <v/>
      </c>
      <c r="AN3430" t="str">
        <f t="shared" si="1371"/>
        <v>E1d</v>
      </c>
      <c r="AO3430" t="str">
        <f t="shared" si="1372"/>
        <v/>
      </c>
      <c r="AP3430" t="str">
        <f t="shared" si="1373"/>
        <v/>
      </c>
      <c r="AQ3430" t="str">
        <f t="shared" si="1374"/>
        <v/>
      </c>
      <c r="AR3430" t="str">
        <f t="shared" si="1375"/>
        <v/>
      </c>
      <c r="AS3430" t="str">
        <f t="shared" si="1376"/>
        <v/>
      </c>
      <c r="AT3430" t="str">
        <f t="shared" si="1377"/>
        <v>G3</v>
      </c>
      <c r="AU3430" t="str">
        <f t="shared" si="1378"/>
        <v>E1dG3</v>
      </c>
      <c r="AV3430" s="254" t="str">
        <f t="shared" si="1360"/>
        <v>BiK273E1dG3-12</v>
      </c>
      <c r="AW3430">
        <f t="shared" si="1379"/>
        <v>14</v>
      </c>
      <c r="AX3430" t="str">
        <f t="shared" si="1380"/>
        <v>0,75-5 MW, Bonusregeln E1d, G3</v>
      </c>
      <c r="AY3430" t="str">
        <f t="shared" si="1381"/>
        <v/>
      </c>
    </row>
    <row r="3431" spans="1:51" x14ac:dyDescent="0.25">
      <c r="A3431" s="615" t="str">
        <f t="shared" si="1359"/>
        <v>BiK273E2aG3-13</v>
      </c>
      <c r="B3431" s="372" t="s">
        <v>5548</v>
      </c>
      <c r="C3431" s="375" t="str">
        <f t="shared" si="1361"/>
        <v>Inbetriebnahme 2013</v>
      </c>
      <c r="D3431" s="372" t="str">
        <f t="shared" si="1362"/>
        <v>0,75-5 MW, Bonusregeln E2a, G3</v>
      </c>
      <c r="E3431" s="372"/>
      <c r="F3431" s="459">
        <f t="shared" si="1363"/>
        <v>19.759999999999998</v>
      </c>
      <c r="G3431" s="535">
        <v>19.759999999999998</v>
      </c>
      <c r="H3431" s="493">
        <f t="shared" si="1364"/>
        <v>15.81</v>
      </c>
      <c r="I3431" s="711"/>
      <c r="J3431" s="669" t="s">
        <v>5805</v>
      </c>
      <c r="K3431" s="23"/>
      <c r="L3431" s="70" t="str">
        <f t="shared" si="1365"/>
        <v/>
      </c>
      <c r="M3431" s="49">
        <f t="shared" si="1366"/>
        <v>19.759999999999998</v>
      </c>
      <c r="N3431" s="41">
        <f t="shared" si="1367"/>
        <v>10.78</v>
      </c>
      <c r="O3431" s="196"/>
      <c r="P3431" s="65"/>
      <c r="Q3431" s="35"/>
      <c r="R3431" s="35"/>
      <c r="S3431" s="228" t="s">
        <v>1017</v>
      </c>
      <c r="T3431" s="65"/>
      <c r="U3431" s="35"/>
      <c r="V3431" s="228"/>
      <c r="W3431" s="35"/>
      <c r="X3431" s="50" t="s">
        <v>1017</v>
      </c>
      <c r="AH3431" s="253" t="s">
        <v>1777</v>
      </c>
      <c r="AK3431" t="str">
        <f t="shared" si="1368"/>
        <v/>
      </c>
      <c r="AL3431" t="str">
        <f t="shared" si="1369"/>
        <v/>
      </c>
      <c r="AM3431" t="str">
        <f t="shared" si="1370"/>
        <v/>
      </c>
      <c r="AN3431" t="str">
        <f t="shared" si="1371"/>
        <v/>
      </c>
      <c r="AO3431" t="str">
        <f t="shared" si="1372"/>
        <v>E2a</v>
      </c>
      <c r="AP3431" t="str">
        <f t="shared" si="1373"/>
        <v/>
      </c>
      <c r="AQ3431" t="str">
        <f t="shared" si="1374"/>
        <v/>
      </c>
      <c r="AR3431" t="str">
        <f t="shared" si="1375"/>
        <v/>
      </c>
      <c r="AS3431" t="str">
        <f t="shared" si="1376"/>
        <v/>
      </c>
      <c r="AT3431" t="str">
        <f t="shared" si="1377"/>
        <v>G3</v>
      </c>
      <c r="AU3431" t="str">
        <f t="shared" si="1378"/>
        <v>E2aG3</v>
      </c>
      <c r="AV3431" s="254" t="str">
        <f t="shared" si="1360"/>
        <v>BiK273E2aG3-12</v>
      </c>
      <c r="AW3431">
        <f t="shared" si="1379"/>
        <v>14</v>
      </c>
      <c r="AX3431" t="str">
        <f t="shared" si="1380"/>
        <v>0,75-5 MW, Bonusregeln E2a, G3</v>
      </c>
      <c r="AY3431" t="str">
        <f t="shared" si="1381"/>
        <v/>
      </c>
    </row>
    <row r="3432" spans="1:51" x14ac:dyDescent="0.25">
      <c r="A3432" s="615" t="str">
        <f t="shared" si="1359"/>
        <v>BiK273E2cG3-13</v>
      </c>
      <c r="B3432" s="372" t="s">
        <v>5548</v>
      </c>
      <c r="C3432" s="375" t="str">
        <f t="shared" si="1361"/>
        <v>Inbetriebnahme 2013</v>
      </c>
      <c r="D3432" s="372" t="str">
        <f t="shared" si="1362"/>
        <v>0,75-5 MW, Bonusregeln E2c, G3</v>
      </c>
      <c r="E3432" s="372"/>
      <c r="F3432" s="459">
        <f t="shared" si="1363"/>
        <v>17.759999999999998</v>
      </c>
      <c r="G3432" s="535">
        <v>17.759999999999998</v>
      </c>
      <c r="H3432" s="493">
        <f t="shared" si="1364"/>
        <v>14.21</v>
      </c>
      <c r="I3432" s="711"/>
      <c r="J3432" s="669" t="s">
        <v>5805</v>
      </c>
      <c r="K3432" s="23"/>
      <c r="L3432" s="70" t="str">
        <f t="shared" si="1365"/>
        <v/>
      </c>
      <c r="M3432" s="49">
        <f t="shared" si="1366"/>
        <v>17.759999999999998</v>
      </c>
      <c r="N3432" s="41">
        <f t="shared" si="1367"/>
        <v>10.78</v>
      </c>
      <c r="O3432" s="196"/>
      <c r="P3432" s="65"/>
      <c r="Q3432" s="35"/>
      <c r="R3432" s="35"/>
      <c r="S3432" s="228"/>
      <c r="T3432" s="65"/>
      <c r="U3432" s="253" t="s">
        <v>1017</v>
      </c>
      <c r="V3432" s="228"/>
      <c r="W3432" s="35"/>
      <c r="X3432" s="50" t="s">
        <v>1017</v>
      </c>
      <c r="AH3432" s="253" t="s">
        <v>1777</v>
      </c>
      <c r="AK3432" t="str">
        <f t="shared" si="1368"/>
        <v/>
      </c>
      <c r="AL3432" t="str">
        <f t="shared" si="1369"/>
        <v/>
      </c>
      <c r="AM3432" t="str">
        <f t="shared" si="1370"/>
        <v/>
      </c>
      <c r="AN3432" t="str">
        <f t="shared" si="1371"/>
        <v/>
      </c>
      <c r="AO3432" t="str">
        <f t="shared" si="1372"/>
        <v/>
      </c>
      <c r="AP3432" t="str">
        <f t="shared" si="1373"/>
        <v/>
      </c>
      <c r="AQ3432" t="str">
        <f t="shared" si="1374"/>
        <v>E2c</v>
      </c>
      <c r="AR3432" t="str">
        <f t="shared" si="1375"/>
        <v/>
      </c>
      <c r="AS3432" t="str">
        <f t="shared" si="1376"/>
        <v/>
      </c>
      <c r="AT3432" t="str">
        <f t="shared" si="1377"/>
        <v>G3</v>
      </c>
      <c r="AU3432" t="str">
        <f t="shared" si="1378"/>
        <v>E2cG3</v>
      </c>
      <c r="AV3432" s="254" t="str">
        <f t="shared" si="1360"/>
        <v>BiK273E2cG3-12</v>
      </c>
      <c r="AW3432">
        <f t="shared" si="1379"/>
        <v>14</v>
      </c>
      <c r="AX3432" t="str">
        <f t="shared" si="1380"/>
        <v>0,75-5 MW, Bonusregeln E2c, G3</v>
      </c>
      <c r="AY3432" t="str">
        <f t="shared" si="1381"/>
        <v/>
      </c>
    </row>
    <row r="3433" spans="1:51" x14ac:dyDescent="0.25">
      <c r="A3433" s="615" t="str">
        <f>"BiK274"&amp;AU3433&amp;RIGHT("------",6-LEN(AU3433))&amp;RIGHT($M$3360,2)</f>
        <v>BiK274------13</v>
      </c>
      <c r="B3433" s="372" t="s">
        <v>5548</v>
      </c>
      <c r="C3433" s="375" t="str">
        <f t="shared" si="1361"/>
        <v>Inbetriebnahme 2013</v>
      </c>
      <c r="D3433" s="372" t="str">
        <f t="shared" si="1362"/>
        <v>5-20 MW</v>
      </c>
      <c r="E3433" s="372"/>
      <c r="F3433" s="459">
        <f t="shared" si="1363"/>
        <v>5.88</v>
      </c>
      <c r="G3433" s="535">
        <v>5.88</v>
      </c>
      <c r="H3433" s="493">
        <f t="shared" si="1364"/>
        <v>4.7</v>
      </c>
      <c r="I3433" s="711"/>
      <c r="J3433" s="669" t="s">
        <v>5805</v>
      </c>
      <c r="K3433" s="23"/>
      <c r="L3433" s="70" t="str">
        <f t="shared" si="1365"/>
        <v/>
      </c>
      <c r="M3433" s="49">
        <f t="shared" si="1366"/>
        <v>5.88</v>
      </c>
      <c r="N3433" s="41">
        <f t="shared" si="1367"/>
        <v>5.88</v>
      </c>
      <c r="O3433" s="196"/>
      <c r="P3433" s="65"/>
      <c r="Q3433" s="65"/>
      <c r="R3433" s="67"/>
      <c r="S3433" s="65"/>
      <c r="T3433" s="65"/>
      <c r="U3433" s="67"/>
      <c r="V3433" s="65"/>
      <c r="W3433" s="65"/>
      <c r="X3433" s="67"/>
      <c r="AH3433" s="253" t="s">
        <v>1776</v>
      </c>
      <c r="AK3433" t="str">
        <f t="shared" si="1368"/>
        <v/>
      </c>
      <c r="AL3433" t="str">
        <f t="shared" si="1369"/>
        <v/>
      </c>
      <c r="AM3433" t="str">
        <f t="shared" si="1370"/>
        <v/>
      </c>
      <c r="AN3433" t="str">
        <f t="shared" si="1371"/>
        <v/>
      </c>
      <c r="AO3433" t="str">
        <f t="shared" si="1372"/>
        <v/>
      </c>
      <c r="AP3433" t="str">
        <f t="shared" si="1373"/>
        <v/>
      </c>
      <c r="AQ3433" t="str">
        <f t="shared" si="1374"/>
        <v/>
      </c>
      <c r="AR3433" t="str">
        <f t="shared" si="1375"/>
        <v/>
      </c>
      <c r="AS3433" t="str">
        <f t="shared" si="1376"/>
        <v/>
      </c>
      <c r="AT3433" t="str">
        <f t="shared" si="1377"/>
        <v/>
      </c>
      <c r="AU3433" t="str">
        <f t="shared" si="1378"/>
        <v/>
      </c>
      <c r="AV3433" s="254" t="str">
        <f>"BiK274"&amp;AU3433&amp;RIGHT("------",6-LEN(AU3433))&amp;RIGHT($M$3278,2)</f>
        <v>BiK274------12</v>
      </c>
      <c r="AW3433">
        <f t="shared" si="1379"/>
        <v>14</v>
      </c>
      <c r="AX3433" t="str">
        <f t="shared" si="1380"/>
        <v>5-20 MW</v>
      </c>
      <c r="AY3433" t="str">
        <f t="shared" si="1381"/>
        <v/>
      </c>
    </row>
    <row r="3434" spans="1:51" s="12" customFormat="1" x14ac:dyDescent="0.25">
      <c r="A3434" s="608"/>
      <c r="B3434" s="2"/>
      <c r="C3434" s="34"/>
      <c r="D3434" s="2"/>
      <c r="E3434" s="2"/>
      <c r="F3434" s="456"/>
      <c r="G3434" s="531"/>
      <c r="H3434" s="489"/>
      <c r="I3434" s="708"/>
      <c r="J3434" s="669" t="s">
        <v>4180</v>
      </c>
      <c r="K3434" s="23"/>
      <c r="L3434" s="70"/>
      <c r="M3434" s="49"/>
      <c r="N3434" s="41"/>
      <c r="O3434" s="27"/>
      <c r="R3434" s="27"/>
      <c r="U3434" s="27"/>
      <c r="X3434" s="27"/>
      <c r="AH3434" s="253"/>
      <c r="AV3434" s="346"/>
    </row>
    <row r="3435" spans="1:51" ht="15.75" x14ac:dyDescent="0.25">
      <c r="A3435" s="609"/>
      <c r="B3435" s="1"/>
      <c r="C3435" s="1"/>
      <c r="D3435" s="2"/>
      <c r="E3435" s="1"/>
      <c r="F3435" s="457"/>
      <c r="G3435" s="533"/>
      <c r="H3435" s="491"/>
      <c r="I3435" s="710"/>
      <c r="J3435" s="669" t="s">
        <v>4180</v>
      </c>
      <c r="K3435" s="29"/>
      <c r="M3435" s="68" t="str">
        <f>"Vergütungsberechnung für Anlagen mit Inbetriebnahmejahr "&amp;M3439</f>
        <v>Vergütungsberechnung für Anlagen mit Inbetriebnahmejahr 2014</v>
      </c>
      <c r="N3435" s="39"/>
      <c r="O3435" s="29"/>
      <c r="P3435" s="29"/>
    </row>
    <row r="3436" spans="1:51" x14ac:dyDescent="0.25">
      <c r="A3436" s="621"/>
      <c r="B3436" s="230"/>
      <c r="C3436" s="232"/>
      <c r="D3436" s="232"/>
      <c r="E3436" s="232"/>
      <c r="F3436" s="464"/>
      <c r="G3436" s="542"/>
      <c r="H3436" s="498"/>
      <c r="I3436" s="720"/>
      <c r="J3436" s="669" t="s">
        <v>4180</v>
      </c>
      <c r="K3436" s="234"/>
      <c r="L3436" s="234"/>
      <c r="M3436" s="396"/>
      <c r="N3436" s="234"/>
      <c r="O3436" s="1140" t="s">
        <v>1743</v>
      </c>
      <c r="P3436" s="1141"/>
      <c r="Q3436" s="1141"/>
      <c r="R3436" s="1142"/>
      <c r="S3436" s="1140" t="s">
        <v>1744</v>
      </c>
      <c r="T3436" s="1141"/>
      <c r="U3436" s="1142"/>
      <c r="V3436" s="1158" t="s">
        <v>1745</v>
      </c>
      <c r="W3436" s="1159"/>
      <c r="X3436" s="1160"/>
      <c r="Y3436" s="236"/>
      <c r="Z3436" s="237"/>
      <c r="AA3436" s="238"/>
      <c r="AB3436" s="238"/>
    </row>
    <row r="3437" spans="1:51" ht="56.25" x14ac:dyDescent="0.25">
      <c r="A3437" s="621"/>
      <c r="B3437" s="230"/>
      <c r="C3437" s="232"/>
      <c r="D3437" s="232"/>
      <c r="E3437" s="232"/>
      <c r="F3437" s="464"/>
      <c r="G3437" s="542"/>
      <c r="H3437" s="498"/>
      <c r="I3437" s="720"/>
      <c r="J3437" s="669" t="s">
        <v>4180</v>
      </c>
      <c r="K3437" s="234"/>
      <c r="L3437" s="234"/>
      <c r="M3437" s="242" t="s">
        <v>2914</v>
      </c>
      <c r="N3437" s="243" t="s">
        <v>511</v>
      </c>
      <c r="O3437" s="397" t="s">
        <v>1762</v>
      </c>
      <c r="P3437" s="398" t="s">
        <v>1759</v>
      </c>
      <c r="Q3437" s="398" t="s">
        <v>1760</v>
      </c>
      <c r="R3437" s="359" t="s">
        <v>1761</v>
      </c>
      <c r="S3437" s="397" t="s">
        <v>1756</v>
      </c>
      <c r="T3437" s="398" t="s">
        <v>1757</v>
      </c>
      <c r="U3437" s="359" t="s">
        <v>1758</v>
      </c>
      <c r="V3437" s="247" t="s">
        <v>1746</v>
      </c>
      <c r="W3437" s="248" t="s">
        <v>1747</v>
      </c>
      <c r="X3437" s="249" t="s">
        <v>1748</v>
      </c>
      <c r="Y3437" s="42" t="s">
        <v>505</v>
      </c>
      <c r="Z3437" s="238"/>
      <c r="AA3437" s="238"/>
      <c r="AB3437" s="238"/>
    </row>
    <row r="3438" spans="1:51" x14ac:dyDescent="0.25">
      <c r="A3438" s="608"/>
      <c r="B3438" s="2"/>
      <c r="C3438" s="34"/>
      <c r="D3438" s="34"/>
      <c r="E3438" s="34"/>
      <c r="F3438" s="456"/>
      <c r="G3438" s="543"/>
      <c r="H3438" s="499"/>
      <c r="I3438" s="715"/>
      <c r="J3438" s="669" t="s">
        <v>4180</v>
      </c>
      <c r="K3438" s="29"/>
      <c r="L3438" s="29"/>
      <c r="M3438" s="46"/>
      <c r="N3438" s="42"/>
      <c r="O3438" s="388" t="s">
        <v>1749</v>
      </c>
      <c r="P3438" s="389" t="s">
        <v>1750</v>
      </c>
      <c r="Q3438" s="389" t="s">
        <v>1751</v>
      </c>
      <c r="R3438" s="389" t="s">
        <v>1752</v>
      </c>
      <c r="S3438" s="388" t="s">
        <v>1753</v>
      </c>
      <c r="T3438" s="389" t="s">
        <v>1754</v>
      </c>
      <c r="U3438" s="390" t="s">
        <v>1755</v>
      </c>
      <c r="V3438" s="388" t="s">
        <v>1740</v>
      </c>
      <c r="W3438" s="389" t="s">
        <v>1741</v>
      </c>
      <c r="X3438" s="390" t="s">
        <v>1742</v>
      </c>
      <c r="Z3438" s="389" t="s">
        <v>1740</v>
      </c>
      <c r="AA3438" s="389" t="s">
        <v>1741</v>
      </c>
      <c r="AB3438" s="389" t="s">
        <v>1742</v>
      </c>
      <c r="AC3438" s="399" t="s">
        <v>4238</v>
      </c>
    </row>
    <row r="3439" spans="1:51" x14ac:dyDescent="0.25">
      <c r="A3439" s="609"/>
      <c r="B3439" s="1"/>
      <c r="C3439" s="1"/>
      <c r="D3439" s="2"/>
      <c r="E3439" s="1"/>
      <c r="F3439" s="457"/>
      <c r="G3439" s="533"/>
      <c r="H3439" s="491"/>
      <c r="I3439" s="710"/>
      <c r="J3439" s="669" t="s">
        <v>4180</v>
      </c>
      <c r="L3439" s="400"/>
      <c r="M3439" s="401">
        <v>2014</v>
      </c>
      <c r="N3439" s="40"/>
      <c r="O3439" s="227">
        <v>6</v>
      </c>
      <c r="P3439" s="240">
        <v>5</v>
      </c>
      <c r="Q3439" s="240">
        <v>4</v>
      </c>
      <c r="R3439" s="241">
        <v>2.5</v>
      </c>
      <c r="S3439" s="227">
        <v>8</v>
      </c>
      <c r="T3439" s="240">
        <v>8</v>
      </c>
      <c r="U3439" s="241">
        <v>6</v>
      </c>
      <c r="V3439" s="45">
        <f>ROUND(Z3439,2)</f>
        <v>2.88</v>
      </c>
      <c r="W3439" s="40">
        <f>ROUND(AA3439,2)</f>
        <v>1.92</v>
      </c>
      <c r="X3439" s="52">
        <f>ROUND(AB3439,2)</f>
        <v>0.96</v>
      </c>
      <c r="Y3439" s="402">
        <v>0.02</v>
      </c>
      <c r="Z3439" s="41">
        <f>Z3360*(1-$Y$3439)</f>
        <v>2.8811999999999998</v>
      </c>
      <c r="AA3439" s="41">
        <f>AA3360*(1-$Y$3439)</f>
        <v>1.9207999999999998</v>
      </c>
      <c r="AB3439" s="41">
        <f>AB3360*(1-$Y$3439)</f>
        <v>0.96039999999999992</v>
      </c>
      <c r="AC3439" s="205" t="str">
        <f xml:space="preserve"> "Bonushöhe bei Inbetriebnahme in " &amp; M3439</f>
        <v>Bonushöhe bei Inbetriebnahme in 2014</v>
      </c>
      <c r="AH3439" t="s">
        <v>1749</v>
      </c>
      <c r="AI3439" t="s">
        <v>1750</v>
      </c>
      <c r="AJ3439" t="s">
        <v>1751</v>
      </c>
      <c r="AK3439" t="s">
        <v>1752</v>
      </c>
      <c r="AL3439" t="s">
        <v>1753</v>
      </c>
      <c r="AM3439" t="s">
        <v>1754</v>
      </c>
      <c r="AN3439" t="s">
        <v>1755</v>
      </c>
      <c r="AO3439" t="s">
        <v>1740</v>
      </c>
      <c r="AP3439" t="s">
        <v>1741</v>
      </c>
      <c r="AQ3439" t="s">
        <v>1742</v>
      </c>
      <c r="AR3439" t="s">
        <v>1764</v>
      </c>
      <c r="AS3439" t="s">
        <v>1765</v>
      </c>
      <c r="AT3439" t="s">
        <v>1766</v>
      </c>
      <c r="AU3439" t="s">
        <v>669</v>
      </c>
      <c r="AV3439" t="s">
        <v>1763</v>
      </c>
    </row>
    <row r="3440" spans="1:51" x14ac:dyDescent="0.25">
      <c r="A3440" s="615" t="str">
        <f t="shared" ref="A3440:A3455" si="1382">"BiK270"&amp;AU3440&amp;RIGHT("------",6-LEN(AU3440))&amp;RIGHT($M$3439,2)</f>
        <v>BiK270------14</v>
      </c>
      <c r="B3440" s="372" t="s">
        <v>5548</v>
      </c>
      <c r="C3440" s="375" t="str">
        <f t="shared" ref="C3440:C3471" si="1383">"Inbetriebnahme "&amp;$M$3439</f>
        <v>Inbetriebnahme 2014</v>
      </c>
      <c r="D3440" s="372" t="str">
        <f t="shared" ref="D3440:D3471" si="1384">IF(COUNTA(O3440:X3440)=0,AH3440,AH3440&amp;", Bonusregel"&amp;IF(AND(COUNTA(O3440:U3440)&gt;0,COUNTA(V3440:X3440)&gt;0),"n "&amp;AK3440&amp;AL3440&amp;AM3440&amp;AN3440&amp;AO3440&amp;AP3440&amp;AQ3440&amp;", "&amp;AR3440&amp;AS3440&amp;AT3440," "&amp;AK3440&amp;AL3440&amp;AM3440&amp;AN3440&amp;AO3440&amp;AP3440&amp;AQ3440&amp;AR3440&amp;AS3440&amp;AT3440))</f>
        <v>0-0,15 MW</v>
      </c>
      <c r="E3440" s="372"/>
      <c r="F3440" s="459">
        <f t="shared" ref="F3440:F3471" si="1385">M3440</f>
        <v>13.73</v>
      </c>
      <c r="G3440" s="544">
        <v>13.73</v>
      </c>
      <c r="H3440" s="500">
        <f t="shared" ref="H3440:H3471" si="1386">IF(ISNUMBER(G3440),ROUND(0.8*G3440,2),"")</f>
        <v>10.98</v>
      </c>
      <c r="I3440" s="711"/>
      <c r="J3440" s="669" t="s">
        <v>5805</v>
      </c>
      <c r="K3440" s="23"/>
      <c r="L3440" s="70" t="str">
        <f t="shared" ref="L3440:L3471" si="1387">IF(F3440=M3440,"",FALSE)</f>
        <v/>
      </c>
      <c r="M3440" s="387">
        <f t="shared" ref="M3440:M3471" si="1388">ROUND(N3440,2)+SUMIF(O3440:X3440,"x",$O$3439:$X$3439)</f>
        <v>13.73</v>
      </c>
      <c r="N3440" s="41">
        <f t="shared" ref="N3440:N3471" si="1389">N3361*(1-$Y$3439)</f>
        <v>13.733720000000002</v>
      </c>
      <c r="O3440" s="60"/>
      <c r="P3440" s="65"/>
      <c r="Q3440" s="65"/>
      <c r="R3440" s="65"/>
      <c r="S3440" s="60"/>
      <c r="T3440" s="239"/>
      <c r="U3440" s="65"/>
      <c r="V3440" s="60"/>
      <c r="W3440" s="29"/>
      <c r="X3440" s="62"/>
      <c r="AH3440" s="35" t="s">
        <v>1780</v>
      </c>
      <c r="AK3440" t="str">
        <f t="shared" ref="AK3440:AK3471" si="1390">IF(O3440="x",O$3438,"")</f>
        <v/>
      </c>
      <c r="AL3440" t="str">
        <f t="shared" ref="AL3440:AL3471" si="1391">IF(P3440="x",P$3438,"")</f>
        <v/>
      </c>
      <c r="AM3440" t="str">
        <f t="shared" ref="AM3440:AM3471" si="1392">IF(Q3440="x",Q$3438,"")</f>
        <v/>
      </c>
      <c r="AN3440" t="str">
        <f t="shared" ref="AN3440:AN3471" si="1393">IF(R3440="x",R$3438,"")</f>
        <v/>
      </c>
      <c r="AO3440" t="str">
        <f t="shared" ref="AO3440:AO3471" si="1394">IF(S3440="x",S$3438,"")</f>
        <v/>
      </c>
      <c r="AP3440" t="str">
        <f t="shared" ref="AP3440:AP3471" si="1395">IF(T3440="x",T$3438,"")</f>
        <v/>
      </c>
      <c r="AQ3440" t="str">
        <f t="shared" ref="AQ3440:AQ3471" si="1396">IF(U3440="x",U$3438,"")</f>
        <v/>
      </c>
      <c r="AR3440" t="str">
        <f t="shared" ref="AR3440:AR3471" si="1397">IF(V3440="x",V$3438,"")</f>
        <v/>
      </c>
      <c r="AS3440" t="str">
        <f t="shared" ref="AS3440:AS3471" si="1398">IF(W3440="x",W$3438,"")</f>
        <v/>
      </c>
      <c r="AT3440" t="str">
        <f t="shared" ref="AT3440:AT3471" si="1399">IF(X3440="x",X$3438,"")</f>
        <v/>
      </c>
      <c r="AU3440" t="str">
        <f t="shared" ref="AU3440:AU3471" si="1400">AK3440&amp;AL3440&amp;AM3440&amp;AN3440&amp;AO3440&amp;AP3440&amp;AQ3440&amp;AR3440&amp;AS3440&amp;AT3440</f>
        <v/>
      </c>
      <c r="AV3440" s="254" t="str">
        <f t="shared" ref="AV3440:AV3455" si="1401">"BiK270"&amp;AU3440&amp;RIGHT("------",6-LEN(AU3440))&amp;RIGHT($M$3272,2)</f>
        <v>BiK270------73</v>
      </c>
      <c r="AW3440">
        <f t="shared" ref="AW3440:AW3471" si="1402">LEN(AV3440)</f>
        <v>14</v>
      </c>
      <c r="AX3440" t="str">
        <f t="shared" ref="AX3440:AX3471" si="1403">IF(COUNTA(O3440:X3440)=0,AH3440,AH3440&amp;", Bonusregel"&amp;IF(AND(COUNTA(O3440:U3440)&gt;0,COUNTA(V3440:X3440)&gt;0),"n "&amp;AK3440&amp;AL3440&amp;AM3440&amp;AN3440&amp;AO3440&amp;AP3440&amp;AQ3440&amp;", "&amp;AR3440&amp;AS3440&amp;AT3440," "&amp;AK3440&amp;AL3440&amp;AM3440&amp;AN3440&amp;AO3440&amp;AP3440&amp;AQ3440&amp;AR3440&amp;AS3440&amp;AT3440))</f>
        <v>0-0,15 MW</v>
      </c>
    </row>
    <row r="3441" spans="1:50" x14ac:dyDescent="0.25">
      <c r="A3441" s="615" t="str">
        <f t="shared" si="1382"/>
        <v>BiK270E1a---14</v>
      </c>
      <c r="B3441" s="372" t="s">
        <v>5548</v>
      </c>
      <c r="C3441" s="375" t="str">
        <f t="shared" si="1383"/>
        <v>Inbetriebnahme 2014</v>
      </c>
      <c r="D3441" s="372" t="str">
        <f t="shared" si="1384"/>
        <v>0-0,15 MW, Bonusregel E1a</v>
      </c>
      <c r="E3441" s="372"/>
      <c r="F3441" s="459">
        <f t="shared" si="1385"/>
        <v>19.73</v>
      </c>
      <c r="G3441" s="544">
        <v>19.73</v>
      </c>
      <c r="H3441" s="500">
        <f t="shared" si="1386"/>
        <v>15.78</v>
      </c>
      <c r="I3441" s="711"/>
      <c r="J3441" s="669" t="s">
        <v>5805</v>
      </c>
      <c r="K3441" s="23"/>
      <c r="L3441" s="70" t="str">
        <f t="shared" si="1387"/>
        <v/>
      </c>
      <c r="M3441" s="387">
        <f t="shared" si="1388"/>
        <v>19.73</v>
      </c>
      <c r="N3441" s="41">
        <f t="shared" si="1389"/>
        <v>13.733720000000002</v>
      </c>
      <c r="O3441" s="43" t="s">
        <v>1017</v>
      </c>
      <c r="P3441" s="65"/>
      <c r="Q3441" s="65"/>
      <c r="R3441" s="65"/>
      <c r="S3441" s="43"/>
      <c r="T3441" s="35"/>
      <c r="U3441" s="65"/>
      <c r="V3441" s="43"/>
      <c r="W3441" s="35"/>
      <c r="X3441" s="50"/>
      <c r="AH3441" s="35" t="s">
        <v>1780</v>
      </c>
      <c r="AK3441" t="str">
        <f t="shared" si="1390"/>
        <v>E1a</v>
      </c>
      <c r="AL3441" t="str">
        <f t="shared" si="1391"/>
        <v/>
      </c>
      <c r="AM3441" t="str">
        <f t="shared" si="1392"/>
        <v/>
      </c>
      <c r="AN3441" t="str">
        <f t="shared" si="1393"/>
        <v/>
      </c>
      <c r="AO3441" t="str">
        <f t="shared" si="1394"/>
        <v/>
      </c>
      <c r="AP3441" t="str">
        <f t="shared" si="1395"/>
        <v/>
      </c>
      <c r="AQ3441" t="str">
        <f t="shared" si="1396"/>
        <v/>
      </c>
      <c r="AR3441" t="str">
        <f t="shared" si="1397"/>
        <v/>
      </c>
      <c r="AS3441" t="str">
        <f t="shared" si="1398"/>
        <v/>
      </c>
      <c r="AT3441" t="str">
        <f t="shared" si="1399"/>
        <v/>
      </c>
      <c r="AU3441" t="str">
        <f t="shared" si="1400"/>
        <v>E1a</v>
      </c>
      <c r="AV3441" s="254" t="str">
        <f t="shared" si="1401"/>
        <v>BiK270E1a---73</v>
      </c>
      <c r="AW3441">
        <f t="shared" si="1402"/>
        <v>14</v>
      </c>
      <c r="AX3441" t="str">
        <f t="shared" si="1403"/>
        <v>0-0,15 MW, Bonusregel E1a</v>
      </c>
    </row>
    <row r="3442" spans="1:50" x14ac:dyDescent="0.25">
      <c r="A3442" s="615" t="str">
        <f t="shared" si="1382"/>
        <v>BiK270E2a---14</v>
      </c>
      <c r="B3442" s="372" t="s">
        <v>5548</v>
      </c>
      <c r="C3442" s="375" t="str">
        <f t="shared" si="1383"/>
        <v>Inbetriebnahme 2014</v>
      </c>
      <c r="D3442" s="372" t="str">
        <f t="shared" si="1384"/>
        <v>0-0,15 MW, Bonusregel E2a</v>
      </c>
      <c r="E3442" s="372"/>
      <c r="F3442" s="459">
        <f t="shared" si="1385"/>
        <v>21.73</v>
      </c>
      <c r="G3442" s="544">
        <v>21.73</v>
      </c>
      <c r="H3442" s="500">
        <f t="shared" si="1386"/>
        <v>17.38</v>
      </c>
      <c r="I3442" s="711"/>
      <c r="J3442" s="669" t="s">
        <v>5805</v>
      </c>
      <c r="K3442" s="23"/>
      <c r="L3442" s="70" t="str">
        <f t="shared" si="1387"/>
        <v/>
      </c>
      <c r="M3442" s="387">
        <f t="shared" si="1388"/>
        <v>21.73</v>
      </c>
      <c r="N3442" s="41">
        <f t="shared" si="1389"/>
        <v>13.733720000000002</v>
      </c>
      <c r="O3442" s="61"/>
      <c r="P3442" s="65"/>
      <c r="Q3442" s="65"/>
      <c r="R3442" s="65"/>
      <c r="S3442" s="43" t="s">
        <v>1017</v>
      </c>
      <c r="T3442" s="29"/>
      <c r="U3442" s="65"/>
      <c r="V3442" s="61"/>
      <c r="W3442" s="29"/>
      <c r="X3442" s="50"/>
      <c r="AH3442" s="35" t="s">
        <v>1780</v>
      </c>
      <c r="AK3442" t="str">
        <f t="shared" si="1390"/>
        <v/>
      </c>
      <c r="AL3442" t="str">
        <f t="shared" si="1391"/>
        <v/>
      </c>
      <c r="AM3442" t="str">
        <f t="shared" si="1392"/>
        <v/>
      </c>
      <c r="AN3442" t="str">
        <f t="shared" si="1393"/>
        <v/>
      </c>
      <c r="AO3442" t="str">
        <f t="shared" si="1394"/>
        <v>E2a</v>
      </c>
      <c r="AP3442" t="str">
        <f t="shared" si="1395"/>
        <v/>
      </c>
      <c r="AQ3442" t="str">
        <f t="shared" si="1396"/>
        <v/>
      </c>
      <c r="AR3442" t="str">
        <f t="shared" si="1397"/>
        <v/>
      </c>
      <c r="AS3442" t="str">
        <f t="shared" si="1398"/>
        <v/>
      </c>
      <c r="AT3442" t="str">
        <f t="shared" si="1399"/>
        <v/>
      </c>
      <c r="AU3442" t="str">
        <f t="shared" si="1400"/>
        <v>E2a</v>
      </c>
      <c r="AV3442" s="254" t="str">
        <f t="shared" si="1401"/>
        <v>BiK270E2a---73</v>
      </c>
      <c r="AW3442">
        <f t="shared" si="1402"/>
        <v>14</v>
      </c>
      <c r="AX3442" t="str">
        <f t="shared" si="1403"/>
        <v>0-0,15 MW, Bonusregel E2a</v>
      </c>
    </row>
    <row r="3443" spans="1:50" x14ac:dyDescent="0.25">
      <c r="A3443" s="615" t="str">
        <f t="shared" si="1382"/>
        <v>BiK270E2b---14</v>
      </c>
      <c r="B3443" s="372" t="s">
        <v>5548</v>
      </c>
      <c r="C3443" s="375" t="str">
        <f t="shared" si="1383"/>
        <v>Inbetriebnahme 2014</v>
      </c>
      <c r="D3443" s="372" t="str">
        <f t="shared" si="1384"/>
        <v>0-0,15 MW, Bonusregel E2b</v>
      </c>
      <c r="E3443" s="372"/>
      <c r="F3443" s="459">
        <f t="shared" si="1385"/>
        <v>21.73</v>
      </c>
      <c r="G3443" s="544">
        <v>21.73</v>
      </c>
      <c r="H3443" s="500">
        <f t="shared" si="1386"/>
        <v>17.38</v>
      </c>
      <c r="I3443" s="711"/>
      <c r="J3443" s="669" t="s">
        <v>5805</v>
      </c>
      <c r="K3443" s="23"/>
      <c r="L3443" s="70" t="str">
        <f t="shared" si="1387"/>
        <v/>
      </c>
      <c r="M3443" s="387">
        <f t="shared" si="1388"/>
        <v>21.73</v>
      </c>
      <c r="N3443" s="41">
        <f t="shared" si="1389"/>
        <v>13.733720000000002</v>
      </c>
      <c r="O3443" s="43"/>
      <c r="P3443" s="65"/>
      <c r="Q3443" s="65"/>
      <c r="R3443" s="65"/>
      <c r="S3443" s="43"/>
      <c r="T3443" s="35" t="s">
        <v>1017</v>
      </c>
      <c r="U3443" s="65"/>
      <c r="V3443" s="43"/>
      <c r="W3443" s="35"/>
      <c r="X3443" s="50"/>
      <c r="AH3443" s="35" t="s">
        <v>1780</v>
      </c>
      <c r="AK3443" t="str">
        <f t="shared" si="1390"/>
        <v/>
      </c>
      <c r="AL3443" t="str">
        <f t="shared" si="1391"/>
        <v/>
      </c>
      <c r="AM3443" t="str">
        <f t="shared" si="1392"/>
        <v/>
      </c>
      <c r="AN3443" t="str">
        <f t="shared" si="1393"/>
        <v/>
      </c>
      <c r="AO3443" t="str">
        <f t="shared" si="1394"/>
        <v/>
      </c>
      <c r="AP3443" t="str">
        <f t="shared" si="1395"/>
        <v>E2b</v>
      </c>
      <c r="AQ3443" t="str">
        <f t="shared" si="1396"/>
        <v/>
      </c>
      <c r="AR3443" t="str">
        <f t="shared" si="1397"/>
        <v/>
      </c>
      <c r="AS3443" t="str">
        <f t="shared" si="1398"/>
        <v/>
      </c>
      <c r="AT3443" t="str">
        <f t="shared" si="1399"/>
        <v/>
      </c>
      <c r="AU3443" t="str">
        <f t="shared" si="1400"/>
        <v>E2b</v>
      </c>
      <c r="AV3443" s="254" t="str">
        <f t="shared" si="1401"/>
        <v>BiK270E2b---73</v>
      </c>
      <c r="AW3443">
        <f t="shared" si="1402"/>
        <v>14</v>
      </c>
      <c r="AX3443" t="str">
        <f t="shared" si="1403"/>
        <v>0-0,15 MW, Bonusregel E2b</v>
      </c>
    </row>
    <row r="3444" spans="1:50" x14ac:dyDescent="0.25">
      <c r="A3444" s="615" t="str">
        <f t="shared" si="1382"/>
        <v>BiK270G1----14</v>
      </c>
      <c r="B3444" s="372" t="s">
        <v>5548</v>
      </c>
      <c r="C3444" s="375" t="str">
        <f t="shared" si="1383"/>
        <v>Inbetriebnahme 2014</v>
      </c>
      <c r="D3444" s="372" t="str">
        <f t="shared" si="1384"/>
        <v>0-0,15 MW, Bonusregel G1</v>
      </c>
      <c r="E3444" s="372"/>
      <c r="F3444" s="459">
        <f t="shared" si="1385"/>
        <v>16.61</v>
      </c>
      <c r="G3444" s="544">
        <v>16.61</v>
      </c>
      <c r="H3444" s="500">
        <f t="shared" si="1386"/>
        <v>13.29</v>
      </c>
      <c r="I3444" s="711"/>
      <c r="J3444" s="669" t="s">
        <v>5805</v>
      </c>
      <c r="K3444" s="23"/>
      <c r="L3444" s="70" t="str">
        <f t="shared" si="1387"/>
        <v/>
      </c>
      <c r="M3444" s="387">
        <f t="shared" si="1388"/>
        <v>16.61</v>
      </c>
      <c r="N3444" s="41">
        <f t="shared" si="1389"/>
        <v>13.733720000000002</v>
      </c>
      <c r="O3444" s="61"/>
      <c r="P3444" s="65"/>
      <c r="Q3444" s="65"/>
      <c r="R3444" s="65"/>
      <c r="S3444" s="61"/>
      <c r="T3444" s="29"/>
      <c r="U3444" s="65"/>
      <c r="V3444" s="43" t="s">
        <v>1017</v>
      </c>
      <c r="W3444" s="29"/>
      <c r="X3444" s="50"/>
      <c r="AH3444" s="35" t="s">
        <v>1780</v>
      </c>
      <c r="AK3444" t="str">
        <f t="shared" si="1390"/>
        <v/>
      </c>
      <c r="AL3444" t="str">
        <f t="shared" si="1391"/>
        <v/>
      </c>
      <c r="AM3444" t="str">
        <f t="shared" si="1392"/>
        <v/>
      </c>
      <c r="AN3444" t="str">
        <f t="shared" si="1393"/>
        <v/>
      </c>
      <c r="AO3444" t="str">
        <f t="shared" si="1394"/>
        <v/>
      </c>
      <c r="AP3444" t="str">
        <f t="shared" si="1395"/>
        <v/>
      </c>
      <c r="AQ3444" t="str">
        <f t="shared" si="1396"/>
        <v/>
      </c>
      <c r="AR3444" t="str">
        <f t="shared" si="1397"/>
        <v>G1</v>
      </c>
      <c r="AS3444" t="str">
        <f t="shared" si="1398"/>
        <v/>
      </c>
      <c r="AT3444" t="str">
        <f t="shared" si="1399"/>
        <v/>
      </c>
      <c r="AU3444" t="str">
        <f t="shared" si="1400"/>
        <v>G1</v>
      </c>
      <c r="AV3444" s="254" t="str">
        <f t="shared" si="1401"/>
        <v>BiK270G1----73</v>
      </c>
      <c r="AW3444">
        <f t="shared" si="1402"/>
        <v>14</v>
      </c>
      <c r="AX3444" t="str">
        <f t="shared" si="1403"/>
        <v>0-0,15 MW, Bonusregel G1</v>
      </c>
    </row>
    <row r="3445" spans="1:50" x14ac:dyDescent="0.25">
      <c r="A3445" s="615" t="str">
        <f t="shared" si="1382"/>
        <v>BiK270E1aG1-14</v>
      </c>
      <c r="B3445" s="372" t="s">
        <v>5548</v>
      </c>
      <c r="C3445" s="375" t="str">
        <f t="shared" si="1383"/>
        <v>Inbetriebnahme 2014</v>
      </c>
      <c r="D3445" s="372" t="str">
        <f t="shared" si="1384"/>
        <v>0-0,15 MW, Bonusregeln E1a, G1</v>
      </c>
      <c r="E3445" s="372"/>
      <c r="F3445" s="459">
        <f t="shared" si="1385"/>
        <v>22.61</v>
      </c>
      <c r="G3445" s="544">
        <v>22.61</v>
      </c>
      <c r="H3445" s="500">
        <f t="shared" si="1386"/>
        <v>18.09</v>
      </c>
      <c r="I3445" s="711"/>
      <c r="J3445" s="669" t="s">
        <v>5805</v>
      </c>
      <c r="K3445" s="23"/>
      <c r="L3445" s="70" t="str">
        <f t="shared" si="1387"/>
        <v/>
      </c>
      <c r="M3445" s="387">
        <f t="shared" si="1388"/>
        <v>22.61</v>
      </c>
      <c r="N3445" s="41">
        <f t="shared" si="1389"/>
        <v>13.733720000000002</v>
      </c>
      <c r="O3445" s="43" t="s">
        <v>1017</v>
      </c>
      <c r="P3445" s="65"/>
      <c r="Q3445" s="65"/>
      <c r="R3445" s="65"/>
      <c r="S3445" s="43"/>
      <c r="T3445" s="35"/>
      <c r="U3445" s="65"/>
      <c r="V3445" s="43" t="s">
        <v>1017</v>
      </c>
      <c r="W3445" s="35"/>
      <c r="X3445" s="50"/>
      <c r="AH3445" s="35" t="s">
        <v>1780</v>
      </c>
      <c r="AK3445" t="str">
        <f t="shared" si="1390"/>
        <v>E1a</v>
      </c>
      <c r="AL3445" t="str">
        <f t="shared" si="1391"/>
        <v/>
      </c>
      <c r="AM3445" t="str">
        <f t="shared" si="1392"/>
        <v/>
      </c>
      <c r="AN3445" t="str">
        <f t="shared" si="1393"/>
        <v/>
      </c>
      <c r="AO3445" t="str">
        <f t="shared" si="1394"/>
        <v/>
      </c>
      <c r="AP3445" t="str">
        <f t="shared" si="1395"/>
        <v/>
      </c>
      <c r="AQ3445" t="str">
        <f t="shared" si="1396"/>
        <v/>
      </c>
      <c r="AR3445" t="str">
        <f t="shared" si="1397"/>
        <v>G1</v>
      </c>
      <c r="AS3445" t="str">
        <f t="shared" si="1398"/>
        <v/>
      </c>
      <c r="AT3445" t="str">
        <f t="shared" si="1399"/>
        <v/>
      </c>
      <c r="AU3445" t="str">
        <f t="shared" si="1400"/>
        <v>E1aG1</v>
      </c>
      <c r="AV3445" s="254" t="str">
        <f t="shared" si="1401"/>
        <v>BiK270E1aG1-73</v>
      </c>
      <c r="AW3445">
        <f t="shared" si="1402"/>
        <v>14</v>
      </c>
      <c r="AX3445" t="str">
        <f t="shared" si="1403"/>
        <v>0-0,15 MW, Bonusregeln E1a, G1</v>
      </c>
    </row>
    <row r="3446" spans="1:50" x14ac:dyDescent="0.25">
      <c r="A3446" s="615" t="str">
        <f t="shared" si="1382"/>
        <v>BiK270E2aG1-14</v>
      </c>
      <c r="B3446" s="372" t="s">
        <v>5548</v>
      </c>
      <c r="C3446" s="375" t="str">
        <f t="shared" si="1383"/>
        <v>Inbetriebnahme 2014</v>
      </c>
      <c r="D3446" s="372" t="str">
        <f t="shared" si="1384"/>
        <v>0-0,15 MW, Bonusregeln E2a, G1</v>
      </c>
      <c r="E3446" s="372"/>
      <c r="F3446" s="459">
        <f t="shared" si="1385"/>
        <v>24.61</v>
      </c>
      <c r="G3446" s="544">
        <v>24.61</v>
      </c>
      <c r="H3446" s="500">
        <f t="shared" si="1386"/>
        <v>19.690000000000001</v>
      </c>
      <c r="I3446" s="711"/>
      <c r="J3446" s="669" t="s">
        <v>5805</v>
      </c>
      <c r="K3446" s="23"/>
      <c r="L3446" s="70" t="str">
        <f t="shared" si="1387"/>
        <v/>
      </c>
      <c r="M3446" s="387">
        <f t="shared" si="1388"/>
        <v>24.61</v>
      </c>
      <c r="N3446" s="41">
        <f t="shared" si="1389"/>
        <v>13.733720000000002</v>
      </c>
      <c r="O3446" s="43"/>
      <c r="P3446" s="65"/>
      <c r="Q3446" s="65"/>
      <c r="R3446" s="65"/>
      <c r="S3446" s="43" t="s">
        <v>1017</v>
      </c>
      <c r="T3446" s="35"/>
      <c r="U3446" s="65"/>
      <c r="V3446" s="43" t="s">
        <v>1017</v>
      </c>
      <c r="W3446" s="35"/>
      <c r="X3446" s="50"/>
      <c r="AH3446" s="35" t="s">
        <v>1780</v>
      </c>
      <c r="AK3446" t="str">
        <f t="shared" si="1390"/>
        <v/>
      </c>
      <c r="AL3446" t="str">
        <f t="shared" si="1391"/>
        <v/>
      </c>
      <c r="AM3446" t="str">
        <f t="shared" si="1392"/>
        <v/>
      </c>
      <c r="AN3446" t="str">
        <f t="shared" si="1393"/>
        <v/>
      </c>
      <c r="AO3446" t="str">
        <f t="shared" si="1394"/>
        <v>E2a</v>
      </c>
      <c r="AP3446" t="str">
        <f t="shared" si="1395"/>
        <v/>
      </c>
      <c r="AQ3446" t="str">
        <f t="shared" si="1396"/>
        <v/>
      </c>
      <c r="AR3446" t="str">
        <f t="shared" si="1397"/>
        <v>G1</v>
      </c>
      <c r="AS3446" t="str">
        <f t="shared" si="1398"/>
        <v/>
      </c>
      <c r="AT3446" t="str">
        <f t="shared" si="1399"/>
        <v/>
      </c>
      <c r="AU3446" t="str">
        <f t="shared" si="1400"/>
        <v>E2aG1</v>
      </c>
      <c r="AV3446" s="254" t="str">
        <f t="shared" si="1401"/>
        <v>BiK270E2aG1-73</v>
      </c>
      <c r="AW3446">
        <f t="shared" si="1402"/>
        <v>14</v>
      </c>
      <c r="AX3446" t="str">
        <f t="shared" si="1403"/>
        <v>0-0,15 MW, Bonusregeln E2a, G1</v>
      </c>
    </row>
    <row r="3447" spans="1:50" x14ac:dyDescent="0.25">
      <c r="A3447" s="615" t="str">
        <f t="shared" si="1382"/>
        <v>BiK270E2bG1-14</v>
      </c>
      <c r="B3447" s="372" t="s">
        <v>5548</v>
      </c>
      <c r="C3447" s="375" t="str">
        <f t="shared" si="1383"/>
        <v>Inbetriebnahme 2014</v>
      </c>
      <c r="D3447" s="372" t="str">
        <f t="shared" si="1384"/>
        <v>0-0,15 MW, Bonusregeln E2b, G1</v>
      </c>
      <c r="E3447" s="372"/>
      <c r="F3447" s="459">
        <f t="shared" si="1385"/>
        <v>24.61</v>
      </c>
      <c r="G3447" s="544">
        <v>24.61</v>
      </c>
      <c r="H3447" s="500">
        <f t="shared" si="1386"/>
        <v>19.690000000000001</v>
      </c>
      <c r="I3447" s="711"/>
      <c r="J3447" s="669" t="s">
        <v>5805</v>
      </c>
      <c r="K3447" s="23"/>
      <c r="L3447" s="70" t="str">
        <f t="shared" si="1387"/>
        <v/>
      </c>
      <c r="M3447" s="387">
        <f t="shared" si="1388"/>
        <v>24.61</v>
      </c>
      <c r="N3447" s="41">
        <f t="shared" si="1389"/>
        <v>13.733720000000002</v>
      </c>
      <c r="O3447" s="43"/>
      <c r="P3447" s="65"/>
      <c r="Q3447" s="65"/>
      <c r="R3447" s="65"/>
      <c r="S3447" s="43"/>
      <c r="T3447" s="35" t="s">
        <v>1017</v>
      </c>
      <c r="U3447" s="65"/>
      <c r="V3447" s="43" t="s">
        <v>1017</v>
      </c>
      <c r="W3447" s="35"/>
      <c r="X3447" s="50"/>
      <c r="AH3447" s="35" t="s">
        <v>1780</v>
      </c>
      <c r="AK3447" t="str">
        <f t="shared" si="1390"/>
        <v/>
      </c>
      <c r="AL3447" t="str">
        <f t="shared" si="1391"/>
        <v/>
      </c>
      <c r="AM3447" t="str">
        <f t="shared" si="1392"/>
        <v/>
      </c>
      <c r="AN3447" t="str">
        <f t="shared" si="1393"/>
        <v/>
      </c>
      <c r="AO3447" t="str">
        <f t="shared" si="1394"/>
        <v/>
      </c>
      <c r="AP3447" t="str">
        <f t="shared" si="1395"/>
        <v>E2b</v>
      </c>
      <c r="AQ3447" t="str">
        <f t="shared" si="1396"/>
        <v/>
      </c>
      <c r="AR3447" t="str">
        <f t="shared" si="1397"/>
        <v>G1</v>
      </c>
      <c r="AS3447" t="str">
        <f t="shared" si="1398"/>
        <v/>
      </c>
      <c r="AT3447" t="str">
        <f t="shared" si="1399"/>
        <v/>
      </c>
      <c r="AU3447" t="str">
        <f t="shared" si="1400"/>
        <v>E2bG1</v>
      </c>
      <c r="AV3447" s="254" t="str">
        <f t="shared" si="1401"/>
        <v>BiK270E2bG1-73</v>
      </c>
      <c r="AW3447">
        <f t="shared" si="1402"/>
        <v>14</v>
      </c>
      <c r="AX3447" t="str">
        <f t="shared" si="1403"/>
        <v>0-0,15 MW, Bonusregeln E2b, G1</v>
      </c>
    </row>
    <row r="3448" spans="1:50" x14ac:dyDescent="0.25">
      <c r="A3448" s="615" t="str">
        <f t="shared" si="1382"/>
        <v>BiK270G2----14</v>
      </c>
      <c r="B3448" s="372" t="s">
        <v>5548</v>
      </c>
      <c r="C3448" s="375" t="str">
        <f t="shared" si="1383"/>
        <v>Inbetriebnahme 2014</v>
      </c>
      <c r="D3448" s="372" t="str">
        <f t="shared" si="1384"/>
        <v>0-0,15 MW, Bonusregel G2</v>
      </c>
      <c r="E3448" s="372"/>
      <c r="F3448" s="459">
        <f t="shared" si="1385"/>
        <v>15.65</v>
      </c>
      <c r="G3448" s="544">
        <v>15.65</v>
      </c>
      <c r="H3448" s="500">
        <f t="shared" si="1386"/>
        <v>12.52</v>
      </c>
      <c r="I3448" s="711"/>
      <c r="J3448" s="669" t="s">
        <v>5805</v>
      </c>
      <c r="K3448" s="23"/>
      <c r="L3448" s="70" t="str">
        <f t="shared" si="1387"/>
        <v/>
      </c>
      <c r="M3448" s="387">
        <f t="shared" si="1388"/>
        <v>15.65</v>
      </c>
      <c r="N3448" s="41">
        <f t="shared" si="1389"/>
        <v>13.733720000000002</v>
      </c>
      <c r="O3448" s="61"/>
      <c r="P3448" s="65"/>
      <c r="Q3448" s="65"/>
      <c r="R3448" s="65"/>
      <c r="S3448" s="61"/>
      <c r="T3448" s="29"/>
      <c r="U3448" s="65"/>
      <c r="V3448" s="43"/>
      <c r="W3448" s="35" t="s">
        <v>1017</v>
      </c>
      <c r="X3448" s="50"/>
      <c r="AH3448" s="35" t="s">
        <v>1780</v>
      </c>
      <c r="AK3448" t="str">
        <f t="shared" si="1390"/>
        <v/>
      </c>
      <c r="AL3448" t="str">
        <f t="shared" si="1391"/>
        <v/>
      </c>
      <c r="AM3448" t="str">
        <f t="shared" si="1392"/>
        <v/>
      </c>
      <c r="AN3448" t="str">
        <f t="shared" si="1393"/>
        <v/>
      </c>
      <c r="AO3448" t="str">
        <f t="shared" si="1394"/>
        <v/>
      </c>
      <c r="AP3448" t="str">
        <f t="shared" si="1395"/>
        <v/>
      </c>
      <c r="AQ3448" t="str">
        <f t="shared" si="1396"/>
        <v/>
      </c>
      <c r="AR3448" t="str">
        <f t="shared" si="1397"/>
        <v/>
      </c>
      <c r="AS3448" t="str">
        <f t="shared" si="1398"/>
        <v>G2</v>
      </c>
      <c r="AT3448" t="str">
        <f t="shared" si="1399"/>
        <v/>
      </c>
      <c r="AU3448" t="str">
        <f t="shared" si="1400"/>
        <v>G2</v>
      </c>
      <c r="AV3448" s="254" t="str">
        <f t="shared" si="1401"/>
        <v>BiK270G2----73</v>
      </c>
      <c r="AW3448">
        <f t="shared" si="1402"/>
        <v>14</v>
      </c>
      <c r="AX3448" t="str">
        <f t="shared" si="1403"/>
        <v>0-0,15 MW, Bonusregel G2</v>
      </c>
    </row>
    <row r="3449" spans="1:50" x14ac:dyDescent="0.25">
      <c r="A3449" s="615" t="str">
        <f t="shared" si="1382"/>
        <v>BiK270E1aG2-14</v>
      </c>
      <c r="B3449" s="372" t="s">
        <v>5548</v>
      </c>
      <c r="C3449" s="375" t="str">
        <f t="shared" si="1383"/>
        <v>Inbetriebnahme 2014</v>
      </c>
      <c r="D3449" s="372" t="str">
        <f t="shared" si="1384"/>
        <v>0-0,15 MW, Bonusregeln E1a, G2</v>
      </c>
      <c r="E3449" s="372"/>
      <c r="F3449" s="459">
        <f t="shared" si="1385"/>
        <v>21.65</v>
      </c>
      <c r="G3449" s="544">
        <v>21.65</v>
      </c>
      <c r="H3449" s="500">
        <f t="shared" si="1386"/>
        <v>17.32</v>
      </c>
      <c r="I3449" s="711"/>
      <c r="J3449" s="669" t="s">
        <v>5805</v>
      </c>
      <c r="K3449" s="23"/>
      <c r="L3449" s="70" t="str">
        <f t="shared" si="1387"/>
        <v/>
      </c>
      <c r="M3449" s="387">
        <f t="shared" si="1388"/>
        <v>21.65</v>
      </c>
      <c r="N3449" s="41">
        <f t="shared" si="1389"/>
        <v>13.733720000000002</v>
      </c>
      <c r="O3449" s="43" t="s">
        <v>1017</v>
      </c>
      <c r="P3449" s="65"/>
      <c r="Q3449" s="65"/>
      <c r="R3449" s="65"/>
      <c r="S3449" s="43"/>
      <c r="T3449" s="35"/>
      <c r="U3449" s="65"/>
      <c r="V3449" s="43"/>
      <c r="W3449" s="35" t="s">
        <v>1017</v>
      </c>
      <c r="X3449" s="50"/>
      <c r="AH3449" s="35" t="s">
        <v>1780</v>
      </c>
      <c r="AK3449" t="str">
        <f t="shared" si="1390"/>
        <v>E1a</v>
      </c>
      <c r="AL3449" t="str">
        <f t="shared" si="1391"/>
        <v/>
      </c>
      <c r="AM3449" t="str">
        <f t="shared" si="1392"/>
        <v/>
      </c>
      <c r="AN3449" t="str">
        <f t="shared" si="1393"/>
        <v/>
      </c>
      <c r="AO3449" t="str">
        <f t="shared" si="1394"/>
        <v/>
      </c>
      <c r="AP3449" t="str">
        <f t="shared" si="1395"/>
        <v/>
      </c>
      <c r="AQ3449" t="str">
        <f t="shared" si="1396"/>
        <v/>
      </c>
      <c r="AR3449" t="str">
        <f t="shared" si="1397"/>
        <v/>
      </c>
      <c r="AS3449" t="str">
        <f t="shared" si="1398"/>
        <v>G2</v>
      </c>
      <c r="AT3449" t="str">
        <f t="shared" si="1399"/>
        <v/>
      </c>
      <c r="AU3449" t="str">
        <f t="shared" si="1400"/>
        <v>E1aG2</v>
      </c>
      <c r="AV3449" s="254" t="str">
        <f t="shared" si="1401"/>
        <v>BiK270E1aG2-73</v>
      </c>
      <c r="AW3449">
        <f t="shared" si="1402"/>
        <v>14</v>
      </c>
      <c r="AX3449" t="str">
        <f t="shared" si="1403"/>
        <v>0-0,15 MW, Bonusregeln E1a, G2</v>
      </c>
    </row>
    <row r="3450" spans="1:50" x14ac:dyDescent="0.25">
      <c r="A3450" s="615" t="str">
        <f t="shared" si="1382"/>
        <v>BiK270E2aG2-14</v>
      </c>
      <c r="B3450" s="372" t="s">
        <v>5548</v>
      </c>
      <c r="C3450" s="375" t="str">
        <f t="shared" si="1383"/>
        <v>Inbetriebnahme 2014</v>
      </c>
      <c r="D3450" s="372" t="str">
        <f t="shared" si="1384"/>
        <v>0-0,15 MW, Bonusregeln E2a, G2</v>
      </c>
      <c r="E3450" s="372"/>
      <c r="F3450" s="459">
        <f t="shared" si="1385"/>
        <v>23.65</v>
      </c>
      <c r="G3450" s="544">
        <v>23.65</v>
      </c>
      <c r="H3450" s="500">
        <f t="shared" si="1386"/>
        <v>18.920000000000002</v>
      </c>
      <c r="I3450" s="711"/>
      <c r="J3450" s="669" t="s">
        <v>5805</v>
      </c>
      <c r="K3450" s="23"/>
      <c r="L3450" s="70" t="str">
        <f t="shared" si="1387"/>
        <v/>
      </c>
      <c r="M3450" s="387">
        <f t="shared" si="1388"/>
        <v>23.65</v>
      </c>
      <c r="N3450" s="41">
        <f t="shared" si="1389"/>
        <v>13.733720000000002</v>
      </c>
      <c r="O3450" s="43"/>
      <c r="P3450" s="65"/>
      <c r="Q3450" s="65"/>
      <c r="R3450" s="65"/>
      <c r="S3450" s="43" t="s">
        <v>1017</v>
      </c>
      <c r="T3450" s="35"/>
      <c r="U3450" s="65"/>
      <c r="V3450" s="43"/>
      <c r="W3450" s="35" t="s">
        <v>1017</v>
      </c>
      <c r="X3450" s="50"/>
      <c r="AH3450" s="35" t="s">
        <v>1780</v>
      </c>
      <c r="AK3450" t="str">
        <f t="shared" si="1390"/>
        <v/>
      </c>
      <c r="AL3450" t="str">
        <f t="shared" si="1391"/>
        <v/>
      </c>
      <c r="AM3450" t="str">
        <f t="shared" si="1392"/>
        <v/>
      </c>
      <c r="AN3450" t="str">
        <f t="shared" si="1393"/>
        <v/>
      </c>
      <c r="AO3450" t="str">
        <f t="shared" si="1394"/>
        <v>E2a</v>
      </c>
      <c r="AP3450" t="str">
        <f t="shared" si="1395"/>
        <v/>
      </c>
      <c r="AQ3450" t="str">
        <f t="shared" si="1396"/>
        <v/>
      </c>
      <c r="AR3450" t="str">
        <f t="shared" si="1397"/>
        <v/>
      </c>
      <c r="AS3450" t="str">
        <f t="shared" si="1398"/>
        <v>G2</v>
      </c>
      <c r="AT3450" t="str">
        <f t="shared" si="1399"/>
        <v/>
      </c>
      <c r="AU3450" t="str">
        <f t="shared" si="1400"/>
        <v>E2aG2</v>
      </c>
      <c r="AV3450" s="254" t="str">
        <f t="shared" si="1401"/>
        <v>BiK270E2aG2-73</v>
      </c>
      <c r="AW3450">
        <f t="shared" si="1402"/>
        <v>14</v>
      </c>
      <c r="AX3450" t="str">
        <f t="shared" si="1403"/>
        <v>0-0,15 MW, Bonusregeln E2a, G2</v>
      </c>
    </row>
    <row r="3451" spans="1:50" x14ac:dyDescent="0.25">
      <c r="A3451" s="615" t="str">
        <f t="shared" si="1382"/>
        <v>BiK270E2bG2-14</v>
      </c>
      <c r="B3451" s="372" t="s">
        <v>5548</v>
      </c>
      <c r="C3451" s="375" t="str">
        <f t="shared" si="1383"/>
        <v>Inbetriebnahme 2014</v>
      </c>
      <c r="D3451" s="372" t="str">
        <f t="shared" si="1384"/>
        <v>0-0,15 MW, Bonusregeln E2b, G2</v>
      </c>
      <c r="E3451" s="372"/>
      <c r="F3451" s="459">
        <f t="shared" si="1385"/>
        <v>23.65</v>
      </c>
      <c r="G3451" s="544">
        <v>23.65</v>
      </c>
      <c r="H3451" s="500">
        <f t="shared" si="1386"/>
        <v>18.920000000000002</v>
      </c>
      <c r="I3451" s="711"/>
      <c r="J3451" s="669" t="s">
        <v>5805</v>
      </c>
      <c r="K3451" s="23"/>
      <c r="L3451" s="70" t="str">
        <f t="shared" si="1387"/>
        <v/>
      </c>
      <c r="M3451" s="387">
        <f t="shared" si="1388"/>
        <v>23.65</v>
      </c>
      <c r="N3451" s="41">
        <f t="shared" si="1389"/>
        <v>13.733720000000002</v>
      </c>
      <c r="O3451" s="43"/>
      <c r="P3451" s="65"/>
      <c r="Q3451" s="65"/>
      <c r="R3451" s="65"/>
      <c r="S3451" s="43"/>
      <c r="T3451" s="35" t="s">
        <v>1017</v>
      </c>
      <c r="U3451" s="65"/>
      <c r="V3451" s="43"/>
      <c r="W3451" s="35" t="s">
        <v>1017</v>
      </c>
      <c r="X3451" s="50"/>
      <c r="AH3451" s="35" t="s">
        <v>1780</v>
      </c>
      <c r="AK3451" t="str">
        <f t="shared" si="1390"/>
        <v/>
      </c>
      <c r="AL3451" t="str">
        <f t="shared" si="1391"/>
        <v/>
      </c>
      <c r="AM3451" t="str">
        <f t="shared" si="1392"/>
        <v/>
      </c>
      <c r="AN3451" t="str">
        <f t="shared" si="1393"/>
        <v/>
      </c>
      <c r="AO3451" t="str">
        <f t="shared" si="1394"/>
        <v/>
      </c>
      <c r="AP3451" t="str">
        <f t="shared" si="1395"/>
        <v>E2b</v>
      </c>
      <c r="AQ3451" t="str">
        <f t="shared" si="1396"/>
        <v/>
      </c>
      <c r="AR3451" t="str">
        <f t="shared" si="1397"/>
        <v/>
      </c>
      <c r="AS3451" t="str">
        <f t="shared" si="1398"/>
        <v>G2</v>
      </c>
      <c r="AT3451" t="str">
        <f t="shared" si="1399"/>
        <v/>
      </c>
      <c r="AU3451" t="str">
        <f t="shared" si="1400"/>
        <v>E2bG2</v>
      </c>
      <c r="AV3451" s="254" t="str">
        <f t="shared" si="1401"/>
        <v>BiK270E2bG2-73</v>
      </c>
      <c r="AW3451">
        <f t="shared" si="1402"/>
        <v>14</v>
      </c>
      <c r="AX3451" t="str">
        <f t="shared" si="1403"/>
        <v>0-0,15 MW, Bonusregeln E2b, G2</v>
      </c>
    </row>
    <row r="3452" spans="1:50" x14ac:dyDescent="0.25">
      <c r="A3452" s="615" t="str">
        <f t="shared" si="1382"/>
        <v>BiK270G3----14</v>
      </c>
      <c r="B3452" s="372" t="s">
        <v>5548</v>
      </c>
      <c r="C3452" s="375" t="str">
        <f t="shared" si="1383"/>
        <v>Inbetriebnahme 2014</v>
      </c>
      <c r="D3452" s="372" t="str">
        <f t="shared" si="1384"/>
        <v>0-0,15 MW, Bonusregel G3</v>
      </c>
      <c r="E3452" s="372"/>
      <c r="F3452" s="459">
        <f t="shared" si="1385"/>
        <v>14.690000000000001</v>
      </c>
      <c r="G3452" s="544">
        <v>14.690000000000001</v>
      </c>
      <c r="H3452" s="500">
        <f t="shared" si="1386"/>
        <v>11.75</v>
      </c>
      <c r="I3452" s="711"/>
      <c r="J3452" s="669" t="s">
        <v>5805</v>
      </c>
      <c r="K3452" s="23"/>
      <c r="L3452" s="70" t="str">
        <f t="shared" si="1387"/>
        <v/>
      </c>
      <c r="M3452" s="387">
        <f t="shared" si="1388"/>
        <v>14.690000000000001</v>
      </c>
      <c r="N3452" s="41">
        <f t="shared" si="1389"/>
        <v>13.733720000000002</v>
      </c>
      <c r="O3452" s="61"/>
      <c r="P3452" s="65"/>
      <c r="Q3452" s="65"/>
      <c r="R3452" s="65"/>
      <c r="S3452" s="61"/>
      <c r="T3452" s="29"/>
      <c r="U3452" s="65"/>
      <c r="V3452" s="43"/>
      <c r="W3452" s="35"/>
      <c r="X3452" s="50" t="s">
        <v>1017</v>
      </c>
      <c r="AH3452" s="35" t="s">
        <v>1780</v>
      </c>
      <c r="AK3452" t="str">
        <f t="shared" si="1390"/>
        <v/>
      </c>
      <c r="AL3452" t="str">
        <f t="shared" si="1391"/>
        <v/>
      </c>
      <c r="AM3452" t="str">
        <f t="shared" si="1392"/>
        <v/>
      </c>
      <c r="AN3452" t="str">
        <f t="shared" si="1393"/>
        <v/>
      </c>
      <c r="AO3452" t="str">
        <f t="shared" si="1394"/>
        <v/>
      </c>
      <c r="AP3452" t="str">
        <f t="shared" si="1395"/>
        <v/>
      </c>
      <c r="AQ3452" t="str">
        <f t="shared" si="1396"/>
        <v/>
      </c>
      <c r="AR3452" t="str">
        <f t="shared" si="1397"/>
        <v/>
      </c>
      <c r="AS3452" t="str">
        <f t="shared" si="1398"/>
        <v/>
      </c>
      <c r="AT3452" t="str">
        <f t="shared" si="1399"/>
        <v>G3</v>
      </c>
      <c r="AU3452" t="str">
        <f t="shared" si="1400"/>
        <v>G3</v>
      </c>
      <c r="AV3452" s="254" t="str">
        <f t="shared" si="1401"/>
        <v>BiK270G3----73</v>
      </c>
      <c r="AW3452">
        <f t="shared" si="1402"/>
        <v>14</v>
      </c>
      <c r="AX3452" t="str">
        <f t="shared" si="1403"/>
        <v>0-0,15 MW, Bonusregel G3</v>
      </c>
    </row>
    <row r="3453" spans="1:50" x14ac:dyDescent="0.25">
      <c r="A3453" s="615" t="str">
        <f t="shared" si="1382"/>
        <v>BiK270E1aG3-14</v>
      </c>
      <c r="B3453" s="372" t="s">
        <v>5548</v>
      </c>
      <c r="C3453" s="375" t="str">
        <f t="shared" si="1383"/>
        <v>Inbetriebnahme 2014</v>
      </c>
      <c r="D3453" s="372" t="str">
        <f t="shared" si="1384"/>
        <v>0-0,15 MW, Bonusregeln E1a, G3</v>
      </c>
      <c r="E3453" s="372"/>
      <c r="F3453" s="459">
        <f t="shared" si="1385"/>
        <v>20.69</v>
      </c>
      <c r="G3453" s="544">
        <v>20.69</v>
      </c>
      <c r="H3453" s="500">
        <f t="shared" si="1386"/>
        <v>16.55</v>
      </c>
      <c r="I3453" s="711"/>
      <c r="J3453" s="669" t="s">
        <v>5805</v>
      </c>
      <c r="K3453" s="23"/>
      <c r="L3453" s="70" t="str">
        <f t="shared" si="1387"/>
        <v/>
      </c>
      <c r="M3453" s="387">
        <f t="shared" si="1388"/>
        <v>20.69</v>
      </c>
      <c r="N3453" s="41">
        <f t="shared" si="1389"/>
        <v>13.733720000000002</v>
      </c>
      <c r="O3453" s="43" t="s">
        <v>1017</v>
      </c>
      <c r="P3453" s="65"/>
      <c r="Q3453" s="65"/>
      <c r="R3453" s="65"/>
      <c r="S3453" s="43"/>
      <c r="T3453" s="35"/>
      <c r="U3453" s="65"/>
      <c r="V3453" s="43"/>
      <c r="W3453" s="35"/>
      <c r="X3453" s="50" t="s">
        <v>1017</v>
      </c>
      <c r="AH3453" s="35" t="s">
        <v>1780</v>
      </c>
      <c r="AK3453" t="str">
        <f t="shared" si="1390"/>
        <v>E1a</v>
      </c>
      <c r="AL3453" t="str">
        <f t="shared" si="1391"/>
        <v/>
      </c>
      <c r="AM3453" t="str">
        <f t="shared" si="1392"/>
        <v/>
      </c>
      <c r="AN3453" t="str">
        <f t="shared" si="1393"/>
        <v/>
      </c>
      <c r="AO3453" t="str">
        <f t="shared" si="1394"/>
        <v/>
      </c>
      <c r="AP3453" t="str">
        <f t="shared" si="1395"/>
        <v/>
      </c>
      <c r="AQ3453" t="str">
        <f t="shared" si="1396"/>
        <v/>
      </c>
      <c r="AR3453" t="str">
        <f t="shared" si="1397"/>
        <v/>
      </c>
      <c r="AS3453" t="str">
        <f t="shared" si="1398"/>
        <v/>
      </c>
      <c r="AT3453" t="str">
        <f t="shared" si="1399"/>
        <v>G3</v>
      </c>
      <c r="AU3453" t="str">
        <f t="shared" si="1400"/>
        <v>E1aG3</v>
      </c>
      <c r="AV3453" s="254" t="str">
        <f t="shared" si="1401"/>
        <v>BiK270E1aG3-73</v>
      </c>
      <c r="AW3453">
        <f t="shared" si="1402"/>
        <v>14</v>
      </c>
      <c r="AX3453" t="str">
        <f t="shared" si="1403"/>
        <v>0-0,15 MW, Bonusregeln E1a, G3</v>
      </c>
    </row>
    <row r="3454" spans="1:50" x14ac:dyDescent="0.25">
      <c r="A3454" s="615" t="str">
        <f t="shared" si="1382"/>
        <v>BiK270E2aG3-14</v>
      </c>
      <c r="B3454" s="372" t="s">
        <v>5548</v>
      </c>
      <c r="C3454" s="375" t="str">
        <f t="shared" si="1383"/>
        <v>Inbetriebnahme 2014</v>
      </c>
      <c r="D3454" s="372" t="str">
        <f t="shared" si="1384"/>
        <v>0-0,15 MW, Bonusregeln E2a, G3</v>
      </c>
      <c r="E3454" s="372"/>
      <c r="F3454" s="459">
        <f t="shared" si="1385"/>
        <v>22.69</v>
      </c>
      <c r="G3454" s="544">
        <v>22.69</v>
      </c>
      <c r="H3454" s="500">
        <f t="shared" si="1386"/>
        <v>18.149999999999999</v>
      </c>
      <c r="I3454" s="711"/>
      <c r="J3454" s="669" t="s">
        <v>5805</v>
      </c>
      <c r="K3454" s="23"/>
      <c r="L3454" s="70" t="str">
        <f t="shared" si="1387"/>
        <v/>
      </c>
      <c r="M3454" s="387">
        <f t="shared" si="1388"/>
        <v>22.69</v>
      </c>
      <c r="N3454" s="41">
        <f t="shared" si="1389"/>
        <v>13.733720000000002</v>
      </c>
      <c r="O3454" s="43"/>
      <c r="P3454" s="65"/>
      <c r="Q3454" s="65"/>
      <c r="R3454" s="65"/>
      <c r="S3454" s="43" t="s">
        <v>1017</v>
      </c>
      <c r="T3454" s="35"/>
      <c r="U3454" s="65"/>
      <c r="V3454" s="43"/>
      <c r="W3454" s="35"/>
      <c r="X3454" s="50" t="s">
        <v>1017</v>
      </c>
      <c r="AH3454" s="35" t="s">
        <v>1780</v>
      </c>
      <c r="AK3454" t="str">
        <f t="shared" si="1390"/>
        <v/>
      </c>
      <c r="AL3454" t="str">
        <f t="shared" si="1391"/>
        <v/>
      </c>
      <c r="AM3454" t="str">
        <f t="shared" si="1392"/>
        <v/>
      </c>
      <c r="AN3454" t="str">
        <f t="shared" si="1393"/>
        <v/>
      </c>
      <c r="AO3454" t="str">
        <f t="shared" si="1394"/>
        <v>E2a</v>
      </c>
      <c r="AP3454" t="str">
        <f t="shared" si="1395"/>
        <v/>
      </c>
      <c r="AQ3454" t="str">
        <f t="shared" si="1396"/>
        <v/>
      </c>
      <c r="AR3454" t="str">
        <f t="shared" si="1397"/>
        <v/>
      </c>
      <c r="AS3454" t="str">
        <f t="shared" si="1398"/>
        <v/>
      </c>
      <c r="AT3454" t="str">
        <f t="shared" si="1399"/>
        <v>G3</v>
      </c>
      <c r="AU3454" t="str">
        <f t="shared" si="1400"/>
        <v>E2aG3</v>
      </c>
      <c r="AV3454" s="254" t="str">
        <f t="shared" si="1401"/>
        <v>BiK270E2aG3-73</v>
      </c>
      <c r="AW3454">
        <f t="shared" si="1402"/>
        <v>14</v>
      </c>
      <c r="AX3454" t="str">
        <f t="shared" si="1403"/>
        <v>0-0,15 MW, Bonusregeln E2a, G3</v>
      </c>
    </row>
    <row r="3455" spans="1:50" x14ac:dyDescent="0.25">
      <c r="A3455" s="615" t="str">
        <f t="shared" si="1382"/>
        <v>BiK270E2bG3-14</v>
      </c>
      <c r="B3455" s="372" t="s">
        <v>5548</v>
      </c>
      <c r="C3455" s="375" t="str">
        <f t="shared" si="1383"/>
        <v>Inbetriebnahme 2014</v>
      </c>
      <c r="D3455" s="372" t="str">
        <f t="shared" si="1384"/>
        <v>0-0,15 MW, Bonusregeln E2b, G3</v>
      </c>
      <c r="E3455" s="372"/>
      <c r="F3455" s="459">
        <f t="shared" si="1385"/>
        <v>22.69</v>
      </c>
      <c r="G3455" s="544">
        <v>22.69</v>
      </c>
      <c r="H3455" s="500">
        <f t="shared" si="1386"/>
        <v>18.149999999999999</v>
      </c>
      <c r="I3455" s="711"/>
      <c r="J3455" s="669" t="s">
        <v>5805</v>
      </c>
      <c r="K3455" s="23"/>
      <c r="L3455" s="70" t="str">
        <f t="shared" si="1387"/>
        <v/>
      </c>
      <c r="M3455" s="387">
        <f t="shared" si="1388"/>
        <v>22.69</v>
      </c>
      <c r="N3455" s="41">
        <f t="shared" si="1389"/>
        <v>13.733720000000002</v>
      </c>
      <c r="O3455" s="35"/>
      <c r="P3455" s="65"/>
      <c r="Q3455" s="65"/>
      <c r="R3455" s="65"/>
      <c r="S3455" s="35"/>
      <c r="T3455" s="35" t="s">
        <v>1017</v>
      </c>
      <c r="U3455" s="65"/>
      <c r="V3455" s="43"/>
      <c r="W3455" s="35"/>
      <c r="X3455" s="50" t="s">
        <v>1017</v>
      </c>
      <c r="AH3455" s="35" t="s">
        <v>1780</v>
      </c>
      <c r="AK3455" t="str">
        <f t="shared" si="1390"/>
        <v/>
      </c>
      <c r="AL3455" t="str">
        <f t="shared" si="1391"/>
        <v/>
      </c>
      <c r="AM3455" t="str">
        <f t="shared" si="1392"/>
        <v/>
      </c>
      <c r="AN3455" t="str">
        <f t="shared" si="1393"/>
        <v/>
      </c>
      <c r="AO3455" t="str">
        <f t="shared" si="1394"/>
        <v/>
      </c>
      <c r="AP3455" t="str">
        <f t="shared" si="1395"/>
        <v>E2b</v>
      </c>
      <c r="AQ3455" t="str">
        <f t="shared" si="1396"/>
        <v/>
      </c>
      <c r="AR3455" t="str">
        <f t="shared" si="1397"/>
        <v/>
      </c>
      <c r="AS3455" t="str">
        <f t="shared" si="1398"/>
        <v/>
      </c>
      <c r="AT3455" t="str">
        <f t="shared" si="1399"/>
        <v>G3</v>
      </c>
      <c r="AU3455" t="str">
        <f t="shared" si="1400"/>
        <v>E2bG3</v>
      </c>
      <c r="AV3455" s="254" t="str">
        <f t="shared" si="1401"/>
        <v>BiK270E2bG3-73</v>
      </c>
      <c r="AW3455">
        <f t="shared" si="1402"/>
        <v>14</v>
      </c>
      <c r="AX3455" t="str">
        <f t="shared" si="1403"/>
        <v>0-0,15 MW, Bonusregeln E2b, G3</v>
      </c>
    </row>
    <row r="3456" spans="1:50" x14ac:dyDescent="0.25">
      <c r="A3456" s="615" t="str">
        <f t="shared" ref="A3456:A3471" si="1404">"BiK271"&amp;AU3456&amp;RIGHT("------",6-LEN(AU3456))&amp;RIGHT($M$3439,2)</f>
        <v>BiK271------14</v>
      </c>
      <c r="B3456" s="372" t="s">
        <v>5548</v>
      </c>
      <c r="C3456" s="375" t="str">
        <f t="shared" si="1383"/>
        <v>Inbetriebnahme 2014</v>
      </c>
      <c r="D3456" s="372" t="str">
        <f t="shared" si="1384"/>
        <v>0,15-0,5 MW</v>
      </c>
      <c r="E3456" s="372"/>
      <c r="F3456" s="459">
        <f t="shared" si="1385"/>
        <v>11.81</v>
      </c>
      <c r="G3456" s="544">
        <v>11.81</v>
      </c>
      <c r="H3456" s="500">
        <f t="shared" si="1386"/>
        <v>9.4499999999999993</v>
      </c>
      <c r="I3456" s="711"/>
      <c r="J3456" s="669" t="s">
        <v>5805</v>
      </c>
      <c r="K3456" s="23"/>
      <c r="L3456" s="70" t="str">
        <f t="shared" si="1387"/>
        <v/>
      </c>
      <c r="M3456" s="387">
        <f t="shared" si="1388"/>
        <v>11.81</v>
      </c>
      <c r="N3456" s="41">
        <f t="shared" si="1389"/>
        <v>11.81292</v>
      </c>
      <c r="O3456" s="61"/>
      <c r="P3456" s="65"/>
      <c r="Q3456" s="65"/>
      <c r="R3456" s="65"/>
      <c r="S3456" s="61"/>
      <c r="T3456" s="29"/>
      <c r="U3456" s="65"/>
      <c r="V3456" s="61"/>
      <c r="W3456" s="29"/>
      <c r="X3456" s="50"/>
      <c r="AH3456" s="35" t="s">
        <v>1779</v>
      </c>
      <c r="AK3456" t="str">
        <f t="shared" si="1390"/>
        <v/>
      </c>
      <c r="AL3456" t="str">
        <f t="shared" si="1391"/>
        <v/>
      </c>
      <c r="AM3456" t="str">
        <f t="shared" si="1392"/>
        <v/>
      </c>
      <c r="AN3456" t="str">
        <f t="shared" si="1393"/>
        <v/>
      </c>
      <c r="AO3456" t="str">
        <f t="shared" si="1394"/>
        <v/>
      </c>
      <c r="AP3456" t="str">
        <f t="shared" si="1395"/>
        <v/>
      </c>
      <c r="AQ3456" t="str">
        <f t="shared" si="1396"/>
        <v/>
      </c>
      <c r="AR3456" t="str">
        <f t="shared" si="1397"/>
        <v/>
      </c>
      <c r="AS3456" t="str">
        <f t="shared" si="1398"/>
        <v/>
      </c>
      <c r="AT3456" t="str">
        <f t="shared" si="1399"/>
        <v/>
      </c>
      <c r="AU3456" t="str">
        <f t="shared" si="1400"/>
        <v/>
      </c>
      <c r="AV3456" s="254" t="str">
        <f t="shared" ref="AV3456:AV3471" si="1405">"BiK271"&amp;AU3456&amp;RIGHT("------",6-LEN(AU3456))&amp;RIGHT($M$3272,2)</f>
        <v>BiK271------73</v>
      </c>
      <c r="AW3456">
        <f t="shared" si="1402"/>
        <v>14</v>
      </c>
      <c r="AX3456" t="str">
        <f t="shared" si="1403"/>
        <v>0,15-0,5 MW</v>
      </c>
    </row>
    <row r="3457" spans="1:50" x14ac:dyDescent="0.25">
      <c r="A3457" s="615" t="str">
        <f t="shared" si="1404"/>
        <v>BiK271E1a---14</v>
      </c>
      <c r="B3457" s="372" t="s">
        <v>5548</v>
      </c>
      <c r="C3457" s="375" t="str">
        <f t="shared" si="1383"/>
        <v>Inbetriebnahme 2014</v>
      </c>
      <c r="D3457" s="372" t="str">
        <f t="shared" si="1384"/>
        <v>0,15-0,5 MW, Bonusregel E1a</v>
      </c>
      <c r="E3457" s="372"/>
      <c r="F3457" s="459">
        <f t="shared" si="1385"/>
        <v>17.810000000000002</v>
      </c>
      <c r="G3457" s="544">
        <v>17.810000000000002</v>
      </c>
      <c r="H3457" s="500">
        <f t="shared" si="1386"/>
        <v>14.25</v>
      </c>
      <c r="I3457" s="711"/>
      <c r="J3457" s="669" t="s">
        <v>5805</v>
      </c>
      <c r="K3457" s="23"/>
      <c r="L3457" s="70" t="str">
        <f t="shared" si="1387"/>
        <v/>
      </c>
      <c r="M3457" s="387">
        <f t="shared" si="1388"/>
        <v>17.810000000000002</v>
      </c>
      <c r="N3457" s="41">
        <f t="shared" si="1389"/>
        <v>11.81292</v>
      </c>
      <c r="O3457" s="43" t="s">
        <v>1017</v>
      </c>
      <c r="P3457" s="65"/>
      <c r="Q3457" s="65"/>
      <c r="R3457" s="65"/>
      <c r="S3457" s="43"/>
      <c r="T3457" s="35"/>
      <c r="U3457" s="65"/>
      <c r="V3457" s="43"/>
      <c r="W3457" s="35"/>
      <c r="X3457" s="50"/>
      <c r="AH3457" s="35" t="s">
        <v>1779</v>
      </c>
      <c r="AK3457" t="str">
        <f t="shared" si="1390"/>
        <v>E1a</v>
      </c>
      <c r="AL3457" t="str">
        <f t="shared" si="1391"/>
        <v/>
      </c>
      <c r="AM3457" t="str">
        <f t="shared" si="1392"/>
        <v/>
      </c>
      <c r="AN3457" t="str">
        <f t="shared" si="1393"/>
        <v/>
      </c>
      <c r="AO3457" t="str">
        <f t="shared" si="1394"/>
        <v/>
      </c>
      <c r="AP3457" t="str">
        <f t="shared" si="1395"/>
        <v/>
      </c>
      <c r="AQ3457" t="str">
        <f t="shared" si="1396"/>
        <v/>
      </c>
      <c r="AR3457" t="str">
        <f t="shared" si="1397"/>
        <v/>
      </c>
      <c r="AS3457" t="str">
        <f t="shared" si="1398"/>
        <v/>
      </c>
      <c r="AT3457" t="str">
        <f t="shared" si="1399"/>
        <v/>
      </c>
      <c r="AU3457" t="str">
        <f t="shared" si="1400"/>
        <v>E1a</v>
      </c>
      <c r="AV3457" s="254" t="str">
        <f t="shared" si="1405"/>
        <v>BiK271E1a---73</v>
      </c>
      <c r="AW3457">
        <f t="shared" si="1402"/>
        <v>14</v>
      </c>
      <c r="AX3457" t="str">
        <f t="shared" si="1403"/>
        <v>0,15-0,5 MW, Bonusregel E1a</v>
      </c>
    </row>
    <row r="3458" spans="1:50" x14ac:dyDescent="0.25">
      <c r="A3458" s="615" t="str">
        <f t="shared" si="1404"/>
        <v>BiK271E2a---14</v>
      </c>
      <c r="B3458" s="372" t="s">
        <v>5548</v>
      </c>
      <c r="C3458" s="375" t="str">
        <f t="shared" si="1383"/>
        <v>Inbetriebnahme 2014</v>
      </c>
      <c r="D3458" s="372" t="str">
        <f t="shared" si="1384"/>
        <v>0,15-0,5 MW, Bonusregel E2a</v>
      </c>
      <c r="E3458" s="372"/>
      <c r="F3458" s="459">
        <f t="shared" si="1385"/>
        <v>19.810000000000002</v>
      </c>
      <c r="G3458" s="544">
        <v>19.810000000000002</v>
      </c>
      <c r="H3458" s="500">
        <f t="shared" si="1386"/>
        <v>15.85</v>
      </c>
      <c r="I3458" s="711"/>
      <c r="J3458" s="669" t="s">
        <v>5805</v>
      </c>
      <c r="K3458" s="23"/>
      <c r="L3458" s="70" t="str">
        <f t="shared" si="1387"/>
        <v/>
      </c>
      <c r="M3458" s="387">
        <f t="shared" si="1388"/>
        <v>19.810000000000002</v>
      </c>
      <c r="N3458" s="41">
        <f t="shared" si="1389"/>
        <v>11.81292</v>
      </c>
      <c r="O3458" s="61"/>
      <c r="P3458" s="65"/>
      <c r="Q3458" s="65"/>
      <c r="R3458" s="65"/>
      <c r="S3458" s="43" t="s">
        <v>1017</v>
      </c>
      <c r="T3458" s="29"/>
      <c r="U3458" s="65"/>
      <c r="V3458" s="61"/>
      <c r="W3458" s="29"/>
      <c r="X3458" s="50"/>
      <c r="AH3458" s="35" t="s">
        <v>1779</v>
      </c>
      <c r="AK3458" t="str">
        <f t="shared" si="1390"/>
        <v/>
      </c>
      <c r="AL3458" t="str">
        <f t="shared" si="1391"/>
        <v/>
      </c>
      <c r="AM3458" t="str">
        <f t="shared" si="1392"/>
        <v/>
      </c>
      <c r="AN3458" t="str">
        <f t="shared" si="1393"/>
        <v/>
      </c>
      <c r="AO3458" t="str">
        <f t="shared" si="1394"/>
        <v>E2a</v>
      </c>
      <c r="AP3458" t="str">
        <f t="shared" si="1395"/>
        <v/>
      </c>
      <c r="AQ3458" t="str">
        <f t="shared" si="1396"/>
        <v/>
      </c>
      <c r="AR3458" t="str">
        <f t="shared" si="1397"/>
        <v/>
      </c>
      <c r="AS3458" t="str">
        <f t="shared" si="1398"/>
        <v/>
      </c>
      <c r="AT3458" t="str">
        <f t="shared" si="1399"/>
        <v/>
      </c>
      <c r="AU3458" t="str">
        <f t="shared" si="1400"/>
        <v>E2a</v>
      </c>
      <c r="AV3458" s="254" t="str">
        <f t="shared" si="1405"/>
        <v>BiK271E2a---73</v>
      </c>
      <c r="AW3458">
        <f t="shared" si="1402"/>
        <v>14</v>
      </c>
      <c r="AX3458" t="str">
        <f t="shared" si="1403"/>
        <v>0,15-0,5 MW, Bonusregel E2a</v>
      </c>
    </row>
    <row r="3459" spans="1:50" x14ac:dyDescent="0.25">
      <c r="A3459" s="615" t="str">
        <f t="shared" si="1404"/>
        <v>BiK271E2b---14</v>
      </c>
      <c r="B3459" s="372" t="s">
        <v>5548</v>
      </c>
      <c r="C3459" s="375" t="str">
        <f t="shared" si="1383"/>
        <v>Inbetriebnahme 2014</v>
      </c>
      <c r="D3459" s="372" t="str">
        <f t="shared" si="1384"/>
        <v>0,15-0,5 MW, Bonusregel E2b</v>
      </c>
      <c r="E3459" s="372"/>
      <c r="F3459" s="459">
        <f t="shared" si="1385"/>
        <v>19.810000000000002</v>
      </c>
      <c r="G3459" s="544">
        <v>19.810000000000002</v>
      </c>
      <c r="H3459" s="500">
        <f t="shared" si="1386"/>
        <v>15.85</v>
      </c>
      <c r="I3459" s="711"/>
      <c r="J3459" s="669" t="s">
        <v>5805</v>
      </c>
      <c r="K3459" s="23"/>
      <c r="L3459" s="70" t="str">
        <f t="shared" si="1387"/>
        <v/>
      </c>
      <c r="M3459" s="387">
        <f t="shared" si="1388"/>
        <v>19.810000000000002</v>
      </c>
      <c r="N3459" s="41">
        <f t="shared" si="1389"/>
        <v>11.81292</v>
      </c>
      <c r="O3459" s="43"/>
      <c r="P3459" s="65"/>
      <c r="Q3459" s="65"/>
      <c r="R3459" s="65"/>
      <c r="S3459" s="43"/>
      <c r="T3459" s="35" t="s">
        <v>1017</v>
      </c>
      <c r="U3459" s="65"/>
      <c r="V3459" s="43"/>
      <c r="W3459" s="35"/>
      <c r="X3459" s="50"/>
      <c r="AH3459" s="35" t="s">
        <v>1779</v>
      </c>
      <c r="AK3459" t="str">
        <f t="shared" si="1390"/>
        <v/>
      </c>
      <c r="AL3459" t="str">
        <f t="shared" si="1391"/>
        <v/>
      </c>
      <c r="AM3459" t="str">
        <f t="shared" si="1392"/>
        <v/>
      </c>
      <c r="AN3459" t="str">
        <f t="shared" si="1393"/>
        <v/>
      </c>
      <c r="AO3459" t="str">
        <f t="shared" si="1394"/>
        <v/>
      </c>
      <c r="AP3459" t="str">
        <f t="shared" si="1395"/>
        <v>E2b</v>
      </c>
      <c r="AQ3459" t="str">
        <f t="shared" si="1396"/>
        <v/>
      </c>
      <c r="AR3459" t="str">
        <f t="shared" si="1397"/>
        <v/>
      </c>
      <c r="AS3459" t="str">
        <f t="shared" si="1398"/>
        <v/>
      </c>
      <c r="AT3459" t="str">
        <f t="shared" si="1399"/>
        <v/>
      </c>
      <c r="AU3459" t="str">
        <f t="shared" si="1400"/>
        <v>E2b</v>
      </c>
      <c r="AV3459" s="254" t="str">
        <f t="shared" si="1405"/>
        <v>BiK271E2b---73</v>
      </c>
      <c r="AW3459">
        <f t="shared" si="1402"/>
        <v>14</v>
      </c>
      <c r="AX3459" t="str">
        <f t="shared" si="1403"/>
        <v>0,15-0,5 MW, Bonusregel E2b</v>
      </c>
    </row>
    <row r="3460" spans="1:50" x14ac:dyDescent="0.25">
      <c r="A3460" s="615" t="str">
        <f t="shared" si="1404"/>
        <v>BiK271G1----14</v>
      </c>
      <c r="B3460" s="372" t="s">
        <v>5548</v>
      </c>
      <c r="C3460" s="375" t="str">
        <f t="shared" si="1383"/>
        <v>Inbetriebnahme 2014</v>
      </c>
      <c r="D3460" s="372" t="str">
        <f t="shared" si="1384"/>
        <v>0,15-0,5 MW, Bonusregel G1</v>
      </c>
      <c r="E3460" s="372"/>
      <c r="F3460" s="459">
        <f t="shared" si="1385"/>
        <v>14.690000000000001</v>
      </c>
      <c r="G3460" s="544">
        <v>14.690000000000001</v>
      </c>
      <c r="H3460" s="500">
        <f t="shared" si="1386"/>
        <v>11.75</v>
      </c>
      <c r="I3460" s="711"/>
      <c r="J3460" s="669" t="s">
        <v>5805</v>
      </c>
      <c r="K3460" s="23"/>
      <c r="L3460" s="70" t="str">
        <f t="shared" si="1387"/>
        <v/>
      </c>
      <c r="M3460" s="387">
        <f t="shared" si="1388"/>
        <v>14.690000000000001</v>
      </c>
      <c r="N3460" s="41">
        <f t="shared" si="1389"/>
        <v>11.81292</v>
      </c>
      <c r="O3460" s="61"/>
      <c r="P3460" s="65"/>
      <c r="Q3460" s="65"/>
      <c r="R3460" s="65"/>
      <c r="S3460" s="61"/>
      <c r="T3460" s="29"/>
      <c r="U3460" s="65"/>
      <c r="V3460" s="43" t="s">
        <v>1017</v>
      </c>
      <c r="W3460" s="29"/>
      <c r="X3460" s="50"/>
      <c r="AH3460" s="35" t="s">
        <v>1779</v>
      </c>
      <c r="AK3460" t="str">
        <f t="shared" si="1390"/>
        <v/>
      </c>
      <c r="AL3460" t="str">
        <f t="shared" si="1391"/>
        <v/>
      </c>
      <c r="AM3460" t="str">
        <f t="shared" si="1392"/>
        <v/>
      </c>
      <c r="AN3460" t="str">
        <f t="shared" si="1393"/>
        <v/>
      </c>
      <c r="AO3460" t="str">
        <f t="shared" si="1394"/>
        <v/>
      </c>
      <c r="AP3460" t="str">
        <f t="shared" si="1395"/>
        <v/>
      </c>
      <c r="AQ3460" t="str">
        <f t="shared" si="1396"/>
        <v/>
      </c>
      <c r="AR3460" t="str">
        <f t="shared" si="1397"/>
        <v>G1</v>
      </c>
      <c r="AS3460" t="str">
        <f t="shared" si="1398"/>
        <v/>
      </c>
      <c r="AT3460" t="str">
        <f t="shared" si="1399"/>
        <v/>
      </c>
      <c r="AU3460" t="str">
        <f t="shared" si="1400"/>
        <v>G1</v>
      </c>
      <c r="AV3460" s="254" t="str">
        <f t="shared" si="1405"/>
        <v>BiK271G1----73</v>
      </c>
      <c r="AW3460">
        <f t="shared" si="1402"/>
        <v>14</v>
      </c>
      <c r="AX3460" t="str">
        <f t="shared" si="1403"/>
        <v>0,15-0,5 MW, Bonusregel G1</v>
      </c>
    </row>
    <row r="3461" spans="1:50" x14ac:dyDescent="0.25">
      <c r="A3461" s="615" t="str">
        <f t="shared" si="1404"/>
        <v>BiK271E1aG1-14</v>
      </c>
      <c r="B3461" s="372" t="s">
        <v>5548</v>
      </c>
      <c r="C3461" s="375" t="str">
        <f t="shared" si="1383"/>
        <v>Inbetriebnahme 2014</v>
      </c>
      <c r="D3461" s="372" t="str">
        <f t="shared" si="1384"/>
        <v>0,15-0,5 MW, Bonusregeln E1a, G1</v>
      </c>
      <c r="E3461" s="372"/>
      <c r="F3461" s="459">
        <f t="shared" si="1385"/>
        <v>20.689999999999998</v>
      </c>
      <c r="G3461" s="544">
        <v>20.689999999999998</v>
      </c>
      <c r="H3461" s="500">
        <f t="shared" si="1386"/>
        <v>16.55</v>
      </c>
      <c r="I3461" s="711"/>
      <c r="J3461" s="669" t="s">
        <v>5805</v>
      </c>
      <c r="K3461" s="23"/>
      <c r="L3461" s="70" t="str">
        <f t="shared" si="1387"/>
        <v/>
      </c>
      <c r="M3461" s="387">
        <f t="shared" si="1388"/>
        <v>20.689999999999998</v>
      </c>
      <c r="N3461" s="41">
        <f t="shared" si="1389"/>
        <v>11.81292</v>
      </c>
      <c r="O3461" s="43" t="s">
        <v>1017</v>
      </c>
      <c r="P3461" s="65"/>
      <c r="Q3461" s="65"/>
      <c r="R3461" s="65"/>
      <c r="S3461" s="43"/>
      <c r="T3461" s="35"/>
      <c r="U3461" s="65"/>
      <c r="V3461" s="43" t="s">
        <v>1017</v>
      </c>
      <c r="W3461" s="35"/>
      <c r="X3461" s="50"/>
      <c r="AH3461" s="35" t="s">
        <v>1779</v>
      </c>
      <c r="AK3461" t="str">
        <f t="shared" si="1390"/>
        <v>E1a</v>
      </c>
      <c r="AL3461" t="str">
        <f t="shared" si="1391"/>
        <v/>
      </c>
      <c r="AM3461" t="str">
        <f t="shared" si="1392"/>
        <v/>
      </c>
      <c r="AN3461" t="str">
        <f t="shared" si="1393"/>
        <v/>
      </c>
      <c r="AO3461" t="str">
        <f t="shared" si="1394"/>
        <v/>
      </c>
      <c r="AP3461" t="str">
        <f t="shared" si="1395"/>
        <v/>
      </c>
      <c r="AQ3461" t="str">
        <f t="shared" si="1396"/>
        <v/>
      </c>
      <c r="AR3461" t="str">
        <f t="shared" si="1397"/>
        <v>G1</v>
      </c>
      <c r="AS3461" t="str">
        <f t="shared" si="1398"/>
        <v/>
      </c>
      <c r="AT3461" t="str">
        <f t="shared" si="1399"/>
        <v/>
      </c>
      <c r="AU3461" t="str">
        <f t="shared" si="1400"/>
        <v>E1aG1</v>
      </c>
      <c r="AV3461" s="254" t="str">
        <f t="shared" si="1405"/>
        <v>BiK271E1aG1-73</v>
      </c>
      <c r="AW3461">
        <f t="shared" si="1402"/>
        <v>14</v>
      </c>
      <c r="AX3461" t="str">
        <f t="shared" si="1403"/>
        <v>0,15-0,5 MW, Bonusregeln E1a, G1</v>
      </c>
    </row>
    <row r="3462" spans="1:50" x14ac:dyDescent="0.25">
      <c r="A3462" s="615" t="str">
        <f t="shared" si="1404"/>
        <v>BiK271E2aG1-14</v>
      </c>
      <c r="B3462" s="372" t="s">
        <v>5548</v>
      </c>
      <c r="C3462" s="375" t="str">
        <f t="shared" si="1383"/>
        <v>Inbetriebnahme 2014</v>
      </c>
      <c r="D3462" s="372" t="str">
        <f t="shared" si="1384"/>
        <v>0,15-0,5 MW, Bonusregeln E2a, G1</v>
      </c>
      <c r="E3462" s="372"/>
      <c r="F3462" s="459">
        <f t="shared" si="1385"/>
        <v>22.689999999999998</v>
      </c>
      <c r="G3462" s="544">
        <v>22.689999999999998</v>
      </c>
      <c r="H3462" s="500">
        <f t="shared" si="1386"/>
        <v>18.149999999999999</v>
      </c>
      <c r="I3462" s="711"/>
      <c r="J3462" s="669" t="s">
        <v>5805</v>
      </c>
      <c r="K3462" s="23"/>
      <c r="L3462" s="70" t="str">
        <f t="shared" si="1387"/>
        <v/>
      </c>
      <c r="M3462" s="387">
        <f t="shared" si="1388"/>
        <v>22.689999999999998</v>
      </c>
      <c r="N3462" s="41">
        <f t="shared" si="1389"/>
        <v>11.81292</v>
      </c>
      <c r="O3462" s="43"/>
      <c r="P3462" s="65"/>
      <c r="Q3462" s="65"/>
      <c r="R3462" s="65"/>
      <c r="S3462" s="43" t="s">
        <v>1017</v>
      </c>
      <c r="T3462" s="35"/>
      <c r="U3462" s="65"/>
      <c r="V3462" s="43" t="s">
        <v>1017</v>
      </c>
      <c r="W3462" s="35"/>
      <c r="X3462" s="50"/>
      <c r="AH3462" s="35" t="s">
        <v>1779</v>
      </c>
      <c r="AK3462" t="str">
        <f t="shared" si="1390"/>
        <v/>
      </c>
      <c r="AL3462" t="str">
        <f t="shared" si="1391"/>
        <v/>
      </c>
      <c r="AM3462" t="str">
        <f t="shared" si="1392"/>
        <v/>
      </c>
      <c r="AN3462" t="str">
        <f t="shared" si="1393"/>
        <v/>
      </c>
      <c r="AO3462" t="str">
        <f t="shared" si="1394"/>
        <v>E2a</v>
      </c>
      <c r="AP3462" t="str">
        <f t="shared" si="1395"/>
        <v/>
      </c>
      <c r="AQ3462" t="str">
        <f t="shared" si="1396"/>
        <v/>
      </c>
      <c r="AR3462" t="str">
        <f t="shared" si="1397"/>
        <v>G1</v>
      </c>
      <c r="AS3462" t="str">
        <f t="shared" si="1398"/>
        <v/>
      </c>
      <c r="AT3462" t="str">
        <f t="shared" si="1399"/>
        <v/>
      </c>
      <c r="AU3462" t="str">
        <f t="shared" si="1400"/>
        <v>E2aG1</v>
      </c>
      <c r="AV3462" s="254" t="str">
        <f t="shared" si="1405"/>
        <v>BiK271E2aG1-73</v>
      </c>
      <c r="AW3462">
        <f t="shared" si="1402"/>
        <v>14</v>
      </c>
      <c r="AX3462" t="str">
        <f t="shared" si="1403"/>
        <v>0,15-0,5 MW, Bonusregeln E2a, G1</v>
      </c>
    </row>
    <row r="3463" spans="1:50" x14ac:dyDescent="0.25">
      <c r="A3463" s="615" t="str">
        <f t="shared" si="1404"/>
        <v>BiK271E2bG1-14</v>
      </c>
      <c r="B3463" s="372" t="s">
        <v>5548</v>
      </c>
      <c r="C3463" s="375" t="str">
        <f t="shared" si="1383"/>
        <v>Inbetriebnahme 2014</v>
      </c>
      <c r="D3463" s="372" t="str">
        <f t="shared" si="1384"/>
        <v>0,15-0,5 MW, Bonusregeln E2b, G1</v>
      </c>
      <c r="E3463" s="372"/>
      <c r="F3463" s="459">
        <f t="shared" si="1385"/>
        <v>22.689999999999998</v>
      </c>
      <c r="G3463" s="544">
        <v>22.689999999999998</v>
      </c>
      <c r="H3463" s="500">
        <f t="shared" si="1386"/>
        <v>18.149999999999999</v>
      </c>
      <c r="I3463" s="711"/>
      <c r="J3463" s="669" t="s">
        <v>5805</v>
      </c>
      <c r="K3463" s="23"/>
      <c r="L3463" s="70" t="str">
        <f t="shared" si="1387"/>
        <v/>
      </c>
      <c r="M3463" s="387">
        <f t="shared" si="1388"/>
        <v>22.689999999999998</v>
      </c>
      <c r="N3463" s="41">
        <f t="shared" si="1389"/>
        <v>11.81292</v>
      </c>
      <c r="O3463" s="43"/>
      <c r="P3463" s="65"/>
      <c r="Q3463" s="65"/>
      <c r="R3463" s="65"/>
      <c r="S3463" s="43"/>
      <c r="T3463" s="35" t="s">
        <v>1017</v>
      </c>
      <c r="U3463" s="65"/>
      <c r="V3463" s="43" t="s">
        <v>1017</v>
      </c>
      <c r="W3463" s="35"/>
      <c r="X3463" s="50"/>
      <c r="AH3463" s="35" t="s">
        <v>1779</v>
      </c>
      <c r="AK3463" t="str">
        <f t="shared" si="1390"/>
        <v/>
      </c>
      <c r="AL3463" t="str">
        <f t="shared" si="1391"/>
        <v/>
      </c>
      <c r="AM3463" t="str">
        <f t="shared" si="1392"/>
        <v/>
      </c>
      <c r="AN3463" t="str">
        <f t="shared" si="1393"/>
        <v/>
      </c>
      <c r="AO3463" t="str">
        <f t="shared" si="1394"/>
        <v/>
      </c>
      <c r="AP3463" t="str">
        <f t="shared" si="1395"/>
        <v>E2b</v>
      </c>
      <c r="AQ3463" t="str">
        <f t="shared" si="1396"/>
        <v/>
      </c>
      <c r="AR3463" t="str">
        <f t="shared" si="1397"/>
        <v>G1</v>
      </c>
      <c r="AS3463" t="str">
        <f t="shared" si="1398"/>
        <v/>
      </c>
      <c r="AT3463" t="str">
        <f t="shared" si="1399"/>
        <v/>
      </c>
      <c r="AU3463" t="str">
        <f t="shared" si="1400"/>
        <v>E2bG1</v>
      </c>
      <c r="AV3463" s="254" t="str">
        <f t="shared" si="1405"/>
        <v>BiK271E2bG1-73</v>
      </c>
      <c r="AW3463">
        <f t="shared" si="1402"/>
        <v>14</v>
      </c>
      <c r="AX3463" t="str">
        <f t="shared" si="1403"/>
        <v>0,15-0,5 MW, Bonusregeln E2b, G1</v>
      </c>
    </row>
    <row r="3464" spans="1:50" x14ac:dyDescent="0.25">
      <c r="A3464" s="615" t="str">
        <f t="shared" si="1404"/>
        <v>BiK271G2----14</v>
      </c>
      <c r="B3464" s="372" t="s">
        <v>5548</v>
      </c>
      <c r="C3464" s="375" t="str">
        <f t="shared" si="1383"/>
        <v>Inbetriebnahme 2014</v>
      </c>
      <c r="D3464" s="372" t="str">
        <f t="shared" si="1384"/>
        <v>0,15-0,5 MW, Bonusregel G2</v>
      </c>
      <c r="E3464" s="372"/>
      <c r="F3464" s="459">
        <f t="shared" si="1385"/>
        <v>13.73</v>
      </c>
      <c r="G3464" s="544">
        <v>13.73</v>
      </c>
      <c r="H3464" s="500">
        <f t="shared" si="1386"/>
        <v>10.98</v>
      </c>
      <c r="I3464" s="711"/>
      <c r="J3464" s="669" t="s">
        <v>5805</v>
      </c>
      <c r="K3464" s="23"/>
      <c r="L3464" s="70" t="str">
        <f t="shared" si="1387"/>
        <v/>
      </c>
      <c r="M3464" s="387">
        <f t="shared" si="1388"/>
        <v>13.73</v>
      </c>
      <c r="N3464" s="41">
        <f t="shared" si="1389"/>
        <v>11.81292</v>
      </c>
      <c r="O3464" s="61"/>
      <c r="P3464" s="65"/>
      <c r="Q3464" s="65"/>
      <c r="R3464" s="65"/>
      <c r="S3464" s="61"/>
      <c r="T3464" s="29"/>
      <c r="U3464" s="65"/>
      <c r="V3464" s="43"/>
      <c r="W3464" s="35" t="s">
        <v>1017</v>
      </c>
      <c r="X3464" s="50"/>
      <c r="AH3464" s="35" t="s">
        <v>1779</v>
      </c>
      <c r="AK3464" t="str">
        <f t="shared" si="1390"/>
        <v/>
      </c>
      <c r="AL3464" t="str">
        <f t="shared" si="1391"/>
        <v/>
      </c>
      <c r="AM3464" t="str">
        <f t="shared" si="1392"/>
        <v/>
      </c>
      <c r="AN3464" t="str">
        <f t="shared" si="1393"/>
        <v/>
      </c>
      <c r="AO3464" t="str">
        <f t="shared" si="1394"/>
        <v/>
      </c>
      <c r="AP3464" t="str">
        <f t="shared" si="1395"/>
        <v/>
      </c>
      <c r="AQ3464" t="str">
        <f t="shared" si="1396"/>
        <v/>
      </c>
      <c r="AR3464" t="str">
        <f t="shared" si="1397"/>
        <v/>
      </c>
      <c r="AS3464" t="str">
        <f t="shared" si="1398"/>
        <v>G2</v>
      </c>
      <c r="AT3464" t="str">
        <f t="shared" si="1399"/>
        <v/>
      </c>
      <c r="AU3464" t="str">
        <f t="shared" si="1400"/>
        <v>G2</v>
      </c>
      <c r="AV3464" s="254" t="str">
        <f t="shared" si="1405"/>
        <v>BiK271G2----73</v>
      </c>
      <c r="AW3464">
        <f t="shared" si="1402"/>
        <v>14</v>
      </c>
      <c r="AX3464" t="str">
        <f t="shared" si="1403"/>
        <v>0,15-0,5 MW, Bonusregel G2</v>
      </c>
    </row>
    <row r="3465" spans="1:50" x14ac:dyDescent="0.25">
      <c r="A3465" s="615" t="str">
        <f t="shared" si="1404"/>
        <v>BiK271E1aG2-14</v>
      </c>
      <c r="B3465" s="372" t="s">
        <v>5548</v>
      </c>
      <c r="C3465" s="375" t="str">
        <f t="shared" si="1383"/>
        <v>Inbetriebnahme 2014</v>
      </c>
      <c r="D3465" s="372" t="str">
        <f t="shared" si="1384"/>
        <v>0,15-0,5 MW, Bonusregeln E1a, G2</v>
      </c>
      <c r="E3465" s="372"/>
      <c r="F3465" s="459">
        <f t="shared" si="1385"/>
        <v>19.73</v>
      </c>
      <c r="G3465" s="544">
        <v>19.73</v>
      </c>
      <c r="H3465" s="500">
        <f t="shared" si="1386"/>
        <v>15.78</v>
      </c>
      <c r="I3465" s="711"/>
      <c r="J3465" s="669" t="s">
        <v>5805</v>
      </c>
      <c r="K3465" s="23"/>
      <c r="L3465" s="70" t="str">
        <f t="shared" si="1387"/>
        <v/>
      </c>
      <c r="M3465" s="387">
        <f t="shared" si="1388"/>
        <v>19.73</v>
      </c>
      <c r="N3465" s="41">
        <f t="shared" si="1389"/>
        <v>11.81292</v>
      </c>
      <c r="O3465" s="43" t="s">
        <v>1017</v>
      </c>
      <c r="P3465" s="65"/>
      <c r="Q3465" s="65"/>
      <c r="R3465" s="65"/>
      <c r="S3465" s="43"/>
      <c r="T3465" s="35"/>
      <c r="U3465" s="65"/>
      <c r="V3465" s="43"/>
      <c r="W3465" s="35" t="s">
        <v>1017</v>
      </c>
      <c r="X3465" s="50"/>
      <c r="AH3465" s="35" t="s">
        <v>1779</v>
      </c>
      <c r="AK3465" t="str">
        <f t="shared" si="1390"/>
        <v>E1a</v>
      </c>
      <c r="AL3465" t="str">
        <f t="shared" si="1391"/>
        <v/>
      </c>
      <c r="AM3465" t="str">
        <f t="shared" si="1392"/>
        <v/>
      </c>
      <c r="AN3465" t="str">
        <f t="shared" si="1393"/>
        <v/>
      </c>
      <c r="AO3465" t="str">
        <f t="shared" si="1394"/>
        <v/>
      </c>
      <c r="AP3465" t="str">
        <f t="shared" si="1395"/>
        <v/>
      </c>
      <c r="AQ3465" t="str">
        <f t="shared" si="1396"/>
        <v/>
      </c>
      <c r="AR3465" t="str">
        <f t="shared" si="1397"/>
        <v/>
      </c>
      <c r="AS3465" t="str">
        <f t="shared" si="1398"/>
        <v>G2</v>
      </c>
      <c r="AT3465" t="str">
        <f t="shared" si="1399"/>
        <v/>
      </c>
      <c r="AU3465" t="str">
        <f t="shared" si="1400"/>
        <v>E1aG2</v>
      </c>
      <c r="AV3465" s="254" t="str">
        <f t="shared" si="1405"/>
        <v>BiK271E1aG2-73</v>
      </c>
      <c r="AW3465">
        <f t="shared" si="1402"/>
        <v>14</v>
      </c>
      <c r="AX3465" t="str">
        <f t="shared" si="1403"/>
        <v>0,15-0,5 MW, Bonusregeln E1a, G2</v>
      </c>
    </row>
    <row r="3466" spans="1:50" x14ac:dyDescent="0.25">
      <c r="A3466" s="615" t="str">
        <f t="shared" si="1404"/>
        <v>BiK271E2aG2-14</v>
      </c>
      <c r="B3466" s="372" t="s">
        <v>5548</v>
      </c>
      <c r="C3466" s="375" t="str">
        <f t="shared" si="1383"/>
        <v>Inbetriebnahme 2014</v>
      </c>
      <c r="D3466" s="372" t="str">
        <f t="shared" si="1384"/>
        <v>0,15-0,5 MW, Bonusregeln E2a, G2</v>
      </c>
      <c r="E3466" s="372"/>
      <c r="F3466" s="459">
        <f t="shared" si="1385"/>
        <v>21.73</v>
      </c>
      <c r="G3466" s="544">
        <v>21.73</v>
      </c>
      <c r="H3466" s="500">
        <f t="shared" si="1386"/>
        <v>17.38</v>
      </c>
      <c r="I3466" s="711"/>
      <c r="J3466" s="669" t="s">
        <v>5805</v>
      </c>
      <c r="K3466" s="23"/>
      <c r="L3466" s="70" t="str">
        <f t="shared" si="1387"/>
        <v/>
      </c>
      <c r="M3466" s="387">
        <f t="shared" si="1388"/>
        <v>21.73</v>
      </c>
      <c r="N3466" s="41">
        <f t="shared" si="1389"/>
        <v>11.81292</v>
      </c>
      <c r="O3466" s="43"/>
      <c r="P3466" s="65"/>
      <c r="Q3466" s="65"/>
      <c r="R3466" s="65"/>
      <c r="S3466" s="43" t="s">
        <v>1017</v>
      </c>
      <c r="T3466" s="35"/>
      <c r="U3466" s="65"/>
      <c r="V3466" s="43"/>
      <c r="W3466" s="35" t="s">
        <v>1017</v>
      </c>
      <c r="X3466" s="50"/>
      <c r="AH3466" s="35" t="s">
        <v>1779</v>
      </c>
      <c r="AK3466" t="str">
        <f t="shared" si="1390"/>
        <v/>
      </c>
      <c r="AL3466" t="str">
        <f t="shared" si="1391"/>
        <v/>
      </c>
      <c r="AM3466" t="str">
        <f t="shared" si="1392"/>
        <v/>
      </c>
      <c r="AN3466" t="str">
        <f t="shared" si="1393"/>
        <v/>
      </c>
      <c r="AO3466" t="str">
        <f t="shared" si="1394"/>
        <v>E2a</v>
      </c>
      <c r="AP3466" t="str">
        <f t="shared" si="1395"/>
        <v/>
      </c>
      <c r="AQ3466" t="str">
        <f t="shared" si="1396"/>
        <v/>
      </c>
      <c r="AR3466" t="str">
        <f t="shared" si="1397"/>
        <v/>
      </c>
      <c r="AS3466" t="str">
        <f t="shared" si="1398"/>
        <v>G2</v>
      </c>
      <c r="AT3466" t="str">
        <f t="shared" si="1399"/>
        <v/>
      </c>
      <c r="AU3466" t="str">
        <f t="shared" si="1400"/>
        <v>E2aG2</v>
      </c>
      <c r="AV3466" s="254" t="str">
        <f t="shared" si="1405"/>
        <v>BiK271E2aG2-73</v>
      </c>
      <c r="AW3466">
        <f t="shared" si="1402"/>
        <v>14</v>
      </c>
      <c r="AX3466" t="str">
        <f t="shared" si="1403"/>
        <v>0,15-0,5 MW, Bonusregeln E2a, G2</v>
      </c>
    </row>
    <row r="3467" spans="1:50" x14ac:dyDescent="0.25">
      <c r="A3467" s="615" t="str">
        <f t="shared" si="1404"/>
        <v>BiK271E2bG2-14</v>
      </c>
      <c r="B3467" s="372" t="s">
        <v>5548</v>
      </c>
      <c r="C3467" s="375" t="str">
        <f t="shared" si="1383"/>
        <v>Inbetriebnahme 2014</v>
      </c>
      <c r="D3467" s="372" t="str">
        <f t="shared" si="1384"/>
        <v>0,15-0,5 MW, Bonusregeln E2b, G2</v>
      </c>
      <c r="E3467" s="372"/>
      <c r="F3467" s="459">
        <f t="shared" si="1385"/>
        <v>21.73</v>
      </c>
      <c r="G3467" s="544">
        <v>21.73</v>
      </c>
      <c r="H3467" s="500">
        <f t="shared" si="1386"/>
        <v>17.38</v>
      </c>
      <c r="I3467" s="711"/>
      <c r="J3467" s="669" t="s">
        <v>5805</v>
      </c>
      <c r="K3467" s="23"/>
      <c r="L3467" s="70" t="str">
        <f t="shared" si="1387"/>
        <v/>
      </c>
      <c r="M3467" s="387">
        <f t="shared" si="1388"/>
        <v>21.73</v>
      </c>
      <c r="N3467" s="41">
        <f t="shared" si="1389"/>
        <v>11.81292</v>
      </c>
      <c r="O3467" s="43"/>
      <c r="P3467" s="65"/>
      <c r="Q3467" s="65"/>
      <c r="R3467" s="65"/>
      <c r="S3467" s="43"/>
      <c r="T3467" s="35" t="s">
        <v>1017</v>
      </c>
      <c r="U3467" s="65"/>
      <c r="V3467" s="43"/>
      <c r="W3467" s="35" t="s">
        <v>1017</v>
      </c>
      <c r="X3467" s="50"/>
      <c r="AH3467" s="35" t="s">
        <v>1779</v>
      </c>
      <c r="AK3467" t="str">
        <f t="shared" si="1390"/>
        <v/>
      </c>
      <c r="AL3467" t="str">
        <f t="shared" si="1391"/>
        <v/>
      </c>
      <c r="AM3467" t="str">
        <f t="shared" si="1392"/>
        <v/>
      </c>
      <c r="AN3467" t="str">
        <f t="shared" si="1393"/>
        <v/>
      </c>
      <c r="AO3467" t="str">
        <f t="shared" si="1394"/>
        <v/>
      </c>
      <c r="AP3467" t="str">
        <f t="shared" si="1395"/>
        <v>E2b</v>
      </c>
      <c r="AQ3467" t="str">
        <f t="shared" si="1396"/>
        <v/>
      </c>
      <c r="AR3467" t="str">
        <f t="shared" si="1397"/>
        <v/>
      </c>
      <c r="AS3467" t="str">
        <f t="shared" si="1398"/>
        <v>G2</v>
      </c>
      <c r="AT3467" t="str">
        <f t="shared" si="1399"/>
        <v/>
      </c>
      <c r="AU3467" t="str">
        <f t="shared" si="1400"/>
        <v>E2bG2</v>
      </c>
      <c r="AV3467" s="254" t="str">
        <f t="shared" si="1405"/>
        <v>BiK271E2bG2-73</v>
      </c>
      <c r="AW3467">
        <f t="shared" si="1402"/>
        <v>14</v>
      </c>
      <c r="AX3467" t="str">
        <f t="shared" si="1403"/>
        <v>0,15-0,5 MW, Bonusregeln E2b, G2</v>
      </c>
    </row>
    <row r="3468" spans="1:50" x14ac:dyDescent="0.25">
      <c r="A3468" s="615" t="str">
        <f t="shared" si="1404"/>
        <v>BiK271G3----14</v>
      </c>
      <c r="B3468" s="372" t="s">
        <v>5548</v>
      </c>
      <c r="C3468" s="375" t="str">
        <f t="shared" si="1383"/>
        <v>Inbetriebnahme 2014</v>
      </c>
      <c r="D3468" s="372" t="str">
        <f t="shared" si="1384"/>
        <v>0,15-0,5 MW, Bonusregel G3</v>
      </c>
      <c r="E3468" s="372"/>
      <c r="F3468" s="459">
        <f t="shared" si="1385"/>
        <v>12.77</v>
      </c>
      <c r="G3468" s="544">
        <v>12.77</v>
      </c>
      <c r="H3468" s="500">
        <f t="shared" si="1386"/>
        <v>10.220000000000001</v>
      </c>
      <c r="I3468" s="711"/>
      <c r="J3468" s="669" t="s">
        <v>5805</v>
      </c>
      <c r="K3468" s="23"/>
      <c r="L3468" s="70" t="str">
        <f t="shared" si="1387"/>
        <v/>
      </c>
      <c r="M3468" s="387">
        <f t="shared" si="1388"/>
        <v>12.77</v>
      </c>
      <c r="N3468" s="41">
        <f t="shared" si="1389"/>
        <v>11.81292</v>
      </c>
      <c r="O3468" s="61"/>
      <c r="P3468" s="65"/>
      <c r="Q3468" s="65"/>
      <c r="R3468" s="65"/>
      <c r="S3468" s="61"/>
      <c r="T3468" s="29"/>
      <c r="U3468" s="65"/>
      <c r="V3468" s="43"/>
      <c r="W3468" s="35"/>
      <c r="X3468" s="50" t="s">
        <v>1017</v>
      </c>
      <c r="AH3468" s="35" t="s">
        <v>1779</v>
      </c>
      <c r="AK3468" t="str">
        <f t="shared" si="1390"/>
        <v/>
      </c>
      <c r="AL3468" t="str">
        <f t="shared" si="1391"/>
        <v/>
      </c>
      <c r="AM3468" t="str">
        <f t="shared" si="1392"/>
        <v/>
      </c>
      <c r="AN3468" t="str">
        <f t="shared" si="1393"/>
        <v/>
      </c>
      <c r="AO3468" t="str">
        <f t="shared" si="1394"/>
        <v/>
      </c>
      <c r="AP3468" t="str">
        <f t="shared" si="1395"/>
        <v/>
      </c>
      <c r="AQ3468" t="str">
        <f t="shared" si="1396"/>
        <v/>
      </c>
      <c r="AR3468" t="str">
        <f t="shared" si="1397"/>
        <v/>
      </c>
      <c r="AS3468" t="str">
        <f t="shared" si="1398"/>
        <v/>
      </c>
      <c r="AT3468" t="str">
        <f t="shared" si="1399"/>
        <v>G3</v>
      </c>
      <c r="AU3468" t="str">
        <f t="shared" si="1400"/>
        <v>G3</v>
      </c>
      <c r="AV3468" s="254" t="str">
        <f t="shared" si="1405"/>
        <v>BiK271G3----73</v>
      </c>
      <c r="AW3468">
        <f t="shared" si="1402"/>
        <v>14</v>
      </c>
      <c r="AX3468" t="str">
        <f t="shared" si="1403"/>
        <v>0,15-0,5 MW, Bonusregel G3</v>
      </c>
    </row>
    <row r="3469" spans="1:50" x14ac:dyDescent="0.25">
      <c r="A3469" s="615" t="str">
        <f t="shared" si="1404"/>
        <v>BiK271E1aG3-14</v>
      </c>
      <c r="B3469" s="372" t="s">
        <v>5548</v>
      </c>
      <c r="C3469" s="375" t="str">
        <f t="shared" si="1383"/>
        <v>Inbetriebnahme 2014</v>
      </c>
      <c r="D3469" s="372" t="str">
        <f t="shared" si="1384"/>
        <v>0,15-0,5 MW, Bonusregeln E1a, G3</v>
      </c>
      <c r="E3469" s="372"/>
      <c r="F3469" s="459">
        <f t="shared" si="1385"/>
        <v>18.77</v>
      </c>
      <c r="G3469" s="544">
        <v>18.77</v>
      </c>
      <c r="H3469" s="500">
        <f t="shared" si="1386"/>
        <v>15.02</v>
      </c>
      <c r="I3469" s="711"/>
      <c r="J3469" s="669" t="s">
        <v>5805</v>
      </c>
      <c r="K3469" s="23"/>
      <c r="L3469" s="70" t="str">
        <f t="shared" si="1387"/>
        <v/>
      </c>
      <c r="M3469" s="387">
        <f t="shared" si="1388"/>
        <v>18.77</v>
      </c>
      <c r="N3469" s="41">
        <f t="shared" si="1389"/>
        <v>11.81292</v>
      </c>
      <c r="O3469" s="43" t="s">
        <v>1017</v>
      </c>
      <c r="P3469" s="65"/>
      <c r="Q3469" s="65"/>
      <c r="R3469" s="65"/>
      <c r="S3469" s="43"/>
      <c r="T3469" s="35"/>
      <c r="U3469" s="65"/>
      <c r="V3469" s="43"/>
      <c r="W3469" s="35"/>
      <c r="X3469" s="50" t="s">
        <v>1017</v>
      </c>
      <c r="AH3469" s="35" t="s">
        <v>1779</v>
      </c>
      <c r="AK3469" t="str">
        <f t="shared" si="1390"/>
        <v>E1a</v>
      </c>
      <c r="AL3469" t="str">
        <f t="shared" si="1391"/>
        <v/>
      </c>
      <c r="AM3469" t="str">
        <f t="shared" si="1392"/>
        <v/>
      </c>
      <c r="AN3469" t="str">
        <f t="shared" si="1393"/>
        <v/>
      </c>
      <c r="AO3469" t="str">
        <f t="shared" si="1394"/>
        <v/>
      </c>
      <c r="AP3469" t="str">
        <f t="shared" si="1395"/>
        <v/>
      </c>
      <c r="AQ3469" t="str">
        <f t="shared" si="1396"/>
        <v/>
      </c>
      <c r="AR3469" t="str">
        <f t="shared" si="1397"/>
        <v/>
      </c>
      <c r="AS3469" t="str">
        <f t="shared" si="1398"/>
        <v/>
      </c>
      <c r="AT3469" t="str">
        <f t="shared" si="1399"/>
        <v>G3</v>
      </c>
      <c r="AU3469" t="str">
        <f t="shared" si="1400"/>
        <v>E1aG3</v>
      </c>
      <c r="AV3469" s="254" t="str">
        <f t="shared" si="1405"/>
        <v>BiK271E1aG3-73</v>
      </c>
      <c r="AW3469">
        <f t="shared" si="1402"/>
        <v>14</v>
      </c>
      <c r="AX3469" t="str">
        <f t="shared" si="1403"/>
        <v>0,15-0,5 MW, Bonusregeln E1a, G3</v>
      </c>
    </row>
    <row r="3470" spans="1:50" x14ac:dyDescent="0.25">
      <c r="A3470" s="615" t="str">
        <f t="shared" si="1404"/>
        <v>BiK271E2aG3-14</v>
      </c>
      <c r="B3470" s="372" t="s">
        <v>5548</v>
      </c>
      <c r="C3470" s="375" t="str">
        <f t="shared" si="1383"/>
        <v>Inbetriebnahme 2014</v>
      </c>
      <c r="D3470" s="372" t="str">
        <f t="shared" si="1384"/>
        <v>0,15-0,5 MW, Bonusregeln E2a, G3</v>
      </c>
      <c r="E3470" s="372"/>
      <c r="F3470" s="459">
        <f t="shared" si="1385"/>
        <v>20.770000000000003</v>
      </c>
      <c r="G3470" s="544">
        <v>20.770000000000003</v>
      </c>
      <c r="H3470" s="500">
        <f t="shared" si="1386"/>
        <v>16.62</v>
      </c>
      <c r="I3470" s="711"/>
      <c r="J3470" s="669" t="s">
        <v>5805</v>
      </c>
      <c r="K3470" s="23"/>
      <c r="L3470" s="70" t="str">
        <f t="shared" si="1387"/>
        <v/>
      </c>
      <c r="M3470" s="387">
        <f t="shared" si="1388"/>
        <v>20.770000000000003</v>
      </c>
      <c r="N3470" s="41">
        <f t="shared" si="1389"/>
        <v>11.81292</v>
      </c>
      <c r="O3470" s="43"/>
      <c r="P3470" s="65"/>
      <c r="Q3470" s="65"/>
      <c r="R3470" s="65"/>
      <c r="S3470" s="43" t="s">
        <v>1017</v>
      </c>
      <c r="T3470" s="35"/>
      <c r="U3470" s="65"/>
      <c r="V3470" s="43"/>
      <c r="W3470" s="35"/>
      <c r="X3470" s="50" t="s">
        <v>1017</v>
      </c>
      <c r="AH3470" s="35" t="s">
        <v>1779</v>
      </c>
      <c r="AK3470" t="str">
        <f t="shared" si="1390"/>
        <v/>
      </c>
      <c r="AL3470" t="str">
        <f t="shared" si="1391"/>
        <v/>
      </c>
      <c r="AM3470" t="str">
        <f t="shared" si="1392"/>
        <v/>
      </c>
      <c r="AN3470" t="str">
        <f t="shared" si="1393"/>
        <v/>
      </c>
      <c r="AO3470" t="str">
        <f t="shared" si="1394"/>
        <v>E2a</v>
      </c>
      <c r="AP3470" t="str">
        <f t="shared" si="1395"/>
        <v/>
      </c>
      <c r="AQ3470" t="str">
        <f t="shared" si="1396"/>
        <v/>
      </c>
      <c r="AR3470" t="str">
        <f t="shared" si="1397"/>
        <v/>
      </c>
      <c r="AS3470" t="str">
        <f t="shared" si="1398"/>
        <v/>
      </c>
      <c r="AT3470" t="str">
        <f t="shared" si="1399"/>
        <v>G3</v>
      </c>
      <c r="AU3470" t="str">
        <f t="shared" si="1400"/>
        <v>E2aG3</v>
      </c>
      <c r="AV3470" s="254" t="str">
        <f t="shared" si="1405"/>
        <v>BiK271E2aG3-73</v>
      </c>
      <c r="AW3470">
        <f t="shared" si="1402"/>
        <v>14</v>
      </c>
      <c r="AX3470" t="str">
        <f t="shared" si="1403"/>
        <v>0,15-0,5 MW, Bonusregeln E2a, G3</v>
      </c>
    </row>
    <row r="3471" spans="1:50" x14ac:dyDescent="0.25">
      <c r="A3471" s="615" t="str">
        <f t="shared" si="1404"/>
        <v>BiK271E2bG3-14</v>
      </c>
      <c r="B3471" s="372" t="s">
        <v>5548</v>
      </c>
      <c r="C3471" s="375" t="str">
        <f t="shared" si="1383"/>
        <v>Inbetriebnahme 2014</v>
      </c>
      <c r="D3471" s="372" t="str">
        <f t="shared" si="1384"/>
        <v>0,15-0,5 MW, Bonusregeln E2b, G3</v>
      </c>
      <c r="E3471" s="372"/>
      <c r="F3471" s="459">
        <f t="shared" si="1385"/>
        <v>20.770000000000003</v>
      </c>
      <c r="G3471" s="544">
        <v>20.770000000000003</v>
      </c>
      <c r="H3471" s="500">
        <f t="shared" si="1386"/>
        <v>16.62</v>
      </c>
      <c r="I3471" s="711"/>
      <c r="J3471" s="669" t="s">
        <v>5805</v>
      </c>
      <c r="K3471" s="23"/>
      <c r="L3471" s="70" t="str">
        <f t="shared" si="1387"/>
        <v/>
      </c>
      <c r="M3471" s="387">
        <f t="shared" si="1388"/>
        <v>20.770000000000003</v>
      </c>
      <c r="N3471" s="41">
        <f t="shared" si="1389"/>
        <v>11.81292</v>
      </c>
      <c r="O3471" s="43"/>
      <c r="P3471" s="65"/>
      <c r="Q3471" s="65"/>
      <c r="R3471" s="65"/>
      <c r="S3471" s="43"/>
      <c r="T3471" s="35" t="s">
        <v>1017</v>
      </c>
      <c r="U3471" s="65"/>
      <c r="V3471" s="43"/>
      <c r="W3471" s="35"/>
      <c r="X3471" s="50" t="s">
        <v>1017</v>
      </c>
      <c r="AH3471" s="35" t="s">
        <v>1779</v>
      </c>
      <c r="AK3471" t="str">
        <f t="shared" si="1390"/>
        <v/>
      </c>
      <c r="AL3471" t="str">
        <f t="shared" si="1391"/>
        <v/>
      </c>
      <c r="AM3471" t="str">
        <f t="shared" si="1392"/>
        <v/>
      </c>
      <c r="AN3471" t="str">
        <f t="shared" si="1393"/>
        <v/>
      </c>
      <c r="AO3471" t="str">
        <f t="shared" si="1394"/>
        <v/>
      </c>
      <c r="AP3471" t="str">
        <f t="shared" si="1395"/>
        <v>E2b</v>
      </c>
      <c r="AQ3471" t="str">
        <f t="shared" si="1396"/>
        <v/>
      </c>
      <c r="AR3471" t="str">
        <f t="shared" si="1397"/>
        <v/>
      </c>
      <c r="AS3471" t="str">
        <f t="shared" si="1398"/>
        <v/>
      </c>
      <c r="AT3471" t="str">
        <f t="shared" si="1399"/>
        <v>G3</v>
      </c>
      <c r="AU3471" t="str">
        <f t="shared" si="1400"/>
        <v>E2bG3</v>
      </c>
      <c r="AV3471" s="254" t="str">
        <f t="shared" si="1405"/>
        <v>BiK271E2bG3-73</v>
      </c>
      <c r="AW3471">
        <f t="shared" si="1402"/>
        <v>14</v>
      </c>
      <c r="AX3471" t="str">
        <f t="shared" si="1403"/>
        <v>0,15-0,5 MW, Bonusregeln E2b, G3</v>
      </c>
    </row>
    <row r="3472" spans="1:50" x14ac:dyDescent="0.25">
      <c r="A3472" s="615" t="str">
        <f t="shared" ref="A3472:A3491" si="1406">"BiK272"&amp;AU3472&amp;RIGHT("------",6-LEN(AU3472))&amp;RIGHT($M$3439,2)</f>
        <v>BiK272------14</v>
      </c>
      <c r="B3472" s="372" t="s">
        <v>5548</v>
      </c>
      <c r="C3472" s="375" t="str">
        <f t="shared" ref="C3472:C3503" si="1407">"Inbetriebnahme "&amp;$M$3439</f>
        <v>Inbetriebnahme 2014</v>
      </c>
      <c r="D3472" s="372" t="str">
        <f t="shared" ref="D3472:D3503" si="1408">IF(COUNTA(O3472:X3472)=0,AH3472,AH3472&amp;", Bonusregel"&amp;IF(AND(COUNTA(O3472:U3472)&gt;0,COUNTA(V3472:X3472)&gt;0),"n "&amp;AK3472&amp;AL3472&amp;AM3472&amp;AN3472&amp;AO3472&amp;AP3472&amp;AQ3472&amp;", "&amp;AR3472&amp;AS3472&amp;AT3472," "&amp;AK3472&amp;AL3472&amp;AM3472&amp;AN3472&amp;AO3472&amp;AP3472&amp;AQ3472&amp;AR3472&amp;AS3472&amp;AT3472))</f>
        <v>0,5-0,75 MW</v>
      </c>
      <c r="E3472" s="372"/>
      <c r="F3472" s="459">
        <f t="shared" ref="F3472:F3503" si="1409">M3472</f>
        <v>10.56</v>
      </c>
      <c r="G3472" s="544">
        <v>10.56</v>
      </c>
      <c r="H3472" s="500">
        <f t="shared" ref="H3472:H3503" si="1410">IF(ISNUMBER(G3472),ROUND(0.8*G3472,2),"")</f>
        <v>8.4499999999999993</v>
      </c>
      <c r="I3472" s="711"/>
      <c r="J3472" s="669" t="s">
        <v>5805</v>
      </c>
      <c r="K3472" s="23"/>
      <c r="L3472" s="70" t="str">
        <f t="shared" ref="L3472:L3503" si="1411">IF(F3472=M3472,"",FALSE)</f>
        <v/>
      </c>
      <c r="M3472" s="387">
        <f t="shared" ref="M3472:M3503" si="1412">ROUND(N3472,2)+SUMIF(O3472:X3472,"x",$O$3439:$X$3439)</f>
        <v>10.56</v>
      </c>
      <c r="N3472" s="41">
        <f t="shared" ref="N3472:N3503" si="1413">N3393*(1-$Y$3439)</f>
        <v>10.564399999999999</v>
      </c>
      <c r="O3472" s="196"/>
      <c r="P3472" s="35"/>
      <c r="Q3472" s="65"/>
      <c r="R3472" s="35"/>
      <c r="S3472" s="43"/>
      <c r="T3472" s="65"/>
      <c r="U3472" s="35"/>
      <c r="V3472" s="43"/>
      <c r="W3472" s="35"/>
      <c r="X3472" s="50"/>
      <c r="AH3472" s="35" t="s">
        <v>1778</v>
      </c>
      <c r="AK3472" t="str">
        <f t="shared" ref="AK3472:AK3503" si="1414">IF(O3472="x",O$3438,"")</f>
        <v/>
      </c>
      <c r="AL3472" t="str">
        <f t="shared" ref="AL3472:AL3503" si="1415">IF(P3472="x",P$3438,"")</f>
        <v/>
      </c>
      <c r="AM3472" t="str">
        <f t="shared" ref="AM3472:AM3503" si="1416">IF(Q3472="x",Q$3438,"")</f>
        <v/>
      </c>
      <c r="AN3472" t="str">
        <f t="shared" ref="AN3472:AN3503" si="1417">IF(R3472="x",R$3438,"")</f>
        <v/>
      </c>
      <c r="AO3472" t="str">
        <f t="shared" ref="AO3472:AO3503" si="1418">IF(S3472="x",S$3438,"")</f>
        <v/>
      </c>
      <c r="AP3472" t="str">
        <f t="shared" ref="AP3472:AP3503" si="1419">IF(T3472="x",T$3438,"")</f>
        <v/>
      </c>
      <c r="AQ3472" t="str">
        <f t="shared" ref="AQ3472:AQ3503" si="1420">IF(U3472="x",U$3438,"")</f>
        <v/>
      </c>
      <c r="AR3472" t="str">
        <f t="shared" ref="AR3472:AR3503" si="1421">IF(V3472="x",V$3438,"")</f>
        <v/>
      </c>
      <c r="AS3472" t="str">
        <f t="shared" ref="AS3472:AS3503" si="1422">IF(W3472="x",W$3438,"")</f>
        <v/>
      </c>
      <c r="AT3472" t="str">
        <f t="shared" ref="AT3472:AT3503" si="1423">IF(X3472="x",X$3438,"")</f>
        <v/>
      </c>
      <c r="AU3472" t="str">
        <f t="shared" ref="AU3472:AU3503" si="1424">AK3472&amp;AL3472&amp;AM3472&amp;AN3472&amp;AO3472&amp;AP3472&amp;AQ3472&amp;AR3472&amp;AS3472&amp;AT3472</f>
        <v/>
      </c>
      <c r="AV3472" s="254" t="str">
        <f t="shared" ref="AV3472:AV3491" si="1425">"BiK272"&amp;AU3472&amp;RIGHT("------",6-LEN(AU3472))&amp;RIGHT($M$3272,2)</f>
        <v>BiK272------73</v>
      </c>
      <c r="AW3472">
        <f t="shared" ref="AW3472:AW3503" si="1426">LEN(AV3472)</f>
        <v>14</v>
      </c>
      <c r="AX3472" t="str">
        <f t="shared" ref="AX3472:AX3503" si="1427">IF(COUNTA(O3472:X3472)=0,AH3472,AH3472&amp;", Bonusregel"&amp;IF(AND(COUNTA(O3472:U3472)&gt;0,COUNTA(V3472:X3472)&gt;0),"n "&amp;AK3472&amp;AL3472&amp;AM3472&amp;AN3472&amp;AO3472&amp;AP3472&amp;AQ3472&amp;", "&amp;AR3472&amp;AS3472&amp;AT3472," "&amp;AK3472&amp;AL3472&amp;AM3472&amp;AN3472&amp;AO3472&amp;AP3472&amp;AQ3472&amp;AR3472&amp;AS3472&amp;AT3472))</f>
        <v>0,5-0,75 MW</v>
      </c>
    </row>
    <row r="3473" spans="1:50" x14ac:dyDescent="0.25">
      <c r="A3473" s="615" t="str">
        <f t="shared" si="1406"/>
        <v>BiK272E1b---14</v>
      </c>
      <c r="B3473" s="372" t="s">
        <v>5548</v>
      </c>
      <c r="C3473" s="375" t="str">
        <f t="shared" si="1407"/>
        <v>Inbetriebnahme 2014</v>
      </c>
      <c r="D3473" s="372" t="str">
        <f t="shared" si="1408"/>
        <v>0,5-0,75 MW, Bonusregel E1b</v>
      </c>
      <c r="E3473" s="372"/>
      <c r="F3473" s="459">
        <f t="shared" si="1409"/>
        <v>15.56</v>
      </c>
      <c r="G3473" s="544">
        <v>15.56</v>
      </c>
      <c r="H3473" s="500">
        <f t="shared" si="1410"/>
        <v>12.45</v>
      </c>
      <c r="I3473" s="711"/>
      <c r="J3473" s="669" t="s">
        <v>5805</v>
      </c>
      <c r="K3473" s="23"/>
      <c r="L3473" s="70" t="str">
        <f t="shared" si="1411"/>
        <v/>
      </c>
      <c r="M3473" s="387">
        <f t="shared" si="1412"/>
        <v>15.56</v>
      </c>
      <c r="N3473" s="41">
        <f t="shared" si="1413"/>
        <v>10.564399999999999</v>
      </c>
      <c r="O3473" s="196"/>
      <c r="P3473" s="35" t="s">
        <v>1017</v>
      </c>
      <c r="Q3473" s="65"/>
      <c r="R3473" s="35"/>
      <c r="S3473" s="43"/>
      <c r="T3473" s="65"/>
      <c r="U3473" s="35"/>
      <c r="V3473" s="43"/>
      <c r="W3473" s="35"/>
      <c r="X3473" s="50"/>
      <c r="AH3473" s="35" t="s">
        <v>1778</v>
      </c>
      <c r="AK3473" t="str">
        <f t="shared" si="1414"/>
        <v/>
      </c>
      <c r="AL3473" t="str">
        <f t="shared" si="1415"/>
        <v>E1b</v>
      </c>
      <c r="AM3473" t="str">
        <f t="shared" si="1416"/>
        <v/>
      </c>
      <c r="AN3473" t="str">
        <f t="shared" si="1417"/>
        <v/>
      </c>
      <c r="AO3473" t="str">
        <f t="shared" si="1418"/>
        <v/>
      </c>
      <c r="AP3473" t="str">
        <f t="shared" si="1419"/>
        <v/>
      </c>
      <c r="AQ3473" t="str">
        <f t="shared" si="1420"/>
        <v/>
      </c>
      <c r="AR3473" t="str">
        <f t="shared" si="1421"/>
        <v/>
      </c>
      <c r="AS3473" t="str">
        <f t="shared" si="1422"/>
        <v/>
      </c>
      <c r="AT3473" t="str">
        <f t="shared" si="1423"/>
        <v/>
      </c>
      <c r="AU3473" t="str">
        <f t="shared" si="1424"/>
        <v>E1b</v>
      </c>
      <c r="AV3473" s="254" t="str">
        <f t="shared" si="1425"/>
        <v>BiK272E1b---73</v>
      </c>
      <c r="AW3473">
        <f t="shared" si="1426"/>
        <v>14</v>
      </c>
      <c r="AX3473" t="str">
        <f t="shared" si="1427"/>
        <v>0,5-0,75 MW, Bonusregel E1b</v>
      </c>
    </row>
    <row r="3474" spans="1:50" x14ac:dyDescent="0.25">
      <c r="A3474" s="615" t="str">
        <f t="shared" si="1406"/>
        <v>BiK272E1d---14</v>
      </c>
      <c r="B3474" s="372" t="s">
        <v>5548</v>
      </c>
      <c r="C3474" s="375" t="str">
        <f t="shared" si="1407"/>
        <v>Inbetriebnahme 2014</v>
      </c>
      <c r="D3474" s="372" t="str">
        <f t="shared" si="1408"/>
        <v>0,5-0,75 MW, Bonusregel E1d</v>
      </c>
      <c r="E3474" s="372"/>
      <c r="F3474" s="459">
        <f t="shared" si="1409"/>
        <v>13.06</v>
      </c>
      <c r="G3474" s="544">
        <v>13.06</v>
      </c>
      <c r="H3474" s="500">
        <f t="shared" si="1410"/>
        <v>10.45</v>
      </c>
      <c r="I3474" s="711"/>
      <c r="J3474" s="669" t="s">
        <v>5805</v>
      </c>
      <c r="K3474" s="23"/>
      <c r="L3474" s="70" t="str">
        <f t="shared" si="1411"/>
        <v/>
      </c>
      <c r="M3474" s="387">
        <f t="shared" si="1412"/>
        <v>13.06</v>
      </c>
      <c r="N3474" s="41">
        <f t="shared" si="1413"/>
        <v>10.564399999999999</v>
      </c>
      <c r="O3474" s="196"/>
      <c r="P3474" s="35"/>
      <c r="Q3474" s="65"/>
      <c r="R3474" s="35" t="s">
        <v>1017</v>
      </c>
      <c r="S3474" s="43"/>
      <c r="T3474" s="65"/>
      <c r="U3474" s="35"/>
      <c r="V3474" s="43"/>
      <c r="W3474" s="35"/>
      <c r="X3474" s="50"/>
      <c r="AH3474" s="35" t="s">
        <v>1778</v>
      </c>
      <c r="AK3474" t="str">
        <f t="shared" si="1414"/>
        <v/>
      </c>
      <c r="AL3474" t="str">
        <f t="shared" si="1415"/>
        <v/>
      </c>
      <c r="AM3474" t="str">
        <f t="shared" si="1416"/>
        <v/>
      </c>
      <c r="AN3474" t="str">
        <f t="shared" si="1417"/>
        <v>E1d</v>
      </c>
      <c r="AO3474" t="str">
        <f t="shared" si="1418"/>
        <v/>
      </c>
      <c r="AP3474" t="str">
        <f t="shared" si="1419"/>
        <v/>
      </c>
      <c r="AQ3474" t="str">
        <f t="shared" si="1420"/>
        <v/>
      </c>
      <c r="AR3474" t="str">
        <f t="shared" si="1421"/>
        <v/>
      </c>
      <c r="AS3474" t="str">
        <f t="shared" si="1422"/>
        <v/>
      </c>
      <c r="AT3474" t="str">
        <f t="shared" si="1423"/>
        <v/>
      </c>
      <c r="AU3474" t="str">
        <f t="shared" si="1424"/>
        <v>E1d</v>
      </c>
      <c r="AV3474" s="254" t="str">
        <f t="shared" si="1425"/>
        <v>BiK272E1d---73</v>
      </c>
      <c r="AW3474">
        <f t="shared" si="1426"/>
        <v>14</v>
      </c>
      <c r="AX3474" t="str">
        <f t="shared" si="1427"/>
        <v>0,5-0,75 MW, Bonusregel E1d</v>
      </c>
    </row>
    <row r="3475" spans="1:50" x14ac:dyDescent="0.25">
      <c r="A3475" s="615" t="str">
        <f t="shared" si="1406"/>
        <v>BiK272E2a---14</v>
      </c>
      <c r="B3475" s="372" t="s">
        <v>5548</v>
      </c>
      <c r="C3475" s="375" t="str">
        <f t="shared" si="1407"/>
        <v>Inbetriebnahme 2014</v>
      </c>
      <c r="D3475" s="372" t="str">
        <f t="shared" si="1408"/>
        <v>0,5-0,75 MW, Bonusregel E2a</v>
      </c>
      <c r="E3475" s="372"/>
      <c r="F3475" s="459">
        <f t="shared" si="1409"/>
        <v>18.560000000000002</v>
      </c>
      <c r="G3475" s="544">
        <v>18.560000000000002</v>
      </c>
      <c r="H3475" s="500">
        <f t="shared" si="1410"/>
        <v>14.85</v>
      </c>
      <c r="I3475" s="711"/>
      <c r="J3475" s="669" t="s">
        <v>5805</v>
      </c>
      <c r="K3475" s="23"/>
      <c r="L3475" s="70" t="str">
        <f t="shared" si="1411"/>
        <v/>
      </c>
      <c r="M3475" s="387">
        <f t="shared" si="1412"/>
        <v>18.560000000000002</v>
      </c>
      <c r="N3475" s="41">
        <f t="shared" si="1413"/>
        <v>10.564399999999999</v>
      </c>
      <c r="O3475" s="196"/>
      <c r="P3475" s="35"/>
      <c r="Q3475" s="65"/>
      <c r="R3475" s="35"/>
      <c r="S3475" s="43" t="s">
        <v>1017</v>
      </c>
      <c r="T3475" s="65"/>
      <c r="U3475" s="35"/>
      <c r="V3475" s="43"/>
      <c r="W3475" s="35"/>
      <c r="X3475" s="50"/>
      <c r="AH3475" s="35" t="s">
        <v>1778</v>
      </c>
      <c r="AK3475" t="str">
        <f t="shared" si="1414"/>
        <v/>
      </c>
      <c r="AL3475" t="str">
        <f t="shared" si="1415"/>
        <v/>
      </c>
      <c r="AM3475" t="str">
        <f t="shared" si="1416"/>
        <v/>
      </c>
      <c r="AN3475" t="str">
        <f t="shared" si="1417"/>
        <v/>
      </c>
      <c r="AO3475" t="str">
        <f t="shared" si="1418"/>
        <v>E2a</v>
      </c>
      <c r="AP3475" t="str">
        <f t="shared" si="1419"/>
        <v/>
      </c>
      <c r="AQ3475" t="str">
        <f t="shared" si="1420"/>
        <v/>
      </c>
      <c r="AR3475" t="str">
        <f t="shared" si="1421"/>
        <v/>
      </c>
      <c r="AS3475" t="str">
        <f t="shared" si="1422"/>
        <v/>
      </c>
      <c r="AT3475" t="str">
        <f t="shared" si="1423"/>
        <v/>
      </c>
      <c r="AU3475" t="str">
        <f t="shared" si="1424"/>
        <v>E2a</v>
      </c>
      <c r="AV3475" s="254" t="str">
        <f t="shared" si="1425"/>
        <v>BiK272E2a---73</v>
      </c>
      <c r="AW3475">
        <f t="shared" si="1426"/>
        <v>14</v>
      </c>
      <c r="AX3475" t="str">
        <f t="shared" si="1427"/>
        <v>0,5-0,75 MW, Bonusregel E2a</v>
      </c>
    </row>
    <row r="3476" spans="1:50" x14ac:dyDescent="0.25">
      <c r="A3476" s="615" t="str">
        <f t="shared" si="1406"/>
        <v>BiK272E2c---14</v>
      </c>
      <c r="B3476" s="372" t="s">
        <v>5548</v>
      </c>
      <c r="C3476" s="375" t="str">
        <f t="shared" si="1407"/>
        <v>Inbetriebnahme 2014</v>
      </c>
      <c r="D3476" s="372" t="str">
        <f t="shared" si="1408"/>
        <v>0,5-0,75 MW, Bonusregel E2c</v>
      </c>
      <c r="E3476" s="372"/>
      <c r="F3476" s="459">
        <f t="shared" si="1409"/>
        <v>16.560000000000002</v>
      </c>
      <c r="G3476" s="544">
        <v>16.560000000000002</v>
      </c>
      <c r="H3476" s="500">
        <f t="shared" si="1410"/>
        <v>13.25</v>
      </c>
      <c r="I3476" s="711"/>
      <c r="J3476" s="669" t="s">
        <v>5805</v>
      </c>
      <c r="K3476" s="23"/>
      <c r="L3476" s="70" t="str">
        <f t="shared" si="1411"/>
        <v/>
      </c>
      <c r="M3476" s="387">
        <f t="shared" si="1412"/>
        <v>16.560000000000002</v>
      </c>
      <c r="N3476" s="41">
        <f t="shared" si="1413"/>
        <v>10.564399999999999</v>
      </c>
      <c r="O3476" s="196"/>
      <c r="P3476" s="35"/>
      <c r="Q3476" s="65"/>
      <c r="R3476" s="35"/>
      <c r="S3476" s="43"/>
      <c r="T3476" s="65"/>
      <c r="U3476" s="35" t="s">
        <v>1017</v>
      </c>
      <c r="V3476" s="43"/>
      <c r="W3476" s="35"/>
      <c r="X3476" s="50"/>
      <c r="AH3476" s="35" t="s">
        <v>1778</v>
      </c>
      <c r="AK3476" t="str">
        <f t="shared" si="1414"/>
        <v/>
      </c>
      <c r="AL3476" t="str">
        <f t="shared" si="1415"/>
        <v/>
      </c>
      <c r="AM3476" t="str">
        <f t="shared" si="1416"/>
        <v/>
      </c>
      <c r="AN3476" t="str">
        <f t="shared" si="1417"/>
        <v/>
      </c>
      <c r="AO3476" t="str">
        <f t="shared" si="1418"/>
        <v/>
      </c>
      <c r="AP3476" t="str">
        <f t="shared" si="1419"/>
        <v/>
      </c>
      <c r="AQ3476" t="str">
        <f t="shared" si="1420"/>
        <v>E2c</v>
      </c>
      <c r="AR3476" t="str">
        <f t="shared" si="1421"/>
        <v/>
      </c>
      <c r="AS3476" t="str">
        <f t="shared" si="1422"/>
        <v/>
      </c>
      <c r="AT3476" t="str">
        <f t="shared" si="1423"/>
        <v/>
      </c>
      <c r="AU3476" t="str">
        <f t="shared" si="1424"/>
        <v>E2c</v>
      </c>
      <c r="AV3476" s="254" t="str">
        <f t="shared" si="1425"/>
        <v>BiK272E2c---73</v>
      </c>
      <c r="AW3476">
        <f t="shared" si="1426"/>
        <v>14</v>
      </c>
      <c r="AX3476" t="str">
        <f t="shared" si="1427"/>
        <v>0,5-0,75 MW, Bonusregel E2c</v>
      </c>
    </row>
    <row r="3477" spans="1:50" x14ac:dyDescent="0.25">
      <c r="A3477" s="615" t="str">
        <f t="shared" si="1406"/>
        <v>BiK272G1----14</v>
      </c>
      <c r="B3477" s="372" t="s">
        <v>5548</v>
      </c>
      <c r="C3477" s="375" t="str">
        <f t="shared" si="1407"/>
        <v>Inbetriebnahme 2014</v>
      </c>
      <c r="D3477" s="372" t="str">
        <f t="shared" si="1408"/>
        <v>0,5-0,75 MW, Bonusregel G1</v>
      </c>
      <c r="E3477" s="372"/>
      <c r="F3477" s="459">
        <f t="shared" si="1409"/>
        <v>13.440000000000001</v>
      </c>
      <c r="G3477" s="544">
        <v>13.440000000000001</v>
      </c>
      <c r="H3477" s="500">
        <f t="shared" si="1410"/>
        <v>10.75</v>
      </c>
      <c r="I3477" s="711"/>
      <c r="J3477" s="669" t="s">
        <v>5805</v>
      </c>
      <c r="K3477" s="23"/>
      <c r="L3477" s="70" t="str">
        <f t="shared" si="1411"/>
        <v/>
      </c>
      <c r="M3477" s="387">
        <f t="shared" si="1412"/>
        <v>13.440000000000001</v>
      </c>
      <c r="N3477" s="41">
        <f t="shared" si="1413"/>
        <v>10.564399999999999</v>
      </c>
      <c r="O3477" s="196"/>
      <c r="P3477" s="35"/>
      <c r="Q3477" s="65"/>
      <c r="R3477" s="35"/>
      <c r="S3477" s="43"/>
      <c r="T3477" s="65"/>
      <c r="U3477" s="35"/>
      <c r="V3477" s="43" t="s">
        <v>1017</v>
      </c>
      <c r="W3477" s="35"/>
      <c r="X3477" s="50"/>
      <c r="AH3477" s="35" t="s">
        <v>1778</v>
      </c>
      <c r="AK3477" t="str">
        <f t="shared" si="1414"/>
        <v/>
      </c>
      <c r="AL3477" t="str">
        <f t="shared" si="1415"/>
        <v/>
      </c>
      <c r="AM3477" t="str">
        <f t="shared" si="1416"/>
        <v/>
      </c>
      <c r="AN3477" t="str">
        <f t="shared" si="1417"/>
        <v/>
      </c>
      <c r="AO3477" t="str">
        <f t="shared" si="1418"/>
        <v/>
      </c>
      <c r="AP3477" t="str">
        <f t="shared" si="1419"/>
        <v/>
      </c>
      <c r="AQ3477" t="str">
        <f t="shared" si="1420"/>
        <v/>
      </c>
      <c r="AR3477" t="str">
        <f t="shared" si="1421"/>
        <v>G1</v>
      </c>
      <c r="AS3477" t="str">
        <f t="shared" si="1422"/>
        <v/>
      </c>
      <c r="AT3477" t="str">
        <f t="shared" si="1423"/>
        <v/>
      </c>
      <c r="AU3477" t="str">
        <f t="shared" si="1424"/>
        <v>G1</v>
      </c>
      <c r="AV3477" s="254" t="str">
        <f t="shared" si="1425"/>
        <v>BiK272G1----73</v>
      </c>
      <c r="AW3477">
        <f t="shared" si="1426"/>
        <v>14</v>
      </c>
      <c r="AX3477" t="str">
        <f t="shared" si="1427"/>
        <v>0,5-0,75 MW, Bonusregel G1</v>
      </c>
    </row>
    <row r="3478" spans="1:50" x14ac:dyDescent="0.25">
      <c r="A3478" s="615" t="str">
        <f t="shared" si="1406"/>
        <v>BiK272E1bG1-14</v>
      </c>
      <c r="B3478" s="372" t="s">
        <v>5548</v>
      </c>
      <c r="C3478" s="375" t="str">
        <f t="shared" si="1407"/>
        <v>Inbetriebnahme 2014</v>
      </c>
      <c r="D3478" s="372" t="str">
        <f t="shared" si="1408"/>
        <v>0,5-0,75 MW, Bonusregeln E1b, G1</v>
      </c>
      <c r="E3478" s="372"/>
      <c r="F3478" s="459">
        <f t="shared" si="1409"/>
        <v>18.440000000000001</v>
      </c>
      <c r="G3478" s="544">
        <v>18.440000000000001</v>
      </c>
      <c r="H3478" s="500">
        <f t="shared" si="1410"/>
        <v>14.75</v>
      </c>
      <c r="I3478" s="711"/>
      <c r="J3478" s="669" t="s">
        <v>5805</v>
      </c>
      <c r="K3478" s="23"/>
      <c r="L3478" s="70" t="str">
        <f t="shared" si="1411"/>
        <v/>
      </c>
      <c r="M3478" s="387">
        <f t="shared" si="1412"/>
        <v>18.440000000000001</v>
      </c>
      <c r="N3478" s="41">
        <f t="shared" si="1413"/>
        <v>10.564399999999999</v>
      </c>
      <c r="O3478" s="196"/>
      <c r="P3478" s="35" t="s">
        <v>1017</v>
      </c>
      <c r="Q3478" s="65"/>
      <c r="R3478" s="35"/>
      <c r="S3478" s="43"/>
      <c r="T3478" s="65"/>
      <c r="U3478" s="35"/>
      <c r="V3478" s="43" t="s">
        <v>1017</v>
      </c>
      <c r="W3478" s="35"/>
      <c r="X3478" s="50"/>
      <c r="AH3478" s="35" t="s">
        <v>1778</v>
      </c>
      <c r="AK3478" t="str">
        <f t="shared" si="1414"/>
        <v/>
      </c>
      <c r="AL3478" t="str">
        <f t="shared" si="1415"/>
        <v>E1b</v>
      </c>
      <c r="AM3478" t="str">
        <f t="shared" si="1416"/>
        <v/>
      </c>
      <c r="AN3478" t="str">
        <f t="shared" si="1417"/>
        <v/>
      </c>
      <c r="AO3478" t="str">
        <f t="shared" si="1418"/>
        <v/>
      </c>
      <c r="AP3478" t="str">
        <f t="shared" si="1419"/>
        <v/>
      </c>
      <c r="AQ3478" t="str">
        <f t="shared" si="1420"/>
        <v/>
      </c>
      <c r="AR3478" t="str">
        <f t="shared" si="1421"/>
        <v>G1</v>
      </c>
      <c r="AS3478" t="str">
        <f t="shared" si="1422"/>
        <v/>
      </c>
      <c r="AT3478" t="str">
        <f t="shared" si="1423"/>
        <v/>
      </c>
      <c r="AU3478" t="str">
        <f t="shared" si="1424"/>
        <v>E1bG1</v>
      </c>
      <c r="AV3478" s="254" t="str">
        <f t="shared" si="1425"/>
        <v>BiK272E1bG1-73</v>
      </c>
      <c r="AW3478">
        <f t="shared" si="1426"/>
        <v>14</v>
      </c>
      <c r="AX3478" t="str">
        <f t="shared" si="1427"/>
        <v>0,5-0,75 MW, Bonusregeln E1b, G1</v>
      </c>
    </row>
    <row r="3479" spans="1:50" x14ac:dyDescent="0.25">
      <c r="A3479" s="615" t="str">
        <f t="shared" si="1406"/>
        <v>BiK272E1dG1-14</v>
      </c>
      <c r="B3479" s="372" t="s">
        <v>5548</v>
      </c>
      <c r="C3479" s="375" t="str">
        <f t="shared" si="1407"/>
        <v>Inbetriebnahme 2014</v>
      </c>
      <c r="D3479" s="372" t="str">
        <f t="shared" si="1408"/>
        <v>0,5-0,75 MW, Bonusregeln E1d, G1</v>
      </c>
      <c r="E3479" s="403"/>
      <c r="F3479" s="459">
        <f t="shared" si="1409"/>
        <v>15.940000000000001</v>
      </c>
      <c r="G3479" s="544">
        <v>15.940000000000001</v>
      </c>
      <c r="H3479" s="500">
        <f t="shared" si="1410"/>
        <v>12.75</v>
      </c>
      <c r="I3479" s="711"/>
      <c r="J3479" s="669" t="s">
        <v>5805</v>
      </c>
      <c r="K3479" s="23"/>
      <c r="L3479" s="70" t="str">
        <f t="shared" si="1411"/>
        <v/>
      </c>
      <c r="M3479" s="387">
        <f t="shared" si="1412"/>
        <v>15.940000000000001</v>
      </c>
      <c r="N3479" s="41">
        <f t="shared" si="1413"/>
        <v>10.564399999999999</v>
      </c>
      <c r="O3479" s="196"/>
      <c r="P3479" s="35"/>
      <c r="Q3479" s="65"/>
      <c r="R3479" s="35" t="s">
        <v>1017</v>
      </c>
      <c r="S3479" s="43"/>
      <c r="T3479" s="65"/>
      <c r="U3479" s="35"/>
      <c r="V3479" s="43" t="s">
        <v>1017</v>
      </c>
      <c r="W3479" s="35"/>
      <c r="X3479" s="50"/>
      <c r="AH3479" s="35" t="s">
        <v>1778</v>
      </c>
      <c r="AK3479" t="str">
        <f t="shared" si="1414"/>
        <v/>
      </c>
      <c r="AL3479" t="str">
        <f t="shared" si="1415"/>
        <v/>
      </c>
      <c r="AM3479" t="str">
        <f t="shared" si="1416"/>
        <v/>
      </c>
      <c r="AN3479" t="str">
        <f t="shared" si="1417"/>
        <v>E1d</v>
      </c>
      <c r="AO3479" t="str">
        <f t="shared" si="1418"/>
        <v/>
      </c>
      <c r="AP3479" t="str">
        <f t="shared" si="1419"/>
        <v/>
      </c>
      <c r="AQ3479" t="str">
        <f t="shared" si="1420"/>
        <v/>
      </c>
      <c r="AR3479" t="str">
        <f t="shared" si="1421"/>
        <v>G1</v>
      </c>
      <c r="AS3479" t="str">
        <f t="shared" si="1422"/>
        <v/>
      </c>
      <c r="AT3479" t="str">
        <f t="shared" si="1423"/>
        <v/>
      </c>
      <c r="AU3479" t="str">
        <f t="shared" si="1424"/>
        <v>E1dG1</v>
      </c>
      <c r="AV3479" s="254" t="str">
        <f t="shared" si="1425"/>
        <v>BiK272E1dG1-73</v>
      </c>
      <c r="AW3479">
        <f t="shared" si="1426"/>
        <v>14</v>
      </c>
      <c r="AX3479" t="str">
        <f t="shared" si="1427"/>
        <v>0,5-0,75 MW, Bonusregeln E1d, G1</v>
      </c>
    </row>
    <row r="3480" spans="1:50" x14ac:dyDescent="0.25">
      <c r="A3480" s="615" t="str">
        <f t="shared" si="1406"/>
        <v>BiK272E2aG1-14</v>
      </c>
      <c r="B3480" s="372" t="s">
        <v>5548</v>
      </c>
      <c r="C3480" s="375" t="str">
        <f t="shared" si="1407"/>
        <v>Inbetriebnahme 2014</v>
      </c>
      <c r="D3480" s="372" t="str">
        <f t="shared" si="1408"/>
        <v>0,5-0,75 MW, Bonusregeln E2a, G1</v>
      </c>
      <c r="E3480" s="372"/>
      <c r="F3480" s="459">
        <f t="shared" si="1409"/>
        <v>21.439999999999998</v>
      </c>
      <c r="G3480" s="544">
        <v>21.439999999999998</v>
      </c>
      <c r="H3480" s="500">
        <f t="shared" si="1410"/>
        <v>17.149999999999999</v>
      </c>
      <c r="I3480" s="711"/>
      <c r="J3480" s="669" t="s">
        <v>5805</v>
      </c>
      <c r="K3480" s="23"/>
      <c r="L3480" s="70" t="str">
        <f t="shared" si="1411"/>
        <v/>
      </c>
      <c r="M3480" s="387">
        <f t="shared" si="1412"/>
        <v>21.439999999999998</v>
      </c>
      <c r="N3480" s="41">
        <f t="shared" si="1413"/>
        <v>10.564399999999999</v>
      </c>
      <c r="O3480" s="196"/>
      <c r="P3480" s="35"/>
      <c r="Q3480" s="65"/>
      <c r="R3480" s="35"/>
      <c r="S3480" s="43" t="s">
        <v>1017</v>
      </c>
      <c r="T3480" s="65"/>
      <c r="U3480" s="35"/>
      <c r="V3480" s="43" t="s">
        <v>1017</v>
      </c>
      <c r="W3480" s="35"/>
      <c r="X3480" s="50"/>
      <c r="AH3480" s="35" t="s">
        <v>1778</v>
      </c>
      <c r="AK3480" t="str">
        <f t="shared" si="1414"/>
        <v/>
      </c>
      <c r="AL3480" t="str">
        <f t="shared" si="1415"/>
        <v/>
      </c>
      <c r="AM3480" t="str">
        <f t="shared" si="1416"/>
        <v/>
      </c>
      <c r="AN3480" t="str">
        <f t="shared" si="1417"/>
        <v/>
      </c>
      <c r="AO3480" t="str">
        <f t="shared" si="1418"/>
        <v>E2a</v>
      </c>
      <c r="AP3480" t="str">
        <f t="shared" si="1419"/>
        <v/>
      </c>
      <c r="AQ3480" t="str">
        <f t="shared" si="1420"/>
        <v/>
      </c>
      <c r="AR3480" t="str">
        <f t="shared" si="1421"/>
        <v>G1</v>
      </c>
      <c r="AS3480" t="str">
        <f t="shared" si="1422"/>
        <v/>
      </c>
      <c r="AT3480" t="str">
        <f t="shared" si="1423"/>
        <v/>
      </c>
      <c r="AU3480" t="str">
        <f t="shared" si="1424"/>
        <v>E2aG1</v>
      </c>
      <c r="AV3480" s="254" t="str">
        <f t="shared" si="1425"/>
        <v>BiK272E2aG1-73</v>
      </c>
      <c r="AW3480">
        <f t="shared" si="1426"/>
        <v>14</v>
      </c>
      <c r="AX3480" t="str">
        <f t="shared" si="1427"/>
        <v>0,5-0,75 MW, Bonusregeln E2a, G1</v>
      </c>
    </row>
    <row r="3481" spans="1:50" x14ac:dyDescent="0.25">
      <c r="A3481" s="615" t="str">
        <f t="shared" si="1406"/>
        <v>BiK272E2cG1-14</v>
      </c>
      <c r="B3481" s="372" t="s">
        <v>5548</v>
      </c>
      <c r="C3481" s="375" t="str">
        <f t="shared" si="1407"/>
        <v>Inbetriebnahme 2014</v>
      </c>
      <c r="D3481" s="372" t="str">
        <f t="shared" si="1408"/>
        <v>0,5-0,75 MW, Bonusregeln E2c, G1</v>
      </c>
      <c r="E3481" s="372"/>
      <c r="F3481" s="459">
        <f t="shared" si="1409"/>
        <v>19.439999999999998</v>
      </c>
      <c r="G3481" s="544">
        <v>19.439999999999998</v>
      </c>
      <c r="H3481" s="500">
        <f t="shared" si="1410"/>
        <v>15.55</v>
      </c>
      <c r="I3481" s="711"/>
      <c r="J3481" s="669" t="s">
        <v>5805</v>
      </c>
      <c r="K3481" s="23"/>
      <c r="L3481" s="70" t="str">
        <f t="shared" si="1411"/>
        <v/>
      </c>
      <c r="M3481" s="387">
        <f t="shared" si="1412"/>
        <v>19.439999999999998</v>
      </c>
      <c r="N3481" s="41">
        <f t="shared" si="1413"/>
        <v>10.564399999999999</v>
      </c>
      <c r="O3481" s="196"/>
      <c r="P3481" s="35"/>
      <c r="Q3481" s="65"/>
      <c r="R3481" s="35"/>
      <c r="S3481" s="43"/>
      <c r="T3481" s="65"/>
      <c r="U3481" s="35" t="s">
        <v>1017</v>
      </c>
      <c r="V3481" s="43" t="s">
        <v>1017</v>
      </c>
      <c r="W3481" s="35"/>
      <c r="X3481" s="50"/>
      <c r="AH3481" s="35" t="s">
        <v>1778</v>
      </c>
      <c r="AK3481" t="str">
        <f t="shared" si="1414"/>
        <v/>
      </c>
      <c r="AL3481" t="str">
        <f t="shared" si="1415"/>
        <v/>
      </c>
      <c r="AM3481" t="str">
        <f t="shared" si="1416"/>
        <v/>
      </c>
      <c r="AN3481" t="str">
        <f t="shared" si="1417"/>
        <v/>
      </c>
      <c r="AO3481" t="str">
        <f t="shared" si="1418"/>
        <v/>
      </c>
      <c r="AP3481" t="str">
        <f t="shared" si="1419"/>
        <v/>
      </c>
      <c r="AQ3481" t="str">
        <f t="shared" si="1420"/>
        <v>E2c</v>
      </c>
      <c r="AR3481" t="str">
        <f t="shared" si="1421"/>
        <v>G1</v>
      </c>
      <c r="AS3481" t="str">
        <f t="shared" si="1422"/>
        <v/>
      </c>
      <c r="AT3481" t="str">
        <f t="shared" si="1423"/>
        <v/>
      </c>
      <c r="AU3481" t="str">
        <f t="shared" si="1424"/>
        <v>E2cG1</v>
      </c>
      <c r="AV3481" s="254" t="str">
        <f t="shared" si="1425"/>
        <v>BiK272E2cG1-73</v>
      </c>
      <c r="AW3481">
        <f t="shared" si="1426"/>
        <v>14</v>
      </c>
      <c r="AX3481" t="str">
        <f t="shared" si="1427"/>
        <v>0,5-0,75 MW, Bonusregeln E2c, G1</v>
      </c>
    </row>
    <row r="3482" spans="1:50" x14ac:dyDescent="0.25">
      <c r="A3482" s="615" t="str">
        <f t="shared" si="1406"/>
        <v>BiK272G2----14</v>
      </c>
      <c r="B3482" s="372" t="s">
        <v>5548</v>
      </c>
      <c r="C3482" s="375" t="str">
        <f t="shared" si="1407"/>
        <v>Inbetriebnahme 2014</v>
      </c>
      <c r="D3482" s="372" t="str">
        <f t="shared" si="1408"/>
        <v>0,5-0,75 MW, Bonusregel G2</v>
      </c>
      <c r="E3482" s="372"/>
      <c r="F3482" s="459">
        <f t="shared" si="1409"/>
        <v>12.48</v>
      </c>
      <c r="G3482" s="544">
        <v>12.48</v>
      </c>
      <c r="H3482" s="500">
        <f t="shared" si="1410"/>
        <v>9.98</v>
      </c>
      <c r="I3482" s="711"/>
      <c r="J3482" s="669" t="s">
        <v>5805</v>
      </c>
      <c r="K3482" s="23"/>
      <c r="L3482" s="70" t="str">
        <f t="shared" si="1411"/>
        <v/>
      </c>
      <c r="M3482" s="387">
        <f t="shared" si="1412"/>
        <v>12.48</v>
      </c>
      <c r="N3482" s="41">
        <f t="shared" si="1413"/>
        <v>10.564399999999999</v>
      </c>
      <c r="O3482" s="196"/>
      <c r="P3482" s="35"/>
      <c r="Q3482" s="65"/>
      <c r="R3482" s="35"/>
      <c r="S3482" s="43"/>
      <c r="T3482" s="65"/>
      <c r="U3482" s="35"/>
      <c r="V3482" s="43"/>
      <c r="W3482" s="35" t="s">
        <v>1017</v>
      </c>
      <c r="X3482" s="50"/>
      <c r="AH3482" s="35" t="s">
        <v>1778</v>
      </c>
      <c r="AK3482" t="str">
        <f t="shared" si="1414"/>
        <v/>
      </c>
      <c r="AL3482" t="str">
        <f t="shared" si="1415"/>
        <v/>
      </c>
      <c r="AM3482" t="str">
        <f t="shared" si="1416"/>
        <v/>
      </c>
      <c r="AN3482" t="str">
        <f t="shared" si="1417"/>
        <v/>
      </c>
      <c r="AO3482" t="str">
        <f t="shared" si="1418"/>
        <v/>
      </c>
      <c r="AP3482" t="str">
        <f t="shared" si="1419"/>
        <v/>
      </c>
      <c r="AQ3482" t="str">
        <f t="shared" si="1420"/>
        <v/>
      </c>
      <c r="AR3482" t="str">
        <f t="shared" si="1421"/>
        <v/>
      </c>
      <c r="AS3482" t="str">
        <f t="shared" si="1422"/>
        <v>G2</v>
      </c>
      <c r="AT3482" t="str">
        <f t="shared" si="1423"/>
        <v/>
      </c>
      <c r="AU3482" t="str">
        <f t="shared" si="1424"/>
        <v>G2</v>
      </c>
      <c r="AV3482" s="254" t="str">
        <f t="shared" si="1425"/>
        <v>BiK272G2----73</v>
      </c>
      <c r="AW3482">
        <f t="shared" si="1426"/>
        <v>14</v>
      </c>
      <c r="AX3482" t="str">
        <f t="shared" si="1427"/>
        <v>0,5-0,75 MW, Bonusregel G2</v>
      </c>
    </row>
    <row r="3483" spans="1:50" x14ac:dyDescent="0.25">
      <c r="A3483" s="615" t="str">
        <f t="shared" si="1406"/>
        <v>BiK272E1bG2-14</v>
      </c>
      <c r="B3483" s="372" t="s">
        <v>5548</v>
      </c>
      <c r="C3483" s="375" t="str">
        <f t="shared" si="1407"/>
        <v>Inbetriebnahme 2014</v>
      </c>
      <c r="D3483" s="372" t="str">
        <f t="shared" si="1408"/>
        <v>0,5-0,75 MW, Bonusregeln E1b, G2</v>
      </c>
      <c r="E3483" s="372"/>
      <c r="F3483" s="459">
        <f t="shared" si="1409"/>
        <v>17.48</v>
      </c>
      <c r="G3483" s="544">
        <v>17.48</v>
      </c>
      <c r="H3483" s="500">
        <f t="shared" si="1410"/>
        <v>13.98</v>
      </c>
      <c r="I3483" s="711"/>
      <c r="J3483" s="669" t="s">
        <v>5805</v>
      </c>
      <c r="K3483" s="23"/>
      <c r="L3483" s="70" t="str">
        <f t="shared" si="1411"/>
        <v/>
      </c>
      <c r="M3483" s="387">
        <f t="shared" si="1412"/>
        <v>17.48</v>
      </c>
      <c r="N3483" s="41">
        <f t="shared" si="1413"/>
        <v>10.564399999999999</v>
      </c>
      <c r="O3483" s="196"/>
      <c r="P3483" s="35" t="s">
        <v>1017</v>
      </c>
      <c r="Q3483" s="65"/>
      <c r="R3483" s="35"/>
      <c r="S3483" s="43"/>
      <c r="T3483" s="65"/>
      <c r="U3483" s="35"/>
      <c r="V3483" s="43"/>
      <c r="W3483" s="35" t="s">
        <v>1017</v>
      </c>
      <c r="X3483" s="50"/>
      <c r="AH3483" s="35" t="s">
        <v>1778</v>
      </c>
      <c r="AK3483" t="str">
        <f t="shared" si="1414"/>
        <v/>
      </c>
      <c r="AL3483" t="str">
        <f t="shared" si="1415"/>
        <v>E1b</v>
      </c>
      <c r="AM3483" t="str">
        <f t="shared" si="1416"/>
        <v/>
      </c>
      <c r="AN3483" t="str">
        <f t="shared" si="1417"/>
        <v/>
      </c>
      <c r="AO3483" t="str">
        <f t="shared" si="1418"/>
        <v/>
      </c>
      <c r="AP3483" t="str">
        <f t="shared" si="1419"/>
        <v/>
      </c>
      <c r="AQ3483" t="str">
        <f t="shared" si="1420"/>
        <v/>
      </c>
      <c r="AR3483" t="str">
        <f t="shared" si="1421"/>
        <v/>
      </c>
      <c r="AS3483" t="str">
        <f t="shared" si="1422"/>
        <v>G2</v>
      </c>
      <c r="AT3483" t="str">
        <f t="shared" si="1423"/>
        <v/>
      </c>
      <c r="AU3483" t="str">
        <f t="shared" si="1424"/>
        <v>E1bG2</v>
      </c>
      <c r="AV3483" s="254" t="str">
        <f t="shared" si="1425"/>
        <v>BiK272E1bG2-73</v>
      </c>
      <c r="AW3483">
        <f t="shared" si="1426"/>
        <v>14</v>
      </c>
      <c r="AX3483" t="str">
        <f t="shared" si="1427"/>
        <v>0,5-0,75 MW, Bonusregeln E1b, G2</v>
      </c>
    </row>
    <row r="3484" spans="1:50" x14ac:dyDescent="0.25">
      <c r="A3484" s="615" t="str">
        <f t="shared" si="1406"/>
        <v>BiK272E1dG2-14</v>
      </c>
      <c r="B3484" s="372" t="s">
        <v>5548</v>
      </c>
      <c r="C3484" s="375" t="str">
        <f t="shared" si="1407"/>
        <v>Inbetriebnahme 2014</v>
      </c>
      <c r="D3484" s="372" t="str">
        <f t="shared" si="1408"/>
        <v>0,5-0,75 MW, Bonusregeln E1d, G2</v>
      </c>
      <c r="E3484" s="372"/>
      <c r="F3484" s="459">
        <f t="shared" si="1409"/>
        <v>14.98</v>
      </c>
      <c r="G3484" s="544">
        <v>14.98</v>
      </c>
      <c r="H3484" s="500">
        <f t="shared" si="1410"/>
        <v>11.98</v>
      </c>
      <c r="I3484" s="711"/>
      <c r="J3484" s="669" t="s">
        <v>5805</v>
      </c>
      <c r="K3484" s="23"/>
      <c r="L3484" s="70" t="str">
        <f t="shared" si="1411"/>
        <v/>
      </c>
      <c r="M3484" s="387">
        <f t="shared" si="1412"/>
        <v>14.98</v>
      </c>
      <c r="N3484" s="41">
        <f t="shared" si="1413"/>
        <v>10.564399999999999</v>
      </c>
      <c r="O3484" s="196"/>
      <c r="P3484" s="35"/>
      <c r="Q3484" s="65"/>
      <c r="R3484" s="35" t="s">
        <v>1017</v>
      </c>
      <c r="S3484" s="43"/>
      <c r="T3484" s="65"/>
      <c r="U3484" s="35"/>
      <c r="V3484" s="43"/>
      <c r="W3484" s="35" t="s">
        <v>1017</v>
      </c>
      <c r="X3484" s="50"/>
      <c r="AH3484" s="35" t="s">
        <v>1778</v>
      </c>
      <c r="AK3484" t="str">
        <f t="shared" si="1414"/>
        <v/>
      </c>
      <c r="AL3484" t="str">
        <f t="shared" si="1415"/>
        <v/>
      </c>
      <c r="AM3484" t="str">
        <f t="shared" si="1416"/>
        <v/>
      </c>
      <c r="AN3484" t="str">
        <f t="shared" si="1417"/>
        <v>E1d</v>
      </c>
      <c r="AO3484" t="str">
        <f t="shared" si="1418"/>
        <v/>
      </c>
      <c r="AP3484" t="str">
        <f t="shared" si="1419"/>
        <v/>
      </c>
      <c r="AQ3484" t="str">
        <f t="shared" si="1420"/>
        <v/>
      </c>
      <c r="AR3484" t="str">
        <f t="shared" si="1421"/>
        <v/>
      </c>
      <c r="AS3484" t="str">
        <f t="shared" si="1422"/>
        <v>G2</v>
      </c>
      <c r="AT3484" t="str">
        <f t="shared" si="1423"/>
        <v/>
      </c>
      <c r="AU3484" t="str">
        <f t="shared" si="1424"/>
        <v>E1dG2</v>
      </c>
      <c r="AV3484" s="254" t="str">
        <f t="shared" si="1425"/>
        <v>BiK272E1dG2-73</v>
      </c>
      <c r="AW3484">
        <f t="shared" si="1426"/>
        <v>14</v>
      </c>
      <c r="AX3484" t="str">
        <f t="shared" si="1427"/>
        <v>0,5-0,75 MW, Bonusregeln E1d, G2</v>
      </c>
    </row>
    <row r="3485" spans="1:50" x14ac:dyDescent="0.25">
      <c r="A3485" s="615" t="str">
        <f t="shared" si="1406"/>
        <v>BiK272E2aG2-14</v>
      </c>
      <c r="B3485" s="372" t="s">
        <v>5548</v>
      </c>
      <c r="C3485" s="375" t="str">
        <f t="shared" si="1407"/>
        <v>Inbetriebnahme 2014</v>
      </c>
      <c r="D3485" s="372" t="str">
        <f t="shared" si="1408"/>
        <v>0,5-0,75 MW, Bonusregeln E2a, G2</v>
      </c>
      <c r="E3485" s="372"/>
      <c r="F3485" s="459">
        <f t="shared" si="1409"/>
        <v>20.48</v>
      </c>
      <c r="G3485" s="544">
        <v>20.48</v>
      </c>
      <c r="H3485" s="500">
        <f t="shared" si="1410"/>
        <v>16.38</v>
      </c>
      <c r="I3485" s="711"/>
      <c r="J3485" s="669" t="s">
        <v>5805</v>
      </c>
      <c r="K3485" s="23"/>
      <c r="L3485" s="70" t="str">
        <f t="shared" si="1411"/>
        <v/>
      </c>
      <c r="M3485" s="387">
        <f t="shared" si="1412"/>
        <v>20.48</v>
      </c>
      <c r="N3485" s="41">
        <f t="shared" si="1413"/>
        <v>10.564399999999999</v>
      </c>
      <c r="O3485" s="196"/>
      <c r="P3485" s="35"/>
      <c r="Q3485" s="65"/>
      <c r="R3485" s="35"/>
      <c r="S3485" s="43" t="s">
        <v>1017</v>
      </c>
      <c r="T3485" s="65"/>
      <c r="U3485" s="35"/>
      <c r="V3485" s="43"/>
      <c r="W3485" s="35" t="s">
        <v>1017</v>
      </c>
      <c r="X3485" s="50"/>
      <c r="AH3485" s="35" t="s">
        <v>1778</v>
      </c>
      <c r="AK3485" t="str">
        <f t="shared" si="1414"/>
        <v/>
      </c>
      <c r="AL3485" t="str">
        <f t="shared" si="1415"/>
        <v/>
      </c>
      <c r="AM3485" t="str">
        <f t="shared" si="1416"/>
        <v/>
      </c>
      <c r="AN3485" t="str">
        <f t="shared" si="1417"/>
        <v/>
      </c>
      <c r="AO3485" t="str">
        <f t="shared" si="1418"/>
        <v>E2a</v>
      </c>
      <c r="AP3485" t="str">
        <f t="shared" si="1419"/>
        <v/>
      </c>
      <c r="AQ3485" t="str">
        <f t="shared" si="1420"/>
        <v/>
      </c>
      <c r="AR3485" t="str">
        <f t="shared" si="1421"/>
        <v/>
      </c>
      <c r="AS3485" t="str">
        <f t="shared" si="1422"/>
        <v>G2</v>
      </c>
      <c r="AT3485" t="str">
        <f t="shared" si="1423"/>
        <v/>
      </c>
      <c r="AU3485" t="str">
        <f t="shared" si="1424"/>
        <v>E2aG2</v>
      </c>
      <c r="AV3485" s="254" t="str">
        <f t="shared" si="1425"/>
        <v>BiK272E2aG2-73</v>
      </c>
      <c r="AW3485">
        <f t="shared" si="1426"/>
        <v>14</v>
      </c>
      <c r="AX3485" t="str">
        <f t="shared" si="1427"/>
        <v>0,5-0,75 MW, Bonusregeln E2a, G2</v>
      </c>
    </row>
    <row r="3486" spans="1:50" x14ac:dyDescent="0.25">
      <c r="A3486" s="615" t="str">
        <f t="shared" si="1406"/>
        <v>BiK272E2cG2-14</v>
      </c>
      <c r="B3486" s="372" t="s">
        <v>5548</v>
      </c>
      <c r="C3486" s="375" t="str">
        <f t="shared" si="1407"/>
        <v>Inbetriebnahme 2014</v>
      </c>
      <c r="D3486" s="372" t="str">
        <f t="shared" si="1408"/>
        <v>0,5-0,75 MW, Bonusregeln E2c, G2</v>
      </c>
      <c r="E3486" s="372"/>
      <c r="F3486" s="459">
        <f t="shared" si="1409"/>
        <v>18.48</v>
      </c>
      <c r="G3486" s="544">
        <v>18.48</v>
      </c>
      <c r="H3486" s="500">
        <f t="shared" si="1410"/>
        <v>14.78</v>
      </c>
      <c r="I3486" s="711"/>
      <c r="J3486" s="669" t="s">
        <v>5805</v>
      </c>
      <c r="K3486" s="23"/>
      <c r="L3486" s="70" t="str">
        <f t="shared" si="1411"/>
        <v/>
      </c>
      <c r="M3486" s="387">
        <f t="shared" si="1412"/>
        <v>18.48</v>
      </c>
      <c r="N3486" s="41">
        <f t="shared" si="1413"/>
        <v>10.564399999999999</v>
      </c>
      <c r="O3486" s="196"/>
      <c r="P3486" s="35"/>
      <c r="Q3486" s="65"/>
      <c r="R3486" s="35"/>
      <c r="S3486" s="43"/>
      <c r="T3486" s="65"/>
      <c r="U3486" s="35" t="s">
        <v>1017</v>
      </c>
      <c r="V3486" s="43"/>
      <c r="W3486" s="35" t="s">
        <v>1017</v>
      </c>
      <c r="X3486" s="50"/>
      <c r="AH3486" s="35" t="s">
        <v>1778</v>
      </c>
      <c r="AK3486" t="str">
        <f t="shared" si="1414"/>
        <v/>
      </c>
      <c r="AL3486" t="str">
        <f t="shared" si="1415"/>
        <v/>
      </c>
      <c r="AM3486" t="str">
        <f t="shared" si="1416"/>
        <v/>
      </c>
      <c r="AN3486" t="str">
        <f t="shared" si="1417"/>
        <v/>
      </c>
      <c r="AO3486" t="str">
        <f t="shared" si="1418"/>
        <v/>
      </c>
      <c r="AP3486" t="str">
        <f t="shared" si="1419"/>
        <v/>
      </c>
      <c r="AQ3486" t="str">
        <f t="shared" si="1420"/>
        <v>E2c</v>
      </c>
      <c r="AR3486" t="str">
        <f t="shared" si="1421"/>
        <v/>
      </c>
      <c r="AS3486" t="str">
        <f t="shared" si="1422"/>
        <v>G2</v>
      </c>
      <c r="AT3486" t="str">
        <f t="shared" si="1423"/>
        <v/>
      </c>
      <c r="AU3486" t="str">
        <f t="shared" si="1424"/>
        <v>E2cG2</v>
      </c>
      <c r="AV3486" s="254" t="str">
        <f t="shared" si="1425"/>
        <v>BiK272E2cG2-73</v>
      </c>
      <c r="AW3486">
        <f t="shared" si="1426"/>
        <v>14</v>
      </c>
      <c r="AX3486" t="str">
        <f t="shared" si="1427"/>
        <v>0,5-0,75 MW, Bonusregeln E2c, G2</v>
      </c>
    </row>
    <row r="3487" spans="1:50" x14ac:dyDescent="0.25">
      <c r="A3487" s="615" t="str">
        <f t="shared" si="1406"/>
        <v>BiK272G3----14</v>
      </c>
      <c r="B3487" s="372" t="s">
        <v>5548</v>
      </c>
      <c r="C3487" s="375" t="str">
        <f t="shared" si="1407"/>
        <v>Inbetriebnahme 2014</v>
      </c>
      <c r="D3487" s="372" t="str">
        <f t="shared" si="1408"/>
        <v>0,5-0,75 MW, Bonusregel G3</v>
      </c>
      <c r="E3487" s="372"/>
      <c r="F3487" s="459">
        <f t="shared" si="1409"/>
        <v>11.52</v>
      </c>
      <c r="G3487" s="544">
        <v>11.52</v>
      </c>
      <c r="H3487" s="500">
        <f t="shared" si="1410"/>
        <v>9.2200000000000006</v>
      </c>
      <c r="I3487" s="711"/>
      <c r="J3487" s="669" t="s">
        <v>5805</v>
      </c>
      <c r="K3487" s="23"/>
      <c r="L3487" s="70" t="str">
        <f t="shared" si="1411"/>
        <v/>
      </c>
      <c r="M3487" s="387">
        <f t="shared" si="1412"/>
        <v>11.52</v>
      </c>
      <c r="N3487" s="41">
        <f t="shared" si="1413"/>
        <v>10.564399999999999</v>
      </c>
      <c r="O3487" s="196"/>
      <c r="P3487" s="35"/>
      <c r="Q3487" s="65"/>
      <c r="R3487" s="35"/>
      <c r="S3487" s="43"/>
      <c r="T3487" s="65"/>
      <c r="U3487" s="35"/>
      <c r="V3487" s="43"/>
      <c r="W3487" s="35"/>
      <c r="X3487" s="50" t="s">
        <v>1017</v>
      </c>
      <c r="AH3487" s="35" t="s">
        <v>1778</v>
      </c>
      <c r="AK3487" t="str">
        <f t="shared" si="1414"/>
        <v/>
      </c>
      <c r="AL3487" t="str">
        <f t="shared" si="1415"/>
        <v/>
      </c>
      <c r="AM3487" t="str">
        <f t="shared" si="1416"/>
        <v/>
      </c>
      <c r="AN3487" t="str">
        <f t="shared" si="1417"/>
        <v/>
      </c>
      <c r="AO3487" t="str">
        <f t="shared" si="1418"/>
        <v/>
      </c>
      <c r="AP3487" t="str">
        <f t="shared" si="1419"/>
        <v/>
      </c>
      <c r="AQ3487" t="str">
        <f t="shared" si="1420"/>
        <v/>
      </c>
      <c r="AR3487" t="str">
        <f t="shared" si="1421"/>
        <v/>
      </c>
      <c r="AS3487" t="str">
        <f t="shared" si="1422"/>
        <v/>
      </c>
      <c r="AT3487" t="str">
        <f t="shared" si="1423"/>
        <v>G3</v>
      </c>
      <c r="AU3487" t="str">
        <f t="shared" si="1424"/>
        <v>G3</v>
      </c>
      <c r="AV3487" s="254" t="str">
        <f t="shared" si="1425"/>
        <v>BiK272G3----73</v>
      </c>
      <c r="AW3487">
        <f t="shared" si="1426"/>
        <v>14</v>
      </c>
      <c r="AX3487" t="str">
        <f t="shared" si="1427"/>
        <v>0,5-0,75 MW, Bonusregel G3</v>
      </c>
    </row>
    <row r="3488" spans="1:50" x14ac:dyDescent="0.25">
      <c r="A3488" s="615" t="str">
        <f t="shared" si="1406"/>
        <v>BiK272E1bG3-14</v>
      </c>
      <c r="B3488" s="372" t="s">
        <v>5548</v>
      </c>
      <c r="C3488" s="375" t="str">
        <f t="shared" si="1407"/>
        <v>Inbetriebnahme 2014</v>
      </c>
      <c r="D3488" s="372" t="str">
        <f t="shared" si="1408"/>
        <v>0,5-0,75 MW, Bonusregeln E1b, G3</v>
      </c>
      <c r="E3488" s="372"/>
      <c r="F3488" s="459">
        <f t="shared" si="1409"/>
        <v>16.52</v>
      </c>
      <c r="G3488" s="544">
        <v>16.52</v>
      </c>
      <c r="H3488" s="500">
        <f t="shared" si="1410"/>
        <v>13.22</v>
      </c>
      <c r="I3488" s="711"/>
      <c r="J3488" s="669" t="s">
        <v>5805</v>
      </c>
      <c r="K3488" s="23"/>
      <c r="L3488" s="70" t="str">
        <f t="shared" si="1411"/>
        <v/>
      </c>
      <c r="M3488" s="387">
        <f t="shared" si="1412"/>
        <v>16.52</v>
      </c>
      <c r="N3488" s="41">
        <f t="shared" si="1413"/>
        <v>10.564399999999999</v>
      </c>
      <c r="O3488" s="196"/>
      <c r="P3488" s="35" t="s">
        <v>1017</v>
      </c>
      <c r="Q3488" s="65"/>
      <c r="R3488" s="35"/>
      <c r="S3488" s="43"/>
      <c r="T3488" s="65"/>
      <c r="U3488" s="35"/>
      <c r="V3488" s="43"/>
      <c r="W3488" s="35"/>
      <c r="X3488" s="50" t="s">
        <v>1017</v>
      </c>
      <c r="AH3488" s="35" t="s">
        <v>1778</v>
      </c>
      <c r="AK3488" t="str">
        <f t="shared" si="1414"/>
        <v/>
      </c>
      <c r="AL3488" t="str">
        <f t="shared" si="1415"/>
        <v>E1b</v>
      </c>
      <c r="AM3488" t="str">
        <f t="shared" si="1416"/>
        <v/>
      </c>
      <c r="AN3488" t="str">
        <f t="shared" si="1417"/>
        <v/>
      </c>
      <c r="AO3488" t="str">
        <f t="shared" si="1418"/>
        <v/>
      </c>
      <c r="AP3488" t="str">
        <f t="shared" si="1419"/>
        <v/>
      </c>
      <c r="AQ3488" t="str">
        <f t="shared" si="1420"/>
        <v/>
      </c>
      <c r="AR3488" t="str">
        <f t="shared" si="1421"/>
        <v/>
      </c>
      <c r="AS3488" t="str">
        <f t="shared" si="1422"/>
        <v/>
      </c>
      <c r="AT3488" t="str">
        <f t="shared" si="1423"/>
        <v>G3</v>
      </c>
      <c r="AU3488" t="str">
        <f t="shared" si="1424"/>
        <v>E1bG3</v>
      </c>
      <c r="AV3488" s="254" t="str">
        <f t="shared" si="1425"/>
        <v>BiK272E1bG3-73</v>
      </c>
      <c r="AW3488">
        <f t="shared" si="1426"/>
        <v>14</v>
      </c>
      <c r="AX3488" t="str">
        <f t="shared" si="1427"/>
        <v>0,5-0,75 MW, Bonusregeln E1b, G3</v>
      </c>
    </row>
    <row r="3489" spans="1:50" x14ac:dyDescent="0.25">
      <c r="A3489" s="615" t="str">
        <f t="shared" si="1406"/>
        <v>BiK272E1dG3-14</v>
      </c>
      <c r="B3489" s="372" t="s">
        <v>5548</v>
      </c>
      <c r="C3489" s="375" t="str">
        <f t="shared" si="1407"/>
        <v>Inbetriebnahme 2014</v>
      </c>
      <c r="D3489" s="372" t="str">
        <f t="shared" si="1408"/>
        <v>0,5-0,75 MW, Bonusregeln E1d, G3</v>
      </c>
      <c r="E3489" s="372"/>
      <c r="F3489" s="459">
        <f t="shared" si="1409"/>
        <v>14.02</v>
      </c>
      <c r="G3489" s="544">
        <v>14.02</v>
      </c>
      <c r="H3489" s="500">
        <f t="shared" si="1410"/>
        <v>11.22</v>
      </c>
      <c r="I3489" s="711"/>
      <c r="J3489" s="669" t="s">
        <v>5805</v>
      </c>
      <c r="K3489" s="23"/>
      <c r="L3489" s="70" t="str">
        <f t="shared" si="1411"/>
        <v/>
      </c>
      <c r="M3489" s="387">
        <f t="shared" si="1412"/>
        <v>14.02</v>
      </c>
      <c r="N3489" s="41">
        <f t="shared" si="1413"/>
        <v>10.564399999999999</v>
      </c>
      <c r="O3489" s="196"/>
      <c r="P3489" s="35"/>
      <c r="Q3489" s="65"/>
      <c r="R3489" s="35" t="s">
        <v>1017</v>
      </c>
      <c r="S3489" s="43"/>
      <c r="T3489" s="65"/>
      <c r="U3489" s="35"/>
      <c r="V3489" s="43"/>
      <c r="W3489" s="35"/>
      <c r="X3489" s="50" t="s">
        <v>1017</v>
      </c>
      <c r="AH3489" s="35" t="s">
        <v>1778</v>
      </c>
      <c r="AK3489" t="str">
        <f t="shared" si="1414"/>
        <v/>
      </c>
      <c r="AL3489" t="str">
        <f t="shared" si="1415"/>
        <v/>
      </c>
      <c r="AM3489" t="str">
        <f t="shared" si="1416"/>
        <v/>
      </c>
      <c r="AN3489" t="str">
        <f t="shared" si="1417"/>
        <v>E1d</v>
      </c>
      <c r="AO3489" t="str">
        <f t="shared" si="1418"/>
        <v/>
      </c>
      <c r="AP3489" t="str">
        <f t="shared" si="1419"/>
        <v/>
      </c>
      <c r="AQ3489" t="str">
        <f t="shared" si="1420"/>
        <v/>
      </c>
      <c r="AR3489" t="str">
        <f t="shared" si="1421"/>
        <v/>
      </c>
      <c r="AS3489" t="str">
        <f t="shared" si="1422"/>
        <v/>
      </c>
      <c r="AT3489" t="str">
        <f t="shared" si="1423"/>
        <v>G3</v>
      </c>
      <c r="AU3489" t="str">
        <f t="shared" si="1424"/>
        <v>E1dG3</v>
      </c>
      <c r="AV3489" s="254" t="str">
        <f t="shared" si="1425"/>
        <v>BiK272E1dG3-73</v>
      </c>
      <c r="AW3489">
        <f t="shared" si="1426"/>
        <v>14</v>
      </c>
      <c r="AX3489" t="str">
        <f t="shared" si="1427"/>
        <v>0,5-0,75 MW, Bonusregeln E1d, G3</v>
      </c>
    </row>
    <row r="3490" spans="1:50" x14ac:dyDescent="0.25">
      <c r="A3490" s="615" t="str">
        <f t="shared" si="1406"/>
        <v>BiK272E2aG3-14</v>
      </c>
      <c r="B3490" s="372" t="s">
        <v>5548</v>
      </c>
      <c r="C3490" s="375" t="str">
        <f t="shared" si="1407"/>
        <v>Inbetriebnahme 2014</v>
      </c>
      <c r="D3490" s="372" t="str">
        <f t="shared" si="1408"/>
        <v>0,5-0,75 MW, Bonusregeln E2a, G3</v>
      </c>
      <c r="E3490" s="372"/>
      <c r="F3490" s="459">
        <f t="shared" si="1409"/>
        <v>19.520000000000003</v>
      </c>
      <c r="G3490" s="544">
        <v>19.520000000000003</v>
      </c>
      <c r="H3490" s="500">
        <f t="shared" si="1410"/>
        <v>15.62</v>
      </c>
      <c r="I3490" s="711"/>
      <c r="J3490" s="669" t="s">
        <v>5805</v>
      </c>
      <c r="K3490" s="23"/>
      <c r="L3490" s="70" t="str">
        <f t="shared" si="1411"/>
        <v/>
      </c>
      <c r="M3490" s="387">
        <f t="shared" si="1412"/>
        <v>19.520000000000003</v>
      </c>
      <c r="N3490" s="41">
        <f t="shared" si="1413"/>
        <v>10.564399999999999</v>
      </c>
      <c r="O3490" s="196"/>
      <c r="P3490" s="35"/>
      <c r="Q3490" s="65"/>
      <c r="R3490" s="35"/>
      <c r="S3490" s="43" t="s">
        <v>1017</v>
      </c>
      <c r="T3490" s="65"/>
      <c r="U3490" s="35"/>
      <c r="V3490" s="43"/>
      <c r="W3490" s="35"/>
      <c r="X3490" s="50" t="s">
        <v>1017</v>
      </c>
      <c r="AH3490" s="35" t="s">
        <v>1778</v>
      </c>
      <c r="AK3490" t="str">
        <f t="shared" si="1414"/>
        <v/>
      </c>
      <c r="AL3490" t="str">
        <f t="shared" si="1415"/>
        <v/>
      </c>
      <c r="AM3490" t="str">
        <f t="shared" si="1416"/>
        <v/>
      </c>
      <c r="AN3490" t="str">
        <f t="shared" si="1417"/>
        <v/>
      </c>
      <c r="AO3490" t="str">
        <f t="shared" si="1418"/>
        <v>E2a</v>
      </c>
      <c r="AP3490" t="str">
        <f t="shared" si="1419"/>
        <v/>
      </c>
      <c r="AQ3490" t="str">
        <f t="shared" si="1420"/>
        <v/>
      </c>
      <c r="AR3490" t="str">
        <f t="shared" si="1421"/>
        <v/>
      </c>
      <c r="AS3490" t="str">
        <f t="shared" si="1422"/>
        <v/>
      </c>
      <c r="AT3490" t="str">
        <f t="shared" si="1423"/>
        <v>G3</v>
      </c>
      <c r="AU3490" t="str">
        <f t="shared" si="1424"/>
        <v>E2aG3</v>
      </c>
      <c r="AV3490" s="254" t="str">
        <f t="shared" si="1425"/>
        <v>BiK272E2aG3-73</v>
      </c>
      <c r="AW3490">
        <f t="shared" si="1426"/>
        <v>14</v>
      </c>
      <c r="AX3490" t="str">
        <f t="shared" si="1427"/>
        <v>0,5-0,75 MW, Bonusregeln E2a, G3</v>
      </c>
    </row>
    <row r="3491" spans="1:50" x14ac:dyDescent="0.25">
      <c r="A3491" s="615" t="str">
        <f t="shared" si="1406"/>
        <v>BiK272E2cG3-14</v>
      </c>
      <c r="B3491" s="372" t="s">
        <v>5548</v>
      </c>
      <c r="C3491" s="375" t="str">
        <f t="shared" si="1407"/>
        <v>Inbetriebnahme 2014</v>
      </c>
      <c r="D3491" s="372" t="str">
        <f t="shared" si="1408"/>
        <v>0,5-0,75 MW, Bonusregeln E2c, G3</v>
      </c>
      <c r="E3491" s="372"/>
      <c r="F3491" s="459">
        <f t="shared" si="1409"/>
        <v>17.52</v>
      </c>
      <c r="G3491" s="544">
        <v>17.52</v>
      </c>
      <c r="H3491" s="500">
        <f t="shared" si="1410"/>
        <v>14.02</v>
      </c>
      <c r="I3491" s="711"/>
      <c r="J3491" s="669" t="s">
        <v>5805</v>
      </c>
      <c r="K3491" s="23"/>
      <c r="L3491" s="70" t="str">
        <f t="shared" si="1411"/>
        <v/>
      </c>
      <c r="M3491" s="387">
        <f t="shared" si="1412"/>
        <v>17.52</v>
      </c>
      <c r="N3491" s="41">
        <f t="shared" si="1413"/>
        <v>10.564399999999999</v>
      </c>
      <c r="O3491" s="196"/>
      <c r="P3491" s="35"/>
      <c r="Q3491" s="65"/>
      <c r="R3491" s="35"/>
      <c r="S3491" s="43"/>
      <c r="T3491" s="65"/>
      <c r="U3491" s="35" t="s">
        <v>1017</v>
      </c>
      <c r="V3491" s="43"/>
      <c r="W3491" s="35"/>
      <c r="X3491" s="50" t="s">
        <v>1017</v>
      </c>
      <c r="AH3491" s="35" t="s">
        <v>1778</v>
      </c>
      <c r="AK3491" t="str">
        <f t="shared" si="1414"/>
        <v/>
      </c>
      <c r="AL3491" t="str">
        <f t="shared" si="1415"/>
        <v/>
      </c>
      <c r="AM3491" t="str">
        <f t="shared" si="1416"/>
        <v/>
      </c>
      <c r="AN3491" t="str">
        <f t="shared" si="1417"/>
        <v/>
      </c>
      <c r="AO3491" t="str">
        <f t="shared" si="1418"/>
        <v/>
      </c>
      <c r="AP3491" t="str">
        <f t="shared" si="1419"/>
        <v/>
      </c>
      <c r="AQ3491" t="str">
        <f t="shared" si="1420"/>
        <v>E2c</v>
      </c>
      <c r="AR3491" t="str">
        <f t="shared" si="1421"/>
        <v/>
      </c>
      <c r="AS3491" t="str">
        <f t="shared" si="1422"/>
        <v/>
      </c>
      <c r="AT3491" t="str">
        <f t="shared" si="1423"/>
        <v>G3</v>
      </c>
      <c r="AU3491" t="str">
        <f t="shared" si="1424"/>
        <v>E2cG3</v>
      </c>
      <c r="AV3491" s="254" t="str">
        <f t="shared" si="1425"/>
        <v>BiK272E2cG3-73</v>
      </c>
      <c r="AW3491">
        <f t="shared" si="1426"/>
        <v>14</v>
      </c>
      <c r="AX3491" t="str">
        <f t="shared" si="1427"/>
        <v>0,5-0,75 MW, Bonusregeln E2c, G3</v>
      </c>
    </row>
    <row r="3492" spans="1:50" x14ac:dyDescent="0.25">
      <c r="A3492" s="615" t="str">
        <f t="shared" ref="A3492:A3511" si="1428">"BiK273"&amp;AU3492&amp;RIGHT("------",6-LEN(AU3492))&amp;RIGHT($M$3439,2)</f>
        <v>BiK273------14</v>
      </c>
      <c r="B3492" s="372" t="s">
        <v>5548</v>
      </c>
      <c r="C3492" s="375" t="str">
        <f t="shared" si="1407"/>
        <v>Inbetriebnahme 2014</v>
      </c>
      <c r="D3492" s="372" t="str">
        <f t="shared" si="1408"/>
        <v>0,75-5 MW</v>
      </c>
      <c r="E3492" s="372"/>
      <c r="F3492" s="459">
        <f t="shared" si="1409"/>
        <v>10.56</v>
      </c>
      <c r="G3492" s="544">
        <v>10.56</v>
      </c>
      <c r="H3492" s="500">
        <f t="shared" si="1410"/>
        <v>8.4499999999999993</v>
      </c>
      <c r="I3492" s="711"/>
      <c r="J3492" s="669" t="s">
        <v>5805</v>
      </c>
      <c r="K3492" s="23"/>
      <c r="L3492" s="70" t="str">
        <f t="shared" si="1411"/>
        <v/>
      </c>
      <c r="M3492" s="387">
        <f t="shared" si="1412"/>
        <v>10.56</v>
      </c>
      <c r="N3492" s="41">
        <f t="shared" si="1413"/>
        <v>10.564399999999999</v>
      </c>
      <c r="O3492" s="196"/>
      <c r="P3492" s="65"/>
      <c r="Q3492" s="35"/>
      <c r="R3492" s="35"/>
      <c r="S3492" s="43"/>
      <c r="T3492" s="65"/>
      <c r="U3492" s="35"/>
      <c r="V3492" s="43"/>
      <c r="W3492" s="35"/>
      <c r="X3492" s="50"/>
      <c r="AH3492" s="35" t="s">
        <v>1777</v>
      </c>
      <c r="AK3492" t="str">
        <f t="shared" si="1414"/>
        <v/>
      </c>
      <c r="AL3492" t="str">
        <f t="shared" si="1415"/>
        <v/>
      </c>
      <c r="AM3492" t="str">
        <f t="shared" si="1416"/>
        <v/>
      </c>
      <c r="AN3492" t="str">
        <f t="shared" si="1417"/>
        <v/>
      </c>
      <c r="AO3492" t="str">
        <f t="shared" si="1418"/>
        <v/>
      </c>
      <c r="AP3492" t="str">
        <f t="shared" si="1419"/>
        <v/>
      </c>
      <c r="AQ3492" t="str">
        <f t="shared" si="1420"/>
        <v/>
      </c>
      <c r="AR3492" t="str">
        <f t="shared" si="1421"/>
        <v/>
      </c>
      <c r="AS3492" t="str">
        <f t="shared" si="1422"/>
        <v/>
      </c>
      <c r="AT3492" t="str">
        <f t="shared" si="1423"/>
        <v/>
      </c>
      <c r="AU3492" t="str">
        <f t="shared" si="1424"/>
        <v/>
      </c>
      <c r="AV3492" s="254" t="str">
        <f t="shared" ref="AV3492:AV3511" si="1429">"BiK273"&amp;AU3492&amp;RIGHT("------",6-LEN(AU3492))&amp;RIGHT($M$3272,2)</f>
        <v>BiK273------73</v>
      </c>
      <c r="AW3492">
        <f t="shared" si="1426"/>
        <v>14</v>
      </c>
      <c r="AX3492" t="str">
        <f t="shared" si="1427"/>
        <v>0,75-5 MW</v>
      </c>
    </row>
    <row r="3493" spans="1:50" x14ac:dyDescent="0.25">
      <c r="A3493" s="615" t="str">
        <f t="shared" si="1428"/>
        <v>BiK273E1c---14</v>
      </c>
      <c r="B3493" s="372" t="s">
        <v>5548</v>
      </c>
      <c r="C3493" s="375" t="str">
        <f t="shared" si="1407"/>
        <v>Inbetriebnahme 2014</v>
      </c>
      <c r="D3493" s="372" t="str">
        <f t="shared" si="1408"/>
        <v>0,75-5 MW, Bonusregel E1c</v>
      </c>
      <c r="E3493" s="372"/>
      <c r="F3493" s="459">
        <f t="shared" si="1409"/>
        <v>14.56</v>
      </c>
      <c r="G3493" s="544">
        <v>14.56</v>
      </c>
      <c r="H3493" s="500">
        <f t="shared" si="1410"/>
        <v>11.65</v>
      </c>
      <c r="I3493" s="711"/>
      <c r="J3493" s="669" t="s">
        <v>5805</v>
      </c>
      <c r="K3493" s="23"/>
      <c r="L3493" s="70" t="str">
        <f t="shared" si="1411"/>
        <v/>
      </c>
      <c r="M3493" s="387">
        <f t="shared" si="1412"/>
        <v>14.56</v>
      </c>
      <c r="N3493" s="41">
        <f t="shared" si="1413"/>
        <v>10.564399999999999</v>
      </c>
      <c r="O3493" s="196"/>
      <c r="P3493" s="65"/>
      <c r="Q3493" s="35" t="s">
        <v>1017</v>
      </c>
      <c r="R3493" s="35"/>
      <c r="S3493" s="43"/>
      <c r="T3493" s="65"/>
      <c r="U3493" s="35"/>
      <c r="V3493" s="43"/>
      <c r="W3493" s="35"/>
      <c r="X3493" s="50"/>
      <c r="AH3493" s="35" t="s">
        <v>1777</v>
      </c>
      <c r="AK3493" t="str">
        <f t="shared" si="1414"/>
        <v/>
      </c>
      <c r="AL3493" t="str">
        <f t="shared" si="1415"/>
        <v/>
      </c>
      <c r="AM3493" t="str">
        <f t="shared" si="1416"/>
        <v>E1c</v>
      </c>
      <c r="AN3493" t="str">
        <f t="shared" si="1417"/>
        <v/>
      </c>
      <c r="AO3493" t="str">
        <f t="shared" si="1418"/>
        <v/>
      </c>
      <c r="AP3493" t="str">
        <f t="shared" si="1419"/>
        <v/>
      </c>
      <c r="AQ3493" t="str">
        <f t="shared" si="1420"/>
        <v/>
      </c>
      <c r="AR3493" t="str">
        <f t="shared" si="1421"/>
        <v/>
      </c>
      <c r="AS3493" t="str">
        <f t="shared" si="1422"/>
        <v/>
      </c>
      <c r="AT3493" t="str">
        <f t="shared" si="1423"/>
        <v/>
      </c>
      <c r="AU3493" t="str">
        <f t="shared" si="1424"/>
        <v>E1c</v>
      </c>
      <c r="AV3493" s="254" t="str">
        <f t="shared" si="1429"/>
        <v>BiK273E1c---73</v>
      </c>
      <c r="AW3493">
        <f t="shared" si="1426"/>
        <v>14</v>
      </c>
      <c r="AX3493" t="str">
        <f t="shared" si="1427"/>
        <v>0,75-5 MW, Bonusregel E1c</v>
      </c>
    </row>
    <row r="3494" spans="1:50" x14ac:dyDescent="0.25">
      <c r="A3494" s="615" t="str">
        <f t="shared" si="1428"/>
        <v>BiK273E1d---14</v>
      </c>
      <c r="B3494" s="372" t="s">
        <v>5548</v>
      </c>
      <c r="C3494" s="375" t="str">
        <f t="shared" si="1407"/>
        <v>Inbetriebnahme 2014</v>
      </c>
      <c r="D3494" s="372" t="str">
        <f t="shared" si="1408"/>
        <v>0,75-5 MW, Bonusregel E1d</v>
      </c>
      <c r="E3494" s="372"/>
      <c r="F3494" s="459">
        <f t="shared" si="1409"/>
        <v>13.06</v>
      </c>
      <c r="G3494" s="544">
        <v>13.06</v>
      </c>
      <c r="H3494" s="500">
        <f t="shared" si="1410"/>
        <v>10.45</v>
      </c>
      <c r="I3494" s="711"/>
      <c r="J3494" s="669" t="s">
        <v>5805</v>
      </c>
      <c r="K3494" s="23"/>
      <c r="L3494" s="70" t="str">
        <f t="shared" si="1411"/>
        <v/>
      </c>
      <c r="M3494" s="387">
        <f t="shared" si="1412"/>
        <v>13.06</v>
      </c>
      <c r="N3494" s="41">
        <f t="shared" si="1413"/>
        <v>10.564399999999999</v>
      </c>
      <c r="O3494" s="196"/>
      <c r="P3494" s="65"/>
      <c r="Q3494" s="35"/>
      <c r="R3494" s="35" t="s">
        <v>1017</v>
      </c>
      <c r="S3494" s="43"/>
      <c r="T3494" s="65"/>
      <c r="U3494" s="35"/>
      <c r="V3494" s="43"/>
      <c r="W3494" s="35"/>
      <c r="X3494" s="50"/>
      <c r="AH3494" s="35" t="s">
        <v>1777</v>
      </c>
      <c r="AK3494" t="str">
        <f t="shared" si="1414"/>
        <v/>
      </c>
      <c r="AL3494" t="str">
        <f t="shared" si="1415"/>
        <v/>
      </c>
      <c r="AM3494" t="str">
        <f t="shared" si="1416"/>
        <v/>
      </c>
      <c r="AN3494" t="str">
        <f t="shared" si="1417"/>
        <v>E1d</v>
      </c>
      <c r="AO3494" t="str">
        <f t="shared" si="1418"/>
        <v/>
      </c>
      <c r="AP3494" t="str">
        <f t="shared" si="1419"/>
        <v/>
      </c>
      <c r="AQ3494" t="str">
        <f t="shared" si="1420"/>
        <v/>
      </c>
      <c r="AR3494" t="str">
        <f t="shared" si="1421"/>
        <v/>
      </c>
      <c r="AS3494" t="str">
        <f t="shared" si="1422"/>
        <v/>
      </c>
      <c r="AT3494" t="str">
        <f t="shared" si="1423"/>
        <v/>
      </c>
      <c r="AU3494" t="str">
        <f t="shared" si="1424"/>
        <v>E1d</v>
      </c>
      <c r="AV3494" s="254" t="str">
        <f t="shared" si="1429"/>
        <v>BiK273E1d---73</v>
      </c>
      <c r="AW3494">
        <f t="shared" si="1426"/>
        <v>14</v>
      </c>
      <c r="AX3494" t="str">
        <f t="shared" si="1427"/>
        <v>0,75-5 MW, Bonusregel E1d</v>
      </c>
    </row>
    <row r="3495" spans="1:50" x14ac:dyDescent="0.25">
      <c r="A3495" s="615" t="str">
        <f t="shared" si="1428"/>
        <v>BiK273E2a---14</v>
      </c>
      <c r="B3495" s="372" t="s">
        <v>5548</v>
      </c>
      <c r="C3495" s="375" t="str">
        <f t="shared" si="1407"/>
        <v>Inbetriebnahme 2014</v>
      </c>
      <c r="D3495" s="372" t="str">
        <f t="shared" si="1408"/>
        <v>0,75-5 MW, Bonusregel E2a</v>
      </c>
      <c r="E3495" s="372"/>
      <c r="F3495" s="459">
        <f t="shared" si="1409"/>
        <v>18.560000000000002</v>
      </c>
      <c r="G3495" s="544">
        <v>18.560000000000002</v>
      </c>
      <c r="H3495" s="500">
        <f t="shared" si="1410"/>
        <v>14.85</v>
      </c>
      <c r="I3495" s="711"/>
      <c r="J3495" s="669" t="s">
        <v>5805</v>
      </c>
      <c r="K3495" s="23"/>
      <c r="L3495" s="70" t="str">
        <f t="shared" si="1411"/>
        <v/>
      </c>
      <c r="M3495" s="387">
        <f t="shared" si="1412"/>
        <v>18.560000000000002</v>
      </c>
      <c r="N3495" s="41">
        <f t="shared" si="1413"/>
        <v>10.564399999999999</v>
      </c>
      <c r="O3495" s="196"/>
      <c r="P3495" s="65"/>
      <c r="Q3495" s="35"/>
      <c r="R3495" s="35"/>
      <c r="S3495" s="43" t="s">
        <v>1017</v>
      </c>
      <c r="T3495" s="65"/>
      <c r="U3495" s="35"/>
      <c r="V3495" s="43"/>
      <c r="W3495" s="35"/>
      <c r="X3495" s="50"/>
      <c r="AH3495" s="35" t="s">
        <v>1777</v>
      </c>
      <c r="AK3495" t="str">
        <f t="shared" si="1414"/>
        <v/>
      </c>
      <c r="AL3495" t="str">
        <f t="shared" si="1415"/>
        <v/>
      </c>
      <c r="AM3495" t="str">
        <f t="shared" si="1416"/>
        <v/>
      </c>
      <c r="AN3495" t="str">
        <f t="shared" si="1417"/>
        <v/>
      </c>
      <c r="AO3495" t="str">
        <f t="shared" si="1418"/>
        <v>E2a</v>
      </c>
      <c r="AP3495" t="str">
        <f t="shared" si="1419"/>
        <v/>
      </c>
      <c r="AQ3495" t="str">
        <f t="shared" si="1420"/>
        <v/>
      </c>
      <c r="AR3495" t="str">
        <f t="shared" si="1421"/>
        <v/>
      </c>
      <c r="AS3495" t="str">
        <f t="shared" si="1422"/>
        <v/>
      </c>
      <c r="AT3495" t="str">
        <f t="shared" si="1423"/>
        <v/>
      </c>
      <c r="AU3495" t="str">
        <f t="shared" si="1424"/>
        <v>E2a</v>
      </c>
      <c r="AV3495" s="254" t="str">
        <f t="shared" si="1429"/>
        <v>BiK273E2a---73</v>
      </c>
      <c r="AW3495">
        <f t="shared" si="1426"/>
        <v>14</v>
      </c>
      <c r="AX3495" t="str">
        <f t="shared" si="1427"/>
        <v>0,75-5 MW, Bonusregel E2a</v>
      </c>
    </row>
    <row r="3496" spans="1:50" x14ac:dyDescent="0.25">
      <c r="A3496" s="615" t="str">
        <f t="shared" si="1428"/>
        <v>BiK273E2c---14</v>
      </c>
      <c r="B3496" s="372" t="s">
        <v>5548</v>
      </c>
      <c r="C3496" s="375" t="str">
        <f t="shared" si="1407"/>
        <v>Inbetriebnahme 2014</v>
      </c>
      <c r="D3496" s="372" t="str">
        <f t="shared" si="1408"/>
        <v>0,75-5 MW, Bonusregel E2c</v>
      </c>
      <c r="E3496" s="372"/>
      <c r="F3496" s="459">
        <f t="shared" si="1409"/>
        <v>16.560000000000002</v>
      </c>
      <c r="G3496" s="544">
        <v>16.560000000000002</v>
      </c>
      <c r="H3496" s="500">
        <f t="shared" si="1410"/>
        <v>13.25</v>
      </c>
      <c r="I3496" s="711"/>
      <c r="J3496" s="669" t="s">
        <v>5805</v>
      </c>
      <c r="K3496" s="23"/>
      <c r="L3496" s="70" t="str">
        <f t="shared" si="1411"/>
        <v/>
      </c>
      <c r="M3496" s="387">
        <f t="shared" si="1412"/>
        <v>16.560000000000002</v>
      </c>
      <c r="N3496" s="41">
        <f t="shared" si="1413"/>
        <v>10.564399999999999</v>
      </c>
      <c r="O3496" s="196"/>
      <c r="P3496" s="65"/>
      <c r="Q3496" s="35"/>
      <c r="R3496" s="35"/>
      <c r="S3496" s="43"/>
      <c r="T3496" s="65"/>
      <c r="U3496" s="35" t="s">
        <v>1017</v>
      </c>
      <c r="V3496" s="43"/>
      <c r="W3496" s="35"/>
      <c r="X3496" s="50"/>
      <c r="AH3496" s="35" t="s">
        <v>1777</v>
      </c>
      <c r="AK3496" t="str">
        <f t="shared" si="1414"/>
        <v/>
      </c>
      <c r="AL3496" t="str">
        <f t="shared" si="1415"/>
        <v/>
      </c>
      <c r="AM3496" t="str">
        <f t="shared" si="1416"/>
        <v/>
      </c>
      <c r="AN3496" t="str">
        <f t="shared" si="1417"/>
        <v/>
      </c>
      <c r="AO3496" t="str">
        <f t="shared" si="1418"/>
        <v/>
      </c>
      <c r="AP3496" t="str">
        <f t="shared" si="1419"/>
        <v/>
      </c>
      <c r="AQ3496" t="str">
        <f t="shared" si="1420"/>
        <v>E2c</v>
      </c>
      <c r="AR3496" t="str">
        <f t="shared" si="1421"/>
        <v/>
      </c>
      <c r="AS3496" t="str">
        <f t="shared" si="1422"/>
        <v/>
      </c>
      <c r="AT3496" t="str">
        <f t="shared" si="1423"/>
        <v/>
      </c>
      <c r="AU3496" t="str">
        <f t="shared" si="1424"/>
        <v>E2c</v>
      </c>
      <c r="AV3496" s="254" t="str">
        <f t="shared" si="1429"/>
        <v>BiK273E2c---73</v>
      </c>
      <c r="AW3496">
        <f t="shared" si="1426"/>
        <v>14</v>
      </c>
      <c r="AX3496" t="str">
        <f t="shared" si="1427"/>
        <v>0,75-5 MW, Bonusregel E2c</v>
      </c>
    </row>
    <row r="3497" spans="1:50" x14ac:dyDescent="0.25">
      <c r="A3497" s="615" t="str">
        <f t="shared" si="1428"/>
        <v>BiK273G1----14</v>
      </c>
      <c r="B3497" s="372" t="s">
        <v>5548</v>
      </c>
      <c r="C3497" s="375" t="str">
        <f t="shared" si="1407"/>
        <v>Inbetriebnahme 2014</v>
      </c>
      <c r="D3497" s="372" t="str">
        <f t="shared" si="1408"/>
        <v>0,75-5 MW, Bonusregel G1</v>
      </c>
      <c r="E3497" s="372"/>
      <c r="F3497" s="459">
        <f t="shared" si="1409"/>
        <v>13.440000000000001</v>
      </c>
      <c r="G3497" s="544">
        <v>13.440000000000001</v>
      </c>
      <c r="H3497" s="500">
        <f t="shared" si="1410"/>
        <v>10.75</v>
      </c>
      <c r="I3497" s="711"/>
      <c r="J3497" s="669" t="s">
        <v>5805</v>
      </c>
      <c r="K3497" s="23"/>
      <c r="L3497" s="70" t="str">
        <f t="shared" si="1411"/>
        <v/>
      </c>
      <c r="M3497" s="387">
        <f t="shared" si="1412"/>
        <v>13.440000000000001</v>
      </c>
      <c r="N3497" s="41">
        <f t="shared" si="1413"/>
        <v>10.564399999999999</v>
      </c>
      <c r="O3497" s="196"/>
      <c r="P3497" s="65"/>
      <c r="Q3497" s="35"/>
      <c r="R3497" s="35"/>
      <c r="S3497" s="43"/>
      <c r="T3497" s="65"/>
      <c r="U3497" s="35"/>
      <c r="V3497" s="43" t="s">
        <v>1017</v>
      </c>
      <c r="W3497" s="35"/>
      <c r="X3497" s="50"/>
      <c r="AH3497" s="35" t="s">
        <v>1777</v>
      </c>
      <c r="AK3497" t="str">
        <f t="shared" si="1414"/>
        <v/>
      </c>
      <c r="AL3497" t="str">
        <f t="shared" si="1415"/>
        <v/>
      </c>
      <c r="AM3497" t="str">
        <f t="shared" si="1416"/>
        <v/>
      </c>
      <c r="AN3497" t="str">
        <f t="shared" si="1417"/>
        <v/>
      </c>
      <c r="AO3497" t="str">
        <f t="shared" si="1418"/>
        <v/>
      </c>
      <c r="AP3497" t="str">
        <f t="shared" si="1419"/>
        <v/>
      </c>
      <c r="AQ3497" t="str">
        <f t="shared" si="1420"/>
        <v/>
      </c>
      <c r="AR3497" t="str">
        <f t="shared" si="1421"/>
        <v>G1</v>
      </c>
      <c r="AS3497" t="str">
        <f t="shared" si="1422"/>
        <v/>
      </c>
      <c r="AT3497" t="str">
        <f t="shared" si="1423"/>
        <v/>
      </c>
      <c r="AU3497" t="str">
        <f t="shared" si="1424"/>
        <v>G1</v>
      </c>
      <c r="AV3497" s="254" t="str">
        <f t="shared" si="1429"/>
        <v>BiK273G1----73</v>
      </c>
      <c r="AW3497">
        <f t="shared" si="1426"/>
        <v>14</v>
      </c>
      <c r="AX3497" t="str">
        <f t="shared" si="1427"/>
        <v>0,75-5 MW, Bonusregel G1</v>
      </c>
    </row>
    <row r="3498" spans="1:50" x14ac:dyDescent="0.25">
      <c r="A3498" s="615" t="str">
        <f t="shared" si="1428"/>
        <v>BiK273E1cG1-14</v>
      </c>
      <c r="B3498" s="372" t="s">
        <v>5548</v>
      </c>
      <c r="C3498" s="375" t="str">
        <f t="shared" si="1407"/>
        <v>Inbetriebnahme 2014</v>
      </c>
      <c r="D3498" s="372" t="str">
        <f t="shared" si="1408"/>
        <v>0,75-5 MW, Bonusregeln E1c, G1</v>
      </c>
      <c r="E3498" s="372"/>
      <c r="F3498" s="459">
        <f t="shared" si="1409"/>
        <v>17.440000000000001</v>
      </c>
      <c r="G3498" s="544">
        <v>17.440000000000001</v>
      </c>
      <c r="H3498" s="500">
        <f t="shared" si="1410"/>
        <v>13.95</v>
      </c>
      <c r="I3498" s="711"/>
      <c r="J3498" s="669" t="s">
        <v>5805</v>
      </c>
      <c r="K3498" s="23"/>
      <c r="L3498" s="70" t="str">
        <f t="shared" si="1411"/>
        <v/>
      </c>
      <c r="M3498" s="387">
        <f t="shared" si="1412"/>
        <v>17.440000000000001</v>
      </c>
      <c r="N3498" s="41">
        <f t="shared" si="1413"/>
        <v>10.564399999999999</v>
      </c>
      <c r="O3498" s="196"/>
      <c r="P3498" s="65"/>
      <c r="Q3498" s="35" t="s">
        <v>1017</v>
      </c>
      <c r="R3498" s="35"/>
      <c r="S3498" s="43"/>
      <c r="T3498" s="65"/>
      <c r="U3498" s="35"/>
      <c r="V3498" s="43" t="s">
        <v>1017</v>
      </c>
      <c r="W3498" s="35"/>
      <c r="X3498" s="50"/>
      <c r="AH3498" s="35" t="s">
        <v>1777</v>
      </c>
      <c r="AK3498" t="str">
        <f t="shared" si="1414"/>
        <v/>
      </c>
      <c r="AL3498" t="str">
        <f t="shared" si="1415"/>
        <v/>
      </c>
      <c r="AM3498" t="str">
        <f t="shared" si="1416"/>
        <v>E1c</v>
      </c>
      <c r="AN3498" t="str">
        <f t="shared" si="1417"/>
        <v/>
      </c>
      <c r="AO3498" t="str">
        <f t="shared" si="1418"/>
        <v/>
      </c>
      <c r="AP3498" t="str">
        <f t="shared" si="1419"/>
        <v/>
      </c>
      <c r="AQ3498" t="str">
        <f t="shared" si="1420"/>
        <v/>
      </c>
      <c r="AR3498" t="str">
        <f t="shared" si="1421"/>
        <v>G1</v>
      </c>
      <c r="AS3498" t="str">
        <f t="shared" si="1422"/>
        <v/>
      </c>
      <c r="AT3498" t="str">
        <f t="shared" si="1423"/>
        <v/>
      </c>
      <c r="AU3498" t="str">
        <f t="shared" si="1424"/>
        <v>E1cG1</v>
      </c>
      <c r="AV3498" s="254" t="str">
        <f t="shared" si="1429"/>
        <v>BiK273E1cG1-73</v>
      </c>
      <c r="AW3498">
        <f t="shared" si="1426"/>
        <v>14</v>
      </c>
      <c r="AX3498" t="str">
        <f t="shared" si="1427"/>
        <v>0,75-5 MW, Bonusregeln E1c, G1</v>
      </c>
    </row>
    <row r="3499" spans="1:50" x14ac:dyDescent="0.25">
      <c r="A3499" s="615" t="str">
        <f t="shared" si="1428"/>
        <v>BiK273E1dG1-14</v>
      </c>
      <c r="B3499" s="372" t="s">
        <v>5548</v>
      </c>
      <c r="C3499" s="375" t="str">
        <f t="shared" si="1407"/>
        <v>Inbetriebnahme 2014</v>
      </c>
      <c r="D3499" s="372" t="str">
        <f t="shared" si="1408"/>
        <v>0,75-5 MW, Bonusregeln E1d, G1</v>
      </c>
      <c r="E3499" s="372"/>
      <c r="F3499" s="459">
        <f t="shared" si="1409"/>
        <v>15.940000000000001</v>
      </c>
      <c r="G3499" s="544">
        <v>15.940000000000001</v>
      </c>
      <c r="H3499" s="500">
        <f t="shared" si="1410"/>
        <v>12.75</v>
      </c>
      <c r="I3499" s="711"/>
      <c r="J3499" s="669" t="s">
        <v>5805</v>
      </c>
      <c r="K3499" s="23"/>
      <c r="L3499" s="70" t="str">
        <f t="shared" si="1411"/>
        <v/>
      </c>
      <c r="M3499" s="387">
        <f t="shared" si="1412"/>
        <v>15.940000000000001</v>
      </c>
      <c r="N3499" s="41">
        <f t="shared" si="1413"/>
        <v>10.564399999999999</v>
      </c>
      <c r="O3499" s="196"/>
      <c r="P3499" s="65"/>
      <c r="Q3499" s="35"/>
      <c r="R3499" s="35" t="s">
        <v>1017</v>
      </c>
      <c r="S3499" s="43"/>
      <c r="T3499" s="65"/>
      <c r="U3499" s="35"/>
      <c r="V3499" s="43" t="s">
        <v>1017</v>
      </c>
      <c r="W3499" s="35"/>
      <c r="X3499" s="50"/>
      <c r="AH3499" s="35" t="s">
        <v>1777</v>
      </c>
      <c r="AK3499" t="str">
        <f t="shared" si="1414"/>
        <v/>
      </c>
      <c r="AL3499" t="str">
        <f t="shared" si="1415"/>
        <v/>
      </c>
      <c r="AM3499" t="str">
        <f t="shared" si="1416"/>
        <v/>
      </c>
      <c r="AN3499" t="str">
        <f t="shared" si="1417"/>
        <v>E1d</v>
      </c>
      <c r="AO3499" t="str">
        <f t="shared" si="1418"/>
        <v/>
      </c>
      <c r="AP3499" t="str">
        <f t="shared" si="1419"/>
        <v/>
      </c>
      <c r="AQ3499" t="str">
        <f t="shared" si="1420"/>
        <v/>
      </c>
      <c r="AR3499" t="str">
        <f t="shared" si="1421"/>
        <v>G1</v>
      </c>
      <c r="AS3499" t="str">
        <f t="shared" si="1422"/>
        <v/>
      </c>
      <c r="AT3499" t="str">
        <f t="shared" si="1423"/>
        <v/>
      </c>
      <c r="AU3499" t="str">
        <f t="shared" si="1424"/>
        <v>E1dG1</v>
      </c>
      <c r="AV3499" s="254" t="str">
        <f t="shared" si="1429"/>
        <v>BiK273E1dG1-73</v>
      </c>
      <c r="AW3499">
        <f t="shared" si="1426"/>
        <v>14</v>
      </c>
      <c r="AX3499" t="str">
        <f t="shared" si="1427"/>
        <v>0,75-5 MW, Bonusregeln E1d, G1</v>
      </c>
    </row>
    <row r="3500" spans="1:50" x14ac:dyDescent="0.25">
      <c r="A3500" s="615" t="str">
        <f t="shared" si="1428"/>
        <v>BiK273E2aG1-14</v>
      </c>
      <c r="B3500" s="372" t="s">
        <v>5548</v>
      </c>
      <c r="C3500" s="375" t="str">
        <f t="shared" si="1407"/>
        <v>Inbetriebnahme 2014</v>
      </c>
      <c r="D3500" s="372" t="str">
        <f t="shared" si="1408"/>
        <v>0,75-5 MW, Bonusregeln E2a, G1</v>
      </c>
      <c r="E3500" s="372"/>
      <c r="F3500" s="459">
        <f t="shared" si="1409"/>
        <v>21.439999999999998</v>
      </c>
      <c r="G3500" s="544">
        <v>21.439999999999998</v>
      </c>
      <c r="H3500" s="500">
        <f t="shared" si="1410"/>
        <v>17.149999999999999</v>
      </c>
      <c r="I3500" s="711"/>
      <c r="J3500" s="669" t="s">
        <v>5805</v>
      </c>
      <c r="K3500" s="23"/>
      <c r="L3500" s="70" t="str">
        <f t="shared" si="1411"/>
        <v/>
      </c>
      <c r="M3500" s="387">
        <f t="shared" si="1412"/>
        <v>21.439999999999998</v>
      </c>
      <c r="N3500" s="41">
        <f t="shared" si="1413"/>
        <v>10.564399999999999</v>
      </c>
      <c r="O3500" s="196"/>
      <c r="P3500" s="65"/>
      <c r="Q3500" s="35"/>
      <c r="R3500" s="35"/>
      <c r="S3500" s="43" t="s">
        <v>1017</v>
      </c>
      <c r="T3500" s="65"/>
      <c r="U3500" s="35"/>
      <c r="V3500" s="43" t="s">
        <v>1017</v>
      </c>
      <c r="W3500" s="35"/>
      <c r="X3500" s="50"/>
      <c r="AH3500" s="35" t="s">
        <v>1777</v>
      </c>
      <c r="AK3500" t="str">
        <f t="shared" si="1414"/>
        <v/>
      </c>
      <c r="AL3500" t="str">
        <f t="shared" si="1415"/>
        <v/>
      </c>
      <c r="AM3500" t="str">
        <f t="shared" si="1416"/>
        <v/>
      </c>
      <c r="AN3500" t="str">
        <f t="shared" si="1417"/>
        <v/>
      </c>
      <c r="AO3500" t="str">
        <f t="shared" si="1418"/>
        <v>E2a</v>
      </c>
      <c r="AP3500" t="str">
        <f t="shared" si="1419"/>
        <v/>
      </c>
      <c r="AQ3500" t="str">
        <f t="shared" si="1420"/>
        <v/>
      </c>
      <c r="AR3500" t="str">
        <f t="shared" si="1421"/>
        <v>G1</v>
      </c>
      <c r="AS3500" t="str">
        <f t="shared" si="1422"/>
        <v/>
      </c>
      <c r="AT3500" t="str">
        <f t="shared" si="1423"/>
        <v/>
      </c>
      <c r="AU3500" t="str">
        <f t="shared" si="1424"/>
        <v>E2aG1</v>
      </c>
      <c r="AV3500" s="254" t="str">
        <f t="shared" si="1429"/>
        <v>BiK273E2aG1-73</v>
      </c>
      <c r="AW3500">
        <f t="shared" si="1426"/>
        <v>14</v>
      </c>
      <c r="AX3500" t="str">
        <f t="shared" si="1427"/>
        <v>0,75-5 MW, Bonusregeln E2a, G1</v>
      </c>
    </row>
    <row r="3501" spans="1:50" x14ac:dyDescent="0.25">
      <c r="A3501" s="615" t="str">
        <f t="shared" si="1428"/>
        <v>BiK273E2cG1-14</v>
      </c>
      <c r="B3501" s="372" t="s">
        <v>5548</v>
      </c>
      <c r="C3501" s="375" t="str">
        <f t="shared" si="1407"/>
        <v>Inbetriebnahme 2014</v>
      </c>
      <c r="D3501" s="372" t="str">
        <f t="shared" si="1408"/>
        <v>0,75-5 MW, Bonusregeln E2c, G1</v>
      </c>
      <c r="E3501" s="372"/>
      <c r="F3501" s="459">
        <f t="shared" si="1409"/>
        <v>19.439999999999998</v>
      </c>
      <c r="G3501" s="544">
        <v>19.439999999999998</v>
      </c>
      <c r="H3501" s="500">
        <f t="shared" si="1410"/>
        <v>15.55</v>
      </c>
      <c r="I3501" s="711"/>
      <c r="J3501" s="669" t="s">
        <v>5805</v>
      </c>
      <c r="K3501" s="23"/>
      <c r="L3501" s="70" t="str">
        <f t="shared" si="1411"/>
        <v/>
      </c>
      <c r="M3501" s="387">
        <f t="shared" si="1412"/>
        <v>19.439999999999998</v>
      </c>
      <c r="N3501" s="41">
        <f t="shared" si="1413"/>
        <v>10.564399999999999</v>
      </c>
      <c r="O3501" s="196"/>
      <c r="P3501" s="65"/>
      <c r="Q3501" s="35"/>
      <c r="R3501" s="35"/>
      <c r="S3501" s="43"/>
      <c r="T3501" s="65"/>
      <c r="U3501" s="35" t="s">
        <v>1017</v>
      </c>
      <c r="V3501" s="43" t="s">
        <v>1017</v>
      </c>
      <c r="W3501" s="35"/>
      <c r="X3501" s="50"/>
      <c r="AH3501" s="35" t="s">
        <v>1777</v>
      </c>
      <c r="AK3501" t="str">
        <f t="shared" si="1414"/>
        <v/>
      </c>
      <c r="AL3501" t="str">
        <f t="shared" si="1415"/>
        <v/>
      </c>
      <c r="AM3501" t="str">
        <f t="shared" si="1416"/>
        <v/>
      </c>
      <c r="AN3501" t="str">
        <f t="shared" si="1417"/>
        <v/>
      </c>
      <c r="AO3501" t="str">
        <f t="shared" si="1418"/>
        <v/>
      </c>
      <c r="AP3501" t="str">
        <f t="shared" si="1419"/>
        <v/>
      </c>
      <c r="AQ3501" t="str">
        <f t="shared" si="1420"/>
        <v>E2c</v>
      </c>
      <c r="AR3501" t="str">
        <f t="shared" si="1421"/>
        <v>G1</v>
      </c>
      <c r="AS3501" t="str">
        <f t="shared" si="1422"/>
        <v/>
      </c>
      <c r="AT3501" t="str">
        <f t="shared" si="1423"/>
        <v/>
      </c>
      <c r="AU3501" t="str">
        <f t="shared" si="1424"/>
        <v>E2cG1</v>
      </c>
      <c r="AV3501" s="254" t="str">
        <f t="shared" si="1429"/>
        <v>BiK273E2cG1-73</v>
      </c>
      <c r="AW3501">
        <f t="shared" si="1426"/>
        <v>14</v>
      </c>
      <c r="AX3501" t="str">
        <f t="shared" si="1427"/>
        <v>0,75-5 MW, Bonusregeln E2c, G1</v>
      </c>
    </row>
    <row r="3502" spans="1:50" x14ac:dyDescent="0.25">
      <c r="A3502" s="615" t="str">
        <f t="shared" si="1428"/>
        <v>BiK273G2----14</v>
      </c>
      <c r="B3502" s="372" t="s">
        <v>5548</v>
      </c>
      <c r="C3502" s="375" t="str">
        <f t="shared" si="1407"/>
        <v>Inbetriebnahme 2014</v>
      </c>
      <c r="D3502" s="372" t="str">
        <f t="shared" si="1408"/>
        <v>0,75-5 MW, Bonusregel G2</v>
      </c>
      <c r="E3502" s="372"/>
      <c r="F3502" s="459">
        <f t="shared" si="1409"/>
        <v>12.48</v>
      </c>
      <c r="G3502" s="544">
        <v>12.48</v>
      </c>
      <c r="H3502" s="500">
        <f t="shared" si="1410"/>
        <v>9.98</v>
      </c>
      <c r="I3502" s="711"/>
      <c r="J3502" s="669" t="s">
        <v>5805</v>
      </c>
      <c r="K3502" s="23"/>
      <c r="L3502" s="70" t="str">
        <f t="shared" si="1411"/>
        <v/>
      </c>
      <c r="M3502" s="387">
        <f t="shared" si="1412"/>
        <v>12.48</v>
      </c>
      <c r="N3502" s="41">
        <f t="shared" si="1413"/>
        <v>10.564399999999999</v>
      </c>
      <c r="O3502" s="196"/>
      <c r="P3502" s="65"/>
      <c r="Q3502" s="35"/>
      <c r="R3502" s="35"/>
      <c r="S3502" s="43"/>
      <c r="T3502" s="65"/>
      <c r="U3502" s="35"/>
      <c r="V3502" s="43"/>
      <c r="W3502" s="35" t="s">
        <v>1017</v>
      </c>
      <c r="X3502" s="50"/>
      <c r="AH3502" s="35" t="s">
        <v>1777</v>
      </c>
      <c r="AK3502" t="str">
        <f t="shared" si="1414"/>
        <v/>
      </c>
      <c r="AL3502" t="str">
        <f t="shared" si="1415"/>
        <v/>
      </c>
      <c r="AM3502" t="str">
        <f t="shared" si="1416"/>
        <v/>
      </c>
      <c r="AN3502" t="str">
        <f t="shared" si="1417"/>
        <v/>
      </c>
      <c r="AO3502" t="str">
        <f t="shared" si="1418"/>
        <v/>
      </c>
      <c r="AP3502" t="str">
        <f t="shared" si="1419"/>
        <v/>
      </c>
      <c r="AQ3502" t="str">
        <f t="shared" si="1420"/>
        <v/>
      </c>
      <c r="AR3502" t="str">
        <f t="shared" si="1421"/>
        <v/>
      </c>
      <c r="AS3502" t="str">
        <f t="shared" si="1422"/>
        <v>G2</v>
      </c>
      <c r="AT3502" t="str">
        <f t="shared" si="1423"/>
        <v/>
      </c>
      <c r="AU3502" t="str">
        <f t="shared" si="1424"/>
        <v>G2</v>
      </c>
      <c r="AV3502" s="254" t="str">
        <f t="shared" si="1429"/>
        <v>BiK273G2----73</v>
      </c>
      <c r="AW3502">
        <f t="shared" si="1426"/>
        <v>14</v>
      </c>
      <c r="AX3502" t="str">
        <f t="shared" si="1427"/>
        <v>0,75-5 MW, Bonusregel G2</v>
      </c>
    </row>
    <row r="3503" spans="1:50" x14ac:dyDescent="0.25">
      <c r="A3503" s="615" t="str">
        <f t="shared" si="1428"/>
        <v>BiK273E1cG2-14</v>
      </c>
      <c r="B3503" s="372" t="s">
        <v>5548</v>
      </c>
      <c r="C3503" s="375" t="str">
        <f t="shared" si="1407"/>
        <v>Inbetriebnahme 2014</v>
      </c>
      <c r="D3503" s="372" t="str">
        <f t="shared" si="1408"/>
        <v>0,75-5 MW, Bonusregeln E1c, G2</v>
      </c>
      <c r="E3503" s="372"/>
      <c r="F3503" s="459">
        <f t="shared" si="1409"/>
        <v>16.48</v>
      </c>
      <c r="G3503" s="544">
        <v>16.48</v>
      </c>
      <c r="H3503" s="500">
        <f t="shared" si="1410"/>
        <v>13.18</v>
      </c>
      <c r="I3503" s="711"/>
      <c r="J3503" s="669" t="s">
        <v>5805</v>
      </c>
      <c r="K3503" s="23"/>
      <c r="L3503" s="70" t="str">
        <f t="shared" si="1411"/>
        <v/>
      </c>
      <c r="M3503" s="387">
        <f t="shared" si="1412"/>
        <v>16.48</v>
      </c>
      <c r="N3503" s="41">
        <f t="shared" si="1413"/>
        <v>10.564399999999999</v>
      </c>
      <c r="O3503" s="196"/>
      <c r="P3503" s="65"/>
      <c r="Q3503" s="35" t="s">
        <v>1017</v>
      </c>
      <c r="R3503" s="35"/>
      <c r="S3503" s="43"/>
      <c r="T3503" s="65"/>
      <c r="U3503" s="35"/>
      <c r="V3503" s="43"/>
      <c r="W3503" s="35" t="s">
        <v>1017</v>
      </c>
      <c r="X3503" s="50"/>
      <c r="AH3503" s="35" t="s">
        <v>1777</v>
      </c>
      <c r="AK3503" t="str">
        <f t="shared" si="1414"/>
        <v/>
      </c>
      <c r="AL3503" t="str">
        <f t="shared" si="1415"/>
        <v/>
      </c>
      <c r="AM3503" t="str">
        <f t="shared" si="1416"/>
        <v>E1c</v>
      </c>
      <c r="AN3503" t="str">
        <f t="shared" si="1417"/>
        <v/>
      </c>
      <c r="AO3503" t="str">
        <f t="shared" si="1418"/>
        <v/>
      </c>
      <c r="AP3503" t="str">
        <f t="shared" si="1419"/>
        <v/>
      </c>
      <c r="AQ3503" t="str">
        <f t="shared" si="1420"/>
        <v/>
      </c>
      <c r="AR3503" t="str">
        <f t="shared" si="1421"/>
        <v/>
      </c>
      <c r="AS3503" t="str">
        <f t="shared" si="1422"/>
        <v>G2</v>
      </c>
      <c r="AT3503" t="str">
        <f t="shared" si="1423"/>
        <v/>
      </c>
      <c r="AU3503" t="str">
        <f t="shared" si="1424"/>
        <v>E1cG2</v>
      </c>
      <c r="AV3503" s="254" t="str">
        <f t="shared" si="1429"/>
        <v>BiK273E1cG2-73</v>
      </c>
      <c r="AW3503">
        <f t="shared" si="1426"/>
        <v>14</v>
      </c>
      <c r="AX3503" t="str">
        <f t="shared" si="1427"/>
        <v>0,75-5 MW, Bonusregeln E1c, G2</v>
      </c>
    </row>
    <row r="3504" spans="1:50" x14ac:dyDescent="0.25">
      <c r="A3504" s="615" t="str">
        <f t="shared" si="1428"/>
        <v>BiK273E1dG2-14</v>
      </c>
      <c r="B3504" s="372" t="s">
        <v>5548</v>
      </c>
      <c r="C3504" s="375" t="str">
        <f t="shared" ref="C3504:C3512" si="1430">"Inbetriebnahme "&amp;$M$3439</f>
        <v>Inbetriebnahme 2014</v>
      </c>
      <c r="D3504" s="372" t="str">
        <f t="shared" ref="D3504:D3512" si="1431">IF(COUNTA(O3504:X3504)=0,AH3504,AH3504&amp;", Bonusregel"&amp;IF(AND(COUNTA(O3504:U3504)&gt;0,COUNTA(V3504:X3504)&gt;0),"n "&amp;AK3504&amp;AL3504&amp;AM3504&amp;AN3504&amp;AO3504&amp;AP3504&amp;AQ3504&amp;", "&amp;AR3504&amp;AS3504&amp;AT3504," "&amp;AK3504&amp;AL3504&amp;AM3504&amp;AN3504&amp;AO3504&amp;AP3504&amp;AQ3504&amp;AR3504&amp;AS3504&amp;AT3504))</f>
        <v>0,75-5 MW, Bonusregeln E1d, G2</v>
      </c>
      <c r="E3504" s="372"/>
      <c r="F3504" s="459">
        <f t="shared" ref="F3504:F3512" si="1432">M3504</f>
        <v>14.98</v>
      </c>
      <c r="G3504" s="544">
        <v>14.98</v>
      </c>
      <c r="H3504" s="500">
        <f t="shared" ref="H3504:H3512" si="1433">IF(ISNUMBER(G3504),ROUND(0.8*G3504,2),"")</f>
        <v>11.98</v>
      </c>
      <c r="I3504" s="711"/>
      <c r="J3504" s="669" t="s">
        <v>5805</v>
      </c>
      <c r="K3504" s="23"/>
      <c r="L3504" s="70" t="str">
        <f t="shared" ref="L3504:L3512" si="1434">IF(F3504=M3504,"",FALSE)</f>
        <v/>
      </c>
      <c r="M3504" s="387">
        <f t="shared" ref="M3504:M3512" si="1435">ROUND(N3504,2)+SUMIF(O3504:X3504,"x",$O$3439:$X$3439)</f>
        <v>14.98</v>
      </c>
      <c r="N3504" s="41">
        <f t="shared" ref="N3504:N3512" si="1436">N3425*(1-$Y$3439)</f>
        <v>10.564399999999999</v>
      </c>
      <c r="O3504" s="196"/>
      <c r="P3504" s="65"/>
      <c r="Q3504" s="35"/>
      <c r="R3504" s="35" t="s">
        <v>1017</v>
      </c>
      <c r="S3504" s="43"/>
      <c r="T3504" s="65"/>
      <c r="U3504" s="35"/>
      <c r="V3504" s="43"/>
      <c r="W3504" s="35" t="s">
        <v>1017</v>
      </c>
      <c r="X3504" s="50"/>
      <c r="AH3504" s="35" t="s">
        <v>1777</v>
      </c>
      <c r="AK3504" t="str">
        <f t="shared" ref="AK3504:AK3512" si="1437">IF(O3504="x",O$3438,"")</f>
        <v/>
      </c>
      <c r="AL3504" t="str">
        <f t="shared" ref="AL3504:AL3512" si="1438">IF(P3504="x",P$3438,"")</f>
        <v/>
      </c>
      <c r="AM3504" t="str">
        <f t="shared" ref="AM3504:AM3512" si="1439">IF(Q3504="x",Q$3438,"")</f>
        <v/>
      </c>
      <c r="AN3504" t="str">
        <f t="shared" ref="AN3504:AN3512" si="1440">IF(R3504="x",R$3438,"")</f>
        <v>E1d</v>
      </c>
      <c r="AO3504" t="str">
        <f t="shared" ref="AO3504:AO3512" si="1441">IF(S3504="x",S$3438,"")</f>
        <v/>
      </c>
      <c r="AP3504" t="str">
        <f t="shared" ref="AP3504:AP3512" si="1442">IF(T3504="x",T$3438,"")</f>
        <v/>
      </c>
      <c r="AQ3504" t="str">
        <f t="shared" ref="AQ3504:AQ3512" si="1443">IF(U3504="x",U$3438,"")</f>
        <v/>
      </c>
      <c r="AR3504" t="str">
        <f t="shared" ref="AR3504:AR3512" si="1444">IF(V3504="x",V$3438,"")</f>
        <v/>
      </c>
      <c r="AS3504" t="str">
        <f t="shared" ref="AS3504:AS3512" si="1445">IF(W3504="x",W$3438,"")</f>
        <v>G2</v>
      </c>
      <c r="AT3504" t="str">
        <f t="shared" ref="AT3504:AT3512" si="1446">IF(X3504="x",X$3438,"")</f>
        <v/>
      </c>
      <c r="AU3504" t="str">
        <f t="shared" ref="AU3504:AU3512" si="1447">AK3504&amp;AL3504&amp;AM3504&amp;AN3504&amp;AO3504&amp;AP3504&amp;AQ3504&amp;AR3504&amp;AS3504&amp;AT3504</f>
        <v>E1dG2</v>
      </c>
      <c r="AV3504" s="254" t="str">
        <f t="shared" si="1429"/>
        <v>BiK273E1dG2-73</v>
      </c>
      <c r="AW3504">
        <f t="shared" ref="AW3504:AW3512" si="1448">LEN(AV3504)</f>
        <v>14</v>
      </c>
      <c r="AX3504" t="str">
        <f t="shared" ref="AX3504:AX3512" si="1449">IF(COUNTA(O3504:X3504)=0,AH3504,AH3504&amp;", Bonusregel"&amp;IF(AND(COUNTA(O3504:U3504)&gt;0,COUNTA(V3504:X3504)&gt;0),"n "&amp;AK3504&amp;AL3504&amp;AM3504&amp;AN3504&amp;AO3504&amp;AP3504&amp;AQ3504&amp;", "&amp;AR3504&amp;AS3504&amp;AT3504," "&amp;AK3504&amp;AL3504&amp;AM3504&amp;AN3504&amp;AO3504&amp;AP3504&amp;AQ3504&amp;AR3504&amp;AS3504&amp;AT3504))</f>
        <v>0,75-5 MW, Bonusregeln E1d, G2</v>
      </c>
    </row>
    <row r="3505" spans="1:50" x14ac:dyDescent="0.25">
      <c r="A3505" s="615" t="str">
        <f t="shared" si="1428"/>
        <v>BiK273E2aG2-14</v>
      </c>
      <c r="B3505" s="372" t="s">
        <v>5548</v>
      </c>
      <c r="C3505" s="375" t="str">
        <f t="shared" si="1430"/>
        <v>Inbetriebnahme 2014</v>
      </c>
      <c r="D3505" s="372" t="str">
        <f t="shared" si="1431"/>
        <v>0,75-5 MW, Bonusregeln E2a, G2</v>
      </c>
      <c r="E3505" s="372"/>
      <c r="F3505" s="459">
        <f t="shared" si="1432"/>
        <v>20.48</v>
      </c>
      <c r="G3505" s="544">
        <v>20.48</v>
      </c>
      <c r="H3505" s="500">
        <f t="shared" si="1433"/>
        <v>16.38</v>
      </c>
      <c r="I3505" s="711"/>
      <c r="J3505" s="669" t="s">
        <v>5805</v>
      </c>
      <c r="K3505" s="23"/>
      <c r="L3505" s="70" t="str">
        <f t="shared" si="1434"/>
        <v/>
      </c>
      <c r="M3505" s="387">
        <f t="shared" si="1435"/>
        <v>20.48</v>
      </c>
      <c r="N3505" s="41">
        <f t="shared" si="1436"/>
        <v>10.564399999999999</v>
      </c>
      <c r="O3505" s="196"/>
      <c r="P3505" s="65"/>
      <c r="Q3505" s="35"/>
      <c r="R3505" s="35"/>
      <c r="S3505" s="43" t="s">
        <v>1017</v>
      </c>
      <c r="T3505" s="65"/>
      <c r="U3505" s="35"/>
      <c r="V3505" s="43"/>
      <c r="W3505" s="35" t="s">
        <v>1017</v>
      </c>
      <c r="X3505" s="50"/>
      <c r="AH3505" s="35" t="s">
        <v>1777</v>
      </c>
      <c r="AK3505" t="str">
        <f t="shared" si="1437"/>
        <v/>
      </c>
      <c r="AL3505" t="str">
        <f t="shared" si="1438"/>
        <v/>
      </c>
      <c r="AM3505" t="str">
        <f t="shared" si="1439"/>
        <v/>
      </c>
      <c r="AN3505" t="str">
        <f t="shared" si="1440"/>
        <v/>
      </c>
      <c r="AO3505" t="str">
        <f t="shared" si="1441"/>
        <v>E2a</v>
      </c>
      <c r="AP3505" t="str">
        <f t="shared" si="1442"/>
        <v/>
      </c>
      <c r="AQ3505" t="str">
        <f t="shared" si="1443"/>
        <v/>
      </c>
      <c r="AR3505" t="str">
        <f t="shared" si="1444"/>
        <v/>
      </c>
      <c r="AS3505" t="str">
        <f t="shared" si="1445"/>
        <v>G2</v>
      </c>
      <c r="AT3505" t="str">
        <f t="shared" si="1446"/>
        <v/>
      </c>
      <c r="AU3505" t="str">
        <f t="shared" si="1447"/>
        <v>E2aG2</v>
      </c>
      <c r="AV3505" s="254" t="str">
        <f t="shared" si="1429"/>
        <v>BiK273E2aG2-73</v>
      </c>
      <c r="AW3505">
        <f t="shared" si="1448"/>
        <v>14</v>
      </c>
      <c r="AX3505" t="str">
        <f t="shared" si="1449"/>
        <v>0,75-5 MW, Bonusregeln E2a, G2</v>
      </c>
    </row>
    <row r="3506" spans="1:50" x14ac:dyDescent="0.25">
      <c r="A3506" s="615" t="str">
        <f t="shared" si="1428"/>
        <v>BiK273E2cG2-14</v>
      </c>
      <c r="B3506" s="372" t="s">
        <v>5548</v>
      </c>
      <c r="C3506" s="375" t="str">
        <f t="shared" si="1430"/>
        <v>Inbetriebnahme 2014</v>
      </c>
      <c r="D3506" s="372" t="str">
        <f t="shared" si="1431"/>
        <v>0,75-5 MW, Bonusregeln E2c, G2</v>
      </c>
      <c r="E3506" s="372"/>
      <c r="F3506" s="459">
        <f t="shared" si="1432"/>
        <v>18.48</v>
      </c>
      <c r="G3506" s="544">
        <v>18.48</v>
      </c>
      <c r="H3506" s="500">
        <f t="shared" si="1433"/>
        <v>14.78</v>
      </c>
      <c r="I3506" s="711"/>
      <c r="J3506" s="669" t="s">
        <v>5805</v>
      </c>
      <c r="K3506" s="23"/>
      <c r="L3506" s="70" t="str">
        <f t="shared" si="1434"/>
        <v/>
      </c>
      <c r="M3506" s="387">
        <f t="shared" si="1435"/>
        <v>18.48</v>
      </c>
      <c r="N3506" s="41">
        <f t="shared" si="1436"/>
        <v>10.564399999999999</v>
      </c>
      <c r="O3506" s="196"/>
      <c r="P3506" s="65"/>
      <c r="Q3506" s="35"/>
      <c r="R3506" s="35"/>
      <c r="S3506" s="43"/>
      <c r="T3506" s="65"/>
      <c r="U3506" s="35" t="s">
        <v>1017</v>
      </c>
      <c r="V3506" s="43"/>
      <c r="W3506" s="35" t="s">
        <v>1017</v>
      </c>
      <c r="X3506" s="50"/>
      <c r="AH3506" s="35" t="s">
        <v>1777</v>
      </c>
      <c r="AK3506" t="str">
        <f t="shared" si="1437"/>
        <v/>
      </c>
      <c r="AL3506" t="str">
        <f t="shared" si="1438"/>
        <v/>
      </c>
      <c r="AM3506" t="str">
        <f t="shared" si="1439"/>
        <v/>
      </c>
      <c r="AN3506" t="str">
        <f t="shared" si="1440"/>
        <v/>
      </c>
      <c r="AO3506" t="str">
        <f t="shared" si="1441"/>
        <v/>
      </c>
      <c r="AP3506" t="str">
        <f t="shared" si="1442"/>
        <v/>
      </c>
      <c r="AQ3506" t="str">
        <f t="shared" si="1443"/>
        <v>E2c</v>
      </c>
      <c r="AR3506" t="str">
        <f t="shared" si="1444"/>
        <v/>
      </c>
      <c r="AS3506" t="str">
        <f t="shared" si="1445"/>
        <v>G2</v>
      </c>
      <c r="AT3506" t="str">
        <f t="shared" si="1446"/>
        <v/>
      </c>
      <c r="AU3506" t="str">
        <f t="shared" si="1447"/>
        <v>E2cG2</v>
      </c>
      <c r="AV3506" s="254" t="str">
        <f t="shared" si="1429"/>
        <v>BiK273E2cG2-73</v>
      </c>
      <c r="AW3506">
        <f t="shared" si="1448"/>
        <v>14</v>
      </c>
      <c r="AX3506" t="str">
        <f t="shared" si="1449"/>
        <v>0,75-5 MW, Bonusregeln E2c, G2</v>
      </c>
    </row>
    <row r="3507" spans="1:50" x14ac:dyDescent="0.25">
      <c r="A3507" s="615" t="str">
        <f t="shared" si="1428"/>
        <v>BiK273G3----14</v>
      </c>
      <c r="B3507" s="372" t="s">
        <v>5548</v>
      </c>
      <c r="C3507" s="375" t="str">
        <f t="shared" si="1430"/>
        <v>Inbetriebnahme 2014</v>
      </c>
      <c r="D3507" s="372" t="str">
        <f t="shared" si="1431"/>
        <v>0,75-5 MW, Bonusregel G3</v>
      </c>
      <c r="E3507" s="372"/>
      <c r="F3507" s="459">
        <f t="shared" si="1432"/>
        <v>11.52</v>
      </c>
      <c r="G3507" s="544">
        <v>11.52</v>
      </c>
      <c r="H3507" s="500">
        <f t="shared" si="1433"/>
        <v>9.2200000000000006</v>
      </c>
      <c r="I3507" s="711"/>
      <c r="J3507" s="669" t="s">
        <v>5805</v>
      </c>
      <c r="K3507" s="23"/>
      <c r="L3507" s="70" t="str">
        <f t="shared" si="1434"/>
        <v/>
      </c>
      <c r="M3507" s="387">
        <f t="shared" si="1435"/>
        <v>11.52</v>
      </c>
      <c r="N3507" s="41">
        <f t="shared" si="1436"/>
        <v>10.564399999999999</v>
      </c>
      <c r="O3507" s="196"/>
      <c r="P3507" s="65"/>
      <c r="Q3507" s="35"/>
      <c r="R3507" s="35"/>
      <c r="S3507" s="43"/>
      <c r="T3507" s="65"/>
      <c r="U3507" s="35"/>
      <c r="V3507" s="43"/>
      <c r="W3507" s="35"/>
      <c r="X3507" s="50" t="s">
        <v>1017</v>
      </c>
      <c r="AH3507" s="35" t="s">
        <v>1777</v>
      </c>
      <c r="AK3507" t="str">
        <f t="shared" si="1437"/>
        <v/>
      </c>
      <c r="AL3507" t="str">
        <f t="shared" si="1438"/>
        <v/>
      </c>
      <c r="AM3507" t="str">
        <f t="shared" si="1439"/>
        <v/>
      </c>
      <c r="AN3507" t="str">
        <f t="shared" si="1440"/>
        <v/>
      </c>
      <c r="AO3507" t="str">
        <f t="shared" si="1441"/>
        <v/>
      </c>
      <c r="AP3507" t="str">
        <f t="shared" si="1442"/>
        <v/>
      </c>
      <c r="AQ3507" t="str">
        <f t="shared" si="1443"/>
        <v/>
      </c>
      <c r="AR3507" t="str">
        <f t="shared" si="1444"/>
        <v/>
      </c>
      <c r="AS3507" t="str">
        <f t="shared" si="1445"/>
        <v/>
      </c>
      <c r="AT3507" t="str">
        <f t="shared" si="1446"/>
        <v>G3</v>
      </c>
      <c r="AU3507" t="str">
        <f t="shared" si="1447"/>
        <v>G3</v>
      </c>
      <c r="AV3507" s="254" t="str">
        <f t="shared" si="1429"/>
        <v>BiK273G3----73</v>
      </c>
      <c r="AW3507">
        <f t="shared" si="1448"/>
        <v>14</v>
      </c>
      <c r="AX3507" t="str">
        <f t="shared" si="1449"/>
        <v>0,75-5 MW, Bonusregel G3</v>
      </c>
    </row>
    <row r="3508" spans="1:50" x14ac:dyDescent="0.25">
      <c r="A3508" s="615" t="str">
        <f t="shared" si="1428"/>
        <v>BiK273E1cG3-14</v>
      </c>
      <c r="B3508" s="372" t="s">
        <v>5548</v>
      </c>
      <c r="C3508" s="375" t="str">
        <f t="shared" si="1430"/>
        <v>Inbetriebnahme 2014</v>
      </c>
      <c r="D3508" s="372" t="str">
        <f t="shared" si="1431"/>
        <v>0,75-5 MW, Bonusregeln E1c, G3</v>
      </c>
      <c r="E3508" s="372"/>
      <c r="F3508" s="459">
        <f t="shared" si="1432"/>
        <v>15.52</v>
      </c>
      <c r="G3508" s="544">
        <v>15.52</v>
      </c>
      <c r="H3508" s="500">
        <f t="shared" si="1433"/>
        <v>12.42</v>
      </c>
      <c r="I3508" s="711"/>
      <c r="J3508" s="669" t="s">
        <v>5805</v>
      </c>
      <c r="K3508" s="23"/>
      <c r="L3508" s="70" t="str">
        <f t="shared" si="1434"/>
        <v/>
      </c>
      <c r="M3508" s="387">
        <f t="shared" si="1435"/>
        <v>15.52</v>
      </c>
      <c r="N3508" s="41">
        <f t="shared" si="1436"/>
        <v>10.564399999999999</v>
      </c>
      <c r="O3508" s="196"/>
      <c r="P3508" s="65"/>
      <c r="Q3508" s="35" t="s">
        <v>1017</v>
      </c>
      <c r="R3508" s="35"/>
      <c r="S3508" s="43"/>
      <c r="T3508" s="65"/>
      <c r="U3508" s="35"/>
      <c r="V3508" s="43"/>
      <c r="W3508" s="35"/>
      <c r="X3508" s="50" t="s">
        <v>1017</v>
      </c>
      <c r="AH3508" s="35" t="s">
        <v>1777</v>
      </c>
      <c r="AK3508" t="str">
        <f t="shared" si="1437"/>
        <v/>
      </c>
      <c r="AL3508" t="str">
        <f t="shared" si="1438"/>
        <v/>
      </c>
      <c r="AM3508" t="str">
        <f t="shared" si="1439"/>
        <v>E1c</v>
      </c>
      <c r="AN3508" t="str">
        <f t="shared" si="1440"/>
        <v/>
      </c>
      <c r="AO3508" t="str">
        <f t="shared" si="1441"/>
        <v/>
      </c>
      <c r="AP3508" t="str">
        <f t="shared" si="1442"/>
        <v/>
      </c>
      <c r="AQ3508" t="str">
        <f t="shared" si="1443"/>
        <v/>
      </c>
      <c r="AR3508" t="str">
        <f t="shared" si="1444"/>
        <v/>
      </c>
      <c r="AS3508" t="str">
        <f t="shared" si="1445"/>
        <v/>
      </c>
      <c r="AT3508" t="str">
        <f t="shared" si="1446"/>
        <v>G3</v>
      </c>
      <c r="AU3508" t="str">
        <f t="shared" si="1447"/>
        <v>E1cG3</v>
      </c>
      <c r="AV3508" s="254" t="str">
        <f t="shared" si="1429"/>
        <v>BiK273E1cG3-73</v>
      </c>
      <c r="AW3508">
        <f t="shared" si="1448"/>
        <v>14</v>
      </c>
      <c r="AX3508" t="str">
        <f t="shared" si="1449"/>
        <v>0,75-5 MW, Bonusregeln E1c, G3</v>
      </c>
    </row>
    <row r="3509" spans="1:50" x14ac:dyDescent="0.25">
      <c r="A3509" s="615" t="str">
        <f t="shared" si="1428"/>
        <v>BiK273E1dG3-14</v>
      </c>
      <c r="B3509" s="372" t="s">
        <v>5548</v>
      </c>
      <c r="C3509" s="375" t="str">
        <f t="shared" si="1430"/>
        <v>Inbetriebnahme 2014</v>
      </c>
      <c r="D3509" s="372" t="str">
        <f t="shared" si="1431"/>
        <v>0,75-5 MW, Bonusregeln E1d, G3</v>
      </c>
      <c r="E3509" s="372"/>
      <c r="F3509" s="459">
        <f t="shared" si="1432"/>
        <v>14.02</v>
      </c>
      <c r="G3509" s="544">
        <v>14.02</v>
      </c>
      <c r="H3509" s="500">
        <f t="shared" si="1433"/>
        <v>11.22</v>
      </c>
      <c r="I3509" s="711"/>
      <c r="J3509" s="669" t="s">
        <v>5805</v>
      </c>
      <c r="K3509" s="23"/>
      <c r="L3509" s="70" t="str">
        <f t="shared" si="1434"/>
        <v/>
      </c>
      <c r="M3509" s="387">
        <f t="shared" si="1435"/>
        <v>14.02</v>
      </c>
      <c r="N3509" s="41">
        <f t="shared" si="1436"/>
        <v>10.564399999999999</v>
      </c>
      <c r="O3509" s="196"/>
      <c r="P3509" s="65"/>
      <c r="Q3509" s="35"/>
      <c r="R3509" s="35" t="s">
        <v>1017</v>
      </c>
      <c r="S3509" s="43"/>
      <c r="T3509" s="65"/>
      <c r="U3509" s="35"/>
      <c r="V3509" s="43"/>
      <c r="W3509" s="35"/>
      <c r="X3509" s="50" t="s">
        <v>1017</v>
      </c>
      <c r="AH3509" s="35" t="s">
        <v>1777</v>
      </c>
      <c r="AK3509" t="str">
        <f t="shared" si="1437"/>
        <v/>
      </c>
      <c r="AL3509" t="str">
        <f t="shared" si="1438"/>
        <v/>
      </c>
      <c r="AM3509" t="str">
        <f t="shared" si="1439"/>
        <v/>
      </c>
      <c r="AN3509" t="str">
        <f t="shared" si="1440"/>
        <v>E1d</v>
      </c>
      <c r="AO3509" t="str">
        <f t="shared" si="1441"/>
        <v/>
      </c>
      <c r="AP3509" t="str">
        <f t="shared" si="1442"/>
        <v/>
      </c>
      <c r="AQ3509" t="str">
        <f t="shared" si="1443"/>
        <v/>
      </c>
      <c r="AR3509" t="str">
        <f t="shared" si="1444"/>
        <v/>
      </c>
      <c r="AS3509" t="str">
        <f t="shared" si="1445"/>
        <v/>
      </c>
      <c r="AT3509" t="str">
        <f t="shared" si="1446"/>
        <v>G3</v>
      </c>
      <c r="AU3509" t="str">
        <f t="shared" si="1447"/>
        <v>E1dG3</v>
      </c>
      <c r="AV3509" s="254" t="str">
        <f t="shared" si="1429"/>
        <v>BiK273E1dG3-73</v>
      </c>
      <c r="AW3509">
        <f t="shared" si="1448"/>
        <v>14</v>
      </c>
      <c r="AX3509" t="str">
        <f t="shared" si="1449"/>
        <v>0,75-5 MW, Bonusregeln E1d, G3</v>
      </c>
    </row>
    <row r="3510" spans="1:50" x14ac:dyDescent="0.25">
      <c r="A3510" s="615" t="str">
        <f t="shared" si="1428"/>
        <v>BiK273E2aG3-14</v>
      </c>
      <c r="B3510" s="372" t="s">
        <v>5548</v>
      </c>
      <c r="C3510" s="375" t="str">
        <f t="shared" si="1430"/>
        <v>Inbetriebnahme 2014</v>
      </c>
      <c r="D3510" s="372" t="str">
        <f t="shared" si="1431"/>
        <v>0,75-5 MW, Bonusregeln E2a, G3</v>
      </c>
      <c r="E3510" s="372"/>
      <c r="F3510" s="459">
        <f t="shared" si="1432"/>
        <v>19.520000000000003</v>
      </c>
      <c r="G3510" s="544">
        <v>19.520000000000003</v>
      </c>
      <c r="H3510" s="500">
        <f t="shared" si="1433"/>
        <v>15.62</v>
      </c>
      <c r="I3510" s="711"/>
      <c r="J3510" s="669" t="s">
        <v>5805</v>
      </c>
      <c r="K3510" s="23"/>
      <c r="L3510" s="70" t="str">
        <f t="shared" si="1434"/>
        <v/>
      </c>
      <c r="M3510" s="387">
        <f t="shared" si="1435"/>
        <v>19.520000000000003</v>
      </c>
      <c r="N3510" s="41">
        <f t="shared" si="1436"/>
        <v>10.564399999999999</v>
      </c>
      <c r="O3510" s="196"/>
      <c r="P3510" s="65"/>
      <c r="Q3510" s="35"/>
      <c r="R3510" s="35"/>
      <c r="S3510" s="43" t="s">
        <v>1017</v>
      </c>
      <c r="T3510" s="65"/>
      <c r="U3510" s="35"/>
      <c r="V3510" s="43"/>
      <c r="W3510" s="35"/>
      <c r="X3510" s="50" t="s">
        <v>1017</v>
      </c>
      <c r="AH3510" s="35" t="s">
        <v>1777</v>
      </c>
      <c r="AK3510" t="str">
        <f t="shared" si="1437"/>
        <v/>
      </c>
      <c r="AL3510" t="str">
        <f t="shared" si="1438"/>
        <v/>
      </c>
      <c r="AM3510" t="str">
        <f t="shared" si="1439"/>
        <v/>
      </c>
      <c r="AN3510" t="str">
        <f t="shared" si="1440"/>
        <v/>
      </c>
      <c r="AO3510" t="str">
        <f t="shared" si="1441"/>
        <v>E2a</v>
      </c>
      <c r="AP3510" t="str">
        <f t="shared" si="1442"/>
        <v/>
      </c>
      <c r="AQ3510" t="str">
        <f t="shared" si="1443"/>
        <v/>
      </c>
      <c r="AR3510" t="str">
        <f t="shared" si="1444"/>
        <v/>
      </c>
      <c r="AS3510" t="str">
        <f t="shared" si="1445"/>
        <v/>
      </c>
      <c r="AT3510" t="str">
        <f t="shared" si="1446"/>
        <v>G3</v>
      </c>
      <c r="AU3510" t="str">
        <f t="shared" si="1447"/>
        <v>E2aG3</v>
      </c>
      <c r="AV3510" s="254" t="str">
        <f t="shared" si="1429"/>
        <v>BiK273E2aG3-73</v>
      </c>
      <c r="AW3510">
        <f t="shared" si="1448"/>
        <v>14</v>
      </c>
      <c r="AX3510" t="str">
        <f t="shared" si="1449"/>
        <v>0,75-5 MW, Bonusregeln E2a, G3</v>
      </c>
    </row>
    <row r="3511" spans="1:50" x14ac:dyDescent="0.25">
      <c r="A3511" s="615" t="str">
        <f t="shared" si="1428"/>
        <v>BiK273E2cG3-14</v>
      </c>
      <c r="B3511" s="372" t="s">
        <v>5548</v>
      </c>
      <c r="C3511" s="375" t="str">
        <f t="shared" si="1430"/>
        <v>Inbetriebnahme 2014</v>
      </c>
      <c r="D3511" s="372" t="str">
        <f t="shared" si="1431"/>
        <v>0,75-5 MW, Bonusregeln E2c, G3</v>
      </c>
      <c r="E3511" s="372"/>
      <c r="F3511" s="459">
        <f t="shared" si="1432"/>
        <v>17.52</v>
      </c>
      <c r="G3511" s="544">
        <v>17.52</v>
      </c>
      <c r="H3511" s="500">
        <f t="shared" si="1433"/>
        <v>14.02</v>
      </c>
      <c r="I3511" s="711"/>
      <c r="J3511" s="669" t="s">
        <v>5805</v>
      </c>
      <c r="K3511" s="23"/>
      <c r="L3511" s="70" t="str">
        <f t="shared" si="1434"/>
        <v/>
      </c>
      <c r="M3511" s="387">
        <f t="shared" si="1435"/>
        <v>17.52</v>
      </c>
      <c r="N3511" s="41">
        <f t="shared" si="1436"/>
        <v>10.564399999999999</v>
      </c>
      <c r="O3511" s="196"/>
      <c r="P3511" s="65"/>
      <c r="Q3511" s="35"/>
      <c r="R3511" s="35"/>
      <c r="S3511" s="43"/>
      <c r="T3511" s="65"/>
      <c r="U3511" s="35" t="s">
        <v>1017</v>
      </c>
      <c r="V3511" s="43"/>
      <c r="W3511" s="35"/>
      <c r="X3511" s="50" t="s">
        <v>1017</v>
      </c>
      <c r="AH3511" s="35" t="s">
        <v>1777</v>
      </c>
      <c r="AK3511" t="str">
        <f t="shared" si="1437"/>
        <v/>
      </c>
      <c r="AL3511" t="str">
        <f t="shared" si="1438"/>
        <v/>
      </c>
      <c r="AM3511" t="str">
        <f t="shared" si="1439"/>
        <v/>
      </c>
      <c r="AN3511" t="str">
        <f t="shared" si="1440"/>
        <v/>
      </c>
      <c r="AO3511" t="str">
        <f t="shared" si="1441"/>
        <v/>
      </c>
      <c r="AP3511" t="str">
        <f t="shared" si="1442"/>
        <v/>
      </c>
      <c r="AQ3511" t="str">
        <f t="shared" si="1443"/>
        <v>E2c</v>
      </c>
      <c r="AR3511" t="str">
        <f t="shared" si="1444"/>
        <v/>
      </c>
      <c r="AS3511" t="str">
        <f t="shared" si="1445"/>
        <v/>
      </c>
      <c r="AT3511" t="str">
        <f t="shared" si="1446"/>
        <v>G3</v>
      </c>
      <c r="AU3511" t="str">
        <f t="shared" si="1447"/>
        <v>E2cG3</v>
      </c>
      <c r="AV3511" s="254" t="str">
        <f t="shared" si="1429"/>
        <v>BiK273E2cG3-73</v>
      </c>
      <c r="AW3511">
        <f t="shared" si="1448"/>
        <v>14</v>
      </c>
      <c r="AX3511" t="str">
        <f t="shared" si="1449"/>
        <v>0,75-5 MW, Bonusregeln E2c, G3</v>
      </c>
    </row>
    <row r="3512" spans="1:50" x14ac:dyDescent="0.25">
      <c r="A3512" s="615" t="str">
        <f>"BiK274"&amp;AU3512&amp;RIGHT("------",6-LEN(AU3512))&amp;RIGHT($M$3439,2)</f>
        <v>BiK274------14</v>
      </c>
      <c r="B3512" s="372" t="s">
        <v>5548</v>
      </c>
      <c r="C3512" s="375" t="str">
        <f t="shared" si="1430"/>
        <v>Inbetriebnahme 2014</v>
      </c>
      <c r="D3512" s="372" t="str">
        <f t="shared" si="1431"/>
        <v>5-20 MW</v>
      </c>
      <c r="E3512" s="372"/>
      <c r="F3512" s="459">
        <f t="shared" si="1432"/>
        <v>5.76</v>
      </c>
      <c r="G3512" s="544">
        <v>5.76</v>
      </c>
      <c r="H3512" s="500">
        <f t="shared" si="1433"/>
        <v>4.6100000000000003</v>
      </c>
      <c r="I3512" s="711"/>
      <c r="J3512" s="669" t="s">
        <v>5805</v>
      </c>
      <c r="K3512" s="23"/>
      <c r="L3512" s="70" t="str">
        <f t="shared" si="1434"/>
        <v/>
      </c>
      <c r="M3512" s="387">
        <f t="shared" si="1435"/>
        <v>5.76</v>
      </c>
      <c r="N3512" s="41">
        <f t="shared" si="1436"/>
        <v>5.7623999999999995</v>
      </c>
      <c r="O3512" s="196"/>
      <c r="P3512" s="65"/>
      <c r="Q3512" s="65"/>
      <c r="R3512" s="67"/>
      <c r="S3512" s="65"/>
      <c r="T3512" s="65"/>
      <c r="U3512" s="67"/>
      <c r="V3512" s="65"/>
      <c r="W3512" s="65"/>
      <c r="X3512" s="67"/>
      <c r="AH3512" s="35" t="s">
        <v>1776</v>
      </c>
      <c r="AK3512" t="str">
        <f t="shared" si="1437"/>
        <v/>
      </c>
      <c r="AL3512" t="str">
        <f t="shared" si="1438"/>
        <v/>
      </c>
      <c r="AM3512" t="str">
        <f t="shared" si="1439"/>
        <v/>
      </c>
      <c r="AN3512" t="str">
        <f t="shared" si="1440"/>
        <v/>
      </c>
      <c r="AO3512" t="str">
        <f t="shared" si="1441"/>
        <v/>
      </c>
      <c r="AP3512" t="str">
        <f t="shared" si="1442"/>
        <v/>
      </c>
      <c r="AQ3512" t="str">
        <f t="shared" si="1443"/>
        <v/>
      </c>
      <c r="AR3512" t="str">
        <f t="shared" si="1444"/>
        <v/>
      </c>
      <c r="AS3512" t="str">
        <f t="shared" si="1445"/>
        <v/>
      </c>
      <c r="AT3512" t="str">
        <f t="shared" si="1446"/>
        <v/>
      </c>
      <c r="AU3512" t="str">
        <f t="shared" si="1447"/>
        <v/>
      </c>
      <c r="AV3512" s="254" t="str">
        <f>"BiK274"&amp;AU3512&amp;RIGHT("------",6-LEN(AU3512))&amp;RIGHT($M$3272,2)</f>
        <v>BiK274------73</v>
      </c>
      <c r="AW3512">
        <f t="shared" si="1448"/>
        <v>14</v>
      </c>
      <c r="AX3512" t="str">
        <f t="shared" si="1449"/>
        <v>5-20 MW</v>
      </c>
    </row>
    <row r="3513" spans="1:50" x14ac:dyDescent="0.25">
      <c r="A3513" s="4"/>
      <c r="B3513" s="2"/>
      <c r="C3513" s="1"/>
      <c r="D3513" s="2"/>
      <c r="E3513" s="1"/>
      <c r="F3513" s="442"/>
      <c r="G3513" s="13"/>
      <c r="H3513" s="13"/>
      <c r="I3513" s="692"/>
      <c r="J3513" s="669" t="s">
        <v>4180</v>
      </c>
      <c r="K3513" s="28"/>
      <c r="M3513" s="35"/>
      <c r="N3513" s="15"/>
      <c r="O3513" s="15"/>
    </row>
    <row r="3514" spans="1:50" s="259" customFormat="1" ht="20.25" customHeight="1" x14ac:dyDescent="0.25">
      <c r="A3514" s="266" t="s">
        <v>77</v>
      </c>
      <c r="B3514" s="255"/>
      <c r="C3514" s="256"/>
      <c r="D3514" s="255"/>
      <c r="E3514" s="256"/>
      <c r="F3514" s="463"/>
      <c r="G3514" s="257"/>
      <c r="H3514" s="257"/>
      <c r="I3514" s="717"/>
      <c r="J3514" s="669" t="s">
        <v>5805</v>
      </c>
      <c r="K3514" s="258"/>
      <c r="M3514" s="260" t="s">
        <v>78</v>
      </c>
      <c r="N3514" s="261"/>
      <c r="O3514" s="261"/>
      <c r="AG3514" s="262"/>
    </row>
    <row r="3515" spans="1:50" x14ac:dyDescent="0.25">
      <c r="A3515" s="4"/>
      <c r="B3515" s="2"/>
      <c r="C3515" s="34"/>
      <c r="D3515" s="34"/>
      <c r="E3515" s="2"/>
      <c r="F3515" s="445"/>
      <c r="G3515" s="14"/>
      <c r="H3515" s="14" t="str">
        <f t="shared" ref="H3515:H3541" si="1450">IF(ISNUMBER(G3515),ROUND(0.8*G3515,2),"")</f>
        <v/>
      </c>
      <c r="I3515" s="695"/>
      <c r="J3515" s="669" t="s">
        <v>4180</v>
      </c>
      <c r="N3515" s="270" t="s">
        <v>5490</v>
      </c>
      <c r="O3515" t="s">
        <v>1780</v>
      </c>
      <c r="P3515" t="s">
        <v>1779</v>
      </c>
      <c r="Q3515" t="s">
        <v>5408</v>
      </c>
      <c r="R3515" t="s">
        <v>1776</v>
      </c>
    </row>
    <row r="3516" spans="1:50" x14ac:dyDescent="0.25">
      <c r="A3516" s="607" t="s">
        <v>79</v>
      </c>
      <c r="B3516" s="435" t="s">
        <v>5548</v>
      </c>
      <c r="C3516" s="436" t="s">
        <v>39</v>
      </c>
      <c r="D3516" s="436" t="s">
        <v>1780</v>
      </c>
      <c r="E3516" s="435"/>
      <c r="F3516" s="450">
        <f>ROUND(HLOOKUP(D3516,O3515:R3517,3,FALSE),2)</f>
        <v>13.46</v>
      </c>
      <c r="G3516" s="437">
        <f>ROUND(HLOOKUP(D3516,O3515:R3517,2,FALSE),2)</f>
        <v>13.66</v>
      </c>
      <c r="H3516" s="437">
        <f t="shared" si="1450"/>
        <v>10.93</v>
      </c>
      <c r="I3516" s="700"/>
      <c r="J3516" s="669" t="s">
        <v>5805</v>
      </c>
      <c r="M3516" s="127">
        <v>2014</v>
      </c>
      <c r="N3516" s="395" t="s">
        <v>83</v>
      </c>
      <c r="O3516" s="327">
        <v>13.66</v>
      </c>
      <c r="P3516" s="327">
        <v>11.78</v>
      </c>
      <c r="Q3516" s="327">
        <v>10.55</v>
      </c>
      <c r="R3516" s="327">
        <v>5.85</v>
      </c>
      <c r="S3516" s="327"/>
      <c r="T3516" t="s">
        <v>49</v>
      </c>
    </row>
    <row r="3517" spans="1:50" x14ac:dyDescent="0.25">
      <c r="A3517" s="607" t="s">
        <v>80</v>
      </c>
      <c r="B3517" s="435" t="s">
        <v>5548</v>
      </c>
      <c r="C3517" s="436" t="s">
        <v>39</v>
      </c>
      <c r="D3517" s="436" t="s">
        <v>1779</v>
      </c>
      <c r="E3517" s="435"/>
      <c r="F3517" s="450">
        <f>ROUND(HLOOKUP(D3517,O3515:R3517,3,FALSE),2)</f>
        <v>11.58</v>
      </c>
      <c r="G3517" s="437">
        <f>ROUND(HLOOKUP(D3517,O3515:R3517,2,FALSE),2)</f>
        <v>11.78</v>
      </c>
      <c r="H3517" s="437">
        <f t="shared" si="1450"/>
        <v>9.42</v>
      </c>
      <c r="I3517" s="700"/>
      <c r="J3517" s="669" t="s">
        <v>5805</v>
      </c>
      <c r="N3517" s="395" t="s">
        <v>85</v>
      </c>
      <c r="O3517" s="327">
        <f>O3516-0.2</f>
        <v>13.46</v>
      </c>
      <c r="P3517" s="327">
        <f>P3516-0.2</f>
        <v>11.58</v>
      </c>
      <c r="Q3517" s="327">
        <f>Q3516-0.2</f>
        <v>10.350000000000001</v>
      </c>
      <c r="R3517" s="327">
        <f>R3516-0.2</f>
        <v>5.6499999999999995</v>
      </c>
      <c r="S3517" s="327"/>
      <c r="T3517" t="s">
        <v>50</v>
      </c>
    </row>
    <row r="3518" spans="1:50" x14ac:dyDescent="0.25">
      <c r="A3518" s="607" t="s">
        <v>81</v>
      </c>
      <c r="B3518" s="435" t="s">
        <v>5548</v>
      </c>
      <c r="C3518" s="436" t="s">
        <v>39</v>
      </c>
      <c r="D3518" s="436" t="s">
        <v>5408</v>
      </c>
      <c r="E3518" s="435"/>
      <c r="F3518" s="450">
        <f>ROUND(HLOOKUP(D3518,O3515:R3517,3,FALSE),2)</f>
        <v>10.35</v>
      </c>
      <c r="G3518" s="437">
        <f>ROUND(HLOOKUP(D3518,O3515:R3517,2,FALSE),2)</f>
        <v>10.55</v>
      </c>
      <c r="H3518" s="437">
        <f t="shared" si="1450"/>
        <v>8.44</v>
      </c>
      <c r="I3518" s="700"/>
      <c r="J3518" s="669" t="s">
        <v>5805</v>
      </c>
      <c r="N3518" s="395"/>
      <c r="O3518" s="327"/>
      <c r="P3518" s="327"/>
      <c r="Q3518" s="327"/>
    </row>
    <row r="3519" spans="1:50" x14ac:dyDescent="0.25">
      <c r="A3519" s="607" t="s">
        <v>82</v>
      </c>
      <c r="B3519" s="435" t="s">
        <v>5548</v>
      </c>
      <c r="C3519" s="436" t="s">
        <v>39</v>
      </c>
      <c r="D3519" s="436" t="s">
        <v>1776</v>
      </c>
      <c r="E3519" s="435"/>
      <c r="F3519" s="450">
        <f>ROUND(HLOOKUP(D3519,O3515:R3517,3,FALSE),2)</f>
        <v>5.65</v>
      </c>
      <c r="G3519" s="437">
        <f>ROUND(HLOOKUP(D3519,O3515:R3517,2,FALSE),2)</f>
        <v>5.85</v>
      </c>
      <c r="H3519" s="437">
        <f t="shared" si="1450"/>
        <v>4.68</v>
      </c>
      <c r="I3519" s="700"/>
      <c r="J3519" s="669" t="s">
        <v>5805</v>
      </c>
      <c r="N3519" s="395"/>
      <c r="O3519" s="327"/>
      <c r="P3519" s="327"/>
      <c r="Q3519" s="327"/>
    </row>
    <row r="3520" spans="1:50" x14ac:dyDescent="0.25">
      <c r="A3520" s="608"/>
      <c r="B3520" s="2"/>
      <c r="C3520" s="34"/>
      <c r="D3520" s="34"/>
      <c r="E3520" s="2"/>
      <c r="F3520" s="445"/>
      <c r="G3520" s="14"/>
      <c r="H3520" s="14" t="str">
        <f t="shared" si="1450"/>
        <v/>
      </c>
      <c r="I3520" s="695"/>
      <c r="J3520" s="669" t="s">
        <v>4180</v>
      </c>
      <c r="N3520" s="270" t="s">
        <v>5490</v>
      </c>
      <c r="O3520" t="s">
        <v>1780</v>
      </c>
      <c r="P3520" t="s">
        <v>1779</v>
      </c>
      <c r="Q3520" t="s">
        <v>5408</v>
      </c>
      <c r="R3520" t="s">
        <v>1776</v>
      </c>
    </row>
    <row r="3521" spans="1:26" x14ac:dyDescent="0.25">
      <c r="A3521" s="607" t="s">
        <v>398</v>
      </c>
      <c r="B3521" s="435" t="s">
        <v>5548</v>
      </c>
      <c r="C3521" s="436" t="s">
        <v>380</v>
      </c>
      <c r="D3521" s="436" t="s">
        <v>1780</v>
      </c>
      <c r="E3521" s="435"/>
      <c r="F3521" s="450">
        <f>ROUND(HLOOKUP(D3521,O3520:R3522,3,FALSE),2)</f>
        <v>13.46</v>
      </c>
      <c r="G3521" s="437">
        <f>ROUND(HLOOKUP(D3521,O3520:R3522,2,FALSE),2)</f>
        <v>13.66</v>
      </c>
      <c r="H3521" s="437">
        <f t="shared" si="1450"/>
        <v>10.93</v>
      </c>
      <c r="I3521" s="700"/>
      <c r="J3521" s="669" t="s">
        <v>5805</v>
      </c>
      <c r="M3521" s="127">
        <v>2015</v>
      </c>
      <c r="N3521" s="395" t="s">
        <v>83</v>
      </c>
      <c r="O3521" s="327">
        <v>13.66</v>
      </c>
      <c r="P3521" s="327">
        <v>11.78</v>
      </c>
      <c r="Q3521" s="327">
        <v>10.55</v>
      </c>
      <c r="R3521" s="327">
        <v>5.85</v>
      </c>
      <c r="S3521" s="327"/>
      <c r="T3521" t="s">
        <v>49</v>
      </c>
    </row>
    <row r="3522" spans="1:26" x14ac:dyDescent="0.25">
      <c r="A3522" s="607" t="s">
        <v>399</v>
      </c>
      <c r="B3522" s="435" t="s">
        <v>5548</v>
      </c>
      <c r="C3522" s="436" t="s">
        <v>380</v>
      </c>
      <c r="D3522" s="436" t="s">
        <v>1779</v>
      </c>
      <c r="E3522" s="435"/>
      <c r="F3522" s="450">
        <f>ROUND(HLOOKUP(D3522,O3520:R3522,3,FALSE),2)</f>
        <v>11.58</v>
      </c>
      <c r="G3522" s="437">
        <f>ROUND(HLOOKUP(D3522,O3520:R3522,2,FALSE),2)</f>
        <v>11.78</v>
      </c>
      <c r="H3522" s="437">
        <f t="shared" si="1450"/>
        <v>9.42</v>
      </c>
      <c r="I3522" s="700"/>
      <c r="J3522" s="669" t="s">
        <v>5805</v>
      </c>
      <c r="N3522" s="395" t="s">
        <v>85</v>
      </c>
      <c r="O3522" s="327">
        <f>O3521-0.2</f>
        <v>13.46</v>
      </c>
      <c r="P3522" s="327">
        <f>P3521-0.2</f>
        <v>11.58</v>
      </c>
      <c r="Q3522" s="327">
        <f>Q3521-0.2</f>
        <v>10.350000000000001</v>
      </c>
      <c r="R3522" s="327">
        <f>R3521-0.2</f>
        <v>5.6499999999999995</v>
      </c>
      <c r="S3522" s="327"/>
      <c r="T3522" t="s">
        <v>50</v>
      </c>
    </row>
    <row r="3523" spans="1:26" x14ac:dyDescent="0.25">
      <c r="A3523" s="607" t="s">
        <v>400</v>
      </c>
      <c r="B3523" s="435" t="s">
        <v>5548</v>
      </c>
      <c r="C3523" s="436" t="s">
        <v>380</v>
      </c>
      <c r="D3523" s="436" t="s">
        <v>5408</v>
      </c>
      <c r="E3523" s="435"/>
      <c r="F3523" s="450">
        <f>ROUND(HLOOKUP(D3523,O3520:R3522,3,FALSE),2)</f>
        <v>10.35</v>
      </c>
      <c r="G3523" s="437">
        <f>ROUND(HLOOKUP(D3523,O3520:R3522,2,FALSE),2)</f>
        <v>10.55</v>
      </c>
      <c r="H3523" s="437">
        <f t="shared" si="1450"/>
        <v>8.44</v>
      </c>
      <c r="I3523" s="700"/>
      <c r="J3523" s="669" t="s">
        <v>5805</v>
      </c>
      <c r="N3523" s="395"/>
      <c r="O3523" s="327"/>
      <c r="P3523" s="327"/>
      <c r="Q3523" s="327"/>
    </row>
    <row r="3524" spans="1:26" x14ac:dyDescent="0.25">
      <c r="A3524" s="607" t="s">
        <v>401</v>
      </c>
      <c r="B3524" s="435" t="s">
        <v>5548</v>
      </c>
      <c r="C3524" s="436" t="s">
        <v>380</v>
      </c>
      <c r="D3524" s="436" t="s">
        <v>1776</v>
      </c>
      <c r="E3524" s="435"/>
      <c r="F3524" s="450">
        <f>ROUND(HLOOKUP(D3524,O3520:R3522,3,FALSE),2)</f>
        <v>5.65</v>
      </c>
      <c r="G3524" s="437">
        <f>ROUND(HLOOKUP(D3524,O3520:R3522,2,FALSE),2)</f>
        <v>5.85</v>
      </c>
      <c r="H3524" s="437">
        <f t="shared" si="1450"/>
        <v>4.68</v>
      </c>
      <c r="I3524" s="700"/>
      <c r="J3524" s="669" t="s">
        <v>5805</v>
      </c>
      <c r="N3524" s="395"/>
      <c r="O3524" s="327"/>
      <c r="P3524" s="327"/>
      <c r="Q3524" s="327"/>
    </row>
    <row r="3525" spans="1:26" x14ac:dyDescent="0.25">
      <c r="A3525" s="608"/>
      <c r="B3525" s="2"/>
      <c r="C3525" s="34"/>
      <c r="D3525" s="34"/>
      <c r="E3525" s="2"/>
      <c r="F3525" s="445"/>
      <c r="G3525" s="14"/>
      <c r="H3525" s="14" t="str">
        <f t="shared" si="1450"/>
        <v/>
      </c>
      <c r="I3525" s="695"/>
      <c r="J3525" s="669" t="s">
        <v>4180</v>
      </c>
      <c r="M3525">
        <v>2016</v>
      </c>
      <c r="N3525" t="s">
        <v>5682</v>
      </c>
      <c r="O3525" s="270" t="s">
        <v>5490</v>
      </c>
      <c r="P3525" t="s">
        <v>1780</v>
      </c>
      <c r="Q3525" t="s">
        <v>1779</v>
      </c>
      <c r="R3525" t="s">
        <v>5408</v>
      </c>
      <c r="S3525" t="s">
        <v>1776</v>
      </c>
      <c r="T3525" t="s">
        <v>49</v>
      </c>
      <c r="U3525" s="127" t="s">
        <v>2884</v>
      </c>
      <c r="V3525" t="s">
        <v>1780</v>
      </c>
      <c r="W3525" t="s">
        <v>1779</v>
      </c>
      <c r="X3525" t="s">
        <v>5408</v>
      </c>
      <c r="Y3525" t="s">
        <v>1776</v>
      </c>
      <c r="Z3525" t="s">
        <v>50</v>
      </c>
    </row>
    <row r="3526" spans="1:26" x14ac:dyDescent="0.25">
      <c r="A3526" s="607" t="s">
        <v>5678</v>
      </c>
      <c r="B3526" s="435" t="s">
        <v>5548</v>
      </c>
      <c r="C3526" s="436" t="s">
        <v>5677</v>
      </c>
      <c r="D3526" s="436" t="s">
        <v>1780</v>
      </c>
      <c r="E3526" s="435"/>
      <c r="F3526" s="450">
        <f t="shared" ref="F3526:F3541" si="1451">IF(HLOOKUP($D3526,$V$3525:$Y$3529,MATCH(MID($A3526,11,2),$N$3525:$N$3529,0),FALSE)&lt;&gt;"",ROUND(HLOOKUP($D3526,$V$3525:$Y$3529,MATCH(MID($A3526,11,2),$N$3525:$N$3529,0),FALSE),2),"")</f>
        <v>13.39</v>
      </c>
      <c r="G3526" s="437">
        <f t="shared" ref="G3526:G3541" si="1452">IF(HLOOKUP($D3526,$O$3525:$S$3529,MATCH(MID($A3526,11,2),$N$3525:$N$3529,0),FALSE)&lt;&gt;"",ROUND(HLOOKUP($D3526,$O$3525:$S$3529,MATCH(MID($A3526,11,2),$N$3525:$N$3529,0),FALSE),2),"")</f>
        <v>13.59</v>
      </c>
      <c r="H3526" s="437">
        <f t="shared" si="1450"/>
        <v>10.87</v>
      </c>
      <c r="I3526" s="700"/>
      <c r="J3526" s="669" t="s">
        <v>5805</v>
      </c>
      <c r="N3526" s="636" t="s">
        <v>5759</v>
      </c>
      <c r="O3526" s="568">
        <v>5.0000000000000001E-3</v>
      </c>
      <c r="P3526" s="327">
        <f>IF($O3526&lt;&gt;"",(1-$O3526)*O3521,"")</f>
        <v>13.591699999999999</v>
      </c>
      <c r="Q3526" s="327">
        <f>IF($O3526&lt;&gt;"",(1-$O3526)*P3521,"")</f>
        <v>11.7211</v>
      </c>
      <c r="R3526" s="327">
        <f>IF($O3526&lt;&gt;"",(1-$O3526)*Q3521,"")</f>
        <v>10.497250000000001</v>
      </c>
      <c r="S3526" s="327">
        <f>IF($O3526&lt;&gt;"",(1-$O3526)*R3521,"")</f>
        <v>5.8207499999999994</v>
      </c>
      <c r="V3526" s="327">
        <f>IF($O3526&lt;&gt;"",(1-$O3526)*O3522,"")</f>
        <v>13.392700000000001</v>
      </c>
      <c r="W3526" s="327">
        <f>IF($O3526&lt;&gt;"",(1-$O3526)*P3522,"")</f>
        <v>11.5221</v>
      </c>
      <c r="X3526" s="327">
        <f>IF($O3526&lt;&gt;"",(1-$O3526)*Q3522,"")</f>
        <v>10.298250000000001</v>
      </c>
      <c r="Y3526" s="327">
        <f>IF($O3526&lt;&gt;"",(1-$O3526)*R3522,"")</f>
        <v>5.6217499999999996</v>
      </c>
    </row>
    <row r="3527" spans="1:26" x14ac:dyDescent="0.25">
      <c r="A3527" s="607" t="s">
        <v>5679</v>
      </c>
      <c r="B3527" s="435" t="s">
        <v>5548</v>
      </c>
      <c r="C3527" s="436" t="s">
        <v>5677</v>
      </c>
      <c r="D3527" s="436" t="s">
        <v>1779</v>
      </c>
      <c r="E3527" s="435"/>
      <c r="F3527" s="450">
        <f t="shared" si="1451"/>
        <v>11.52</v>
      </c>
      <c r="G3527" s="437">
        <f t="shared" si="1452"/>
        <v>11.72</v>
      </c>
      <c r="H3527" s="437">
        <f t="shared" si="1450"/>
        <v>9.3800000000000008</v>
      </c>
      <c r="I3527" s="700"/>
      <c r="J3527" s="669" t="s">
        <v>5805</v>
      </c>
      <c r="N3527" s="636" t="s">
        <v>5760</v>
      </c>
      <c r="O3527" s="568">
        <v>5.0000000000000001E-3</v>
      </c>
      <c r="P3527" s="327">
        <f t="shared" ref="P3527:S3529" si="1453">IF($O3527&lt;&gt;"",(1-$O3527)*P3526,"")</f>
        <v>13.5237415</v>
      </c>
      <c r="Q3527" s="327">
        <f t="shared" si="1453"/>
        <v>11.662494499999999</v>
      </c>
      <c r="R3527" s="327">
        <f t="shared" si="1453"/>
        <v>10.444763750000002</v>
      </c>
      <c r="S3527" s="327">
        <f t="shared" si="1453"/>
        <v>5.7916462499999994</v>
      </c>
      <c r="V3527" s="327">
        <f t="shared" ref="V3527:Y3529" si="1454">IF($O3527&lt;&gt;"",(1-$O3527)*V3526,"")</f>
        <v>13.325736500000001</v>
      </c>
      <c r="W3527" s="327">
        <f t="shared" si="1454"/>
        <v>11.464489499999999</v>
      </c>
      <c r="X3527" s="327">
        <f t="shared" si="1454"/>
        <v>10.246758750000001</v>
      </c>
      <c r="Y3527" s="327">
        <f t="shared" si="1454"/>
        <v>5.5936412499999992</v>
      </c>
    </row>
    <row r="3528" spans="1:26" x14ac:dyDescent="0.25">
      <c r="A3528" s="607" t="s">
        <v>5680</v>
      </c>
      <c r="B3528" s="435" t="s">
        <v>5548</v>
      </c>
      <c r="C3528" s="436" t="s">
        <v>5677</v>
      </c>
      <c r="D3528" s="436" t="s">
        <v>5408</v>
      </c>
      <c r="E3528" s="435"/>
      <c r="F3528" s="450">
        <f t="shared" si="1451"/>
        <v>10.3</v>
      </c>
      <c r="G3528" s="437">
        <f t="shared" si="1452"/>
        <v>10.5</v>
      </c>
      <c r="H3528" s="437">
        <f t="shared" si="1450"/>
        <v>8.4</v>
      </c>
      <c r="I3528" s="700"/>
      <c r="J3528" s="669" t="s">
        <v>5805</v>
      </c>
      <c r="N3528" s="636" t="s">
        <v>5761</v>
      </c>
      <c r="O3528" s="568">
        <v>5.0000000000000001E-3</v>
      </c>
      <c r="P3528" s="327">
        <f t="shared" si="1453"/>
        <v>13.4561227925</v>
      </c>
      <c r="Q3528" s="327">
        <f t="shared" si="1453"/>
        <v>11.604182027499998</v>
      </c>
      <c r="R3528" s="327">
        <f t="shared" si="1453"/>
        <v>10.392539931250001</v>
      </c>
      <c r="S3528" s="327">
        <f t="shared" si="1453"/>
        <v>5.7626880187499996</v>
      </c>
      <c r="V3528" s="327">
        <f t="shared" si="1454"/>
        <v>13.259107817500002</v>
      </c>
      <c r="W3528" s="327">
        <f t="shared" si="1454"/>
        <v>11.407167052499998</v>
      </c>
      <c r="X3528" s="327">
        <f t="shared" si="1454"/>
        <v>10.195524956250001</v>
      </c>
      <c r="Y3528" s="327">
        <f t="shared" si="1454"/>
        <v>5.5656730437499995</v>
      </c>
    </row>
    <row r="3529" spans="1:26" x14ac:dyDescent="0.25">
      <c r="A3529" s="607" t="s">
        <v>5681</v>
      </c>
      <c r="B3529" s="435" t="s">
        <v>5548</v>
      </c>
      <c r="C3529" s="436" t="s">
        <v>5677</v>
      </c>
      <c r="D3529" s="436" t="s">
        <v>1776</v>
      </c>
      <c r="E3529" s="435"/>
      <c r="F3529" s="450">
        <f t="shared" si="1451"/>
        <v>5.62</v>
      </c>
      <c r="G3529" s="437">
        <f t="shared" si="1452"/>
        <v>5.82</v>
      </c>
      <c r="H3529" s="437">
        <f t="shared" si="1450"/>
        <v>4.66</v>
      </c>
      <c r="I3529" s="700"/>
      <c r="J3529" s="669" t="s">
        <v>5805</v>
      </c>
      <c r="N3529" s="636" t="s">
        <v>5762</v>
      </c>
      <c r="O3529" s="568">
        <v>5.0000000000000001E-3</v>
      </c>
      <c r="P3529" s="327">
        <f t="shared" si="1453"/>
        <v>13.3888421785375</v>
      </c>
      <c r="Q3529" s="327">
        <f t="shared" si="1453"/>
        <v>11.546161117362498</v>
      </c>
      <c r="R3529" s="327">
        <f t="shared" si="1453"/>
        <v>10.34057723159375</v>
      </c>
      <c r="S3529" s="327">
        <f t="shared" si="1453"/>
        <v>5.7338745786562493</v>
      </c>
      <c r="V3529" s="327">
        <f t="shared" si="1454"/>
        <v>13.192812278412502</v>
      </c>
      <c r="W3529" s="327">
        <f t="shared" si="1454"/>
        <v>11.350131217237498</v>
      </c>
      <c r="X3529" s="327">
        <f t="shared" si="1454"/>
        <v>10.14454733146875</v>
      </c>
      <c r="Y3529" s="327">
        <f t="shared" si="1454"/>
        <v>5.5378446785312496</v>
      </c>
    </row>
    <row r="3530" spans="1:26" x14ac:dyDescent="0.25">
      <c r="A3530" s="607" t="s">
        <v>5683</v>
      </c>
      <c r="B3530" s="435" t="s">
        <v>5548</v>
      </c>
      <c r="C3530" s="436" t="s">
        <v>5695</v>
      </c>
      <c r="D3530" s="436" t="s">
        <v>1780</v>
      </c>
      <c r="E3530" s="435"/>
      <c r="F3530" s="450">
        <f t="shared" si="1451"/>
        <v>13.33</v>
      </c>
      <c r="G3530" s="437">
        <f t="shared" si="1452"/>
        <v>13.52</v>
      </c>
      <c r="H3530" s="437">
        <f t="shared" si="1450"/>
        <v>10.82</v>
      </c>
      <c r="I3530" s="700"/>
      <c r="J3530" s="669" t="s">
        <v>5805</v>
      </c>
      <c r="N3530" s="127"/>
      <c r="O3530" s="395"/>
      <c r="P3530" s="327"/>
      <c r="Q3530" s="327"/>
      <c r="R3530" s="327"/>
      <c r="S3530" s="327"/>
      <c r="U3530" s="327"/>
      <c r="V3530" s="327"/>
      <c r="W3530" s="327"/>
      <c r="X3530" s="327"/>
    </row>
    <row r="3531" spans="1:26" x14ac:dyDescent="0.25">
      <c r="A3531" s="607" t="s">
        <v>5684</v>
      </c>
      <c r="B3531" s="435" t="s">
        <v>5548</v>
      </c>
      <c r="C3531" s="436" t="s">
        <v>5695</v>
      </c>
      <c r="D3531" s="436" t="s">
        <v>1779</v>
      </c>
      <c r="E3531" s="435"/>
      <c r="F3531" s="450">
        <f t="shared" si="1451"/>
        <v>11.46</v>
      </c>
      <c r="G3531" s="437">
        <f t="shared" si="1452"/>
        <v>11.66</v>
      </c>
      <c r="H3531" s="437">
        <f t="shared" si="1450"/>
        <v>9.33</v>
      </c>
      <c r="I3531" s="700"/>
      <c r="J3531" s="669" t="s">
        <v>5805</v>
      </c>
      <c r="N3531" s="127"/>
      <c r="O3531" s="395"/>
      <c r="P3531" s="327"/>
      <c r="Q3531" s="327"/>
      <c r="R3531" s="327"/>
      <c r="S3531" s="327"/>
      <c r="U3531" s="327"/>
      <c r="V3531" s="327"/>
      <c r="W3531" s="327"/>
      <c r="X3531" s="327"/>
    </row>
    <row r="3532" spans="1:26" x14ac:dyDescent="0.25">
      <c r="A3532" s="607" t="s">
        <v>5685</v>
      </c>
      <c r="B3532" s="435" t="s">
        <v>5548</v>
      </c>
      <c r="C3532" s="436" t="s">
        <v>5695</v>
      </c>
      <c r="D3532" s="436" t="s">
        <v>5408</v>
      </c>
      <c r="E3532" s="435"/>
      <c r="F3532" s="450">
        <f t="shared" si="1451"/>
        <v>10.25</v>
      </c>
      <c r="G3532" s="437">
        <f t="shared" si="1452"/>
        <v>10.44</v>
      </c>
      <c r="H3532" s="437">
        <f t="shared" si="1450"/>
        <v>8.35</v>
      </c>
      <c r="I3532" s="700"/>
      <c r="J3532" s="669" t="s">
        <v>5805</v>
      </c>
      <c r="N3532" s="127"/>
      <c r="O3532" s="395"/>
      <c r="P3532" s="327"/>
      <c r="Q3532" s="327"/>
      <c r="R3532" s="327"/>
      <c r="S3532" s="327"/>
      <c r="U3532" s="327"/>
      <c r="V3532" s="327"/>
      <c r="W3532" s="327"/>
      <c r="X3532" s="327"/>
    </row>
    <row r="3533" spans="1:26" x14ac:dyDescent="0.25">
      <c r="A3533" s="607" t="s">
        <v>5686</v>
      </c>
      <c r="B3533" s="435" t="s">
        <v>5548</v>
      </c>
      <c r="C3533" s="436" t="s">
        <v>5695</v>
      </c>
      <c r="D3533" s="436" t="s">
        <v>1776</v>
      </c>
      <c r="E3533" s="435"/>
      <c r="F3533" s="450">
        <f t="shared" si="1451"/>
        <v>5.59</v>
      </c>
      <c r="G3533" s="437">
        <f t="shared" si="1452"/>
        <v>5.79</v>
      </c>
      <c r="H3533" s="437">
        <f t="shared" si="1450"/>
        <v>4.63</v>
      </c>
      <c r="I3533" s="700"/>
      <c r="J3533" s="669" t="s">
        <v>5805</v>
      </c>
      <c r="N3533" s="127"/>
      <c r="O3533" s="395"/>
      <c r="P3533" s="327"/>
      <c r="Q3533" s="327"/>
      <c r="R3533" s="327"/>
      <c r="S3533" s="327"/>
      <c r="U3533" s="327"/>
      <c r="V3533" s="327"/>
      <c r="W3533" s="327"/>
      <c r="X3533" s="327"/>
    </row>
    <row r="3534" spans="1:26" x14ac:dyDescent="0.25">
      <c r="A3534" s="607" t="s">
        <v>5687</v>
      </c>
      <c r="B3534" s="435" t="s">
        <v>5548</v>
      </c>
      <c r="C3534" s="436" t="s">
        <v>5696</v>
      </c>
      <c r="D3534" s="436" t="s">
        <v>1780</v>
      </c>
      <c r="E3534" s="435"/>
      <c r="F3534" s="450">
        <f t="shared" si="1451"/>
        <v>13.26</v>
      </c>
      <c r="G3534" s="437">
        <f t="shared" si="1452"/>
        <v>13.46</v>
      </c>
      <c r="H3534" s="437">
        <f t="shared" si="1450"/>
        <v>10.77</v>
      </c>
      <c r="I3534" s="700"/>
      <c r="J3534" s="669" t="s">
        <v>5805</v>
      </c>
      <c r="N3534" s="127"/>
      <c r="O3534" s="395"/>
      <c r="P3534" s="327"/>
      <c r="Q3534" s="327"/>
      <c r="R3534" s="327"/>
      <c r="S3534" s="327"/>
      <c r="U3534" s="327"/>
      <c r="V3534" s="327"/>
      <c r="W3534" s="327"/>
      <c r="X3534" s="327"/>
    </row>
    <row r="3535" spans="1:26" x14ac:dyDescent="0.25">
      <c r="A3535" s="607" t="s">
        <v>5688</v>
      </c>
      <c r="B3535" s="435" t="s">
        <v>5548</v>
      </c>
      <c r="C3535" s="436" t="s">
        <v>5696</v>
      </c>
      <c r="D3535" s="436" t="s">
        <v>1779</v>
      </c>
      <c r="E3535" s="435"/>
      <c r="F3535" s="450">
        <f t="shared" si="1451"/>
        <v>11.41</v>
      </c>
      <c r="G3535" s="437">
        <f t="shared" si="1452"/>
        <v>11.6</v>
      </c>
      <c r="H3535" s="437">
        <f t="shared" si="1450"/>
        <v>9.2799999999999994</v>
      </c>
      <c r="I3535" s="700"/>
      <c r="J3535" s="669" t="s">
        <v>5805</v>
      </c>
      <c r="N3535" s="127"/>
      <c r="O3535" s="395"/>
      <c r="P3535" s="327"/>
      <c r="Q3535" s="327"/>
      <c r="R3535" s="327"/>
      <c r="S3535" s="327"/>
      <c r="U3535" s="327"/>
      <c r="V3535" s="327"/>
      <c r="W3535" s="327"/>
      <c r="X3535" s="327"/>
    </row>
    <row r="3536" spans="1:26" x14ac:dyDescent="0.25">
      <c r="A3536" s="607" t="s">
        <v>5689</v>
      </c>
      <c r="B3536" s="435" t="s">
        <v>5548</v>
      </c>
      <c r="C3536" s="436" t="s">
        <v>5696</v>
      </c>
      <c r="D3536" s="436" t="s">
        <v>5408</v>
      </c>
      <c r="E3536" s="435"/>
      <c r="F3536" s="450">
        <f t="shared" si="1451"/>
        <v>10.199999999999999</v>
      </c>
      <c r="G3536" s="437">
        <f t="shared" si="1452"/>
        <v>10.39</v>
      </c>
      <c r="H3536" s="437">
        <f t="shared" si="1450"/>
        <v>8.31</v>
      </c>
      <c r="I3536" s="700"/>
      <c r="J3536" s="669" t="s">
        <v>5805</v>
      </c>
      <c r="N3536" s="127"/>
      <c r="O3536" s="395"/>
      <c r="P3536" s="327"/>
      <c r="Q3536" s="327"/>
      <c r="R3536" s="327"/>
      <c r="S3536" s="327"/>
      <c r="U3536" s="327"/>
      <c r="V3536" s="327"/>
      <c r="W3536" s="327"/>
      <c r="X3536" s="327"/>
    </row>
    <row r="3537" spans="1:26" x14ac:dyDescent="0.25">
      <c r="A3537" s="607" t="s">
        <v>5690</v>
      </c>
      <c r="B3537" s="435" t="s">
        <v>5548</v>
      </c>
      <c r="C3537" s="436" t="s">
        <v>5696</v>
      </c>
      <c r="D3537" s="436" t="s">
        <v>1776</v>
      </c>
      <c r="E3537" s="435"/>
      <c r="F3537" s="450">
        <f t="shared" si="1451"/>
        <v>5.57</v>
      </c>
      <c r="G3537" s="437">
        <f t="shared" si="1452"/>
        <v>5.76</v>
      </c>
      <c r="H3537" s="437">
        <f t="shared" si="1450"/>
        <v>4.6100000000000003</v>
      </c>
      <c r="I3537" s="700"/>
      <c r="J3537" s="669" t="s">
        <v>5805</v>
      </c>
      <c r="N3537" s="127"/>
      <c r="O3537" s="395"/>
      <c r="P3537" s="327"/>
      <c r="Q3537" s="327"/>
      <c r="R3537" s="327"/>
      <c r="S3537" s="327"/>
      <c r="U3537" s="327"/>
      <c r="V3537" s="327"/>
      <c r="W3537" s="327"/>
      <c r="X3537" s="327"/>
    </row>
    <row r="3538" spans="1:26" x14ac:dyDescent="0.25">
      <c r="A3538" s="607" t="s">
        <v>5691</v>
      </c>
      <c r="B3538" s="435" t="s">
        <v>5548</v>
      </c>
      <c r="C3538" s="436" t="s">
        <v>5697</v>
      </c>
      <c r="D3538" s="436" t="s">
        <v>1780</v>
      </c>
      <c r="E3538" s="435"/>
      <c r="F3538" s="450">
        <f t="shared" si="1451"/>
        <v>13.19</v>
      </c>
      <c r="G3538" s="437">
        <f t="shared" si="1452"/>
        <v>13.39</v>
      </c>
      <c r="H3538" s="437">
        <f t="shared" si="1450"/>
        <v>10.71</v>
      </c>
      <c r="I3538" s="700"/>
      <c r="J3538" s="669" t="s">
        <v>5805</v>
      </c>
      <c r="N3538" s="127"/>
      <c r="O3538" s="395"/>
      <c r="P3538" s="327"/>
      <c r="Q3538" s="327"/>
      <c r="R3538" s="327"/>
      <c r="S3538" s="327"/>
      <c r="U3538" s="327"/>
      <c r="V3538" s="327"/>
      <c r="W3538" s="327"/>
      <c r="X3538" s="327"/>
    </row>
    <row r="3539" spans="1:26" x14ac:dyDescent="0.25">
      <c r="A3539" s="607" t="s">
        <v>5692</v>
      </c>
      <c r="B3539" s="435" t="s">
        <v>5548</v>
      </c>
      <c r="C3539" s="436" t="s">
        <v>5697</v>
      </c>
      <c r="D3539" s="436" t="s">
        <v>1779</v>
      </c>
      <c r="E3539" s="435"/>
      <c r="F3539" s="450">
        <f t="shared" si="1451"/>
        <v>11.35</v>
      </c>
      <c r="G3539" s="437">
        <f t="shared" si="1452"/>
        <v>11.55</v>
      </c>
      <c r="H3539" s="437">
        <f t="shared" si="1450"/>
        <v>9.24</v>
      </c>
      <c r="I3539" s="700"/>
      <c r="J3539" s="669" t="s">
        <v>5805</v>
      </c>
      <c r="N3539" s="127"/>
      <c r="O3539" s="395"/>
      <c r="P3539" s="327"/>
      <c r="Q3539" s="327"/>
      <c r="R3539" s="327"/>
      <c r="S3539" s="327"/>
      <c r="U3539" s="327"/>
      <c r="V3539" s="327"/>
      <c r="W3539" s="327"/>
      <c r="X3539" s="327"/>
    </row>
    <row r="3540" spans="1:26" x14ac:dyDescent="0.25">
      <c r="A3540" s="607" t="s">
        <v>5693</v>
      </c>
      <c r="B3540" s="435" t="s">
        <v>5548</v>
      </c>
      <c r="C3540" s="436" t="s">
        <v>5697</v>
      </c>
      <c r="D3540" s="436" t="s">
        <v>5408</v>
      </c>
      <c r="E3540" s="435"/>
      <c r="F3540" s="450">
        <f t="shared" si="1451"/>
        <v>10.14</v>
      </c>
      <c r="G3540" s="437">
        <f t="shared" si="1452"/>
        <v>10.34</v>
      </c>
      <c r="H3540" s="437">
        <f t="shared" si="1450"/>
        <v>8.27</v>
      </c>
      <c r="I3540" s="700"/>
      <c r="J3540" s="669" t="s">
        <v>5805</v>
      </c>
      <c r="N3540" s="127"/>
      <c r="O3540" s="395"/>
      <c r="P3540" s="327"/>
      <c r="Q3540" s="327"/>
      <c r="R3540" s="327"/>
      <c r="S3540" s="327"/>
      <c r="U3540" s="327"/>
      <c r="V3540" s="327"/>
      <c r="W3540" s="327"/>
      <c r="X3540" s="327"/>
    </row>
    <row r="3541" spans="1:26" x14ac:dyDescent="0.25">
      <c r="A3541" s="607" t="s">
        <v>5694</v>
      </c>
      <c r="B3541" s="435" t="s">
        <v>5548</v>
      </c>
      <c r="C3541" s="436" t="s">
        <v>5697</v>
      </c>
      <c r="D3541" s="436" t="s">
        <v>1776</v>
      </c>
      <c r="E3541" s="435"/>
      <c r="F3541" s="450">
        <f t="shared" si="1451"/>
        <v>5.54</v>
      </c>
      <c r="G3541" s="437">
        <f t="shared" si="1452"/>
        <v>5.73</v>
      </c>
      <c r="H3541" s="437">
        <f t="shared" si="1450"/>
        <v>4.58</v>
      </c>
      <c r="I3541" s="700"/>
      <c r="J3541" s="669" t="s">
        <v>5805</v>
      </c>
      <c r="N3541" s="127"/>
      <c r="O3541" s="395"/>
      <c r="P3541" s="327"/>
      <c r="Q3541" s="327"/>
      <c r="R3541" s="327"/>
      <c r="S3541" s="327"/>
      <c r="U3541" s="327"/>
      <c r="V3541" s="327"/>
      <c r="W3541" s="327"/>
      <c r="X3541" s="327"/>
    </row>
    <row r="3542" spans="1:26" x14ac:dyDescent="0.25">
      <c r="A3542" s="4"/>
      <c r="B3542" s="2"/>
      <c r="C3542" s="1"/>
      <c r="D3542" s="2"/>
      <c r="E3542" s="1"/>
      <c r="F3542" s="442"/>
      <c r="G3542" s="13"/>
      <c r="H3542" s="13"/>
      <c r="I3542" s="692"/>
      <c r="J3542" s="669"/>
      <c r="N3542" s="127"/>
      <c r="O3542" s="395"/>
      <c r="P3542" s="327"/>
      <c r="Q3542" s="327"/>
      <c r="R3542" s="327"/>
      <c r="S3542" s="327"/>
      <c r="U3542" s="327"/>
      <c r="V3542" s="327"/>
      <c r="W3542" s="327"/>
      <c r="X3542" s="327"/>
    </row>
    <row r="3543" spans="1:26" ht="15.75" x14ac:dyDescent="0.25">
      <c r="A3543" s="266" t="s">
        <v>7911</v>
      </c>
      <c r="B3543" s="255"/>
      <c r="C3543" s="256"/>
      <c r="D3543" s="255"/>
      <c r="E3543" s="256"/>
      <c r="F3543" s="463"/>
      <c r="G3543" s="257"/>
      <c r="H3543" s="257"/>
      <c r="I3543" s="717"/>
      <c r="J3543" s="669">
        <v>42705</v>
      </c>
      <c r="N3543" s="127"/>
      <c r="O3543" s="395"/>
      <c r="P3543" s="327"/>
      <c r="Q3543" s="327"/>
      <c r="R3543" s="327"/>
      <c r="S3543" s="327"/>
      <c r="U3543" s="327"/>
      <c r="V3543" s="327"/>
      <c r="W3543" s="327"/>
      <c r="X3543" s="327"/>
    </row>
    <row r="3544" spans="1:26" x14ac:dyDescent="0.25">
      <c r="A3544" s="4"/>
      <c r="B3544" s="2"/>
      <c r="C3544" s="34"/>
      <c r="D3544" s="34"/>
      <c r="E3544" s="2"/>
      <c r="F3544" s="445"/>
      <c r="G3544" s="14"/>
      <c r="H3544" s="14" t="str">
        <f t="shared" ref="H3544:H3575" si="1455">IF(ISNUMBER(G3544),ROUND(0.8*G3544,2),"")</f>
        <v/>
      </c>
      <c r="I3544" s="695"/>
      <c r="J3544" s="669"/>
      <c r="N3544" s="127"/>
      <c r="O3544" s="395"/>
      <c r="P3544" s="327"/>
      <c r="Q3544" s="327"/>
      <c r="R3544" s="327"/>
      <c r="S3544" s="327"/>
      <c r="U3544" s="327"/>
      <c r="V3544" s="327"/>
      <c r="W3544" s="327"/>
      <c r="X3544" s="327"/>
    </row>
    <row r="3545" spans="1:26" x14ac:dyDescent="0.25">
      <c r="A3545" s="608"/>
      <c r="B3545" s="2"/>
      <c r="C3545" s="34"/>
      <c r="D3545" s="34"/>
      <c r="E3545" s="2"/>
      <c r="F3545" s="445"/>
      <c r="G3545" s="14"/>
      <c r="H3545" s="14" t="str">
        <f t="shared" si="1455"/>
        <v/>
      </c>
      <c r="I3545" s="695"/>
      <c r="J3545" s="669" t="s">
        <v>4180</v>
      </c>
      <c r="M3545">
        <v>2017</v>
      </c>
      <c r="N3545" t="s">
        <v>5682</v>
      </c>
      <c r="O3545" s="270" t="s">
        <v>5490</v>
      </c>
      <c r="P3545" t="s">
        <v>1780</v>
      </c>
      <c r="Q3545" t="s">
        <v>1779</v>
      </c>
      <c r="R3545" t="s">
        <v>5408</v>
      </c>
      <c r="S3545" t="s">
        <v>1776</v>
      </c>
      <c r="T3545" t="s">
        <v>49</v>
      </c>
      <c r="U3545" s="127" t="s">
        <v>2884</v>
      </c>
      <c r="V3545" t="s">
        <v>1780</v>
      </c>
      <c r="W3545" t="s">
        <v>1779</v>
      </c>
      <c r="X3545" t="s">
        <v>5408</v>
      </c>
      <c r="Y3545" t="s">
        <v>1776</v>
      </c>
      <c r="Z3545" t="s">
        <v>50</v>
      </c>
    </row>
    <row r="3546" spans="1:26" x14ac:dyDescent="0.25">
      <c r="A3546" s="644" t="s">
        <v>5897</v>
      </c>
      <c r="B3546" s="645" t="s">
        <v>5548</v>
      </c>
      <c r="C3546" s="643" t="s">
        <v>5893</v>
      </c>
      <c r="D3546" s="643" t="s">
        <v>1780</v>
      </c>
      <c r="E3546" s="645"/>
      <c r="F3546" s="657">
        <f t="shared" ref="F3546:F3561" si="1456">IF(HLOOKUP($D3546,$V$3545:$Y$3549,MATCH(MID($A3546,11,2),$N$3545:$N$3549,0),FALSE)&lt;&gt;"",ROUND(HLOOKUP($D3546,$V$3545:$Y$3549,MATCH(MID($A3546,11,2),$N$3545:$N$3549,0),FALSE),2),"")</f>
        <v>13.12</v>
      </c>
      <c r="G3546" s="656">
        <f t="shared" ref="G3546:G3561" si="1457">IF(HLOOKUP($D3546,$O$3545:$S$3549,MATCH(MID($A3546,11,2),$N$3545:$N$3549,0),FALSE)&lt;&gt;"",ROUND(HLOOKUP($D3546,$O$3545:$S$3549,MATCH(MID($A3546,11,2),$N$3545:$N$3549,0),FALSE),2),"")</f>
        <v>13.32</v>
      </c>
      <c r="H3546" s="656">
        <f t="shared" si="1455"/>
        <v>10.66</v>
      </c>
      <c r="I3546" s="701"/>
      <c r="J3546" s="669">
        <v>42705</v>
      </c>
      <c r="N3546" s="636" t="s">
        <v>5759</v>
      </c>
      <c r="O3546" s="568"/>
      <c r="P3546" s="327">
        <v>13.32</v>
      </c>
      <c r="Q3546" s="327">
        <v>11.49</v>
      </c>
      <c r="R3546" s="327">
        <v>10.29</v>
      </c>
      <c r="S3546" s="327">
        <v>5.71</v>
      </c>
      <c r="V3546" s="327">
        <f t="shared" ref="V3546:Y3549" si="1458">P3546-0.2</f>
        <v>13.120000000000001</v>
      </c>
      <c r="W3546" s="327">
        <f t="shared" si="1458"/>
        <v>11.290000000000001</v>
      </c>
      <c r="X3546" s="327">
        <f t="shared" si="1458"/>
        <v>10.09</v>
      </c>
      <c r="Y3546" s="327">
        <f t="shared" si="1458"/>
        <v>5.51</v>
      </c>
      <c r="Z3546" s="327"/>
    </row>
    <row r="3547" spans="1:26" x14ac:dyDescent="0.25">
      <c r="A3547" s="644" t="s">
        <v>5898</v>
      </c>
      <c r="B3547" s="645" t="s">
        <v>5548</v>
      </c>
      <c r="C3547" s="643" t="s">
        <v>5893</v>
      </c>
      <c r="D3547" s="643" t="s">
        <v>1779</v>
      </c>
      <c r="E3547" s="645"/>
      <c r="F3547" s="657">
        <f t="shared" si="1456"/>
        <v>11.29</v>
      </c>
      <c r="G3547" s="656">
        <f t="shared" si="1457"/>
        <v>11.49</v>
      </c>
      <c r="H3547" s="656">
        <f t="shared" si="1455"/>
        <v>9.19</v>
      </c>
      <c r="I3547" s="701"/>
      <c r="J3547" s="669">
        <v>42705</v>
      </c>
      <c r="N3547" s="636" t="s">
        <v>5760</v>
      </c>
      <c r="O3547" s="568">
        <v>5.0000000000000001E-3</v>
      </c>
      <c r="P3547" s="327">
        <f t="shared" ref="P3547:S3549" si="1459">IF($O3547&lt;&gt;"",(1-$O3547)*P3546,"")</f>
        <v>13.253400000000001</v>
      </c>
      <c r="Q3547" s="327">
        <f t="shared" si="1459"/>
        <v>11.432550000000001</v>
      </c>
      <c r="R3547" s="327">
        <f t="shared" si="1459"/>
        <v>10.238549999999998</v>
      </c>
      <c r="S3547" s="327">
        <f t="shared" si="1459"/>
        <v>5.6814499999999999</v>
      </c>
      <c r="V3547" s="327">
        <f t="shared" si="1458"/>
        <v>13.053400000000002</v>
      </c>
      <c r="W3547" s="327">
        <f t="shared" si="1458"/>
        <v>11.232550000000002</v>
      </c>
      <c r="X3547" s="327">
        <f t="shared" si="1458"/>
        <v>10.038549999999999</v>
      </c>
      <c r="Y3547" s="327">
        <f t="shared" si="1458"/>
        <v>5.4814499999999997</v>
      </c>
    </row>
    <row r="3548" spans="1:26" x14ac:dyDescent="0.25">
      <c r="A3548" s="644" t="s">
        <v>5899</v>
      </c>
      <c r="B3548" s="645" t="s">
        <v>5548</v>
      </c>
      <c r="C3548" s="643" t="s">
        <v>5893</v>
      </c>
      <c r="D3548" s="643" t="s">
        <v>5408</v>
      </c>
      <c r="E3548" s="645"/>
      <c r="F3548" s="657">
        <f t="shared" si="1456"/>
        <v>10.09</v>
      </c>
      <c r="G3548" s="656">
        <f t="shared" si="1457"/>
        <v>10.29</v>
      </c>
      <c r="H3548" s="656">
        <f t="shared" si="1455"/>
        <v>8.23</v>
      </c>
      <c r="I3548" s="701"/>
      <c r="J3548" s="669">
        <v>42705</v>
      </c>
      <c r="N3548" s="636" t="s">
        <v>5761</v>
      </c>
      <c r="O3548" s="568">
        <v>0</v>
      </c>
      <c r="P3548" s="327">
        <f t="shared" si="1459"/>
        <v>13.253400000000001</v>
      </c>
      <c r="Q3548" s="327">
        <f t="shared" si="1459"/>
        <v>11.432550000000001</v>
      </c>
      <c r="R3548" s="327">
        <f t="shared" si="1459"/>
        <v>10.238549999999998</v>
      </c>
      <c r="S3548" s="327">
        <f t="shared" si="1459"/>
        <v>5.6814499999999999</v>
      </c>
      <c r="V3548" s="327">
        <f t="shared" si="1458"/>
        <v>13.053400000000002</v>
      </c>
      <c r="W3548" s="327">
        <f t="shared" si="1458"/>
        <v>11.232550000000002</v>
      </c>
      <c r="X3548" s="327">
        <f t="shared" si="1458"/>
        <v>10.038549999999999</v>
      </c>
      <c r="Y3548" s="327">
        <f t="shared" si="1458"/>
        <v>5.4814499999999997</v>
      </c>
    </row>
    <row r="3549" spans="1:26" x14ac:dyDescent="0.25">
      <c r="A3549" s="644" t="s">
        <v>5900</v>
      </c>
      <c r="B3549" s="645" t="s">
        <v>5548</v>
      </c>
      <c r="C3549" s="643" t="s">
        <v>5893</v>
      </c>
      <c r="D3549" s="643" t="s">
        <v>1776</v>
      </c>
      <c r="E3549" s="645"/>
      <c r="F3549" s="657">
        <f t="shared" si="1456"/>
        <v>5.51</v>
      </c>
      <c r="G3549" s="656">
        <f t="shared" si="1457"/>
        <v>5.71</v>
      </c>
      <c r="H3549" s="656">
        <f t="shared" si="1455"/>
        <v>4.57</v>
      </c>
      <c r="I3549" s="701"/>
      <c r="J3549" s="669">
        <v>42705</v>
      </c>
      <c r="N3549" s="636" t="s">
        <v>5762</v>
      </c>
      <c r="O3549" s="568">
        <v>5.0000000000000001E-3</v>
      </c>
      <c r="P3549" s="327">
        <f t="shared" si="1459"/>
        <v>13.187133000000001</v>
      </c>
      <c r="Q3549" s="327">
        <f t="shared" si="1459"/>
        <v>11.375387250000001</v>
      </c>
      <c r="R3549" s="327">
        <f t="shared" si="1459"/>
        <v>10.187357249999998</v>
      </c>
      <c r="S3549" s="327">
        <f t="shared" si="1459"/>
        <v>5.65304275</v>
      </c>
      <c r="V3549" s="327">
        <f t="shared" si="1458"/>
        <v>12.987133000000002</v>
      </c>
      <c r="W3549" s="327">
        <f t="shared" si="1458"/>
        <v>11.175387250000002</v>
      </c>
      <c r="X3549" s="327">
        <f t="shared" si="1458"/>
        <v>9.9873572499999987</v>
      </c>
      <c r="Y3549" s="327">
        <f t="shared" si="1458"/>
        <v>5.4530427499999998</v>
      </c>
    </row>
    <row r="3550" spans="1:26" x14ac:dyDescent="0.25">
      <c r="A3550" s="644" t="s">
        <v>5901</v>
      </c>
      <c r="B3550" s="645" t="s">
        <v>5548</v>
      </c>
      <c r="C3550" s="643" t="s">
        <v>5894</v>
      </c>
      <c r="D3550" s="643" t="s">
        <v>1780</v>
      </c>
      <c r="E3550" s="645"/>
      <c r="F3550" s="657">
        <f t="shared" si="1456"/>
        <v>13.05</v>
      </c>
      <c r="G3550" s="656">
        <f t="shared" si="1457"/>
        <v>13.25</v>
      </c>
      <c r="H3550" s="656">
        <f t="shared" si="1455"/>
        <v>10.6</v>
      </c>
      <c r="I3550" s="701"/>
      <c r="J3550" s="669">
        <v>42705</v>
      </c>
      <c r="N3550" s="127"/>
      <c r="O3550" s="395"/>
      <c r="P3550" s="327"/>
      <c r="Q3550" s="327"/>
      <c r="R3550" s="327"/>
      <c r="S3550" s="327"/>
      <c r="U3550" s="327"/>
      <c r="V3550" s="327"/>
      <c r="W3550" s="327"/>
      <c r="X3550" s="327"/>
    </row>
    <row r="3551" spans="1:26" x14ac:dyDescent="0.25">
      <c r="A3551" s="644" t="s">
        <v>5902</v>
      </c>
      <c r="B3551" s="645" t="s">
        <v>5548</v>
      </c>
      <c r="C3551" s="643" t="s">
        <v>5894</v>
      </c>
      <c r="D3551" s="643" t="s">
        <v>1779</v>
      </c>
      <c r="E3551" s="645"/>
      <c r="F3551" s="657">
        <f t="shared" si="1456"/>
        <v>11.23</v>
      </c>
      <c r="G3551" s="656">
        <f t="shared" si="1457"/>
        <v>11.43</v>
      </c>
      <c r="H3551" s="656">
        <f t="shared" si="1455"/>
        <v>9.14</v>
      </c>
      <c r="I3551" s="701"/>
      <c r="J3551" s="669">
        <v>42705</v>
      </c>
      <c r="N3551" s="127"/>
      <c r="O3551" s="395"/>
      <c r="P3551" s="327"/>
      <c r="Q3551" s="327"/>
      <c r="R3551" s="327"/>
      <c r="S3551" s="327"/>
      <c r="U3551" s="327"/>
      <c r="V3551" s="327"/>
      <c r="W3551" s="327"/>
      <c r="X3551" s="327"/>
    </row>
    <row r="3552" spans="1:26" x14ac:dyDescent="0.25">
      <c r="A3552" s="644" t="s">
        <v>5905</v>
      </c>
      <c r="B3552" s="645" t="s">
        <v>5548</v>
      </c>
      <c r="C3552" s="643" t="s">
        <v>5894</v>
      </c>
      <c r="D3552" s="643" t="s">
        <v>5408</v>
      </c>
      <c r="E3552" s="645"/>
      <c r="F3552" s="657">
        <f t="shared" si="1456"/>
        <v>10.039999999999999</v>
      </c>
      <c r="G3552" s="656">
        <f t="shared" si="1457"/>
        <v>10.24</v>
      </c>
      <c r="H3552" s="656">
        <f t="shared" si="1455"/>
        <v>8.19</v>
      </c>
      <c r="I3552" s="701"/>
      <c r="J3552" s="669">
        <v>42705</v>
      </c>
      <c r="N3552" s="127"/>
      <c r="O3552" s="395"/>
      <c r="P3552" s="327"/>
      <c r="Q3552" s="327"/>
      <c r="R3552" s="327"/>
      <c r="S3552" s="327"/>
      <c r="U3552" s="327"/>
      <c r="V3552" s="327"/>
      <c r="W3552" s="327"/>
      <c r="X3552" s="327"/>
    </row>
    <row r="3553" spans="1:26" x14ac:dyDescent="0.25">
      <c r="A3553" s="644" t="s">
        <v>5906</v>
      </c>
      <c r="B3553" s="645" t="s">
        <v>5548</v>
      </c>
      <c r="C3553" s="643" t="s">
        <v>5894</v>
      </c>
      <c r="D3553" s="643" t="s">
        <v>1776</v>
      </c>
      <c r="E3553" s="645"/>
      <c r="F3553" s="657">
        <f t="shared" si="1456"/>
        <v>5.48</v>
      </c>
      <c r="G3553" s="656">
        <f t="shared" si="1457"/>
        <v>5.68</v>
      </c>
      <c r="H3553" s="656">
        <f t="shared" si="1455"/>
        <v>4.54</v>
      </c>
      <c r="I3553" s="701"/>
      <c r="J3553" s="669">
        <v>42705</v>
      </c>
      <c r="N3553" s="127"/>
      <c r="O3553" s="395"/>
      <c r="P3553" s="327"/>
      <c r="Q3553" s="327"/>
      <c r="R3553" s="327"/>
      <c r="S3553" s="327"/>
      <c r="U3553" s="327"/>
      <c r="V3553" s="327"/>
      <c r="W3553" s="327"/>
      <c r="X3553" s="327"/>
    </row>
    <row r="3554" spans="1:26" x14ac:dyDescent="0.25">
      <c r="A3554" s="644" t="s">
        <v>5907</v>
      </c>
      <c r="B3554" s="645" t="s">
        <v>5548</v>
      </c>
      <c r="C3554" s="643" t="s">
        <v>5895</v>
      </c>
      <c r="D3554" s="643" t="s">
        <v>1780</v>
      </c>
      <c r="E3554" s="645"/>
      <c r="F3554" s="657">
        <f t="shared" si="1456"/>
        <v>13.05</v>
      </c>
      <c r="G3554" s="656">
        <f t="shared" si="1457"/>
        <v>13.25</v>
      </c>
      <c r="H3554" s="656">
        <f t="shared" si="1455"/>
        <v>10.6</v>
      </c>
      <c r="I3554" s="701"/>
      <c r="J3554" s="669">
        <v>42705</v>
      </c>
      <c r="N3554" s="127"/>
      <c r="O3554" s="395"/>
      <c r="P3554" s="327"/>
      <c r="Q3554" s="327"/>
      <c r="R3554" s="327"/>
      <c r="S3554" s="327"/>
      <c r="U3554" s="327"/>
      <c r="V3554" s="327"/>
      <c r="W3554" s="327"/>
      <c r="X3554" s="327"/>
    </row>
    <row r="3555" spans="1:26" x14ac:dyDescent="0.25">
      <c r="A3555" s="644" t="s">
        <v>5908</v>
      </c>
      <c r="B3555" s="645" t="s">
        <v>5548</v>
      </c>
      <c r="C3555" s="643" t="s">
        <v>5895</v>
      </c>
      <c r="D3555" s="643" t="s">
        <v>1779</v>
      </c>
      <c r="E3555" s="645"/>
      <c r="F3555" s="657">
        <f t="shared" si="1456"/>
        <v>11.23</v>
      </c>
      <c r="G3555" s="656">
        <f t="shared" si="1457"/>
        <v>11.43</v>
      </c>
      <c r="H3555" s="656">
        <f t="shared" si="1455"/>
        <v>9.14</v>
      </c>
      <c r="I3555" s="701"/>
      <c r="J3555" s="669">
        <v>42705</v>
      </c>
      <c r="N3555" s="127"/>
      <c r="O3555" s="395"/>
      <c r="P3555" s="327"/>
      <c r="Q3555" s="327"/>
      <c r="R3555" s="327"/>
      <c r="S3555" s="327"/>
      <c r="U3555" s="327"/>
      <c r="V3555" s="327"/>
      <c r="W3555" s="327"/>
      <c r="X3555" s="327"/>
    </row>
    <row r="3556" spans="1:26" x14ac:dyDescent="0.25">
      <c r="A3556" s="644" t="s">
        <v>5909</v>
      </c>
      <c r="B3556" s="645" t="s">
        <v>5548</v>
      </c>
      <c r="C3556" s="643" t="s">
        <v>5895</v>
      </c>
      <c r="D3556" s="643" t="s">
        <v>5408</v>
      </c>
      <c r="E3556" s="645"/>
      <c r="F3556" s="657">
        <f t="shared" si="1456"/>
        <v>10.039999999999999</v>
      </c>
      <c r="G3556" s="656">
        <f t="shared" si="1457"/>
        <v>10.24</v>
      </c>
      <c r="H3556" s="656">
        <f t="shared" si="1455"/>
        <v>8.19</v>
      </c>
      <c r="I3556" s="701"/>
      <c r="J3556" s="669">
        <v>42705</v>
      </c>
      <c r="N3556" s="127"/>
      <c r="O3556" s="395"/>
      <c r="P3556" s="327"/>
      <c r="Q3556" s="327"/>
      <c r="R3556" s="327"/>
      <c r="S3556" s="327"/>
      <c r="U3556" s="327"/>
      <c r="V3556" s="327"/>
      <c r="W3556" s="327"/>
      <c r="X3556" s="327"/>
    </row>
    <row r="3557" spans="1:26" x14ac:dyDescent="0.25">
      <c r="A3557" s="644" t="s">
        <v>5910</v>
      </c>
      <c r="B3557" s="645" t="s">
        <v>5548</v>
      </c>
      <c r="C3557" s="643" t="s">
        <v>5895</v>
      </c>
      <c r="D3557" s="643" t="s">
        <v>1776</v>
      </c>
      <c r="E3557" s="645"/>
      <c r="F3557" s="657">
        <f t="shared" si="1456"/>
        <v>5.48</v>
      </c>
      <c r="G3557" s="656">
        <f t="shared" si="1457"/>
        <v>5.68</v>
      </c>
      <c r="H3557" s="656">
        <f t="shared" si="1455"/>
        <v>4.54</v>
      </c>
      <c r="I3557" s="701"/>
      <c r="J3557" s="669">
        <v>42705</v>
      </c>
      <c r="N3557" s="127"/>
      <c r="O3557" s="395"/>
      <c r="P3557" s="327"/>
      <c r="Q3557" s="327"/>
      <c r="R3557" s="327"/>
      <c r="S3557" s="327"/>
      <c r="U3557" s="327"/>
      <c r="V3557" s="327"/>
      <c r="W3557" s="327"/>
      <c r="X3557" s="327"/>
    </row>
    <row r="3558" spans="1:26" x14ac:dyDescent="0.25">
      <c r="A3558" s="644" t="s">
        <v>5911</v>
      </c>
      <c r="B3558" s="645" t="s">
        <v>5548</v>
      </c>
      <c r="C3558" s="643" t="s">
        <v>5896</v>
      </c>
      <c r="D3558" s="643" t="s">
        <v>1780</v>
      </c>
      <c r="E3558" s="645"/>
      <c r="F3558" s="657">
        <f t="shared" si="1456"/>
        <v>12.99</v>
      </c>
      <c r="G3558" s="656">
        <f t="shared" si="1457"/>
        <v>13.19</v>
      </c>
      <c r="H3558" s="656">
        <f t="shared" si="1455"/>
        <v>10.55</v>
      </c>
      <c r="I3558" s="701"/>
      <c r="J3558" s="669">
        <v>42705</v>
      </c>
      <c r="N3558" s="127"/>
      <c r="O3558" s="395"/>
      <c r="P3558" s="327"/>
      <c r="Q3558" s="327"/>
      <c r="R3558" s="327"/>
      <c r="S3558" s="327"/>
      <c r="U3558" s="327"/>
      <c r="V3558" s="327"/>
      <c r="W3558" s="327"/>
      <c r="X3558" s="327"/>
    </row>
    <row r="3559" spans="1:26" x14ac:dyDescent="0.25">
      <c r="A3559" s="644" t="s">
        <v>5912</v>
      </c>
      <c r="B3559" s="645" t="s">
        <v>5548</v>
      </c>
      <c r="C3559" s="643" t="s">
        <v>5896</v>
      </c>
      <c r="D3559" s="643" t="s">
        <v>1779</v>
      </c>
      <c r="E3559" s="645"/>
      <c r="F3559" s="657">
        <f t="shared" si="1456"/>
        <v>11.18</v>
      </c>
      <c r="G3559" s="656">
        <f t="shared" si="1457"/>
        <v>11.38</v>
      </c>
      <c r="H3559" s="656">
        <f t="shared" si="1455"/>
        <v>9.1</v>
      </c>
      <c r="I3559" s="701"/>
      <c r="J3559" s="669">
        <v>42705</v>
      </c>
      <c r="N3559" s="127"/>
      <c r="O3559" s="395"/>
      <c r="P3559" s="327"/>
      <c r="Q3559" s="327"/>
      <c r="R3559" s="327"/>
      <c r="S3559" s="327"/>
      <c r="U3559" s="327"/>
      <c r="V3559" s="327"/>
      <c r="W3559" s="327"/>
      <c r="X3559" s="327"/>
    </row>
    <row r="3560" spans="1:26" x14ac:dyDescent="0.25">
      <c r="A3560" s="644" t="s">
        <v>5913</v>
      </c>
      <c r="B3560" s="645" t="s">
        <v>5548</v>
      </c>
      <c r="C3560" s="643" t="s">
        <v>5896</v>
      </c>
      <c r="D3560" s="643" t="s">
        <v>5408</v>
      </c>
      <c r="E3560" s="645"/>
      <c r="F3560" s="657">
        <f t="shared" si="1456"/>
        <v>9.99</v>
      </c>
      <c r="G3560" s="656">
        <f t="shared" si="1457"/>
        <v>10.19</v>
      </c>
      <c r="H3560" s="656">
        <f t="shared" si="1455"/>
        <v>8.15</v>
      </c>
      <c r="I3560" s="701"/>
      <c r="J3560" s="669">
        <v>42705</v>
      </c>
      <c r="N3560" s="127"/>
      <c r="O3560" s="395"/>
      <c r="P3560" s="327"/>
      <c r="Q3560" s="327"/>
      <c r="R3560" s="327"/>
      <c r="S3560" s="327"/>
      <c r="U3560" s="327"/>
      <c r="V3560" s="327"/>
      <c r="W3560" s="327"/>
      <c r="X3560" s="327"/>
    </row>
    <row r="3561" spans="1:26" x14ac:dyDescent="0.25">
      <c r="A3561" s="644" t="s">
        <v>5914</v>
      </c>
      <c r="B3561" s="645" t="s">
        <v>5548</v>
      </c>
      <c r="C3561" s="643" t="s">
        <v>5896</v>
      </c>
      <c r="D3561" s="643" t="s">
        <v>1776</v>
      </c>
      <c r="E3561" s="645"/>
      <c r="F3561" s="657">
        <f t="shared" si="1456"/>
        <v>5.45</v>
      </c>
      <c r="G3561" s="656">
        <f t="shared" si="1457"/>
        <v>5.65</v>
      </c>
      <c r="H3561" s="656">
        <f t="shared" si="1455"/>
        <v>4.5199999999999996</v>
      </c>
      <c r="I3561" s="701"/>
      <c r="J3561" s="669">
        <v>42705</v>
      </c>
      <c r="N3561" s="127"/>
      <c r="O3561" s="395"/>
      <c r="P3561" s="327"/>
      <c r="Q3561" s="327"/>
      <c r="R3561" s="327"/>
      <c r="S3561" s="327"/>
      <c r="U3561" s="327"/>
      <c r="V3561" s="327"/>
      <c r="W3561" s="327"/>
      <c r="X3561" s="327"/>
    </row>
    <row r="3562" spans="1:26" x14ac:dyDescent="0.25">
      <c r="A3562" s="608"/>
      <c r="B3562" s="2"/>
      <c r="C3562" s="34"/>
      <c r="D3562" s="34"/>
      <c r="E3562" s="2"/>
      <c r="F3562" s="445"/>
      <c r="G3562" s="14"/>
      <c r="H3562" s="14" t="str">
        <f t="shared" si="1455"/>
        <v/>
      </c>
      <c r="I3562" s="695"/>
      <c r="J3562" s="669" t="s">
        <v>4180</v>
      </c>
      <c r="M3562">
        <v>2018</v>
      </c>
      <c r="N3562" t="s">
        <v>5682</v>
      </c>
      <c r="O3562" s="270" t="s">
        <v>5490</v>
      </c>
      <c r="P3562" t="s">
        <v>1780</v>
      </c>
      <c r="Q3562" t="s">
        <v>1779</v>
      </c>
      <c r="R3562" t="s">
        <v>5408</v>
      </c>
      <c r="S3562" t="s">
        <v>1776</v>
      </c>
      <c r="T3562" t="s">
        <v>49</v>
      </c>
      <c r="U3562" s="127" t="s">
        <v>2884</v>
      </c>
      <c r="V3562" t="s">
        <v>1780</v>
      </c>
      <c r="W3562" t="s">
        <v>1779</v>
      </c>
      <c r="X3562" t="s">
        <v>5408</v>
      </c>
      <c r="Y3562" t="s">
        <v>1776</v>
      </c>
      <c r="Z3562" t="s">
        <v>50</v>
      </c>
    </row>
    <row r="3563" spans="1:26" x14ac:dyDescent="0.25">
      <c r="A3563" s="644" t="s">
        <v>6202</v>
      </c>
      <c r="B3563" s="645" t="s">
        <v>5548</v>
      </c>
      <c r="C3563" s="643" t="s">
        <v>6198</v>
      </c>
      <c r="D3563" s="643" t="s">
        <v>1780</v>
      </c>
      <c r="E3563" s="645"/>
      <c r="F3563" s="657">
        <f t="shared" ref="F3563:F3578" si="1460">IF(HLOOKUP($D3563,$V$3562:$Y$3566,MATCH(MID($A3563,11,2),$N$3562:$N$3566,0),FALSE)&lt;&gt;"",ROUND(HLOOKUP($D3563,$V$3562:$Y$3566,MATCH(MID($A3563,11,2),$N$3562:$N$3566,0),FALSE),2),"")</f>
        <v>12.99</v>
      </c>
      <c r="G3563" s="656">
        <f t="shared" ref="G3563:G3578" si="1461">IF(HLOOKUP($D3563,$O$3562:$S$3566,MATCH(MID($A3563,11,2),$N$3562:$N$3566,0),FALSE)&lt;&gt;"",ROUND(HLOOKUP($D3563,$O$3562:$S$3566,MATCH(MID($A3563,11,2),$N$3562:$N$3566,0),FALSE),2),"")</f>
        <v>13.19</v>
      </c>
      <c r="H3563" s="656">
        <f t="shared" si="1455"/>
        <v>10.55</v>
      </c>
      <c r="I3563" s="701"/>
      <c r="J3563" s="669">
        <v>43077</v>
      </c>
      <c r="N3563" s="636" t="s">
        <v>5759</v>
      </c>
      <c r="O3563" s="568">
        <v>0</v>
      </c>
      <c r="P3563" s="327">
        <f>IF($O3563&lt;&gt;"",(1-$O3563)*P3549,"")</f>
        <v>13.187133000000001</v>
      </c>
      <c r="Q3563" s="327">
        <f>IF($O3563&lt;&gt;"",(1-$O3563)*Q3549,"")</f>
        <v>11.375387250000001</v>
      </c>
      <c r="R3563" s="327">
        <f>IF($O3563&lt;&gt;"",(1-$O3563)*R3549,"")</f>
        <v>10.187357249999998</v>
      </c>
      <c r="S3563" s="327">
        <f>IF($O3563&lt;&gt;"",(1-$O3563)*S3549,"")</f>
        <v>5.65304275</v>
      </c>
      <c r="V3563" s="327">
        <f t="shared" ref="V3563:Y3566" si="1462">P3563-0.2</f>
        <v>12.987133000000002</v>
      </c>
      <c r="W3563" s="327">
        <f t="shared" si="1462"/>
        <v>11.175387250000002</v>
      </c>
      <c r="X3563" s="327">
        <f t="shared" si="1462"/>
        <v>9.9873572499999987</v>
      </c>
      <c r="Y3563" s="327">
        <f t="shared" si="1462"/>
        <v>5.4530427499999998</v>
      </c>
      <c r="Z3563" s="327"/>
    </row>
    <row r="3564" spans="1:26" x14ac:dyDescent="0.25">
      <c r="A3564" s="644" t="s">
        <v>6203</v>
      </c>
      <c r="B3564" s="645" t="s">
        <v>5548</v>
      </c>
      <c r="C3564" s="643" t="s">
        <v>6198</v>
      </c>
      <c r="D3564" s="643" t="s">
        <v>1779</v>
      </c>
      <c r="E3564" s="645"/>
      <c r="F3564" s="657">
        <f t="shared" si="1460"/>
        <v>11.18</v>
      </c>
      <c r="G3564" s="656">
        <f t="shared" si="1461"/>
        <v>11.38</v>
      </c>
      <c r="H3564" s="656">
        <f t="shared" si="1455"/>
        <v>9.1</v>
      </c>
      <c r="I3564" s="701"/>
      <c r="J3564" s="669">
        <v>43077</v>
      </c>
      <c r="N3564" s="636" t="s">
        <v>5760</v>
      </c>
      <c r="O3564" s="568">
        <v>5.0000000000000001E-3</v>
      </c>
      <c r="P3564" s="327">
        <f t="shared" ref="P3564:S3566" si="1463">IF($O3564&lt;&gt;"",(1-$O3564)*P3563,"")</f>
        <v>13.121197335000002</v>
      </c>
      <c r="Q3564" s="327">
        <f t="shared" si="1463"/>
        <v>11.318510313750002</v>
      </c>
      <c r="R3564" s="327">
        <f t="shared" si="1463"/>
        <v>10.136420463749998</v>
      </c>
      <c r="S3564" s="327">
        <f t="shared" si="1463"/>
        <v>5.6247775362499999</v>
      </c>
      <c r="V3564" s="327">
        <f t="shared" si="1462"/>
        <v>12.921197335000002</v>
      </c>
      <c r="W3564" s="327">
        <f t="shared" si="1462"/>
        <v>11.118510313750003</v>
      </c>
      <c r="X3564" s="327">
        <f t="shared" si="1462"/>
        <v>9.9364204637499984</v>
      </c>
      <c r="Y3564" s="327">
        <f t="shared" si="1462"/>
        <v>5.4247775362499997</v>
      </c>
    </row>
    <row r="3565" spans="1:26" x14ac:dyDescent="0.25">
      <c r="A3565" s="644" t="s">
        <v>6204</v>
      </c>
      <c r="B3565" s="645" t="s">
        <v>5548</v>
      </c>
      <c r="C3565" s="643" t="s">
        <v>6198</v>
      </c>
      <c r="D3565" s="643" t="s">
        <v>5408</v>
      </c>
      <c r="E3565" s="645"/>
      <c r="F3565" s="657">
        <f t="shared" si="1460"/>
        <v>9.99</v>
      </c>
      <c r="G3565" s="656">
        <f t="shared" si="1461"/>
        <v>10.19</v>
      </c>
      <c r="H3565" s="656">
        <f t="shared" si="1455"/>
        <v>8.15</v>
      </c>
      <c r="I3565" s="701"/>
      <c r="J3565" s="669">
        <v>43077</v>
      </c>
      <c r="N3565" s="636" t="s">
        <v>5761</v>
      </c>
      <c r="O3565" s="568">
        <v>0</v>
      </c>
      <c r="P3565" s="327">
        <f t="shared" si="1463"/>
        <v>13.121197335000002</v>
      </c>
      <c r="Q3565" s="327">
        <f t="shared" si="1463"/>
        <v>11.318510313750002</v>
      </c>
      <c r="R3565" s="327">
        <f t="shared" si="1463"/>
        <v>10.136420463749998</v>
      </c>
      <c r="S3565" s="327">
        <f t="shared" si="1463"/>
        <v>5.6247775362499999</v>
      </c>
      <c r="V3565" s="327">
        <f t="shared" si="1462"/>
        <v>12.921197335000002</v>
      </c>
      <c r="W3565" s="327">
        <f t="shared" si="1462"/>
        <v>11.118510313750003</v>
      </c>
      <c r="X3565" s="327">
        <f t="shared" si="1462"/>
        <v>9.9364204637499984</v>
      </c>
      <c r="Y3565" s="327">
        <f t="shared" si="1462"/>
        <v>5.4247775362499997</v>
      </c>
    </row>
    <row r="3566" spans="1:26" x14ac:dyDescent="0.25">
      <c r="A3566" s="644" t="s">
        <v>6205</v>
      </c>
      <c r="B3566" s="645" t="s">
        <v>5548</v>
      </c>
      <c r="C3566" s="643" t="s">
        <v>6198</v>
      </c>
      <c r="D3566" s="643" t="s">
        <v>1776</v>
      </c>
      <c r="E3566" s="645"/>
      <c r="F3566" s="657">
        <f t="shared" si="1460"/>
        <v>5.45</v>
      </c>
      <c r="G3566" s="656">
        <f t="shared" si="1461"/>
        <v>5.65</v>
      </c>
      <c r="H3566" s="656">
        <f t="shared" si="1455"/>
        <v>4.5199999999999996</v>
      </c>
      <c r="I3566" s="701"/>
      <c r="J3566" s="669">
        <v>43077</v>
      </c>
      <c r="N3566" s="636" t="s">
        <v>5762</v>
      </c>
      <c r="O3566" s="568">
        <v>5.0000000000000001E-3</v>
      </c>
      <c r="P3566" s="327">
        <f t="shared" si="1463"/>
        <v>13.055591348325001</v>
      </c>
      <c r="Q3566" s="327">
        <f t="shared" si="1463"/>
        <v>11.261917762181252</v>
      </c>
      <c r="R3566" s="327">
        <f t="shared" si="1463"/>
        <v>10.085738361431247</v>
      </c>
      <c r="S3566" s="327">
        <f t="shared" si="1463"/>
        <v>5.5966536485687497</v>
      </c>
      <c r="V3566" s="327">
        <f t="shared" si="1462"/>
        <v>12.855591348325001</v>
      </c>
      <c r="W3566" s="327">
        <f t="shared" si="1462"/>
        <v>11.061917762181253</v>
      </c>
      <c r="X3566" s="327">
        <f t="shared" si="1462"/>
        <v>9.8857383614312475</v>
      </c>
      <c r="Y3566" s="327">
        <f t="shared" si="1462"/>
        <v>5.3966536485687495</v>
      </c>
    </row>
    <row r="3567" spans="1:26" x14ac:dyDescent="0.25">
      <c r="A3567" s="644" t="s">
        <v>6206</v>
      </c>
      <c r="B3567" s="645" t="s">
        <v>5548</v>
      </c>
      <c r="C3567" s="643" t="s">
        <v>6199</v>
      </c>
      <c r="D3567" s="643" t="s">
        <v>1780</v>
      </c>
      <c r="E3567" s="645"/>
      <c r="F3567" s="657">
        <f t="shared" si="1460"/>
        <v>12.92</v>
      </c>
      <c r="G3567" s="656">
        <f t="shared" si="1461"/>
        <v>13.12</v>
      </c>
      <c r="H3567" s="656">
        <f t="shared" si="1455"/>
        <v>10.5</v>
      </c>
      <c r="I3567" s="701"/>
      <c r="J3567" s="669">
        <v>43077</v>
      </c>
      <c r="N3567" s="127"/>
      <c r="O3567" s="395"/>
      <c r="P3567" s="327"/>
      <c r="Q3567" s="327"/>
      <c r="R3567" s="327"/>
      <c r="S3567" s="327"/>
      <c r="U3567" s="327"/>
      <c r="V3567" s="327"/>
      <c r="W3567" s="327"/>
      <c r="X3567" s="327"/>
    </row>
    <row r="3568" spans="1:26" x14ac:dyDescent="0.25">
      <c r="A3568" s="644" t="s">
        <v>6207</v>
      </c>
      <c r="B3568" s="645" t="s">
        <v>5548</v>
      </c>
      <c r="C3568" s="643" t="s">
        <v>6199</v>
      </c>
      <c r="D3568" s="643" t="s">
        <v>1779</v>
      </c>
      <c r="E3568" s="645"/>
      <c r="F3568" s="657">
        <f t="shared" si="1460"/>
        <v>11.12</v>
      </c>
      <c r="G3568" s="656">
        <f t="shared" si="1461"/>
        <v>11.32</v>
      </c>
      <c r="H3568" s="656">
        <f t="shared" si="1455"/>
        <v>9.06</v>
      </c>
      <c r="I3568" s="701"/>
      <c r="J3568" s="669">
        <v>43077</v>
      </c>
      <c r="N3568" s="127"/>
      <c r="O3568" s="395"/>
      <c r="P3568" s="327"/>
      <c r="Q3568" s="327"/>
      <c r="R3568" s="327"/>
      <c r="S3568" s="327"/>
      <c r="U3568" s="327"/>
      <c r="V3568" s="327"/>
      <c r="W3568" s="327"/>
      <c r="X3568" s="327"/>
    </row>
    <row r="3569" spans="1:25" x14ac:dyDescent="0.25">
      <c r="A3569" s="644" t="s">
        <v>6208</v>
      </c>
      <c r="B3569" s="645" t="s">
        <v>5548</v>
      </c>
      <c r="C3569" s="643" t="s">
        <v>6199</v>
      </c>
      <c r="D3569" s="643" t="s">
        <v>5408</v>
      </c>
      <c r="E3569" s="645"/>
      <c r="F3569" s="657">
        <f t="shared" si="1460"/>
        <v>9.94</v>
      </c>
      <c r="G3569" s="656">
        <f t="shared" si="1461"/>
        <v>10.14</v>
      </c>
      <c r="H3569" s="656">
        <f t="shared" si="1455"/>
        <v>8.11</v>
      </c>
      <c r="I3569" s="701"/>
      <c r="J3569" s="669">
        <v>43077</v>
      </c>
      <c r="N3569" s="127"/>
      <c r="O3569" s="395"/>
      <c r="P3569" s="327"/>
      <c r="Q3569" s="327"/>
      <c r="R3569" s="327"/>
      <c r="S3569" s="327"/>
      <c r="U3569" s="327"/>
      <c r="V3569" s="327"/>
      <c r="W3569" s="327"/>
      <c r="X3569" s="327"/>
    </row>
    <row r="3570" spans="1:25" x14ac:dyDescent="0.25">
      <c r="A3570" s="644" t="s">
        <v>6209</v>
      </c>
      <c r="B3570" s="645" t="s">
        <v>5548</v>
      </c>
      <c r="C3570" s="643" t="s">
        <v>6199</v>
      </c>
      <c r="D3570" s="643" t="s">
        <v>1776</v>
      </c>
      <c r="E3570" s="645"/>
      <c r="F3570" s="657">
        <f t="shared" si="1460"/>
        <v>5.42</v>
      </c>
      <c r="G3570" s="656">
        <f t="shared" si="1461"/>
        <v>5.62</v>
      </c>
      <c r="H3570" s="656">
        <f t="shared" si="1455"/>
        <v>4.5</v>
      </c>
      <c r="I3570" s="701"/>
      <c r="J3570" s="669">
        <v>43077</v>
      </c>
      <c r="N3570" s="127"/>
      <c r="O3570" s="395"/>
      <c r="P3570" s="327"/>
      <c r="Q3570" s="327"/>
      <c r="R3570" s="327"/>
      <c r="S3570" s="327"/>
      <c r="U3570" s="327"/>
      <c r="V3570" s="327"/>
      <c r="W3570" s="327"/>
      <c r="X3570" s="327"/>
    </row>
    <row r="3571" spans="1:25" x14ac:dyDescent="0.25">
      <c r="A3571" s="644" t="s">
        <v>6210</v>
      </c>
      <c r="B3571" s="645" t="s">
        <v>5548</v>
      </c>
      <c r="C3571" s="643" t="s">
        <v>6200</v>
      </c>
      <c r="D3571" s="643" t="s">
        <v>1780</v>
      </c>
      <c r="E3571" s="645"/>
      <c r="F3571" s="657">
        <f t="shared" si="1460"/>
        <v>12.92</v>
      </c>
      <c r="G3571" s="656">
        <f t="shared" si="1461"/>
        <v>13.12</v>
      </c>
      <c r="H3571" s="656">
        <f t="shared" si="1455"/>
        <v>10.5</v>
      </c>
      <c r="I3571" s="701"/>
      <c r="J3571" s="669">
        <v>43077</v>
      </c>
      <c r="N3571" s="127"/>
      <c r="O3571" s="395"/>
      <c r="P3571" s="327"/>
      <c r="Q3571" s="327"/>
      <c r="R3571" s="327"/>
      <c r="S3571" s="327"/>
      <c r="U3571" s="327"/>
      <c r="V3571" s="327"/>
      <c r="W3571" s="327"/>
      <c r="X3571" s="327"/>
    </row>
    <row r="3572" spans="1:25" x14ac:dyDescent="0.25">
      <c r="A3572" s="644" t="s">
        <v>6211</v>
      </c>
      <c r="B3572" s="645" t="s">
        <v>5548</v>
      </c>
      <c r="C3572" s="643" t="s">
        <v>6200</v>
      </c>
      <c r="D3572" s="643" t="s">
        <v>1779</v>
      </c>
      <c r="E3572" s="645"/>
      <c r="F3572" s="657">
        <f t="shared" si="1460"/>
        <v>11.12</v>
      </c>
      <c r="G3572" s="656">
        <f t="shared" si="1461"/>
        <v>11.32</v>
      </c>
      <c r="H3572" s="656">
        <f t="shared" si="1455"/>
        <v>9.06</v>
      </c>
      <c r="I3572" s="701"/>
      <c r="J3572" s="669">
        <v>43077</v>
      </c>
      <c r="N3572" s="127"/>
      <c r="O3572" s="395"/>
      <c r="P3572" s="327"/>
      <c r="Q3572" s="327"/>
      <c r="R3572" s="327"/>
      <c r="S3572" s="327"/>
      <c r="U3572" s="327"/>
      <c r="V3572" s="327"/>
      <c r="W3572" s="327"/>
      <c r="X3572" s="327"/>
    </row>
    <row r="3573" spans="1:25" x14ac:dyDescent="0.25">
      <c r="A3573" s="644" t="s">
        <v>6212</v>
      </c>
      <c r="B3573" s="645" t="s">
        <v>5548</v>
      </c>
      <c r="C3573" s="643" t="s">
        <v>6200</v>
      </c>
      <c r="D3573" s="643" t="s">
        <v>5408</v>
      </c>
      <c r="E3573" s="645"/>
      <c r="F3573" s="657">
        <f t="shared" si="1460"/>
        <v>9.94</v>
      </c>
      <c r="G3573" s="656">
        <f t="shared" si="1461"/>
        <v>10.14</v>
      </c>
      <c r="H3573" s="656">
        <f t="shared" si="1455"/>
        <v>8.11</v>
      </c>
      <c r="I3573" s="701"/>
      <c r="J3573" s="669">
        <v>43077</v>
      </c>
      <c r="N3573" s="127"/>
      <c r="O3573" s="395"/>
      <c r="P3573" s="327"/>
      <c r="Q3573" s="327"/>
      <c r="R3573" s="327"/>
      <c r="S3573" s="327"/>
      <c r="U3573" s="327"/>
      <c r="V3573" s="327"/>
      <c r="W3573" s="327"/>
      <c r="X3573" s="327"/>
    </row>
    <row r="3574" spans="1:25" x14ac:dyDescent="0.25">
      <c r="A3574" s="644" t="s">
        <v>6213</v>
      </c>
      <c r="B3574" s="645" t="s">
        <v>5548</v>
      </c>
      <c r="C3574" s="643" t="s">
        <v>6200</v>
      </c>
      <c r="D3574" s="643" t="s">
        <v>1776</v>
      </c>
      <c r="E3574" s="645"/>
      <c r="F3574" s="657">
        <f t="shared" si="1460"/>
        <v>5.42</v>
      </c>
      <c r="G3574" s="656">
        <f t="shared" si="1461"/>
        <v>5.62</v>
      </c>
      <c r="H3574" s="656">
        <f t="shared" si="1455"/>
        <v>4.5</v>
      </c>
      <c r="I3574" s="701"/>
      <c r="J3574" s="669">
        <v>43077</v>
      </c>
      <c r="N3574" s="127"/>
      <c r="O3574" s="395"/>
      <c r="P3574" s="327"/>
      <c r="Q3574" s="327"/>
      <c r="R3574" s="327"/>
      <c r="S3574" s="327"/>
      <c r="U3574" s="327"/>
      <c r="V3574" s="327"/>
      <c r="W3574" s="327"/>
      <c r="X3574" s="327"/>
    </row>
    <row r="3575" spans="1:25" x14ac:dyDescent="0.25">
      <c r="A3575" s="644" t="s">
        <v>6214</v>
      </c>
      <c r="B3575" s="645" t="s">
        <v>5548</v>
      </c>
      <c r="C3575" s="643" t="s">
        <v>6201</v>
      </c>
      <c r="D3575" s="643" t="s">
        <v>1780</v>
      </c>
      <c r="E3575" s="645"/>
      <c r="F3575" s="657">
        <f t="shared" si="1460"/>
        <v>12.86</v>
      </c>
      <c r="G3575" s="656">
        <f t="shared" si="1461"/>
        <v>13.06</v>
      </c>
      <c r="H3575" s="656">
        <f t="shared" si="1455"/>
        <v>10.45</v>
      </c>
      <c r="I3575" s="701"/>
      <c r="J3575" s="669">
        <v>43077</v>
      </c>
      <c r="N3575" s="127"/>
      <c r="O3575" s="395"/>
      <c r="P3575" s="327"/>
      <c r="Q3575" s="327"/>
      <c r="R3575" s="327"/>
      <c r="S3575" s="327"/>
      <c r="U3575" s="327"/>
      <c r="V3575" s="327"/>
      <c r="W3575" s="327"/>
      <c r="X3575" s="327"/>
    </row>
    <row r="3576" spans="1:25" x14ac:dyDescent="0.25">
      <c r="A3576" s="644" t="s">
        <v>6215</v>
      </c>
      <c r="B3576" s="645" t="s">
        <v>5548</v>
      </c>
      <c r="C3576" s="643" t="s">
        <v>6201</v>
      </c>
      <c r="D3576" s="643" t="s">
        <v>1779</v>
      </c>
      <c r="E3576" s="645"/>
      <c r="F3576" s="657">
        <f t="shared" si="1460"/>
        <v>11.06</v>
      </c>
      <c r="G3576" s="656">
        <f t="shared" si="1461"/>
        <v>11.26</v>
      </c>
      <c r="H3576" s="656">
        <f t="shared" ref="H3576:H3607" si="1464">IF(ISNUMBER(G3576),ROUND(0.8*G3576,2),"")</f>
        <v>9.01</v>
      </c>
      <c r="I3576" s="701"/>
      <c r="J3576" s="669">
        <v>43077</v>
      </c>
      <c r="N3576" s="127"/>
      <c r="O3576" s="395"/>
      <c r="P3576" s="327"/>
      <c r="Q3576" s="327"/>
      <c r="R3576" s="327"/>
      <c r="S3576" s="327"/>
      <c r="U3576" s="327"/>
      <c r="V3576" s="327"/>
      <c r="W3576" s="327"/>
      <c r="X3576" s="327"/>
    </row>
    <row r="3577" spans="1:25" x14ac:dyDescent="0.25">
      <c r="A3577" s="644" t="s">
        <v>6216</v>
      </c>
      <c r="B3577" s="645" t="s">
        <v>5548</v>
      </c>
      <c r="C3577" s="643" t="s">
        <v>6201</v>
      </c>
      <c r="D3577" s="643" t="s">
        <v>5408</v>
      </c>
      <c r="E3577" s="645"/>
      <c r="F3577" s="657">
        <f t="shared" si="1460"/>
        <v>9.89</v>
      </c>
      <c r="G3577" s="656">
        <f t="shared" si="1461"/>
        <v>10.09</v>
      </c>
      <c r="H3577" s="656">
        <f t="shared" si="1464"/>
        <v>8.07</v>
      </c>
      <c r="I3577" s="701"/>
      <c r="J3577" s="669">
        <v>43077</v>
      </c>
      <c r="N3577" s="127"/>
      <c r="O3577" s="395"/>
      <c r="P3577" s="327"/>
      <c r="Q3577" s="327"/>
      <c r="R3577" s="327"/>
      <c r="S3577" s="327"/>
      <c r="U3577" s="327"/>
      <c r="V3577" s="327"/>
      <c r="W3577" s="327"/>
      <c r="X3577" s="327"/>
    </row>
    <row r="3578" spans="1:25" x14ac:dyDescent="0.25">
      <c r="A3578" s="644" t="s">
        <v>6217</v>
      </c>
      <c r="B3578" s="645" t="s">
        <v>5548</v>
      </c>
      <c r="C3578" s="643" t="s">
        <v>6201</v>
      </c>
      <c r="D3578" s="643" t="s">
        <v>1776</v>
      </c>
      <c r="E3578" s="645"/>
      <c r="F3578" s="657">
        <f t="shared" si="1460"/>
        <v>5.4</v>
      </c>
      <c r="G3578" s="656">
        <f t="shared" si="1461"/>
        <v>5.6</v>
      </c>
      <c r="H3578" s="656">
        <f t="shared" si="1464"/>
        <v>4.4800000000000004</v>
      </c>
      <c r="I3578" s="701"/>
      <c r="J3578" s="669">
        <v>43077</v>
      </c>
      <c r="N3578" s="127"/>
      <c r="O3578" s="395"/>
      <c r="P3578" s="327"/>
      <c r="Q3578" s="327"/>
      <c r="R3578" s="327"/>
      <c r="S3578" s="327"/>
      <c r="U3578" s="327"/>
      <c r="V3578" s="327"/>
      <c r="W3578" s="327"/>
      <c r="X3578" s="327"/>
    </row>
    <row r="3579" spans="1:25" s="774" customFormat="1" x14ac:dyDescent="0.25">
      <c r="A3579" s="608"/>
      <c r="B3579" s="2"/>
      <c r="C3579" s="34"/>
      <c r="D3579" s="34"/>
      <c r="E3579" s="2"/>
      <c r="F3579" s="445"/>
      <c r="G3579" s="14"/>
      <c r="H3579" s="14" t="str">
        <f t="shared" si="1464"/>
        <v/>
      </c>
      <c r="I3579" s="695"/>
      <c r="J3579" s="669" t="s">
        <v>4180</v>
      </c>
      <c r="M3579" s="774">
        <v>2019</v>
      </c>
      <c r="N3579" s="774" t="s">
        <v>5682</v>
      </c>
      <c r="O3579" s="270" t="s">
        <v>5490</v>
      </c>
      <c r="P3579" s="774" t="s">
        <v>1780</v>
      </c>
      <c r="Q3579" s="774" t="s">
        <v>1779</v>
      </c>
      <c r="R3579" s="774" t="s">
        <v>5408</v>
      </c>
      <c r="S3579" s="774" t="s">
        <v>1776</v>
      </c>
      <c r="T3579" s="774" t="s">
        <v>49</v>
      </c>
      <c r="U3579" s="127" t="s">
        <v>2884</v>
      </c>
      <c r="V3579" s="774" t="s">
        <v>1780</v>
      </c>
      <c r="W3579" s="774" t="s">
        <v>1779</v>
      </c>
      <c r="X3579" s="774" t="s">
        <v>5408</v>
      </c>
      <c r="Y3579" s="774" t="s">
        <v>1776</v>
      </c>
    </row>
    <row r="3580" spans="1:25" s="774" customFormat="1" x14ac:dyDescent="0.25">
      <c r="A3580" s="644" t="s">
        <v>6376</v>
      </c>
      <c r="B3580" s="645" t="s">
        <v>5548</v>
      </c>
      <c r="C3580" s="643" t="s">
        <v>6405</v>
      </c>
      <c r="D3580" s="643" t="s">
        <v>1780</v>
      </c>
      <c r="E3580" s="645"/>
      <c r="F3580" s="657">
        <f t="shared" ref="F3580:F3595" si="1465">IF(HLOOKUP($D3580,$V$3579:$Y$3583,MATCH(MID($A3580,11,2),$N$3579:$N$3583,0),FALSE)&lt;&gt;"",ROUND(HLOOKUP($D3580,$V$3579:$Y$3583,MATCH(MID($A3580,11,2),$N$3579:$N$3583,0),FALSE),2),"")</f>
        <v>12.86</v>
      </c>
      <c r="G3580" s="656">
        <f t="shared" ref="G3580:G3595" si="1466">IF(HLOOKUP($D3580,$O$3579:$S$3583,MATCH(MID($A3580,11,2),$N$3579:$N$3583,0),FALSE)&lt;&gt;"",ROUND(HLOOKUP($D3580,$O$3579:$S$3583,MATCH(MID($A3580,11,2),$N$3579:$N$3583,0),FALSE),2),"")</f>
        <v>13.06</v>
      </c>
      <c r="H3580" s="656">
        <f t="shared" si="1464"/>
        <v>10.45</v>
      </c>
      <c r="I3580" s="701"/>
      <c r="J3580" s="669">
        <v>43419</v>
      </c>
      <c r="N3580" s="636" t="s">
        <v>5759</v>
      </c>
      <c r="O3580" s="568">
        <v>0</v>
      </c>
      <c r="P3580" s="327">
        <f>IF($O3580&lt;&gt;"",(1-$O3580)*P3566,"")</f>
        <v>13.055591348325001</v>
      </c>
      <c r="Q3580" s="327">
        <f>IF($O3580&lt;&gt;"",(1-$O3580)*Q3566,"")</f>
        <v>11.261917762181252</v>
      </c>
      <c r="R3580" s="327">
        <f>IF($O3580&lt;&gt;"",(1-$O3580)*R3566,"")</f>
        <v>10.085738361431247</v>
      </c>
      <c r="S3580" s="327">
        <f>IF($O3580&lt;&gt;"",(1-$O3580)*S3566,"")</f>
        <v>5.5966536485687497</v>
      </c>
      <c r="V3580" s="327">
        <f t="shared" ref="V3580:Y3583" si="1467">P3580-0.2</f>
        <v>12.855591348325001</v>
      </c>
      <c r="W3580" s="327">
        <f t="shared" si="1467"/>
        <v>11.061917762181253</v>
      </c>
      <c r="X3580" s="327">
        <f t="shared" si="1467"/>
        <v>9.8857383614312475</v>
      </c>
      <c r="Y3580" s="327">
        <f t="shared" si="1467"/>
        <v>5.3966536485687495</v>
      </c>
    </row>
    <row r="3581" spans="1:25" s="774" customFormat="1" x14ac:dyDescent="0.25">
      <c r="A3581" s="644" t="s">
        <v>6377</v>
      </c>
      <c r="B3581" s="645" t="s">
        <v>5548</v>
      </c>
      <c r="C3581" s="643" t="s">
        <v>6405</v>
      </c>
      <c r="D3581" s="643" t="s">
        <v>1779</v>
      </c>
      <c r="E3581" s="645"/>
      <c r="F3581" s="657">
        <f t="shared" si="1465"/>
        <v>11.06</v>
      </c>
      <c r="G3581" s="656">
        <f t="shared" si="1466"/>
        <v>11.26</v>
      </c>
      <c r="H3581" s="656">
        <f t="shared" si="1464"/>
        <v>9.01</v>
      </c>
      <c r="I3581" s="701"/>
      <c r="J3581" s="669">
        <v>43419</v>
      </c>
      <c r="N3581" s="636" t="s">
        <v>5760</v>
      </c>
      <c r="O3581" s="568">
        <v>5.0000000000000001E-3</v>
      </c>
      <c r="P3581" s="327">
        <f t="shared" ref="P3581:S3583" si="1468">IF($O3581&lt;&gt;"",(1-$O3581)*P3580,"")</f>
        <v>12.990313391583376</v>
      </c>
      <c r="Q3581" s="327">
        <f t="shared" si="1468"/>
        <v>11.205608173370345</v>
      </c>
      <c r="R3581" s="327">
        <f t="shared" si="1468"/>
        <v>10.035309669624091</v>
      </c>
      <c r="S3581" s="327">
        <f t="shared" si="1468"/>
        <v>5.5686703803259059</v>
      </c>
      <c r="V3581" s="327">
        <f t="shared" si="1467"/>
        <v>12.790313391583377</v>
      </c>
      <c r="W3581" s="327">
        <f t="shared" si="1467"/>
        <v>11.005608173370346</v>
      </c>
      <c r="X3581" s="327">
        <f t="shared" si="1467"/>
        <v>9.8353096696240918</v>
      </c>
      <c r="Y3581" s="327">
        <f t="shared" si="1467"/>
        <v>5.3686703803259057</v>
      </c>
    </row>
    <row r="3582" spans="1:25" s="774" customFormat="1" x14ac:dyDescent="0.25">
      <c r="A3582" s="644" t="s">
        <v>6378</v>
      </c>
      <c r="B3582" s="645" t="s">
        <v>5548</v>
      </c>
      <c r="C3582" s="643" t="s">
        <v>6405</v>
      </c>
      <c r="D3582" s="643" t="s">
        <v>5408</v>
      </c>
      <c r="E3582" s="645"/>
      <c r="F3582" s="657">
        <f t="shared" si="1465"/>
        <v>9.89</v>
      </c>
      <c r="G3582" s="656">
        <f t="shared" si="1466"/>
        <v>10.09</v>
      </c>
      <c r="H3582" s="656">
        <f t="shared" si="1464"/>
        <v>8.07</v>
      </c>
      <c r="I3582" s="701"/>
      <c r="J3582" s="669">
        <v>43419</v>
      </c>
      <c r="N3582" s="636" t="s">
        <v>5761</v>
      </c>
      <c r="O3582" s="568">
        <v>0</v>
      </c>
      <c r="P3582" s="327">
        <f t="shared" si="1468"/>
        <v>12.990313391583376</v>
      </c>
      <c r="Q3582" s="327">
        <f t="shared" si="1468"/>
        <v>11.205608173370345</v>
      </c>
      <c r="R3582" s="327">
        <f t="shared" si="1468"/>
        <v>10.035309669624091</v>
      </c>
      <c r="S3582" s="327">
        <f t="shared" si="1468"/>
        <v>5.5686703803259059</v>
      </c>
      <c r="V3582" s="327">
        <f t="shared" si="1467"/>
        <v>12.790313391583377</v>
      </c>
      <c r="W3582" s="327">
        <f t="shared" si="1467"/>
        <v>11.005608173370346</v>
      </c>
      <c r="X3582" s="327">
        <f t="shared" si="1467"/>
        <v>9.8353096696240918</v>
      </c>
      <c r="Y3582" s="327">
        <f t="shared" si="1467"/>
        <v>5.3686703803259057</v>
      </c>
    </row>
    <row r="3583" spans="1:25" s="774" customFormat="1" x14ac:dyDescent="0.25">
      <c r="A3583" s="644" t="s">
        <v>6379</v>
      </c>
      <c r="B3583" s="645" t="s">
        <v>5548</v>
      </c>
      <c r="C3583" s="643" t="s">
        <v>6405</v>
      </c>
      <c r="D3583" s="643" t="s">
        <v>1776</v>
      </c>
      <c r="E3583" s="645"/>
      <c r="F3583" s="657">
        <f t="shared" si="1465"/>
        <v>5.4</v>
      </c>
      <c r="G3583" s="656">
        <f t="shared" si="1466"/>
        <v>5.6</v>
      </c>
      <c r="H3583" s="656">
        <f t="shared" si="1464"/>
        <v>4.4800000000000004</v>
      </c>
      <c r="I3583" s="701"/>
      <c r="J3583" s="669">
        <v>43419</v>
      </c>
      <c r="N3583" s="636" t="s">
        <v>5762</v>
      </c>
      <c r="O3583" s="568">
        <v>5.0000000000000001E-3</v>
      </c>
      <c r="P3583" s="327">
        <f t="shared" si="1468"/>
        <v>12.925361824625458</v>
      </c>
      <c r="Q3583" s="327">
        <f t="shared" si="1468"/>
        <v>11.149580132503493</v>
      </c>
      <c r="R3583" s="327">
        <f t="shared" si="1468"/>
        <v>9.98513312127597</v>
      </c>
      <c r="S3583" s="327">
        <f t="shared" si="1468"/>
        <v>5.5408270284242764</v>
      </c>
      <c r="V3583" s="327">
        <f t="shared" si="1467"/>
        <v>12.725361824625459</v>
      </c>
      <c r="W3583" s="327">
        <f t="shared" si="1467"/>
        <v>10.949580132503494</v>
      </c>
      <c r="X3583" s="327">
        <f t="shared" si="1467"/>
        <v>9.7851331212759707</v>
      </c>
      <c r="Y3583" s="327">
        <f t="shared" si="1467"/>
        <v>5.3408270284242763</v>
      </c>
    </row>
    <row r="3584" spans="1:25" s="774" customFormat="1" x14ac:dyDescent="0.25">
      <c r="A3584" s="644" t="s">
        <v>6380</v>
      </c>
      <c r="B3584" s="645" t="s">
        <v>5548</v>
      </c>
      <c r="C3584" s="643" t="s">
        <v>6406</v>
      </c>
      <c r="D3584" s="643" t="s">
        <v>1780</v>
      </c>
      <c r="E3584" s="645"/>
      <c r="F3584" s="657">
        <f t="shared" si="1465"/>
        <v>12.79</v>
      </c>
      <c r="G3584" s="656">
        <f t="shared" si="1466"/>
        <v>12.99</v>
      </c>
      <c r="H3584" s="656">
        <f t="shared" si="1464"/>
        <v>10.39</v>
      </c>
      <c r="I3584" s="701"/>
      <c r="J3584" s="669">
        <v>43419</v>
      </c>
      <c r="N3584" s="127"/>
      <c r="O3584" s="395"/>
      <c r="P3584" s="327"/>
      <c r="Q3584" s="327"/>
      <c r="R3584" s="327"/>
      <c r="S3584" s="327"/>
      <c r="U3584" s="327"/>
      <c r="V3584" s="327"/>
      <c r="W3584" s="327"/>
      <c r="X3584" s="327"/>
    </row>
    <row r="3585" spans="1:25" s="774" customFormat="1" x14ac:dyDescent="0.25">
      <c r="A3585" s="644" t="s">
        <v>6381</v>
      </c>
      <c r="B3585" s="645" t="s">
        <v>5548</v>
      </c>
      <c r="C3585" s="643" t="s">
        <v>6406</v>
      </c>
      <c r="D3585" s="643" t="s">
        <v>1779</v>
      </c>
      <c r="E3585" s="645"/>
      <c r="F3585" s="657">
        <f t="shared" si="1465"/>
        <v>11.01</v>
      </c>
      <c r="G3585" s="656">
        <f t="shared" si="1466"/>
        <v>11.21</v>
      </c>
      <c r="H3585" s="656">
        <f t="shared" si="1464"/>
        <v>8.9700000000000006</v>
      </c>
      <c r="I3585" s="701"/>
      <c r="J3585" s="669">
        <v>43419</v>
      </c>
      <c r="N3585" s="127"/>
      <c r="O3585" s="395"/>
      <c r="P3585" s="327"/>
      <c r="Q3585" s="327"/>
      <c r="R3585" s="327"/>
      <c r="S3585" s="327"/>
      <c r="U3585" s="327"/>
      <c r="V3585" s="327"/>
      <c r="W3585" s="327"/>
      <c r="X3585" s="327"/>
    </row>
    <row r="3586" spans="1:25" s="774" customFormat="1" x14ac:dyDescent="0.25">
      <c r="A3586" s="644" t="s">
        <v>6382</v>
      </c>
      <c r="B3586" s="645" t="s">
        <v>5548</v>
      </c>
      <c r="C3586" s="643" t="s">
        <v>6406</v>
      </c>
      <c r="D3586" s="643" t="s">
        <v>5408</v>
      </c>
      <c r="E3586" s="645"/>
      <c r="F3586" s="657">
        <f t="shared" si="1465"/>
        <v>9.84</v>
      </c>
      <c r="G3586" s="656">
        <f t="shared" si="1466"/>
        <v>10.039999999999999</v>
      </c>
      <c r="H3586" s="656">
        <f t="shared" si="1464"/>
        <v>8.0299999999999994</v>
      </c>
      <c r="I3586" s="701"/>
      <c r="J3586" s="669">
        <v>43419</v>
      </c>
      <c r="N3586" s="127"/>
      <c r="O3586" s="395"/>
      <c r="P3586" s="327"/>
      <c r="Q3586" s="327"/>
      <c r="R3586" s="327"/>
      <c r="S3586" s="327"/>
      <c r="U3586" s="327"/>
      <c r="V3586" s="327"/>
      <c r="W3586" s="327"/>
      <c r="X3586" s="327"/>
    </row>
    <row r="3587" spans="1:25" s="774" customFormat="1" x14ac:dyDescent="0.25">
      <c r="A3587" s="644" t="s">
        <v>6383</v>
      </c>
      <c r="B3587" s="645" t="s">
        <v>5548</v>
      </c>
      <c r="C3587" s="643" t="s">
        <v>6406</v>
      </c>
      <c r="D3587" s="643" t="s">
        <v>1776</v>
      </c>
      <c r="E3587" s="645"/>
      <c r="F3587" s="657">
        <f t="shared" si="1465"/>
        <v>5.37</v>
      </c>
      <c r="G3587" s="656">
        <f t="shared" si="1466"/>
        <v>5.57</v>
      </c>
      <c r="H3587" s="656">
        <f t="shared" si="1464"/>
        <v>4.46</v>
      </c>
      <c r="I3587" s="701"/>
      <c r="J3587" s="669">
        <v>43419</v>
      </c>
      <c r="N3587" s="127"/>
      <c r="O3587" s="395"/>
      <c r="P3587" s="327"/>
      <c r="Q3587" s="327"/>
      <c r="R3587" s="327"/>
      <c r="S3587" s="327"/>
      <c r="U3587" s="327"/>
      <c r="V3587" s="327"/>
      <c r="W3587" s="327"/>
      <c r="X3587" s="327"/>
    </row>
    <row r="3588" spans="1:25" s="774" customFormat="1" x14ac:dyDescent="0.25">
      <c r="A3588" s="644" t="s">
        <v>6384</v>
      </c>
      <c r="B3588" s="645" t="s">
        <v>5548</v>
      </c>
      <c r="C3588" s="643" t="s">
        <v>6407</v>
      </c>
      <c r="D3588" s="643" t="s">
        <v>1780</v>
      </c>
      <c r="E3588" s="645"/>
      <c r="F3588" s="657">
        <f t="shared" si="1465"/>
        <v>12.79</v>
      </c>
      <c r="G3588" s="656">
        <f t="shared" si="1466"/>
        <v>12.99</v>
      </c>
      <c r="H3588" s="656">
        <f t="shared" si="1464"/>
        <v>10.39</v>
      </c>
      <c r="I3588" s="701"/>
      <c r="J3588" s="669">
        <v>43419</v>
      </c>
      <c r="N3588" s="127"/>
      <c r="O3588" s="395"/>
      <c r="P3588" s="327"/>
      <c r="Q3588" s="327"/>
      <c r="R3588" s="327"/>
      <c r="S3588" s="327"/>
      <c r="U3588" s="327"/>
      <c r="V3588" s="327"/>
      <c r="W3588" s="327"/>
      <c r="X3588" s="327"/>
    </row>
    <row r="3589" spans="1:25" s="774" customFormat="1" x14ac:dyDescent="0.25">
      <c r="A3589" s="644" t="s">
        <v>6385</v>
      </c>
      <c r="B3589" s="645" t="s">
        <v>5548</v>
      </c>
      <c r="C3589" s="643" t="s">
        <v>6407</v>
      </c>
      <c r="D3589" s="643" t="s">
        <v>1779</v>
      </c>
      <c r="E3589" s="645"/>
      <c r="F3589" s="657">
        <f t="shared" si="1465"/>
        <v>11.01</v>
      </c>
      <c r="G3589" s="656">
        <f t="shared" si="1466"/>
        <v>11.21</v>
      </c>
      <c r="H3589" s="656">
        <f t="shared" si="1464"/>
        <v>8.9700000000000006</v>
      </c>
      <c r="I3589" s="701"/>
      <c r="J3589" s="669">
        <v>43419</v>
      </c>
      <c r="N3589" s="127"/>
      <c r="O3589" s="395"/>
      <c r="P3589" s="327"/>
      <c r="Q3589" s="327"/>
      <c r="R3589" s="327"/>
      <c r="S3589" s="327"/>
      <c r="U3589" s="327"/>
      <c r="V3589" s="327"/>
      <c r="W3589" s="327"/>
      <c r="X3589" s="327"/>
    </row>
    <row r="3590" spans="1:25" s="774" customFormat="1" x14ac:dyDescent="0.25">
      <c r="A3590" s="644" t="s">
        <v>6386</v>
      </c>
      <c r="B3590" s="645" t="s">
        <v>5548</v>
      </c>
      <c r="C3590" s="643" t="s">
        <v>6407</v>
      </c>
      <c r="D3590" s="643" t="s">
        <v>5408</v>
      </c>
      <c r="E3590" s="645"/>
      <c r="F3590" s="657">
        <f t="shared" si="1465"/>
        <v>9.84</v>
      </c>
      <c r="G3590" s="656">
        <f t="shared" si="1466"/>
        <v>10.039999999999999</v>
      </c>
      <c r="H3590" s="656">
        <f t="shared" si="1464"/>
        <v>8.0299999999999994</v>
      </c>
      <c r="I3590" s="701"/>
      <c r="J3590" s="669">
        <v>43419</v>
      </c>
      <c r="N3590" s="127"/>
      <c r="O3590" s="395"/>
      <c r="P3590" s="327"/>
      <c r="Q3590" s="327"/>
      <c r="R3590" s="327"/>
      <c r="S3590" s="327"/>
      <c r="U3590" s="327"/>
      <c r="V3590" s="327"/>
      <c r="W3590" s="327"/>
      <c r="X3590" s="327"/>
    </row>
    <row r="3591" spans="1:25" s="774" customFormat="1" x14ac:dyDescent="0.25">
      <c r="A3591" s="644" t="s">
        <v>6387</v>
      </c>
      <c r="B3591" s="645" t="s">
        <v>5548</v>
      </c>
      <c r="C3591" s="643" t="s">
        <v>6407</v>
      </c>
      <c r="D3591" s="643" t="s">
        <v>1776</v>
      </c>
      <c r="E3591" s="645"/>
      <c r="F3591" s="657">
        <f t="shared" si="1465"/>
        <v>5.37</v>
      </c>
      <c r="G3591" s="656">
        <f t="shared" si="1466"/>
        <v>5.57</v>
      </c>
      <c r="H3591" s="656">
        <f t="shared" si="1464"/>
        <v>4.46</v>
      </c>
      <c r="I3591" s="701"/>
      <c r="J3591" s="669">
        <v>43419</v>
      </c>
      <c r="N3591" s="127"/>
      <c r="O3591" s="395"/>
      <c r="P3591" s="327"/>
      <c r="Q3591" s="327"/>
      <c r="R3591" s="327"/>
      <c r="S3591" s="327"/>
      <c r="U3591" s="327"/>
      <c r="V3591" s="327"/>
      <c r="W3591" s="327"/>
      <c r="X3591" s="327"/>
    </row>
    <row r="3592" spans="1:25" s="774" customFormat="1" x14ac:dyDescent="0.25">
      <c r="A3592" s="644" t="s">
        <v>6388</v>
      </c>
      <c r="B3592" s="645" t="s">
        <v>5548</v>
      </c>
      <c r="C3592" s="643" t="s">
        <v>6408</v>
      </c>
      <c r="D3592" s="643" t="s">
        <v>1780</v>
      </c>
      <c r="E3592" s="645"/>
      <c r="F3592" s="657">
        <f t="shared" si="1465"/>
        <v>12.73</v>
      </c>
      <c r="G3592" s="656">
        <f t="shared" si="1466"/>
        <v>12.93</v>
      </c>
      <c r="H3592" s="656">
        <f t="shared" si="1464"/>
        <v>10.34</v>
      </c>
      <c r="I3592" s="701"/>
      <c r="J3592" s="669">
        <v>43419</v>
      </c>
      <c r="N3592" s="127"/>
      <c r="O3592" s="395"/>
      <c r="P3592" s="327"/>
      <c r="Q3592" s="327"/>
      <c r="R3592" s="327"/>
      <c r="S3592" s="327"/>
      <c r="U3592" s="327"/>
      <c r="V3592" s="327"/>
      <c r="W3592" s="327"/>
      <c r="X3592" s="327"/>
    </row>
    <row r="3593" spans="1:25" s="774" customFormat="1" x14ac:dyDescent="0.25">
      <c r="A3593" s="644" t="s">
        <v>6389</v>
      </c>
      <c r="B3593" s="645" t="s">
        <v>5548</v>
      </c>
      <c r="C3593" s="643" t="s">
        <v>6408</v>
      </c>
      <c r="D3593" s="643" t="s">
        <v>1779</v>
      </c>
      <c r="E3593" s="645"/>
      <c r="F3593" s="657">
        <f t="shared" si="1465"/>
        <v>10.95</v>
      </c>
      <c r="G3593" s="656">
        <f t="shared" si="1466"/>
        <v>11.15</v>
      </c>
      <c r="H3593" s="656">
        <f t="shared" si="1464"/>
        <v>8.92</v>
      </c>
      <c r="I3593" s="701"/>
      <c r="J3593" s="669">
        <v>43419</v>
      </c>
      <c r="N3593" s="127"/>
      <c r="O3593" s="395"/>
      <c r="P3593" s="327"/>
      <c r="Q3593" s="327"/>
      <c r="R3593" s="327"/>
      <c r="S3593" s="327"/>
      <c r="U3593" s="327"/>
      <c r="V3593" s="327"/>
      <c r="W3593" s="327"/>
      <c r="X3593" s="327"/>
    </row>
    <row r="3594" spans="1:25" s="774" customFormat="1" x14ac:dyDescent="0.25">
      <c r="A3594" s="644" t="s">
        <v>6390</v>
      </c>
      <c r="B3594" s="645" t="s">
        <v>5548</v>
      </c>
      <c r="C3594" s="643" t="s">
        <v>6408</v>
      </c>
      <c r="D3594" s="643" t="s">
        <v>5408</v>
      </c>
      <c r="E3594" s="645"/>
      <c r="F3594" s="657">
        <f t="shared" si="1465"/>
        <v>9.7899999999999991</v>
      </c>
      <c r="G3594" s="656">
        <f t="shared" si="1466"/>
        <v>9.99</v>
      </c>
      <c r="H3594" s="656">
        <f t="shared" si="1464"/>
        <v>7.99</v>
      </c>
      <c r="I3594" s="701"/>
      <c r="J3594" s="669">
        <v>43419</v>
      </c>
      <c r="N3594" s="127"/>
      <c r="O3594" s="395"/>
      <c r="P3594" s="327"/>
      <c r="Q3594" s="327"/>
      <c r="R3594" s="327"/>
      <c r="S3594" s="327"/>
      <c r="U3594" s="327"/>
      <c r="V3594" s="327"/>
      <c r="W3594" s="327"/>
      <c r="X3594" s="327"/>
    </row>
    <row r="3595" spans="1:25" s="774" customFormat="1" x14ac:dyDescent="0.25">
      <c r="A3595" s="644" t="s">
        <v>6391</v>
      </c>
      <c r="B3595" s="645" t="s">
        <v>5548</v>
      </c>
      <c r="C3595" s="643" t="s">
        <v>6408</v>
      </c>
      <c r="D3595" s="643" t="s">
        <v>1776</v>
      </c>
      <c r="E3595" s="645"/>
      <c r="F3595" s="657">
        <f t="shared" si="1465"/>
        <v>5.34</v>
      </c>
      <c r="G3595" s="656">
        <f t="shared" si="1466"/>
        <v>5.54</v>
      </c>
      <c r="H3595" s="656">
        <f t="shared" si="1464"/>
        <v>4.43</v>
      </c>
      <c r="I3595" s="701"/>
      <c r="J3595" s="669">
        <v>43419</v>
      </c>
      <c r="N3595" s="127"/>
      <c r="O3595" s="395"/>
      <c r="P3595" s="327"/>
      <c r="Q3595" s="327"/>
      <c r="R3595" s="327"/>
      <c r="S3595" s="327"/>
      <c r="U3595" s="327"/>
      <c r="V3595" s="327"/>
      <c r="W3595" s="327"/>
      <c r="X3595" s="327"/>
    </row>
    <row r="3596" spans="1:25" s="774" customFormat="1" x14ac:dyDescent="0.25">
      <c r="A3596" s="608"/>
      <c r="B3596" s="2"/>
      <c r="C3596" s="34"/>
      <c r="D3596" s="34"/>
      <c r="E3596" s="2"/>
      <c r="F3596" s="445"/>
      <c r="G3596" s="14"/>
      <c r="H3596" s="14" t="str">
        <f t="shared" si="1464"/>
        <v/>
      </c>
      <c r="I3596" s="695"/>
      <c r="J3596" s="669" t="s">
        <v>4180</v>
      </c>
      <c r="M3596" s="774">
        <v>2020</v>
      </c>
      <c r="N3596" s="774" t="s">
        <v>5682</v>
      </c>
      <c r="O3596" s="270" t="s">
        <v>5490</v>
      </c>
      <c r="P3596" s="774" t="s">
        <v>1780</v>
      </c>
      <c r="Q3596" s="774" t="s">
        <v>1779</v>
      </c>
      <c r="R3596" s="774" t="s">
        <v>5408</v>
      </c>
      <c r="S3596" s="774" t="s">
        <v>1776</v>
      </c>
      <c r="T3596" s="774" t="s">
        <v>49</v>
      </c>
      <c r="U3596" s="127" t="s">
        <v>2884</v>
      </c>
      <c r="V3596" s="774" t="s">
        <v>1780</v>
      </c>
      <c r="W3596" s="774" t="s">
        <v>1779</v>
      </c>
      <c r="X3596" s="774" t="s">
        <v>5408</v>
      </c>
      <c r="Y3596" s="774" t="s">
        <v>1776</v>
      </c>
    </row>
    <row r="3597" spans="1:25" s="774" customFormat="1" x14ac:dyDescent="0.25">
      <c r="A3597" s="644" t="s">
        <v>6523</v>
      </c>
      <c r="B3597" s="645" t="s">
        <v>5548</v>
      </c>
      <c r="C3597" s="643" t="s">
        <v>6519</v>
      </c>
      <c r="D3597" s="643" t="s">
        <v>1780</v>
      </c>
      <c r="E3597" s="645"/>
      <c r="F3597" s="657">
        <f t="shared" ref="F3597:F3612" si="1469">IF(HLOOKUP($D3597,$V$3596:$Y$3600,MATCH(MID($A3597,11,2),$N$3596:$N$3600,0),FALSE)&lt;&gt;"",ROUND(HLOOKUP($D3597,$V$3596:$Y$3600,MATCH(MID($A3597,11,2),$N$3596:$N$3600,0),FALSE),2),"")</f>
        <v>12.73</v>
      </c>
      <c r="G3597" s="656">
        <f t="shared" ref="G3597:G3612" si="1470">IF(HLOOKUP($D3597,$O$3596:$S$3600,MATCH(MID($A3597,11,2),$N$3596:$N$3600,0),FALSE)&lt;&gt;"",ROUND(HLOOKUP($D3597,$O$3596:$S$3600,MATCH(MID($A3597,11,2),$N$3596:$N$3600,0),FALSE),2),"")</f>
        <v>12.93</v>
      </c>
      <c r="H3597" s="656">
        <f t="shared" si="1464"/>
        <v>10.34</v>
      </c>
      <c r="I3597" s="701"/>
      <c r="J3597" s="669">
        <v>43796</v>
      </c>
      <c r="N3597" s="636" t="s">
        <v>5759</v>
      </c>
      <c r="O3597" s="568">
        <v>0</v>
      </c>
      <c r="P3597" s="327">
        <f>IF($O3597&lt;&gt;"",(1-$O3597)*P3583,"")</f>
        <v>12.925361824625458</v>
      </c>
      <c r="Q3597" s="327">
        <f>IF($O3597&lt;&gt;"",(1-$O3597)*Q3583,"")</f>
        <v>11.149580132503493</v>
      </c>
      <c r="R3597" s="327">
        <f>IF($O3597&lt;&gt;"",(1-$O3597)*R3583,"")</f>
        <v>9.98513312127597</v>
      </c>
      <c r="S3597" s="327">
        <f>IF($O3597&lt;&gt;"",(1-$O3597)*S3583,"")</f>
        <v>5.5408270284242764</v>
      </c>
      <c r="V3597" s="327">
        <f t="shared" ref="V3597:Y3600" si="1471">P3597-0.2</f>
        <v>12.725361824625459</v>
      </c>
      <c r="W3597" s="327">
        <f t="shared" si="1471"/>
        <v>10.949580132503494</v>
      </c>
      <c r="X3597" s="327">
        <f t="shared" si="1471"/>
        <v>9.7851331212759707</v>
      </c>
      <c r="Y3597" s="327">
        <f t="shared" si="1471"/>
        <v>5.3408270284242763</v>
      </c>
    </row>
    <row r="3598" spans="1:25" s="774" customFormat="1" x14ac:dyDescent="0.25">
      <c r="A3598" s="644" t="s">
        <v>6524</v>
      </c>
      <c r="B3598" s="645" t="s">
        <v>5548</v>
      </c>
      <c r="C3598" s="643" t="s">
        <v>6519</v>
      </c>
      <c r="D3598" s="643" t="s">
        <v>1779</v>
      </c>
      <c r="E3598" s="645"/>
      <c r="F3598" s="657">
        <f t="shared" si="1469"/>
        <v>10.95</v>
      </c>
      <c r="G3598" s="656">
        <f t="shared" si="1470"/>
        <v>11.15</v>
      </c>
      <c r="H3598" s="656">
        <f t="shared" si="1464"/>
        <v>8.92</v>
      </c>
      <c r="I3598" s="701"/>
      <c r="J3598" s="669">
        <v>43796</v>
      </c>
      <c r="N3598" s="636" t="s">
        <v>5760</v>
      </c>
      <c r="O3598" s="568">
        <v>5.0000000000000001E-3</v>
      </c>
      <c r="P3598" s="327">
        <f t="shared" ref="P3598:S3600" si="1472">IF($O3598&lt;&gt;"",(1-$O3598)*P3597,"")</f>
        <v>12.86073501550233</v>
      </c>
      <c r="Q3598" s="327">
        <f t="shared" si="1472"/>
        <v>11.093832231840976</v>
      </c>
      <c r="R3598" s="327">
        <f t="shared" si="1472"/>
        <v>9.9352074556695893</v>
      </c>
      <c r="S3598" s="327">
        <f t="shared" si="1472"/>
        <v>5.513122893282155</v>
      </c>
      <c r="V3598" s="327">
        <f t="shared" si="1471"/>
        <v>12.660735015502331</v>
      </c>
      <c r="W3598" s="327">
        <f t="shared" si="1471"/>
        <v>10.893832231840976</v>
      </c>
      <c r="X3598" s="327">
        <f t="shared" si="1471"/>
        <v>9.73520745566959</v>
      </c>
      <c r="Y3598" s="327">
        <f t="shared" si="1471"/>
        <v>5.3131228932821548</v>
      </c>
    </row>
    <row r="3599" spans="1:25" s="774" customFormat="1" x14ac:dyDescent="0.25">
      <c r="A3599" s="644" t="s">
        <v>6525</v>
      </c>
      <c r="B3599" s="645" t="s">
        <v>5548</v>
      </c>
      <c r="C3599" s="643" t="s">
        <v>6519</v>
      </c>
      <c r="D3599" s="643" t="s">
        <v>5408</v>
      </c>
      <c r="E3599" s="645"/>
      <c r="F3599" s="657">
        <f t="shared" si="1469"/>
        <v>9.7899999999999991</v>
      </c>
      <c r="G3599" s="656">
        <f t="shared" si="1470"/>
        <v>9.99</v>
      </c>
      <c r="H3599" s="656">
        <f t="shared" si="1464"/>
        <v>7.99</v>
      </c>
      <c r="I3599" s="701"/>
      <c r="J3599" s="669">
        <v>43796</v>
      </c>
      <c r="N3599" s="636" t="s">
        <v>5761</v>
      </c>
      <c r="O3599" s="568">
        <v>0</v>
      </c>
      <c r="P3599" s="327">
        <f t="shared" si="1472"/>
        <v>12.86073501550233</v>
      </c>
      <c r="Q3599" s="327">
        <f t="shared" si="1472"/>
        <v>11.093832231840976</v>
      </c>
      <c r="R3599" s="327">
        <f t="shared" si="1472"/>
        <v>9.9352074556695893</v>
      </c>
      <c r="S3599" s="327">
        <f t="shared" si="1472"/>
        <v>5.513122893282155</v>
      </c>
      <c r="V3599" s="327">
        <f t="shared" si="1471"/>
        <v>12.660735015502331</v>
      </c>
      <c r="W3599" s="327">
        <f t="shared" si="1471"/>
        <v>10.893832231840976</v>
      </c>
      <c r="X3599" s="327">
        <f t="shared" si="1471"/>
        <v>9.73520745566959</v>
      </c>
      <c r="Y3599" s="327">
        <f t="shared" si="1471"/>
        <v>5.3131228932821548</v>
      </c>
    </row>
    <row r="3600" spans="1:25" s="774" customFormat="1" x14ac:dyDescent="0.25">
      <c r="A3600" s="644" t="s">
        <v>6526</v>
      </c>
      <c r="B3600" s="645" t="s">
        <v>5548</v>
      </c>
      <c r="C3600" s="643" t="s">
        <v>6519</v>
      </c>
      <c r="D3600" s="643" t="s">
        <v>1776</v>
      </c>
      <c r="E3600" s="645"/>
      <c r="F3600" s="657">
        <f t="shared" si="1469"/>
        <v>5.34</v>
      </c>
      <c r="G3600" s="656">
        <f t="shared" si="1470"/>
        <v>5.54</v>
      </c>
      <c r="H3600" s="656">
        <f t="shared" si="1464"/>
        <v>4.43</v>
      </c>
      <c r="I3600" s="701"/>
      <c r="J3600" s="669">
        <v>43796</v>
      </c>
      <c r="N3600" s="636" t="s">
        <v>5762</v>
      </c>
      <c r="O3600" s="568">
        <v>5.0000000000000001E-3</v>
      </c>
      <c r="P3600" s="327">
        <f t="shared" si="1472"/>
        <v>12.796431340424819</v>
      </c>
      <c r="Q3600" s="327">
        <f t="shared" si="1472"/>
        <v>11.03836307068177</v>
      </c>
      <c r="R3600" s="327">
        <f t="shared" si="1472"/>
        <v>9.8855314183912419</v>
      </c>
      <c r="S3600" s="327">
        <f t="shared" si="1472"/>
        <v>5.4855572788157438</v>
      </c>
      <c r="V3600" s="327">
        <f t="shared" si="1471"/>
        <v>12.59643134042482</v>
      </c>
      <c r="W3600" s="327">
        <f t="shared" si="1471"/>
        <v>10.838363070681771</v>
      </c>
      <c r="X3600" s="327">
        <f t="shared" si="1471"/>
        <v>9.6855314183912427</v>
      </c>
      <c r="Y3600" s="327">
        <f t="shared" si="1471"/>
        <v>5.2855572788157437</v>
      </c>
    </row>
    <row r="3601" spans="1:41" s="774" customFormat="1" x14ac:dyDescent="0.25">
      <c r="A3601" s="644" t="s">
        <v>6527</v>
      </c>
      <c r="B3601" s="645" t="s">
        <v>5548</v>
      </c>
      <c r="C3601" s="643" t="s">
        <v>6520</v>
      </c>
      <c r="D3601" s="643" t="s">
        <v>1780</v>
      </c>
      <c r="E3601" s="645"/>
      <c r="F3601" s="657">
        <f t="shared" si="1469"/>
        <v>12.66</v>
      </c>
      <c r="G3601" s="656">
        <f t="shared" si="1470"/>
        <v>12.86</v>
      </c>
      <c r="H3601" s="656">
        <f t="shared" si="1464"/>
        <v>10.29</v>
      </c>
      <c r="I3601" s="701"/>
      <c r="J3601" s="669">
        <v>43796</v>
      </c>
      <c r="N3601" s="127"/>
      <c r="O3601" s="395"/>
      <c r="P3601" s="327"/>
      <c r="Q3601" s="327"/>
      <c r="R3601" s="327"/>
      <c r="S3601" s="327"/>
      <c r="U3601" s="327"/>
      <c r="V3601" s="327"/>
      <c r="W3601" s="327"/>
      <c r="X3601" s="327"/>
    </row>
    <row r="3602" spans="1:41" s="774" customFormat="1" x14ac:dyDescent="0.25">
      <c r="A3602" s="644" t="s">
        <v>6528</v>
      </c>
      <c r="B3602" s="645" t="s">
        <v>5548</v>
      </c>
      <c r="C3602" s="643" t="s">
        <v>6520</v>
      </c>
      <c r="D3602" s="643" t="s">
        <v>1779</v>
      </c>
      <c r="E3602" s="645"/>
      <c r="F3602" s="657">
        <f t="shared" si="1469"/>
        <v>10.89</v>
      </c>
      <c r="G3602" s="656">
        <f t="shared" si="1470"/>
        <v>11.09</v>
      </c>
      <c r="H3602" s="656">
        <f t="shared" si="1464"/>
        <v>8.8699999999999992</v>
      </c>
      <c r="I3602" s="701"/>
      <c r="J3602" s="669">
        <v>43796</v>
      </c>
      <c r="N3602" s="127"/>
      <c r="O3602" s="395"/>
      <c r="P3602" s="327"/>
      <c r="Q3602" s="327"/>
      <c r="R3602" s="327"/>
      <c r="S3602" s="327"/>
      <c r="U3602" s="327"/>
      <c r="V3602" s="327"/>
      <c r="W3602" s="327"/>
      <c r="X3602" s="327"/>
    </row>
    <row r="3603" spans="1:41" s="774" customFormat="1" x14ac:dyDescent="0.25">
      <c r="A3603" s="644" t="s">
        <v>6529</v>
      </c>
      <c r="B3603" s="645" t="s">
        <v>5548</v>
      </c>
      <c r="C3603" s="643" t="s">
        <v>6520</v>
      </c>
      <c r="D3603" s="643" t="s">
        <v>5408</v>
      </c>
      <c r="E3603" s="645"/>
      <c r="F3603" s="657">
        <f t="shared" si="1469"/>
        <v>9.74</v>
      </c>
      <c r="G3603" s="656">
        <f t="shared" si="1470"/>
        <v>9.94</v>
      </c>
      <c r="H3603" s="656">
        <f t="shared" si="1464"/>
        <v>7.95</v>
      </c>
      <c r="I3603" s="701"/>
      <c r="J3603" s="669">
        <v>43796</v>
      </c>
      <c r="N3603" s="127"/>
      <c r="O3603" s="395"/>
      <c r="P3603" s="327"/>
      <c r="Q3603" s="327"/>
      <c r="R3603" s="327"/>
      <c r="S3603" s="327"/>
      <c r="U3603" s="327"/>
      <c r="V3603" s="327"/>
      <c r="W3603" s="327"/>
      <c r="X3603" s="327"/>
    </row>
    <row r="3604" spans="1:41" s="774" customFormat="1" x14ac:dyDescent="0.25">
      <c r="A3604" s="644" t="s">
        <v>6530</v>
      </c>
      <c r="B3604" s="645" t="s">
        <v>5548</v>
      </c>
      <c r="C3604" s="643" t="s">
        <v>6520</v>
      </c>
      <c r="D3604" s="643" t="s">
        <v>1776</v>
      </c>
      <c r="E3604" s="645"/>
      <c r="F3604" s="657">
        <f t="shared" si="1469"/>
        <v>5.31</v>
      </c>
      <c r="G3604" s="656">
        <f t="shared" si="1470"/>
        <v>5.51</v>
      </c>
      <c r="H3604" s="656">
        <f t="shared" si="1464"/>
        <v>4.41</v>
      </c>
      <c r="I3604" s="701"/>
      <c r="J3604" s="669">
        <v>43796</v>
      </c>
      <c r="N3604" s="127"/>
      <c r="O3604" s="395"/>
      <c r="P3604" s="327"/>
      <c r="Q3604" s="327"/>
      <c r="R3604" s="327"/>
      <c r="S3604" s="327"/>
      <c r="U3604" s="327"/>
      <c r="V3604" s="327"/>
      <c r="W3604" s="327"/>
      <c r="X3604" s="327"/>
    </row>
    <row r="3605" spans="1:41" s="774" customFormat="1" x14ac:dyDescent="0.25">
      <c r="A3605" s="644" t="s">
        <v>6531</v>
      </c>
      <c r="B3605" s="645" t="s">
        <v>5548</v>
      </c>
      <c r="C3605" s="643" t="s">
        <v>6521</v>
      </c>
      <c r="D3605" s="643" t="s">
        <v>1780</v>
      </c>
      <c r="E3605" s="645"/>
      <c r="F3605" s="657">
        <f t="shared" si="1469"/>
        <v>12.66</v>
      </c>
      <c r="G3605" s="656">
        <f t="shared" si="1470"/>
        <v>12.86</v>
      </c>
      <c r="H3605" s="656">
        <f t="shared" si="1464"/>
        <v>10.29</v>
      </c>
      <c r="I3605" s="701"/>
      <c r="J3605" s="669">
        <v>43796</v>
      </c>
      <c r="N3605" s="127"/>
      <c r="O3605" s="395"/>
      <c r="P3605" s="327"/>
      <c r="Q3605" s="327"/>
      <c r="R3605" s="327"/>
      <c r="S3605" s="327"/>
      <c r="U3605" s="327"/>
      <c r="V3605" s="327"/>
      <c r="W3605" s="327"/>
      <c r="X3605" s="327"/>
    </row>
    <row r="3606" spans="1:41" s="774" customFormat="1" x14ac:dyDescent="0.25">
      <c r="A3606" s="644" t="s">
        <v>6532</v>
      </c>
      <c r="B3606" s="645" t="s">
        <v>5548</v>
      </c>
      <c r="C3606" s="643" t="s">
        <v>6521</v>
      </c>
      <c r="D3606" s="643" t="s">
        <v>1779</v>
      </c>
      <c r="E3606" s="645"/>
      <c r="F3606" s="657">
        <f t="shared" si="1469"/>
        <v>10.89</v>
      </c>
      <c r="G3606" s="656">
        <f t="shared" si="1470"/>
        <v>11.09</v>
      </c>
      <c r="H3606" s="656">
        <f t="shared" si="1464"/>
        <v>8.8699999999999992</v>
      </c>
      <c r="I3606" s="701"/>
      <c r="J3606" s="669">
        <v>43796</v>
      </c>
      <c r="N3606" s="127"/>
      <c r="O3606" s="395"/>
      <c r="P3606" s="327"/>
      <c r="Q3606" s="327"/>
      <c r="R3606" s="327"/>
      <c r="S3606" s="327"/>
      <c r="U3606" s="327"/>
      <c r="V3606" s="327"/>
      <c r="W3606" s="327"/>
      <c r="X3606" s="327"/>
    </row>
    <row r="3607" spans="1:41" s="774" customFormat="1" x14ac:dyDescent="0.25">
      <c r="A3607" s="644" t="s">
        <v>6533</v>
      </c>
      <c r="B3607" s="645" t="s">
        <v>5548</v>
      </c>
      <c r="C3607" s="643" t="s">
        <v>6521</v>
      </c>
      <c r="D3607" s="643" t="s">
        <v>5408</v>
      </c>
      <c r="E3607" s="645"/>
      <c r="F3607" s="657">
        <f t="shared" si="1469"/>
        <v>9.74</v>
      </c>
      <c r="G3607" s="656">
        <f t="shared" si="1470"/>
        <v>9.94</v>
      </c>
      <c r="H3607" s="656">
        <f t="shared" si="1464"/>
        <v>7.95</v>
      </c>
      <c r="I3607" s="701"/>
      <c r="J3607" s="669">
        <v>43796</v>
      </c>
      <c r="N3607" s="127"/>
      <c r="O3607" s="395"/>
      <c r="P3607" s="327"/>
      <c r="Q3607" s="327"/>
      <c r="R3607" s="327"/>
      <c r="S3607" s="327"/>
      <c r="U3607" s="327"/>
      <c r="V3607" s="327"/>
      <c r="W3607" s="327"/>
      <c r="X3607" s="327"/>
    </row>
    <row r="3608" spans="1:41" s="774" customFormat="1" x14ac:dyDescent="0.25">
      <c r="A3608" s="644" t="s">
        <v>6534</v>
      </c>
      <c r="B3608" s="645" t="s">
        <v>5548</v>
      </c>
      <c r="C3608" s="643" t="s">
        <v>6521</v>
      </c>
      <c r="D3608" s="643" t="s">
        <v>1776</v>
      </c>
      <c r="E3608" s="645"/>
      <c r="F3608" s="657">
        <f t="shared" si="1469"/>
        <v>5.31</v>
      </c>
      <c r="G3608" s="656">
        <f t="shared" si="1470"/>
        <v>5.51</v>
      </c>
      <c r="H3608" s="656">
        <f t="shared" ref="H3608:H3619" si="1473">IF(ISNUMBER(G3608),ROUND(0.8*G3608,2),"")</f>
        <v>4.41</v>
      </c>
      <c r="I3608" s="701"/>
      <c r="J3608" s="669">
        <v>43796</v>
      </c>
      <c r="N3608" s="127"/>
      <c r="O3608" s="395"/>
      <c r="P3608" s="327"/>
      <c r="Q3608" s="327"/>
      <c r="R3608" s="327"/>
      <c r="S3608" s="327"/>
      <c r="U3608" s="327"/>
      <c r="V3608" s="327"/>
      <c r="W3608" s="327"/>
      <c r="X3608" s="327"/>
    </row>
    <row r="3609" spans="1:41" s="774" customFormat="1" x14ac:dyDescent="0.25">
      <c r="A3609" s="644" t="s">
        <v>6535</v>
      </c>
      <c r="B3609" s="645" t="s">
        <v>5548</v>
      </c>
      <c r="C3609" s="643" t="s">
        <v>6522</v>
      </c>
      <c r="D3609" s="643" t="s">
        <v>1780</v>
      </c>
      <c r="E3609" s="645"/>
      <c r="F3609" s="657">
        <f t="shared" si="1469"/>
        <v>12.6</v>
      </c>
      <c r="G3609" s="656">
        <f t="shared" si="1470"/>
        <v>12.8</v>
      </c>
      <c r="H3609" s="656">
        <f t="shared" si="1473"/>
        <v>10.24</v>
      </c>
      <c r="I3609" s="701"/>
      <c r="J3609" s="669">
        <v>43796</v>
      </c>
      <c r="N3609" s="127"/>
      <c r="O3609" s="395"/>
      <c r="P3609" s="327"/>
      <c r="Q3609" s="327"/>
      <c r="R3609" s="327"/>
      <c r="S3609" s="327"/>
      <c r="U3609" s="327"/>
      <c r="V3609" s="327"/>
      <c r="W3609" s="327"/>
      <c r="X3609" s="327"/>
    </row>
    <row r="3610" spans="1:41" s="774" customFormat="1" x14ac:dyDescent="0.25">
      <c r="A3610" s="644" t="s">
        <v>6536</v>
      </c>
      <c r="B3610" s="645" t="s">
        <v>5548</v>
      </c>
      <c r="C3610" s="643" t="s">
        <v>6522</v>
      </c>
      <c r="D3610" s="643" t="s">
        <v>1779</v>
      </c>
      <c r="E3610" s="645"/>
      <c r="F3610" s="657">
        <f t="shared" si="1469"/>
        <v>10.84</v>
      </c>
      <c r="G3610" s="656">
        <f t="shared" si="1470"/>
        <v>11.04</v>
      </c>
      <c r="H3610" s="656">
        <f t="shared" si="1473"/>
        <v>8.83</v>
      </c>
      <c r="I3610" s="701"/>
      <c r="J3610" s="669">
        <v>43796</v>
      </c>
      <c r="N3610" s="127"/>
      <c r="O3610" s="395"/>
      <c r="P3610" s="327"/>
      <c r="Q3610" s="327"/>
      <c r="R3610" s="327"/>
      <c r="S3610" s="327"/>
      <c r="U3610" s="327"/>
      <c r="V3610" s="327"/>
      <c r="W3610" s="327"/>
      <c r="X3610" s="327"/>
    </row>
    <row r="3611" spans="1:41" s="774" customFormat="1" x14ac:dyDescent="0.25">
      <c r="A3611" s="644" t="s">
        <v>6537</v>
      </c>
      <c r="B3611" s="645" t="s">
        <v>5548</v>
      </c>
      <c r="C3611" s="643" t="s">
        <v>6522</v>
      </c>
      <c r="D3611" s="643" t="s">
        <v>5408</v>
      </c>
      <c r="E3611" s="645"/>
      <c r="F3611" s="657">
        <f t="shared" si="1469"/>
        <v>9.69</v>
      </c>
      <c r="G3611" s="656">
        <f t="shared" si="1470"/>
        <v>9.89</v>
      </c>
      <c r="H3611" s="656">
        <f t="shared" si="1473"/>
        <v>7.91</v>
      </c>
      <c r="I3611" s="701"/>
      <c r="J3611" s="669">
        <v>43796</v>
      </c>
      <c r="N3611" s="127"/>
      <c r="O3611" s="395"/>
      <c r="P3611" s="327"/>
      <c r="Q3611" s="327"/>
      <c r="R3611" s="327"/>
      <c r="S3611" s="327"/>
      <c r="U3611" s="327"/>
      <c r="V3611" s="327"/>
      <c r="W3611" s="327"/>
      <c r="X3611" s="327"/>
    </row>
    <row r="3612" spans="1:41" s="774" customFormat="1" x14ac:dyDescent="0.25">
      <c r="A3612" s="644" t="s">
        <v>6538</v>
      </c>
      <c r="B3612" s="645" t="s">
        <v>5548</v>
      </c>
      <c r="C3612" s="643" t="s">
        <v>6522</v>
      </c>
      <c r="D3612" s="643" t="s">
        <v>1776</v>
      </c>
      <c r="E3612" s="645"/>
      <c r="F3612" s="657">
        <f t="shared" si="1469"/>
        <v>5.29</v>
      </c>
      <c r="G3612" s="656">
        <f t="shared" si="1470"/>
        <v>5.49</v>
      </c>
      <c r="H3612" s="656">
        <f t="shared" si="1473"/>
        <v>4.3899999999999997</v>
      </c>
      <c r="I3612" s="701"/>
      <c r="J3612" s="669">
        <v>43796</v>
      </c>
      <c r="N3612" s="127"/>
      <c r="O3612" s="395"/>
      <c r="P3612" s="327"/>
      <c r="Q3612" s="327"/>
      <c r="R3612" s="327"/>
      <c r="S3612" s="327"/>
      <c r="U3612" s="327"/>
      <c r="V3612" s="327"/>
      <c r="W3612" s="327"/>
      <c r="X3612" s="327"/>
    </row>
    <row r="3613" spans="1:41" s="774" customFormat="1" x14ac:dyDescent="0.25">
      <c r="A3613" s="608"/>
      <c r="B3613" s="2"/>
      <c r="C3613" s="445"/>
      <c r="D3613" s="34"/>
      <c r="E3613" s="2"/>
      <c r="F3613" s="445"/>
      <c r="G3613" s="14"/>
      <c r="H3613" s="14" t="str">
        <f t="shared" si="1473"/>
        <v/>
      </c>
      <c r="I3613" s="695"/>
      <c r="J3613" s="669" t="s">
        <v>4180</v>
      </c>
      <c r="M3613" s="774">
        <v>2021</v>
      </c>
      <c r="O3613" s="270"/>
      <c r="P3613" s="774" t="s">
        <v>1780</v>
      </c>
      <c r="R3613" s="774" t="s">
        <v>49</v>
      </c>
      <c r="U3613" s="127" t="s">
        <v>2884</v>
      </c>
      <c r="V3613" s="774" t="s">
        <v>1780</v>
      </c>
    </row>
    <row r="3614" spans="1:41" s="774" customFormat="1" x14ac:dyDescent="0.25">
      <c r="A3614" s="644" t="s">
        <v>6691</v>
      </c>
      <c r="B3614" s="645" t="s">
        <v>5548</v>
      </c>
      <c r="C3614" s="643" t="s">
        <v>6629</v>
      </c>
      <c r="D3614" s="643" t="s">
        <v>1780</v>
      </c>
      <c r="E3614" s="645"/>
      <c r="F3614" s="793">
        <f>ROUND(HLOOKUP($D3614,$V$3613:$Y$3614,2,FALSE),2)</f>
        <v>12.6</v>
      </c>
      <c r="G3614" s="658">
        <f>ROUND(P3614,2)</f>
        <v>12.8</v>
      </c>
      <c r="H3614" s="795">
        <f t="shared" si="1473"/>
        <v>10.24</v>
      </c>
      <c r="I3614" s="701"/>
      <c r="J3614" s="669">
        <v>44196</v>
      </c>
      <c r="M3614" s="127"/>
      <c r="N3614" s="127"/>
      <c r="O3614" s="568" t="s">
        <v>7665</v>
      </c>
      <c r="P3614" s="327">
        <v>12.8</v>
      </c>
      <c r="Q3614" s="327"/>
      <c r="R3614" s="327"/>
      <c r="S3614" s="327"/>
      <c r="V3614" s="327">
        <f>P3614-0.2</f>
        <v>12.600000000000001</v>
      </c>
      <c r="W3614" s="327"/>
      <c r="X3614" s="327"/>
      <c r="Y3614" s="327"/>
    </row>
    <row r="3615" spans="1:41" s="774" customFormat="1" x14ac:dyDescent="0.25">
      <c r="A3615" s="3"/>
      <c r="B3615" s="3"/>
      <c r="C3615" s="442"/>
      <c r="D3615" s="1"/>
      <c r="E3615" s="1"/>
      <c r="F3615" s="874"/>
      <c r="G3615" s="3"/>
      <c r="H3615" s="875" t="str">
        <f t="shared" si="1473"/>
        <v/>
      </c>
      <c r="I3615" s="876"/>
      <c r="J3615" s="669" t="s">
        <v>4180</v>
      </c>
      <c r="K3615" s="769"/>
      <c r="L3615" s="877"/>
      <c r="M3615" s="127">
        <v>2022</v>
      </c>
      <c r="N3615" s="878" t="s">
        <v>7664</v>
      </c>
      <c r="O3615" s="866" t="s">
        <v>5490</v>
      </c>
      <c r="P3615" s="774" t="s">
        <v>1780</v>
      </c>
      <c r="R3615" s="774" t="s">
        <v>49</v>
      </c>
      <c r="S3615" s="127"/>
      <c r="V3615" s="774" t="s">
        <v>1780</v>
      </c>
      <c r="AH3615" s="879"/>
      <c r="AO3615" s="254"/>
    </row>
    <row r="3616" spans="1:41" s="774" customFormat="1" x14ac:dyDescent="0.25">
      <c r="A3616" s="644" t="str">
        <f>"BiK420---HJ1" &amp; RIGHT(M3615,2)</f>
        <v>BiK420---HJ122</v>
      </c>
      <c r="B3616" s="645" t="s">
        <v>5548</v>
      </c>
      <c r="C3616" s="645" t="str">
        <f>"Inbetriebnahme 01-06/20" &amp; RIGHT(M3615,2)</f>
        <v>Inbetriebnahme 01-06/2022</v>
      </c>
      <c r="D3616" s="645" t="s">
        <v>1780</v>
      </c>
      <c r="E3616" s="645"/>
      <c r="F3616" s="657">
        <f>IF(HLOOKUP($D3616,$V$3615:$V$3617,MATCH(MID($A3616,10,3),$N$3615:$N$3617,0),FALSE)&lt;&gt;"",ROUND(HLOOKUP($D3616,$V$3615:$V$3617,MATCH(MID($A3616,10,3),$N$3615:$N$3617,0),FALSE),2),"")</f>
        <v>12.6</v>
      </c>
      <c r="G3616" s="658">
        <f>IF(HLOOKUP($D3616,$P$3615:$P$3617,MATCH(MID($A3616,10,3),$N$3615:$N$3617,0),FALSE)&lt;&gt;"",ROUND(HLOOKUP($D3616,$P$3615:$P$3617,MATCH(MID($A3616,10,3),$N$3615:$N$3617,0),FALSE),2),"")</f>
        <v>12.8</v>
      </c>
      <c r="H3616" s="867">
        <f t="shared" si="1473"/>
        <v>10.24</v>
      </c>
      <c r="I3616" s="701"/>
      <c r="J3616" s="669">
        <v>44536</v>
      </c>
      <c r="K3616" s="769"/>
      <c r="L3616" s="877"/>
      <c r="N3616" s="878" t="s">
        <v>7662</v>
      </c>
      <c r="O3616" s="568">
        <v>0</v>
      </c>
      <c r="P3616" s="871">
        <f>P3614</f>
        <v>12.8</v>
      </c>
      <c r="Q3616" s="871"/>
      <c r="R3616" s="871"/>
      <c r="T3616" s="871"/>
      <c r="U3616" s="871"/>
      <c r="V3616" s="871">
        <f>P3616-0.2</f>
        <v>12.600000000000001</v>
      </c>
      <c r="AH3616" s="879"/>
      <c r="AO3616" s="254"/>
    </row>
    <row r="3617" spans="1:45" s="774" customFormat="1" x14ac:dyDescent="0.25">
      <c r="A3617" s="644" t="str">
        <f>"BiK420---HJ2" &amp; RIGHT(M3615,2)</f>
        <v>BiK420---HJ222</v>
      </c>
      <c r="B3617" s="645" t="s">
        <v>5548</v>
      </c>
      <c r="C3617" s="645" t="str">
        <f>"Inbetriebnahme 07-12/20" &amp; RIGHT(M3615,2)</f>
        <v>Inbetriebnahme 07-12/2022</v>
      </c>
      <c r="D3617" s="645" t="s">
        <v>1780</v>
      </c>
      <c r="E3617" s="645"/>
      <c r="F3617" s="657">
        <f>IF(HLOOKUP($D3617,$V$3615:$V$3617,MATCH(MID($A3617,10,3),$N$3615:$N$3617,0),FALSE)&lt;&gt;"",ROUND(HLOOKUP($D3617,$V$3615:$V$3617,MATCH(MID($A3617,10,3),$N$3615:$N$3617,0),FALSE),2),"")</f>
        <v>12.54</v>
      </c>
      <c r="G3617" s="658">
        <f>IF(HLOOKUP($D3617,$P$3615:$P$3617,MATCH(MID($A3617,10,3),$N$3615:$N$3617,0),FALSE)&lt;&gt;"",ROUND(HLOOKUP($D3617,$P$3615:$P$3617,MATCH(MID($A3617,10,3),$N$3615:$N$3617,0),FALSE),2),"")</f>
        <v>12.74</v>
      </c>
      <c r="H3617" s="867">
        <f t="shared" si="1473"/>
        <v>10.19</v>
      </c>
      <c r="I3617" s="701"/>
      <c r="J3617" s="669">
        <v>44536</v>
      </c>
      <c r="K3617" s="769"/>
      <c r="L3617" s="877"/>
      <c r="M3617" s="880"/>
      <c r="N3617" s="878" t="s">
        <v>7663</v>
      </c>
      <c r="O3617" s="568">
        <v>5.0000000000000001E-3</v>
      </c>
      <c r="P3617" s="871">
        <f>IF($O3617&lt;&gt;"",(1-$O3617)*P3616,"")</f>
        <v>12.736000000000001</v>
      </c>
      <c r="Q3617" s="871"/>
      <c r="R3617" s="871"/>
      <c r="T3617" s="871"/>
      <c r="U3617" s="871"/>
      <c r="V3617" s="871">
        <f>P3617-0.2</f>
        <v>12.536000000000001</v>
      </c>
      <c r="AH3617" s="879"/>
      <c r="AO3617" s="254"/>
    </row>
    <row r="3618" spans="1:45" s="774" customFormat="1" x14ac:dyDescent="0.25">
      <c r="A3618" s="608"/>
      <c r="B3618" s="2"/>
      <c r="C3618" s="445"/>
      <c r="D3618" s="34"/>
      <c r="E3618" s="2"/>
      <c r="F3618" s="445"/>
      <c r="G3618" s="14"/>
      <c r="H3618" s="14" t="str">
        <f t="shared" si="1473"/>
        <v/>
      </c>
      <c r="I3618" s="695"/>
      <c r="J3618" s="669" t="s">
        <v>4180</v>
      </c>
      <c r="M3618" s="774">
        <v>2023</v>
      </c>
      <c r="O3618" s="270"/>
      <c r="P3618" s="774" t="s">
        <v>1780</v>
      </c>
      <c r="R3618" s="774" t="s">
        <v>49</v>
      </c>
      <c r="U3618" s="127" t="s">
        <v>2884</v>
      </c>
      <c r="V3618" s="774" t="s">
        <v>1780</v>
      </c>
    </row>
    <row r="3619" spans="1:45" s="774" customFormat="1" x14ac:dyDescent="0.25">
      <c r="A3619" s="644" t="s">
        <v>7912</v>
      </c>
      <c r="B3619" s="645" t="s">
        <v>5548</v>
      </c>
      <c r="C3619" s="643" t="s">
        <v>7913</v>
      </c>
      <c r="D3619" s="643" t="s">
        <v>1780</v>
      </c>
      <c r="E3619" s="645" t="s">
        <v>7914</v>
      </c>
      <c r="F3619" s="793">
        <f>ROUND(HLOOKUP($D3619,$V$3618:$Y$3619,2,FALSE),2)</f>
        <v>12.47</v>
      </c>
      <c r="G3619" s="658">
        <f>ROUND(P3619,2)</f>
        <v>12.67</v>
      </c>
      <c r="H3619" s="795">
        <f t="shared" si="1473"/>
        <v>10.14</v>
      </c>
      <c r="I3619" s="701"/>
      <c r="J3619" s="669">
        <f>$J$31</f>
        <v>44896</v>
      </c>
      <c r="M3619" s="127"/>
      <c r="N3619" s="127"/>
      <c r="O3619" s="568" t="s">
        <v>7665</v>
      </c>
      <c r="P3619" s="327">
        <v>12.67</v>
      </c>
      <c r="Q3619" s="327"/>
      <c r="R3619" s="327"/>
      <c r="S3619" s="327"/>
      <c r="V3619" s="327">
        <f>P3619-0.2</f>
        <v>12.47</v>
      </c>
      <c r="W3619" s="327"/>
      <c r="X3619" s="327"/>
      <c r="Y3619" s="327"/>
    </row>
    <row r="3620" spans="1:45" x14ac:dyDescent="0.25">
      <c r="A3620" s="4"/>
      <c r="B3620" s="2"/>
      <c r="C3620" s="1"/>
      <c r="D3620" s="2"/>
      <c r="E3620" s="1"/>
      <c r="F3620" s="442"/>
      <c r="G3620" s="13"/>
      <c r="H3620" s="13"/>
      <c r="I3620" s="692"/>
      <c r="J3620" s="669" t="s">
        <v>4180</v>
      </c>
      <c r="K3620" s="28"/>
      <c r="M3620" s="35"/>
      <c r="N3620" s="15"/>
      <c r="O3620" s="15"/>
    </row>
    <row r="3621" spans="1:45" s="259" customFormat="1" ht="20.25" customHeight="1" x14ac:dyDescent="0.25">
      <c r="A3621" s="266" t="s">
        <v>1771</v>
      </c>
      <c r="B3621" s="255"/>
      <c r="C3621" s="256"/>
      <c r="D3621" s="255"/>
      <c r="E3621" s="256"/>
      <c r="F3621" s="463"/>
      <c r="G3621" s="257"/>
      <c r="H3621" s="257"/>
      <c r="I3621" s="717"/>
      <c r="J3621" s="669" t="s">
        <v>5805</v>
      </c>
      <c r="K3621" s="258"/>
      <c r="M3621" s="260" t="str">
        <f>"Vergütungsberechnung für Anlagen mit Inbetriebnahmejahr bis einschließlich "&amp; M3625</f>
        <v>Vergütungsberechnung für Anlagen mit Inbetriebnahmejahr bis einschließlich 2012</v>
      </c>
      <c r="N3621" s="261"/>
      <c r="O3621" s="261"/>
      <c r="AG3621" s="262"/>
    </row>
    <row r="3622" spans="1:45" s="238" customFormat="1" ht="39.75" customHeight="1" x14ac:dyDescent="0.25">
      <c r="B3622" s="230"/>
      <c r="C3622" s="231"/>
      <c r="D3622" s="231"/>
      <c r="E3622" s="232"/>
      <c r="F3622" s="464"/>
      <c r="G3622" s="233"/>
      <c r="H3622" s="496"/>
      <c r="I3622" s="718"/>
      <c r="J3622" s="669" t="s">
        <v>4180</v>
      </c>
      <c r="K3622" s="234"/>
      <c r="L3622" s="234"/>
      <c r="N3622" s="234"/>
      <c r="O3622" s="1158" t="s">
        <v>1745</v>
      </c>
      <c r="P3622" s="1159"/>
      <c r="Q3622" s="1160"/>
      <c r="R3622" s="267"/>
      <c r="S3622" s="267"/>
      <c r="T3622" s="267"/>
      <c r="U3622" s="267"/>
      <c r="V3622" s="267"/>
      <c r="W3622" s="267"/>
      <c r="X3622" s="267"/>
      <c r="Y3622" s="236"/>
      <c r="Z3622" s="237"/>
    </row>
    <row r="3623" spans="1:45" s="238" customFormat="1" ht="57.75" customHeight="1" x14ac:dyDescent="0.25">
      <c r="A3623" s="308"/>
      <c r="B3623" s="232"/>
      <c r="C3623" s="232"/>
      <c r="D3623" s="232"/>
      <c r="E3623" s="232"/>
      <c r="F3623" s="464"/>
      <c r="G3623" s="302"/>
      <c r="H3623" s="498"/>
      <c r="I3623" s="720"/>
      <c r="J3623" s="669" t="s">
        <v>4180</v>
      </c>
      <c r="K3623" s="234"/>
      <c r="L3623" s="234"/>
      <c r="M3623" s="242" t="s">
        <v>2914</v>
      </c>
      <c r="N3623" s="243" t="s">
        <v>509</v>
      </c>
      <c r="O3623" s="247" t="s">
        <v>1746</v>
      </c>
      <c r="P3623" s="248" t="s">
        <v>1747</v>
      </c>
      <c r="Q3623" s="249" t="s">
        <v>1748</v>
      </c>
      <c r="S3623" s="268"/>
      <c r="T3623" s="268"/>
      <c r="U3623" s="268"/>
      <c r="V3623" s="268"/>
      <c r="W3623" s="268"/>
      <c r="X3623" s="268"/>
      <c r="Y3623" s="237"/>
    </row>
    <row r="3624" spans="1:45" ht="34.5" x14ac:dyDescent="0.25">
      <c r="A3624" s="303" t="s">
        <v>3136</v>
      </c>
      <c r="B3624" s="304"/>
      <c r="C3624" s="305"/>
      <c r="D3624" s="305"/>
      <c r="E3624" s="306"/>
      <c r="F3624" s="466"/>
      <c r="G3624" s="307"/>
      <c r="H3624" s="501"/>
      <c r="I3624" s="721"/>
      <c r="J3624" s="669" t="s">
        <v>5805</v>
      </c>
      <c r="K3624" s="29"/>
      <c r="L3624" s="29"/>
      <c r="M3624" s="46"/>
      <c r="N3624" s="42"/>
      <c r="O3624" s="250" t="s">
        <v>1740</v>
      </c>
      <c r="P3624" s="251" t="s">
        <v>1741</v>
      </c>
      <c r="Q3624" s="252" t="s">
        <v>1742</v>
      </c>
      <c r="R3624" s="118" t="s">
        <v>505</v>
      </c>
      <c r="S3624" s="251" t="s">
        <v>1740</v>
      </c>
      <c r="T3624" s="251" t="s">
        <v>1741</v>
      </c>
      <c r="U3624" s="251" t="s">
        <v>1742</v>
      </c>
      <c r="V3624" s="251"/>
      <c r="W3624" s="251"/>
      <c r="X3624" s="251"/>
      <c r="Y3624" s="12"/>
    </row>
    <row r="3625" spans="1:45" x14ac:dyDescent="0.25">
      <c r="A3625" s="3"/>
      <c r="B3625" s="1"/>
      <c r="C3625" s="1"/>
      <c r="D3625" s="2"/>
      <c r="E3625" s="1"/>
      <c r="F3625" s="457"/>
      <c r="G3625" s="96"/>
      <c r="H3625" s="490"/>
      <c r="I3625" s="709"/>
      <c r="J3625" s="669" t="s">
        <v>4180</v>
      </c>
      <c r="L3625" s="71"/>
      <c r="M3625" s="355">
        <v>2012</v>
      </c>
      <c r="N3625" s="40"/>
      <c r="O3625" s="45">
        <v>3</v>
      </c>
      <c r="P3625" s="40">
        <v>2</v>
      </c>
      <c r="Q3625" s="52">
        <v>1</v>
      </c>
      <c r="R3625" s="275">
        <v>0.02</v>
      </c>
      <c r="S3625" s="348">
        <v>3</v>
      </c>
      <c r="T3625" s="348">
        <v>2</v>
      </c>
      <c r="U3625" s="348">
        <v>1</v>
      </c>
      <c r="V3625" s="205" t="str">
        <f xml:space="preserve"> "Bonushöhe bei Inbetriebnahme in " &amp; M3625</f>
        <v>Bonushöhe bei Inbetriebnahme in 2012</v>
      </c>
      <c r="W3625" s="41"/>
      <c r="X3625" s="41"/>
      <c r="Y3625" s="41"/>
      <c r="Z3625" s="41"/>
      <c r="AA3625" s="41"/>
      <c r="AB3625" s="41"/>
      <c r="AC3625" s="41"/>
      <c r="AD3625" s="41"/>
      <c r="AE3625" s="41"/>
      <c r="AF3625" s="41"/>
      <c r="AG3625" s="41"/>
      <c r="AK3625" t="s">
        <v>1740</v>
      </c>
      <c r="AL3625" t="s">
        <v>1741</v>
      </c>
      <c r="AM3625" t="s">
        <v>1742</v>
      </c>
      <c r="AN3625" t="s">
        <v>1764</v>
      </c>
      <c r="AO3625" t="s">
        <v>1765</v>
      </c>
      <c r="AP3625" t="s">
        <v>1766</v>
      </c>
      <c r="AQ3625" t="s">
        <v>669</v>
      </c>
      <c r="AR3625" t="s">
        <v>1763</v>
      </c>
    </row>
    <row r="3626" spans="1:45" x14ac:dyDescent="0.25">
      <c r="A3626" s="623" t="str">
        <f>"BiK27a0"&amp;AN3626&amp;RIGHT("-----",5-LEN(AN3626))&amp;RIGHT($M$3625,2)</f>
        <v>BiK27a0-----12</v>
      </c>
      <c r="B3626" s="295" t="s">
        <v>5548</v>
      </c>
      <c r="C3626" s="296" t="s">
        <v>3135</v>
      </c>
      <c r="D3626" s="295" t="str">
        <f t="shared" ref="D3626:D3634" si="1474">IF(COUNTA(O3626:Q3626)=0,AH3626,AH3626&amp;", Bonusregel "&amp;AN3626)</f>
        <v>0-0,5 MW, Vergärung von Bioabfällen</v>
      </c>
      <c r="E3626" s="295"/>
      <c r="F3626" s="467">
        <f t="shared" ref="F3626:F3634" si="1475">M3626</f>
        <v>16</v>
      </c>
      <c r="G3626" s="545">
        <v>16</v>
      </c>
      <c r="H3626" s="502">
        <f t="shared" ref="H3626:H3654" si="1476">IF(ISNUMBER(G3626),ROUND(0.8*G3626,2),"")</f>
        <v>12.8</v>
      </c>
      <c r="I3626" s="722"/>
      <c r="J3626" s="669" t="s">
        <v>5805</v>
      </c>
      <c r="K3626" s="23"/>
      <c r="L3626" s="70" t="str">
        <f t="shared" ref="L3626:L3634" si="1477">IF(F3626=M3626,"",FALSE)</f>
        <v/>
      </c>
      <c r="M3626" s="49">
        <f t="shared" ref="M3626:M3634" si="1478">N3626+SUMIF(O3626:Q3626,"x",$O$3625:$Q$3625)</f>
        <v>16</v>
      </c>
      <c r="N3626" s="41">
        <v>16</v>
      </c>
      <c r="O3626" s="60"/>
      <c r="P3626" s="29"/>
      <c r="Q3626" s="62"/>
      <c r="AG3626" s="92"/>
      <c r="AH3626" s="253" t="s">
        <v>1774</v>
      </c>
      <c r="AK3626" t="str">
        <f t="shared" ref="AK3626:AK3634" si="1479">IF(O3626="x",V$3280,"")</f>
        <v/>
      </c>
      <c r="AL3626" t="str">
        <f t="shared" ref="AL3626:AL3634" si="1480">IF(P3626="x",W$3280,"")</f>
        <v/>
      </c>
      <c r="AM3626" t="str">
        <f t="shared" ref="AM3626:AM3634" si="1481">IF(Q3626="x",X$3280,"")</f>
        <v/>
      </c>
      <c r="AN3626" t="str">
        <f t="shared" ref="AN3626:AN3634" si="1482">AK3626&amp;AL3626&amp;AM3626</f>
        <v/>
      </c>
      <c r="AO3626" s="254" t="str">
        <f>"BiK27a0"&amp;AN3626&amp;RIGHT("-----",5-LEN(AN3626))&amp;RIGHT($M$3278,2)</f>
        <v>BiK27a0-----12</v>
      </c>
      <c r="AP3626">
        <f t="shared" ref="AP3626:AP3634" si="1483">LEN(AO3626)</f>
        <v>14</v>
      </c>
      <c r="AQ3626" t="str">
        <f t="shared" ref="AQ3626:AQ3634" si="1484">IF(COUNTA(O3626:Q3626)=0,AH3626,AH3626&amp;", Bonusregel "&amp;AN3626)</f>
        <v>0-0,5 MW, Vergärung von Bioabfällen</v>
      </c>
      <c r="AR3626" t="str">
        <f>IF(COUNTA(#REF!)&gt;1,"Fehler ESVK",IF(COUNTA(O3626:Q3626)&gt;1,"Fehler GAB",IF(AP3626&lt;&gt;14,"Fehler Kategorie","")))</f>
        <v/>
      </c>
      <c r="AS3626" t="str">
        <f>SUBSTITUTE(AN3626,", ","")</f>
        <v/>
      </c>
    </row>
    <row r="3627" spans="1:45" x14ac:dyDescent="0.25">
      <c r="A3627" s="623" t="str">
        <f>"BiK27a0"&amp;AN3627&amp;RIGHT("-----",5-LEN(AN3627))&amp;RIGHT($M$3625,2)</f>
        <v>BiK27a0G1---12</v>
      </c>
      <c r="B3627" s="295" t="s">
        <v>5548</v>
      </c>
      <c r="C3627" s="296" t="s">
        <v>3135</v>
      </c>
      <c r="D3627" s="295" t="str">
        <f t="shared" si="1474"/>
        <v>0-0,5 MW, Vergärung von Bioabfällen, Bonusregel G1</v>
      </c>
      <c r="E3627" s="295"/>
      <c r="F3627" s="467">
        <f t="shared" si="1475"/>
        <v>19</v>
      </c>
      <c r="G3627" s="545">
        <v>19</v>
      </c>
      <c r="H3627" s="502">
        <f t="shared" si="1476"/>
        <v>15.2</v>
      </c>
      <c r="I3627" s="722"/>
      <c r="J3627" s="669" t="s">
        <v>5805</v>
      </c>
      <c r="K3627" s="23"/>
      <c r="L3627" s="70" t="str">
        <f t="shared" si="1477"/>
        <v/>
      </c>
      <c r="M3627" s="49">
        <f t="shared" si="1478"/>
        <v>19</v>
      </c>
      <c r="N3627" s="41">
        <f>N3626</f>
        <v>16</v>
      </c>
      <c r="O3627" s="228" t="s">
        <v>1017</v>
      </c>
      <c r="P3627" s="29"/>
      <c r="Q3627" s="50"/>
      <c r="AG3627" s="92"/>
      <c r="AH3627" s="253" t="s">
        <v>1774</v>
      </c>
      <c r="AK3627" t="str">
        <f t="shared" si="1479"/>
        <v>G1</v>
      </c>
      <c r="AL3627" t="str">
        <f t="shared" si="1480"/>
        <v/>
      </c>
      <c r="AM3627" t="str">
        <f t="shared" si="1481"/>
        <v/>
      </c>
      <c r="AN3627" t="str">
        <f t="shared" si="1482"/>
        <v>G1</v>
      </c>
      <c r="AO3627" s="254" t="str">
        <f>"BiK27a0"&amp;AN3627&amp;RIGHT("-----",5-LEN(AN3627))&amp;RIGHT($M$3278,2)</f>
        <v>BiK27a0G1---12</v>
      </c>
      <c r="AP3627">
        <f t="shared" si="1483"/>
        <v>14</v>
      </c>
      <c r="AQ3627" t="str">
        <f t="shared" si="1484"/>
        <v>0-0,5 MW, Vergärung von Bioabfällen, Bonusregel G1</v>
      </c>
      <c r="AR3627" t="str">
        <f>IF(COUNTA(#REF!)&gt;1,"Fehler ESVK",IF(COUNTA(O3627:Q3627)&gt;1,"Fehler GAB",IF(AP3627&lt;&gt;14,"Fehler Kategorie","")))</f>
        <v/>
      </c>
    </row>
    <row r="3628" spans="1:45" x14ac:dyDescent="0.25">
      <c r="A3628" s="623" t="str">
        <f>"BiK27a0"&amp;AN3628&amp;RIGHT("-----",5-LEN(AN3628))&amp;RIGHT($M$3625,2)</f>
        <v>BiK27a0G2---12</v>
      </c>
      <c r="B3628" s="295" t="s">
        <v>5548</v>
      </c>
      <c r="C3628" s="296" t="s">
        <v>3135</v>
      </c>
      <c r="D3628" s="295" t="str">
        <f t="shared" si="1474"/>
        <v>0-0,5 MW, Vergärung von Bioabfällen, Bonusregel G2</v>
      </c>
      <c r="E3628" s="295"/>
      <c r="F3628" s="467">
        <f t="shared" si="1475"/>
        <v>18</v>
      </c>
      <c r="G3628" s="545">
        <v>18</v>
      </c>
      <c r="H3628" s="502">
        <f t="shared" si="1476"/>
        <v>14.4</v>
      </c>
      <c r="I3628" s="722"/>
      <c r="J3628" s="669" t="s">
        <v>5805</v>
      </c>
      <c r="K3628" s="23"/>
      <c r="L3628" s="70" t="str">
        <f t="shared" si="1477"/>
        <v/>
      </c>
      <c r="M3628" s="49">
        <f t="shared" si="1478"/>
        <v>18</v>
      </c>
      <c r="N3628" s="41">
        <f>N3627</f>
        <v>16</v>
      </c>
      <c r="O3628" s="228"/>
      <c r="P3628" s="29" t="s">
        <v>1017</v>
      </c>
      <c r="Q3628" s="50"/>
      <c r="AG3628" s="92"/>
      <c r="AH3628" s="253" t="s">
        <v>1774</v>
      </c>
      <c r="AK3628" t="str">
        <f t="shared" si="1479"/>
        <v/>
      </c>
      <c r="AL3628" t="str">
        <f t="shared" si="1480"/>
        <v>G2</v>
      </c>
      <c r="AM3628" t="str">
        <f t="shared" si="1481"/>
        <v/>
      </c>
      <c r="AN3628" t="str">
        <f t="shared" si="1482"/>
        <v>G2</v>
      </c>
      <c r="AO3628" s="254" t="str">
        <f>"BiK27a0"&amp;AN3628&amp;RIGHT("-----",5-LEN(AN3628))&amp;RIGHT($M$3278,2)</f>
        <v>BiK27a0G2---12</v>
      </c>
      <c r="AP3628">
        <f t="shared" si="1483"/>
        <v>14</v>
      </c>
      <c r="AQ3628" t="str">
        <f t="shared" si="1484"/>
        <v>0-0,5 MW, Vergärung von Bioabfällen, Bonusregel G2</v>
      </c>
      <c r="AR3628" t="str">
        <f>IF(COUNTA(#REF!)&gt;1,"Fehler ESVK",IF(COUNTA(O3628:Q3628)&gt;1,"Fehler GAB",IF(AP3628&lt;&gt;14,"Fehler Kategorie","")))</f>
        <v/>
      </c>
    </row>
    <row r="3629" spans="1:45" x14ac:dyDescent="0.25">
      <c r="A3629" s="623" t="str">
        <f>"BiK27a0"&amp;AN3629&amp;RIGHT("-----",5-LEN(AN3629))&amp;RIGHT($M$3625,2)</f>
        <v>BiK27a0G3---12</v>
      </c>
      <c r="B3629" s="295" t="s">
        <v>5548</v>
      </c>
      <c r="C3629" s="296" t="s">
        <v>3135</v>
      </c>
      <c r="D3629" s="295" t="str">
        <f t="shared" si="1474"/>
        <v>0-0,5 MW, Vergärung von Bioabfällen, Bonusregel G3</v>
      </c>
      <c r="E3629" s="295"/>
      <c r="F3629" s="467">
        <f t="shared" si="1475"/>
        <v>17</v>
      </c>
      <c r="G3629" s="545">
        <v>17</v>
      </c>
      <c r="H3629" s="502">
        <f t="shared" si="1476"/>
        <v>13.6</v>
      </c>
      <c r="I3629" s="722"/>
      <c r="J3629" s="669" t="s">
        <v>5805</v>
      </c>
      <c r="K3629" s="23"/>
      <c r="L3629" s="70" t="str">
        <f t="shared" si="1477"/>
        <v/>
      </c>
      <c r="M3629" s="49">
        <f t="shared" si="1478"/>
        <v>17</v>
      </c>
      <c r="N3629" s="41">
        <f>N3628</f>
        <v>16</v>
      </c>
      <c r="O3629" s="228"/>
      <c r="P3629" s="29"/>
      <c r="Q3629" s="50" t="s">
        <v>1017</v>
      </c>
      <c r="AG3629" s="92"/>
      <c r="AH3629" s="253" t="s">
        <v>1774</v>
      </c>
      <c r="AK3629" t="str">
        <f t="shared" si="1479"/>
        <v/>
      </c>
      <c r="AL3629" t="str">
        <f t="shared" si="1480"/>
        <v/>
      </c>
      <c r="AM3629" t="str">
        <f t="shared" si="1481"/>
        <v>G3</v>
      </c>
      <c r="AN3629" t="str">
        <f t="shared" si="1482"/>
        <v>G3</v>
      </c>
      <c r="AO3629" s="254" t="str">
        <f>"BiK27a0"&amp;AN3629&amp;RIGHT("-----",5-LEN(AN3629))&amp;RIGHT($M$3278,2)</f>
        <v>BiK27a0G3---12</v>
      </c>
      <c r="AP3629">
        <f t="shared" si="1483"/>
        <v>14</v>
      </c>
      <c r="AQ3629" t="str">
        <f t="shared" si="1484"/>
        <v>0-0,5 MW, Vergärung von Bioabfällen, Bonusregel G3</v>
      </c>
      <c r="AR3629" t="str">
        <f>IF(COUNTA(#REF!)&gt;1,"Fehler ESVK",IF(COUNTA(O3629:Q3629)&gt;1,"Fehler GAB",IF(AP3629&lt;&gt;14,"Fehler Kategorie","")))</f>
        <v/>
      </c>
    </row>
    <row r="3630" spans="1:45" x14ac:dyDescent="0.25">
      <c r="A3630" s="623" t="str">
        <f>"BiK27a1"&amp;AN3630&amp;RIGHT("-----",5-LEN(AN3630))&amp;RIGHT($M$3625,2)</f>
        <v>BiK27a1-----12</v>
      </c>
      <c r="B3630" s="295" t="s">
        <v>5548</v>
      </c>
      <c r="C3630" s="296" t="s">
        <v>3135</v>
      </c>
      <c r="D3630" s="295" t="str">
        <f t="shared" si="1474"/>
        <v>0,5-5 MW, Vergärung von Bioabfällen</v>
      </c>
      <c r="E3630" s="295"/>
      <c r="F3630" s="467">
        <f t="shared" si="1475"/>
        <v>14</v>
      </c>
      <c r="G3630" s="545">
        <v>14</v>
      </c>
      <c r="H3630" s="502">
        <f t="shared" si="1476"/>
        <v>11.2</v>
      </c>
      <c r="I3630" s="722"/>
      <c r="J3630" s="669" t="s">
        <v>5805</v>
      </c>
      <c r="K3630" s="23"/>
      <c r="L3630" s="70" t="str">
        <f t="shared" si="1477"/>
        <v/>
      </c>
      <c r="M3630" s="49">
        <f t="shared" si="1478"/>
        <v>14</v>
      </c>
      <c r="N3630" s="41">
        <v>14</v>
      </c>
      <c r="O3630" s="228"/>
      <c r="P3630" s="29"/>
      <c r="Q3630" s="50"/>
      <c r="AG3630" s="92"/>
      <c r="AH3630" s="253" t="s">
        <v>1769</v>
      </c>
      <c r="AK3630" t="str">
        <f t="shared" si="1479"/>
        <v/>
      </c>
      <c r="AL3630" t="str">
        <f t="shared" si="1480"/>
        <v/>
      </c>
      <c r="AM3630" t="str">
        <f t="shared" si="1481"/>
        <v/>
      </c>
      <c r="AN3630" t="str">
        <f t="shared" si="1482"/>
        <v/>
      </c>
      <c r="AO3630" s="254" t="str">
        <f>"BiK27a1"&amp;AN3630&amp;RIGHT("-----",5-LEN(AN3630))&amp;RIGHT($M$3278,2)</f>
        <v>BiK27a1-----12</v>
      </c>
      <c r="AP3630">
        <f t="shared" si="1483"/>
        <v>14</v>
      </c>
      <c r="AQ3630" t="str">
        <f t="shared" si="1484"/>
        <v>0,5-5 MW, Vergärung von Bioabfällen</v>
      </c>
      <c r="AR3630" t="str">
        <f>IF(COUNTA(#REF!)&gt;1,"Fehler ESVK",IF(COUNTA(O3630:Q3630)&gt;1,"Fehler GAB",IF(AP3630&lt;&gt;14,"Fehler Kategorie","")))</f>
        <v/>
      </c>
    </row>
    <row r="3631" spans="1:45" x14ac:dyDescent="0.25">
      <c r="A3631" s="623" t="str">
        <f>"BiK27a1"&amp;AN3631&amp;RIGHT("-----",5-LEN(AN3631))&amp;RIGHT($M$3625,2)</f>
        <v>BiK27a1G1---12</v>
      </c>
      <c r="B3631" s="295" t="s">
        <v>5548</v>
      </c>
      <c r="C3631" s="296" t="s">
        <v>3135</v>
      </c>
      <c r="D3631" s="295" t="str">
        <f t="shared" si="1474"/>
        <v>0,5-5 MW, Vergärung von Bioabfällen, Bonusregel G1</v>
      </c>
      <c r="E3631" s="295"/>
      <c r="F3631" s="467">
        <f t="shared" si="1475"/>
        <v>17</v>
      </c>
      <c r="G3631" s="545">
        <v>17</v>
      </c>
      <c r="H3631" s="502">
        <f t="shared" si="1476"/>
        <v>13.6</v>
      </c>
      <c r="I3631" s="722"/>
      <c r="J3631" s="669" t="s">
        <v>5805</v>
      </c>
      <c r="K3631" s="23"/>
      <c r="L3631" s="70" t="str">
        <f t="shared" si="1477"/>
        <v/>
      </c>
      <c r="M3631" s="49">
        <f t="shared" si="1478"/>
        <v>17</v>
      </c>
      <c r="N3631" s="41">
        <f>N3630</f>
        <v>14</v>
      </c>
      <c r="O3631" s="228" t="s">
        <v>1017</v>
      </c>
      <c r="P3631" s="29"/>
      <c r="Q3631" s="50"/>
      <c r="AG3631" s="92"/>
      <c r="AH3631" s="253" t="s">
        <v>1769</v>
      </c>
      <c r="AK3631" t="str">
        <f t="shared" si="1479"/>
        <v>G1</v>
      </c>
      <c r="AL3631" t="str">
        <f t="shared" si="1480"/>
        <v/>
      </c>
      <c r="AM3631" t="str">
        <f t="shared" si="1481"/>
        <v/>
      </c>
      <c r="AN3631" t="str">
        <f t="shared" si="1482"/>
        <v>G1</v>
      </c>
      <c r="AO3631" s="254" t="str">
        <f>"BiK27a1"&amp;AN3631&amp;RIGHT("-----",5-LEN(AN3631))&amp;RIGHT($M$3278,2)</f>
        <v>BiK27a1G1---12</v>
      </c>
      <c r="AP3631">
        <f t="shared" si="1483"/>
        <v>14</v>
      </c>
      <c r="AQ3631" t="str">
        <f t="shared" si="1484"/>
        <v>0,5-5 MW, Vergärung von Bioabfällen, Bonusregel G1</v>
      </c>
      <c r="AR3631" t="str">
        <f>IF(COUNTA(#REF!)&gt;1,"Fehler ESVK",IF(COUNTA(O3631:Q3631)&gt;1,"Fehler GAB",IF(AP3631&lt;&gt;14,"Fehler Kategorie","")))</f>
        <v/>
      </c>
    </row>
    <row r="3632" spans="1:45" x14ac:dyDescent="0.25">
      <c r="A3632" s="623" t="str">
        <f>"BiK27a1"&amp;AN3632&amp;RIGHT("-----",5-LEN(AN3632))&amp;RIGHT($M$3625,2)</f>
        <v>BiK27a1G2---12</v>
      </c>
      <c r="B3632" s="295" t="s">
        <v>5548</v>
      </c>
      <c r="C3632" s="296" t="s">
        <v>3135</v>
      </c>
      <c r="D3632" s="295" t="str">
        <f t="shared" si="1474"/>
        <v>0,5-5 MW, Vergärung von Bioabfällen, Bonusregel G2</v>
      </c>
      <c r="E3632" s="295"/>
      <c r="F3632" s="467">
        <f t="shared" si="1475"/>
        <v>16</v>
      </c>
      <c r="G3632" s="545">
        <v>16</v>
      </c>
      <c r="H3632" s="502">
        <f t="shared" si="1476"/>
        <v>12.8</v>
      </c>
      <c r="I3632" s="722"/>
      <c r="J3632" s="669" t="s">
        <v>5805</v>
      </c>
      <c r="K3632" s="23"/>
      <c r="L3632" s="70" t="str">
        <f t="shared" si="1477"/>
        <v/>
      </c>
      <c r="M3632" s="49">
        <f t="shared" si="1478"/>
        <v>16</v>
      </c>
      <c r="N3632" s="41">
        <f>N3631</f>
        <v>14</v>
      </c>
      <c r="O3632" s="228"/>
      <c r="P3632" s="29" t="s">
        <v>1017</v>
      </c>
      <c r="Q3632" s="50"/>
      <c r="AG3632" s="92"/>
      <c r="AH3632" s="253" t="s">
        <v>1769</v>
      </c>
      <c r="AK3632" t="str">
        <f t="shared" si="1479"/>
        <v/>
      </c>
      <c r="AL3632" t="str">
        <f t="shared" si="1480"/>
        <v>G2</v>
      </c>
      <c r="AM3632" t="str">
        <f t="shared" si="1481"/>
        <v/>
      </c>
      <c r="AN3632" t="str">
        <f t="shared" si="1482"/>
        <v>G2</v>
      </c>
      <c r="AO3632" s="254" t="str">
        <f>"BiK27a1"&amp;AN3632&amp;RIGHT("-----",5-LEN(AN3632))&amp;RIGHT($M$3278,2)</f>
        <v>BiK27a1G2---12</v>
      </c>
      <c r="AP3632">
        <f t="shared" si="1483"/>
        <v>14</v>
      </c>
      <c r="AQ3632" t="str">
        <f t="shared" si="1484"/>
        <v>0,5-5 MW, Vergärung von Bioabfällen, Bonusregel G2</v>
      </c>
      <c r="AR3632" t="str">
        <f>IF(COUNTA(#REF!)&gt;1,"Fehler ESVK",IF(COUNTA(O3632:Q3632)&gt;1,"Fehler GAB",IF(AP3632&lt;&gt;14,"Fehler Kategorie","")))</f>
        <v/>
      </c>
    </row>
    <row r="3633" spans="1:45" x14ac:dyDescent="0.25">
      <c r="A3633" s="623" t="str">
        <f>"BiK27a1"&amp;AN3633&amp;RIGHT("-----",5-LEN(AN3633))&amp;RIGHT($M$3625,2)</f>
        <v>BiK27a1G3---12</v>
      </c>
      <c r="B3633" s="295" t="s">
        <v>5548</v>
      </c>
      <c r="C3633" s="296" t="s">
        <v>3135</v>
      </c>
      <c r="D3633" s="295" t="str">
        <f t="shared" si="1474"/>
        <v>0,5-5 MW, Vergärung von Bioabfällen, Bonusregel G3</v>
      </c>
      <c r="E3633" s="295"/>
      <c r="F3633" s="467">
        <f t="shared" si="1475"/>
        <v>15</v>
      </c>
      <c r="G3633" s="545">
        <v>15</v>
      </c>
      <c r="H3633" s="502">
        <f t="shared" si="1476"/>
        <v>12</v>
      </c>
      <c r="I3633" s="722"/>
      <c r="J3633" s="669" t="s">
        <v>5805</v>
      </c>
      <c r="K3633" s="23"/>
      <c r="L3633" s="70" t="str">
        <f t="shared" si="1477"/>
        <v/>
      </c>
      <c r="M3633" s="49">
        <f t="shared" si="1478"/>
        <v>15</v>
      </c>
      <c r="N3633" s="41">
        <f>N3632</f>
        <v>14</v>
      </c>
      <c r="O3633" s="228"/>
      <c r="P3633" s="29"/>
      <c r="Q3633" s="50" t="s">
        <v>1017</v>
      </c>
      <c r="AG3633" s="92"/>
      <c r="AH3633" s="253" t="s">
        <v>1769</v>
      </c>
      <c r="AK3633" t="str">
        <f t="shared" si="1479"/>
        <v/>
      </c>
      <c r="AL3633" t="str">
        <f t="shared" si="1480"/>
        <v/>
      </c>
      <c r="AM3633" t="str">
        <f t="shared" si="1481"/>
        <v>G3</v>
      </c>
      <c r="AN3633" t="str">
        <f t="shared" si="1482"/>
        <v>G3</v>
      </c>
      <c r="AO3633" s="254" t="str">
        <f>"BiK27a1"&amp;AN3633&amp;RIGHT("-----",5-LEN(AN3633))&amp;RIGHT($M$3278,2)</f>
        <v>BiK27a1G3---12</v>
      </c>
      <c r="AP3633">
        <f t="shared" si="1483"/>
        <v>14</v>
      </c>
      <c r="AQ3633" t="str">
        <f t="shared" si="1484"/>
        <v>0,5-5 MW, Vergärung von Bioabfällen, Bonusregel G3</v>
      </c>
      <c r="AR3633" t="str">
        <f>IF(COUNTA(#REF!)&gt;1,"Fehler ESVK",IF(COUNTA(O3633:Q3633)&gt;1,"Fehler GAB",IF(AP3633&lt;&gt;14,"Fehler Kategorie","")))</f>
        <v/>
      </c>
    </row>
    <row r="3634" spans="1:45" x14ac:dyDescent="0.25">
      <c r="A3634" s="623" t="str">
        <f>"BiK27a2"&amp;AN3634&amp;RIGHT("-----",5-LEN(AN3634))&amp;RIGHT($M$3625,2)</f>
        <v>BiK27a2-----12</v>
      </c>
      <c r="B3634" s="295" t="s">
        <v>5548</v>
      </c>
      <c r="C3634" s="296" t="s">
        <v>3135</v>
      </c>
      <c r="D3634" s="295" t="str">
        <f t="shared" si="1474"/>
        <v>5-20 MW, Vergärung von Bioabfällen</v>
      </c>
      <c r="E3634" s="295"/>
      <c r="F3634" s="467">
        <f t="shared" si="1475"/>
        <v>14</v>
      </c>
      <c r="G3634" s="545">
        <v>14</v>
      </c>
      <c r="H3634" s="502">
        <f t="shared" si="1476"/>
        <v>11.2</v>
      </c>
      <c r="I3634" s="722"/>
      <c r="J3634" s="669" t="s">
        <v>5805</v>
      </c>
      <c r="K3634" s="23"/>
      <c r="L3634" s="70" t="str">
        <f t="shared" si="1477"/>
        <v/>
      </c>
      <c r="M3634" s="59">
        <f t="shared" si="1478"/>
        <v>14</v>
      </c>
      <c r="N3634" s="40">
        <f>N3633</f>
        <v>14</v>
      </c>
      <c r="O3634" s="77"/>
      <c r="P3634" s="77"/>
      <c r="Q3634" s="78"/>
      <c r="R3634" s="27"/>
      <c r="S3634" s="27"/>
      <c r="T3634" s="27"/>
      <c r="U3634" s="27"/>
      <c r="V3634" s="27"/>
      <c r="W3634" s="27"/>
      <c r="X3634" s="27"/>
      <c r="Y3634" s="27"/>
      <c r="Z3634" s="27"/>
      <c r="AA3634" s="27"/>
      <c r="AB3634" s="27"/>
      <c r="AC3634" s="27"/>
      <c r="AD3634" s="27"/>
      <c r="AE3634" s="27"/>
      <c r="AF3634" s="27"/>
      <c r="AG3634" s="27"/>
      <c r="AH3634" s="253" t="s">
        <v>1775</v>
      </c>
      <c r="AK3634" t="str">
        <f t="shared" si="1479"/>
        <v/>
      </c>
      <c r="AL3634" t="str">
        <f t="shared" si="1480"/>
        <v/>
      </c>
      <c r="AM3634" t="str">
        <f t="shared" si="1481"/>
        <v/>
      </c>
      <c r="AN3634" t="str">
        <f t="shared" si="1482"/>
        <v/>
      </c>
      <c r="AO3634" s="254" t="str">
        <f>"BiK27a2"&amp;AN3634&amp;RIGHT("-----",5-LEN(AN3634))&amp;RIGHT($M$3278,2)</f>
        <v>BiK27a2-----12</v>
      </c>
      <c r="AP3634">
        <f t="shared" si="1483"/>
        <v>14</v>
      </c>
      <c r="AQ3634" t="str">
        <f t="shared" si="1484"/>
        <v>5-20 MW, Vergärung von Bioabfällen</v>
      </c>
      <c r="AR3634" t="str">
        <f>IF(COUNTA(#REF!)&gt;1,"Fehler ESVK",IF(COUNTA(O3634:Q3634)&gt;1,"Fehler GAB",IF(AP3634&lt;&gt;14,"Fehler Kategorie","")))</f>
        <v/>
      </c>
    </row>
    <row r="3635" spans="1:45" x14ac:dyDescent="0.25">
      <c r="A3635" s="609"/>
      <c r="B3635" s="1"/>
      <c r="C3635" s="1"/>
      <c r="D3635" s="2"/>
      <c r="E3635" s="1"/>
      <c r="F3635" s="457"/>
      <c r="G3635" s="532"/>
      <c r="H3635" s="490" t="str">
        <f t="shared" si="1476"/>
        <v/>
      </c>
      <c r="I3635" s="709"/>
      <c r="J3635" s="669" t="s">
        <v>4180</v>
      </c>
      <c r="L3635" s="71"/>
      <c r="M3635" s="235">
        <v>2013</v>
      </c>
      <c r="N3635" s="40"/>
      <c r="O3635" s="45">
        <f>ROUND(S3635,2)</f>
        <v>2.94</v>
      </c>
      <c r="P3635" s="40">
        <f>ROUND(T3635,2)</f>
        <v>1.96</v>
      </c>
      <c r="Q3635" s="52">
        <f>ROUND(U3635,2)</f>
        <v>0.98</v>
      </c>
      <c r="R3635" s="275">
        <v>0.02</v>
      </c>
      <c r="S3635" s="347">
        <f>O3625*(1-$R$3635)</f>
        <v>2.94</v>
      </c>
      <c r="T3635" s="347">
        <f>P3625*(1-$R$3635)</f>
        <v>1.96</v>
      </c>
      <c r="U3635" s="347">
        <f>Q3625*(1-$R$3635)</f>
        <v>0.98</v>
      </c>
      <c r="V3635" s="205" t="str">
        <f xml:space="preserve"> "Bonushöhe bei Inbetriebnahme in " &amp; M3635</f>
        <v>Bonushöhe bei Inbetriebnahme in 2013</v>
      </c>
      <c r="W3635" s="41"/>
      <c r="X3635" s="41"/>
      <c r="Y3635" s="41"/>
      <c r="Z3635" s="41"/>
      <c r="AA3635" s="41"/>
      <c r="AB3635" s="41"/>
      <c r="AC3635" s="41"/>
      <c r="AD3635" s="41"/>
      <c r="AE3635" s="41"/>
      <c r="AF3635" s="41"/>
      <c r="AG3635" s="41"/>
      <c r="AK3635" t="s">
        <v>1740</v>
      </c>
      <c r="AL3635" t="s">
        <v>1741</v>
      </c>
      <c r="AM3635" t="s">
        <v>1742</v>
      </c>
      <c r="AN3635" t="s">
        <v>1764</v>
      </c>
      <c r="AO3635" t="s">
        <v>1765</v>
      </c>
      <c r="AP3635" t="s">
        <v>1766</v>
      </c>
      <c r="AQ3635" t="s">
        <v>669</v>
      </c>
      <c r="AR3635" t="s">
        <v>1763</v>
      </c>
    </row>
    <row r="3636" spans="1:45" x14ac:dyDescent="0.25">
      <c r="A3636" s="615" t="str">
        <f>"BiK27a0"&amp;AN3636&amp;RIGHT("-----",5-LEN(AN3636))&amp;RIGHT($M$3635,2)</f>
        <v>BiK27a0-----13</v>
      </c>
      <c r="B3636" s="372" t="s">
        <v>5548</v>
      </c>
      <c r="C3636" s="375" t="s">
        <v>4676</v>
      </c>
      <c r="D3636" s="372" t="str">
        <f t="shared" ref="D3636:D3644" si="1485">IF(COUNTA(O3636:Q3636)=0,AH3636,AH3636&amp;", Bonusregel "&amp;AN3636)</f>
        <v>0-0,5 MW, Vergärung von Bioabfällen</v>
      </c>
      <c r="E3636" s="372"/>
      <c r="F3636" s="459">
        <f t="shared" ref="F3636:F3644" si="1486">M3636</f>
        <v>15.68</v>
      </c>
      <c r="G3636" s="535">
        <v>15.68</v>
      </c>
      <c r="H3636" s="493">
        <f t="shared" si="1476"/>
        <v>12.54</v>
      </c>
      <c r="I3636" s="711"/>
      <c r="J3636" s="669" t="s">
        <v>5805</v>
      </c>
      <c r="K3636" s="23"/>
      <c r="L3636" s="70" t="str">
        <f t="shared" ref="L3636:L3644" si="1487">IF(F3636=M3636,"",FALSE)</f>
        <v/>
      </c>
      <c r="M3636" s="354">
        <f t="shared" ref="M3636:M3644" si="1488">ROUND(N3636,2)+SUMIF(O3636:Q3636,"x",$O$3635:$Q$3635)</f>
        <v>15.68</v>
      </c>
      <c r="N3636" s="41">
        <f t="shared" ref="N3636:N3644" si="1489">N3626*(1-$R$3635)</f>
        <v>15.68</v>
      </c>
      <c r="O3636" s="60"/>
      <c r="P3636" s="29"/>
      <c r="Q3636" s="62"/>
      <c r="AG3636" s="92"/>
      <c r="AH3636" s="253" t="s">
        <v>1774</v>
      </c>
      <c r="AK3636" t="str">
        <f t="shared" ref="AK3636:AK3644" si="1490">IF(O3636="x",V$3280,"")</f>
        <v/>
      </c>
      <c r="AL3636" t="str">
        <f t="shared" ref="AL3636:AL3644" si="1491">IF(P3636="x",W$3280,"")</f>
        <v/>
      </c>
      <c r="AM3636" t="str">
        <f t="shared" ref="AM3636:AM3644" si="1492">IF(Q3636="x",X$3280,"")</f>
        <v/>
      </c>
      <c r="AN3636" t="str">
        <f t="shared" ref="AN3636:AN3644" si="1493">AK3636&amp;AL3636&amp;AM3636</f>
        <v/>
      </c>
      <c r="AO3636" s="254" t="str">
        <f>"BiK27a0"&amp;AN3636&amp;RIGHT("-----",5-LEN(AN3636))&amp;RIGHT($M$3635,2)</f>
        <v>BiK27a0-----13</v>
      </c>
      <c r="AP3636">
        <f t="shared" ref="AP3636:AP3644" si="1494">LEN(AO3636)</f>
        <v>14</v>
      </c>
      <c r="AQ3636" t="str">
        <f t="shared" ref="AQ3636:AQ3644" si="1495">IF(COUNTA(O3636:Q3636)=0,AH3636,AH3636&amp;", Bonusregel "&amp;AN3636)</f>
        <v>0-0,5 MW, Vergärung von Bioabfällen</v>
      </c>
      <c r="AR3636" t="str">
        <f>IF(COUNTA(#REF!)&gt;1,"Fehler ESVK",IF(COUNTA(O3636:Q3636)&gt;1,"Fehler GAB",IF(AP3636&lt;&gt;14,"Fehler Kategorie","")))</f>
        <v/>
      </c>
      <c r="AS3636" t="str">
        <f>SUBSTITUTE(AN3636,", ","")</f>
        <v/>
      </c>
    </row>
    <row r="3637" spans="1:45" x14ac:dyDescent="0.25">
      <c r="A3637" s="615" t="str">
        <f>"BiK27a0"&amp;AN3637&amp;RIGHT("-----",5-LEN(AN3637))&amp;RIGHT($M$3635,2)</f>
        <v>BiK27a0G1---13</v>
      </c>
      <c r="B3637" s="372" t="s">
        <v>5548</v>
      </c>
      <c r="C3637" s="375" t="s">
        <v>4676</v>
      </c>
      <c r="D3637" s="372" t="str">
        <f t="shared" si="1485"/>
        <v>0-0,5 MW, Vergärung von Bioabfällen, Bonusregel G1</v>
      </c>
      <c r="E3637" s="372"/>
      <c r="F3637" s="459">
        <f t="shared" si="1486"/>
        <v>18.62</v>
      </c>
      <c r="G3637" s="535">
        <v>18.62</v>
      </c>
      <c r="H3637" s="493">
        <f t="shared" si="1476"/>
        <v>14.9</v>
      </c>
      <c r="I3637" s="711"/>
      <c r="J3637" s="669" t="s">
        <v>5805</v>
      </c>
      <c r="K3637" s="23"/>
      <c r="L3637" s="70" t="str">
        <f t="shared" si="1487"/>
        <v/>
      </c>
      <c r="M3637" s="49">
        <f t="shared" si="1488"/>
        <v>18.62</v>
      </c>
      <c r="N3637" s="41">
        <f t="shared" si="1489"/>
        <v>15.68</v>
      </c>
      <c r="O3637" s="228" t="s">
        <v>1017</v>
      </c>
      <c r="P3637" s="29"/>
      <c r="Q3637" s="50"/>
      <c r="AG3637" s="92"/>
      <c r="AH3637" s="253" t="s">
        <v>1774</v>
      </c>
      <c r="AK3637" t="str">
        <f t="shared" si="1490"/>
        <v>G1</v>
      </c>
      <c r="AL3637" t="str">
        <f t="shared" si="1491"/>
        <v/>
      </c>
      <c r="AM3637" t="str">
        <f t="shared" si="1492"/>
        <v/>
      </c>
      <c r="AN3637" t="str">
        <f t="shared" si="1493"/>
        <v>G1</v>
      </c>
      <c r="AO3637" s="254" t="str">
        <f>"BiK27a0"&amp;AN3637&amp;RIGHT("-----",5-LEN(AN3637))&amp;RIGHT($M$3635,2)</f>
        <v>BiK27a0G1---13</v>
      </c>
      <c r="AP3637">
        <f t="shared" si="1494"/>
        <v>14</v>
      </c>
      <c r="AQ3637" t="str">
        <f t="shared" si="1495"/>
        <v>0-0,5 MW, Vergärung von Bioabfällen, Bonusregel G1</v>
      </c>
      <c r="AR3637" t="str">
        <f>IF(COUNTA(#REF!)&gt;1,"Fehler ESVK",IF(COUNTA(O3637:Q3637)&gt;1,"Fehler GAB",IF(AP3637&lt;&gt;14,"Fehler Kategorie","")))</f>
        <v/>
      </c>
    </row>
    <row r="3638" spans="1:45" x14ac:dyDescent="0.25">
      <c r="A3638" s="615" t="str">
        <f>"BiK27a0"&amp;AN3638&amp;RIGHT("-----",5-LEN(AN3638))&amp;RIGHT($M$3635,2)</f>
        <v>BiK27a0G2---13</v>
      </c>
      <c r="B3638" s="372" t="s">
        <v>5548</v>
      </c>
      <c r="C3638" s="375" t="s">
        <v>4676</v>
      </c>
      <c r="D3638" s="372" t="str">
        <f t="shared" si="1485"/>
        <v>0-0,5 MW, Vergärung von Bioabfällen, Bonusregel G2</v>
      </c>
      <c r="E3638" s="372"/>
      <c r="F3638" s="459">
        <f t="shared" si="1486"/>
        <v>17.64</v>
      </c>
      <c r="G3638" s="535">
        <v>17.64</v>
      </c>
      <c r="H3638" s="493">
        <f t="shared" si="1476"/>
        <v>14.11</v>
      </c>
      <c r="I3638" s="711"/>
      <c r="J3638" s="669" t="s">
        <v>5805</v>
      </c>
      <c r="K3638" s="23"/>
      <c r="L3638" s="70" t="str">
        <f t="shared" si="1487"/>
        <v/>
      </c>
      <c r="M3638" s="49">
        <f t="shared" si="1488"/>
        <v>17.64</v>
      </c>
      <c r="N3638" s="41">
        <f t="shared" si="1489"/>
        <v>15.68</v>
      </c>
      <c r="O3638" s="228"/>
      <c r="P3638" s="29" t="s">
        <v>1017</v>
      </c>
      <c r="Q3638" s="50"/>
      <c r="AG3638" s="92"/>
      <c r="AH3638" s="253" t="s">
        <v>1774</v>
      </c>
      <c r="AK3638" t="str">
        <f t="shared" si="1490"/>
        <v/>
      </c>
      <c r="AL3638" t="str">
        <f t="shared" si="1491"/>
        <v>G2</v>
      </c>
      <c r="AM3638" t="str">
        <f t="shared" si="1492"/>
        <v/>
      </c>
      <c r="AN3638" t="str">
        <f t="shared" si="1493"/>
        <v>G2</v>
      </c>
      <c r="AO3638" s="254" t="str">
        <f>"BiK27a0"&amp;AN3638&amp;RIGHT("-----",5-LEN(AN3638))&amp;RIGHT($M$3635,2)</f>
        <v>BiK27a0G2---13</v>
      </c>
      <c r="AP3638">
        <f t="shared" si="1494"/>
        <v>14</v>
      </c>
      <c r="AQ3638" t="str">
        <f t="shared" si="1495"/>
        <v>0-0,5 MW, Vergärung von Bioabfällen, Bonusregel G2</v>
      </c>
      <c r="AR3638" t="str">
        <f>IF(COUNTA(#REF!)&gt;1,"Fehler ESVK",IF(COUNTA(O3638:Q3638)&gt;1,"Fehler GAB",IF(AP3638&lt;&gt;14,"Fehler Kategorie","")))</f>
        <v/>
      </c>
    </row>
    <row r="3639" spans="1:45" x14ac:dyDescent="0.25">
      <c r="A3639" s="615" t="str">
        <f>"BiK27a0"&amp;AN3639&amp;RIGHT("-----",5-LEN(AN3639))&amp;RIGHT($M$3635,2)</f>
        <v>BiK27a0G3---13</v>
      </c>
      <c r="B3639" s="372" t="s">
        <v>5548</v>
      </c>
      <c r="C3639" s="375" t="s">
        <v>4676</v>
      </c>
      <c r="D3639" s="372" t="str">
        <f t="shared" si="1485"/>
        <v>0-0,5 MW, Vergärung von Bioabfällen, Bonusregel G3</v>
      </c>
      <c r="E3639" s="372"/>
      <c r="F3639" s="459">
        <f t="shared" si="1486"/>
        <v>16.66</v>
      </c>
      <c r="G3639" s="535">
        <v>16.66</v>
      </c>
      <c r="H3639" s="493">
        <f t="shared" si="1476"/>
        <v>13.33</v>
      </c>
      <c r="I3639" s="711"/>
      <c r="J3639" s="669" t="s">
        <v>5805</v>
      </c>
      <c r="K3639" s="23"/>
      <c r="L3639" s="70" t="str">
        <f t="shared" si="1487"/>
        <v/>
      </c>
      <c r="M3639" s="49">
        <f t="shared" si="1488"/>
        <v>16.66</v>
      </c>
      <c r="N3639" s="41">
        <f t="shared" si="1489"/>
        <v>15.68</v>
      </c>
      <c r="O3639" s="228"/>
      <c r="P3639" s="29"/>
      <c r="Q3639" s="50" t="s">
        <v>1017</v>
      </c>
      <c r="AG3639" s="92"/>
      <c r="AH3639" s="253" t="s">
        <v>1774</v>
      </c>
      <c r="AK3639" t="str">
        <f t="shared" si="1490"/>
        <v/>
      </c>
      <c r="AL3639" t="str">
        <f t="shared" si="1491"/>
        <v/>
      </c>
      <c r="AM3639" t="str">
        <f t="shared" si="1492"/>
        <v>G3</v>
      </c>
      <c r="AN3639" t="str">
        <f t="shared" si="1493"/>
        <v>G3</v>
      </c>
      <c r="AO3639" s="254" t="str">
        <f>"BiK27a0"&amp;AN3639&amp;RIGHT("-----",5-LEN(AN3639))&amp;RIGHT($M$3635,2)</f>
        <v>BiK27a0G3---13</v>
      </c>
      <c r="AP3639">
        <f t="shared" si="1494"/>
        <v>14</v>
      </c>
      <c r="AQ3639" t="str">
        <f t="shared" si="1495"/>
        <v>0-0,5 MW, Vergärung von Bioabfällen, Bonusregel G3</v>
      </c>
      <c r="AR3639" t="str">
        <f>IF(COUNTA(#REF!)&gt;1,"Fehler ESVK",IF(COUNTA(O3639:Q3639)&gt;1,"Fehler GAB",IF(AP3639&lt;&gt;14,"Fehler Kategorie","")))</f>
        <v/>
      </c>
    </row>
    <row r="3640" spans="1:45" x14ac:dyDescent="0.25">
      <c r="A3640" s="615" t="str">
        <f>"BiK27a1"&amp;AN3640&amp;RIGHT("-----",5-LEN(AN3640))&amp;RIGHT($M$3635,2)</f>
        <v>BiK27a1-----13</v>
      </c>
      <c r="B3640" s="372" t="s">
        <v>5548</v>
      </c>
      <c r="C3640" s="375" t="s">
        <v>4676</v>
      </c>
      <c r="D3640" s="372" t="str">
        <f t="shared" si="1485"/>
        <v>0,5-5 MW, Vergärung von Bioabfällen</v>
      </c>
      <c r="E3640" s="372"/>
      <c r="F3640" s="459">
        <f t="shared" si="1486"/>
        <v>13.72</v>
      </c>
      <c r="G3640" s="535">
        <v>13.72</v>
      </c>
      <c r="H3640" s="493">
        <f t="shared" si="1476"/>
        <v>10.98</v>
      </c>
      <c r="I3640" s="711"/>
      <c r="J3640" s="669" t="s">
        <v>5805</v>
      </c>
      <c r="K3640" s="23"/>
      <c r="L3640" s="70" t="str">
        <f t="shared" si="1487"/>
        <v/>
      </c>
      <c r="M3640" s="49">
        <f t="shared" si="1488"/>
        <v>13.72</v>
      </c>
      <c r="N3640" s="41">
        <f t="shared" si="1489"/>
        <v>13.719999999999999</v>
      </c>
      <c r="O3640" s="228"/>
      <c r="P3640" s="29"/>
      <c r="Q3640" s="50"/>
      <c r="AG3640" s="92"/>
      <c r="AH3640" s="253" t="s">
        <v>1769</v>
      </c>
      <c r="AK3640" t="str">
        <f t="shared" si="1490"/>
        <v/>
      </c>
      <c r="AL3640" t="str">
        <f t="shared" si="1491"/>
        <v/>
      </c>
      <c r="AM3640" t="str">
        <f t="shared" si="1492"/>
        <v/>
      </c>
      <c r="AN3640" t="str">
        <f t="shared" si="1493"/>
        <v/>
      </c>
      <c r="AO3640" s="254" t="str">
        <f>"BiK27a1"&amp;AN3640&amp;RIGHT("-----",5-LEN(AN3640))&amp;RIGHT($M$3635,2)</f>
        <v>BiK27a1-----13</v>
      </c>
      <c r="AP3640">
        <f t="shared" si="1494"/>
        <v>14</v>
      </c>
      <c r="AQ3640" t="str">
        <f t="shared" si="1495"/>
        <v>0,5-5 MW, Vergärung von Bioabfällen</v>
      </c>
      <c r="AR3640" t="str">
        <f>IF(COUNTA(#REF!)&gt;1,"Fehler ESVK",IF(COUNTA(O3640:Q3640)&gt;1,"Fehler GAB",IF(AP3640&lt;&gt;14,"Fehler Kategorie","")))</f>
        <v/>
      </c>
    </row>
    <row r="3641" spans="1:45" x14ac:dyDescent="0.25">
      <c r="A3641" s="615" t="str">
        <f>"BiK27a1"&amp;AN3641&amp;RIGHT("-----",5-LEN(AN3641))&amp;RIGHT($M$3635,2)</f>
        <v>BiK27a1G1---13</v>
      </c>
      <c r="B3641" s="372" t="s">
        <v>5548</v>
      </c>
      <c r="C3641" s="375" t="s">
        <v>4676</v>
      </c>
      <c r="D3641" s="372" t="str">
        <f t="shared" si="1485"/>
        <v>0,5-5 MW, Vergärung von Bioabfällen, Bonusregel G1</v>
      </c>
      <c r="E3641" s="372"/>
      <c r="F3641" s="459">
        <f t="shared" si="1486"/>
        <v>16.66</v>
      </c>
      <c r="G3641" s="535">
        <v>16.66</v>
      </c>
      <c r="H3641" s="493">
        <f t="shared" si="1476"/>
        <v>13.33</v>
      </c>
      <c r="I3641" s="711"/>
      <c r="J3641" s="669" t="s">
        <v>5805</v>
      </c>
      <c r="K3641" s="23"/>
      <c r="L3641" s="70" t="str">
        <f t="shared" si="1487"/>
        <v/>
      </c>
      <c r="M3641" s="49">
        <f t="shared" si="1488"/>
        <v>16.66</v>
      </c>
      <c r="N3641" s="41">
        <f t="shared" si="1489"/>
        <v>13.719999999999999</v>
      </c>
      <c r="O3641" s="228" t="s">
        <v>1017</v>
      </c>
      <c r="P3641" s="29"/>
      <c r="Q3641" s="50"/>
      <c r="AG3641" s="92"/>
      <c r="AH3641" s="253" t="s">
        <v>1769</v>
      </c>
      <c r="AK3641" t="str">
        <f t="shared" si="1490"/>
        <v>G1</v>
      </c>
      <c r="AL3641" t="str">
        <f t="shared" si="1491"/>
        <v/>
      </c>
      <c r="AM3641" t="str">
        <f t="shared" si="1492"/>
        <v/>
      </c>
      <c r="AN3641" t="str">
        <f t="shared" si="1493"/>
        <v>G1</v>
      </c>
      <c r="AO3641" s="254" t="str">
        <f>"BiK27a1"&amp;AN3641&amp;RIGHT("-----",5-LEN(AN3641))&amp;RIGHT($M$3635,2)</f>
        <v>BiK27a1G1---13</v>
      </c>
      <c r="AP3641">
        <f t="shared" si="1494"/>
        <v>14</v>
      </c>
      <c r="AQ3641" t="str">
        <f t="shared" si="1495"/>
        <v>0,5-5 MW, Vergärung von Bioabfällen, Bonusregel G1</v>
      </c>
      <c r="AR3641" t="str">
        <f>IF(COUNTA(#REF!)&gt;1,"Fehler ESVK",IF(COUNTA(O3641:Q3641)&gt;1,"Fehler GAB",IF(AP3641&lt;&gt;14,"Fehler Kategorie","")))</f>
        <v/>
      </c>
    </row>
    <row r="3642" spans="1:45" x14ac:dyDescent="0.25">
      <c r="A3642" s="615" t="str">
        <f>"BiK27a1"&amp;AN3642&amp;RIGHT("-----",5-LEN(AN3642))&amp;RIGHT($M$3635,2)</f>
        <v>BiK27a1G2---13</v>
      </c>
      <c r="B3642" s="372" t="s">
        <v>5548</v>
      </c>
      <c r="C3642" s="375" t="s">
        <v>4676</v>
      </c>
      <c r="D3642" s="372" t="str">
        <f t="shared" si="1485"/>
        <v>0,5-5 MW, Vergärung von Bioabfällen, Bonusregel G2</v>
      </c>
      <c r="E3642" s="372"/>
      <c r="F3642" s="459">
        <f t="shared" si="1486"/>
        <v>15.68</v>
      </c>
      <c r="G3642" s="535">
        <v>15.68</v>
      </c>
      <c r="H3642" s="493">
        <f t="shared" si="1476"/>
        <v>12.54</v>
      </c>
      <c r="I3642" s="711"/>
      <c r="J3642" s="669" t="s">
        <v>5805</v>
      </c>
      <c r="K3642" s="23"/>
      <c r="L3642" s="70" t="str">
        <f t="shared" si="1487"/>
        <v/>
      </c>
      <c r="M3642" s="49">
        <f t="shared" si="1488"/>
        <v>15.68</v>
      </c>
      <c r="N3642" s="41">
        <f t="shared" si="1489"/>
        <v>13.719999999999999</v>
      </c>
      <c r="O3642" s="228"/>
      <c r="P3642" s="29" t="s">
        <v>1017</v>
      </c>
      <c r="Q3642" s="50"/>
      <c r="AG3642" s="92"/>
      <c r="AH3642" s="253" t="s">
        <v>1769</v>
      </c>
      <c r="AK3642" t="str">
        <f t="shared" si="1490"/>
        <v/>
      </c>
      <c r="AL3642" t="str">
        <f t="shared" si="1491"/>
        <v>G2</v>
      </c>
      <c r="AM3642" t="str">
        <f t="shared" si="1492"/>
        <v/>
      </c>
      <c r="AN3642" t="str">
        <f t="shared" si="1493"/>
        <v>G2</v>
      </c>
      <c r="AO3642" s="254" t="str">
        <f>"BiK27a1"&amp;AN3642&amp;RIGHT("-----",5-LEN(AN3642))&amp;RIGHT($M$3635,2)</f>
        <v>BiK27a1G2---13</v>
      </c>
      <c r="AP3642">
        <f t="shared" si="1494"/>
        <v>14</v>
      </c>
      <c r="AQ3642" t="str">
        <f t="shared" si="1495"/>
        <v>0,5-5 MW, Vergärung von Bioabfällen, Bonusregel G2</v>
      </c>
      <c r="AR3642" t="str">
        <f>IF(COUNTA(#REF!)&gt;1,"Fehler ESVK",IF(COUNTA(O3642:Q3642)&gt;1,"Fehler GAB",IF(AP3642&lt;&gt;14,"Fehler Kategorie","")))</f>
        <v/>
      </c>
    </row>
    <row r="3643" spans="1:45" x14ac:dyDescent="0.25">
      <c r="A3643" s="615" t="str">
        <f>"BiK27a1"&amp;AN3643&amp;RIGHT("-----",5-LEN(AN3643))&amp;RIGHT($M$3635,2)</f>
        <v>BiK27a1G3---13</v>
      </c>
      <c r="B3643" s="372" t="s">
        <v>5548</v>
      </c>
      <c r="C3643" s="375" t="s">
        <v>4676</v>
      </c>
      <c r="D3643" s="372" t="str">
        <f t="shared" si="1485"/>
        <v>0,5-5 MW, Vergärung von Bioabfällen, Bonusregel G3</v>
      </c>
      <c r="E3643" s="372"/>
      <c r="F3643" s="459">
        <f t="shared" si="1486"/>
        <v>14.700000000000001</v>
      </c>
      <c r="G3643" s="535">
        <v>14.700000000000001</v>
      </c>
      <c r="H3643" s="493">
        <f t="shared" si="1476"/>
        <v>11.76</v>
      </c>
      <c r="I3643" s="711"/>
      <c r="J3643" s="669" t="s">
        <v>5805</v>
      </c>
      <c r="K3643" s="23"/>
      <c r="L3643" s="70" t="str">
        <f t="shared" si="1487"/>
        <v/>
      </c>
      <c r="M3643" s="49">
        <f t="shared" si="1488"/>
        <v>14.700000000000001</v>
      </c>
      <c r="N3643" s="41">
        <f t="shared" si="1489"/>
        <v>13.719999999999999</v>
      </c>
      <c r="O3643" s="228"/>
      <c r="P3643" s="29"/>
      <c r="Q3643" s="50" t="s">
        <v>1017</v>
      </c>
      <c r="AG3643" s="92"/>
      <c r="AH3643" s="253" t="s">
        <v>1769</v>
      </c>
      <c r="AK3643" t="str">
        <f t="shared" si="1490"/>
        <v/>
      </c>
      <c r="AL3643" t="str">
        <f t="shared" si="1491"/>
        <v/>
      </c>
      <c r="AM3643" t="str">
        <f t="shared" si="1492"/>
        <v>G3</v>
      </c>
      <c r="AN3643" t="str">
        <f t="shared" si="1493"/>
        <v>G3</v>
      </c>
      <c r="AO3643" s="254" t="str">
        <f>"BiK27a1"&amp;AN3643&amp;RIGHT("-----",5-LEN(AN3643))&amp;RIGHT($M$3635,2)</f>
        <v>BiK27a1G3---13</v>
      </c>
      <c r="AP3643">
        <f t="shared" si="1494"/>
        <v>14</v>
      </c>
      <c r="AQ3643" t="str">
        <f t="shared" si="1495"/>
        <v>0,5-5 MW, Vergärung von Bioabfällen, Bonusregel G3</v>
      </c>
      <c r="AR3643" t="str">
        <f>IF(COUNTA(#REF!)&gt;1,"Fehler ESVK",IF(COUNTA(O3643:Q3643)&gt;1,"Fehler GAB",IF(AP3643&lt;&gt;14,"Fehler Kategorie","")))</f>
        <v/>
      </c>
    </row>
    <row r="3644" spans="1:45" x14ac:dyDescent="0.25">
      <c r="A3644" s="615" t="str">
        <f>"BiK27a2"&amp;AN3644&amp;RIGHT("-----",5-LEN(AN3644))&amp;RIGHT($M$3635,2)</f>
        <v>BiK27a2-----13</v>
      </c>
      <c r="B3644" s="372" t="s">
        <v>5548</v>
      </c>
      <c r="C3644" s="375" t="s">
        <v>4676</v>
      </c>
      <c r="D3644" s="372" t="str">
        <f t="shared" si="1485"/>
        <v>5-20 MW, Vergärung von Bioabfällen</v>
      </c>
      <c r="E3644" s="372"/>
      <c r="F3644" s="459">
        <f t="shared" si="1486"/>
        <v>13.72</v>
      </c>
      <c r="G3644" s="535">
        <v>13.72</v>
      </c>
      <c r="H3644" s="493">
        <f t="shared" si="1476"/>
        <v>10.98</v>
      </c>
      <c r="I3644" s="711"/>
      <c r="J3644" s="669" t="s">
        <v>5805</v>
      </c>
      <c r="K3644" s="23"/>
      <c r="L3644" s="70" t="str">
        <f t="shared" si="1487"/>
        <v/>
      </c>
      <c r="M3644" s="59">
        <f t="shared" si="1488"/>
        <v>13.72</v>
      </c>
      <c r="N3644" s="40">
        <f t="shared" si="1489"/>
        <v>13.719999999999999</v>
      </c>
      <c r="O3644" s="77"/>
      <c r="P3644" s="77"/>
      <c r="Q3644" s="78"/>
      <c r="R3644" s="27"/>
      <c r="S3644" s="27"/>
      <c r="T3644" s="27"/>
      <c r="U3644" s="27"/>
      <c r="V3644" s="27"/>
      <c r="W3644" s="27"/>
      <c r="X3644" s="27"/>
      <c r="Y3644" s="27"/>
      <c r="Z3644" s="27"/>
      <c r="AA3644" s="27"/>
      <c r="AB3644" s="27"/>
      <c r="AC3644" s="27"/>
      <c r="AD3644" s="27"/>
      <c r="AE3644" s="27"/>
      <c r="AF3644" s="27"/>
      <c r="AG3644" s="27"/>
      <c r="AH3644" s="253" t="s">
        <v>1775</v>
      </c>
      <c r="AK3644" t="str">
        <f t="shared" si="1490"/>
        <v/>
      </c>
      <c r="AL3644" t="str">
        <f t="shared" si="1491"/>
        <v/>
      </c>
      <c r="AM3644" t="str">
        <f t="shared" si="1492"/>
        <v/>
      </c>
      <c r="AN3644" t="str">
        <f t="shared" si="1493"/>
        <v/>
      </c>
      <c r="AO3644" s="254" t="str">
        <f>"BiK27a2"&amp;AN3644&amp;RIGHT("-----",5-LEN(AN3644))&amp;RIGHT($M$3635,2)</f>
        <v>BiK27a2-----13</v>
      </c>
      <c r="AP3644">
        <f t="shared" si="1494"/>
        <v>14</v>
      </c>
      <c r="AQ3644" t="str">
        <f t="shared" si="1495"/>
        <v>5-20 MW, Vergärung von Bioabfällen</v>
      </c>
      <c r="AR3644" t="str">
        <f>IF(COUNTA(#REF!)&gt;1,"Fehler ESVK",IF(COUNTA(O3644:Q3644)&gt;1,"Fehler GAB",IF(AP3644&lt;&gt;14,"Fehler Kategorie","")))</f>
        <v/>
      </c>
    </row>
    <row r="3645" spans="1:45" s="12" customFormat="1" x14ac:dyDescent="0.25">
      <c r="A3645" s="609"/>
      <c r="B3645" s="1"/>
      <c r="C3645" s="1"/>
      <c r="D3645" s="2"/>
      <c r="E3645" s="1"/>
      <c r="F3645" s="457"/>
      <c r="G3645" s="533"/>
      <c r="H3645" s="491" t="str">
        <f t="shared" si="1476"/>
        <v/>
      </c>
      <c r="I3645" s="710"/>
      <c r="J3645" s="669" t="s">
        <v>4180</v>
      </c>
      <c r="K3645"/>
      <c r="L3645" s="400"/>
      <c r="M3645" s="396">
        <v>2014</v>
      </c>
      <c r="N3645" s="40"/>
      <c r="O3645" s="45">
        <f>ROUND(S3645,2)</f>
        <v>2.88</v>
      </c>
      <c r="P3645" s="40">
        <f>ROUND(T3645,2)</f>
        <v>1.92</v>
      </c>
      <c r="Q3645" s="52">
        <f>ROUND(U3645,2)</f>
        <v>0.96</v>
      </c>
      <c r="R3645" s="395">
        <v>0.02</v>
      </c>
      <c r="S3645" s="404">
        <f>S3635*(1-$R$3645)</f>
        <v>2.8811999999999998</v>
      </c>
      <c r="T3645" s="404">
        <f>T3635*(1-$R$3645)</f>
        <v>1.9207999999999998</v>
      </c>
      <c r="U3645" s="404">
        <f>U3635*(1-$R$3645)</f>
        <v>0.96039999999999992</v>
      </c>
      <c r="V3645" s="205" t="str">
        <f xml:space="preserve"> "Bonushöhe bei Inbetriebnahme in " &amp; M3645</f>
        <v>Bonushöhe bei Inbetriebnahme in 2014</v>
      </c>
      <c r="W3645" s="27"/>
      <c r="X3645" s="27"/>
      <c r="Y3645" s="27"/>
      <c r="Z3645" s="27"/>
      <c r="AA3645" s="27"/>
      <c r="AB3645" s="27"/>
      <c r="AC3645" s="27"/>
      <c r="AD3645" s="27"/>
      <c r="AE3645" s="27"/>
      <c r="AF3645" s="27"/>
      <c r="AG3645" s="27"/>
      <c r="AH3645"/>
      <c r="AI3645"/>
      <c r="AJ3645"/>
      <c r="AK3645" t="s">
        <v>1740</v>
      </c>
      <c r="AL3645" t="s">
        <v>1741</v>
      </c>
      <c r="AM3645" t="s">
        <v>1742</v>
      </c>
      <c r="AN3645" t="s">
        <v>1764</v>
      </c>
      <c r="AO3645" t="s">
        <v>1765</v>
      </c>
      <c r="AP3645" t="s">
        <v>1766</v>
      </c>
      <c r="AQ3645" t="s">
        <v>669</v>
      </c>
      <c r="AR3645" t="s">
        <v>1763</v>
      </c>
    </row>
    <row r="3646" spans="1:45" s="12" customFormat="1" x14ac:dyDescent="0.25">
      <c r="A3646" s="615" t="str">
        <f>"BiK27a0"&amp;AN3646&amp;RIGHT("-----",5-LEN(AN3646))&amp;RIGHT($M$3645,2)</f>
        <v>BiK27a0-----14</v>
      </c>
      <c r="B3646" s="372" t="s">
        <v>5548</v>
      </c>
      <c r="C3646" s="375" t="s">
        <v>1647</v>
      </c>
      <c r="D3646" s="372" t="str">
        <f t="shared" ref="D3646:D3654" si="1496">IF(COUNTA(O3646:Q3646)=0,AH3646,AH3646&amp;", Bonusregel "&amp;AN3646)</f>
        <v>0-0,5 MW, Vergärung von Bioabfällen</v>
      </c>
      <c r="E3646" s="372"/>
      <c r="F3646" s="459">
        <f t="shared" ref="F3646:F3654" si="1497">M3646</f>
        <v>15.37</v>
      </c>
      <c r="G3646" s="544">
        <v>15.37</v>
      </c>
      <c r="H3646" s="500">
        <f t="shared" si="1476"/>
        <v>12.3</v>
      </c>
      <c r="I3646" s="711"/>
      <c r="J3646" s="669" t="s">
        <v>5805</v>
      </c>
      <c r="K3646" s="23"/>
      <c r="L3646" s="70" t="str">
        <f t="shared" ref="L3646:L3654" si="1498">IF(F3646=M3646,"",FALSE)</f>
        <v/>
      </c>
      <c r="M3646" s="405">
        <f t="shared" ref="M3646:M3654" si="1499">ROUND(N3646,2)+SUMIF(O3646:Q3646,"x",$O$3645:$Q$3645)</f>
        <v>15.37</v>
      </c>
      <c r="N3646" s="41">
        <f t="shared" ref="N3646:N3654" si="1500">N3636*(1-$R$3645)</f>
        <v>15.366399999999999</v>
      </c>
      <c r="O3646" s="60"/>
      <c r="P3646" s="29"/>
      <c r="Q3646" s="62"/>
      <c r="R3646"/>
      <c r="S3646"/>
      <c r="T3646"/>
      <c r="U3646"/>
      <c r="V3646"/>
      <c r="W3646" s="27"/>
      <c r="X3646" s="27"/>
      <c r="Y3646" s="27"/>
      <c r="Z3646" s="27"/>
      <c r="AA3646" s="27"/>
      <c r="AB3646" s="27"/>
      <c r="AC3646" s="27"/>
      <c r="AD3646" s="27"/>
      <c r="AE3646" s="27"/>
      <c r="AF3646" s="27"/>
      <c r="AG3646" s="27"/>
      <c r="AH3646" s="35" t="s">
        <v>1774</v>
      </c>
      <c r="AI3646"/>
      <c r="AJ3646"/>
      <c r="AK3646" t="str">
        <f t="shared" ref="AK3646:AK3654" si="1501">IF(O3646="x",V$3280,"")</f>
        <v/>
      </c>
      <c r="AL3646" t="str">
        <f t="shared" ref="AL3646:AL3654" si="1502">IF(P3646="x",W$3280,"")</f>
        <v/>
      </c>
      <c r="AM3646" t="str">
        <f t="shared" ref="AM3646:AM3654" si="1503">IF(Q3646="x",X$3280,"")</f>
        <v/>
      </c>
      <c r="AN3646" t="str">
        <f t="shared" ref="AN3646:AN3654" si="1504">AK3646&amp;AL3646&amp;AM3646</f>
        <v/>
      </c>
      <c r="AO3646" s="254" t="str">
        <f>"BiK27a0"&amp;AN3646&amp;RIGHT("-----",5-LEN(AN3646))&amp;RIGHT($M$3645,2)</f>
        <v>BiK27a0-----14</v>
      </c>
      <c r="AP3646">
        <f t="shared" ref="AP3646:AP3654" si="1505">LEN(AO3646)</f>
        <v>14</v>
      </c>
      <c r="AQ3646" t="str">
        <f t="shared" ref="AQ3646:AQ3654" si="1506">IF(COUNTA(O3646:Q3646)=0,AH3646,AH3646&amp;", Bonusregel "&amp;AN3646)</f>
        <v>0-0,5 MW, Vergärung von Bioabfällen</v>
      </c>
      <c r="AR3646" t="str">
        <f>IF(COUNTA(#REF!)&gt;1,"Fehler ESVK",IF(COUNTA(O3646:Q3646)&gt;1,"Fehler GAB",IF(AP3646&lt;&gt;14,"Fehler Kategorie","")))</f>
        <v/>
      </c>
    </row>
    <row r="3647" spans="1:45" s="12" customFormat="1" x14ac:dyDescent="0.25">
      <c r="A3647" s="615" t="str">
        <f>"BiK27a0"&amp;AN3647&amp;RIGHT("-----",5-LEN(AN3647))&amp;RIGHT($M$3645,2)</f>
        <v>BiK27a0G1---14</v>
      </c>
      <c r="B3647" s="372" t="s">
        <v>5548</v>
      </c>
      <c r="C3647" s="375" t="s">
        <v>1647</v>
      </c>
      <c r="D3647" s="372" t="str">
        <f t="shared" si="1496"/>
        <v>0-0,5 MW, Vergärung von Bioabfällen, Bonusregel G1</v>
      </c>
      <c r="E3647" s="372"/>
      <c r="F3647" s="459">
        <f t="shared" si="1497"/>
        <v>18.25</v>
      </c>
      <c r="G3647" s="544">
        <v>18.25</v>
      </c>
      <c r="H3647" s="500">
        <f t="shared" si="1476"/>
        <v>14.6</v>
      </c>
      <c r="I3647" s="711"/>
      <c r="J3647" s="669" t="s">
        <v>5805</v>
      </c>
      <c r="K3647" s="23"/>
      <c r="L3647" s="70" t="str">
        <f t="shared" si="1498"/>
        <v/>
      </c>
      <c r="M3647" s="387">
        <f t="shared" si="1499"/>
        <v>18.25</v>
      </c>
      <c r="N3647" s="41">
        <f t="shared" si="1500"/>
        <v>15.366399999999999</v>
      </c>
      <c r="O3647" s="43" t="s">
        <v>1017</v>
      </c>
      <c r="P3647" s="29"/>
      <c r="Q3647" s="50"/>
      <c r="R3647"/>
      <c r="S3647"/>
      <c r="T3647"/>
      <c r="U3647"/>
      <c r="V3647"/>
      <c r="W3647" s="27"/>
      <c r="X3647" s="27"/>
      <c r="Y3647" s="27"/>
      <c r="Z3647" s="27"/>
      <c r="AA3647" s="27"/>
      <c r="AB3647" s="27"/>
      <c r="AC3647" s="27"/>
      <c r="AD3647" s="27"/>
      <c r="AE3647" s="27"/>
      <c r="AF3647" s="27"/>
      <c r="AG3647" s="27"/>
      <c r="AH3647" s="35" t="s">
        <v>1774</v>
      </c>
      <c r="AI3647"/>
      <c r="AJ3647"/>
      <c r="AK3647" t="str">
        <f t="shared" si="1501"/>
        <v>G1</v>
      </c>
      <c r="AL3647" t="str">
        <f t="shared" si="1502"/>
        <v/>
      </c>
      <c r="AM3647" t="str">
        <f t="shared" si="1503"/>
        <v/>
      </c>
      <c r="AN3647" t="str">
        <f t="shared" si="1504"/>
        <v>G1</v>
      </c>
      <c r="AO3647" s="254" t="str">
        <f>"BiK27a0"&amp;AN3647&amp;RIGHT("-----",5-LEN(AN3647))&amp;RIGHT($M$3645,2)</f>
        <v>BiK27a0G1---14</v>
      </c>
      <c r="AP3647">
        <f t="shared" si="1505"/>
        <v>14</v>
      </c>
      <c r="AQ3647" t="str">
        <f t="shared" si="1506"/>
        <v>0-0,5 MW, Vergärung von Bioabfällen, Bonusregel G1</v>
      </c>
      <c r="AR3647" t="str">
        <f>IF(COUNTA(#REF!)&gt;1,"Fehler ESVK",IF(COUNTA(O3647:Q3647)&gt;1,"Fehler GAB",IF(AP3647&lt;&gt;14,"Fehler Kategorie","")))</f>
        <v/>
      </c>
    </row>
    <row r="3648" spans="1:45" s="12" customFormat="1" x14ac:dyDescent="0.25">
      <c r="A3648" s="615" t="str">
        <f>"BiK27a0"&amp;AN3648&amp;RIGHT("-----",5-LEN(AN3648))&amp;RIGHT($M$3645,2)</f>
        <v>BiK27a0G2---14</v>
      </c>
      <c r="B3648" s="372" t="s">
        <v>5548</v>
      </c>
      <c r="C3648" s="375" t="s">
        <v>1647</v>
      </c>
      <c r="D3648" s="372" t="str">
        <f t="shared" si="1496"/>
        <v>0-0,5 MW, Vergärung von Bioabfällen, Bonusregel G2</v>
      </c>
      <c r="E3648" s="372"/>
      <c r="F3648" s="459">
        <f t="shared" si="1497"/>
        <v>17.29</v>
      </c>
      <c r="G3648" s="544">
        <v>17.29</v>
      </c>
      <c r="H3648" s="500">
        <f t="shared" si="1476"/>
        <v>13.83</v>
      </c>
      <c r="I3648" s="711"/>
      <c r="J3648" s="669" t="s">
        <v>5805</v>
      </c>
      <c r="K3648" s="23"/>
      <c r="L3648" s="70" t="str">
        <f t="shared" si="1498"/>
        <v/>
      </c>
      <c r="M3648" s="387">
        <f t="shared" si="1499"/>
        <v>17.29</v>
      </c>
      <c r="N3648" s="41">
        <f t="shared" si="1500"/>
        <v>15.366399999999999</v>
      </c>
      <c r="O3648" s="43"/>
      <c r="P3648" s="29" t="s">
        <v>1017</v>
      </c>
      <c r="Q3648" s="50"/>
      <c r="R3648"/>
      <c r="S3648"/>
      <c r="T3648"/>
      <c r="U3648"/>
      <c r="V3648"/>
      <c r="W3648" s="27"/>
      <c r="X3648" s="27"/>
      <c r="Y3648" s="27"/>
      <c r="Z3648" s="27"/>
      <c r="AA3648" s="27"/>
      <c r="AB3648" s="27"/>
      <c r="AC3648" s="27"/>
      <c r="AD3648" s="27"/>
      <c r="AE3648" s="27"/>
      <c r="AF3648" s="27"/>
      <c r="AG3648" s="27"/>
      <c r="AH3648" s="35" t="s">
        <v>1774</v>
      </c>
      <c r="AI3648"/>
      <c r="AJ3648"/>
      <c r="AK3648" t="str">
        <f t="shared" si="1501"/>
        <v/>
      </c>
      <c r="AL3648" t="str">
        <f t="shared" si="1502"/>
        <v>G2</v>
      </c>
      <c r="AM3648" t="str">
        <f t="shared" si="1503"/>
        <v/>
      </c>
      <c r="AN3648" t="str">
        <f t="shared" si="1504"/>
        <v>G2</v>
      </c>
      <c r="AO3648" s="254" t="str">
        <f>"BiK27a0"&amp;AN3648&amp;RIGHT("-----",5-LEN(AN3648))&amp;RIGHT($M$3645,2)</f>
        <v>BiK27a0G2---14</v>
      </c>
      <c r="AP3648">
        <f t="shared" si="1505"/>
        <v>14</v>
      </c>
      <c r="AQ3648" t="str">
        <f t="shared" si="1506"/>
        <v>0-0,5 MW, Vergärung von Bioabfällen, Bonusregel G2</v>
      </c>
      <c r="AR3648" t="str">
        <f>IF(COUNTA(#REF!)&gt;1,"Fehler ESVK",IF(COUNTA(O3648:Q3648)&gt;1,"Fehler GAB",IF(AP3648&lt;&gt;14,"Fehler Kategorie","")))</f>
        <v/>
      </c>
    </row>
    <row r="3649" spans="1:44" s="12" customFormat="1" x14ac:dyDescent="0.25">
      <c r="A3649" s="615" t="str">
        <f>"BiK27a0"&amp;AN3649&amp;RIGHT("-----",5-LEN(AN3649))&amp;RIGHT($M$3645,2)</f>
        <v>BiK27a0G3---14</v>
      </c>
      <c r="B3649" s="372" t="s">
        <v>5548</v>
      </c>
      <c r="C3649" s="375" t="s">
        <v>1647</v>
      </c>
      <c r="D3649" s="372" t="str">
        <f t="shared" si="1496"/>
        <v>0-0,5 MW, Vergärung von Bioabfällen, Bonusregel G3</v>
      </c>
      <c r="E3649" s="372"/>
      <c r="F3649" s="459">
        <f t="shared" si="1497"/>
        <v>16.329999999999998</v>
      </c>
      <c r="G3649" s="544">
        <v>16.329999999999998</v>
      </c>
      <c r="H3649" s="500">
        <f t="shared" si="1476"/>
        <v>13.06</v>
      </c>
      <c r="I3649" s="711"/>
      <c r="J3649" s="669" t="s">
        <v>5805</v>
      </c>
      <c r="K3649" s="23"/>
      <c r="L3649" s="70" t="str">
        <f t="shared" si="1498"/>
        <v/>
      </c>
      <c r="M3649" s="387">
        <f t="shared" si="1499"/>
        <v>16.329999999999998</v>
      </c>
      <c r="N3649" s="41">
        <f t="shared" si="1500"/>
        <v>15.366399999999999</v>
      </c>
      <c r="O3649" s="43"/>
      <c r="P3649" s="29"/>
      <c r="Q3649" s="50" t="s">
        <v>1017</v>
      </c>
      <c r="R3649"/>
      <c r="S3649"/>
      <c r="T3649"/>
      <c r="U3649"/>
      <c r="V3649"/>
      <c r="W3649" s="27"/>
      <c r="X3649" s="27"/>
      <c r="Y3649" s="27"/>
      <c r="Z3649" s="27"/>
      <c r="AA3649" s="27"/>
      <c r="AB3649" s="27"/>
      <c r="AC3649" s="27"/>
      <c r="AD3649" s="27"/>
      <c r="AE3649" s="27"/>
      <c r="AF3649" s="27"/>
      <c r="AG3649" s="27"/>
      <c r="AH3649" s="35" t="s">
        <v>1774</v>
      </c>
      <c r="AI3649"/>
      <c r="AJ3649"/>
      <c r="AK3649" t="str">
        <f t="shared" si="1501"/>
        <v/>
      </c>
      <c r="AL3649" t="str">
        <f t="shared" si="1502"/>
        <v/>
      </c>
      <c r="AM3649" t="str">
        <f t="shared" si="1503"/>
        <v>G3</v>
      </c>
      <c r="AN3649" t="str">
        <f t="shared" si="1504"/>
        <v>G3</v>
      </c>
      <c r="AO3649" s="254" t="str">
        <f>"BiK27a0"&amp;AN3649&amp;RIGHT("-----",5-LEN(AN3649))&amp;RIGHT($M$3645,2)</f>
        <v>BiK27a0G3---14</v>
      </c>
      <c r="AP3649">
        <f t="shared" si="1505"/>
        <v>14</v>
      </c>
      <c r="AQ3649" t="str">
        <f t="shared" si="1506"/>
        <v>0-0,5 MW, Vergärung von Bioabfällen, Bonusregel G3</v>
      </c>
      <c r="AR3649" t="str">
        <f>IF(COUNTA(#REF!)&gt;1,"Fehler ESVK",IF(COUNTA(O3649:Q3649)&gt;1,"Fehler GAB",IF(AP3649&lt;&gt;14,"Fehler Kategorie","")))</f>
        <v/>
      </c>
    </row>
    <row r="3650" spans="1:44" s="12" customFormat="1" x14ac:dyDescent="0.25">
      <c r="A3650" s="615" t="str">
        <f>"BiK27a1"&amp;AN3650&amp;RIGHT("-----",5-LEN(AN3650))&amp;RIGHT($M$3645,2)</f>
        <v>BiK27a1-----14</v>
      </c>
      <c r="B3650" s="372" t="s">
        <v>5548</v>
      </c>
      <c r="C3650" s="375" t="s">
        <v>1647</v>
      </c>
      <c r="D3650" s="372" t="str">
        <f t="shared" si="1496"/>
        <v>0,5-5 MW, Vergärung von Bioabfällen</v>
      </c>
      <c r="E3650" s="372"/>
      <c r="F3650" s="459">
        <f t="shared" si="1497"/>
        <v>13.45</v>
      </c>
      <c r="G3650" s="544">
        <v>13.45</v>
      </c>
      <c r="H3650" s="500">
        <f t="shared" si="1476"/>
        <v>10.76</v>
      </c>
      <c r="I3650" s="711"/>
      <c r="J3650" s="669" t="s">
        <v>5805</v>
      </c>
      <c r="K3650" s="23"/>
      <c r="L3650" s="70" t="str">
        <f t="shared" si="1498"/>
        <v/>
      </c>
      <c r="M3650" s="387">
        <f t="shared" si="1499"/>
        <v>13.45</v>
      </c>
      <c r="N3650" s="41">
        <f t="shared" si="1500"/>
        <v>13.445599999999999</v>
      </c>
      <c r="O3650" s="43"/>
      <c r="P3650" s="29"/>
      <c r="Q3650" s="50"/>
      <c r="R3650"/>
      <c r="S3650"/>
      <c r="T3650"/>
      <c r="U3650"/>
      <c r="V3650"/>
      <c r="W3650" s="27"/>
      <c r="X3650" s="27"/>
      <c r="Y3650" s="27"/>
      <c r="Z3650" s="27"/>
      <c r="AA3650" s="27"/>
      <c r="AB3650" s="27"/>
      <c r="AC3650" s="27"/>
      <c r="AD3650" s="27"/>
      <c r="AE3650" s="27"/>
      <c r="AF3650" s="27"/>
      <c r="AG3650" s="27"/>
      <c r="AH3650" s="35" t="s">
        <v>1769</v>
      </c>
      <c r="AI3650"/>
      <c r="AJ3650"/>
      <c r="AK3650" t="str">
        <f t="shared" si="1501"/>
        <v/>
      </c>
      <c r="AL3650" t="str">
        <f t="shared" si="1502"/>
        <v/>
      </c>
      <c r="AM3650" t="str">
        <f t="shared" si="1503"/>
        <v/>
      </c>
      <c r="AN3650" t="str">
        <f t="shared" si="1504"/>
        <v/>
      </c>
      <c r="AO3650" s="254" t="str">
        <f>"BiK27a1"&amp;AN3650&amp;RIGHT("-----",5-LEN(AN3650))&amp;RIGHT($M$3645,2)</f>
        <v>BiK27a1-----14</v>
      </c>
      <c r="AP3650">
        <f t="shared" si="1505"/>
        <v>14</v>
      </c>
      <c r="AQ3650" t="str">
        <f t="shared" si="1506"/>
        <v>0,5-5 MW, Vergärung von Bioabfällen</v>
      </c>
      <c r="AR3650" t="str">
        <f>IF(COUNTA(#REF!)&gt;1,"Fehler ESVK",IF(COUNTA(O3650:Q3650)&gt;1,"Fehler GAB",IF(AP3650&lt;&gt;14,"Fehler Kategorie","")))</f>
        <v/>
      </c>
    </row>
    <row r="3651" spans="1:44" s="12" customFormat="1" x14ac:dyDescent="0.25">
      <c r="A3651" s="615" t="str">
        <f>"BiK27a1"&amp;AN3651&amp;RIGHT("-----",5-LEN(AN3651))&amp;RIGHT($M$3645,2)</f>
        <v>BiK27a1G1---14</v>
      </c>
      <c r="B3651" s="372" t="s">
        <v>5548</v>
      </c>
      <c r="C3651" s="375" t="s">
        <v>1647</v>
      </c>
      <c r="D3651" s="372" t="str">
        <f t="shared" si="1496"/>
        <v>0,5-5 MW, Vergärung von Bioabfällen, Bonusregel G1</v>
      </c>
      <c r="E3651" s="372"/>
      <c r="F3651" s="459">
        <f t="shared" si="1497"/>
        <v>16.329999999999998</v>
      </c>
      <c r="G3651" s="544">
        <v>16.329999999999998</v>
      </c>
      <c r="H3651" s="500">
        <f t="shared" si="1476"/>
        <v>13.06</v>
      </c>
      <c r="I3651" s="711"/>
      <c r="J3651" s="669" t="s">
        <v>5805</v>
      </c>
      <c r="K3651" s="23"/>
      <c r="L3651" s="70" t="str">
        <f t="shared" si="1498"/>
        <v/>
      </c>
      <c r="M3651" s="387">
        <f t="shared" si="1499"/>
        <v>16.329999999999998</v>
      </c>
      <c r="N3651" s="41">
        <f t="shared" si="1500"/>
        <v>13.445599999999999</v>
      </c>
      <c r="O3651" s="43" t="s">
        <v>1017</v>
      </c>
      <c r="P3651" s="29"/>
      <c r="Q3651" s="50"/>
      <c r="R3651"/>
      <c r="S3651"/>
      <c r="T3651"/>
      <c r="U3651"/>
      <c r="V3651"/>
      <c r="W3651" s="27"/>
      <c r="X3651" s="27"/>
      <c r="Y3651" s="27"/>
      <c r="Z3651" s="27"/>
      <c r="AA3651" s="27"/>
      <c r="AB3651" s="27"/>
      <c r="AC3651" s="27"/>
      <c r="AD3651" s="27"/>
      <c r="AE3651" s="27"/>
      <c r="AF3651" s="27"/>
      <c r="AG3651" s="27"/>
      <c r="AH3651" s="35" t="s">
        <v>1769</v>
      </c>
      <c r="AI3651"/>
      <c r="AJ3651"/>
      <c r="AK3651" t="str">
        <f t="shared" si="1501"/>
        <v>G1</v>
      </c>
      <c r="AL3651" t="str">
        <f t="shared" si="1502"/>
        <v/>
      </c>
      <c r="AM3651" t="str">
        <f t="shared" si="1503"/>
        <v/>
      </c>
      <c r="AN3651" t="str">
        <f t="shared" si="1504"/>
        <v>G1</v>
      </c>
      <c r="AO3651" s="254" t="str">
        <f>"BiK27a1"&amp;AN3651&amp;RIGHT("-----",5-LEN(AN3651))&amp;RIGHT($M$3645,2)</f>
        <v>BiK27a1G1---14</v>
      </c>
      <c r="AP3651">
        <f t="shared" si="1505"/>
        <v>14</v>
      </c>
      <c r="AQ3651" t="str">
        <f t="shared" si="1506"/>
        <v>0,5-5 MW, Vergärung von Bioabfällen, Bonusregel G1</v>
      </c>
      <c r="AR3651" t="str">
        <f>IF(COUNTA(#REF!)&gt;1,"Fehler ESVK",IF(COUNTA(O3651:Q3651)&gt;1,"Fehler GAB",IF(AP3651&lt;&gt;14,"Fehler Kategorie","")))</f>
        <v/>
      </c>
    </row>
    <row r="3652" spans="1:44" s="12" customFormat="1" x14ac:dyDescent="0.25">
      <c r="A3652" s="615" t="str">
        <f>"BiK27a1"&amp;AN3652&amp;RIGHT("-----",5-LEN(AN3652))&amp;RIGHT($M$3645,2)</f>
        <v>BiK27a1G2---14</v>
      </c>
      <c r="B3652" s="372" t="s">
        <v>5548</v>
      </c>
      <c r="C3652" s="375" t="s">
        <v>1647</v>
      </c>
      <c r="D3652" s="372" t="str">
        <f t="shared" si="1496"/>
        <v>0,5-5 MW, Vergärung von Bioabfällen, Bonusregel G2</v>
      </c>
      <c r="E3652" s="372"/>
      <c r="F3652" s="459">
        <f t="shared" si="1497"/>
        <v>15.37</v>
      </c>
      <c r="G3652" s="544">
        <v>15.37</v>
      </c>
      <c r="H3652" s="500">
        <f t="shared" si="1476"/>
        <v>12.3</v>
      </c>
      <c r="I3652" s="711"/>
      <c r="J3652" s="669" t="s">
        <v>5805</v>
      </c>
      <c r="K3652" s="23"/>
      <c r="L3652" s="70" t="str">
        <f t="shared" si="1498"/>
        <v/>
      </c>
      <c r="M3652" s="387">
        <f t="shared" si="1499"/>
        <v>15.37</v>
      </c>
      <c r="N3652" s="41">
        <f t="shared" si="1500"/>
        <v>13.445599999999999</v>
      </c>
      <c r="O3652" s="43"/>
      <c r="P3652" s="29" t="s">
        <v>1017</v>
      </c>
      <c r="Q3652" s="50"/>
      <c r="R3652"/>
      <c r="S3652"/>
      <c r="T3652"/>
      <c r="U3652"/>
      <c r="V3652"/>
      <c r="W3652" s="27"/>
      <c r="X3652" s="27"/>
      <c r="Y3652" s="27"/>
      <c r="Z3652" s="27"/>
      <c r="AA3652" s="27"/>
      <c r="AB3652" s="27"/>
      <c r="AC3652" s="27"/>
      <c r="AD3652" s="27"/>
      <c r="AE3652" s="27"/>
      <c r="AF3652" s="27"/>
      <c r="AG3652" s="27"/>
      <c r="AH3652" s="35" t="s">
        <v>1769</v>
      </c>
      <c r="AI3652"/>
      <c r="AJ3652"/>
      <c r="AK3652" t="str">
        <f t="shared" si="1501"/>
        <v/>
      </c>
      <c r="AL3652" t="str">
        <f t="shared" si="1502"/>
        <v>G2</v>
      </c>
      <c r="AM3652" t="str">
        <f t="shared" si="1503"/>
        <v/>
      </c>
      <c r="AN3652" t="str">
        <f t="shared" si="1504"/>
        <v>G2</v>
      </c>
      <c r="AO3652" s="254" t="str">
        <f>"BiK27a1"&amp;AN3652&amp;RIGHT("-----",5-LEN(AN3652))&amp;RIGHT($M$3645,2)</f>
        <v>BiK27a1G2---14</v>
      </c>
      <c r="AP3652">
        <f t="shared" si="1505"/>
        <v>14</v>
      </c>
      <c r="AQ3652" t="str">
        <f t="shared" si="1506"/>
        <v>0,5-5 MW, Vergärung von Bioabfällen, Bonusregel G2</v>
      </c>
      <c r="AR3652" t="str">
        <f>IF(COUNTA(#REF!)&gt;1,"Fehler ESVK",IF(COUNTA(O3652:Q3652)&gt;1,"Fehler GAB",IF(AP3652&lt;&gt;14,"Fehler Kategorie","")))</f>
        <v/>
      </c>
    </row>
    <row r="3653" spans="1:44" s="12" customFormat="1" x14ac:dyDescent="0.25">
      <c r="A3653" s="615" t="str">
        <f>"BiK27a1"&amp;AN3653&amp;RIGHT("-----",5-LEN(AN3653))&amp;RIGHT($M$3645,2)</f>
        <v>BiK27a1G3---14</v>
      </c>
      <c r="B3653" s="372" t="s">
        <v>5548</v>
      </c>
      <c r="C3653" s="375" t="s">
        <v>1647</v>
      </c>
      <c r="D3653" s="372" t="str">
        <f t="shared" si="1496"/>
        <v>0,5-5 MW, Vergärung von Bioabfällen, Bonusregel G3</v>
      </c>
      <c r="E3653" s="372"/>
      <c r="F3653" s="459">
        <f t="shared" si="1497"/>
        <v>14.41</v>
      </c>
      <c r="G3653" s="544">
        <v>14.41</v>
      </c>
      <c r="H3653" s="500">
        <f t="shared" si="1476"/>
        <v>11.53</v>
      </c>
      <c r="I3653" s="711"/>
      <c r="J3653" s="669" t="s">
        <v>5805</v>
      </c>
      <c r="K3653" s="23"/>
      <c r="L3653" s="70" t="str">
        <f t="shared" si="1498"/>
        <v/>
      </c>
      <c r="M3653" s="387">
        <f t="shared" si="1499"/>
        <v>14.41</v>
      </c>
      <c r="N3653" s="41">
        <f t="shared" si="1500"/>
        <v>13.445599999999999</v>
      </c>
      <c r="O3653" s="43"/>
      <c r="P3653" s="29"/>
      <c r="Q3653" s="50" t="s">
        <v>1017</v>
      </c>
      <c r="R3653"/>
      <c r="S3653"/>
      <c r="T3653"/>
      <c r="U3653"/>
      <c r="V3653"/>
      <c r="W3653" s="27"/>
      <c r="X3653" s="27"/>
      <c r="Y3653" s="27"/>
      <c r="Z3653" s="27"/>
      <c r="AA3653" s="27"/>
      <c r="AB3653" s="27"/>
      <c r="AC3653" s="27"/>
      <c r="AD3653" s="27"/>
      <c r="AE3653" s="27"/>
      <c r="AF3653" s="27"/>
      <c r="AG3653" s="27"/>
      <c r="AH3653" s="35" t="s">
        <v>1769</v>
      </c>
      <c r="AI3653"/>
      <c r="AJ3653"/>
      <c r="AK3653" t="str">
        <f t="shared" si="1501"/>
        <v/>
      </c>
      <c r="AL3653" t="str">
        <f t="shared" si="1502"/>
        <v/>
      </c>
      <c r="AM3653" t="str">
        <f t="shared" si="1503"/>
        <v>G3</v>
      </c>
      <c r="AN3653" t="str">
        <f t="shared" si="1504"/>
        <v>G3</v>
      </c>
      <c r="AO3653" s="254" t="str">
        <f>"BiK27a1"&amp;AN3653&amp;RIGHT("-----",5-LEN(AN3653))&amp;RIGHT($M$3645,2)</f>
        <v>BiK27a1G3---14</v>
      </c>
      <c r="AP3653">
        <f t="shared" si="1505"/>
        <v>14</v>
      </c>
      <c r="AQ3653" t="str">
        <f t="shared" si="1506"/>
        <v>0,5-5 MW, Vergärung von Bioabfällen, Bonusregel G3</v>
      </c>
      <c r="AR3653" t="str">
        <f>IF(COUNTA(#REF!)&gt;1,"Fehler ESVK",IF(COUNTA(O3653:Q3653)&gt;1,"Fehler GAB",IF(AP3653&lt;&gt;14,"Fehler Kategorie","")))</f>
        <v/>
      </c>
    </row>
    <row r="3654" spans="1:44" s="12" customFormat="1" x14ac:dyDescent="0.25">
      <c r="A3654" s="615" t="str">
        <f>"BiK27a2"&amp;AN3654&amp;RIGHT("-----",5-LEN(AN3654))&amp;RIGHT($M$3645,2)</f>
        <v>BiK27a2-----14</v>
      </c>
      <c r="B3654" s="372" t="s">
        <v>5548</v>
      </c>
      <c r="C3654" s="375" t="s">
        <v>1647</v>
      </c>
      <c r="D3654" s="372" t="str">
        <f t="shared" si="1496"/>
        <v>5-20 MW, Vergärung von Bioabfällen</v>
      </c>
      <c r="E3654" s="372"/>
      <c r="F3654" s="459">
        <f t="shared" si="1497"/>
        <v>13.45</v>
      </c>
      <c r="G3654" s="544">
        <v>13.45</v>
      </c>
      <c r="H3654" s="500">
        <f t="shared" si="1476"/>
        <v>10.76</v>
      </c>
      <c r="I3654" s="711"/>
      <c r="J3654" s="669" t="s">
        <v>5805</v>
      </c>
      <c r="K3654" s="23"/>
      <c r="L3654" s="70" t="str">
        <f t="shared" si="1498"/>
        <v/>
      </c>
      <c r="M3654" s="406">
        <f t="shared" si="1499"/>
        <v>13.45</v>
      </c>
      <c r="N3654" s="40">
        <f t="shared" si="1500"/>
        <v>13.445599999999999</v>
      </c>
      <c r="O3654" s="77"/>
      <c r="P3654" s="77"/>
      <c r="Q3654" s="78"/>
      <c r="R3654" s="27"/>
      <c r="S3654" s="27"/>
      <c r="T3654" s="27"/>
      <c r="U3654" s="27"/>
      <c r="V3654" s="27"/>
      <c r="W3654" s="27"/>
      <c r="X3654" s="27"/>
      <c r="Y3654" s="27"/>
      <c r="Z3654" s="27"/>
      <c r="AA3654" s="27"/>
      <c r="AB3654" s="27"/>
      <c r="AC3654" s="27"/>
      <c r="AD3654" s="27"/>
      <c r="AE3654" s="27"/>
      <c r="AF3654" s="27"/>
      <c r="AG3654" s="27"/>
      <c r="AH3654" s="35" t="s">
        <v>1775</v>
      </c>
      <c r="AI3654"/>
      <c r="AJ3654"/>
      <c r="AK3654" t="str">
        <f t="shared" si="1501"/>
        <v/>
      </c>
      <c r="AL3654" t="str">
        <f t="shared" si="1502"/>
        <v/>
      </c>
      <c r="AM3654" t="str">
        <f t="shared" si="1503"/>
        <v/>
      </c>
      <c r="AN3654" t="str">
        <f t="shared" si="1504"/>
        <v/>
      </c>
      <c r="AO3654" s="254" t="str">
        <f>"BiK27a2"&amp;AN3654&amp;RIGHT("-----",5-LEN(AN3654))&amp;RIGHT($M$3645,2)</f>
        <v>BiK27a2-----14</v>
      </c>
      <c r="AP3654">
        <f t="shared" si="1505"/>
        <v>14</v>
      </c>
      <c r="AQ3654" t="str">
        <f t="shared" si="1506"/>
        <v>5-20 MW, Vergärung von Bioabfällen</v>
      </c>
      <c r="AR3654" t="str">
        <f>IF(COUNTA(#REF!)&gt;1,"Fehler ESVK",IF(COUNTA(O3654:Q3654)&gt;1,"Fehler GAB",IF(AP3654&lt;&gt;14,"Fehler Kategorie","")))</f>
        <v/>
      </c>
    </row>
    <row r="3655" spans="1:44" x14ac:dyDescent="0.25">
      <c r="A3655" s="4"/>
      <c r="B3655" s="2"/>
      <c r="C3655" s="1"/>
      <c r="D3655" s="2"/>
      <c r="E3655" s="1"/>
      <c r="F3655" s="442"/>
      <c r="G3655" s="13"/>
      <c r="H3655" s="13"/>
      <c r="I3655" s="692"/>
      <c r="J3655" s="669" t="s">
        <v>4180</v>
      </c>
      <c r="K3655" s="28"/>
      <c r="M3655" s="35"/>
      <c r="N3655" s="15"/>
      <c r="O3655" s="15"/>
    </row>
    <row r="3656" spans="1:44" s="259" customFormat="1" ht="20.25" customHeight="1" x14ac:dyDescent="0.25">
      <c r="A3656" s="266" t="s">
        <v>69</v>
      </c>
      <c r="B3656" s="255"/>
      <c r="C3656" s="256"/>
      <c r="D3656" s="255"/>
      <c r="E3656" s="256"/>
      <c r="F3656" s="463"/>
      <c r="G3656" s="257"/>
      <c r="H3656" s="257"/>
      <c r="I3656" s="717"/>
      <c r="J3656" s="669" t="s">
        <v>5805</v>
      </c>
      <c r="K3656" s="258"/>
      <c r="M3656" s="260" t="s">
        <v>73</v>
      </c>
      <c r="N3656" s="261"/>
      <c r="O3656" s="261"/>
      <c r="AG3656" s="262"/>
    </row>
    <row r="3657" spans="1:44" x14ac:dyDescent="0.25">
      <c r="A3657" s="4"/>
      <c r="B3657" s="2"/>
      <c r="C3657" s="34"/>
      <c r="D3657" s="34"/>
      <c r="E3657" s="2"/>
      <c r="F3657" s="445"/>
      <c r="G3657" s="14"/>
      <c r="H3657" s="14" t="str">
        <f t="shared" ref="H3657:H3672" si="1507">IF(ISNUMBER(G3657),ROUND(0.8*G3657,2),"")</f>
        <v/>
      </c>
      <c r="I3657" s="695"/>
      <c r="J3657" s="669" t="s">
        <v>4180</v>
      </c>
      <c r="N3657" s="270" t="s">
        <v>5490</v>
      </c>
      <c r="P3657" t="s">
        <v>1774</v>
      </c>
      <c r="Q3657" t="s">
        <v>71</v>
      </c>
    </row>
    <row r="3658" spans="1:44" x14ac:dyDescent="0.25">
      <c r="A3658" s="607" t="s">
        <v>70</v>
      </c>
      <c r="B3658" s="435" t="s">
        <v>5548</v>
      </c>
      <c r="C3658" s="436" t="s">
        <v>39</v>
      </c>
      <c r="D3658" s="436" t="s">
        <v>1774</v>
      </c>
      <c r="E3658" s="435"/>
      <c r="F3658" s="450">
        <f>ROUND(HLOOKUP(D3658,P3657:R3659,3,FALSE),2)</f>
        <v>15.06</v>
      </c>
      <c r="G3658" s="437">
        <f>ROUND(HLOOKUP(D3658,P3657:R3659,2,FALSE),2)</f>
        <v>15.26</v>
      </c>
      <c r="H3658" s="437">
        <f t="shared" si="1507"/>
        <v>12.21</v>
      </c>
      <c r="I3658" s="700"/>
      <c r="J3658" s="669" t="s">
        <v>5805</v>
      </c>
      <c r="M3658" s="127">
        <v>2014</v>
      </c>
      <c r="N3658" s="395" t="s">
        <v>92</v>
      </c>
      <c r="O3658" s="395"/>
      <c r="P3658" s="327">
        <v>15.26</v>
      </c>
      <c r="Q3658" s="327">
        <v>13.38</v>
      </c>
      <c r="R3658" s="327"/>
      <c r="S3658" t="s">
        <v>49</v>
      </c>
    </row>
    <row r="3659" spans="1:44" x14ac:dyDescent="0.25">
      <c r="A3659" s="607" t="s">
        <v>72</v>
      </c>
      <c r="B3659" s="435" t="s">
        <v>5548</v>
      </c>
      <c r="C3659" s="436" t="s">
        <v>39</v>
      </c>
      <c r="D3659" s="436" t="s">
        <v>71</v>
      </c>
      <c r="E3659" s="435"/>
      <c r="F3659" s="450">
        <f>ROUND(HLOOKUP(D3659,P3657:T3659,3,FALSE),2)</f>
        <v>13.18</v>
      </c>
      <c r="G3659" s="437">
        <f>ROUND(HLOOKUP(D3659,P3657:R3659,2,FALSE),2)</f>
        <v>13.38</v>
      </c>
      <c r="H3659" s="437">
        <f t="shared" si="1507"/>
        <v>10.7</v>
      </c>
      <c r="I3659" s="700"/>
      <c r="J3659" s="669" t="s">
        <v>5805</v>
      </c>
      <c r="N3659" s="395" t="s">
        <v>85</v>
      </c>
      <c r="O3659" s="395"/>
      <c r="P3659" s="327">
        <f>P3658-0.2</f>
        <v>15.06</v>
      </c>
      <c r="Q3659" s="327">
        <f>Q3658-0.2</f>
        <v>13.180000000000001</v>
      </c>
      <c r="R3659" s="327"/>
      <c r="S3659" t="s">
        <v>50</v>
      </c>
    </row>
    <row r="3660" spans="1:44" x14ac:dyDescent="0.25">
      <c r="A3660" s="608"/>
      <c r="B3660" s="2"/>
      <c r="C3660" s="34"/>
      <c r="D3660" s="34"/>
      <c r="E3660" s="2"/>
      <c r="F3660" s="445"/>
      <c r="G3660" s="14"/>
      <c r="H3660" s="14" t="str">
        <f t="shared" si="1507"/>
        <v/>
      </c>
      <c r="I3660" s="695"/>
      <c r="J3660" s="669" t="s">
        <v>4180</v>
      </c>
      <c r="N3660" s="270" t="s">
        <v>5490</v>
      </c>
      <c r="O3660" s="270"/>
      <c r="P3660" t="s">
        <v>1774</v>
      </c>
      <c r="Q3660" t="s">
        <v>71</v>
      </c>
    </row>
    <row r="3661" spans="1:44" x14ac:dyDescent="0.25">
      <c r="A3661" s="607" t="s">
        <v>396</v>
      </c>
      <c r="B3661" s="435" t="s">
        <v>5548</v>
      </c>
      <c r="C3661" s="436" t="s">
        <v>380</v>
      </c>
      <c r="D3661" s="436" t="s">
        <v>1774</v>
      </c>
      <c r="E3661" s="435"/>
      <c r="F3661" s="450">
        <f>ROUND(HLOOKUP(D3661,P3660:R3662,3,FALSE),2)</f>
        <v>15.06</v>
      </c>
      <c r="G3661" s="437">
        <f>ROUND(HLOOKUP(D3661,P3660:R3662,2,FALSE),2)</f>
        <v>15.26</v>
      </c>
      <c r="H3661" s="437">
        <f t="shared" si="1507"/>
        <v>12.21</v>
      </c>
      <c r="I3661" s="700"/>
      <c r="J3661" s="669" t="s">
        <v>5805</v>
      </c>
      <c r="M3661" s="127">
        <v>2015</v>
      </c>
      <c r="N3661" s="395" t="s">
        <v>92</v>
      </c>
      <c r="O3661" s="395"/>
      <c r="P3661" s="327">
        <v>15.26</v>
      </c>
      <c r="Q3661" s="327">
        <v>13.38</v>
      </c>
      <c r="R3661" s="327"/>
      <c r="S3661" t="s">
        <v>49</v>
      </c>
    </row>
    <row r="3662" spans="1:44" x14ac:dyDescent="0.25">
      <c r="A3662" s="607" t="s">
        <v>397</v>
      </c>
      <c r="B3662" s="435" t="s">
        <v>5548</v>
      </c>
      <c r="C3662" s="436" t="s">
        <v>380</v>
      </c>
      <c r="D3662" s="436" t="s">
        <v>71</v>
      </c>
      <c r="E3662" s="435"/>
      <c r="F3662" s="450">
        <f>ROUND(HLOOKUP(D3662,P3660:R3662,3,FALSE),2)</f>
        <v>13.18</v>
      </c>
      <c r="G3662" s="437">
        <f>ROUND(HLOOKUP(D3662,P3660:R3662,2,FALSE),2)</f>
        <v>13.38</v>
      </c>
      <c r="H3662" s="437">
        <f t="shared" si="1507"/>
        <v>10.7</v>
      </c>
      <c r="I3662" s="700"/>
      <c r="J3662" s="669" t="s">
        <v>5805</v>
      </c>
      <c r="N3662" s="395" t="s">
        <v>85</v>
      </c>
      <c r="O3662" s="395"/>
      <c r="P3662" s="327">
        <f>P3661-0.2</f>
        <v>15.06</v>
      </c>
      <c r="Q3662" s="327">
        <f>Q3661-0.2</f>
        <v>13.180000000000001</v>
      </c>
      <c r="R3662" s="327"/>
      <c r="S3662" t="s">
        <v>50</v>
      </c>
    </row>
    <row r="3663" spans="1:44" s="12" customFormat="1" x14ac:dyDescent="0.25">
      <c r="A3663" s="4"/>
      <c r="B3663" s="4"/>
      <c r="C3663" s="4"/>
      <c r="D3663" s="4"/>
      <c r="E3663" s="4"/>
      <c r="F3663" s="468"/>
      <c r="G3663" s="4"/>
      <c r="H3663" s="503" t="str">
        <f t="shared" si="1507"/>
        <v/>
      </c>
      <c r="I3663" s="723"/>
      <c r="J3663" s="669" t="s">
        <v>4180</v>
      </c>
      <c r="K3663" s="23"/>
      <c r="L3663" s="70"/>
      <c r="M3663" s="49"/>
      <c r="N3663" s="41"/>
      <c r="P3663" t="s">
        <v>1774</v>
      </c>
      <c r="Q3663" t="s">
        <v>71</v>
      </c>
      <c r="R3663" t="s">
        <v>49</v>
      </c>
      <c r="S3663" s="127" t="s">
        <v>2884</v>
      </c>
      <c r="T3663" t="s">
        <v>1774</v>
      </c>
      <c r="U3663" t="s">
        <v>71</v>
      </c>
      <c r="V3663" t="s">
        <v>50</v>
      </c>
      <c r="W3663" s="27"/>
      <c r="X3663" s="27"/>
      <c r="Y3663" s="27"/>
      <c r="Z3663" s="27"/>
      <c r="AA3663" s="27"/>
      <c r="AB3663" s="27"/>
      <c r="AC3663" s="27"/>
      <c r="AD3663" s="27"/>
      <c r="AE3663" s="27"/>
      <c r="AF3663" s="27"/>
      <c r="AG3663" s="27"/>
      <c r="AH3663" s="27"/>
      <c r="AI3663" s="253"/>
      <c r="AP3663" s="346"/>
    </row>
    <row r="3664" spans="1:44" s="12" customFormat="1" x14ac:dyDescent="0.25">
      <c r="A3664" s="607" t="s">
        <v>5698</v>
      </c>
      <c r="B3664" s="435" t="s">
        <v>5548</v>
      </c>
      <c r="C3664" s="436" t="s">
        <v>5677</v>
      </c>
      <c r="D3664" s="436" t="s">
        <v>1774</v>
      </c>
      <c r="E3664" s="435"/>
      <c r="F3664" s="450">
        <f t="shared" ref="F3664:F3671" si="1508">IF(HLOOKUP($D3664,$T$3663:$U$3667,MATCH(MID($A3664,11,2),$N$3663:$N$3667,0),FALSE)&lt;&gt;"",ROUND(HLOOKUP($D3664,$T$3663:$U$3667,MATCH(MID($A3664,11,2),$N$3663:$N$3667,0),FALSE),2),"")</f>
        <v>14.98</v>
      </c>
      <c r="G3664" s="638">
        <f t="shared" ref="G3664:G3671" si="1509">IF(HLOOKUP($D3664,$P$3663:$Q$3667,MATCH(MID($A3664,11,2),$N$3663:$N$3667,0),FALSE)&lt;&gt;"",ROUND(HLOOKUP($D3664,$P$3663:$Q$3667,MATCH(MID($A3664,11,2),$N$3663:$N$3667,0),FALSE),2),"")</f>
        <v>15.18</v>
      </c>
      <c r="H3664" s="437">
        <f t="shared" si="1507"/>
        <v>12.14</v>
      </c>
      <c r="I3664" s="700"/>
      <c r="J3664" s="669" t="s">
        <v>5805</v>
      </c>
      <c r="K3664" s="23"/>
      <c r="L3664" s="70"/>
      <c r="M3664" s="127">
        <v>2016</v>
      </c>
      <c r="N3664" s="635" t="s">
        <v>5759</v>
      </c>
      <c r="O3664" s="568">
        <v>5.0000000000000001E-3</v>
      </c>
      <c r="P3664" s="327">
        <f>IF($O3664&lt;&gt;"",(1-$O3664)*P3661,"")</f>
        <v>15.1837</v>
      </c>
      <c r="Q3664" s="327">
        <f>IF($O3664&lt;&gt;"",(1-$O3664)*Q3661,"")</f>
        <v>13.3131</v>
      </c>
      <c r="R3664" s="327"/>
      <c r="S3664" s="27"/>
      <c r="T3664" s="327">
        <f>IF($O3664&lt;&gt;"",(1-$O3664)*P3662,"")</f>
        <v>14.9847</v>
      </c>
      <c r="U3664" s="327">
        <f>IF($O3664&lt;&gt;"",(1-$O3664)*Q3662,"")</f>
        <v>13.114100000000002</v>
      </c>
      <c r="V3664" s="27"/>
      <c r="W3664" s="27"/>
      <c r="X3664" s="27"/>
      <c r="Y3664" s="27"/>
      <c r="Z3664" s="27"/>
      <c r="AA3664" s="27"/>
      <c r="AB3664" s="27"/>
      <c r="AC3664" s="27"/>
      <c r="AD3664" s="27"/>
      <c r="AE3664" s="27"/>
      <c r="AF3664" s="27"/>
      <c r="AG3664" s="27"/>
      <c r="AH3664" s="27"/>
      <c r="AI3664" s="253"/>
      <c r="AP3664" s="346"/>
    </row>
    <row r="3665" spans="1:42" s="12" customFormat="1" x14ac:dyDescent="0.25">
      <c r="A3665" s="607" t="s">
        <v>5699</v>
      </c>
      <c r="B3665" s="435" t="s">
        <v>5548</v>
      </c>
      <c r="C3665" s="436" t="s">
        <v>5677</v>
      </c>
      <c r="D3665" s="436" t="s">
        <v>71</v>
      </c>
      <c r="E3665" s="435"/>
      <c r="F3665" s="450">
        <f t="shared" si="1508"/>
        <v>13.11</v>
      </c>
      <c r="G3665" s="638">
        <f t="shared" si="1509"/>
        <v>13.31</v>
      </c>
      <c r="H3665" s="437">
        <f t="shared" si="1507"/>
        <v>10.65</v>
      </c>
      <c r="I3665" s="700"/>
      <c r="J3665" s="669" t="s">
        <v>5805</v>
      </c>
      <c r="K3665" s="23"/>
      <c r="L3665" s="70"/>
      <c r="M3665" s="49"/>
      <c r="N3665" s="635" t="s">
        <v>5760</v>
      </c>
      <c r="O3665" s="568">
        <v>5.0000000000000001E-3</v>
      </c>
      <c r="P3665" s="327">
        <f t="shared" ref="P3665:Q3667" si="1510">IF($O3665&lt;&gt;"",(1-$O3665)*P3664,"")</f>
        <v>15.1077815</v>
      </c>
      <c r="Q3665" s="327">
        <f t="shared" si="1510"/>
        <v>13.246534500000001</v>
      </c>
      <c r="R3665" s="327"/>
      <c r="S3665" s="27"/>
      <c r="T3665" s="327">
        <f t="shared" ref="T3665:U3667" si="1511">IF($O3665&lt;&gt;"",(1-$O3665)*T3664,"")</f>
        <v>14.9097765</v>
      </c>
      <c r="U3665" s="327">
        <f t="shared" si="1511"/>
        <v>13.048529500000003</v>
      </c>
      <c r="V3665" s="27"/>
      <c r="W3665" s="27"/>
      <c r="X3665" s="27"/>
      <c r="Y3665" s="27"/>
      <c r="Z3665" s="27"/>
      <c r="AA3665" s="27"/>
      <c r="AB3665" s="27"/>
      <c r="AC3665" s="27"/>
      <c r="AD3665" s="27"/>
      <c r="AE3665" s="27"/>
      <c r="AF3665" s="27"/>
      <c r="AG3665" s="27"/>
      <c r="AH3665" s="27"/>
      <c r="AI3665" s="253"/>
      <c r="AP3665" s="346"/>
    </row>
    <row r="3666" spans="1:42" s="12" customFormat="1" x14ac:dyDescent="0.25">
      <c r="A3666" s="607" t="s">
        <v>5700</v>
      </c>
      <c r="B3666" s="435" t="s">
        <v>5548</v>
      </c>
      <c r="C3666" s="436" t="s">
        <v>5695</v>
      </c>
      <c r="D3666" s="436" t="s">
        <v>1774</v>
      </c>
      <c r="E3666" s="435"/>
      <c r="F3666" s="450">
        <f t="shared" si="1508"/>
        <v>14.91</v>
      </c>
      <c r="G3666" s="638">
        <f t="shared" si="1509"/>
        <v>15.11</v>
      </c>
      <c r="H3666" s="437">
        <f t="shared" si="1507"/>
        <v>12.09</v>
      </c>
      <c r="I3666" s="700"/>
      <c r="J3666" s="669" t="s">
        <v>5805</v>
      </c>
      <c r="K3666" s="23"/>
      <c r="L3666" s="70"/>
      <c r="M3666" s="49"/>
      <c r="N3666" s="635" t="s">
        <v>5761</v>
      </c>
      <c r="O3666" s="568">
        <v>5.0000000000000001E-3</v>
      </c>
      <c r="P3666" s="327">
        <f t="shared" si="1510"/>
        <v>15.032242592499999</v>
      </c>
      <c r="Q3666" s="327">
        <f t="shared" si="1510"/>
        <v>13.180301827500001</v>
      </c>
      <c r="R3666" s="327"/>
      <c r="S3666" s="27"/>
      <c r="T3666" s="327">
        <f t="shared" si="1511"/>
        <v>14.835227617499999</v>
      </c>
      <c r="U3666" s="327">
        <f t="shared" si="1511"/>
        <v>12.983286852500003</v>
      </c>
      <c r="V3666" s="27"/>
      <c r="W3666" s="27"/>
      <c r="X3666" s="27"/>
      <c r="Y3666" s="27"/>
      <c r="Z3666" s="27"/>
      <c r="AA3666" s="27"/>
      <c r="AB3666" s="27"/>
      <c r="AC3666" s="27"/>
      <c r="AD3666" s="27"/>
      <c r="AE3666" s="27"/>
      <c r="AF3666" s="27"/>
      <c r="AG3666" s="27"/>
      <c r="AH3666" s="27"/>
      <c r="AI3666" s="253"/>
      <c r="AP3666" s="346"/>
    </row>
    <row r="3667" spans="1:42" s="12" customFormat="1" x14ac:dyDescent="0.25">
      <c r="A3667" s="607" t="s">
        <v>5701</v>
      </c>
      <c r="B3667" s="435" t="s">
        <v>5548</v>
      </c>
      <c r="C3667" s="436" t="s">
        <v>5695</v>
      </c>
      <c r="D3667" s="436" t="s">
        <v>71</v>
      </c>
      <c r="E3667" s="435"/>
      <c r="F3667" s="450">
        <f t="shared" si="1508"/>
        <v>13.05</v>
      </c>
      <c r="G3667" s="638">
        <f t="shared" si="1509"/>
        <v>13.25</v>
      </c>
      <c r="H3667" s="437">
        <f t="shared" si="1507"/>
        <v>10.6</v>
      </c>
      <c r="I3667" s="700"/>
      <c r="J3667" s="669" t="s">
        <v>5805</v>
      </c>
      <c r="K3667" s="23"/>
      <c r="L3667" s="70"/>
      <c r="M3667" s="49"/>
      <c r="N3667" s="635" t="s">
        <v>5762</v>
      </c>
      <c r="O3667" s="568">
        <v>5.0000000000000001E-3</v>
      </c>
      <c r="P3667" s="327">
        <f t="shared" si="1510"/>
        <v>14.957081379537499</v>
      </c>
      <c r="Q3667" s="327">
        <f t="shared" si="1510"/>
        <v>13.114400318362501</v>
      </c>
      <c r="R3667" s="327"/>
      <c r="S3667" s="27"/>
      <c r="T3667" s="327">
        <f t="shared" si="1511"/>
        <v>14.761051479412499</v>
      </c>
      <c r="U3667" s="327">
        <f t="shared" si="1511"/>
        <v>12.918370418237503</v>
      </c>
      <c r="V3667" s="27"/>
      <c r="W3667" s="27"/>
      <c r="X3667" s="27"/>
      <c r="Y3667" s="27"/>
      <c r="Z3667" s="27"/>
      <c r="AA3667" s="27"/>
      <c r="AB3667" s="27"/>
      <c r="AC3667" s="27"/>
      <c r="AD3667" s="27"/>
      <c r="AE3667" s="27"/>
      <c r="AF3667" s="27"/>
      <c r="AG3667" s="27"/>
      <c r="AH3667" s="27"/>
      <c r="AI3667" s="253"/>
      <c r="AP3667" s="346"/>
    </row>
    <row r="3668" spans="1:42" s="12" customFormat="1" x14ac:dyDescent="0.25">
      <c r="A3668" s="607" t="s">
        <v>5702</v>
      </c>
      <c r="B3668" s="435" t="s">
        <v>5548</v>
      </c>
      <c r="C3668" s="436" t="s">
        <v>5696</v>
      </c>
      <c r="D3668" s="436" t="s">
        <v>1774</v>
      </c>
      <c r="E3668" s="435"/>
      <c r="F3668" s="450">
        <f t="shared" si="1508"/>
        <v>14.84</v>
      </c>
      <c r="G3668" s="638">
        <f t="shared" si="1509"/>
        <v>15.03</v>
      </c>
      <c r="H3668" s="437">
        <f t="shared" si="1507"/>
        <v>12.02</v>
      </c>
      <c r="I3668" s="700"/>
      <c r="J3668" s="669" t="s">
        <v>5805</v>
      </c>
      <c r="K3668" s="23"/>
      <c r="L3668" s="70"/>
      <c r="M3668" s="49"/>
      <c r="N3668" s="41"/>
      <c r="O3668" s="568"/>
      <c r="P3668" s="327"/>
      <c r="Q3668" s="327"/>
      <c r="R3668" s="27"/>
      <c r="S3668" s="327"/>
      <c r="T3668" s="327"/>
      <c r="U3668" s="27"/>
      <c r="V3668" s="27"/>
      <c r="W3668" s="27"/>
      <c r="X3668" s="27"/>
      <c r="Y3668" s="27"/>
      <c r="Z3668" s="27"/>
      <c r="AA3668" s="27"/>
      <c r="AB3668" s="27"/>
      <c r="AC3668" s="27"/>
      <c r="AD3668" s="27"/>
      <c r="AE3668" s="27"/>
      <c r="AF3668" s="27"/>
      <c r="AG3668" s="27"/>
      <c r="AH3668" s="253"/>
      <c r="AO3668" s="346"/>
    </row>
    <row r="3669" spans="1:42" s="12" customFormat="1" x14ac:dyDescent="0.25">
      <c r="A3669" s="607" t="s">
        <v>5703</v>
      </c>
      <c r="B3669" s="435" t="s">
        <v>5548</v>
      </c>
      <c r="C3669" s="436" t="s">
        <v>5696</v>
      </c>
      <c r="D3669" s="436" t="s">
        <v>71</v>
      </c>
      <c r="E3669" s="435"/>
      <c r="F3669" s="450">
        <f t="shared" si="1508"/>
        <v>12.98</v>
      </c>
      <c r="G3669" s="638">
        <f t="shared" si="1509"/>
        <v>13.18</v>
      </c>
      <c r="H3669" s="437">
        <f t="shared" si="1507"/>
        <v>10.54</v>
      </c>
      <c r="I3669" s="700"/>
      <c r="J3669" s="669" t="s">
        <v>5805</v>
      </c>
      <c r="K3669" s="23"/>
      <c r="L3669" s="70"/>
      <c r="M3669" s="49"/>
      <c r="N3669" s="41"/>
      <c r="O3669" s="568"/>
      <c r="P3669" s="327"/>
      <c r="Q3669" s="327"/>
      <c r="R3669" s="27"/>
      <c r="S3669" s="327"/>
      <c r="T3669" s="327"/>
      <c r="U3669" s="27"/>
      <c r="V3669" s="27"/>
      <c r="W3669" s="27"/>
      <c r="X3669" s="27"/>
      <c r="Y3669" s="27"/>
      <c r="Z3669" s="27"/>
      <c r="AA3669" s="27"/>
      <c r="AB3669" s="27"/>
      <c r="AC3669" s="27"/>
      <c r="AD3669" s="27"/>
      <c r="AE3669" s="27"/>
      <c r="AF3669" s="27"/>
      <c r="AG3669" s="27"/>
      <c r="AH3669" s="253"/>
      <c r="AO3669" s="346"/>
    </row>
    <row r="3670" spans="1:42" s="12" customFormat="1" x14ac:dyDescent="0.25">
      <c r="A3670" s="607" t="s">
        <v>5704</v>
      </c>
      <c r="B3670" s="435" t="s">
        <v>5548</v>
      </c>
      <c r="C3670" s="436" t="s">
        <v>5697</v>
      </c>
      <c r="D3670" s="436" t="s">
        <v>1774</v>
      </c>
      <c r="E3670" s="435"/>
      <c r="F3670" s="450">
        <f t="shared" si="1508"/>
        <v>14.76</v>
      </c>
      <c r="G3670" s="638">
        <f t="shared" si="1509"/>
        <v>14.96</v>
      </c>
      <c r="H3670" s="437">
        <f t="shared" si="1507"/>
        <v>11.97</v>
      </c>
      <c r="I3670" s="700"/>
      <c r="J3670" s="669" t="s">
        <v>5805</v>
      </c>
      <c r="K3670" s="23"/>
      <c r="L3670" s="70"/>
      <c r="M3670" s="49"/>
      <c r="N3670" s="41"/>
      <c r="O3670" s="568"/>
      <c r="P3670" s="327"/>
      <c r="Q3670" s="327"/>
      <c r="R3670" s="27"/>
      <c r="S3670" s="327"/>
      <c r="T3670" s="327"/>
      <c r="U3670" s="27"/>
      <c r="V3670" s="27"/>
      <c r="W3670" s="27"/>
      <c r="X3670" s="27"/>
      <c r="Y3670" s="27"/>
      <c r="Z3670" s="27"/>
      <c r="AA3670" s="27"/>
      <c r="AB3670" s="27"/>
      <c r="AC3670" s="27"/>
      <c r="AD3670" s="27"/>
      <c r="AE3670" s="27"/>
      <c r="AF3670" s="27"/>
      <c r="AG3670" s="27"/>
      <c r="AH3670" s="253"/>
      <c r="AO3670" s="346"/>
    </row>
    <row r="3671" spans="1:42" s="12" customFormat="1" x14ac:dyDescent="0.25">
      <c r="A3671" s="607" t="s">
        <v>5705</v>
      </c>
      <c r="B3671" s="435" t="s">
        <v>5548</v>
      </c>
      <c r="C3671" s="436" t="s">
        <v>5697</v>
      </c>
      <c r="D3671" s="436" t="s">
        <v>71</v>
      </c>
      <c r="E3671" s="435"/>
      <c r="F3671" s="450">
        <f t="shared" si="1508"/>
        <v>12.92</v>
      </c>
      <c r="G3671" s="638">
        <f t="shared" si="1509"/>
        <v>13.11</v>
      </c>
      <c r="H3671" s="437">
        <f t="shared" si="1507"/>
        <v>10.49</v>
      </c>
      <c r="I3671" s="700"/>
      <c r="J3671" s="669" t="s">
        <v>5805</v>
      </c>
      <c r="K3671" s="23"/>
      <c r="L3671" s="70"/>
      <c r="M3671" s="49"/>
      <c r="N3671" s="41"/>
      <c r="O3671" s="568"/>
      <c r="P3671" s="327"/>
      <c r="Q3671" s="327"/>
      <c r="R3671" s="27"/>
      <c r="S3671" s="327"/>
      <c r="T3671" s="327"/>
      <c r="U3671" s="27"/>
      <c r="V3671" s="27"/>
      <c r="W3671" s="27"/>
      <c r="X3671" s="27"/>
      <c r="Y3671" s="27"/>
      <c r="Z3671" s="27"/>
      <c r="AA3671" s="27"/>
      <c r="AB3671" s="27"/>
      <c r="AC3671" s="27"/>
      <c r="AD3671" s="27"/>
      <c r="AE3671" s="27"/>
      <c r="AF3671" s="27"/>
      <c r="AG3671" s="27"/>
      <c r="AH3671" s="253"/>
      <c r="AO3671" s="346"/>
    </row>
    <row r="3672" spans="1:42" s="12" customFormat="1" x14ac:dyDescent="0.25">
      <c r="A3672" s="4"/>
      <c r="B3672" s="4"/>
      <c r="C3672" s="4"/>
      <c r="D3672" s="4"/>
      <c r="E3672" s="4"/>
      <c r="F3672" s="468"/>
      <c r="G3672" s="4"/>
      <c r="H3672" s="503" t="str">
        <f t="shared" si="1507"/>
        <v/>
      </c>
      <c r="I3672" s="723"/>
      <c r="J3672" s="669"/>
      <c r="K3672" s="23"/>
      <c r="L3672" s="70"/>
      <c r="M3672" s="49"/>
      <c r="N3672" s="41"/>
      <c r="O3672" s="568"/>
      <c r="P3672" s="327"/>
      <c r="Q3672" s="327"/>
      <c r="R3672" s="27"/>
      <c r="S3672" s="327"/>
      <c r="T3672" s="327"/>
      <c r="U3672" s="27"/>
      <c r="V3672" s="27"/>
      <c r="W3672" s="27"/>
      <c r="X3672" s="27"/>
      <c r="Y3672" s="27"/>
      <c r="Z3672" s="27"/>
      <c r="AA3672" s="27"/>
      <c r="AB3672" s="27"/>
      <c r="AC3672" s="27"/>
      <c r="AD3672" s="27"/>
      <c r="AE3672" s="27"/>
      <c r="AF3672" s="27"/>
      <c r="AG3672" s="27"/>
      <c r="AH3672" s="253"/>
      <c r="AO3672" s="346"/>
    </row>
    <row r="3673" spans="1:42" s="12" customFormat="1" ht="15.75" x14ac:dyDescent="0.25">
      <c r="A3673" s="266" t="s">
        <v>7952</v>
      </c>
      <c r="B3673" s="255"/>
      <c r="C3673" s="256"/>
      <c r="D3673" s="255"/>
      <c r="E3673" s="256"/>
      <c r="F3673" s="463"/>
      <c r="G3673" s="257"/>
      <c r="H3673" s="257"/>
      <c r="I3673" s="717"/>
      <c r="J3673" s="669">
        <v>42705</v>
      </c>
      <c r="K3673" s="258"/>
      <c r="L3673" s="259"/>
      <c r="M3673" s="260" t="s">
        <v>5915</v>
      </c>
      <c r="N3673" s="261"/>
      <c r="O3673" s="261"/>
      <c r="P3673" s="259"/>
      <c r="Q3673" s="327"/>
      <c r="R3673" s="27"/>
      <c r="S3673" s="327"/>
      <c r="T3673" s="327"/>
      <c r="U3673" s="27"/>
      <c r="V3673" s="27"/>
      <c r="W3673" s="27"/>
      <c r="X3673" s="27"/>
      <c r="Y3673" s="27"/>
      <c r="Z3673" s="27"/>
      <c r="AA3673" s="27"/>
      <c r="AB3673" s="27"/>
      <c r="AC3673" s="27"/>
      <c r="AD3673" s="27"/>
      <c r="AE3673" s="27"/>
      <c r="AF3673" s="27"/>
      <c r="AG3673" s="27"/>
      <c r="AH3673" s="253"/>
      <c r="AO3673" s="346"/>
    </row>
    <row r="3674" spans="1:42" s="12" customFormat="1" x14ac:dyDescent="0.25">
      <c r="A3674" s="4"/>
      <c r="B3674" s="4"/>
      <c r="C3674" s="4"/>
      <c r="D3674" s="4"/>
      <c r="E3674" s="4"/>
      <c r="F3674" s="468"/>
      <c r="G3674" s="4"/>
      <c r="H3674" s="503" t="str">
        <f t="shared" ref="H3674:H3720" si="1512">IF(ISNUMBER(G3674),ROUND(0.8*G3674,2),"")</f>
        <v/>
      </c>
      <c r="I3674" s="723"/>
      <c r="J3674" s="669" t="s">
        <v>4180</v>
      </c>
      <c r="K3674" s="23"/>
      <c r="L3674" s="70"/>
      <c r="M3674" s="49"/>
      <c r="N3674" s="41"/>
      <c r="P3674" t="s">
        <v>1774</v>
      </c>
      <c r="Q3674" t="s">
        <v>71</v>
      </c>
      <c r="R3674" t="s">
        <v>49</v>
      </c>
      <c r="S3674" s="127" t="s">
        <v>2884</v>
      </c>
      <c r="T3674" t="s">
        <v>1774</v>
      </c>
      <c r="U3674" t="s">
        <v>71</v>
      </c>
      <c r="V3674" s="27"/>
      <c r="W3674" s="27"/>
      <c r="X3674" s="27"/>
      <c r="Y3674" s="27"/>
      <c r="Z3674" s="27"/>
      <c r="AA3674" s="27"/>
      <c r="AB3674" s="27"/>
      <c r="AC3674" s="27"/>
      <c r="AD3674" s="27"/>
      <c r="AE3674" s="27"/>
      <c r="AF3674" s="27"/>
      <c r="AG3674" s="27"/>
      <c r="AH3674" s="253"/>
      <c r="AO3674" s="346"/>
    </row>
    <row r="3675" spans="1:42" s="12" customFormat="1" x14ac:dyDescent="0.25">
      <c r="A3675" s="644" t="s">
        <v>5916</v>
      </c>
      <c r="B3675" s="645" t="s">
        <v>5548</v>
      </c>
      <c r="C3675" s="643" t="s">
        <v>5893</v>
      </c>
      <c r="D3675" s="643" t="s">
        <v>1774</v>
      </c>
      <c r="E3675" s="645"/>
      <c r="F3675" s="657">
        <f t="shared" ref="F3675:F3682" si="1513">IF(HLOOKUP($D3675,$T$3674:$U$3678,MATCH(MID($A3675,11,2),$N$3674:$N$3678,0),FALSE)&lt;&gt;"",ROUND(HLOOKUP($D3675,$T$3674:$U$3678,MATCH(MID($A3675,11,2),$N$3674:$N$3678,0),FALSE),2),"")</f>
        <v>14.68</v>
      </c>
      <c r="G3675" s="658">
        <f t="shared" ref="G3675:G3682" si="1514">IF(HLOOKUP($D3675,$P$3674:$Q$3678,MATCH(MID($A3675,11,2),$N$3674:$N$3678,0),FALSE)&lt;&gt;"",ROUND(HLOOKUP($D3675,$P$3674:$Q$3678,MATCH(MID($A3675,11,2),$N$3674:$N$3678,0),FALSE),2),"")</f>
        <v>14.88</v>
      </c>
      <c r="H3675" s="656">
        <f t="shared" si="1512"/>
        <v>11.9</v>
      </c>
      <c r="I3675" s="701"/>
      <c r="J3675" s="669">
        <v>42705</v>
      </c>
      <c r="K3675" s="23"/>
      <c r="L3675" s="70"/>
      <c r="M3675" s="127">
        <v>2017</v>
      </c>
      <c r="N3675" s="635" t="s">
        <v>5759</v>
      </c>
      <c r="O3675" s="568"/>
      <c r="P3675" s="327">
        <v>14.88</v>
      </c>
      <c r="Q3675" s="327">
        <v>13.05</v>
      </c>
      <c r="R3675" s="327"/>
      <c r="S3675" s="27"/>
      <c r="T3675" s="327">
        <f t="shared" ref="T3675:U3678" si="1515">P3675-0.2</f>
        <v>14.680000000000001</v>
      </c>
      <c r="U3675" s="327">
        <f t="shared" si="1515"/>
        <v>12.850000000000001</v>
      </c>
      <c r="V3675" s="27"/>
      <c r="W3675" s="27"/>
      <c r="X3675" s="27"/>
      <c r="Y3675" s="27"/>
      <c r="Z3675" s="27"/>
      <c r="AA3675" s="27"/>
      <c r="AB3675" s="27"/>
      <c r="AC3675" s="27"/>
      <c r="AD3675" s="27"/>
      <c r="AE3675" s="27"/>
      <c r="AF3675" s="27"/>
      <c r="AG3675" s="27"/>
      <c r="AH3675" s="253"/>
      <c r="AO3675" s="346"/>
    </row>
    <row r="3676" spans="1:42" s="12" customFormat="1" x14ac:dyDescent="0.25">
      <c r="A3676" s="644" t="s">
        <v>5917</v>
      </c>
      <c r="B3676" s="645" t="s">
        <v>5548</v>
      </c>
      <c r="C3676" s="643" t="s">
        <v>5893</v>
      </c>
      <c r="D3676" s="643" t="s">
        <v>71</v>
      </c>
      <c r="E3676" s="645"/>
      <c r="F3676" s="657">
        <f t="shared" si="1513"/>
        <v>12.85</v>
      </c>
      <c r="G3676" s="658">
        <f t="shared" si="1514"/>
        <v>13.05</v>
      </c>
      <c r="H3676" s="656">
        <f t="shared" si="1512"/>
        <v>10.44</v>
      </c>
      <c r="I3676" s="701"/>
      <c r="J3676" s="669">
        <v>42705</v>
      </c>
      <c r="K3676" s="23"/>
      <c r="L3676" s="70"/>
      <c r="M3676" s="49"/>
      <c r="N3676" s="635" t="s">
        <v>5760</v>
      </c>
      <c r="O3676" s="568">
        <v>5.0000000000000001E-3</v>
      </c>
      <c r="P3676" s="327">
        <f t="shared" ref="P3676:Q3678" si="1516">IF($O3676&lt;&gt;"",(1-$O3676)*P3675,"")</f>
        <v>14.8056</v>
      </c>
      <c r="Q3676" s="327">
        <f t="shared" si="1516"/>
        <v>12.98475</v>
      </c>
      <c r="R3676" s="327"/>
      <c r="S3676" s="27"/>
      <c r="T3676" s="327">
        <f t="shared" si="1515"/>
        <v>14.605600000000001</v>
      </c>
      <c r="U3676" s="327">
        <f t="shared" si="1515"/>
        <v>12.784750000000001</v>
      </c>
      <c r="V3676" s="27"/>
      <c r="W3676" s="27"/>
      <c r="X3676" s="27"/>
      <c r="Y3676" s="27"/>
      <c r="Z3676" s="27"/>
      <c r="AA3676" s="27"/>
      <c r="AB3676" s="27"/>
      <c r="AC3676" s="27"/>
      <c r="AD3676" s="27"/>
      <c r="AE3676" s="27"/>
      <c r="AF3676" s="27"/>
      <c r="AG3676" s="27"/>
      <c r="AH3676" s="253"/>
      <c r="AO3676" s="346"/>
    </row>
    <row r="3677" spans="1:42" s="12" customFormat="1" x14ac:dyDescent="0.25">
      <c r="A3677" s="644" t="s">
        <v>5918</v>
      </c>
      <c r="B3677" s="645" t="s">
        <v>5548</v>
      </c>
      <c r="C3677" s="643" t="s">
        <v>5894</v>
      </c>
      <c r="D3677" s="643" t="s">
        <v>1774</v>
      </c>
      <c r="E3677" s="645"/>
      <c r="F3677" s="657">
        <f t="shared" si="1513"/>
        <v>14.61</v>
      </c>
      <c r="G3677" s="658">
        <f t="shared" si="1514"/>
        <v>14.81</v>
      </c>
      <c r="H3677" s="656">
        <f t="shared" si="1512"/>
        <v>11.85</v>
      </c>
      <c r="I3677" s="701"/>
      <c r="J3677" s="669">
        <v>42705</v>
      </c>
      <c r="K3677" s="23"/>
      <c r="L3677" s="70"/>
      <c r="M3677" s="49"/>
      <c r="N3677" s="635" t="s">
        <v>5761</v>
      </c>
      <c r="O3677" s="686">
        <v>0</v>
      </c>
      <c r="P3677" s="327">
        <f t="shared" si="1516"/>
        <v>14.8056</v>
      </c>
      <c r="Q3677" s="327">
        <f t="shared" si="1516"/>
        <v>12.98475</v>
      </c>
      <c r="R3677" s="327"/>
      <c r="S3677" s="27"/>
      <c r="T3677" s="327">
        <f t="shared" si="1515"/>
        <v>14.605600000000001</v>
      </c>
      <c r="U3677" s="327">
        <f t="shared" si="1515"/>
        <v>12.784750000000001</v>
      </c>
      <c r="V3677" s="27"/>
      <c r="W3677" s="27"/>
      <c r="X3677" s="27"/>
      <c r="Y3677" s="27"/>
      <c r="Z3677" s="27"/>
      <c r="AA3677" s="27"/>
      <c r="AB3677" s="27"/>
      <c r="AC3677" s="27"/>
      <c r="AD3677" s="27"/>
      <c r="AE3677" s="27"/>
      <c r="AF3677" s="27"/>
      <c r="AG3677" s="27"/>
      <c r="AH3677" s="253"/>
      <c r="AO3677" s="346"/>
    </row>
    <row r="3678" spans="1:42" s="12" customFormat="1" x14ac:dyDescent="0.25">
      <c r="A3678" s="644" t="s">
        <v>5919</v>
      </c>
      <c r="B3678" s="645" t="s">
        <v>5548</v>
      </c>
      <c r="C3678" s="643" t="s">
        <v>5894</v>
      </c>
      <c r="D3678" s="643" t="s">
        <v>71</v>
      </c>
      <c r="E3678" s="645"/>
      <c r="F3678" s="657">
        <f t="shared" si="1513"/>
        <v>12.78</v>
      </c>
      <c r="G3678" s="658">
        <f t="shared" si="1514"/>
        <v>12.98</v>
      </c>
      <c r="H3678" s="656">
        <f t="shared" si="1512"/>
        <v>10.38</v>
      </c>
      <c r="I3678" s="701"/>
      <c r="J3678" s="669">
        <v>42705</v>
      </c>
      <c r="K3678" s="23"/>
      <c r="L3678" s="70"/>
      <c r="M3678" s="49"/>
      <c r="N3678" s="635" t="s">
        <v>5762</v>
      </c>
      <c r="O3678" s="568">
        <v>5.0000000000000001E-3</v>
      </c>
      <c r="P3678" s="327">
        <f t="shared" si="1516"/>
        <v>14.731572</v>
      </c>
      <c r="Q3678" s="327">
        <f t="shared" si="1516"/>
        <v>12.91982625</v>
      </c>
      <c r="R3678" s="327"/>
      <c r="S3678" s="27"/>
      <c r="T3678" s="327">
        <f t="shared" si="1515"/>
        <v>14.531572000000001</v>
      </c>
      <c r="U3678" s="327">
        <f t="shared" si="1515"/>
        <v>12.719826250000001</v>
      </c>
      <c r="V3678" s="27"/>
      <c r="W3678" s="27"/>
      <c r="X3678" s="27"/>
      <c r="Y3678" s="27"/>
      <c r="Z3678" s="27"/>
      <c r="AA3678" s="27"/>
      <c r="AB3678" s="27"/>
      <c r="AC3678" s="27"/>
      <c r="AD3678" s="27"/>
      <c r="AE3678" s="27"/>
      <c r="AF3678" s="27"/>
      <c r="AG3678" s="27"/>
      <c r="AH3678" s="253"/>
      <c r="AO3678" s="346"/>
    </row>
    <row r="3679" spans="1:42" s="12" customFormat="1" x14ac:dyDescent="0.25">
      <c r="A3679" s="644" t="s">
        <v>5920</v>
      </c>
      <c r="B3679" s="645" t="s">
        <v>5548</v>
      </c>
      <c r="C3679" s="643" t="s">
        <v>5895</v>
      </c>
      <c r="D3679" s="643" t="s">
        <v>1774</v>
      </c>
      <c r="E3679" s="645"/>
      <c r="F3679" s="657">
        <f t="shared" si="1513"/>
        <v>14.61</v>
      </c>
      <c r="G3679" s="658">
        <f t="shared" si="1514"/>
        <v>14.81</v>
      </c>
      <c r="H3679" s="656">
        <f t="shared" si="1512"/>
        <v>11.85</v>
      </c>
      <c r="I3679" s="701"/>
      <c r="J3679" s="669">
        <v>42705</v>
      </c>
      <c r="K3679" s="23"/>
      <c r="L3679" s="70"/>
      <c r="M3679" s="49"/>
      <c r="N3679" s="41"/>
      <c r="O3679" s="568"/>
      <c r="P3679" s="327"/>
      <c r="Q3679" s="327"/>
      <c r="R3679" s="27"/>
      <c r="S3679" s="327"/>
      <c r="T3679" s="327"/>
      <c r="U3679" s="27"/>
      <c r="V3679" s="27"/>
      <c r="W3679" s="27"/>
      <c r="X3679" s="27"/>
      <c r="Y3679" s="27"/>
      <c r="Z3679" s="27"/>
      <c r="AA3679" s="27"/>
      <c r="AB3679" s="27"/>
      <c r="AC3679" s="27"/>
      <c r="AD3679" s="27"/>
      <c r="AE3679" s="27"/>
      <c r="AF3679" s="27"/>
      <c r="AG3679" s="27"/>
      <c r="AH3679" s="253"/>
      <c r="AO3679" s="346"/>
    </row>
    <row r="3680" spans="1:42" s="12" customFormat="1" x14ac:dyDescent="0.25">
      <c r="A3680" s="644" t="s">
        <v>5921</v>
      </c>
      <c r="B3680" s="645" t="s">
        <v>5548</v>
      </c>
      <c r="C3680" s="643" t="s">
        <v>5895</v>
      </c>
      <c r="D3680" s="643" t="s">
        <v>71</v>
      </c>
      <c r="E3680" s="645"/>
      <c r="F3680" s="657">
        <f t="shared" si="1513"/>
        <v>12.78</v>
      </c>
      <c r="G3680" s="658">
        <f t="shared" si="1514"/>
        <v>12.98</v>
      </c>
      <c r="H3680" s="656">
        <f t="shared" si="1512"/>
        <v>10.38</v>
      </c>
      <c r="I3680" s="701"/>
      <c r="J3680" s="669">
        <v>42705</v>
      </c>
      <c r="K3680" s="23"/>
      <c r="L3680" s="70"/>
      <c r="M3680" s="49"/>
      <c r="N3680" s="41"/>
      <c r="O3680" s="568"/>
      <c r="P3680" s="327"/>
      <c r="Q3680" s="327"/>
      <c r="R3680" s="27"/>
      <c r="S3680" s="327"/>
      <c r="T3680" s="327"/>
      <c r="U3680" s="27"/>
      <c r="V3680" s="27"/>
      <c r="W3680" s="27"/>
      <c r="X3680" s="27"/>
      <c r="Y3680" s="27"/>
      <c r="Z3680" s="27"/>
      <c r="AA3680" s="27"/>
      <c r="AB3680" s="27"/>
      <c r="AC3680" s="27"/>
      <c r="AD3680" s="27"/>
      <c r="AE3680" s="27"/>
      <c r="AF3680" s="27"/>
      <c r="AG3680" s="27"/>
      <c r="AH3680" s="253"/>
      <c r="AO3680" s="346"/>
    </row>
    <row r="3681" spans="1:41" s="12" customFormat="1" x14ac:dyDescent="0.25">
      <c r="A3681" s="644" t="s">
        <v>5922</v>
      </c>
      <c r="B3681" s="645" t="s">
        <v>5548</v>
      </c>
      <c r="C3681" s="643" t="s">
        <v>5896</v>
      </c>
      <c r="D3681" s="643" t="s">
        <v>1774</v>
      </c>
      <c r="E3681" s="645"/>
      <c r="F3681" s="657">
        <f t="shared" si="1513"/>
        <v>14.53</v>
      </c>
      <c r="G3681" s="658">
        <f t="shared" si="1514"/>
        <v>14.73</v>
      </c>
      <c r="H3681" s="656">
        <f t="shared" si="1512"/>
        <v>11.78</v>
      </c>
      <c r="I3681" s="701"/>
      <c r="J3681" s="669">
        <v>42705</v>
      </c>
      <c r="K3681" s="23"/>
      <c r="L3681" s="70"/>
      <c r="M3681" s="49"/>
      <c r="N3681" s="41"/>
      <c r="O3681" s="568"/>
      <c r="P3681" s="327"/>
      <c r="Q3681" s="327"/>
      <c r="R3681" s="27"/>
      <c r="S3681" s="327"/>
      <c r="T3681" s="327"/>
      <c r="U3681" s="27"/>
      <c r="V3681" s="27"/>
      <c r="W3681" s="27"/>
      <c r="X3681" s="27"/>
      <c r="Y3681" s="27"/>
      <c r="Z3681" s="27"/>
      <c r="AA3681" s="27"/>
      <c r="AB3681" s="27"/>
      <c r="AC3681" s="27"/>
      <c r="AD3681" s="27"/>
      <c r="AE3681" s="27"/>
      <c r="AF3681" s="27"/>
      <c r="AG3681" s="27"/>
      <c r="AH3681" s="253"/>
      <c r="AO3681" s="346"/>
    </row>
    <row r="3682" spans="1:41" s="12" customFormat="1" x14ac:dyDescent="0.25">
      <c r="A3682" s="644" t="s">
        <v>5923</v>
      </c>
      <c r="B3682" s="645" t="s">
        <v>5548</v>
      </c>
      <c r="C3682" s="643" t="s">
        <v>5896</v>
      </c>
      <c r="D3682" s="643" t="s">
        <v>71</v>
      </c>
      <c r="E3682" s="645"/>
      <c r="F3682" s="657">
        <f t="shared" si="1513"/>
        <v>12.72</v>
      </c>
      <c r="G3682" s="658">
        <f t="shared" si="1514"/>
        <v>12.92</v>
      </c>
      <c r="H3682" s="656">
        <f t="shared" si="1512"/>
        <v>10.34</v>
      </c>
      <c r="I3682" s="701"/>
      <c r="J3682" s="669">
        <v>42705</v>
      </c>
      <c r="K3682" s="23"/>
      <c r="L3682" s="70"/>
      <c r="M3682" s="49"/>
      <c r="N3682" s="41"/>
      <c r="O3682" s="568"/>
      <c r="P3682" s="327"/>
      <c r="Q3682" s="327"/>
      <c r="R3682" s="27"/>
      <c r="S3682" s="327"/>
      <c r="T3682" s="327"/>
      <c r="U3682" s="27"/>
      <c r="V3682" s="27"/>
      <c r="W3682" s="27"/>
      <c r="X3682" s="27"/>
      <c r="Y3682" s="27"/>
      <c r="Z3682" s="27"/>
      <c r="AA3682" s="27"/>
      <c r="AB3682" s="27"/>
      <c r="AC3682" s="27"/>
      <c r="AD3682" s="27"/>
      <c r="AE3682" s="27"/>
      <c r="AF3682" s="27"/>
      <c r="AG3682" s="27"/>
      <c r="AH3682" s="253"/>
      <c r="AO3682" s="346"/>
    </row>
    <row r="3683" spans="1:41" s="12" customFormat="1" x14ac:dyDescent="0.25">
      <c r="A3683" s="4"/>
      <c r="B3683" s="4"/>
      <c r="C3683" s="4"/>
      <c r="D3683" s="4"/>
      <c r="E3683" s="4"/>
      <c r="F3683" s="468"/>
      <c r="G3683" s="4"/>
      <c r="H3683" s="503" t="str">
        <f t="shared" si="1512"/>
        <v/>
      </c>
      <c r="I3683" s="723"/>
      <c r="J3683" s="669" t="s">
        <v>4180</v>
      </c>
      <c r="K3683" s="23"/>
      <c r="L3683" s="70"/>
      <c r="M3683" s="49"/>
      <c r="N3683" s="41"/>
      <c r="P3683" t="s">
        <v>1774</v>
      </c>
      <c r="Q3683" t="s">
        <v>71</v>
      </c>
      <c r="R3683" t="s">
        <v>49</v>
      </c>
      <c r="S3683" s="127" t="s">
        <v>2884</v>
      </c>
      <c r="T3683" t="s">
        <v>1774</v>
      </c>
      <c r="U3683" t="s">
        <v>71</v>
      </c>
      <c r="V3683" s="27"/>
      <c r="W3683" s="27"/>
      <c r="X3683" s="27"/>
      <c r="Y3683" s="27"/>
      <c r="Z3683" s="27"/>
      <c r="AA3683" s="27"/>
      <c r="AB3683" s="27"/>
      <c r="AC3683" s="27"/>
      <c r="AD3683" s="27"/>
      <c r="AE3683" s="27"/>
      <c r="AF3683" s="27"/>
      <c r="AG3683" s="27"/>
      <c r="AH3683" s="253"/>
      <c r="AO3683" s="346"/>
    </row>
    <row r="3684" spans="1:41" s="12" customFormat="1" x14ac:dyDescent="0.25">
      <c r="A3684" s="644" t="s">
        <v>6309</v>
      </c>
      <c r="B3684" s="645" t="s">
        <v>5548</v>
      </c>
      <c r="C3684" s="643" t="s">
        <v>6198</v>
      </c>
      <c r="D3684" s="643" t="s">
        <v>1774</v>
      </c>
      <c r="E3684" s="645"/>
      <c r="F3684" s="657">
        <f t="shared" ref="F3684:F3691" si="1517">IF(HLOOKUP($D3684,$T$3683:$U$3687,MATCH(MID($A3684,11,2),$N$3683:$N$3687,0),FALSE)&lt;&gt;"",ROUND(HLOOKUP($D3684,$T$3683:$U$3687,MATCH(MID($A3684,11,2),$N$3683:$N$3687,0),FALSE),2),"")</f>
        <v>14.53</v>
      </c>
      <c r="G3684" s="658">
        <f t="shared" ref="G3684:G3691" si="1518">IF(HLOOKUP($D3684,$P$3683:$Q$3687,MATCH(MID($A3684,11,2),$N$3683:$N$3687,0),FALSE)&lt;&gt;"",ROUND(HLOOKUP($D3684,$P$3683:$Q$3687,MATCH(MID($A3684,11,2),$N$3683:$N$3687,0),FALSE),2),"")</f>
        <v>14.73</v>
      </c>
      <c r="H3684" s="656">
        <f t="shared" si="1512"/>
        <v>11.78</v>
      </c>
      <c r="I3684" s="701"/>
      <c r="J3684" s="669">
        <v>43077</v>
      </c>
      <c r="K3684" s="23"/>
      <c r="L3684" s="70"/>
      <c r="M3684" s="127">
        <v>2018</v>
      </c>
      <c r="N3684" s="635" t="s">
        <v>5759</v>
      </c>
      <c r="O3684" s="568">
        <v>0</v>
      </c>
      <c r="P3684" s="327">
        <f>IF($O3684&lt;&gt;"",(1-$O3684)*P3678,"")</f>
        <v>14.731572</v>
      </c>
      <c r="Q3684" s="327">
        <f>IF($O3684&lt;&gt;"",(1-$O3684)*Q3678,"")</f>
        <v>12.91982625</v>
      </c>
      <c r="R3684" s="327"/>
      <c r="S3684" s="27"/>
      <c r="T3684" s="327">
        <f t="shared" ref="T3684:U3687" si="1519">P3684-0.2</f>
        <v>14.531572000000001</v>
      </c>
      <c r="U3684" s="327">
        <f t="shared" si="1519"/>
        <v>12.719826250000001</v>
      </c>
      <c r="V3684" s="27"/>
      <c r="W3684" s="27"/>
      <c r="X3684" s="27"/>
      <c r="Y3684" s="27"/>
      <c r="Z3684" s="27"/>
      <c r="AA3684" s="27"/>
      <c r="AB3684" s="27"/>
      <c r="AC3684" s="27"/>
      <c r="AD3684" s="27"/>
      <c r="AE3684" s="27"/>
      <c r="AF3684" s="27"/>
      <c r="AG3684" s="27"/>
      <c r="AH3684" s="253"/>
      <c r="AO3684" s="346"/>
    </row>
    <row r="3685" spans="1:41" s="12" customFormat="1" x14ac:dyDescent="0.25">
      <c r="A3685" s="644" t="s">
        <v>6310</v>
      </c>
      <c r="B3685" s="645" t="s">
        <v>5548</v>
      </c>
      <c r="C3685" s="643" t="s">
        <v>6198</v>
      </c>
      <c r="D3685" s="643" t="s">
        <v>71</v>
      </c>
      <c r="E3685" s="645"/>
      <c r="F3685" s="657">
        <f t="shared" si="1517"/>
        <v>12.72</v>
      </c>
      <c r="G3685" s="658">
        <f t="shared" si="1518"/>
        <v>12.92</v>
      </c>
      <c r="H3685" s="656">
        <f t="shared" si="1512"/>
        <v>10.34</v>
      </c>
      <c r="I3685" s="701"/>
      <c r="J3685" s="669">
        <v>43077</v>
      </c>
      <c r="K3685" s="23"/>
      <c r="L3685" s="70"/>
      <c r="M3685" s="49"/>
      <c r="N3685" s="635" t="s">
        <v>5760</v>
      </c>
      <c r="O3685" s="568">
        <v>5.0000000000000001E-3</v>
      </c>
      <c r="P3685" s="327">
        <f t="shared" ref="P3685:Q3687" si="1520">IF($O3685&lt;&gt;"",(1-$O3685)*P3684,"")</f>
        <v>14.657914139999999</v>
      </c>
      <c r="Q3685" s="327">
        <f t="shared" si="1520"/>
        <v>12.855227118749999</v>
      </c>
      <c r="R3685" s="327"/>
      <c r="S3685" s="27"/>
      <c r="T3685" s="327">
        <f t="shared" si="1519"/>
        <v>14.45791414</v>
      </c>
      <c r="U3685" s="327">
        <f t="shared" si="1519"/>
        <v>12.65522711875</v>
      </c>
      <c r="V3685" s="27"/>
      <c r="W3685" s="27"/>
      <c r="X3685" s="27"/>
      <c r="Y3685" s="27"/>
      <c r="Z3685" s="27"/>
      <c r="AA3685" s="27"/>
      <c r="AB3685" s="27"/>
      <c r="AC3685" s="27"/>
      <c r="AD3685" s="27"/>
      <c r="AE3685" s="27"/>
      <c r="AF3685" s="27"/>
      <c r="AG3685" s="27"/>
      <c r="AH3685" s="253"/>
      <c r="AO3685" s="346"/>
    </row>
    <row r="3686" spans="1:41" s="12" customFormat="1" x14ac:dyDescent="0.25">
      <c r="A3686" s="644" t="s">
        <v>6311</v>
      </c>
      <c r="B3686" s="645" t="s">
        <v>5548</v>
      </c>
      <c r="C3686" s="643" t="s">
        <v>6199</v>
      </c>
      <c r="D3686" s="643" t="s">
        <v>1774</v>
      </c>
      <c r="E3686" s="645"/>
      <c r="F3686" s="657">
        <f t="shared" si="1517"/>
        <v>14.46</v>
      </c>
      <c r="G3686" s="658">
        <f t="shared" si="1518"/>
        <v>14.66</v>
      </c>
      <c r="H3686" s="656">
        <f t="shared" si="1512"/>
        <v>11.73</v>
      </c>
      <c r="I3686" s="701"/>
      <c r="J3686" s="669">
        <v>43077</v>
      </c>
      <c r="K3686" s="23"/>
      <c r="L3686" s="70"/>
      <c r="M3686" s="49"/>
      <c r="N3686" s="635" t="s">
        <v>5761</v>
      </c>
      <c r="O3686" s="568">
        <v>0</v>
      </c>
      <c r="P3686" s="327">
        <f t="shared" si="1520"/>
        <v>14.657914139999999</v>
      </c>
      <c r="Q3686" s="327">
        <f t="shared" si="1520"/>
        <v>12.855227118749999</v>
      </c>
      <c r="R3686" s="327"/>
      <c r="S3686" s="27"/>
      <c r="T3686" s="327">
        <f t="shared" si="1519"/>
        <v>14.45791414</v>
      </c>
      <c r="U3686" s="327">
        <f t="shared" si="1519"/>
        <v>12.65522711875</v>
      </c>
      <c r="V3686" s="27"/>
      <c r="W3686" s="27"/>
      <c r="X3686" s="27"/>
      <c r="Y3686" s="27"/>
      <c r="Z3686" s="27"/>
      <c r="AA3686" s="27"/>
      <c r="AB3686" s="27"/>
      <c r="AC3686" s="27"/>
      <c r="AD3686" s="27"/>
      <c r="AE3686" s="27"/>
      <c r="AF3686" s="27"/>
      <c r="AG3686" s="27"/>
      <c r="AH3686" s="253"/>
      <c r="AO3686" s="346"/>
    </row>
    <row r="3687" spans="1:41" s="12" customFormat="1" x14ac:dyDescent="0.25">
      <c r="A3687" s="644" t="s">
        <v>6312</v>
      </c>
      <c r="B3687" s="645" t="s">
        <v>5548</v>
      </c>
      <c r="C3687" s="643" t="s">
        <v>6199</v>
      </c>
      <c r="D3687" s="643" t="s">
        <v>71</v>
      </c>
      <c r="E3687" s="645"/>
      <c r="F3687" s="657">
        <f t="shared" si="1517"/>
        <v>12.66</v>
      </c>
      <c r="G3687" s="658">
        <f t="shared" si="1518"/>
        <v>12.86</v>
      </c>
      <c r="H3687" s="656">
        <f t="shared" si="1512"/>
        <v>10.29</v>
      </c>
      <c r="I3687" s="701"/>
      <c r="J3687" s="669">
        <v>43077</v>
      </c>
      <c r="K3687" s="23"/>
      <c r="L3687" s="70"/>
      <c r="M3687" s="49"/>
      <c r="N3687" s="635" t="s">
        <v>5762</v>
      </c>
      <c r="O3687" s="568">
        <v>5.0000000000000001E-3</v>
      </c>
      <c r="P3687" s="327">
        <f t="shared" si="1520"/>
        <v>14.584624569299999</v>
      </c>
      <c r="Q3687" s="327">
        <f t="shared" si="1520"/>
        <v>12.790950983156248</v>
      </c>
      <c r="R3687" s="327"/>
      <c r="S3687" s="27"/>
      <c r="T3687" s="327">
        <f t="shared" si="1519"/>
        <v>14.3846245693</v>
      </c>
      <c r="U3687" s="327">
        <f t="shared" si="1519"/>
        <v>12.590950983156249</v>
      </c>
      <c r="V3687" s="27"/>
      <c r="W3687" s="27"/>
      <c r="X3687" s="27"/>
      <c r="Y3687" s="27"/>
      <c r="Z3687" s="27"/>
      <c r="AA3687" s="27"/>
      <c r="AB3687" s="27"/>
      <c r="AC3687" s="27"/>
      <c r="AD3687" s="27"/>
      <c r="AE3687" s="27"/>
      <c r="AF3687" s="27"/>
      <c r="AG3687" s="27"/>
      <c r="AH3687" s="253"/>
      <c r="AO3687" s="346"/>
    </row>
    <row r="3688" spans="1:41" s="12" customFormat="1" x14ac:dyDescent="0.25">
      <c r="A3688" s="644" t="s">
        <v>6313</v>
      </c>
      <c r="B3688" s="645" t="s">
        <v>5548</v>
      </c>
      <c r="C3688" s="643" t="s">
        <v>6200</v>
      </c>
      <c r="D3688" s="643" t="s">
        <v>1774</v>
      </c>
      <c r="E3688" s="645"/>
      <c r="F3688" s="657">
        <f t="shared" si="1517"/>
        <v>14.46</v>
      </c>
      <c r="G3688" s="658">
        <f t="shared" si="1518"/>
        <v>14.66</v>
      </c>
      <c r="H3688" s="656">
        <f t="shared" si="1512"/>
        <v>11.73</v>
      </c>
      <c r="I3688" s="701"/>
      <c r="J3688" s="669">
        <v>43077</v>
      </c>
      <c r="K3688" s="23"/>
      <c r="L3688" s="70"/>
      <c r="M3688" s="49"/>
      <c r="N3688" s="41"/>
      <c r="O3688" s="568"/>
      <c r="P3688" s="327"/>
      <c r="Q3688" s="327"/>
      <c r="R3688" s="27"/>
      <c r="S3688" s="327"/>
      <c r="T3688" s="327"/>
      <c r="U3688" s="27"/>
      <c r="V3688" s="27"/>
      <c r="W3688" s="27"/>
      <c r="X3688" s="27"/>
      <c r="Y3688" s="27"/>
      <c r="Z3688" s="27"/>
      <c r="AA3688" s="27"/>
      <c r="AB3688" s="27"/>
      <c r="AC3688" s="27"/>
      <c r="AD3688" s="27"/>
      <c r="AE3688" s="27"/>
      <c r="AF3688" s="27"/>
      <c r="AG3688" s="27"/>
      <c r="AH3688" s="253"/>
      <c r="AO3688" s="346"/>
    </row>
    <row r="3689" spans="1:41" s="12" customFormat="1" x14ac:dyDescent="0.25">
      <c r="A3689" s="644" t="s">
        <v>6314</v>
      </c>
      <c r="B3689" s="645" t="s">
        <v>5548</v>
      </c>
      <c r="C3689" s="643" t="s">
        <v>6200</v>
      </c>
      <c r="D3689" s="643" t="s">
        <v>71</v>
      </c>
      <c r="E3689" s="645"/>
      <c r="F3689" s="657">
        <f t="shared" si="1517"/>
        <v>12.66</v>
      </c>
      <c r="G3689" s="658">
        <f t="shared" si="1518"/>
        <v>12.86</v>
      </c>
      <c r="H3689" s="656">
        <f t="shared" si="1512"/>
        <v>10.29</v>
      </c>
      <c r="I3689" s="701"/>
      <c r="J3689" s="669">
        <v>43077</v>
      </c>
      <c r="K3689" s="23"/>
      <c r="L3689" s="70"/>
      <c r="M3689" s="49"/>
      <c r="N3689" s="41"/>
      <c r="O3689" s="568"/>
      <c r="P3689" s="327"/>
      <c r="Q3689" s="327"/>
      <c r="R3689" s="27"/>
      <c r="S3689" s="327"/>
      <c r="T3689" s="327"/>
      <c r="U3689" s="27"/>
      <c r="V3689" s="27"/>
      <c r="W3689" s="27"/>
      <c r="X3689" s="27"/>
      <c r="Y3689" s="27"/>
      <c r="Z3689" s="27"/>
      <c r="AA3689" s="27"/>
      <c r="AB3689" s="27"/>
      <c r="AC3689" s="27"/>
      <c r="AD3689" s="27"/>
      <c r="AE3689" s="27"/>
      <c r="AF3689" s="27"/>
      <c r="AG3689" s="27"/>
      <c r="AH3689" s="253"/>
      <c r="AO3689" s="346"/>
    </row>
    <row r="3690" spans="1:41" s="12" customFormat="1" x14ac:dyDescent="0.25">
      <c r="A3690" s="644" t="s">
        <v>6315</v>
      </c>
      <c r="B3690" s="645" t="s">
        <v>5548</v>
      </c>
      <c r="C3690" s="643" t="s">
        <v>6201</v>
      </c>
      <c r="D3690" s="643" t="s">
        <v>1774</v>
      </c>
      <c r="E3690" s="645"/>
      <c r="F3690" s="657">
        <f t="shared" si="1517"/>
        <v>14.38</v>
      </c>
      <c r="G3690" s="658">
        <f t="shared" si="1518"/>
        <v>14.58</v>
      </c>
      <c r="H3690" s="656">
        <f t="shared" si="1512"/>
        <v>11.66</v>
      </c>
      <c r="I3690" s="701"/>
      <c r="J3690" s="669">
        <v>43077</v>
      </c>
      <c r="K3690" s="23"/>
      <c r="L3690" s="70"/>
      <c r="M3690" s="49"/>
      <c r="N3690" s="41"/>
      <c r="O3690" s="568"/>
      <c r="P3690" s="327"/>
      <c r="Q3690" s="327"/>
      <c r="R3690" s="27"/>
      <c r="S3690" s="327"/>
      <c r="T3690" s="327"/>
      <c r="U3690" s="27"/>
      <c r="V3690" s="27"/>
      <c r="W3690" s="27"/>
      <c r="X3690" s="27"/>
      <c r="Y3690" s="27"/>
      <c r="Z3690" s="27"/>
      <c r="AA3690" s="27"/>
      <c r="AB3690" s="27"/>
      <c r="AC3690" s="27"/>
      <c r="AD3690" s="27"/>
      <c r="AE3690" s="27"/>
      <c r="AF3690" s="27"/>
      <c r="AG3690" s="27"/>
      <c r="AH3690" s="253"/>
      <c r="AO3690" s="346"/>
    </row>
    <row r="3691" spans="1:41" s="12" customFormat="1" x14ac:dyDescent="0.25">
      <c r="A3691" s="644" t="s">
        <v>6316</v>
      </c>
      <c r="B3691" s="645" t="s">
        <v>5548</v>
      </c>
      <c r="C3691" s="643" t="s">
        <v>6201</v>
      </c>
      <c r="D3691" s="643" t="s">
        <v>71</v>
      </c>
      <c r="E3691" s="645"/>
      <c r="F3691" s="657">
        <f t="shared" si="1517"/>
        <v>12.59</v>
      </c>
      <c r="G3691" s="658">
        <f t="shared" si="1518"/>
        <v>12.79</v>
      </c>
      <c r="H3691" s="656">
        <f t="shared" si="1512"/>
        <v>10.23</v>
      </c>
      <c r="I3691" s="701"/>
      <c r="J3691" s="669">
        <v>43077</v>
      </c>
      <c r="K3691" s="23"/>
      <c r="L3691" s="70"/>
      <c r="M3691" s="49"/>
      <c r="N3691" s="41"/>
      <c r="O3691" s="568"/>
      <c r="P3691" s="327"/>
      <c r="Q3691" s="327"/>
      <c r="R3691" s="27"/>
      <c r="S3691" s="327"/>
      <c r="T3691" s="327"/>
      <c r="U3691" s="27"/>
      <c r="V3691" s="27"/>
      <c r="W3691" s="27"/>
      <c r="X3691" s="27"/>
      <c r="Y3691" s="27"/>
      <c r="Z3691" s="27"/>
      <c r="AA3691" s="27"/>
      <c r="AB3691" s="27"/>
      <c r="AC3691" s="27"/>
      <c r="AD3691" s="27"/>
      <c r="AE3691" s="27"/>
      <c r="AF3691" s="27"/>
      <c r="AG3691" s="27"/>
      <c r="AH3691" s="253"/>
      <c r="AO3691" s="346"/>
    </row>
    <row r="3692" spans="1:41" s="12" customFormat="1" x14ac:dyDescent="0.25">
      <c r="A3692" s="4"/>
      <c r="B3692" s="4"/>
      <c r="C3692" s="4"/>
      <c r="D3692" s="4"/>
      <c r="E3692" s="4"/>
      <c r="F3692" s="468"/>
      <c r="G3692" s="4"/>
      <c r="H3692" s="503" t="str">
        <f t="shared" si="1512"/>
        <v/>
      </c>
      <c r="I3692" s="723"/>
      <c r="J3692" s="669" t="s">
        <v>4180</v>
      </c>
      <c r="K3692" s="23"/>
      <c r="L3692" s="70"/>
      <c r="M3692" s="49"/>
      <c r="N3692" s="41"/>
      <c r="P3692" s="774" t="s">
        <v>1774</v>
      </c>
      <c r="Q3692" s="774" t="s">
        <v>71</v>
      </c>
      <c r="R3692" s="774" t="s">
        <v>49</v>
      </c>
      <c r="S3692" s="127" t="s">
        <v>2884</v>
      </c>
      <c r="T3692" s="774" t="s">
        <v>1774</v>
      </c>
      <c r="U3692" s="774" t="s">
        <v>71</v>
      </c>
      <c r="V3692" s="27"/>
      <c r="W3692" s="27"/>
      <c r="X3692" s="27"/>
      <c r="Y3692" s="27"/>
      <c r="Z3692" s="27"/>
      <c r="AA3692" s="27"/>
      <c r="AB3692" s="27"/>
      <c r="AC3692" s="27"/>
      <c r="AD3692" s="27"/>
      <c r="AE3692" s="27"/>
      <c r="AF3692" s="27"/>
      <c r="AG3692" s="27"/>
      <c r="AH3692" s="253"/>
      <c r="AO3692" s="346"/>
    </row>
    <row r="3693" spans="1:41" s="12" customFormat="1" x14ac:dyDescent="0.25">
      <c r="A3693" s="644" t="s">
        <v>6392</v>
      </c>
      <c r="B3693" s="645" t="s">
        <v>5548</v>
      </c>
      <c r="C3693" s="643" t="s">
        <v>6405</v>
      </c>
      <c r="D3693" s="643" t="s">
        <v>1774</v>
      </c>
      <c r="E3693" s="645"/>
      <c r="F3693" s="657">
        <f t="shared" ref="F3693:F3700" si="1521">IF(HLOOKUP($D3693,$T$3692:$U$3696,MATCH(MID($A3693,11,2),$N$3692:$N$3696,0),FALSE)&lt;&gt;"",ROUND(HLOOKUP($D3693,$T$3692:$U$3696,MATCH(MID($A3693,11,2),$N$3692:$N$3696,0),FALSE),2),"")</f>
        <v>14.38</v>
      </c>
      <c r="G3693" s="658">
        <f t="shared" ref="G3693:G3700" si="1522">IF(HLOOKUP($D3693,$P$3692:$Q$3696,MATCH(MID($A3693,11,2),$N$3692:$N$3696,0),FALSE)&lt;&gt;"",ROUND(HLOOKUP($D3693,$P$3692:$Q$3696,MATCH(MID($A3693,11,2),$N$3692:$N$3696,0),FALSE),2),"")</f>
        <v>14.58</v>
      </c>
      <c r="H3693" s="656">
        <f t="shared" si="1512"/>
        <v>11.66</v>
      </c>
      <c r="I3693" s="701"/>
      <c r="J3693" s="669">
        <v>43419</v>
      </c>
      <c r="K3693" s="23"/>
      <c r="L3693" s="70"/>
      <c r="M3693" s="127">
        <v>2019</v>
      </c>
      <c r="N3693" s="635" t="s">
        <v>5759</v>
      </c>
      <c r="O3693" s="568">
        <v>0</v>
      </c>
      <c r="P3693" s="327">
        <f>IF($O3693&lt;&gt;"",(1-$O3693)*P3687,"")</f>
        <v>14.584624569299999</v>
      </c>
      <c r="Q3693" s="327">
        <f>IF($O3693&lt;&gt;"",(1-$O3693)*Q3687,"")</f>
        <v>12.790950983156248</v>
      </c>
      <c r="R3693" s="327"/>
      <c r="S3693" s="27"/>
      <c r="T3693" s="327">
        <f t="shared" ref="T3693:U3696" si="1523">P3693-0.2</f>
        <v>14.3846245693</v>
      </c>
      <c r="U3693" s="327">
        <f t="shared" si="1523"/>
        <v>12.590950983156249</v>
      </c>
      <c r="V3693" s="27"/>
      <c r="W3693" s="27"/>
      <c r="X3693" s="27"/>
      <c r="Y3693" s="27"/>
      <c r="Z3693" s="27"/>
      <c r="AA3693" s="27"/>
      <c r="AB3693" s="27"/>
      <c r="AC3693" s="27"/>
      <c r="AD3693" s="27"/>
      <c r="AE3693" s="27"/>
      <c r="AF3693" s="27"/>
      <c r="AG3693" s="27"/>
      <c r="AH3693" s="253"/>
      <c r="AO3693" s="346"/>
    </row>
    <row r="3694" spans="1:41" s="12" customFormat="1" x14ac:dyDescent="0.25">
      <c r="A3694" s="644" t="s">
        <v>6393</v>
      </c>
      <c r="B3694" s="645" t="s">
        <v>5548</v>
      </c>
      <c r="C3694" s="643" t="s">
        <v>6405</v>
      </c>
      <c r="D3694" s="643" t="s">
        <v>71</v>
      </c>
      <c r="E3694" s="645"/>
      <c r="F3694" s="657">
        <f t="shared" si="1521"/>
        <v>12.59</v>
      </c>
      <c r="G3694" s="658">
        <f t="shared" si="1522"/>
        <v>12.79</v>
      </c>
      <c r="H3694" s="656">
        <f t="shared" si="1512"/>
        <v>10.23</v>
      </c>
      <c r="I3694" s="701"/>
      <c r="J3694" s="669">
        <v>43419</v>
      </c>
      <c r="K3694" s="23"/>
      <c r="L3694" s="70"/>
      <c r="M3694" s="49"/>
      <c r="N3694" s="635" t="s">
        <v>5760</v>
      </c>
      <c r="O3694" s="568">
        <v>5.0000000000000001E-3</v>
      </c>
      <c r="P3694" s="327">
        <f t="shared" ref="P3694:Q3696" si="1524">IF($O3694&lt;&gt;"",(1-$O3694)*P3693,"")</f>
        <v>14.511701446453499</v>
      </c>
      <c r="Q3694" s="327">
        <f t="shared" si="1524"/>
        <v>12.726996228240466</v>
      </c>
      <c r="R3694" s="327"/>
      <c r="S3694" s="27"/>
      <c r="T3694" s="327">
        <f t="shared" si="1523"/>
        <v>14.311701446453499</v>
      </c>
      <c r="U3694" s="327">
        <f t="shared" si="1523"/>
        <v>12.526996228240467</v>
      </c>
      <c r="V3694" s="27"/>
      <c r="W3694" s="27"/>
      <c r="X3694" s="27"/>
      <c r="Y3694" s="27"/>
      <c r="Z3694" s="27"/>
      <c r="AA3694" s="27"/>
      <c r="AB3694" s="27"/>
      <c r="AC3694" s="27"/>
      <c r="AD3694" s="27"/>
      <c r="AE3694" s="27"/>
      <c r="AF3694" s="27"/>
      <c r="AG3694" s="27"/>
      <c r="AH3694" s="253"/>
      <c r="AO3694" s="346"/>
    </row>
    <row r="3695" spans="1:41" s="12" customFormat="1" x14ac:dyDescent="0.25">
      <c r="A3695" s="644" t="s">
        <v>6394</v>
      </c>
      <c r="B3695" s="645" t="s">
        <v>5548</v>
      </c>
      <c r="C3695" s="643" t="s">
        <v>6406</v>
      </c>
      <c r="D3695" s="643" t="s">
        <v>1774</v>
      </c>
      <c r="E3695" s="645"/>
      <c r="F3695" s="657">
        <f t="shared" si="1521"/>
        <v>14.31</v>
      </c>
      <c r="G3695" s="658">
        <f t="shared" si="1522"/>
        <v>14.51</v>
      </c>
      <c r="H3695" s="656">
        <f t="shared" si="1512"/>
        <v>11.61</v>
      </c>
      <c r="I3695" s="701"/>
      <c r="J3695" s="669">
        <v>43419</v>
      </c>
      <c r="K3695" s="23"/>
      <c r="L3695" s="70"/>
      <c r="M3695" s="49"/>
      <c r="N3695" s="635" t="s">
        <v>5761</v>
      </c>
      <c r="O3695" s="568">
        <v>0</v>
      </c>
      <c r="P3695" s="327">
        <f t="shared" si="1524"/>
        <v>14.511701446453499</v>
      </c>
      <c r="Q3695" s="327">
        <f t="shared" si="1524"/>
        <v>12.726996228240466</v>
      </c>
      <c r="R3695" s="327"/>
      <c r="S3695" s="27"/>
      <c r="T3695" s="327">
        <f t="shared" si="1523"/>
        <v>14.311701446453499</v>
      </c>
      <c r="U3695" s="327">
        <f t="shared" si="1523"/>
        <v>12.526996228240467</v>
      </c>
      <c r="V3695" s="27"/>
      <c r="W3695" s="27"/>
      <c r="X3695" s="27"/>
      <c r="Y3695" s="27"/>
      <c r="Z3695" s="27"/>
      <c r="AA3695" s="27"/>
      <c r="AB3695" s="27"/>
      <c r="AC3695" s="27"/>
      <c r="AD3695" s="27"/>
      <c r="AE3695" s="27"/>
      <c r="AF3695" s="27"/>
      <c r="AG3695" s="27"/>
      <c r="AH3695" s="253"/>
      <c r="AO3695" s="346"/>
    </row>
    <row r="3696" spans="1:41" s="12" customFormat="1" x14ac:dyDescent="0.25">
      <c r="A3696" s="644" t="s">
        <v>6395</v>
      </c>
      <c r="B3696" s="645" t="s">
        <v>5548</v>
      </c>
      <c r="C3696" s="643" t="s">
        <v>6406</v>
      </c>
      <c r="D3696" s="643" t="s">
        <v>71</v>
      </c>
      <c r="E3696" s="645"/>
      <c r="F3696" s="657">
        <f t="shared" si="1521"/>
        <v>12.53</v>
      </c>
      <c r="G3696" s="658">
        <f t="shared" si="1522"/>
        <v>12.73</v>
      </c>
      <c r="H3696" s="656">
        <f t="shared" si="1512"/>
        <v>10.18</v>
      </c>
      <c r="I3696" s="701"/>
      <c r="J3696" s="669">
        <v>43419</v>
      </c>
      <c r="K3696" s="23"/>
      <c r="L3696" s="70"/>
      <c r="M3696" s="49"/>
      <c r="N3696" s="635" t="s">
        <v>5762</v>
      </c>
      <c r="O3696" s="568">
        <v>5.0000000000000001E-3</v>
      </c>
      <c r="P3696" s="327">
        <f t="shared" si="1524"/>
        <v>14.439142939221231</v>
      </c>
      <c r="Q3696" s="327">
        <f t="shared" si="1524"/>
        <v>12.663361247099264</v>
      </c>
      <c r="R3696" s="327"/>
      <c r="S3696" s="27"/>
      <c r="T3696" s="327">
        <f t="shared" si="1523"/>
        <v>14.239142939221232</v>
      </c>
      <c r="U3696" s="327">
        <f t="shared" si="1523"/>
        <v>12.463361247099265</v>
      </c>
      <c r="V3696" s="27"/>
      <c r="W3696" s="27"/>
      <c r="X3696" s="27"/>
      <c r="Y3696" s="27"/>
      <c r="Z3696" s="27"/>
      <c r="AA3696" s="27"/>
      <c r="AB3696" s="27"/>
      <c r="AC3696" s="27"/>
      <c r="AD3696" s="27"/>
      <c r="AE3696" s="27"/>
      <c r="AF3696" s="27"/>
      <c r="AG3696" s="27"/>
      <c r="AH3696" s="253"/>
      <c r="AO3696" s="346"/>
    </row>
    <row r="3697" spans="1:41" s="12" customFormat="1" x14ac:dyDescent="0.25">
      <c r="A3697" s="644" t="s">
        <v>6396</v>
      </c>
      <c r="B3697" s="645" t="s">
        <v>5548</v>
      </c>
      <c r="C3697" s="643" t="s">
        <v>6407</v>
      </c>
      <c r="D3697" s="643" t="s">
        <v>1774</v>
      </c>
      <c r="E3697" s="645"/>
      <c r="F3697" s="657">
        <f t="shared" si="1521"/>
        <v>14.31</v>
      </c>
      <c r="G3697" s="658">
        <f t="shared" si="1522"/>
        <v>14.51</v>
      </c>
      <c r="H3697" s="656">
        <f t="shared" si="1512"/>
        <v>11.61</v>
      </c>
      <c r="I3697" s="701"/>
      <c r="J3697" s="669">
        <v>43419</v>
      </c>
      <c r="K3697" s="23"/>
      <c r="L3697" s="70"/>
      <c r="M3697" s="49"/>
      <c r="N3697" s="41"/>
      <c r="O3697" s="568"/>
      <c r="P3697" s="327"/>
      <c r="Q3697" s="327"/>
      <c r="R3697" s="27"/>
      <c r="S3697" s="327"/>
      <c r="T3697" s="327"/>
      <c r="U3697" s="27"/>
      <c r="V3697" s="27"/>
      <c r="W3697" s="27"/>
      <c r="X3697" s="27"/>
      <c r="Y3697" s="27"/>
      <c r="Z3697" s="27"/>
      <c r="AA3697" s="27"/>
      <c r="AB3697" s="27"/>
      <c r="AC3697" s="27"/>
      <c r="AD3697" s="27"/>
      <c r="AE3697" s="27"/>
      <c r="AF3697" s="27"/>
      <c r="AG3697" s="27"/>
      <c r="AH3697" s="253"/>
      <c r="AO3697" s="346"/>
    </row>
    <row r="3698" spans="1:41" s="12" customFormat="1" x14ac:dyDescent="0.25">
      <c r="A3698" s="644" t="s">
        <v>6397</v>
      </c>
      <c r="B3698" s="645" t="s">
        <v>5548</v>
      </c>
      <c r="C3698" s="643" t="s">
        <v>6407</v>
      </c>
      <c r="D3698" s="643" t="s">
        <v>71</v>
      </c>
      <c r="E3698" s="645"/>
      <c r="F3698" s="657">
        <f t="shared" si="1521"/>
        <v>12.53</v>
      </c>
      <c r="G3698" s="658">
        <f t="shared" si="1522"/>
        <v>12.73</v>
      </c>
      <c r="H3698" s="656">
        <f t="shared" si="1512"/>
        <v>10.18</v>
      </c>
      <c r="I3698" s="701"/>
      <c r="J3698" s="669">
        <v>43419</v>
      </c>
      <c r="K3698" s="23"/>
      <c r="L3698" s="70"/>
      <c r="M3698" s="49"/>
      <c r="N3698" s="41"/>
      <c r="O3698" s="568"/>
      <c r="P3698" s="327"/>
      <c r="Q3698" s="327"/>
      <c r="R3698" s="27"/>
      <c r="S3698" s="327"/>
      <c r="T3698" s="327"/>
      <c r="U3698" s="27"/>
      <c r="V3698" s="27"/>
      <c r="W3698" s="27"/>
      <c r="X3698" s="27"/>
      <c r="Y3698" s="27"/>
      <c r="Z3698" s="27"/>
      <c r="AA3698" s="27"/>
      <c r="AB3698" s="27"/>
      <c r="AC3698" s="27"/>
      <c r="AD3698" s="27"/>
      <c r="AE3698" s="27"/>
      <c r="AF3698" s="27"/>
      <c r="AG3698" s="27"/>
      <c r="AH3698" s="253"/>
      <c r="AO3698" s="346"/>
    </row>
    <row r="3699" spans="1:41" s="12" customFormat="1" x14ac:dyDescent="0.25">
      <c r="A3699" s="644" t="s">
        <v>6398</v>
      </c>
      <c r="B3699" s="645" t="s">
        <v>5548</v>
      </c>
      <c r="C3699" s="643" t="s">
        <v>6408</v>
      </c>
      <c r="D3699" s="643" t="s">
        <v>1774</v>
      </c>
      <c r="E3699" s="645"/>
      <c r="F3699" s="657">
        <f t="shared" si="1521"/>
        <v>14.24</v>
      </c>
      <c r="G3699" s="658">
        <f t="shared" si="1522"/>
        <v>14.44</v>
      </c>
      <c r="H3699" s="656">
        <f t="shared" si="1512"/>
        <v>11.55</v>
      </c>
      <c r="I3699" s="701"/>
      <c r="J3699" s="669">
        <v>43419</v>
      </c>
      <c r="K3699" s="23"/>
      <c r="L3699" s="70"/>
      <c r="M3699" s="49"/>
      <c r="N3699" s="41"/>
      <c r="O3699" s="568"/>
      <c r="P3699" s="327"/>
      <c r="Q3699" s="327"/>
      <c r="R3699" s="27"/>
      <c r="S3699" s="327"/>
      <c r="T3699" s="327"/>
      <c r="U3699" s="27"/>
      <c r="V3699" s="27"/>
      <c r="W3699" s="27"/>
      <c r="X3699" s="27"/>
      <c r="Y3699" s="27"/>
      <c r="Z3699" s="27"/>
      <c r="AA3699" s="27"/>
      <c r="AB3699" s="27"/>
      <c r="AC3699" s="27"/>
      <c r="AD3699" s="27"/>
      <c r="AE3699" s="27"/>
      <c r="AF3699" s="27"/>
      <c r="AG3699" s="27"/>
      <c r="AH3699" s="253"/>
      <c r="AO3699" s="346"/>
    </row>
    <row r="3700" spans="1:41" s="12" customFormat="1" x14ac:dyDescent="0.25">
      <c r="A3700" s="644" t="s">
        <v>6399</v>
      </c>
      <c r="B3700" s="645" t="s">
        <v>5548</v>
      </c>
      <c r="C3700" s="643" t="s">
        <v>6408</v>
      </c>
      <c r="D3700" s="643" t="s">
        <v>71</v>
      </c>
      <c r="E3700" s="645"/>
      <c r="F3700" s="657">
        <f t="shared" si="1521"/>
        <v>12.46</v>
      </c>
      <c r="G3700" s="658">
        <f t="shared" si="1522"/>
        <v>12.66</v>
      </c>
      <c r="H3700" s="656">
        <f t="shared" si="1512"/>
        <v>10.130000000000001</v>
      </c>
      <c r="I3700" s="701"/>
      <c r="J3700" s="669">
        <v>43419</v>
      </c>
      <c r="K3700" s="23"/>
      <c r="L3700" s="70"/>
      <c r="M3700" s="49"/>
      <c r="N3700" s="41"/>
      <c r="O3700" s="568"/>
      <c r="P3700" s="327"/>
      <c r="Q3700" s="327"/>
      <c r="R3700" s="27"/>
      <c r="S3700" s="327"/>
      <c r="T3700" s="327"/>
      <c r="U3700" s="27"/>
      <c r="V3700" s="27"/>
      <c r="W3700" s="27"/>
      <c r="X3700" s="27"/>
      <c r="Y3700" s="27"/>
      <c r="Z3700" s="27"/>
      <c r="AA3700" s="27"/>
      <c r="AB3700" s="27"/>
      <c r="AC3700" s="27"/>
      <c r="AD3700" s="27"/>
      <c r="AE3700" s="27"/>
      <c r="AF3700" s="27"/>
      <c r="AG3700" s="27"/>
      <c r="AH3700" s="253"/>
      <c r="AO3700" s="346"/>
    </row>
    <row r="3701" spans="1:41" s="12" customFormat="1" x14ac:dyDescent="0.25">
      <c r="A3701" s="4"/>
      <c r="B3701" s="4"/>
      <c r="C3701" s="4"/>
      <c r="D3701" s="4"/>
      <c r="E3701" s="4"/>
      <c r="F3701" s="468"/>
      <c r="G3701" s="4"/>
      <c r="H3701" s="503" t="str">
        <f t="shared" si="1512"/>
        <v/>
      </c>
      <c r="I3701" s="723"/>
      <c r="J3701" s="669" t="s">
        <v>4180</v>
      </c>
      <c r="K3701" s="23"/>
      <c r="L3701" s="70"/>
      <c r="M3701" s="49"/>
      <c r="N3701" s="41"/>
      <c r="P3701" s="774" t="s">
        <v>1774</v>
      </c>
      <c r="Q3701" s="774" t="s">
        <v>71</v>
      </c>
      <c r="R3701" s="774" t="s">
        <v>49</v>
      </c>
      <c r="S3701" s="127" t="s">
        <v>2884</v>
      </c>
      <c r="T3701" s="774" t="s">
        <v>1774</v>
      </c>
      <c r="U3701" s="774" t="s">
        <v>71</v>
      </c>
      <c r="V3701" s="27"/>
      <c r="W3701" s="27"/>
      <c r="X3701" s="27"/>
      <c r="Y3701" s="27"/>
      <c r="Z3701" s="27"/>
      <c r="AA3701" s="27"/>
      <c r="AB3701" s="27"/>
      <c r="AC3701" s="27"/>
      <c r="AD3701" s="27"/>
      <c r="AE3701" s="27"/>
      <c r="AF3701" s="27"/>
      <c r="AG3701" s="27"/>
      <c r="AH3701" s="253"/>
      <c r="AO3701" s="346"/>
    </row>
    <row r="3702" spans="1:41" s="12" customFormat="1" x14ac:dyDescent="0.25">
      <c r="A3702" s="644" t="s">
        <v>6539</v>
      </c>
      <c r="B3702" s="645" t="s">
        <v>5548</v>
      </c>
      <c r="C3702" s="643" t="s">
        <v>6519</v>
      </c>
      <c r="D3702" s="643" t="s">
        <v>1774</v>
      </c>
      <c r="E3702" s="645"/>
      <c r="F3702" s="657">
        <f t="shared" ref="F3702:F3709" si="1525">IF(HLOOKUP($D3702,$T$3701:$U$3705,MATCH(MID($A3702,11,2),$N$3701:$N$3705,0),FALSE)&lt;&gt;"",ROUND(HLOOKUP($D3702,$T$3701:$U$3705,MATCH(MID($A3702,11,2),$N$3701:$N$3705,0),FALSE),2),"")</f>
        <v>14.24</v>
      </c>
      <c r="G3702" s="658">
        <f t="shared" ref="G3702:G3709" si="1526">IF(HLOOKUP($D3702,$P$3701:$Q$3705,MATCH(MID($A3702,11,2),$N$3701:$N$3705,0),FALSE)&lt;&gt;"",ROUND(HLOOKUP($D3702,$P$3701:$Q$3705,MATCH(MID($A3702,11,2),$N$3701:$N$3705,0),FALSE),2),"")</f>
        <v>14.44</v>
      </c>
      <c r="H3702" s="656">
        <f t="shared" si="1512"/>
        <v>11.55</v>
      </c>
      <c r="I3702" s="701"/>
      <c r="J3702" s="669">
        <v>43796</v>
      </c>
      <c r="K3702" s="23"/>
      <c r="L3702" s="70"/>
      <c r="M3702" s="127">
        <v>2020</v>
      </c>
      <c r="N3702" s="635" t="s">
        <v>5759</v>
      </c>
      <c r="O3702" s="568">
        <v>0</v>
      </c>
      <c r="P3702" s="327">
        <f>IF($O3702&lt;&gt;"",(1-$O3702)*P3696,"")</f>
        <v>14.439142939221231</v>
      </c>
      <c r="Q3702" s="327">
        <f>IF($O3702&lt;&gt;"",(1-$O3702)*Q3696,"")</f>
        <v>12.663361247099264</v>
      </c>
      <c r="R3702" s="327"/>
      <c r="S3702" s="27"/>
      <c r="T3702" s="327">
        <f t="shared" ref="T3702:U3705" si="1527">P3702-0.2</f>
        <v>14.239142939221232</v>
      </c>
      <c r="U3702" s="327">
        <f t="shared" si="1527"/>
        <v>12.463361247099265</v>
      </c>
      <c r="V3702" s="27"/>
      <c r="W3702" s="27"/>
      <c r="X3702" s="27"/>
      <c r="Y3702" s="27"/>
      <c r="Z3702" s="27"/>
      <c r="AA3702" s="27"/>
      <c r="AB3702" s="27"/>
      <c r="AC3702" s="27"/>
      <c r="AD3702" s="27"/>
      <c r="AE3702" s="27"/>
      <c r="AF3702" s="27"/>
      <c r="AG3702" s="27"/>
      <c r="AH3702" s="253"/>
      <c r="AO3702" s="346"/>
    </row>
    <row r="3703" spans="1:41" s="12" customFormat="1" x14ac:dyDescent="0.25">
      <c r="A3703" s="644" t="s">
        <v>6540</v>
      </c>
      <c r="B3703" s="645" t="s">
        <v>5548</v>
      </c>
      <c r="C3703" s="643" t="s">
        <v>6519</v>
      </c>
      <c r="D3703" s="643" t="s">
        <v>71</v>
      </c>
      <c r="E3703" s="645"/>
      <c r="F3703" s="657">
        <f t="shared" si="1525"/>
        <v>12.46</v>
      </c>
      <c r="G3703" s="658">
        <f t="shared" si="1526"/>
        <v>12.66</v>
      </c>
      <c r="H3703" s="656">
        <f t="shared" si="1512"/>
        <v>10.130000000000001</v>
      </c>
      <c r="I3703" s="701"/>
      <c r="J3703" s="669">
        <v>43796</v>
      </c>
      <c r="K3703" s="23"/>
      <c r="L3703" s="70"/>
      <c r="M3703" s="49"/>
      <c r="N3703" s="635" t="s">
        <v>5760</v>
      </c>
      <c r="O3703" s="568">
        <v>5.0000000000000001E-3</v>
      </c>
      <c r="P3703" s="327">
        <f t="shared" ref="P3703:Q3705" si="1528">IF($O3703&lt;&gt;"",(1-$O3703)*P3702,"")</f>
        <v>14.366947224525125</v>
      </c>
      <c r="Q3703" s="327">
        <f t="shared" si="1528"/>
        <v>12.600044440863767</v>
      </c>
      <c r="R3703" s="327"/>
      <c r="S3703" s="27"/>
      <c r="T3703" s="327">
        <f t="shared" si="1527"/>
        <v>14.166947224525126</v>
      </c>
      <c r="U3703" s="327">
        <f t="shared" si="1527"/>
        <v>12.400044440863768</v>
      </c>
      <c r="V3703" s="27"/>
      <c r="W3703" s="27"/>
      <c r="X3703" s="27"/>
      <c r="Y3703" s="27"/>
      <c r="Z3703" s="27"/>
      <c r="AA3703" s="27"/>
      <c r="AB3703" s="27"/>
      <c r="AC3703" s="27"/>
      <c r="AD3703" s="27"/>
      <c r="AE3703" s="27"/>
      <c r="AF3703" s="27"/>
      <c r="AG3703" s="27"/>
      <c r="AH3703" s="253"/>
      <c r="AO3703" s="346"/>
    </row>
    <row r="3704" spans="1:41" s="12" customFormat="1" x14ac:dyDescent="0.25">
      <c r="A3704" s="644" t="s">
        <v>6541</v>
      </c>
      <c r="B3704" s="645" t="s">
        <v>5548</v>
      </c>
      <c r="C3704" s="643" t="s">
        <v>6520</v>
      </c>
      <c r="D3704" s="643" t="s">
        <v>1774</v>
      </c>
      <c r="E3704" s="645"/>
      <c r="F3704" s="657">
        <f t="shared" si="1525"/>
        <v>14.17</v>
      </c>
      <c r="G3704" s="658">
        <f t="shared" si="1526"/>
        <v>14.37</v>
      </c>
      <c r="H3704" s="656">
        <f t="shared" si="1512"/>
        <v>11.5</v>
      </c>
      <c r="I3704" s="701"/>
      <c r="J3704" s="669">
        <v>43796</v>
      </c>
      <c r="K3704" s="23"/>
      <c r="L3704" s="70"/>
      <c r="M3704" s="49"/>
      <c r="N3704" s="635" t="s">
        <v>5761</v>
      </c>
      <c r="O3704" s="568">
        <v>0</v>
      </c>
      <c r="P3704" s="327">
        <f t="shared" si="1528"/>
        <v>14.366947224525125</v>
      </c>
      <c r="Q3704" s="327">
        <f t="shared" si="1528"/>
        <v>12.600044440863767</v>
      </c>
      <c r="R3704" s="327"/>
      <c r="S3704" s="27"/>
      <c r="T3704" s="327">
        <f t="shared" si="1527"/>
        <v>14.166947224525126</v>
      </c>
      <c r="U3704" s="327">
        <f t="shared" si="1527"/>
        <v>12.400044440863768</v>
      </c>
      <c r="V3704" s="27"/>
      <c r="W3704" s="27"/>
      <c r="X3704" s="27"/>
      <c r="Y3704" s="27"/>
      <c r="Z3704" s="27"/>
      <c r="AA3704" s="27"/>
      <c r="AB3704" s="27"/>
      <c r="AC3704" s="27"/>
      <c r="AD3704" s="27"/>
      <c r="AE3704" s="27"/>
      <c r="AF3704" s="27"/>
      <c r="AG3704" s="27"/>
      <c r="AH3704" s="253"/>
      <c r="AO3704" s="346"/>
    </row>
    <row r="3705" spans="1:41" s="12" customFormat="1" x14ac:dyDescent="0.25">
      <c r="A3705" s="644" t="s">
        <v>6542</v>
      </c>
      <c r="B3705" s="645" t="s">
        <v>5548</v>
      </c>
      <c r="C3705" s="643" t="s">
        <v>6520</v>
      </c>
      <c r="D3705" s="643" t="s">
        <v>71</v>
      </c>
      <c r="E3705" s="645"/>
      <c r="F3705" s="657">
        <f t="shared" si="1525"/>
        <v>12.4</v>
      </c>
      <c r="G3705" s="658">
        <f t="shared" si="1526"/>
        <v>12.6</v>
      </c>
      <c r="H3705" s="656">
        <f t="shared" si="1512"/>
        <v>10.08</v>
      </c>
      <c r="I3705" s="701"/>
      <c r="J3705" s="669">
        <v>43796</v>
      </c>
      <c r="K3705" s="23"/>
      <c r="L3705" s="70"/>
      <c r="M3705" s="49"/>
      <c r="N3705" s="635" t="s">
        <v>5762</v>
      </c>
      <c r="O3705" s="568">
        <v>5.0000000000000001E-3</v>
      </c>
      <c r="P3705" s="327">
        <f t="shared" si="1528"/>
        <v>14.2951124884025</v>
      </c>
      <c r="Q3705" s="327">
        <f t="shared" si="1528"/>
        <v>12.537044218659448</v>
      </c>
      <c r="R3705" s="327"/>
      <c r="S3705" s="27"/>
      <c r="T3705" s="327">
        <f t="shared" si="1527"/>
        <v>14.095112488402501</v>
      </c>
      <c r="U3705" s="327">
        <f t="shared" si="1527"/>
        <v>12.337044218659448</v>
      </c>
      <c r="V3705" s="27"/>
      <c r="W3705" s="27"/>
      <c r="X3705" s="27"/>
      <c r="Y3705" s="27"/>
      <c r="Z3705" s="27"/>
      <c r="AA3705" s="27"/>
      <c r="AB3705" s="27"/>
      <c r="AC3705" s="27"/>
      <c r="AD3705" s="27"/>
      <c r="AE3705" s="27"/>
      <c r="AF3705" s="27"/>
      <c r="AG3705" s="27"/>
      <c r="AH3705" s="253"/>
      <c r="AO3705" s="346"/>
    </row>
    <row r="3706" spans="1:41" s="12" customFormat="1" x14ac:dyDescent="0.25">
      <c r="A3706" s="644" t="s">
        <v>6543</v>
      </c>
      <c r="B3706" s="645" t="s">
        <v>5548</v>
      </c>
      <c r="C3706" s="643" t="s">
        <v>6521</v>
      </c>
      <c r="D3706" s="643" t="s">
        <v>1774</v>
      </c>
      <c r="E3706" s="645"/>
      <c r="F3706" s="657">
        <f t="shared" si="1525"/>
        <v>14.17</v>
      </c>
      <c r="G3706" s="658">
        <f t="shared" si="1526"/>
        <v>14.37</v>
      </c>
      <c r="H3706" s="656">
        <f t="shared" si="1512"/>
        <v>11.5</v>
      </c>
      <c r="I3706" s="701"/>
      <c r="J3706" s="669">
        <v>43796</v>
      </c>
      <c r="K3706" s="23"/>
      <c r="L3706" s="70"/>
      <c r="M3706" s="49"/>
      <c r="N3706" s="41"/>
      <c r="O3706" s="568"/>
      <c r="P3706" s="327"/>
      <c r="Q3706" s="327"/>
      <c r="R3706" s="27"/>
      <c r="S3706" s="327"/>
      <c r="T3706" s="327"/>
      <c r="U3706" s="27"/>
      <c r="V3706" s="27"/>
      <c r="W3706" s="27"/>
      <c r="X3706" s="27"/>
      <c r="Y3706" s="27"/>
      <c r="Z3706" s="27"/>
      <c r="AA3706" s="27"/>
      <c r="AB3706" s="27"/>
      <c r="AC3706" s="27"/>
      <c r="AD3706" s="27"/>
      <c r="AE3706" s="27"/>
      <c r="AF3706" s="27"/>
      <c r="AG3706" s="27"/>
      <c r="AH3706" s="253"/>
      <c r="AO3706" s="346"/>
    </row>
    <row r="3707" spans="1:41" s="12" customFormat="1" x14ac:dyDescent="0.25">
      <c r="A3707" s="644" t="s">
        <v>6544</v>
      </c>
      <c r="B3707" s="645" t="s">
        <v>5548</v>
      </c>
      <c r="C3707" s="643" t="s">
        <v>6521</v>
      </c>
      <c r="D3707" s="643" t="s">
        <v>71</v>
      </c>
      <c r="E3707" s="645"/>
      <c r="F3707" s="657">
        <f t="shared" si="1525"/>
        <v>12.4</v>
      </c>
      <c r="G3707" s="658">
        <f t="shared" si="1526"/>
        <v>12.6</v>
      </c>
      <c r="H3707" s="656">
        <f t="shared" si="1512"/>
        <v>10.08</v>
      </c>
      <c r="I3707" s="701"/>
      <c r="J3707" s="669">
        <v>43796</v>
      </c>
      <c r="K3707" s="23"/>
      <c r="L3707" s="70"/>
      <c r="M3707" s="49"/>
      <c r="N3707" s="41"/>
      <c r="O3707" s="568"/>
      <c r="P3707" s="327"/>
      <c r="Q3707" s="327"/>
      <c r="R3707" s="27"/>
      <c r="S3707" s="327"/>
      <c r="T3707" s="327"/>
      <c r="U3707" s="27"/>
      <c r="V3707" s="27"/>
      <c r="W3707" s="27"/>
      <c r="X3707" s="27"/>
      <c r="Y3707" s="27"/>
      <c r="Z3707" s="27"/>
      <c r="AA3707" s="27"/>
      <c r="AB3707" s="27"/>
      <c r="AC3707" s="27"/>
      <c r="AD3707" s="27"/>
      <c r="AE3707" s="27"/>
      <c r="AF3707" s="27"/>
      <c r="AG3707" s="27"/>
      <c r="AH3707" s="253"/>
      <c r="AO3707" s="346"/>
    </row>
    <row r="3708" spans="1:41" s="12" customFormat="1" x14ac:dyDescent="0.25">
      <c r="A3708" s="644" t="s">
        <v>6545</v>
      </c>
      <c r="B3708" s="645" t="s">
        <v>5548</v>
      </c>
      <c r="C3708" s="643" t="s">
        <v>6522</v>
      </c>
      <c r="D3708" s="643" t="s">
        <v>1774</v>
      </c>
      <c r="E3708" s="645"/>
      <c r="F3708" s="657">
        <f t="shared" si="1525"/>
        <v>14.1</v>
      </c>
      <c r="G3708" s="658">
        <f t="shared" si="1526"/>
        <v>14.3</v>
      </c>
      <c r="H3708" s="656">
        <f t="shared" si="1512"/>
        <v>11.44</v>
      </c>
      <c r="I3708" s="701"/>
      <c r="J3708" s="669">
        <v>43796</v>
      </c>
      <c r="K3708" s="23"/>
      <c r="L3708" s="70"/>
      <c r="M3708" s="49"/>
      <c r="N3708" s="41"/>
      <c r="O3708" s="568"/>
      <c r="P3708" s="327"/>
      <c r="Q3708" s="327"/>
      <c r="R3708" s="27"/>
      <c r="S3708" s="327"/>
      <c r="T3708" s="327"/>
      <c r="U3708" s="27"/>
      <c r="V3708" s="27"/>
      <c r="W3708" s="27"/>
      <c r="X3708" s="27"/>
      <c r="Y3708" s="27"/>
      <c r="Z3708" s="27"/>
      <c r="AA3708" s="27"/>
      <c r="AB3708" s="27"/>
      <c r="AC3708" s="27"/>
      <c r="AD3708" s="27"/>
      <c r="AE3708" s="27"/>
      <c r="AF3708" s="27"/>
      <c r="AG3708" s="27"/>
      <c r="AH3708" s="253"/>
      <c r="AO3708" s="346"/>
    </row>
    <row r="3709" spans="1:41" s="12" customFormat="1" x14ac:dyDescent="0.25">
      <c r="A3709" s="644" t="s">
        <v>6546</v>
      </c>
      <c r="B3709" s="645" t="s">
        <v>5548</v>
      </c>
      <c r="C3709" s="643" t="s">
        <v>6522</v>
      </c>
      <c r="D3709" s="643" t="s">
        <v>71</v>
      </c>
      <c r="E3709" s="645"/>
      <c r="F3709" s="657">
        <f t="shared" si="1525"/>
        <v>12.34</v>
      </c>
      <c r="G3709" s="658">
        <f t="shared" si="1526"/>
        <v>12.54</v>
      </c>
      <c r="H3709" s="656">
        <f t="shared" si="1512"/>
        <v>10.029999999999999</v>
      </c>
      <c r="I3709" s="701"/>
      <c r="J3709" s="669">
        <v>43796</v>
      </c>
      <c r="K3709" s="23"/>
      <c r="L3709" s="70"/>
      <c r="M3709" s="49"/>
      <c r="N3709" s="41"/>
      <c r="O3709" s="568"/>
      <c r="P3709" s="327"/>
      <c r="Q3709" s="327"/>
      <c r="R3709" s="27"/>
      <c r="S3709" s="327"/>
      <c r="T3709" s="327"/>
      <c r="U3709" s="27"/>
      <c r="V3709" s="27"/>
      <c r="W3709" s="27"/>
      <c r="X3709" s="27"/>
      <c r="Y3709" s="27"/>
      <c r="Z3709" s="27"/>
      <c r="AA3709" s="27"/>
      <c r="AB3709" s="27"/>
      <c r="AC3709" s="27"/>
      <c r="AD3709" s="27"/>
      <c r="AE3709" s="27"/>
      <c r="AF3709" s="27"/>
      <c r="AG3709" s="27"/>
      <c r="AH3709" s="253"/>
      <c r="AO3709" s="346"/>
    </row>
    <row r="3710" spans="1:41" s="12" customFormat="1" x14ac:dyDescent="0.25">
      <c r="A3710" s="4"/>
      <c r="B3710" s="4"/>
      <c r="C3710" s="445"/>
      <c r="D3710" s="34"/>
      <c r="E3710" s="2"/>
      <c r="F3710" s="468"/>
      <c r="G3710" s="4"/>
      <c r="H3710" s="503" t="str">
        <f t="shared" si="1512"/>
        <v/>
      </c>
      <c r="I3710" s="723"/>
      <c r="J3710" s="669" t="s">
        <v>4180</v>
      </c>
      <c r="K3710" s="23"/>
      <c r="L3710" s="70"/>
      <c r="M3710" s="49"/>
      <c r="N3710" s="41"/>
      <c r="P3710" s="774" t="s">
        <v>1774</v>
      </c>
      <c r="Q3710" s="774" t="s">
        <v>71</v>
      </c>
      <c r="R3710" s="774" t="s">
        <v>49</v>
      </c>
      <c r="S3710" s="127" t="s">
        <v>2884</v>
      </c>
      <c r="T3710" s="774" t="s">
        <v>1774</v>
      </c>
      <c r="U3710" s="774" t="s">
        <v>71</v>
      </c>
      <c r="V3710" s="27"/>
      <c r="W3710" s="27"/>
      <c r="X3710" s="27"/>
      <c r="Y3710" s="27"/>
      <c r="Z3710" s="27"/>
      <c r="AA3710" s="27"/>
      <c r="AB3710" s="27"/>
      <c r="AC3710" s="27"/>
      <c r="AD3710" s="27"/>
      <c r="AE3710" s="27"/>
      <c r="AF3710" s="27"/>
      <c r="AG3710" s="27"/>
      <c r="AH3710" s="253"/>
      <c r="AO3710" s="346"/>
    </row>
    <row r="3711" spans="1:41" s="12" customFormat="1" x14ac:dyDescent="0.25">
      <c r="A3711" s="644" t="s">
        <v>6693</v>
      </c>
      <c r="B3711" s="645" t="s">
        <v>5548</v>
      </c>
      <c r="C3711" s="643" t="s">
        <v>6629</v>
      </c>
      <c r="D3711" s="643" t="s">
        <v>1774</v>
      </c>
      <c r="E3711" s="645"/>
      <c r="F3711" s="793">
        <f>IF(HLOOKUP($D3711,$T$3710:$U$3712,2,FALSE)&lt;&gt;"",ROUND(HLOOKUP($D3711,$T$3710:$U$3712,2,FALSE),2),"")</f>
        <v>14.1</v>
      </c>
      <c r="G3711" s="795">
        <f>IF(HLOOKUP($D3711,$P$3710:$Q$3712,2,FALSE)&lt;&gt;"",ROUND(HLOOKUP($D3711,$P$3710:$Q$3712,2,FALSE),2),"")</f>
        <v>14.3</v>
      </c>
      <c r="H3711" s="795">
        <f t="shared" si="1512"/>
        <v>11.44</v>
      </c>
      <c r="I3711" s="796"/>
      <c r="J3711" s="669">
        <v>44196</v>
      </c>
      <c r="K3711" s="23"/>
      <c r="L3711" s="70"/>
      <c r="M3711" s="127">
        <v>2021</v>
      </c>
      <c r="N3711" s="878"/>
      <c r="O3711" s="881" t="s">
        <v>7667</v>
      </c>
      <c r="P3711" s="327">
        <v>14.3</v>
      </c>
      <c r="Q3711" s="327">
        <v>12.54</v>
      </c>
      <c r="R3711" s="327"/>
      <c r="S3711" s="27"/>
      <c r="T3711" s="327">
        <f>P3711-0.2</f>
        <v>14.100000000000001</v>
      </c>
      <c r="U3711" s="327">
        <f>Q3711-0.2</f>
        <v>12.34</v>
      </c>
      <c r="V3711" s="27"/>
      <c r="W3711" s="27"/>
      <c r="X3711" s="27"/>
      <c r="Y3711" s="27"/>
      <c r="Z3711" s="27"/>
      <c r="AA3711" s="27"/>
      <c r="AB3711" s="27"/>
      <c r="AC3711" s="27"/>
      <c r="AD3711" s="27"/>
      <c r="AE3711" s="27"/>
      <c r="AF3711" s="27"/>
      <c r="AG3711" s="27"/>
      <c r="AH3711" s="253"/>
      <c r="AO3711" s="346"/>
    </row>
    <row r="3712" spans="1:41" s="12" customFormat="1" x14ac:dyDescent="0.25">
      <c r="A3712" s="644" t="s">
        <v>6694</v>
      </c>
      <c r="B3712" s="645" t="s">
        <v>5548</v>
      </c>
      <c r="C3712" s="643" t="s">
        <v>6629</v>
      </c>
      <c r="D3712" s="643" t="s">
        <v>71</v>
      </c>
      <c r="E3712" s="645"/>
      <c r="F3712" s="793">
        <f>IF(HLOOKUP($D3712,$T$3710:$U$3712,2,FALSE)&lt;&gt;"",ROUND(HLOOKUP($D3712,$T$3710:$U$3712,2,FALSE),2),"")</f>
        <v>12.34</v>
      </c>
      <c r="G3712" s="795">
        <f>IF(HLOOKUP($D3712,$P$3710:$Q$3712,2,FALSE)&lt;&gt;"",ROUND(HLOOKUP($D3712,$P$3710:$Q$3712,2,FALSE),2),"")</f>
        <v>12.54</v>
      </c>
      <c r="H3712" s="795">
        <f t="shared" si="1512"/>
        <v>10.029999999999999</v>
      </c>
      <c r="I3712" s="796"/>
      <c r="J3712" s="669">
        <v>44196</v>
      </c>
      <c r="K3712" s="23"/>
      <c r="L3712" s="70"/>
      <c r="M3712" s="49"/>
      <c r="N3712" s="878"/>
      <c r="O3712" s="881"/>
      <c r="P3712" s="327"/>
      <c r="Q3712" s="327"/>
      <c r="R3712" s="327"/>
      <c r="S3712" s="27"/>
      <c r="T3712" s="327"/>
      <c r="U3712" s="327"/>
      <c r="V3712" s="27"/>
      <c r="W3712" s="27"/>
      <c r="X3712" s="27"/>
      <c r="Y3712" s="27"/>
      <c r="Z3712" s="27"/>
      <c r="AA3712" s="27"/>
      <c r="AB3712" s="27"/>
      <c r="AC3712" s="27"/>
      <c r="AD3712" s="27"/>
      <c r="AE3712" s="27"/>
      <c r="AF3712" s="27"/>
      <c r="AG3712" s="27"/>
      <c r="AH3712" s="253"/>
      <c r="AO3712" s="346"/>
    </row>
    <row r="3713" spans="1:41" s="12" customFormat="1" x14ac:dyDescent="0.25">
      <c r="A3713" s="4"/>
      <c r="B3713" s="4"/>
      <c r="C3713" s="445"/>
      <c r="D3713" s="34"/>
      <c r="E3713" s="2"/>
      <c r="F3713" s="468"/>
      <c r="G3713" s="4"/>
      <c r="H3713" s="503" t="str">
        <f t="shared" si="1512"/>
        <v/>
      </c>
      <c r="I3713" s="723"/>
      <c r="J3713" s="669" t="s">
        <v>4180</v>
      </c>
      <c r="K3713" s="23"/>
      <c r="L3713" s="70"/>
      <c r="M3713" s="49"/>
      <c r="N3713" s="878" t="s">
        <v>7664</v>
      </c>
      <c r="O3713" s="662"/>
      <c r="P3713" s="774" t="s">
        <v>1774</v>
      </c>
      <c r="Q3713" s="774" t="s">
        <v>71</v>
      </c>
      <c r="R3713" s="774" t="s">
        <v>49</v>
      </c>
      <c r="S3713" s="127" t="s">
        <v>2884</v>
      </c>
      <c r="T3713" s="774" t="s">
        <v>1774</v>
      </c>
      <c r="U3713" s="774" t="s">
        <v>71</v>
      </c>
      <c r="V3713" s="27"/>
      <c r="W3713" s="27"/>
      <c r="X3713" s="27"/>
      <c r="Y3713" s="27"/>
      <c r="Z3713" s="27"/>
      <c r="AA3713" s="27"/>
      <c r="AB3713" s="27"/>
      <c r="AC3713" s="27"/>
      <c r="AD3713" s="27"/>
      <c r="AE3713" s="27"/>
      <c r="AF3713" s="27"/>
      <c r="AG3713" s="27"/>
      <c r="AH3713" s="253"/>
      <c r="AO3713" s="346"/>
    </row>
    <row r="3714" spans="1:41" s="12" customFormat="1" x14ac:dyDescent="0.25">
      <c r="A3714" s="644" t="str">
        <f>"BiK430---HJ1" &amp; RIGHT(M3714,2)</f>
        <v>BiK430---HJ122</v>
      </c>
      <c r="B3714" s="645" t="s">
        <v>5548</v>
      </c>
      <c r="C3714" s="643" t="str">
        <f>"Inbetriebnahme 01-06/20" &amp; RIGHT(M3714,2)</f>
        <v>Inbetriebnahme 01-06/2022</v>
      </c>
      <c r="D3714" s="643" t="s">
        <v>1774</v>
      </c>
      <c r="E3714" s="645"/>
      <c r="F3714" s="657">
        <f>IF(HLOOKUP($D3714,$T$3713:$U$3715,MATCH(MID($A3714,10,3),$N$3713:$N$3715,0),FALSE)&lt;&gt;"",ROUND(HLOOKUP($D3714,$T$3713:$U$3715,MATCH(MID($A3714,10,3),$N$3713:$N$3715,0),FALSE),2),"")</f>
        <v>14.1</v>
      </c>
      <c r="G3714" s="656">
        <f>IF(HLOOKUP($D3714,$P$3713:$Q$3715,MATCH(MID($A3714,10,3),$N$3713:$N$3715,0),FALSE)&lt;&gt;"",ROUND(HLOOKUP($D3714,$P$3713:$Q$3715,MATCH(MID($A3714,10,3),$N$3713:$N$3715,0),FALSE),2),"")</f>
        <v>14.3</v>
      </c>
      <c r="H3714" s="795">
        <f t="shared" si="1512"/>
        <v>11.44</v>
      </c>
      <c r="I3714" s="796"/>
      <c r="J3714" s="669">
        <v>44536</v>
      </c>
      <c r="K3714" s="23"/>
      <c r="L3714" s="70"/>
      <c r="M3714" s="127">
        <v>2022</v>
      </c>
      <c r="N3714" s="635" t="s">
        <v>7662</v>
      </c>
      <c r="O3714" s="568">
        <v>0</v>
      </c>
      <c r="P3714" s="327">
        <v>14.3</v>
      </c>
      <c r="Q3714" s="327">
        <v>12.54</v>
      </c>
      <c r="R3714" s="327"/>
      <c r="S3714" s="27"/>
      <c r="T3714" s="327">
        <f>P3714-0.2</f>
        <v>14.100000000000001</v>
      </c>
      <c r="U3714" s="327">
        <f>Q3714-0.2</f>
        <v>12.34</v>
      </c>
      <c r="V3714" s="27"/>
      <c r="W3714" s="27"/>
      <c r="X3714" s="27"/>
      <c r="Y3714" s="27"/>
      <c r="Z3714" s="27"/>
      <c r="AA3714" s="27"/>
      <c r="AB3714" s="27"/>
      <c r="AC3714" s="27"/>
      <c r="AD3714" s="27"/>
      <c r="AE3714" s="27"/>
      <c r="AF3714" s="27"/>
      <c r="AG3714" s="27"/>
      <c r="AH3714" s="253"/>
      <c r="AO3714" s="346"/>
    </row>
    <row r="3715" spans="1:41" s="12" customFormat="1" x14ac:dyDescent="0.25">
      <c r="A3715" s="644" t="str">
        <f>"BiK431---HJ1" &amp; RIGHT(M3714,2)</f>
        <v>BiK431---HJ122</v>
      </c>
      <c r="B3715" s="645" t="s">
        <v>5548</v>
      </c>
      <c r="C3715" s="643" t="str">
        <f>"Inbetriebnahme 01-06/20" &amp; RIGHT(M3714,2)</f>
        <v>Inbetriebnahme 01-06/2022</v>
      </c>
      <c r="D3715" s="643" t="s">
        <v>71</v>
      </c>
      <c r="E3715" s="645"/>
      <c r="F3715" s="657">
        <f>IF(HLOOKUP($D3715,$T$3713:$U$3715,MATCH(MID($A3715,10,3),$N$3713:$N$3715,0),FALSE)&lt;&gt;"",ROUND(HLOOKUP($D3715,$T$3713:$U$3715,MATCH(MID($A3715,10,3),$N$3713:$N$3715,0),FALSE),2),"")</f>
        <v>12.34</v>
      </c>
      <c r="G3715" s="656">
        <f>IF(HLOOKUP($D3715,$P$3713:$Q$3715,MATCH(MID($A3715,10,3),$N$3713:$N$3715,0),FALSE)&lt;&gt;"",ROUND(HLOOKUP($D3715,$P$3713:$Q$3715,MATCH(MID($A3715,10,3),$N$3713:$N$3715,0),FALSE),2),"")</f>
        <v>12.54</v>
      </c>
      <c r="H3715" s="795">
        <f t="shared" si="1512"/>
        <v>10.029999999999999</v>
      </c>
      <c r="I3715" s="796"/>
      <c r="J3715" s="669">
        <v>44536</v>
      </c>
      <c r="K3715" s="23"/>
      <c r="L3715" s="70"/>
      <c r="M3715" s="49"/>
      <c r="N3715" s="635" t="s">
        <v>7663</v>
      </c>
      <c r="O3715" s="568">
        <v>5.0000000000000001E-3</v>
      </c>
      <c r="P3715" s="327">
        <f>IF($O3715&lt;&gt;"",(1-$O3715)*P3714,"")</f>
        <v>14.2285</v>
      </c>
      <c r="Q3715" s="327">
        <f>IF($O3715&lt;&gt;"",(1-$O3715)*Q3714,"")</f>
        <v>12.4773</v>
      </c>
      <c r="R3715" s="327"/>
      <c r="S3715" s="27"/>
      <c r="T3715" s="327">
        <f>P3715-0.2</f>
        <v>14.028500000000001</v>
      </c>
      <c r="U3715" s="327">
        <f>Q3715-0.2</f>
        <v>12.2773</v>
      </c>
      <c r="V3715" s="27"/>
      <c r="W3715" s="27"/>
      <c r="X3715" s="27"/>
      <c r="Y3715" s="27"/>
      <c r="Z3715" s="27"/>
      <c r="AA3715" s="27"/>
      <c r="AB3715" s="27"/>
      <c r="AC3715" s="27"/>
      <c r="AD3715" s="27"/>
      <c r="AE3715" s="27"/>
      <c r="AF3715" s="27"/>
      <c r="AG3715" s="27"/>
      <c r="AH3715" s="253"/>
      <c r="AO3715" s="346"/>
    </row>
    <row r="3716" spans="1:41" s="12" customFormat="1" x14ac:dyDescent="0.25">
      <c r="A3716" s="644" t="str">
        <f>"BiK430---HJ2" &amp; RIGHT(M3714,2)</f>
        <v>BiK430---HJ222</v>
      </c>
      <c r="B3716" s="645" t="s">
        <v>5548</v>
      </c>
      <c r="C3716" s="643" t="str">
        <f>"Inbetriebnahme 07-12/20" &amp; RIGHT(M3714,2)</f>
        <v>Inbetriebnahme 07-12/2022</v>
      </c>
      <c r="D3716" s="643" t="s">
        <v>1774</v>
      </c>
      <c r="E3716" s="645"/>
      <c r="F3716" s="657">
        <f>IF(HLOOKUP($D3716,$T$3713:$U$3715,MATCH(MID($A3716,10,3),$N$3713:$N$3715,0),FALSE)&lt;&gt;"",ROUND(HLOOKUP($D3716,$T$3713:$U$3715,MATCH(MID($A3716,10,3),$N$3713:$N$3715,0),FALSE),2),"")</f>
        <v>14.03</v>
      </c>
      <c r="G3716" s="656">
        <f>IF(HLOOKUP($D3716,$P$3713:$Q$3715,MATCH(MID($A3716,10,3),$N$3713:$N$3715,0),FALSE)&lt;&gt;"",ROUND(HLOOKUP($D3716,$P$3713:$Q$3715,MATCH(MID($A3716,10,3),$N$3713:$N$3715,0),FALSE),2),"")</f>
        <v>14.23</v>
      </c>
      <c r="H3716" s="795">
        <f t="shared" si="1512"/>
        <v>11.38</v>
      </c>
      <c r="I3716" s="796"/>
      <c r="J3716" s="669">
        <v>44536</v>
      </c>
      <c r="K3716" s="23"/>
      <c r="L3716" s="70"/>
      <c r="M3716" s="127"/>
      <c r="V3716" s="27"/>
      <c r="W3716" s="27"/>
      <c r="X3716" s="27"/>
      <c r="Y3716" s="27"/>
      <c r="Z3716" s="27"/>
      <c r="AA3716" s="27"/>
      <c r="AB3716" s="27"/>
      <c r="AC3716" s="27"/>
      <c r="AD3716" s="27"/>
      <c r="AE3716" s="27"/>
      <c r="AF3716" s="27"/>
      <c r="AG3716" s="27"/>
      <c r="AH3716" s="253"/>
      <c r="AO3716" s="346"/>
    </row>
    <row r="3717" spans="1:41" s="12" customFormat="1" x14ac:dyDescent="0.25">
      <c r="A3717" s="644" t="str">
        <f>"BiK431---HJ2" &amp; RIGHT(M3714,2)</f>
        <v>BiK431---HJ222</v>
      </c>
      <c r="B3717" s="645" t="s">
        <v>5548</v>
      </c>
      <c r="C3717" s="643" t="str">
        <f>"Inbetriebnahme 07-12/20" &amp; RIGHT(M3714,2)</f>
        <v>Inbetriebnahme 07-12/2022</v>
      </c>
      <c r="D3717" s="643" t="s">
        <v>71</v>
      </c>
      <c r="E3717" s="645"/>
      <c r="F3717" s="657">
        <f>IF(HLOOKUP($D3717,$T$3713:$U$3715,MATCH(MID($A3717,10,3),$N$3713:$N$3715,0),FALSE)&lt;&gt;"",ROUND(HLOOKUP($D3717,$T$3713:$U$3715,MATCH(MID($A3717,10,3),$N$3713:$N$3715,0),FALSE),2),"")</f>
        <v>12.28</v>
      </c>
      <c r="G3717" s="656">
        <f>IF(HLOOKUP($D3717,$P$3713:$Q$3715,MATCH(MID($A3717,10,3),$N$3713:$N$3715,0),FALSE)&lt;&gt;"",ROUND(HLOOKUP($D3717,$P$3713:$Q$3715,MATCH(MID($A3717,10,3),$N$3713:$N$3715,0),FALSE),2),"")</f>
        <v>12.48</v>
      </c>
      <c r="H3717" s="795">
        <f t="shared" si="1512"/>
        <v>9.98</v>
      </c>
      <c r="I3717" s="796"/>
      <c r="J3717" s="669">
        <v>44536</v>
      </c>
      <c r="K3717" s="23"/>
      <c r="L3717" s="70"/>
      <c r="M3717" s="49"/>
      <c r="N3717" s="635"/>
      <c r="O3717" s="568"/>
      <c r="P3717" s="327"/>
      <c r="Q3717" s="327"/>
      <c r="R3717" s="327"/>
      <c r="S3717" s="27"/>
      <c r="T3717" s="327"/>
      <c r="U3717" s="327"/>
      <c r="V3717" s="27"/>
      <c r="W3717" s="27"/>
      <c r="X3717" s="27"/>
      <c r="Y3717" s="27"/>
      <c r="Z3717" s="27"/>
      <c r="AA3717" s="27"/>
      <c r="AB3717" s="27"/>
      <c r="AC3717" s="27"/>
      <c r="AD3717" s="27"/>
      <c r="AE3717" s="27"/>
      <c r="AF3717" s="27"/>
      <c r="AG3717" s="27"/>
      <c r="AH3717" s="253"/>
      <c r="AO3717" s="346"/>
    </row>
    <row r="3718" spans="1:41" s="12" customFormat="1" x14ac:dyDescent="0.25">
      <c r="A3718" s="4"/>
      <c r="B3718" s="4"/>
      <c r="C3718" s="445"/>
      <c r="D3718" s="34"/>
      <c r="E3718" s="2"/>
      <c r="F3718" s="468"/>
      <c r="G3718" s="4"/>
      <c r="H3718" s="503" t="str">
        <f t="shared" si="1512"/>
        <v/>
      </c>
      <c r="I3718" s="723"/>
      <c r="J3718" s="669" t="s">
        <v>4180</v>
      </c>
      <c r="K3718" s="23"/>
      <c r="L3718" s="70"/>
      <c r="M3718" s="49"/>
      <c r="N3718" s="41"/>
      <c r="P3718" s="774" t="s">
        <v>1774</v>
      </c>
      <c r="Q3718" s="774" t="s">
        <v>71</v>
      </c>
      <c r="R3718" s="774" t="s">
        <v>49</v>
      </c>
      <c r="S3718" s="127" t="s">
        <v>2884</v>
      </c>
      <c r="T3718" s="774" t="s">
        <v>1774</v>
      </c>
      <c r="U3718" s="774" t="s">
        <v>71</v>
      </c>
      <c r="V3718" s="27"/>
      <c r="W3718" s="27"/>
      <c r="X3718" s="27"/>
      <c r="Y3718" s="27"/>
      <c r="Z3718" s="27"/>
      <c r="AA3718" s="27"/>
      <c r="AB3718" s="27"/>
      <c r="AC3718" s="27"/>
      <c r="AD3718" s="27"/>
      <c r="AE3718" s="27"/>
      <c r="AF3718" s="27"/>
      <c r="AG3718" s="27"/>
      <c r="AH3718" s="253"/>
      <c r="AO3718" s="346"/>
    </row>
    <row r="3719" spans="1:41" s="12" customFormat="1" x14ac:dyDescent="0.25">
      <c r="A3719" s="644" t="s">
        <v>7915</v>
      </c>
      <c r="B3719" s="645" t="s">
        <v>5548</v>
      </c>
      <c r="C3719" s="643" t="s">
        <v>7913</v>
      </c>
      <c r="D3719" s="643" t="s">
        <v>1774</v>
      </c>
      <c r="E3719" s="645"/>
      <c r="F3719" s="793">
        <f>IF(HLOOKUP($D3719,$T$3718:$U$3720,2,FALSE)&lt;&gt;"",ROUND(HLOOKUP($D3719,$T$3718:$U$3720,2,FALSE),2),"")</f>
        <v>13.96</v>
      </c>
      <c r="G3719" s="795">
        <f>IF(HLOOKUP($D3719,$P$3718:$Q$3720,2,FALSE)&lt;&gt;"",ROUND(HLOOKUP($D3719,$P$3718:$Q$3720,2,FALSE),2),"")</f>
        <v>14.16</v>
      </c>
      <c r="H3719" s="795">
        <f t="shared" si="1512"/>
        <v>11.33</v>
      </c>
      <c r="I3719" s="796"/>
      <c r="J3719" s="669">
        <f>J$31</f>
        <v>44896</v>
      </c>
      <c r="K3719" s="23"/>
      <c r="L3719" s="70"/>
      <c r="M3719" s="127">
        <v>2023</v>
      </c>
      <c r="N3719" s="878"/>
      <c r="O3719" s="881" t="s">
        <v>7667</v>
      </c>
      <c r="P3719" s="327">
        <v>14.16</v>
      </c>
      <c r="Q3719" s="327">
        <v>12.41</v>
      </c>
      <c r="R3719" s="327"/>
      <c r="S3719" s="27"/>
      <c r="T3719" s="327">
        <f>P3719-0.2</f>
        <v>13.96</v>
      </c>
      <c r="U3719" s="327">
        <f>Q3719-0.2</f>
        <v>12.21</v>
      </c>
      <c r="V3719" s="27"/>
      <c r="W3719" s="27"/>
      <c r="X3719" s="27"/>
      <c r="Y3719" s="27"/>
      <c r="Z3719" s="27"/>
      <c r="AA3719" s="27"/>
      <c r="AB3719" s="27"/>
      <c r="AC3719" s="27"/>
      <c r="AD3719" s="27"/>
      <c r="AE3719" s="27"/>
      <c r="AF3719" s="27"/>
      <c r="AG3719" s="27"/>
      <c r="AH3719" s="253"/>
      <c r="AO3719" s="346"/>
    </row>
    <row r="3720" spans="1:41" s="12" customFormat="1" x14ac:dyDescent="0.25">
      <c r="A3720" s="644" t="s">
        <v>7916</v>
      </c>
      <c r="B3720" s="645" t="s">
        <v>5548</v>
      </c>
      <c r="C3720" s="643" t="s">
        <v>7913</v>
      </c>
      <c r="D3720" s="643" t="s">
        <v>71</v>
      </c>
      <c r="E3720" s="645"/>
      <c r="F3720" s="793">
        <f>IF(HLOOKUP($D3720,$T$3718:$U$3720,2,FALSE)&lt;&gt;"",ROUND(HLOOKUP($D3720,$T$3718:$U$3720,2,FALSE),2),"")</f>
        <v>12.21</v>
      </c>
      <c r="G3720" s="795">
        <f>IF(HLOOKUP($D3720,$P$3718:$Q$3720,2,FALSE)&lt;&gt;"",ROUND(HLOOKUP($D3720,$P$3718:$Q$3720,2,FALSE),2),"")</f>
        <v>12.41</v>
      </c>
      <c r="H3720" s="795">
        <f t="shared" si="1512"/>
        <v>9.93</v>
      </c>
      <c r="I3720" s="796"/>
      <c r="J3720" s="669">
        <f>J$31</f>
        <v>44896</v>
      </c>
      <c r="K3720" s="23"/>
      <c r="L3720" s="70"/>
      <c r="M3720" s="49"/>
      <c r="N3720" s="878"/>
      <c r="O3720" s="881"/>
      <c r="P3720" s="327"/>
      <c r="Q3720" s="327"/>
      <c r="R3720" s="327"/>
      <c r="S3720" s="27"/>
      <c r="T3720" s="327"/>
      <c r="U3720" s="327"/>
      <c r="V3720" s="27"/>
      <c r="W3720" s="27"/>
      <c r="X3720" s="27"/>
      <c r="Y3720" s="27"/>
      <c r="Z3720" s="27"/>
      <c r="AA3720" s="27"/>
      <c r="AB3720" s="27"/>
      <c r="AC3720" s="27"/>
      <c r="AD3720" s="27"/>
      <c r="AE3720" s="27"/>
      <c r="AF3720" s="27"/>
      <c r="AG3720" s="27"/>
      <c r="AH3720" s="253"/>
      <c r="AO3720" s="346"/>
    </row>
    <row r="3721" spans="1:41" s="12" customFormat="1" x14ac:dyDescent="0.25">
      <c r="A3721" s="4"/>
      <c r="B3721" s="4"/>
      <c r="C3721" s="4"/>
      <c r="D3721" s="4"/>
      <c r="E3721" s="4"/>
      <c r="F3721" s="468"/>
      <c r="G3721" s="4"/>
      <c r="H3721" s="503"/>
      <c r="I3721" s="723"/>
      <c r="J3721" s="669" t="s">
        <v>4180</v>
      </c>
      <c r="K3721" s="23"/>
      <c r="L3721" s="70"/>
      <c r="M3721" s="49"/>
      <c r="U3721" s="27"/>
      <c r="V3721" s="27"/>
      <c r="W3721" s="27"/>
      <c r="X3721" s="27"/>
      <c r="Y3721" s="27"/>
      <c r="Z3721" s="27"/>
      <c r="AA3721" s="27"/>
      <c r="AB3721" s="27"/>
      <c r="AC3721" s="27"/>
      <c r="AD3721" s="27"/>
      <c r="AE3721" s="27"/>
      <c r="AF3721" s="27"/>
      <c r="AG3721" s="27"/>
      <c r="AH3721" s="253"/>
      <c r="AO3721" s="346"/>
    </row>
    <row r="3722" spans="1:41" s="12" customFormat="1" x14ac:dyDescent="0.25">
      <c r="A3722" s="4"/>
      <c r="B3722" s="4"/>
      <c r="C3722" s="4"/>
      <c r="D3722" s="4"/>
      <c r="E3722" s="4"/>
      <c r="F3722" s="468"/>
      <c r="G3722" s="4"/>
      <c r="H3722" s="503"/>
      <c r="I3722" s="723"/>
      <c r="J3722" s="669" t="s">
        <v>4180</v>
      </c>
      <c r="K3722" s="23"/>
      <c r="L3722" s="70"/>
      <c r="M3722" s="49"/>
      <c r="U3722" s="27"/>
      <c r="V3722" s="27"/>
      <c r="W3722" s="27"/>
      <c r="X3722" s="27"/>
      <c r="Y3722" s="27"/>
      <c r="Z3722" s="27"/>
      <c r="AA3722" s="27"/>
      <c r="AB3722" s="27"/>
      <c r="AC3722" s="27"/>
      <c r="AD3722" s="27"/>
      <c r="AE3722" s="27"/>
      <c r="AF3722" s="27"/>
      <c r="AG3722" s="27"/>
      <c r="AH3722" s="253"/>
      <c r="AO3722" s="346"/>
    </row>
    <row r="3723" spans="1:41" ht="20.25" customHeight="1" x14ac:dyDescent="0.25">
      <c r="A3723" s="266" t="s">
        <v>1772</v>
      </c>
      <c r="B3723" s="2"/>
      <c r="C3723" s="1"/>
      <c r="D3723" s="2"/>
      <c r="E3723" s="1"/>
      <c r="F3723" s="442"/>
      <c r="G3723" s="13"/>
      <c r="H3723" s="13" t="str">
        <f t="shared" ref="H3723:H3730" si="1529">IF(ISNUMBER(G3723),ROUND(0.8*G3723,2),"")</f>
        <v/>
      </c>
      <c r="I3723" s="692"/>
      <c r="J3723" s="669" t="s">
        <v>5805</v>
      </c>
      <c r="K3723" s="28"/>
      <c r="M3723" s="35"/>
      <c r="N3723" s="15"/>
      <c r="O3723" s="15"/>
      <c r="R3723" s="118"/>
    </row>
    <row r="3724" spans="1:41" x14ac:dyDescent="0.25">
      <c r="A3724" s="4"/>
      <c r="B3724" s="2"/>
      <c r="C3724" s="1"/>
      <c r="D3724" s="2"/>
      <c r="E3724" s="1"/>
      <c r="F3724" s="442"/>
      <c r="G3724" s="13"/>
      <c r="H3724" s="13" t="str">
        <f t="shared" si="1529"/>
        <v/>
      </c>
      <c r="I3724" s="692"/>
      <c r="J3724" s="669" t="s">
        <v>4180</v>
      </c>
      <c r="K3724" s="28"/>
      <c r="M3724">
        <v>2012</v>
      </c>
      <c r="N3724" s="15"/>
      <c r="O3724" s="107"/>
      <c r="R3724" s="275"/>
    </row>
    <row r="3725" spans="1:41" s="238" customFormat="1" ht="57.75" customHeight="1" x14ac:dyDescent="0.2">
      <c r="A3725" s="229"/>
      <c r="B3725" s="230"/>
      <c r="C3725" s="231"/>
      <c r="D3725" s="231"/>
      <c r="E3725" s="232"/>
      <c r="F3725" s="464"/>
      <c r="G3725" s="233"/>
      <c r="H3725" s="496" t="str">
        <f t="shared" si="1529"/>
        <v/>
      </c>
      <c r="I3725" s="718"/>
      <c r="J3725" s="669" t="s">
        <v>4180</v>
      </c>
      <c r="K3725" s="234"/>
      <c r="L3725" s="234"/>
      <c r="M3725" s="242" t="s">
        <v>2914</v>
      </c>
      <c r="N3725" s="243" t="s">
        <v>510</v>
      </c>
      <c r="O3725" s="271" t="s">
        <v>496</v>
      </c>
      <c r="R3725" s="118" t="s">
        <v>505</v>
      </c>
      <c r="S3725" s="268"/>
      <c r="T3725" s="268"/>
      <c r="U3725" s="268"/>
      <c r="V3725" s="268"/>
      <c r="W3725" s="268"/>
      <c r="X3725" s="268"/>
      <c r="Y3725" s="237"/>
    </row>
    <row r="3726" spans="1:41" x14ac:dyDescent="0.25">
      <c r="A3726" s="613" t="s">
        <v>1770</v>
      </c>
      <c r="B3726" s="283" t="s">
        <v>5548</v>
      </c>
      <c r="C3726" s="284" t="s">
        <v>1984</v>
      </c>
      <c r="D3726" s="283" t="s">
        <v>1773</v>
      </c>
      <c r="E3726" s="283"/>
      <c r="F3726" s="465">
        <v>25</v>
      </c>
      <c r="G3726" s="541">
        <v>25</v>
      </c>
      <c r="H3726" s="497">
        <f t="shared" si="1529"/>
        <v>20</v>
      </c>
      <c r="I3726" s="719"/>
      <c r="J3726" s="669" t="s">
        <v>5805</v>
      </c>
      <c r="K3726" s="23"/>
      <c r="L3726" s="70" t="s">
        <v>4180</v>
      </c>
      <c r="M3726" s="49">
        <v>25</v>
      </c>
      <c r="N3726" s="41">
        <v>25</v>
      </c>
      <c r="O3726" s="15"/>
      <c r="R3726" s="275">
        <v>0.02</v>
      </c>
    </row>
    <row r="3727" spans="1:41" s="238" customFormat="1" x14ac:dyDescent="0.2">
      <c r="A3727" s="621"/>
      <c r="B3727" s="230"/>
      <c r="C3727" s="231"/>
      <c r="D3727" s="231"/>
      <c r="E3727" s="232"/>
      <c r="F3727" s="464"/>
      <c r="G3727" s="540"/>
      <c r="H3727" s="496" t="str">
        <f t="shared" si="1529"/>
        <v/>
      </c>
      <c r="I3727" s="718"/>
      <c r="J3727" s="669" t="s">
        <v>4180</v>
      </c>
      <c r="K3727" s="234"/>
      <c r="L3727" s="234"/>
      <c r="M3727" s="242"/>
      <c r="N3727" s="243"/>
      <c r="O3727" s="271"/>
      <c r="R3727" s="118"/>
      <c r="S3727" s="268"/>
      <c r="T3727" s="268"/>
      <c r="U3727" s="268"/>
      <c r="V3727" s="268"/>
      <c r="W3727" s="268"/>
      <c r="X3727" s="268"/>
      <c r="Y3727" s="237"/>
    </row>
    <row r="3728" spans="1:41" x14ac:dyDescent="0.25">
      <c r="A3728" s="615" t="s">
        <v>4698</v>
      </c>
      <c r="B3728" s="372" t="s">
        <v>5548</v>
      </c>
      <c r="C3728" s="375" t="s">
        <v>4676</v>
      </c>
      <c r="D3728" s="372" t="s">
        <v>1773</v>
      </c>
      <c r="E3728" s="372"/>
      <c r="F3728" s="459">
        <f>M3728</f>
        <v>24.5</v>
      </c>
      <c r="G3728" s="535">
        <v>24.5</v>
      </c>
      <c r="H3728" s="493">
        <f t="shared" si="1529"/>
        <v>19.600000000000001</v>
      </c>
      <c r="I3728" s="711"/>
      <c r="J3728" s="669" t="s">
        <v>5805</v>
      </c>
      <c r="K3728" s="23"/>
      <c r="L3728" s="70" t="s">
        <v>4180</v>
      </c>
      <c r="M3728" s="49">
        <f>ROUND(N3728,2)</f>
        <v>24.5</v>
      </c>
      <c r="N3728" s="41">
        <f>N3726*(1-$R$3726)</f>
        <v>24.5</v>
      </c>
      <c r="O3728" s="15"/>
      <c r="R3728" s="275"/>
    </row>
    <row r="3729" spans="1:33" x14ac:dyDescent="0.25">
      <c r="A3729" s="621"/>
      <c r="B3729" s="230"/>
      <c r="C3729" s="232"/>
      <c r="D3729" s="232"/>
      <c r="E3729" s="232"/>
      <c r="F3729" s="464"/>
      <c r="G3729" s="542"/>
      <c r="H3729" s="498" t="str">
        <f t="shared" si="1529"/>
        <v/>
      </c>
      <c r="I3729" s="720"/>
      <c r="J3729" s="669" t="s">
        <v>4180</v>
      </c>
      <c r="K3729" s="234"/>
      <c r="L3729" s="234"/>
      <c r="M3729" s="396"/>
      <c r="N3729" s="41"/>
      <c r="O3729" s="15"/>
    </row>
    <row r="3730" spans="1:33" x14ac:dyDescent="0.25">
      <c r="A3730" s="615" t="s">
        <v>1668</v>
      </c>
      <c r="B3730" s="372" t="s">
        <v>5548</v>
      </c>
      <c r="C3730" s="375" t="s">
        <v>1647</v>
      </c>
      <c r="D3730" s="372" t="s">
        <v>1773</v>
      </c>
      <c r="E3730" s="372"/>
      <c r="F3730" s="459">
        <f>M3730</f>
        <v>24.01</v>
      </c>
      <c r="G3730" s="544">
        <v>24.01</v>
      </c>
      <c r="H3730" s="500">
        <f t="shared" si="1529"/>
        <v>19.21</v>
      </c>
      <c r="I3730" s="711"/>
      <c r="J3730" s="669" t="s">
        <v>5805</v>
      </c>
      <c r="K3730" s="23"/>
      <c r="L3730" s="70" t="s">
        <v>4180</v>
      </c>
      <c r="M3730" s="387">
        <f>ROUND(N3730,2)</f>
        <v>24.01</v>
      </c>
      <c r="N3730" s="41">
        <f>N3728*(1-$R$3726)</f>
        <v>24.009999999999998</v>
      </c>
      <c r="O3730" s="15"/>
    </row>
    <row r="3731" spans="1:33" x14ac:dyDescent="0.25">
      <c r="A3731" s="4"/>
      <c r="B3731" s="2"/>
      <c r="C3731" s="1"/>
      <c r="D3731" s="2"/>
      <c r="E3731" s="1"/>
      <c r="F3731" s="442"/>
      <c r="G3731" s="13"/>
      <c r="H3731" s="13"/>
      <c r="I3731" s="692"/>
      <c r="J3731" s="669" t="s">
        <v>4180</v>
      </c>
      <c r="K3731" s="28"/>
      <c r="M3731" s="35"/>
      <c r="N3731" s="15"/>
      <c r="O3731" s="15"/>
    </row>
    <row r="3732" spans="1:33" s="259" customFormat="1" ht="20.25" customHeight="1" x14ac:dyDescent="0.25">
      <c r="A3732" s="266" t="s">
        <v>74</v>
      </c>
      <c r="B3732" s="255"/>
      <c r="C3732" s="256"/>
      <c r="D3732" s="255"/>
      <c r="E3732" s="256"/>
      <c r="F3732" s="463"/>
      <c r="G3732" s="257"/>
      <c r="H3732" s="257"/>
      <c r="I3732" s="717"/>
      <c r="J3732" s="669" t="s">
        <v>4180</v>
      </c>
      <c r="K3732" s="258"/>
      <c r="M3732" s="260" t="s">
        <v>76</v>
      </c>
      <c r="N3732" s="261"/>
      <c r="O3732" s="261"/>
      <c r="AG3732" s="262"/>
    </row>
    <row r="3733" spans="1:33" x14ac:dyDescent="0.25">
      <c r="A3733" s="4"/>
      <c r="B3733" s="2"/>
      <c r="C3733" s="34"/>
      <c r="D3733" s="34"/>
      <c r="E3733" s="2"/>
      <c r="F3733" s="445"/>
      <c r="G3733" s="14"/>
      <c r="H3733" s="14" t="str">
        <f>IF(ISNUMBER(G3733),ROUND(0.8*G3733,2),"")</f>
        <v/>
      </c>
      <c r="I3733" s="695"/>
      <c r="J3733" s="669" t="s">
        <v>4180</v>
      </c>
      <c r="N3733" s="270" t="s">
        <v>5490</v>
      </c>
      <c r="O3733" t="s">
        <v>1773</v>
      </c>
    </row>
    <row r="3734" spans="1:33" x14ac:dyDescent="0.25">
      <c r="A3734" s="607" t="s">
        <v>75</v>
      </c>
      <c r="B3734" s="435" t="s">
        <v>5548</v>
      </c>
      <c r="C3734" s="436" t="s">
        <v>39</v>
      </c>
      <c r="D3734" s="436" t="s">
        <v>1773</v>
      </c>
      <c r="E3734" s="435"/>
      <c r="F3734" s="450">
        <f>ROUND(HLOOKUP(D3734,O3733:Q3735,3,FALSE),2)</f>
        <v>23.53</v>
      </c>
      <c r="G3734" s="437">
        <f>ROUND(HLOOKUP(D3734,O3733:Q3735,2,FALSE),2)</f>
        <v>23.73</v>
      </c>
      <c r="H3734" s="437">
        <f>IF(ISNUMBER(G3734),ROUND(0.8*G3734,2),"")</f>
        <v>18.98</v>
      </c>
      <c r="I3734" s="700"/>
      <c r="J3734" s="669" t="s">
        <v>5805</v>
      </c>
      <c r="M3734" s="127">
        <v>2014</v>
      </c>
      <c r="N3734" s="395" t="s">
        <v>91</v>
      </c>
      <c r="O3734" s="327">
        <v>23.73</v>
      </c>
      <c r="P3734" s="327"/>
      <c r="Q3734" t="s">
        <v>49</v>
      </c>
    </row>
    <row r="3735" spans="1:33" x14ac:dyDescent="0.25">
      <c r="A3735" s="608"/>
      <c r="B3735" s="2"/>
      <c r="C3735" s="1"/>
      <c r="D3735" s="2"/>
      <c r="E3735" s="1"/>
      <c r="F3735" s="442"/>
      <c r="G3735" s="13"/>
      <c r="H3735" s="13"/>
      <c r="I3735" s="692"/>
      <c r="J3735" s="669" t="s">
        <v>4180</v>
      </c>
      <c r="N3735" s="395" t="s">
        <v>85</v>
      </c>
      <c r="O3735" s="327">
        <f>O3734-0.2</f>
        <v>23.53</v>
      </c>
      <c r="P3735" s="327"/>
      <c r="Q3735" t="s">
        <v>50</v>
      </c>
    </row>
    <row r="3736" spans="1:33" x14ac:dyDescent="0.25">
      <c r="A3736" s="608"/>
      <c r="B3736" s="2"/>
      <c r="C3736" s="34"/>
      <c r="D3736" s="34"/>
      <c r="E3736" s="2"/>
      <c r="F3736" s="445"/>
      <c r="G3736" s="14"/>
      <c r="H3736" s="14" t="str">
        <f>IF(ISNUMBER(G3736),ROUND(0.8*G3736,2),"")</f>
        <v/>
      </c>
      <c r="I3736" s="695"/>
      <c r="J3736" s="669" t="s">
        <v>4180</v>
      </c>
      <c r="N3736" s="270" t="s">
        <v>5490</v>
      </c>
      <c r="O3736" t="s">
        <v>1773</v>
      </c>
    </row>
    <row r="3737" spans="1:33" x14ac:dyDescent="0.25">
      <c r="A3737" s="607" t="s">
        <v>395</v>
      </c>
      <c r="B3737" s="435" t="s">
        <v>5548</v>
      </c>
      <c r="C3737" s="436" t="s">
        <v>380</v>
      </c>
      <c r="D3737" s="436" t="s">
        <v>1773</v>
      </c>
      <c r="E3737" s="435"/>
      <c r="F3737" s="450">
        <f>ROUND(HLOOKUP(D3737,O3736:Q3738,3,FALSE),2)</f>
        <v>23.53</v>
      </c>
      <c r="G3737" s="437">
        <f>ROUND(HLOOKUP(D3737,O3736:Q3738,2,FALSE),2)</f>
        <v>23.73</v>
      </c>
      <c r="H3737" s="437">
        <f>IF(ISNUMBER(G3737),ROUND(0.8*G3737,2),"")</f>
        <v>18.98</v>
      </c>
      <c r="I3737" s="700"/>
      <c r="J3737" s="669" t="s">
        <v>5805</v>
      </c>
      <c r="M3737" s="127">
        <v>2015</v>
      </c>
      <c r="N3737" s="395" t="s">
        <v>91</v>
      </c>
      <c r="O3737" s="327">
        <v>23.73</v>
      </c>
      <c r="P3737" s="327"/>
      <c r="Q3737" t="s">
        <v>49</v>
      </c>
    </row>
    <row r="3738" spans="1:33" x14ac:dyDescent="0.25">
      <c r="A3738" s="4"/>
      <c r="B3738" s="2"/>
      <c r="C3738" s="1"/>
      <c r="D3738" s="2"/>
      <c r="E3738" s="1"/>
      <c r="F3738" s="442"/>
      <c r="G3738" s="13"/>
      <c r="H3738" s="13"/>
      <c r="I3738" s="692"/>
      <c r="J3738" s="669" t="s">
        <v>4180</v>
      </c>
      <c r="N3738" s="395" t="s">
        <v>85</v>
      </c>
      <c r="O3738" s="327">
        <f>O3737-0.2</f>
        <v>23.53</v>
      </c>
      <c r="P3738" s="327"/>
      <c r="Q3738" t="s">
        <v>50</v>
      </c>
    </row>
    <row r="3739" spans="1:33" x14ac:dyDescent="0.25">
      <c r="A3739" s="608"/>
      <c r="B3739" s="2"/>
      <c r="C3739" s="34"/>
      <c r="D3739" s="34"/>
      <c r="E3739" s="2"/>
      <c r="F3739" s="445"/>
      <c r="G3739" s="14"/>
      <c r="H3739" s="14" t="str">
        <f>IF(ISNUMBER(G3739),ROUND(0.8*G3739,2),"")</f>
        <v/>
      </c>
      <c r="I3739" s="695"/>
      <c r="J3739" s="669" t="s">
        <v>4180</v>
      </c>
      <c r="N3739" s="270" t="s">
        <v>5490</v>
      </c>
      <c r="O3739" t="s">
        <v>1773</v>
      </c>
    </row>
    <row r="3740" spans="1:33" x14ac:dyDescent="0.25">
      <c r="A3740" s="607" t="s">
        <v>5706</v>
      </c>
      <c r="B3740" s="435" t="s">
        <v>5548</v>
      </c>
      <c r="C3740" s="436" t="s">
        <v>5677</v>
      </c>
      <c r="D3740" s="436" t="s">
        <v>1773</v>
      </c>
      <c r="E3740" s="435"/>
      <c r="F3740" s="450">
        <f>IF(VLOOKUP(MID($A3740,11,2),$N$3740:$S$3743,6,FALSE)&lt;&gt;"",ROUND(VLOOKUP(MID($A3740,11,2),$N$3740:$S$3743,6,FALSE),2),"")</f>
        <v>23.41</v>
      </c>
      <c r="G3740" s="437">
        <f>IF(VLOOKUP(MID($A3740,11,2),$N$3740:$S$3743,3,FALSE)&lt;&gt;"",ROUND(VLOOKUP(MID($A3740,11,2),$N$3740:$S$3743,3,FALSE),2),"")</f>
        <v>23.61</v>
      </c>
      <c r="H3740" s="437">
        <f>IF(ISNUMBER(G3740),ROUND(0.8*G3740,2),"")</f>
        <v>18.89</v>
      </c>
      <c r="I3740" s="700"/>
      <c r="J3740" s="669" t="s">
        <v>5805</v>
      </c>
      <c r="M3740" s="127">
        <v>2016</v>
      </c>
      <c r="N3740" s="637" t="s">
        <v>5759</v>
      </c>
      <c r="O3740" s="568">
        <v>5.0000000000000001E-3</v>
      </c>
      <c r="P3740" s="327">
        <f>IF($O3740&lt;&gt;"",(1-$O3740)*O3737,"")</f>
        <v>23.611350000000002</v>
      </c>
      <c r="Q3740" t="s">
        <v>49</v>
      </c>
      <c r="R3740" s="127" t="s">
        <v>2884</v>
      </c>
      <c r="S3740" s="327">
        <f>IF($O3740&lt;&gt;"",(1-$O3740)*O3738,"")</f>
        <v>23.41235</v>
      </c>
      <c r="T3740" t="s">
        <v>50</v>
      </c>
    </row>
    <row r="3741" spans="1:33" x14ac:dyDescent="0.25">
      <c r="A3741" s="607" t="s">
        <v>5707</v>
      </c>
      <c r="B3741" s="435" t="s">
        <v>5548</v>
      </c>
      <c r="C3741" s="436" t="s">
        <v>5695</v>
      </c>
      <c r="D3741" s="436" t="s">
        <v>1773</v>
      </c>
      <c r="E3741" s="435"/>
      <c r="F3741" s="450">
        <f>IF(VLOOKUP(MID($A3741,11,2),$N$3740:$S$3743,6,FALSE)&lt;&gt;"",ROUND(VLOOKUP(MID($A3741,11,2),$N$3740:$S$3743,6,FALSE),2),"")</f>
        <v>23.3</v>
      </c>
      <c r="G3741" s="437">
        <f>IF(VLOOKUP(MID($A3741,11,2),$N$3740:$S$3743,3,FALSE)&lt;&gt;"",ROUND(VLOOKUP(MID($A3741,11,2),$N$3740:$S$3743,3,FALSE),2),"")</f>
        <v>23.49</v>
      </c>
      <c r="H3741" s="437">
        <f>IF(ISNUMBER(G3741),ROUND(0.8*G3741,2),"")</f>
        <v>18.79</v>
      </c>
      <c r="I3741" s="700"/>
      <c r="J3741" s="669" t="s">
        <v>5805</v>
      </c>
      <c r="M3741" s="127"/>
      <c r="N3741" s="635" t="s">
        <v>5760</v>
      </c>
      <c r="O3741" s="568">
        <v>5.0000000000000001E-3</v>
      </c>
      <c r="P3741" s="327">
        <f>IF($O3741&lt;&gt;"",(1-$O3741)*P3740,"")</f>
        <v>23.493293250000001</v>
      </c>
      <c r="S3741" s="327">
        <f>IF($O3741&lt;&gt;"",(1-$O3741)*S3740,"")</f>
        <v>23.295288249999999</v>
      </c>
      <c r="T3741" s="327"/>
    </row>
    <row r="3742" spans="1:33" x14ac:dyDescent="0.25">
      <c r="A3742" s="607" t="s">
        <v>5708</v>
      </c>
      <c r="B3742" s="435" t="s">
        <v>5548</v>
      </c>
      <c r="C3742" s="436" t="s">
        <v>5696</v>
      </c>
      <c r="D3742" s="436" t="s">
        <v>1773</v>
      </c>
      <c r="E3742" s="435"/>
      <c r="F3742" s="450">
        <f>IF(VLOOKUP(MID($A3742,11,2),$N$3740:$S$3743,6,FALSE)&lt;&gt;"",ROUND(VLOOKUP(MID($A3742,11,2),$N$3740:$S$3743,6,FALSE),2),"")</f>
        <v>23.18</v>
      </c>
      <c r="G3742" s="437">
        <f>IF(VLOOKUP(MID($A3742,11,2),$N$3740:$S$3743,3,FALSE)&lt;&gt;"",ROUND(VLOOKUP(MID($A3742,11,2),$N$3740:$S$3743,3,FALSE),2),"")</f>
        <v>23.38</v>
      </c>
      <c r="H3742" s="437">
        <f>IF(ISNUMBER(G3742),ROUND(0.8*G3742,2),"")</f>
        <v>18.7</v>
      </c>
      <c r="I3742" s="700"/>
      <c r="J3742" s="669" t="s">
        <v>5805</v>
      </c>
      <c r="M3742" s="127"/>
      <c r="N3742" s="635" t="s">
        <v>5761</v>
      </c>
      <c r="O3742" s="568">
        <v>5.0000000000000001E-3</v>
      </c>
      <c r="P3742" s="327">
        <f>IF($O3742&lt;&gt;"",(1-$O3742)*P3741,"")</f>
        <v>23.37582678375</v>
      </c>
      <c r="S3742" s="327">
        <f>IF($O3742&lt;&gt;"",(1-$O3742)*S3741,"")</f>
        <v>23.178811808749998</v>
      </c>
      <c r="T3742" s="327"/>
    </row>
    <row r="3743" spans="1:33" x14ac:dyDescent="0.25">
      <c r="A3743" s="607" t="s">
        <v>5709</v>
      </c>
      <c r="B3743" s="435" t="s">
        <v>5548</v>
      </c>
      <c r="C3743" s="436" t="s">
        <v>5697</v>
      </c>
      <c r="D3743" s="436" t="s">
        <v>1773</v>
      </c>
      <c r="E3743" s="435"/>
      <c r="F3743" s="450">
        <f>IF(VLOOKUP(MID($A3743,11,2),$N$3740:$S$3743,6,FALSE)&lt;&gt;"",ROUND(VLOOKUP(MID($A3743,11,2),$N$3740:$S$3743,6,FALSE),2),"")</f>
        <v>23.06</v>
      </c>
      <c r="G3743" s="437">
        <f>IF(VLOOKUP(MID($A3743,11,2),$N$3740:$S$3743,3,FALSE)&lt;&gt;"",ROUND(VLOOKUP(MID($A3743,11,2),$N$3740:$S$3743,3,FALSE),2),"")</f>
        <v>23.26</v>
      </c>
      <c r="H3743" s="437">
        <f>IF(ISNUMBER(G3743),ROUND(0.8*G3743,2),"")</f>
        <v>18.61</v>
      </c>
      <c r="I3743" s="700"/>
      <c r="J3743" s="669" t="s">
        <v>5805</v>
      </c>
      <c r="M3743" s="127"/>
      <c r="N3743" s="635" t="s">
        <v>5762</v>
      </c>
      <c r="O3743" s="568">
        <v>5.0000000000000001E-3</v>
      </c>
      <c r="P3743" s="327">
        <f>IF($O3743&lt;&gt;"",(1-$O3743)*P3742,"")</f>
        <v>23.258947649831249</v>
      </c>
      <c r="S3743" s="327">
        <f>IF($O3743&lt;&gt;"",(1-$O3743)*S3742,"")</f>
        <v>23.062917749706248</v>
      </c>
      <c r="T3743" s="327"/>
    </row>
    <row r="3744" spans="1:33" x14ac:dyDescent="0.25">
      <c r="A3744" s="4"/>
      <c r="B3744" s="2"/>
      <c r="C3744" s="1"/>
      <c r="D3744" s="2"/>
      <c r="E3744" s="1"/>
      <c r="F3744" s="442"/>
      <c r="G3744" s="13"/>
      <c r="H3744" s="13"/>
      <c r="I3744" s="692"/>
      <c r="J3744" s="669" t="s">
        <v>4180</v>
      </c>
      <c r="K3744" s="28"/>
      <c r="M3744" s="35"/>
      <c r="N3744" s="15"/>
      <c r="O3744" s="15"/>
    </row>
    <row r="3745" spans="1:20" ht="15.75" x14ac:dyDescent="0.25">
      <c r="A3745" s="266" t="s">
        <v>7917</v>
      </c>
      <c r="B3745" s="255"/>
      <c r="C3745" s="256"/>
      <c r="D3745" s="255"/>
      <c r="E3745" s="256"/>
      <c r="F3745" s="463"/>
      <c r="G3745" s="257"/>
      <c r="H3745" s="257"/>
      <c r="I3745" s="717"/>
      <c r="J3745" s="669">
        <v>42705</v>
      </c>
      <c r="K3745" s="258"/>
      <c r="L3745" s="259"/>
      <c r="M3745" s="260" t="s">
        <v>5924</v>
      </c>
      <c r="N3745" s="261"/>
      <c r="O3745" s="261"/>
      <c r="P3745" s="259"/>
      <c r="Q3745" s="259"/>
      <c r="R3745" s="259"/>
      <c r="S3745" s="259"/>
      <c r="T3745" s="259"/>
    </row>
    <row r="3746" spans="1:20" x14ac:dyDescent="0.25">
      <c r="A3746" s="608"/>
      <c r="B3746" s="2"/>
      <c r="C3746" s="34"/>
      <c r="D3746" s="34"/>
      <c r="E3746" s="2"/>
      <c r="F3746" s="445"/>
      <c r="G3746" s="14"/>
      <c r="H3746" s="14" t="str">
        <f t="shared" ref="H3746:H3773" si="1530">IF(ISNUMBER(G3746),ROUND(0.8*G3746,2),"")</f>
        <v/>
      </c>
      <c r="I3746" s="695"/>
      <c r="J3746" s="669" t="s">
        <v>4180</v>
      </c>
      <c r="N3746" s="270" t="s">
        <v>5490</v>
      </c>
      <c r="O3746" t="s">
        <v>1773</v>
      </c>
    </row>
    <row r="3747" spans="1:20" x14ac:dyDescent="0.25">
      <c r="A3747" s="644" t="s">
        <v>5925</v>
      </c>
      <c r="B3747" s="645" t="s">
        <v>5548</v>
      </c>
      <c r="C3747" s="643" t="s">
        <v>5893</v>
      </c>
      <c r="D3747" s="643" t="s">
        <v>1773</v>
      </c>
      <c r="E3747" s="645"/>
      <c r="F3747" s="657">
        <f>IF(VLOOKUP(MID($A3747,11,2),$N$3747:$S$3750,6,FALSE)&lt;&gt;"",ROUND(VLOOKUP(MID($A3747,11,2),$N$3747:$S$3750,6,FALSE),2),"")</f>
        <v>22.94</v>
      </c>
      <c r="G3747" s="656">
        <f>IF(VLOOKUP(MID($A3747,11,2),$N$3747:$S$3750,3,FALSE)&lt;&gt;"",ROUND(VLOOKUP(MID($A3747,11,2),$N$3747:$S$3750,3,FALSE),2),"")</f>
        <v>23.14</v>
      </c>
      <c r="H3747" s="656">
        <f t="shared" si="1530"/>
        <v>18.510000000000002</v>
      </c>
      <c r="I3747" s="701"/>
      <c r="J3747" s="669">
        <v>42705</v>
      </c>
      <c r="M3747" s="127">
        <v>2017</v>
      </c>
      <c r="N3747" s="637" t="s">
        <v>5759</v>
      </c>
      <c r="O3747" s="568"/>
      <c r="P3747" s="327">
        <v>23.14</v>
      </c>
      <c r="Q3747" t="s">
        <v>49</v>
      </c>
      <c r="R3747" s="127" t="s">
        <v>2884</v>
      </c>
      <c r="S3747" s="327">
        <f>P3747-0.2</f>
        <v>22.94</v>
      </c>
      <c r="T3747" t="s">
        <v>50</v>
      </c>
    </row>
    <row r="3748" spans="1:20" x14ac:dyDescent="0.25">
      <c r="A3748" s="644" t="s">
        <v>5926</v>
      </c>
      <c r="B3748" s="645" t="s">
        <v>5548</v>
      </c>
      <c r="C3748" s="643" t="s">
        <v>5894</v>
      </c>
      <c r="D3748" s="643" t="s">
        <v>1773</v>
      </c>
      <c r="E3748" s="645"/>
      <c r="F3748" s="657">
        <f>IF(VLOOKUP(MID($A3748,11,2),$N$3747:$S$3750,6,FALSE)&lt;&gt;"",ROUND(VLOOKUP(MID($A3748,11,2),$N$3747:$S$3750,6,FALSE),2),"")</f>
        <v>22.82</v>
      </c>
      <c r="G3748" s="656">
        <f>IF(VLOOKUP(MID($A3748,11,2),$N$3747:$S$3750,3,FALSE)&lt;&gt;"",ROUND(VLOOKUP(MID($A3748,11,2),$N$3747:$S$3750,3,FALSE),2),"")</f>
        <v>23.02</v>
      </c>
      <c r="H3748" s="656">
        <f t="shared" si="1530"/>
        <v>18.420000000000002</v>
      </c>
      <c r="I3748" s="701"/>
      <c r="J3748" s="669">
        <v>42705</v>
      </c>
      <c r="M3748" s="127"/>
      <c r="N3748" s="635" t="s">
        <v>5760</v>
      </c>
      <c r="O3748" s="568">
        <v>5.0000000000000001E-3</v>
      </c>
      <c r="P3748" s="327">
        <f>IF($O3748&lt;&gt;"",(1-$O3748)*P3747,"")</f>
        <v>23.0243</v>
      </c>
      <c r="S3748" s="327">
        <f>P3748-0.2</f>
        <v>22.824300000000001</v>
      </c>
      <c r="T3748" s="327"/>
    </row>
    <row r="3749" spans="1:20" x14ac:dyDescent="0.25">
      <c r="A3749" s="644" t="s">
        <v>5903</v>
      </c>
      <c r="B3749" s="645" t="s">
        <v>5548</v>
      </c>
      <c r="C3749" s="643" t="s">
        <v>5895</v>
      </c>
      <c r="D3749" s="643" t="s">
        <v>1773</v>
      </c>
      <c r="E3749" s="645"/>
      <c r="F3749" s="657">
        <f>IF(VLOOKUP(MID($A3749,11,2),$N$3747:$S$3750,6,FALSE)&lt;&gt;"",ROUND(VLOOKUP(MID($A3749,11,2),$N$3747:$S$3750,6,FALSE),2),"")</f>
        <v>22.82</v>
      </c>
      <c r="G3749" s="656">
        <f>IF(VLOOKUP(MID($A3749,11,2),$N$3747:$S$3750,3,FALSE)&lt;&gt;"",ROUND(VLOOKUP(MID($A3749,11,2),$N$3747:$S$3750,3,FALSE),2),"")</f>
        <v>23.02</v>
      </c>
      <c r="H3749" s="656">
        <f t="shared" si="1530"/>
        <v>18.420000000000002</v>
      </c>
      <c r="I3749" s="701"/>
      <c r="J3749" s="669">
        <v>42705</v>
      </c>
      <c r="M3749" s="127"/>
      <c r="N3749" s="635" t="s">
        <v>5761</v>
      </c>
      <c r="O3749" s="568">
        <v>0</v>
      </c>
      <c r="P3749" s="327">
        <f>IF($O3749&lt;&gt;"",(1-$O3749)*P3748,"")</f>
        <v>23.0243</v>
      </c>
      <c r="S3749" s="327">
        <f>P3749-0.2</f>
        <v>22.824300000000001</v>
      </c>
      <c r="T3749" s="327"/>
    </row>
    <row r="3750" spans="1:20" x14ac:dyDescent="0.25">
      <c r="A3750" s="644" t="s">
        <v>5904</v>
      </c>
      <c r="B3750" s="645" t="s">
        <v>5548</v>
      </c>
      <c r="C3750" s="643" t="s">
        <v>5896</v>
      </c>
      <c r="D3750" s="643" t="s">
        <v>1773</v>
      </c>
      <c r="E3750" s="645"/>
      <c r="F3750" s="657">
        <f>IF(VLOOKUP(MID($A3750,11,2),$N$3747:$S$3750,6,FALSE)&lt;&gt;"",ROUND(VLOOKUP(MID($A3750,11,2),$N$3747:$S$3750,6,FALSE),2),"")</f>
        <v>22.71</v>
      </c>
      <c r="G3750" s="656">
        <f>IF(VLOOKUP(MID($A3750,11,2),$N$3747:$S$3750,3,FALSE)&lt;&gt;"",ROUND(VLOOKUP(MID($A3750,11,2),$N$3747:$S$3750,3,FALSE),2),"")</f>
        <v>22.91</v>
      </c>
      <c r="H3750" s="656">
        <f t="shared" si="1530"/>
        <v>18.329999999999998</v>
      </c>
      <c r="I3750" s="701"/>
      <c r="J3750" s="669">
        <v>42705</v>
      </c>
      <c r="M3750" s="127"/>
      <c r="N3750" s="635" t="s">
        <v>5762</v>
      </c>
      <c r="O3750" s="568">
        <v>5.0000000000000001E-3</v>
      </c>
      <c r="P3750" s="327">
        <f>IF($O3750&lt;&gt;"",(1-$O3750)*P3749,"")</f>
        <v>22.909178499999999</v>
      </c>
      <c r="S3750" s="327">
        <f>P3750-0.2</f>
        <v>22.7091785</v>
      </c>
      <c r="T3750" s="327"/>
    </row>
    <row r="3751" spans="1:20" x14ac:dyDescent="0.25">
      <c r="A3751" s="608"/>
      <c r="B3751" s="2"/>
      <c r="C3751" s="34"/>
      <c r="D3751" s="34"/>
      <c r="E3751" s="2"/>
      <c r="F3751" s="445"/>
      <c r="G3751" s="14"/>
      <c r="H3751" s="14" t="str">
        <f t="shared" si="1530"/>
        <v/>
      </c>
      <c r="I3751" s="695"/>
      <c r="J3751" s="669" t="s">
        <v>4180</v>
      </c>
      <c r="N3751" s="270" t="s">
        <v>5490</v>
      </c>
      <c r="O3751" t="s">
        <v>1773</v>
      </c>
    </row>
    <row r="3752" spans="1:20" x14ac:dyDescent="0.25">
      <c r="A3752" s="644" t="s">
        <v>6218</v>
      </c>
      <c r="B3752" s="645" t="s">
        <v>5548</v>
      </c>
      <c r="C3752" s="643" t="s">
        <v>6198</v>
      </c>
      <c r="D3752" s="643" t="s">
        <v>1773</v>
      </c>
      <c r="E3752" s="645"/>
      <c r="F3752" s="657">
        <f>IF(VLOOKUP(MID($A3752,11,2),$N$3752:$S$3755,6,FALSE)&lt;&gt;"",ROUND(VLOOKUP(MID($A3752,11,2),$N$3752:$S$3755,6,FALSE),2),"")</f>
        <v>22.71</v>
      </c>
      <c r="G3752" s="656">
        <f>IF(VLOOKUP(MID($A3752,11,2),$N$3752:$S$3755,3,FALSE)&lt;&gt;"",ROUND(VLOOKUP(MID($A3752,11,2),$N$3752:$S$3755,3,FALSE),2),"")</f>
        <v>22.91</v>
      </c>
      <c r="H3752" s="656">
        <f t="shared" si="1530"/>
        <v>18.329999999999998</v>
      </c>
      <c r="I3752" s="701"/>
      <c r="J3752" s="669">
        <v>43077</v>
      </c>
      <c r="M3752" s="127">
        <v>2018</v>
      </c>
      <c r="N3752" s="637" t="s">
        <v>5759</v>
      </c>
      <c r="O3752" s="568">
        <v>0</v>
      </c>
      <c r="P3752" s="327">
        <f>IF($O3752&lt;&gt;"",(1-$O3752)*P3750,"")</f>
        <v>22.909178499999999</v>
      </c>
      <c r="Q3752" t="s">
        <v>49</v>
      </c>
      <c r="R3752" s="127" t="s">
        <v>2884</v>
      </c>
      <c r="S3752" s="327">
        <f>P3752-0.2</f>
        <v>22.7091785</v>
      </c>
      <c r="T3752" t="s">
        <v>50</v>
      </c>
    </row>
    <row r="3753" spans="1:20" x14ac:dyDescent="0.25">
      <c r="A3753" s="644" t="s">
        <v>6219</v>
      </c>
      <c r="B3753" s="645" t="s">
        <v>5548</v>
      </c>
      <c r="C3753" s="643" t="s">
        <v>6199</v>
      </c>
      <c r="D3753" s="643" t="s">
        <v>1773</v>
      </c>
      <c r="E3753" s="645"/>
      <c r="F3753" s="657">
        <f>IF(VLOOKUP(MID($A3753,11,2),$N$3752:$S$3755,6,FALSE)&lt;&gt;"",ROUND(VLOOKUP(MID($A3753,11,2),$N$3752:$S$3755,6,FALSE),2),"")</f>
        <v>22.59</v>
      </c>
      <c r="G3753" s="656">
        <f>IF(VLOOKUP(MID($A3753,11,2),$N$3752:$S$3755,3,FALSE)&lt;&gt;"",ROUND(VLOOKUP(MID($A3753,11,2),$N$3752:$S$3755,3,FALSE),2),"")</f>
        <v>22.79</v>
      </c>
      <c r="H3753" s="656">
        <f t="shared" si="1530"/>
        <v>18.23</v>
      </c>
      <c r="I3753" s="701"/>
      <c r="J3753" s="669">
        <v>43077</v>
      </c>
      <c r="M3753" s="127"/>
      <c r="N3753" s="635" t="s">
        <v>5760</v>
      </c>
      <c r="O3753" s="568">
        <v>5.0000000000000001E-3</v>
      </c>
      <c r="P3753" s="327">
        <f>IF($O3753&lt;&gt;"",(1-$O3753)*P3752,"")</f>
        <v>22.794632607499999</v>
      </c>
      <c r="S3753" s="327">
        <f>P3753-0.2</f>
        <v>22.594632607499999</v>
      </c>
      <c r="T3753" s="327"/>
    </row>
    <row r="3754" spans="1:20" x14ac:dyDescent="0.25">
      <c r="A3754" s="644" t="s">
        <v>6220</v>
      </c>
      <c r="B3754" s="645" t="s">
        <v>5548</v>
      </c>
      <c r="C3754" s="643" t="s">
        <v>6200</v>
      </c>
      <c r="D3754" s="643" t="s">
        <v>1773</v>
      </c>
      <c r="E3754" s="645"/>
      <c r="F3754" s="657">
        <f>IF(VLOOKUP(MID($A3754,11,2),$N$3752:$S$3755,6,FALSE)&lt;&gt;"",ROUND(VLOOKUP(MID($A3754,11,2),$N$3752:$S$3755,6,FALSE),2),"")</f>
        <v>22.59</v>
      </c>
      <c r="G3754" s="656">
        <f>IF(VLOOKUP(MID($A3754,11,2),$N$3752:$S$3755,3,FALSE)&lt;&gt;"",ROUND(VLOOKUP(MID($A3754,11,2),$N$3752:$S$3755,3,FALSE),2),"")</f>
        <v>22.79</v>
      </c>
      <c r="H3754" s="656">
        <f t="shared" si="1530"/>
        <v>18.23</v>
      </c>
      <c r="I3754" s="701"/>
      <c r="J3754" s="669">
        <v>43077</v>
      </c>
      <c r="M3754" s="127"/>
      <c r="N3754" s="635" t="s">
        <v>5761</v>
      </c>
      <c r="O3754" s="568">
        <v>0</v>
      </c>
      <c r="P3754" s="327">
        <f>IF($O3754&lt;&gt;"",(1-$O3754)*P3753,"")</f>
        <v>22.794632607499999</v>
      </c>
      <c r="S3754" s="327">
        <f>P3754-0.2</f>
        <v>22.594632607499999</v>
      </c>
      <c r="T3754" s="327"/>
    </row>
    <row r="3755" spans="1:20" x14ac:dyDescent="0.25">
      <c r="A3755" s="644" t="s">
        <v>6221</v>
      </c>
      <c r="B3755" s="645" t="s">
        <v>5548</v>
      </c>
      <c r="C3755" s="643" t="s">
        <v>6201</v>
      </c>
      <c r="D3755" s="643" t="s">
        <v>6480</v>
      </c>
      <c r="E3755" s="645"/>
      <c r="F3755" s="657">
        <f>IF(VLOOKUP(MID($A3755,11,2),$N$3752:$S$3755,6,FALSE)&lt;&gt;"",ROUND(VLOOKUP(MID($A3755,11,2),$N$3752:$S$3755,6,FALSE),2),"")</f>
        <v>22.48</v>
      </c>
      <c r="G3755" s="656">
        <f>IF(VLOOKUP(MID($A3755,11,2),$N$3752:$S$3755,3,FALSE)&lt;&gt;"",ROUND(VLOOKUP(MID($A3755,11,2),$N$3752:$S$3755,3,FALSE),2),"")</f>
        <v>22.68</v>
      </c>
      <c r="H3755" s="656">
        <f t="shared" si="1530"/>
        <v>18.14</v>
      </c>
      <c r="I3755" s="701"/>
      <c r="J3755" s="669">
        <v>43077</v>
      </c>
      <c r="M3755" s="127"/>
      <c r="N3755" s="635" t="s">
        <v>5762</v>
      </c>
      <c r="O3755" s="568">
        <v>5.0000000000000001E-3</v>
      </c>
      <c r="P3755" s="327">
        <f>IF($O3755&lt;&gt;"",(1-$O3755)*P3754,"")</f>
        <v>22.680659444462499</v>
      </c>
      <c r="S3755" s="327">
        <f>P3755-0.2</f>
        <v>22.4806594444625</v>
      </c>
      <c r="T3755" s="327"/>
    </row>
    <row r="3756" spans="1:20" s="774" customFormat="1" x14ac:dyDescent="0.25">
      <c r="A3756" s="608"/>
      <c r="B3756" s="2"/>
      <c r="C3756" s="34"/>
      <c r="D3756" s="34"/>
      <c r="E3756" s="2"/>
      <c r="F3756" s="445"/>
      <c r="G3756" s="14"/>
      <c r="H3756" s="14" t="str">
        <f t="shared" si="1530"/>
        <v/>
      </c>
      <c r="I3756" s="695"/>
      <c r="J3756" s="669" t="s">
        <v>4180</v>
      </c>
      <c r="N3756" s="270" t="s">
        <v>5490</v>
      </c>
      <c r="O3756" s="774" t="s">
        <v>6478</v>
      </c>
    </row>
    <row r="3757" spans="1:20" s="774" customFormat="1" x14ac:dyDescent="0.25">
      <c r="A3757" s="644" t="s">
        <v>6401</v>
      </c>
      <c r="B3757" s="645" t="s">
        <v>5548</v>
      </c>
      <c r="C3757" s="643" t="s">
        <v>6405</v>
      </c>
      <c r="D3757" s="643" t="s">
        <v>6478</v>
      </c>
      <c r="E3757" s="645"/>
      <c r="F3757" s="657">
        <f>IF(VLOOKUP(MID($A3757,11,2),$N$3757:$S$3760,6,FALSE)&lt;&gt;"",ROUND(VLOOKUP(MID($A3757,11,2),$N$3757:$S$3760,6,FALSE),2),"")</f>
        <v>22.48</v>
      </c>
      <c r="G3757" s="656">
        <f>IF(VLOOKUP(MID($A3757,11,2),$N$3757:$S$3760,3,FALSE)&lt;&gt;"",ROUND(VLOOKUP(MID($A3757,11,2),$N$3757:$S$3760,3,FALSE),2),"")</f>
        <v>22.68</v>
      </c>
      <c r="H3757" s="656">
        <f t="shared" si="1530"/>
        <v>18.14</v>
      </c>
      <c r="I3757" s="701"/>
      <c r="J3757" s="669">
        <v>43419</v>
      </c>
      <c r="M3757" s="127">
        <v>2019</v>
      </c>
      <c r="N3757" s="637" t="s">
        <v>5759</v>
      </c>
      <c r="O3757" s="568">
        <v>0</v>
      </c>
      <c r="P3757" s="327">
        <f>IF($O3757&lt;&gt;"",(1-$O3757)*P3755,"")</f>
        <v>22.680659444462499</v>
      </c>
      <c r="Q3757" s="774" t="s">
        <v>49</v>
      </c>
      <c r="R3757" s="127" t="s">
        <v>2884</v>
      </c>
      <c r="S3757" s="327">
        <f>P3757-0.2</f>
        <v>22.4806594444625</v>
      </c>
      <c r="T3757" s="774" t="s">
        <v>50</v>
      </c>
    </row>
    <row r="3758" spans="1:20" s="774" customFormat="1" x14ac:dyDescent="0.25">
      <c r="A3758" s="644" t="s">
        <v>6402</v>
      </c>
      <c r="B3758" s="645" t="s">
        <v>5548</v>
      </c>
      <c r="C3758" s="643" t="s">
        <v>6406</v>
      </c>
      <c r="D3758" s="643" t="s">
        <v>6478</v>
      </c>
      <c r="E3758" s="645"/>
      <c r="F3758" s="657">
        <f>IF(VLOOKUP(MID($A3758,11,2),$N$3757:$S$3760,6,FALSE)&lt;&gt;"",ROUND(VLOOKUP(MID($A3758,11,2),$N$3757:$S$3760,6,FALSE),2),"")</f>
        <v>22.37</v>
      </c>
      <c r="G3758" s="656">
        <f>IF(VLOOKUP(MID($A3758,11,2),$N$3757:$S$3760,3,FALSE)&lt;&gt;"",ROUND(VLOOKUP(MID($A3758,11,2),$N$3757:$S$3760,3,FALSE),2),"")</f>
        <v>22.57</v>
      </c>
      <c r="H3758" s="656">
        <f t="shared" si="1530"/>
        <v>18.059999999999999</v>
      </c>
      <c r="I3758" s="701"/>
      <c r="J3758" s="669">
        <v>43419</v>
      </c>
      <c r="M3758" s="127"/>
      <c r="N3758" s="635" t="s">
        <v>5760</v>
      </c>
      <c r="O3758" s="568">
        <v>5.0000000000000001E-3</v>
      </c>
      <c r="P3758" s="327">
        <f>IF($O3758&lt;&gt;"",(1-$O3758)*P3757,"")</f>
        <v>22.567256147240187</v>
      </c>
      <c r="S3758" s="327">
        <f>P3758-0.2</f>
        <v>22.367256147240187</v>
      </c>
      <c r="T3758" s="327"/>
    </row>
    <row r="3759" spans="1:20" s="774" customFormat="1" x14ac:dyDescent="0.25">
      <c r="A3759" s="644" t="s">
        <v>6403</v>
      </c>
      <c r="B3759" s="645" t="s">
        <v>5548</v>
      </c>
      <c r="C3759" s="643" t="s">
        <v>6407</v>
      </c>
      <c r="D3759" s="643" t="s">
        <v>6478</v>
      </c>
      <c r="E3759" s="645"/>
      <c r="F3759" s="657">
        <f>IF(VLOOKUP(MID($A3759,11,2),$N$3757:$S$3760,6,FALSE)&lt;&gt;"",ROUND(VLOOKUP(MID($A3759,11,2),$N$3757:$S$3760,6,FALSE),2),"")</f>
        <v>22.37</v>
      </c>
      <c r="G3759" s="656">
        <f>IF(VLOOKUP(MID($A3759,11,2),$N$3757:$S$3760,3,FALSE)&lt;&gt;"",ROUND(VLOOKUP(MID($A3759,11,2),$N$3757:$S$3760,3,FALSE),2),"")</f>
        <v>22.57</v>
      </c>
      <c r="H3759" s="656">
        <f t="shared" si="1530"/>
        <v>18.059999999999999</v>
      </c>
      <c r="I3759" s="701"/>
      <c r="J3759" s="669">
        <v>43419</v>
      </c>
      <c r="M3759" s="127"/>
      <c r="N3759" s="635" t="s">
        <v>5761</v>
      </c>
      <c r="O3759" s="568">
        <v>0</v>
      </c>
      <c r="P3759" s="327">
        <f>IF($O3759&lt;&gt;"",(1-$O3759)*P3758,"")</f>
        <v>22.567256147240187</v>
      </c>
      <c r="S3759" s="327">
        <f>P3759-0.2</f>
        <v>22.367256147240187</v>
      </c>
      <c r="T3759" s="327"/>
    </row>
    <row r="3760" spans="1:20" s="774" customFormat="1" x14ac:dyDescent="0.25">
      <c r="A3760" s="644" t="s">
        <v>6404</v>
      </c>
      <c r="B3760" s="645" t="s">
        <v>5548</v>
      </c>
      <c r="C3760" s="643" t="s">
        <v>6408</v>
      </c>
      <c r="D3760" s="643" t="s">
        <v>6478</v>
      </c>
      <c r="E3760" s="645"/>
      <c r="F3760" s="657">
        <f>IF(VLOOKUP(MID($A3760,11,2),$N$3757:$S$3760,6,FALSE)&lt;&gt;"",ROUND(VLOOKUP(MID($A3760,11,2),$N$3757:$S$3760,6,FALSE),2),"")</f>
        <v>22.25</v>
      </c>
      <c r="G3760" s="656">
        <f>IF(VLOOKUP(MID($A3760,11,2),$N$3757:$S$3760,3,FALSE)&lt;&gt;"",ROUND(VLOOKUP(MID($A3760,11,2),$N$3757:$S$3760,3,FALSE),2),"")</f>
        <v>22.45</v>
      </c>
      <c r="H3760" s="656">
        <f t="shared" si="1530"/>
        <v>17.96</v>
      </c>
      <c r="I3760" s="701"/>
      <c r="J3760" s="669">
        <v>43419</v>
      </c>
      <c r="M3760" s="127"/>
      <c r="N3760" s="635" t="s">
        <v>5762</v>
      </c>
      <c r="O3760" s="568">
        <v>5.0000000000000001E-3</v>
      </c>
      <c r="P3760" s="327">
        <f>IF($O3760&lt;&gt;"",(1-$O3760)*P3759,"")</f>
        <v>22.454419866503986</v>
      </c>
      <c r="S3760" s="327">
        <f>P3760-0.2</f>
        <v>22.254419866503987</v>
      </c>
      <c r="T3760" s="327"/>
    </row>
    <row r="3761" spans="1:41" s="774" customFormat="1" x14ac:dyDescent="0.25">
      <c r="A3761" s="608"/>
      <c r="B3761" s="2"/>
      <c r="C3761" s="34"/>
      <c r="D3761" s="34"/>
      <c r="E3761" s="2"/>
      <c r="F3761" s="445"/>
      <c r="G3761" s="14"/>
      <c r="H3761" s="14" t="str">
        <f t="shared" si="1530"/>
        <v/>
      </c>
      <c r="I3761" s="695"/>
      <c r="J3761" s="669" t="s">
        <v>4180</v>
      </c>
      <c r="N3761" s="270" t="s">
        <v>5490</v>
      </c>
      <c r="O3761" s="774" t="s">
        <v>6478</v>
      </c>
    </row>
    <row r="3762" spans="1:41" s="774" customFormat="1" x14ac:dyDescent="0.25">
      <c r="A3762" s="644" t="s">
        <v>6547</v>
      </c>
      <c r="B3762" s="645" t="s">
        <v>5548</v>
      </c>
      <c r="C3762" s="643" t="s">
        <v>6519</v>
      </c>
      <c r="D3762" s="643" t="s">
        <v>6478</v>
      </c>
      <c r="E3762" s="645"/>
      <c r="F3762" s="657">
        <f>IF(VLOOKUP(MID($A3762,11,2),$N$3762:$S$3765,6,FALSE)&lt;&gt;"",ROUND(VLOOKUP(MID($A3762,11,2),$N$3762:$S$3765,6,FALSE),2),"")</f>
        <v>22.25</v>
      </c>
      <c r="G3762" s="656">
        <f>IF(VLOOKUP(MID($A3762,11,2),$N$3762:$S$3765,3,FALSE)&lt;&gt;"",ROUND(VLOOKUP(MID($A3762,11,2),$N$3762:$S$3765,3,FALSE),2),"")</f>
        <v>22.45</v>
      </c>
      <c r="H3762" s="656">
        <f t="shared" si="1530"/>
        <v>17.96</v>
      </c>
      <c r="I3762" s="701"/>
      <c r="J3762" s="669">
        <v>43796</v>
      </c>
      <c r="M3762" s="127">
        <v>2020</v>
      </c>
      <c r="N3762" s="637" t="s">
        <v>5759</v>
      </c>
      <c r="O3762" s="568">
        <v>0</v>
      </c>
      <c r="P3762" s="327">
        <f>IF($O3762&lt;&gt;"",(1-$O3762)*P3760,"")</f>
        <v>22.454419866503986</v>
      </c>
      <c r="Q3762" s="774" t="s">
        <v>49</v>
      </c>
      <c r="R3762" s="127" t="s">
        <v>2884</v>
      </c>
      <c r="S3762" s="327">
        <f>P3762-0.2</f>
        <v>22.254419866503987</v>
      </c>
      <c r="T3762" s="774" t="s">
        <v>50</v>
      </c>
    </row>
    <row r="3763" spans="1:41" s="774" customFormat="1" x14ac:dyDescent="0.25">
      <c r="A3763" s="644" t="s">
        <v>6548</v>
      </c>
      <c r="B3763" s="645" t="s">
        <v>5548</v>
      </c>
      <c r="C3763" s="643" t="s">
        <v>6520</v>
      </c>
      <c r="D3763" s="643" t="s">
        <v>6478</v>
      </c>
      <c r="E3763" s="645"/>
      <c r="F3763" s="657">
        <f>IF(VLOOKUP(MID($A3763,11,2),$N$3762:$S$3765,6,FALSE)&lt;&gt;"",ROUND(VLOOKUP(MID($A3763,11,2),$N$3762:$S$3765,6,FALSE),2),"")</f>
        <v>22.14</v>
      </c>
      <c r="G3763" s="656">
        <f>IF(VLOOKUP(MID($A3763,11,2),$N$3762:$S$3765,3,FALSE)&lt;&gt;"",ROUND(VLOOKUP(MID($A3763,11,2),$N$3762:$S$3765,3,FALSE),2),"")</f>
        <v>22.34</v>
      </c>
      <c r="H3763" s="656">
        <f t="shared" si="1530"/>
        <v>17.87</v>
      </c>
      <c r="I3763" s="701"/>
      <c r="J3763" s="669">
        <v>43796</v>
      </c>
      <c r="M3763" s="127"/>
      <c r="N3763" s="635" t="s">
        <v>5760</v>
      </c>
      <c r="O3763" s="568">
        <v>5.0000000000000001E-3</v>
      </c>
      <c r="P3763" s="327">
        <f>IF($O3763&lt;&gt;"",(1-$O3763)*P3762,"")</f>
        <v>22.342147767171465</v>
      </c>
      <c r="S3763" s="327">
        <f>P3763-0.2</f>
        <v>22.142147767171465</v>
      </c>
      <c r="T3763" s="327"/>
    </row>
    <row r="3764" spans="1:41" s="774" customFormat="1" x14ac:dyDescent="0.25">
      <c r="A3764" s="644" t="s">
        <v>6549</v>
      </c>
      <c r="B3764" s="645" t="s">
        <v>5548</v>
      </c>
      <c r="C3764" s="643" t="s">
        <v>6521</v>
      </c>
      <c r="D3764" s="643" t="s">
        <v>6478</v>
      </c>
      <c r="E3764" s="645"/>
      <c r="F3764" s="657">
        <f>IF(VLOOKUP(MID($A3764,11,2),$N$3762:$S$3765,6,FALSE)&lt;&gt;"",ROUND(VLOOKUP(MID($A3764,11,2),$N$3762:$S$3765,6,FALSE),2),"")</f>
        <v>22.14</v>
      </c>
      <c r="G3764" s="656">
        <f>IF(VLOOKUP(MID($A3764,11,2),$N$3762:$S$3765,3,FALSE)&lt;&gt;"",ROUND(VLOOKUP(MID($A3764,11,2),$N$3762:$S$3765,3,FALSE),2),"")</f>
        <v>22.34</v>
      </c>
      <c r="H3764" s="656">
        <f t="shared" si="1530"/>
        <v>17.87</v>
      </c>
      <c r="I3764" s="701"/>
      <c r="J3764" s="669">
        <v>43796</v>
      </c>
      <c r="M3764" s="127"/>
      <c r="N3764" s="635" t="s">
        <v>5761</v>
      </c>
      <c r="O3764" s="568">
        <v>0</v>
      </c>
      <c r="P3764" s="327">
        <f>IF($O3764&lt;&gt;"",(1-$O3764)*P3763,"")</f>
        <v>22.342147767171465</v>
      </c>
      <c r="S3764" s="327">
        <f>P3764-0.2</f>
        <v>22.142147767171465</v>
      </c>
      <c r="T3764" s="327"/>
    </row>
    <row r="3765" spans="1:41" s="774" customFormat="1" x14ac:dyDescent="0.25">
      <c r="A3765" s="644" t="s">
        <v>6550</v>
      </c>
      <c r="B3765" s="645" t="s">
        <v>5548</v>
      </c>
      <c r="C3765" s="643" t="s">
        <v>6522</v>
      </c>
      <c r="D3765" s="643" t="s">
        <v>6478</v>
      </c>
      <c r="E3765" s="645"/>
      <c r="F3765" s="657">
        <f>IF(VLOOKUP(MID($A3765,11,2),$N$3762:$S$3765,6,FALSE)&lt;&gt;"",ROUND(VLOOKUP(MID($A3765,11,2),$N$3762:$S$3765,6,FALSE),2),"")</f>
        <v>22.03</v>
      </c>
      <c r="G3765" s="656">
        <f>IF(VLOOKUP(MID($A3765,11,2),$N$3762:$S$3765,3,FALSE)&lt;&gt;"",ROUND(VLOOKUP(MID($A3765,11,2),$N$3762:$S$3765,3,FALSE),2),"")</f>
        <v>22.23</v>
      </c>
      <c r="H3765" s="656">
        <f t="shared" si="1530"/>
        <v>17.78</v>
      </c>
      <c r="I3765" s="701"/>
      <c r="J3765" s="669">
        <v>43796</v>
      </c>
      <c r="M3765" s="127"/>
      <c r="N3765" s="635" t="s">
        <v>5762</v>
      </c>
      <c r="O3765" s="568">
        <v>5.0000000000000001E-3</v>
      </c>
      <c r="P3765" s="327">
        <f>IF($O3765&lt;&gt;"",(1-$O3765)*P3764,"")</f>
        <v>22.230437028335608</v>
      </c>
      <c r="S3765" s="327">
        <f>P3765-0.2</f>
        <v>22.030437028335609</v>
      </c>
      <c r="T3765" s="327"/>
    </row>
    <row r="3766" spans="1:41" s="774" customFormat="1" x14ac:dyDescent="0.25">
      <c r="A3766" s="608"/>
      <c r="B3766" s="2"/>
      <c r="C3766" s="445"/>
      <c r="D3766" s="797"/>
      <c r="E3766" s="2"/>
      <c r="F3766" s="445"/>
      <c r="G3766" s="14"/>
      <c r="H3766" s="14" t="str">
        <f t="shared" si="1530"/>
        <v/>
      </c>
      <c r="I3766" s="695"/>
      <c r="J3766" s="669" t="s">
        <v>4180</v>
      </c>
      <c r="P3766" s="774" t="s">
        <v>6478</v>
      </c>
      <c r="R3766" s="127" t="s">
        <v>2884</v>
      </c>
      <c r="S3766" s="774" t="s">
        <v>6478</v>
      </c>
    </row>
    <row r="3767" spans="1:41" s="774" customFormat="1" x14ac:dyDescent="0.25">
      <c r="A3767" s="644" t="s">
        <v>6692</v>
      </c>
      <c r="B3767" s="645" t="s">
        <v>5548</v>
      </c>
      <c r="C3767" s="643" t="s">
        <v>6629</v>
      </c>
      <c r="D3767" s="643" t="s">
        <v>6478</v>
      </c>
      <c r="E3767" s="645"/>
      <c r="F3767" s="657">
        <f>ROUND(S3767,2)</f>
        <v>22.03</v>
      </c>
      <c r="G3767" s="658">
        <f>ROUND(P3767,2)</f>
        <v>22.23</v>
      </c>
      <c r="H3767" s="658">
        <f t="shared" si="1530"/>
        <v>17.78</v>
      </c>
      <c r="I3767" s="701"/>
      <c r="J3767" s="669">
        <v>44196</v>
      </c>
      <c r="M3767" s="127">
        <v>2021</v>
      </c>
      <c r="N3767" s="637"/>
      <c r="O3767" s="270" t="s">
        <v>7666</v>
      </c>
      <c r="P3767" s="327">
        <v>22.23</v>
      </c>
      <c r="Q3767" s="774" t="s">
        <v>49</v>
      </c>
      <c r="R3767" s="127" t="s">
        <v>2884</v>
      </c>
      <c r="S3767" s="327">
        <f>P3767-0.2</f>
        <v>22.03</v>
      </c>
      <c r="T3767" s="774" t="s">
        <v>50</v>
      </c>
    </row>
    <row r="3768" spans="1:41" s="774" customFormat="1" x14ac:dyDescent="0.25">
      <c r="A3768" s="3"/>
      <c r="B3768" s="3"/>
      <c r="C3768" s="442"/>
      <c r="D3768" s="1"/>
      <c r="E3768" s="1"/>
      <c r="F3768" s="874"/>
      <c r="G3768" s="3"/>
      <c r="H3768" s="875" t="str">
        <f t="shared" si="1530"/>
        <v/>
      </c>
      <c r="I3768" s="876"/>
      <c r="J3768" s="669" t="s">
        <v>4180</v>
      </c>
      <c r="K3768" s="769"/>
      <c r="L3768" s="877"/>
      <c r="N3768" s="878" t="s">
        <v>7664</v>
      </c>
      <c r="O3768" s="866" t="s">
        <v>5490</v>
      </c>
      <c r="P3768" s="774" t="s">
        <v>6478</v>
      </c>
      <c r="R3768" s="127" t="s">
        <v>2884</v>
      </c>
      <c r="S3768" s="774" t="s">
        <v>6478</v>
      </c>
      <c r="AH3768" s="879"/>
      <c r="AO3768" s="254"/>
    </row>
    <row r="3769" spans="1:41" s="774" customFormat="1" x14ac:dyDescent="0.25">
      <c r="A3769" s="644" t="str">
        <f>"BiK440---HJ1" &amp; RIGHT(M3769,2)</f>
        <v>BiK440---HJ122</v>
      </c>
      <c r="B3769" s="645" t="s">
        <v>5548</v>
      </c>
      <c r="C3769" s="645" t="str">
        <f>"Inbetriebnahme 01-06/20" &amp; RIGHT(M3769,2)</f>
        <v>Inbetriebnahme 01-06/2022</v>
      </c>
      <c r="D3769" s="643" t="s">
        <v>6478</v>
      </c>
      <c r="E3769" s="645"/>
      <c r="F3769" s="657">
        <f>IF(HLOOKUP($D3769,$S$3768:$S$3770,MATCH(MID($A3769,10,3),$N$3768:$N$3770,0),FALSE)&lt;&gt;"",ROUND(HLOOKUP($D3769,$S$3768:$S$3770,MATCH(MID($A3769,10,3),$N$3768:$N$3770,0),FALSE),2),"")</f>
        <v>22.03</v>
      </c>
      <c r="G3769" s="658">
        <f>IF(HLOOKUP($D3769,$P$3768:$P$3770,MATCH(MID($A3769,10,3),$N$3768:$N$3770,0),FALSE)&lt;&gt;"",ROUND(HLOOKUP($D3769,$P$3768:$P$3770,MATCH(MID($A3769,10,3),$N$3768:$N$3770,0),FALSE),2),"")</f>
        <v>22.23</v>
      </c>
      <c r="H3769" s="867">
        <f t="shared" si="1530"/>
        <v>17.78</v>
      </c>
      <c r="I3769" s="701"/>
      <c r="J3769" s="669">
        <v>44536</v>
      </c>
      <c r="K3769" s="769"/>
      <c r="L3769" s="877"/>
      <c r="M3769" s="127">
        <v>2022</v>
      </c>
      <c r="N3769" s="878" t="s">
        <v>7662</v>
      </c>
      <c r="O3769" s="568">
        <v>0</v>
      </c>
      <c r="P3769" s="871">
        <f>P3767</f>
        <v>22.23</v>
      </c>
      <c r="Q3769" s="774" t="s">
        <v>49</v>
      </c>
      <c r="R3769" s="127" t="s">
        <v>2884</v>
      </c>
      <c r="S3769" s="871">
        <f>P3769-0.2</f>
        <v>22.03</v>
      </c>
      <c r="T3769" s="774" t="s">
        <v>50</v>
      </c>
      <c r="U3769" s="871"/>
      <c r="AH3769" s="879"/>
      <c r="AO3769" s="254"/>
    </row>
    <row r="3770" spans="1:41" s="774" customFormat="1" x14ac:dyDescent="0.25">
      <c r="A3770" s="644" t="str">
        <f>"BiK440---HJ2" &amp; RIGHT(M3769,2)</f>
        <v>BiK440---HJ222</v>
      </c>
      <c r="B3770" s="645" t="s">
        <v>5548</v>
      </c>
      <c r="C3770" s="645" t="str">
        <f>"Inbetriebnahme 07-12/20" &amp; RIGHT(M3769,2)</f>
        <v>Inbetriebnahme 07-12/2022</v>
      </c>
      <c r="D3770" s="643" t="s">
        <v>6478</v>
      </c>
      <c r="E3770" s="645"/>
      <c r="F3770" s="657">
        <f>IF(HLOOKUP($D3770,$S$3768:$S$3770,MATCH(MID($A3770,10,3),$N$3768:$N$3770,0),FALSE)&lt;&gt;"",ROUND(HLOOKUP($D3770,$S$3768:$S$3770,MATCH(MID($A3770,10,3),$N$3768:$N$3770,0),FALSE),2),"")</f>
        <v>21.92</v>
      </c>
      <c r="G3770" s="658">
        <f>IF(HLOOKUP($D3770,$P$3768:$P$3770,MATCH(MID($A3770,10,3),$N$3768:$N$3770,0),FALSE)&lt;&gt;"",ROUND(HLOOKUP($D3770,$P$3768:$P$3770,MATCH(MID($A3770,10,3),$N$3768:$N$3770,0),FALSE),2),"")</f>
        <v>22.12</v>
      </c>
      <c r="H3770" s="867">
        <f t="shared" si="1530"/>
        <v>17.7</v>
      </c>
      <c r="I3770" s="701"/>
      <c r="J3770" s="669">
        <v>44536</v>
      </c>
      <c r="K3770" s="769"/>
      <c r="L3770" s="877"/>
      <c r="M3770" s="880"/>
      <c r="N3770" s="878" t="s">
        <v>7663</v>
      </c>
      <c r="O3770" s="568">
        <v>5.0000000000000001E-3</v>
      </c>
      <c r="P3770" s="871">
        <f>IF($O3770&lt;&gt;"",(1-$O3770)*P3769,"")</f>
        <v>22.118850000000002</v>
      </c>
      <c r="Q3770" s="871"/>
      <c r="R3770" s="871"/>
      <c r="S3770" s="871">
        <f>P3770-0.2</f>
        <v>21.918850000000003</v>
      </c>
      <c r="T3770" s="871"/>
      <c r="U3770" s="871"/>
      <c r="AH3770" s="879"/>
      <c r="AO3770" s="254"/>
    </row>
    <row r="3771" spans="1:41" s="774" customFormat="1" x14ac:dyDescent="0.25">
      <c r="A3771" s="3"/>
      <c r="B3771" s="3"/>
      <c r="C3771" s="442"/>
      <c r="D3771" s="1"/>
      <c r="E3771" s="1"/>
      <c r="F3771" s="874"/>
      <c r="G3771" s="3"/>
      <c r="H3771" s="875" t="str">
        <f t="shared" si="1530"/>
        <v/>
      </c>
      <c r="I3771" s="876"/>
      <c r="J3771" s="669" t="s">
        <v>4180</v>
      </c>
      <c r="K3771" s="769"/>
      <c r="L3771" s="877"/>
      <c r="N3771" s="878"/>
      <c r="O3771" s="866"/>
      <c r="P3771" s="774" t="s">
        <v>1773</v>
      </c>
      <c r="Q3771" s="774" t="s">
        <v>7919</v>
      </c>
      <c r="R3771" s="127" t="s">
        <v>2884</v>
      </c>
      <c r="S3771" s="774" t="s">
        <v>1773</v>
      </c>
      <c r="T3771" s="774" t="s">
        <v>7919</v>
      </c>
      <c r="AH3771" s="879"/>
      <c r="AO3771" s="254"/>
    </row>
    <row r="3772" spans="1:41" s="774" customFormat="1" x14ac:dyDescent="0.25">
      <c r="A3772" s="644" t="str">
        <f>"BiK440------" &amp; RIGHT(M3772,2)</f>
        <v>BiK440------23</v>
      </c>
      <c r="B3772" s="645" t="s">
        <v>5548</v>
      </c>
      <c r="C3772" s="643" t="s">
        <v>7913</v>
      </c>
      <c r="D3772" s="643" t="s">
        <v>7950</v>
      </c>
      <c r="E3772" s="645"/>
      <c r="F3772" s="657">
        <f>ROUND(S3772,2)</f>
        <v>21.8</v>
      </c>
      <c r="G3772" s="658">
        <f>ROUND(P3772,2)</f>
        <v>22</v>
      </c>
      <c r="H3772" s="867">
        <f t="shared" si="1530"/>
        <v>17.600000000000001</v>
      </c>
      <c r="I3772" s="701"/>
      <c r="J3772" s="669">
        <f>J$31</f>
        <v>44896</v>
      </c>
      <c r="K3772" s="769"/>
      <c r="L3772" s="877"/>
      <c r="M3772" s="127">
        <v>2023</v>
      </c>
      <c r="N3772" s="878"/>
      <c r="O3772" s="866" t="s">
        <v>7918</v>
      </c>
      <c r="P3772" s="871">
        <v>22</v>
      </c>
      <c r="Q3772" s="871">
        <v>19</v>
      </c>
      <c r="R3772" s="774" t="s">
        <v>49</v>
      </c>
      <c r="S3772" s="871">
        <f>P3772-0.2</f>
        <v>21.8</v>
      </c>
      <c r="T3772" s="871">
        <f>Q3772-0.2</f>
        <v>18.8</v>
      </c>
      <c r="U3772" s="774" t="s">
        <v>50</v>
      </c>
      <c r="AH3772" s="879"/>
      <c r="AO3772" s="254"/>
    </row>
    <row r="3773" spans="1:41" s="774" customFormat="1" x14ac:dyDescent="0.25">
      <c r="A3773" s="644" t="str">
        <f>"BiK441------" &amp; RIGHT(M3772,2)</f>
        <v>BiK441------23</v>
      </c>
      <c r="B3773" s="645" t="s">
        <v>5548</v>
      </c>
      <c r="C3773" s="643" t="s">
        <v>7913</v>
      </c>
      <c r="D3773" s="643" t="s">
        <v>7951</v>
      </c>
      <c r="E3773" s="645"/>
      <c r="F3773" s="657">
        <f>ROUND(T3772,2)</f>
        <v>18.8</v>
      </c>
      <c r="G3773" s="658">
        <f>ROUND(Q3772,2)</f>
        <v>19</v>
      </c>
      <c r="H3773" s="867">
        <f t="shared" si="1530"/>
        <v>15.2</v>
      </c>
      <c r="I3773" s="701"/>
      <c r="J3773" s="669">
        <f>J$31</f>
        <v>44896</v>
      </c>
      <c r="K3773" s="769"/>
      <c r="L3773" s="877"/>
      <c r="M3773" s="880"/>
      <c r="N3773" s="878"/>
      <c r="O3773" s="568"/>
      <c r="P3773" s="871"/>
      <c r="Q3773" s="871"/>
      <c r="R3773" s="871"/>
      <c r="S3773" s="871"/>
      <c r="T3773" s="871"/>
      <c r="U3773" s="871"/>
      <c r="AH3773" s="879"/>
      <c r="AO3773" s="254"/>
    </row>
    <row r="3774" spans="1:41" x14ac:dyDescent="0.25">
      <c r="A3774" s="4"/>
      <c r="B3774" s="2"/>
      <c r="C3774" s="1"/>
      <c r="D3774" s="2"/>
      <c r="E3774" s="1"/>
      <c r="F3774" s="442"/>
      <c r="G3774" s="13"/>
      <c r="H3774" s="13"/>
      <c r="I3774" s="692"/>
      <c r="J3774" s="669" t="s">
        <v>4180</v>
      </c>
      <c r="K3774" s="28"/>
      <c r="M3774" s="35"/>
      <c r="N3774" s="15"/>
      <c r="O3774" s="15"/>
    </row>
    <row r="3775" spans="1:41" s="12" customFormat="1" ht="23.25" x14ac:dyDescent="0.35">
      <c r="A3775" s="110" t="s">
        <v>2845</v>
      </c>
      <c r="B3775" s="65"/>
      <c r="C3775" s="65"/>
      <c r="D3775" s="65"/>
      <c r="E3775" s="65"/>
      <c r="F3775" s="443"/>
      <c r="G3775" s="65"/>
      <c r="H3775" s="74"/>
      <c r="I3775" s="693"/>
      <c r="J3775" s="669" t="s">
        <v>5805</v>
      </c>
      <c r="K3775"/>
      <c r="L3775"/>
      <c r="M3775"/>
      <c r="N3775"/>
      <c r="O3775"/>
      <c r="P3775"/>
      <c r="Q3775"/>
      <c r="R3775"/>
      <c r="S3775"/>
      <c r="T3775"/>
      <c r="U3775"/>
      <c r="V3775"/>
      <c r="W3775"/>
      <c r="X3775"/>
      <c r="Y3775"/>
      <c r="Z3775"/>
      <c r="AA3775"/>
      <c r="AB3775"/>
      <c r="AC3775"/>
      <c r="AD3775"/>
      <c r="AE3775"/>
      <c r="AF3775"/>
      <c r="AG3775"/>
    </row>
    <row r="3776" spans="1:41" x14ac:dyDescent="0.25">
      <c r="A3776" s="609" t="s">
        <v>2812</v>
      </c>
      <c r="B3776" s="1" t="s">
        <v>4847</v>
      </c>
      <c r="C3776" s="1" t="s">
        <v>3727</v>
      </c>
      <c r="D3776" s="1" t="s">
        <v>5407</v>
      </c>
      <c r="E3776" s="1"/>
      <c r="F3776" s="442">
        <v>7.67</v>
      </c>
      <c r="G3776" s="520">
        <v>7.67</v>
      </c>
      <c r="H3776" s="13">
        <f t="shared" ref="H3776:H3839" si="1531">IF(ISNUMBER(G3776),ROUND(0.8*G3776,2),"")</f>
        <v>6.14</v>
      </c>
      <c r="I3776" s="692"/>
      <c r="J3776" s="669" t="s">
        <v>5805</v>
      </c>
      <c r="M3776" s="28"/>
      <c r="N3776" s="16"/>
      <c r="O3776" s="28"/>
      <c r="P3776" s="28"/>
      <c r="Q3776" s="28"/>
      <c r="R3776" s="29"/>
      <c r="S3776" s="27"/>
      <c r="T3776" s="27"/>
    </row>
    <row r="3777" spans="1:31" x14ac:dyDescent="0.25">
      <c r="A3777" s="609" t="s">
        <v>2813</v>
      </c>
      <c r="B3777" s="1" t="s">
        <v>4847</v>
      </c>
      <c r="C3777" s="1" t="s">
        <v>3727</v>
      </c>
      <c r="D3777" s="1" t="s">
        <v>5408</v>
      </c>
      <c r="E3777" s="1"/>
      <c r="F3777" s="442">
        <v>6.65</v>
      </c>
      <c r="G3777" s="520">
        <v>6.65</v>
      </c>
      <c r="H3777" s="13">
        <f t="shared" si="1531"/>
        <v>5.32</v>
      </c>
      <c r="I3777" s="692"/>
      <c r="J3777" s="669" t="s">
        <v>5805</v>
      </c>
      <c r="M3777" s="28"/>
      <c r="N3777" s="16"/>
      <c r="O3777" s="27"/>
      <c r="P3777" s="27"/>
      <c r="Q3777" s="27"/>
      <c r="R3777" s="27"/>
      <c r="S3777" s="27"/>
      <c r="T3777" s="27"/>
    </row>
    <row r="3778" spans="1:31" x14ac:dyDescent="0.25">
      <c r="A3778" s="609"/>
      <c r="B3778" s="1"/>
      <c r="C3778" s="1"/>
      <c r="D3778" s="1"/>
      <c r="E3778" s="1"/>
      <c r="F3778" s="442"/>
      <c r="G3778" s="520"/>
      <c r="H3778" s="13" t="str">
        <f t="shared" si="1531"/>
        <v/>
      </c>
      <c r="I3778" s="692"/>
      <c r="J3778" s="669" t="s">
        <v>4180</v>
      </c>
      <c r="M3778" s="28"/>
      <c r="N3778" s="16"/>
      <c r="O3778" s="27"/>
      <c r="P3778" s="27"/>
      <c r="Q3778" s="28"/>
      <c r="R3778" s="27"/>
      <c r="S3778" s="27"/>
      <c r="T3778" s="28"/>
      <c r="U3778" s="16"/>
      <c r="V3778" s="16"/>
      <c r="W3778" s="16"/>
      <c r="X3778" s="16"/>
      <c r="Y3778" s="16"/>
      <c r="Z3778" s="16"/>
      <c r="AA3778" s="16"/>
      <c r="AB3778" s="16"/>
      <c r="AC3778" s="16"/>
      <c r="AD3778" s="16"/>
      <c r="AE3778" s="16"/>
    </row>
    <row r="3779" spans="1:31" x14ac:dyDescent="0.25">
      <c r="A3779" s="609" t="s">
        <v>2814</v>
      </c>
      <c r="B3779" s="1" t="s">
        <v>4847</v>
      </c>
      <c r="C3779" s="1" t="s">
        <v>1272</v>
      </c>
      <c r="D3779" s="1" t="s">
        <v>5407</v>
      </c>
      <c r="E3779" s="1"/>
      <c r="F3779" s="442">
        <v>7.67</v>
      </c>
      <c r="G3779" s="520">
        <v>7.67</v>
      </c>
      <c r="H3779" s="13">
        <f t="shared" si="1531"/>
        <v>6.14</v>
      </c>
      <c r="I3779" s="692"/>
      <c r="J3779" s="669" t="s">
        <v>5805</v>
      </c>
      <c r="M3779" s="27"/>
      <c r="N3779" s="27"/>
      <c r="O3779" s="27"/>
      <c r="P3779" s="27"/>
      <c r="Q3779" s="28"/>
      <c r="R3779" s="27"/>
      <c r="S3779" s="27"/>
      <c r="T3779" s="28"/>
      <c r="U3779" s="16"/>
      <c r="V3779" s="16"/>
      <c r="W3779" s="16"/>
      <c r="X3779" s="16"/>
      <c r="Y3779" s="16"/>
      <c r="Z3779" s="16"/>
      <c r="AA3779" s="16"/>
      <c r="AB3779" s="16"/>
      <c r="AC3779" s="16"/>
      <c r="AD3779" s="16"/>
      <c r="AE3779" s="16"/>
    </row>
    <row r="3780" spans="1:31" x14ac:dyDescent="0.25">
      <c r="A3780" s="609" t="s">
        <v>2815</v>
      </c>
      <c r="B3780" s="1" t="s">
        <v>4847</v>
      </c>
      <c r="C3780" s="1" t="s">
        <v>1272</v>
      </c>
      <c r="D3780" s="1" t="s">
        <v>5408</v>
      </c>
      <c r="E3780" s="1"/>
      <c r="F3780" s="442">
        <v>6.65</v>
      </c>
      <c r="G3780" s="520">
        <v>6.65</v>
      </c>
      <c r="H3780" s="13">
        <f t="shared" si="1531"/>
        <v>5.32</v>
      </c>
      <c r="I3780" s="692"/>
      <c r="J3780" s="669" t="s">
        <v>5805</v>
      </c>
      <c r="Q3780" s="11"/>
      <c r="T3780" s="11"/>
      <c r="U3780" s="16"/>
      <c r="V3780" s="16"/>
      <c r="W3780" s="16"/>
      <c r="X3780" s="16"/>
      <c r="Y3780" s="16"/>
      <c r="Z3780" s="16"/>
      <c r="AA3780" s="16"/>
      <c r="AB3780" s="16"/>
      <c r="AC3780" s="16"/>
      <c r="AD3780" s="16"/>
      <c r="AE3780" s="16"/>
    </row>
    <row r="3781" spans="1:31" x14ac:dyDescent="0.25">
      <c r="A3781" s="609"/>
      <c r="B3781" s="1"/>
      <c r="C3781" s="1"/>
      <c r="D3781" s="1"/>
      <c r="E3781" s="1"/>
      <c r="F3781" s="442"/>
      <c r="G3781" s="520"/>
      <c r="H3781" s="13" t="str">
        <f t="shared" si="1531"/>
        <v/>
      </c>
      <c r="I3781" s="692"/>
      <c r="J3781" s="669" t="s">
        <v>4180</v>
      </c>
      <c r="Q3781" s="11"/>
      <c r="T3781" s="11"/>
      <c r="U3781" s="16"/>
      <c r="V3781" s="16"/>
      <c r="W3781" s="16"/>
      <c r="X3781" s="16"/>
      <c r="Y3781" s="16"/>
      <c r="Z3781" s="16"/>
      <c r="AA3781" s="16"/>
      <c r="AB3781" s="16"/>
      <c r="AC3781" s="16"/>
      <c r="AD3781" s="16"/>
      <c r="AE3781" s="16"/>
    </row>
    <row r="3782" spans="1:31" x14ac:dyDescent="0.25">
      <c r="A3782" s="609" t="s">
        <v>2816</v>
      </c>
      <c r="B3782" s="1" t="s">
        <v>4847</v>
      </c>
      <c r="C3782" s="1" t="s">
        <v>1275</v>
      </c>
      <c r="D3782" s="1" t="s">
        <v>5407</v>
      </c>
      <c r="E3782" s="1"/>
      <c r="F3782" s="442">
        <v>7.67</v>
      </c>
      <c r="G3782" s="520">
        <v>7.67</v>
      </c>
      <c r="H3782" s="13">
        <f t="shared" si="1531"/>
        <v>6.14</v>
      </c>
      <c r="I3782" s="692"/>
      <c r="J3782" s="669" t="s">
        <v>5805</v>
      </c>
    </row>
    <row r="3783" spans="1:31" x14ac:dyDescent="0.25">
      <c r="A3783" s="609" t="s">
        <v>2817</v>
      </c>
      <c r="B3783" s="1" t="s">
        <v>4847</v>
      </c>
      <c r="C3783" s="1" t="s">
        <v>1275</v>
      </c>
      <c r="D3783" s="1" t="s">
        <v>5408</v>
      </c>
      <c r="E3783" s="1"/>
      <c r="F3783" s="442">
        <v>6.65</v>
      </c>
      <c r="G3783" s="520">
        <v>6.65</v>
      </c>
      <c r="H3783" s="13">
        <f t="shared" si="1531"/>
        <v>5.32</v>
      </c>
      <c r="I3783" s="692"/>
      <c r="J3783" s="669" t="s">
        <v>5805</v>
      </c>
    </row>
    <row r="3784" spans="1:31" x14ac:dyDescent="0.25">
      <c r="A3784" s="609" t="s">
        <v>2818</v>
      </c>
      <c r="B3784" s="1" t="s">
        <v>4847</v>
      </c>
      <c r="C3784" s="1" t="s">
        <v>1275</v>
      </c>
      <c r="D3784" s="2" t="s">
        <v>7374</v>
      </c>
      <c r="E3784" s="1"/>
      <c r="F3784" s="442">
        <v>6.65</v>
      </c>
      <c r="G3784" s="520">
        <v>6.65</v>
      </c>
      <c r="H3784" s="13">
        <f t="shared" si="1531"/>
        <v>5.32</v>
      </c>
      <c r="I3784" s="692"/>
      <c r="J3784" s="669" t="s">
        <v>5805</v>
      </c>
    </row>
    <row r="3785" spans="1:31" x14ac:dyDescent="0.25">
      <c r="A3785" s="609" t="s">
        <v>2819</v>
      </c>
      <c r="B3785" s="1" t="s">
        <v>4847</v>
      </c>
      <c r="C3785" s="1" t="s">
        <v>1275</v>
      </c>
      <c r="D3785" s="2" t="s">
        <v>7350</v>
      </c>
      <c r="E3785" s="1"/>
      <c r="F3785" s="442">
        <v>9.67</v>
      </c>
      <c r="G3785" s="520">
        <v>9.67</v>
      </c>
      <c r="H3785" s="13">
        <f t="shared" si="1531"/>
        <v>7.74</v>
      </c>
      <c r="I3785" s="692"/>
      <c r="J3785" s="669" t="s">
        <v>5805</v>
      </c>
    </row>
    <row r="3786" spans="1:31" x14ac:dyDescent="0.25">
      <c r="A3786" s="609" t="s">
        <v>2820</v>
      </c>
      <c r="B3786" s="1" t="s">
        <v>4847</v>
      </c>
      <c r="C3786" s="1" t="s">
        <v>1275</v>
      </c>
      <c r="D3786" s="2" t="s">
        <v>7396</v>
      </c>
      <c r="E3786" s="1"/>
      <c r="F3786" s="442">
        <v>8.65</v>
      </c>
      <c r="G3786" s="520">
        <v>8.65</v>
      </c>
      <c r="H3786" s="13">
        <f t="shared" si="1531"/>
        <v>6.92</v>
      </c>
      <c r="I3786" s="692"/>
      <c r="J3786" s="669" t="s">
        <v>5805</v>
      </c>
    </row>
    <row r="3787" spans="1:31" x14ac:dyDescent="0.25">
      <c r="A3787" s="609" t="s">
        <v>2821</v>
      </c>
      <c r="B3787" s="1" t="s">
        <v>4847</v>
      </c>
      <c r="C3787" s="1" t="s">
        <v>1275</v>
      </c>
      <c r="D3787" s="2" t="s">
        <v>7375</v>
      </c>
      <c r="E3787" s="1"/>
      <c r="F3787" s="442">
        <v>8.65</v>
      </c>
      <c r="G3787" s="520">
        <v>8.65</v>
      </c>
      <c r="H3787" s="13">
        <f t="shared" si="1531"/>
        <v>6.92</v>
      </c>
      <c r="I3787" s="692"/>
      <c r="J3787" s="669" t="s">
        <v>5805</v>
      </c>
    </row>
    <row r="3788" spans="1:31" x14ac:dyDescent="0.25">
      <c r="A3788" s="609"/>
      <c r="B3788" s="1"/>
      <c r="C3788" s="1"/>
      <c r="D3788" s="2"/>
      <c r="E3788" s="1"/>
      <c r="F3788" s="442"/>
      <c r="G3788" s="520"/>
      <c r="H3788" s="13" t="str">
        <f t="shared" si="1531"/>
        <v/>
      </c>
      <c r="I3788" s="692"/>
      <c r="J3788" s="669" t="s">
        <v>4180</v>
      </c>
    </row>
    <row r="3789" spans="1:31" x14ac:dyDescent="0.25">
      <c r="A3789" s="609" t="s">
        <v>2822</v>
      </c>
      <c r="B3789" s="1" t="s">
        <v>4847</v>
      </c>
      <c r="C3789" s="1" t="s">
        <v>1288</v>
      </c>
      <c r="D3789" s="2" t="s">
        <v>5407</v>
      </c>
      <c r="E3789" s="1"/>
      <c r="F3789" s="442">
        <v>7.55</v>
      </c>
      <c r="G3789" s="520">
        <v>7.55</v>
      </c>
      <c r="H3789" s="13">
        <f t="shared" si="1531"/>
        <v>6.04</v>
      </c>
      <c r="I3789" s="692"/>
      <c r="J3789" s="669" t="s">
        <v>5805</v>
      </c>
    </row>
    <row r="3790" spans="1:31" x14ac:dyDescent="0.25">
      <c r="A3790" s="609" t="s">
        <v>2823</v>
      </c>
      <c r="B3790" s="1" t="s">
        <v>4847</v>
      </c>
      <c r="C3790" s="1" t="s">
        <v>1288</v>
      </c>
      <c r="D3790" s="2" t="s">
        <v>5408</v>
      </c>
      <c r="E3790" s="1"/>
      <c r="F3790" s="442">
        <v>6.55</v>
      </c>
      <c r="G3790" s="520">
        <v>6.55</v>
      </c>
      <c r="H3790" s="13">
        <f t="shared" si="1531"/>
        <v>5.24</v>
      </c>
      <c r="I3790" s="692"/>
      <c r="J3790" s="669" t="s">
        <v>5805</v>
      </c>
    </row>
    <row r="3791" spans="1:31" x14ac:dyDescent="0.25">
      <c r="A3791" s="609" t="s">
        <v>2824</v>
      </c>
      <c r="B3791" s="1" t="s">
        <v>4847</v>
      </c>
      <c r="C3791" s="1" t="s">
        <v>1288</v>
      </c>
      <c r="D3791" s="2" t="s">
        <v>7374</v>
      </c>
      <c r="E3791" s="1"/>
      <c r="F3791" s="442">
        <v>6.55</v>
      </c>
      <c r="G3791" s="520">
        <v>6.55</v>
      </c>
      <c r="H3791" s="13">
        <f t="shared" si="1531"/>
        <v>5.24</v>
      </c>
      <c r="I3791" s="692"/>
      <c r="J3791" s="669" t="s">
        <v>5805</v>
      </c>
    </row>
    <row r="3792" spans="1:31" ht="16.5" customHeight="1" x14ac:dyDescent="0.25">
      <c r="A3792" s="609" t="s">
        <v>2825</v>
      </c>
      <c r="B3792" s="1" t="s">
        <v>4847</v>
      </c>
      <c r="C3792" s="1" t="s">
        <v>1288</v>
      </c>
      <c r="D3792" s="2" t="s">
        <v>7350</v>
      </c>
      <c r="E3792" s="1"/>
      <c r="F3792" s="442">
        <v>9.5500000000000007</v>
      </c>
      <c r="G3792" s="520">
        <v>9.5500000000000007</v>
      </c>
      <c r="H3792" s="13">
        <f t="shared" si="1531"/>
        <v>7.64</v>
      </c>
      <c r="I3792" s="692"/>
      <c r="J3792" s="669" t="s">
        <v>5805</v>
      </c>
    </row>
    <row r="3793" spans="1:12" x14ac:dyDescent="0.25">
      <c r="A3793" s="609" t="s">
        <v>2013</v>
      </c>
      <c r="B3793" s="1" t="s">
        <v>4847</v>
      </c>
      <c r="C3793" s="1" t="s">
        <v>1288</v>
      </c>
      <c r="D3793" s="2" t="s">
        <v>7396</v>
      </c>
      <c r="E3793" s="1"/>
      <c r="F3793" s="442">
        <v>8.5500000000000007</v>
      </c>
      <c r="G3793" s="520">
        <v>8.5500000000000007</v>
      </c>
      <c r="H3793" s="13">
        <f t="shared" si="1531"/>
        <v>6.84</v>
      </c>
      <c r="I3793" s="692"/>
      <c r="J3793" s="669" t="s">
        <v>5805</v>
      </c>
    </row>
    <row r="3794" spans="1:12" x14ac:dyDescent="0.25">
      <c r="A3794" s="609" t="s">
        <v>2014</v>
      </c>
      <c r="B3794" s="1" t="s">
        <v>4847</v>
      </c>
      <c r="C3794" s="1" t="s">
        <v>1288</v>
      </c>
      <c r="D3794" s="2" t="s">
        <v>7375</v>
      </c>
      <c r="E3794" s="1"/>
      <c r="F3794" s="442">
        <v>8.5500000000000007</v>
      </c>
      <c r="G3794" s="520">
        <v>8.5500000000000007</v>
      </c>
      <c r="H3794" s="13">
        <f t="shared" si="1531"/>
        <v>6.84</v>
      </c>
      <c r="I3794" s="692"/>
      <c r="J3794" s="669" t="s">
        <v>5805</v>
      </c>
    </row>
    <row r="3795" spans="1:12" x14ac:dyDescent="0.25">
      <c r="A3795" s="609"/>
      <c r="B3795" s="1"/>
      <c r="C3795" s="1"/>
      <c r="D3795" s="2"/>
      <c r="E3795" s="1"/>
      <c r="F3795" s="442"/>
      <c r="G3795" s="520"/>
      <c r="H3795" s="13" t="str">
        <f t="shared" si="1531"/>
        <v/>
      </c>
      <c r="I3795" s="692"/>
      <c r="J3795" s="669" t="s">
        <v>4180</v>
      </c>
    </row>
    <row r="3796" spans="1:12" x14ac:dyDescent="0.25">
      <c r="A3796" s="609" t="s">
        <v>2015</v>
      </c>
      <c r="B3796" s="1" t="s">
        <v>4847</v>
      </c>
      <c r="C3796" s="1" t="s">
        <v>1296</v>
      </c>
      <c r="D3796" s="2" t="s">
        <v>5407</v>
      </c>
      <c r="E3796" s="1"/>
      <c r="F3796" s="442">
        <v>7.44</v>
      </c>
      <c r="G3796" s="520">
        <v>7.44</v>
      </c>
      <c r="H3796" s="13">
        <f t="shared" si="1531"/>
        <v>5.95</v>
      </c>
      <c r="I3796" s="692"/>
      <c r="J3796" s="669" t="s">
        <v>5805</v>
      </c>
    </row>
    <row r="3797" spans="1:12" x14ac:dyDescent="0.25">
      <c r="A3797" s="609" t="s">
        <v>2016</v>
      </c>
      <c r="B3797" s="1" t="s">
        <v>4847</v>
      </c>
      <c r="C3797" s="1" t="s">
        <v>1296</v>
      </c>
      <c r="D3797" s="2" t="s">
        <v>5408</v>
      </c>
      <c r="E3797" s="1"/>
      <c r="F3797" s="442">
        <v>6.45</v>
      </c>
      <c r="G3797" s="520">
        <v>6.45</v>
      </c>
      <c r="H3797" s="13">
        <f t="shared" si="1531"/>
        <v>5.16</v>
      </c>
      <c r="I3797" s="692"/>
      <c r="J3797" s="669" t="s">
        <v>5805</v>
      </c>
    </row>
    <row r="3798" spans="1:12" x14ac:dyDescent="0.25">
      <c r="A3798" s="609" t="s">
        <v>2017</v>
      </c>
      <c r="B3798" s="1" t="s">
        <v>4847</v>
      </c>
      <c r="C3798" s="1" t="s">
        <v>1296</v>
      </c>
      <c r="D3798" s="2" t="s">
        <v>7374</v>
      </c>
      <c r="E3798" s="1"/>
      <c r="F3798" s="442">
        <v>6.45</v>
      </c>
      <c r="G3798" s="520">
        <v>6.45</v>
      </c>
      <c r="H3798" s="13">
        <f t="shared" si="1531"/>
        <v>5.16</v>
      </c>
      <c r="I3798" s="692"/>
      <c r="J3798" s="669" t="s">
        <v>5805</v>
      </c>
    </row>
    <row r="3799" spans="1:12" x14ac:dyDescent="0.25">
      <c r="A3799" s="609" t="s">
        <v>2018</v>
      </c>
      <c r="B3799" s="1" t="s">
        <v>4847</v>
      </c>
      <c r="C3799" s="1" t="s">
        <v>1296</v>
      </c>
      <c r="D3799" s="2" t="s">
        <v>7350</v>
      </c>
      <c r="E3799" s="1"/>
      <c r="F3799" s="445">
        <v>9.44</v>
      </c>
      <c r="G3799" s="521">
        <v>9.44</v>
      </c>
      <c r="H3799" s="14">
        <f t="shared" si="1531"/>
        <v>7.55</v>
      </c>
      <c r="I3799" s="695"/>
      <c r="J3799" s="669" t="s">
        <v>5805</v>
      </c>
      <c r="L3799" s="12"/>
    </row>
    <row r="3800" spans="1:12" x14ac:dyDescent="0.25">
      <c r="A3800" s="609" t="s">
        <v>2019</v>
      </c>
      <c r="B3800" s="1" t="s">
        <v>4847</v>
      </c>
      <c r="C3800" s="1" t="s">
        <v>1296</v>
      </c>
      <c r="D3800" s="2" t="s">
        <v>7396</v>
      </c>
      <c r="E3800" s="1"/>
      <c r="F3800" s="445">
        <v>8.4499999999999993</v>
      </c>
      <c r="G3800" s="521">
        <v>8.4499999999999993</v>
      </c>
      <c r="H3800" s="14">
        <f t="shared" si="1531"/>
        <v>6.76</v>
      </c>
      <c r="I3800" s="695"/>
      <c r="J3800" s="669" t="s">
        <v>5805</v>
      </c>
      <c r="L3800" s="12"/>
    </row>
    <row r="3801" spans="1:12" x14ac:dyDescent="0.25">
      <c r="A3801" s="609" t="s">
        <v>2020</v>
      </c>
      <c r="B3801" s="1" t="s">
        <v>4847</v>
      </c>
      <c r="C3801" s="1" t="s">
        <v>1296</v>
      </c>
      <c r="D3801" s="2" t="s">
        <v>7375</v>
      </c>
      <c r="E3801" s="1"/>
      <c r="F3801" s="445">
        <v>8.4499999999999993</v>
      </c>
      <c r="G3801" s="521">
        <v>8.4499999999999993</v>
      </c>
      <c r="H3801" s="14">
        <f t="shared" si="1531"/>
        <v>6.76</v>
      </c>
      <c r="I3801" s="695"/>
      <c r="J3801" s="669" t="s">
        <v>5805</v>
      </c>
      <c r="K3801" s="12"/>
      <c r="L3801" s="12"/>
    </row>
    <row r="3802" spans="1:12" ht="16.5" customHeight="1" x14ac:dyDescent="0.25">
      <c r="A3802" s="609"/>
      <c r="B3802" s="1"/>
      <c r="C3802" s="1"/>
      <c r="D3802" s="2"/>
      <c r="E3802" s="1"/>
      <c r="F3802" s="442"/>
      <c r="G3802" s="520"/>
      <c r="H3802" s="13" t="str">
        <f t="shared" si="1531"/>
        <v/>
      </c>
      <c r="I3802" s="692"/>
      <c r="J3802" s="669" t="s">
        <v>4180</v>
      </c>
    </row>
    <row r="3803" spans="1:12" x14ac:dyDescent="0.25">
      <c r="A3803" s="609" t="s">
        <v>2021</v>
      </c>
      <c r="B3803" s="1" t="s">
        <v>4847</v>
      </c>
      <c r="C3803" s="1" t="s">
        <v>1304</v>
      </c>
      <c r="D3803" s="2" t="s">
        <v>5407</v>
      </c>
      <c r="E3803" s="1"/>
      <c r="F3803" s="442">
        <v>7.33</v>
      </c>
      <c r="G3803" s="520">
        <v>7.33</v>
      </c>
      <c r="H3803" s="13">
        <f t="shared" si="1531"/>
        <v>5.86</v>
      </c>
      <c r="I3803" s="692"/>
      <c r="J3803" s="669" t="s">
        <v>5805</v>
      </c>
    </row>
    <row r="3804" spans="1:12" ht="14.25" customHeight="1" x14ac:dyDescent="0.25">
      <c r="A3804" s="609" t="s">
        <v>2022</v>
      </c>
      <c r="B3804" s="1" t="s">
        <v>4847</v>
      </c>
      <c r="C3804" s="1" t="s">
        <v>1304</v>
      </c>
      <c r="D3804" s="2" t="s">
        <v>5408</v>
      </c>
      <c r="E3804" s="1"/>
      <c r="F3804" s="442">
        <v>6.35</v>
      </c>
      <c r="G3804" s="520">
        <v>6.35</v>
      </c>
      <c r="H3804" s="13">
        <f t="shared" si="1531"/>
        <v>5.08</v>
      </c>
      <c r="I3804" s="692"/>
      <c r="J3804" s="669" t="s">
        <v>5805</v>
      </c>
    </row>
    <row r="3805" spans="1:12" x14ac:dyDescent="0.25">
      <c r="A3805" s="609" t="s">
        <v>2023</v>
      </c>
      <c r="B3805" s="1" t="s">
        <v>4847</v>
      </c>
      <c r="C3805" s="1" t="s">
        <v>1304</v>
      </c>
      <c r="D3805" s="2" t="s">
        <v>7374</v>
      </c>
      <c r="E3805" s="1"/>
      <c r="F3805" s="442">
        <v>6.35</v>
      </c>
      <c r="G3805" s="520">
        <v>6.35</v>
      </c>
      <c r="H3805" s="13">
        <f t="shared" si="1531"/>
        <v>5.08</v>
      </c>
      <c r="I3805" s="692"/>
      <c r="J3805" s="669" t="s">
        <v>5805</v>
      </c>
    </row>
    <row r="3806" spans="1:12" ht="15" customHeight="1" x14ac:dyDescent="0.25">
      <c r="A3806" s="609" t="s">
        <v>2024</v>
      </c>
      <c r="B3806" s="1" t="s">
        <v>4847</v>
      </c>
      <c r="C3806" s="1" t="s">
        <v>1304</v>
      </c>
      <c r="D3806" s="2" t="s">
        <v>7350</v>
      </c>
      <c r="E3806" s="1"/>
      <c r="F3806" s="442">
        <v>9.33</v>
      </c>
      <c r="G3806" s="520">
        <v>9.33</v>
      </c>
      <c r="H3806" s="13">
        <f t="shared" si="1531"/>
        <v>7.46</v>
      </c>
      <c r="I3806" s="692"/>
      <c r="J3806" s="669" t="s">
        <v>5805</v>
      </c>
    </row>
    <row r="3807" spans="1:12" ht="15" customHeight="1" x14ac:dyDescent="0.25">
      <c r="A3807" s="609" t="s">
        <v>2025</v>
      </c>
      <c r="B3807" s="1" t="s">
        <v>4847</v>
      </c>
      <c r="C3807" s="1" t="s">
        <v>1304</v>
      </c>
      <c r="D3807" s="2" t="s">
        <v>7396</v>
      </c>
      <c r="E3807" s="1"/>
      <c r="F3807" s="442">
        <v>8.35</v>
      </c>
      <c r="G3807" s="520">
        <v>8.35</v>
      </c>
      <c r="H3807" s="13">
        <f t="shared" si="1531"/>
        <v>6.68</v>
      </c>
      <c r="I3807" s="692"/>
      <c r="J3807" s="669" t="s">
        <v>5805</v>
      </c>
    </row>
    <row r="3808" spans="1:12" x14ac:dyDescent="0.25">
      <c r="A3808" s="609" t="s">
        <v>2026</v>
      </c>
      <c r="B3808" s="1" t="s">
        <v>4847</v>
      </c>
      <c r="C3808" s="1" t="s">
        <v>1304</v>
      </c>
      <c r="D3808" s="2" t="s">
        <v>7375</v>
      </c>
      <c r="E3808" s="1"/>
      <c r="F3808" s="442">
        <v>8.35</v>
      </c>
      <c r="G3808" s="520">
        <v>8.35</v>
      </c>
      <c r="H3808" s="13">
        <f t="shared" si="1531"/>
        <v>6.68</v>
      </c>
      <c r="I3808" s="692"/>
      <c r="J3808" s="669" t="s">
        <v>5805</v>
      </c>
    </row>
    <row r="3809" spans="1:33" x14ac:dyDescent="0.25">
      <c r="A3809" s="609"/>
      <c r="B3809" s="1"/>
      <c r="C3809" s="1"/>
      <c r="D3809" s="2"/>
      <c r="E3809" s="1"/>
      <c r="F3809" s="442"/>
      <c r="G3809" s="520"/>
      <c r="H3809" s="13" t="str">
        <f t="shared" si="1531"/>
        <v/>
      </c>
      <c r="I3809" s="692"/>
      <c r="J3809" s="669" t="s">
        <v>4180</v>
      </c>
    </row>
    <row r="3810" spans="1:33" x14ac:dyDescent="0.25">
      <c r="A3810" s="609" t="s">
        <v>2027</v>
      </c>
      <c r="B3810" s="1" t="s">
        <v>4847</v>
      </c>
      <c r="C3810" s="1" t="s">
        <v>5540</v>
      </c>
      <c r="D3810" s="2" t="s">
        <v>5407</v>
      </c>
      <c r="E3810" s="1"/>
      <c r="F3810" s="442">
        <v>7.22</v>
      </c>
      <c r="G3810" s="520">
        <v>7.22</v>
      </c>
      <c r="H3810" s="13">
        <f t="shared" si="1531"/>
        <v>5.78</v>
      </c>
      <c r="I3810" s="692"/>
      <c r="J3810" s="669" t="s">
        <v>5805</v>
      </c>
    </row>
    <row r="3811" spans="1:33" x14ac:dyDescent="0.25">
      <c r="A3811" s="609" t="s">
        <v>2028</v>
      </c>
      <c r="B3811" s="1" t="s">
        <v>4847</v>
      </c>
      <c r="C3811" s="1" t="s">
        <v>5540</v>
      </c>
      <c r="D3811" s="2" t="s">
        <v>5408</v>
      </c>
      <c r="E3811" s="1"/>
      <c r="F3811" s="442">
        <v>6.25</v>
      </c>
      <c r="G3811" s="520">
        <v>6.25</v>
      </c>
      <c r="H3811" s="13">
        <f t="shared" si="1531"/>
        <v>5</v>
      </c>
      <c r="I3811" s="692"/>
      <c r="J3811" s="669" t="s">
        <v>5805</v>
      </c>
    </row>
    <row r="3812" spans="1:33" x14ac:dyDescent="0.25">
      <c r="A3812" s="609" t="s">
        <v>2029</v>
      </c>
      <c r="B3812" s="1" t="s">
        <v>4847</v>
      </c>
      <c r="C3812" s="1" t="s">
        <v>5540</v>
      </c>
      <c r="D3812" s="2" t="s">
        <v>7374</v>
      </c>
      <c r="E3812" s="1"/>
      <c r="F3812" s="442">
        <v>6.25</v>
      </c>
      <c r="G3812" s="520">
        <v>6.25</v>
      </c>
      <c r="H3812" s="13">
        <f t="shared" si="1531"/>
        <v>5</v>
      </c>
      <c r="I3812" s="692"/>
      <c r="J3812" s="669" t="s">
        <v>5805</v>
      </c>
    </row>
    <row r="3813" spans="1:33" ht="16.5" customHeight="1" x14ac:dyDescent="0.25">
      <c r="A3813" s="609" t="s">
        <v>2030</v>
      </c>
      <c r="B3813" s="1" t="s">
        <v>4847</v>
      </c>
      <c r="C3813" s="1" t="s">
        <v>5540</v>
      </c>
      <c r="D3813" s="2" t="s">
        <v>7350</v>
      </c>
      <c r="E3813" s="1"/>
      <c r="F3813" s="442">
        <v>9.2200000000000006</v>
      </c>
      <c r="G3813" s="520">
        <v>9.2200000000000006</v>
      </c>
      <c r="H3813" s="13">
        <f t="shared" si="1531"/>
        <v>7.38</v>
      </c>
      <c r="I3813" s="692"/>
      <c r="J3813" s="669" t="s">
        <v>5805</v>
      </c>
    </row>
    <row r="3814" spans="1:33" x14ac:dyDescent="0.25">
      <c r="A3814" s="609" t="s">
        <v>2031</v>
      </c>
      <c r="B3814" s="1" t="s">
        <v>4847</v>
      </c>
      <c r="C3814" s="1" t="s">
        <v>5540</v>
      </c>
      <c r="D3814" s="2" t="s">
        <v>7396</v>
      </c>
      <c r="E3814" s="1"/>
      <c r="F3814" s="442">
        <v>8.25</v>
      </c>
      <c r="G3814" s="520">
        <v>8.25</v>
      </c>
      <c r="H3814" s="13">
        <f t="shared" si="1531"/>
        <v>6.6</v>
      </c>
      <c r="I3814" s="692"/>
      <c r="J3814" s="669" t="s">
        <v>5805</v>
      </c>
    </row>
    <row r="3815" spans="1:33" ht="16.5" customHeight="1" x14ac:dyDescent="0.25">
      <c r="A3815" s="609" t="s">
        <v>2032</v>
      </c>
      <c r="B3815" s="1" t="s">
        <v>4847</v>
      </c>
      <c r="C3815" s="1" t="s">
        <v>5540</v>
      </c>
      <c r="D3815" s="2" t="s">
        <v>7375</v>
      </c>
      <c r="E3815" s="1"/>
      <c r="F3815" s="442">
        <v>8.25</v>
      </c>
      <c r="G3815" s="520">
        <v>8.25</v>
      </c>
      <c r="H3815" s="13">
        <f t="shared" si="1531"/>
        <v>6.6</v>
      </c>
      <c r="I3815" s="692"/>
      <c r="J3815" s="669" t="s">
        <v>5805</v>
      </c>
    </row>
    <row r="3816" spans="1:33" ht="15" customHeight="1" x14ac:dyDescent="0.25">
      <c r="A3816" s="609"/>
      <c r="B3816" s="1"/>
      <c r="C3816" s="1"/>
      <c r="D3816" s="1"/>
      <c r="E3816" s="1"/>
      <c r="F3816" s="442"/>
      <c r="G3816" s="520"/>
      <c r="H3816" s="13" t="str">
        <f t="shared" si="1531"/>
        <v/>
      </c>
      <c r="I3816" s="692"/>
      <c r="J3816" s="669" t="s">
        <v>4180</v>
      </c>
    </row>
    <row r="3817" spans="1:33" ht="15" customHeight="1" x14ac:dyDescent="0.25">
      <c r="A3817" s="609"/>
      <c r="B3817" s="1"/>
      <c r="C3817" s="1"/>
      <c r="D3817" s="2"/>
      <c r="E3817" s="1"/>
      <c r="F3817" s="442"/>
      <c r="G3817" s="520"/>
      <c r="H3817" s="13" t="str">
        <f t="shared" si="1531"/>
        <v/>
      </c>
      <c r="I3817" s="692"/>
      <c r="J3817" s="669" t="s">
        <v>4180</v>
      </c>
      <c r="K3817" s="29"/>
      <c r="M3817" s="68" t="s">
        <v>5489</v>
      </c>
      <c r="N3817" s="39"/>
      <c r="O3817" s="29"/>
      <c r="P3817" s="29"/>
    </row>
    <row r="3818" spans="1:33" ht="15" customHeight="1" x14ac:dyDescent="0.25">
      <c r="A3818" s="608"/>
      <c r="B3818" s="2"/>
      <c r="C3818" s="22"/>
      <c r="D3818" s="22"/>
      <c r="E3818" s="34"/>
      <c r="F3818" s="445"/>
      <c r="G3818" s="521"/>
      <c r="H3818" s="14" t="str">
        <f t="shared" si="1531"/>
        <v/>
      </c>
      <c r="I3818" s="695"/>
      <c r="J3818" s="669" t="s">
        <v>4180</v>
      </c>
      <c r="K3818" s="29"/>
      <c r="L3818" s="29"/>
      <c r="M3818" s="29"/>
      <c r="N3818" s="106"/>
      <c r="O3818" s="107" t="s">
        <v>1205</v>
      </c>
      <c r="P3818" s="29"/>
      <c r="Q3818" s="50"/>
      <c r="R3818" s="92"/>
      <c r="S3818" s="35"/>
      <c r="T3818" s="92"/>
      <c r="U3818" s="92"/>
      <c r="V3818" s="92"/>
      <c r="W3818" s="92"/>
      <c r="X3818" s="92"/>
      <c r="Y3818" s="92"/>
      <c r="Z3818" s="92"/>
      <c r="AA3818" s="92"/>
      <c r="AB3818" s="105"/>
      <c r="AC3818" s="92"/>
      <c r="AD3818" s="92"/>
      <c r="AE3818" s="12"/>
      <c r="AF3818" s="12"/>
      <c r="AG3818" s="12"/>
    </row>
    <row r="3819" spans="1:33" ht="73.5" customHeight="1" x14ac:dyDescent="0.25">
      <c r="A3819" s="608"/>
      <c r="B3819" s="2"/>
      <c r="C3819" s="22"/>
      <c r="D3819" s="22"/>
      <c r="E3819" s="34"/>
      <c r="F3819" s="445"/>
      <c r="G3819" s="521"/>
      <c r="H3819" s="14" t="str">
        <f t="shared" si="1531"/>
        <v/>
      </c>
      <c r="I3819" s="695"/>
      <c r="J3819" s="669" t="s">
        <v>4180</v>
      </c>
      <c r="K3819" s="29"/>
      <c r="L3819" s="29"/>
      <c r="M3819" s="48" t="s">
        <v>2914</v>
      </c>
      <c r="N3819" s="51" t="s">
        <v>5493</v>
      </c>
      <c r="O3819" s="42" t="s">
        <v>772</v>
      </c>
      <c r="P3819" s="42" t="s">
        <v>773</v>
      </c>
      <c r="Q3819" s="51" t="s">
        <v>774</v>
      </c>
      <c r="R3819" s="118" t="s">
        <v>5490</v>
      </c>
      <c r="S3819" s="42"/>
      <c r="T3819" s="42"/>
      <c r="U3819" s="42"/>
      <c r="V3819" s="79"/>
      <c r="W3819" s="79"/>
      <c r="X3819" s="79"/>
      <c r="Y3819" s="79"/>
      <c r="Z3819" s="79"/>
      <c r="AA3819" s="79"/>
      <c r="AB3819" s="42"/>
      <c r="AC3819" s="42"/>
      <c r="AD3819" s="42"/>
      <c r="AE3819" s="12"/>
      <c r="AF3819" s="12"/>
      <c r="AG3819" s="12"/>
    </row>
    <row r="3820" spans="1:33" x14ac:dyDescent="0.25">
      <c r="A3820" s="608"/>
      <c r="B3820" s="2"/>
      <c r="C3820" s="22"/>
      <c r="D3820" s="22"/>
      <c r="E3820" s="34"/>
      <c r="F3820" s="445"/>
      <c r="G3820" s="521"/>
      <c r="H3820" s="14" t="str">
        <f t="shared" si="1531"/>
        <v/>
      </c>
      <c r="I3820" s="695"/>
      <c r="J3820" s="669" t="s">
        <v>4180</v>
      </c>
      <c r="K3820" s="29"/>
      <c r="L3820" s="29"/>
      <c r="M3820" s="274"/>
      <c r="N3820" s="51"/>
      <c r="O3820" s="42" t="s">
        <v>1032</v>
      </c>
      <c r="P3820" s="42" t="s">
        <v>1030</v>
      </c>
      <c r="Q3820" s="51" t="s">
        <v>1031</v>
      </c>
      <c r="R3820" s="363">
        <v>1.4999999999999999E-2</v>
      </c>
      <c r="S3820" s="42"/>
      <c r="T3820" s="42"/>
      <c r="U3820" s="42"/>
      <c r="V3820" s="42"/>
      <c r="W3820" s="42"/>
      <c r="X3820" s="42"/>
      <c r="Y3820" s="42"/>
      <c r="Z3820" s="42"/>
      <c r="AA3820" s="42"/>
      <c r="AB3820" s="42"/>
      <c r="AC3820" s="42"/>
      <c r="AD3820" s="42"/>
      <c r="AE3820" s="12"/>
      <c r="AF3820" s="12"/>
      <c r="AG3820" s="12"/>
    </row>
    <row r="3821" spans="1:33" ht="17.25" customHeight="1" x14ac:dyDescent="0.25">
      <c r="A3821" s="609"/>
      <c r="B3821" s="1"/>
      <c r="C3821" s="1"/>
      <c r="D3821" s="2"/>
      <c r="E3821" s="1"/>
      <c r="F3821" s="442"/>
      <c r="G3821" s="520"/>
      <c r="H3821" s="13" t="str">
        <f t="shared" si="1531"/>
        <v/>
      </c>
      <c r="I3821" s="692"/>
      <c r="J3821" s="669" t="s">
        <v>4180</v>
      </c>
      <c r="L3821" s="116"/>
      <c r="M3821" s="47">
        <v>2009</v>
      </c>
      <c r="N3821" s="40"/>
      <c r="O3821" s="45">
        <v>2</v>
      </c>
      <c r="P3821" s="40">
        <v>1</v>
      </c>
      <c r="Q3821" s="52">
        <v>2</v>
      </c>
      <c r="R3821" s="41" t="str">
        <f>"Bonushöhe bei Inbetriebnahme in "&amp;M3821</f>
        <v>Bonushöhe bei Inbetriebnahme in 2009</v>
      </c>
      <c r="S3821" s="41"/>
      <c r="T3821" s="41"/>
      <c r="U3821" s="41"/>
      <c r="V3821" s="41"/>
      <c r="W3821" s="41"/>
      <c r="X3821" s="41"/>
      <c r="Y3821" s="41"/>
      <c r="Z3821" s="41"/>
      <c r="AA3821" s="41"/>
      <c r="AB3821" s="41"/>
      <c r="AC3821" s="41"/>
      <c r="AD3821" s="41"/>
    </row>
    <row r="3822" spans="1:33" s="12" customFormat="1" x14ac:dyDescent="0.25">
      <c r="A3822" s="610" t="s">
        <v>5584</v>
      </c>
      <c r="B3822" s="17" t="s">
        <v>5406</v>
      </c>
      <c r="C3822" s="17" t="s">
        <v>5405</v>
      </c>
      <c r="D3822" s="17" t="s">
        <v>5407</v>
      </c>
      <c r="E3822" s="17"/>
      <c r="F3822" s="444">
        <v>9</v>
      </c>
      <c r="G3822" s="519">
        <v>9</v>
      </c>
      <c r="H3822" s="18">
        <f t="shared" si="1531"/>
        <v>7.2</v>
      </c>
      <c r="I3822" s="694"/>
      <c r="J3822" s="669" t="s">
        <v>5805</v>
      </c>
      <c r="K3822"/>
      <c r="L3822" s="70" t="str">
        <f t="shared" ref="L3822:L3829" si="1532">IF(F3822=M3822,"",FALSE)</f>
        <v/>
      </c>
      <c r="M3822" s="49">
        <f t="shared" ref="M3822:M3829" si="1533">N3822+SUMIF(O3822:Q3822,"x",O$3821:Q$3821)</f>
        <v>9</v>
      </c>
      <c r="N3822" s="112">
        <v>9</v>
      </c>
      <c r="O3822" s="113"/>
      <c r="P3822" s="113"/>
      <c r="Q3822" s="112"/>
      <c r="R3822"/>
      <c r="S3822"/>
      <c r="T3822"/>
      <c r="U3822"/>
      <c r="V3822"/>
      <c r="W3822"/>
      <c r="X3822"/>
      <c r="Y3822"/>
      <c r="Z3822"/>
      <c r="AA3822"/>
      <c r="AB3822"/>
      <c r="AC3822"/>
      <c r="AD3822"/>
      <c r="AE3822"/>
      <c r="AF3822"/>
      <c r="AG3822"/>
    </row>
    <row r="3823" spans="1:33" s="12" customFormat="1" x14ac:dyDescent="0.25">
      <c r="A3823" s="610" t="s">
        <v>5585</v>
      </c>
      <c r="B3823" s="17" t="s">
        <v>5406</v>
      </c>
      <c r="C3823" s="17" t="s">
        <v>5405</v>
      </c>
      <c r="D3823" s="17" t="s">
        <v>5517</v>
      </c>
      <c r="E3823" s="17"/>
      <c r="F3823" s="444">
        <v>11</v>
      </c>
      <c r="G3823" s="519">
        <v>11</v>
      </c>
      <c r="H3823" s="18">
        <f t="shared" si="1531"/>
        <v>8.8000000000000007</v>
      </c>
      <c r="I3823" s="694"/>
      <c r="J3823" s="669" t="s">
        <v>5805</v>
      </c>
      <c r="K3823"/>
      <c r="L3823" s="70" t="str">
        <f t="shared" si="1532"/>
        <v/>
      </c>
      <c r="M3823" s="49">
        <f t="shared" si="1533"/>
        <v>11</v>
      </c>
      <c r="N3823" s="112">
        <v>9</v>
      </c>
      <c r="O3823" s="113" t="s">
        <v>1017</v>
      </c>
      <c r="P3823" s="113"/>
      <c r="Q3823" s="112"/>
      <c r="R3823"/>
      <c r="S3823"/>
      <c r="T3823"/>
      <c r="U3823"/>
      <c r="V3823"/>
      <c r="W3823"/>
      <c r="X3823"/>
      <c r="Y3823"/>
      <c r="Z3823"/>
      <c r="AA3823"/>
      <c r="AB3823"/>
      <c r="AC3823"/>
      <c r="AD3823"/>
      <c r="AE3823"/>
      <c r="AF3823"/>
      <c r="AG3823"/>
    </row>
    <row r="3824" spans="1:33" s="12" customFormat="1" x14ac:dyDescent="0.25">
      <c r="A3824" s="610" t="s">
        <v>5586</v>
      </c>
      <c r="B3824" s="17" t="s">
        <v>5406</v>
      </c>
      <c r="C3824" s="17" t="s">
        <v>5405</v>
      </c>
      <c r="D3824" s="17" t="s">
        <v>5518</v>
      </c>
      <c r="E3824" s="17"/>
      <c r="F3824" s="444">
        <v>10</v>
      </c>
      <c r="G3824" s="519">
        <v>10</v>
      </c>
      <c r="H3824" s="18">
        <f t="shared" si="1531"/>
        <v>8</v>
      </c>
      <c r="I3824" s="694"/>
      <c r="J3824" s="669" t="s">
        <v>5805</v>
      </c>
      <c r="K3824"/>
      <c r="L3824" s="70" t="str">
        <f t="shared" si="1532"/>
        <v/>
      </c>
      <c r="M3824" s="49">
        <f t="shared" si="1533"/>
        <v>10</v>
      </c>
      <c r="N3824" s="112">
        <v>9</v>
      </c>
      <c r="O3824" s="113"/>
      <c r="P3824" s="113" t="s">
        <v>1017</v>
      </c>
      <c r="Q3824" s="112"/>
      <c r="R3824"/>
      <c r="S3824"/>
      <c r="T3824"/>
      <c r="U3824"/>
      <c r="V3824"/>
      <c r="W3824"/>
      <c r="X3824"/>
      <c r="Y3824"/>
      <c r="Z3824"/>
      <c r="AA3824"/>
      <c r="AB3824"/>
      <c r="AC3824"/>
      <c r="AD3824"/>
      <c r="AE3824"/>
      <c r="AF3824"/>
      <c r="AG3824"/>
    </row>
    <row r="3825" spans="1:18" x14ac:dyDescent="0.25">
      <c r="A3825" s="610" t="s">
        <v>734</v>
      </c>
      <c r="B3825" s="17" t="s">
        <v>5406</v>
      </c>
      <c r="C3825" s="17" t="s">
        <v>5405</v>
      </c>
      <c r="D3825" s="30" t="s">
        <v>3299</v>
      </c>
      <c r="E3825" s="17"/>
      <c r="F3825" s="444">
        <v>11</v>
      </c>
      <c r="G3825" s="519">
        <v>11</v>
      </c>
      <c r="H3825" s="18">
        <f t="shared" si="1531"/>
        <v>8.8000000000000007</v>
      </c>
      <c r="I3825" s="694"/>
      <c r="J3825" s="669" t="s">
        <v>5805</v>
      </c>
      <c r="L3825" s="70" t="str">
        <f t="shared" si="1532"/>
        <v/>
      </c>
      <c r="M3825" s="49">
        <f t="shared" si="1533"/>
        <v>11</v>
      </c>
      <c r="N3825" s="112">
        <v>9</v>
      </c>
      <c r="O3825" s="113"/>
      <c r="P3825" s="113"/>
      <c r="Q3825" s="112" t="s">
        <v>1017</v>
      </c>
    </row>
    <row r="3826" spans="1:18" x14ac:dyDescent="0.25">
      <c r="A3826" s="610" t="s">
        <v>5587</v>
      </c>
      <c r="B3826" s="17" t="s">
        <v>5406</v>
      </c>
      <c r="C3826" s="17" t="s">
        <v>5405</v>
      </c>
      <c r="D3826" s="17" t="s">
        <v>5408</v>
      </c>
      <c r="E3826" s="17"/>
      <c r="F3826" s="444">
        <v>6.16</v>
      </c>
      <c r="G3826" s="519">
        <v>6.16</v>
      </c>
      <c r="H3826" s="18">
        <f t="shared" si="1531"/>
        <v>4.93</v>
      </c>
      <c r="I3826" s="694"/>
      <c r="J3826" s="669" t="s">
        <v>5805</v>
      </c>
      <c r="L3826" s="70" t="str">
        <f t="shared" si="1532"/>
        <v/>
      </c>
      <c r="M3826" s="49">
        <f t="shared" si="1533"/>
        <v>6.16</v>
      </c>
      <c r="N3826" s="112">
        <v>6.16</v>
      </c>
      <c r="O3826" s="117"/>
      <c r="P3826" s="117"/>
      <c r="Q3826" s="112"/>
    </row>
    <row r="3827" spans="1:18" x14ac:dyDescent="0.25">
      <c r="A3827" s="610" t="s">
        <v>5588</v>
      </c>
      <c r="B3827" s="17" t="s">
        <v>5406</v>
      </c>
      <c r="C3827" s="17" t="s">
        <v>5405</v>
      </c>
      <c r="D3827" s="17" t="s">
        <v>2907</v>
      </c>
      <c r="E3827" s="17"/>
      <c r="F3827" s="444">
        <v>8.16</v>
      </c>
      <c r="G3827" s="519">
        <v>8.16</v>
      </c>
      <c r="H3827" s="18">
        <f t="shared" si="1531"/>
        <v>6.53</v>
      </c>
      <c r="I3827" s="694"/>
      <c r="J3827" s="669" t="s">
        <v>5805</v>
      </c>
      <c r="L3827" s="70" t="str">
        <f t="shared" si="1532"/>
        <v/>
      </c>
      <c r="M3827" s="49">
        <f t="shared" si="1533"/>
        <v>8.16</v>
      </c>
      <c r="N3827" s="112">
        <v>6.16</v>
      </c>
      <c r="O3827" s="117" t="s">
        <v>1017</v>
      </c>
      <c r="P3827" s="117"/>
      <c r="Q3827" s="112"/>
      <c r="R3827" s="41"/>
    </row>
    <row r="3828" spans="1:18" x14ac:dyDescent="0.25">
      <c r="A3828" s="610" t="s">
        <v>5589</v>
      </c>
      <c r="B3828" s="17" t="s">
        <v>5406</v>
      </c>
      <c r="C3828" s="17" t="s">
        <v>5405</v>
      </c>
      <c r="D3828" s="17" t="s">
        <v>594</v>
      </c>
      <c r="E3828" s="17"/>
      <c r="F3828" s="444">
        <v>7.16</v>
      </c>
      <c r="G3828" s="519">
        <v>7.16</v>
      </c>
      <c r="H3828" s="18">
        <f t="shared" si="1531"/>
        <v>5.73</v>
      </c>
      <c r="I3828" s="694"/>
      <c r="J3828" s="669" t="s">
        <v>5805</v>
      </c>
      <c r="L3828" s="70" t="str">
        <f t="shared" si="1532"/>
        <v/>
      </c>
      <c r="M3828" s="49">
        <f t="shared" si="1533"/>
        <v>7.16</v>
      </c>
      <c r="N3828" s="112">
        <v>6.16</v>
      </c>
      <c r="O3828" s="117"/>
      <c r="P3828" s="117" t="s">
        <v>1017</v>
      </c>
      <c r="Q3828" s="112"/>
    </row>
    <row r="3829" spans="1:18" x14ac:dyDescent="0.25">
      <c r="A3829" s="610" t="s">
        <v>3300</v>
      </c>
      <c r="B3829" s="17" t="s">
        <v>5406</v>
      </c>
      <c r="C3829" s="17" t="s">
        <v>5405</v>
      </c>
      <c r="D3829" s="30" t="s">
        <v>596</v>
      </c>
      <c r="E3829" s="17"/>
      <c r="F3829" s="444">
        <v>8.16</v>
      </c>
      <c r="G3829" s="519">
        <v>8.16</v>
      </c>
      <c r="H3829" s="18">
        <f t="shared" si="1531"/>
        <v>6.53</v>
      </c>
      <c r="I3829" s="694"/>
      <c r="J3829" s="669" t="s">
        <v>5805</v>
      </c>
      <c r="L3829" s="70" t="str">
        <f t="shared" si="1532"/>
        <v/>
      </c>
      <c r="M3829" s="59">
        <f t="shared" si="1533"/>
        <v>8.16</v>
      </c>
      <c r="N3829" s="114">
        <v>6.16</v>
      </c>
      <c r="O3829" s="115"/>
      <c r="P3829" s="115"/>
      <c r="Q3829" s="114" t="s">
        <v>1017</v>
      </c>
    </row>
    <row r="3830" spans="1:18" x14ac:dyDescent="0.25">
      <c r="A3830" s="609"/>
      <c r="B3830" s="1"/>
      <c r="C3830" s="1"/>
      <c r="D3830" s="1"/>
      <c r="E3830" s="1"/>
      <c r="F3830" s="442"/>
      <c r="G3830" s="520"/>
      <c r="H3830" s="13" t="str">
        <f t="shared" si="1531"/>
        <v/>
      </c>
      <c r="I3830" s="692"/>
      <c r="J3830" s="669" t="s">
        <v>4180</v>
      </c>
      <c r="L3830" s="92"/>
      <c r="M3830" s="358">
        <v>2010</v>
      </c>
      <c r="N3830" s="358"/>
      <c r="O3830" s="352">
        <f>ROUND(O$3821*(1-$R$3820)^($M3830-$M$3821),2)</f>
        <v>1.97</v>
      </c>
      <c r="P3830" s="351">
        <f>ROUND(P$3821*(1-$R$3820)^($M3830-$M$3821),2)</f>
        <v>0.99</v>
      </c>
      <c r="Q3830" s="353">
        <f>ROUND(Q$3821*(1-$R$3820)^($M3830-$M$3821),2)</f>
        <v>1.97</v>
      </c>
      <c r="R3830" s="41" t="str">
        <f>"Bonushöhe bei Inbetriebnahme in "&amp;M3830</f>
        <v>Bonushöhe bei Inbetriebnahme in 2010</v>
      </c>
    </row>
    <row r="3831" spans="1:18" x14ac:dyDescent="0.25">
      <c r="A3831" s="610" t="s">
        <v>5462</v>
      </c>
      <c r="B3831" s="17" t="s">
        <v>5406</v>
      </c>
      <c r="C3831" s="30" t="s">
        <v>2385</v>
      </c>
      <c r="D3831" s="17" t="s">
        <v>5407</v>
      </c>
      <c r="E3831" s="17"/>
      <c r="F3831" s="444">
        <v>8.8699999999999992</v>
      </c>
      <c r="G3831" s="519">
        <v>8.8699999999999992</v>
      </c>
      <c r="H3831" s="18">
        <f t="shared" si="1531"/>
        <v>7.1</v>
      </c>
      <c r="I3831" s="694"/>
      <c r="J3831" s="669" t="s">
        <v>5805</v>
      </c>
      <c r="L3831" s="70" t="str">
        <f t="shared" ref="L3831:L3838" si="1534">IF(F3831=M3831,"",FALSE)</f>
        <v/>
      </c>
      <c r="M3831" s="49">
        <f t="shared" ref="M3831:M3838" si="1535">N3831+SUMIF(O3831:Q3831,"x",O$3830:Q$3830)</f>
        <v>8.8699999999999992</v>
      </c>
      <c r="N3831" s="90">
        <f t="shared" ref="N3831:N3838" si="1536">ROUND(N3822*(1-$R$3820)^($M$3830-$M$3821),2)</f>
        <v>8.8699999999999992</v>
      </c>
      <c r="O3831" s="113"/>
      <c r="P3831" s="113"/>
      <c r="Q3831" s="112"/>
    </row>
    <row r="3832" spans="1:18" x14ac:dyDescent="0.25">
      <c r="A3832" s="610" t="s">
        <v>5463</v>
      </c>
      <c r="B3832" s="17" t="s">
        <v>5406</v>
      </c>
      <c r="C3832" s="30" t="s">
        <v>2385</v>
      </c>
      <c r="D3832" s="17" t="s">
        <v>5517</v>
      </c>
      <c r="E3832" s="17"/>
      <c r="F3832" s="444">
        <v>10.84</v>
      </c>
      <c r="G3832" s="519">
        <v>10.84</v>
      </c>
      <c r="H3832" s="18">
        <f t="shared" si="1531"/>
        <v>8.67</v>
      </c>
      <c r="I3832" s="694"/>
      <c r="J3832" s="669" t="s">
        <v>5805</v>
      </c>
      <c r="L3832" s="70" t="str">
        <f t="shared" si="1534"/>
        <v/>
      </c>
      <c r="M3832" s="49">
        <f t="shared" si="1535"/>
        <v>10.84</v>
      </c>
      <c r="N3832" s="90">
        <f t="shared" si="1536"/>
        <v>8.8699999999999992</v>
      </c>
      <c r="O3832" s="113" t="s">
        <v>1017</v>
      </c>
      <c r="P3832" s="113"/>
      <c r="Q3832" s="112"/>
    </row>
    <row r="3833" spans="1:18" x14ac:dyDescent="0.25">
      <c r="A3833" s="610" t="s">
        <v>5464</v>
      </c>
      <c r="B3833" s="17" t="s">
        <v>5406</v>
      </c>
      <c r="C3833" s="30" t="s">
        <v>2385</v>
      </c>
      <c r="D3833" s="17" t="s">
        <v>5518</v>
      </c>
      <c r="E3833" s="17"/>
      <c r="F3833" s="444">
        <v>9.86</v>
      </c>
      <c r="G3833" s="519">
        <v>9.86</v>
      </c>
      <c r="H3833" s="18">
        <f t="shared" si="1531"/>
        <v>7.89</v>
      </c>
      <c r="I3833" s="694"/>
      <c r="J3833" s="669" t="s">
        <v>5805</v>
      </c>
      <c r="L3833" s="70" t="str">
        <f t="shared" si="1534"/>
        <v/>
      </c>
      <c r="M3833" s="49">
        <f t="shared" si="1535"/>
        <v>9.86</v>
      </c>
      <c r="N3833" s="90">
        <f t="shared" si="1536"/>
        <v>8.8699999999999992</v>
      </c>
      <c r="O3833" s="113"/>
      <c r="P3833" s="113" t="s">
        <v>1017</v>
      </c>
      <c r="Q3833" s="112"/>
    </row>
    <row r="3834" spans="1:18" x14ac:dyDescent="0.25">
      <c r="A3834" s="610" t="s">
        <v>5465</v>
      </c>
      <c r="B3834" s="17" t="s">
        <v>5406</v>
      </c>
      <c r="C3834" s="30" t="s">
        <v>2385</v>
      </c>
      <c r="D3834" s="30" t="s">
        <v>3299</v>
      </c>
      <c r="E3834" s="17"/>
      <c r="F3834" s="444">
        <v>10.84</v>
      </c>
      <c r="G3834" s="519">
        <v>10.84</v>
      </c>
      <c r="H3834" s="18">
        <f t="shared" si="1531"/>
        <v>8.67</v>
      </c>
      <c r="I3834" s="694"/>
      <c r="J3834" s="669" t="s">
        <v>5805</v>
      </c>
      <c r="L3834" s="70" t="str">
        <f t="shared" si="1534"/>
        <v/>
      </c>
      <c r="M3834" s="49">
        <f t="shared" si="1535"/>
        <v>10.84</v>
      </c>
      <c r="N3834" s="90">
        <f t="shared" si="1536"/>
        <v>8.8699999999999992</v>
      </c>
      <c r="O3834" s="113"/>
      <c r="P3834" s="113"/>
      <c r="Q3834" s="112" t="s">
        <v>1017</v>
      </c>
    </row>
    <row r="3835" spans="1:18" x14ac:dyDescent="0.25">
      <c r="A3835" s="610" t="s">
        <v>5466</v>
      </c>
      <c r="B3835" s="17" t="s">
        <v>5406</v>
      </c>
      <c r="C3835" s="30" t="s">
        <v>2385</v>
      </c>
      <c r="D3835" s="17" t="s">
        <v>5408</v>
      </c>
      <c r="E3835" s="17"/>
      <c r="F3835" s="444">
        <v>6.07</v>
      </c>
      <c r="G3835" s="519">
        <v>6.07</v>
      </c>
      <c r="H3835" s="18">
        <f t="shared" si="1531"/>
        <v>4.8600000000000003</v>
      </c>
      <c r="I3835" s="694"/>
      <c r="J3835" s="669" t="s">
        <v>5805</v>
      </c>
      <c r="L3835" s="70" t="str">
        <f t="shared" si="1534"/>
        <v/>
      </c>
      <c r="M3835" s="49">
        <f t="shared" si="1535"/>
        <v>6.07</v>
      </c>
      <c r="N3835" s="90">
        <f t="shared" si="1536"/>
        <v>6.07</v>
      </c>
      <c r="O3835" s="117"/>
      <c r="P3835" s="117"/>
      <c r="Q3835" s="112"/>
    </row>
    <row r="3836" spans="1:18" x14ac:dyDescent="0.25">
      <c r="A3836" s="610" t="s">
        <v>5467</v>
      </c>
      <c r="B3836" s="17" t="s">
        <v>5406</v>
      </c>
      <c r="C3836" s="30" t="s">
        <v>2385</v>
      </c>
      <c r="D3836" s="17" t="s">
        <v>2907</v>
      </c>
      <c r="E3836" s="17"/>
      <c r="F3836" s="444">
        <v>8.0399999999999991</v>
      </c>
      <c r="G3836" s="519">
        <v>8.0399999999999991</v>
      </c>
      <c r="H3836" s="18">
        <f t="shared" si="1531"/>
        <v>6.43</v>
      </c>
      <c r="I3836" s="694"/>
      <c r="J3836" s="669" t="s">
        <v>5805</v>
      </c>
      <c r="L3836" s="70" t="str">
        <f t="shared" si="1534"/>
        <v/>
      </c>
      <c r="M3836" s="49">
        <f t="shared" si="1535"/>
        <v>8.0400000000000009</v>
      </c>
      <c r="N3836" s="90">
        <f t="shared" si="1536"/>
        <v>6.07</v>
      </c>
      <c r="O3836" s="117" t="s">
        <v>1017</v>
      </c>
      <c r="P3836" s="117"/>
      <c r="Q3836" s="112"/>
    </row>
    <row r="3837" spans="1:18" x14ac:dyDescent="0.25">
      <c r="A3837" s="610" t="s">
        <v>5468</v>
      </c>
      <c r="B3837" s="17" t="s">
        <v>5406</v>
      </c>
      <c r="C3837" s="30" t="s">
        <v>2385</v>
      </c>
      <c r="D3837" s="17" t="s">
        <v>594</v>
      </c>
      <c r="E3837" s="17"/>
      <c r="F3837" s="444">
        <v>7.06</v>
      </c>
      <c r="G3837" s="519">
        <v>7.06</v>
      </c>
      <c r="H3837" s="18">
        <f t="shared" si="1531"/>
        <v>5.65</v>
      </c>
      <c r="I3837" s="694"/>
      <c r="J3837" s="669" t="s">
        <v>5805</v>
      </c>
      <c r="L3837" s="70" t="str">
        <f t="shared" si="1534"/>
        <v/>
      </c>
      <c r="M3837" s="49">
        <f t="shared" si="1535"/>
        <v>7.0600000000000005</v>
      </c>
      <c r="N3837" s="90">
        <f t="shared" si="1536"/>
        <v>6.07</v>
      </c>
      <c r="O3837" s="117"/>
      <c r="P3837" s="117" t="s">
        <v>1017</v>
      </c>
      <c r="Q3837" s="112"/>
    </row>
    <row r="3838" spans="1:18" x14ac:dyDescent="0.25">
      <c r="A3838" s="610" t="s">
        <v>5469</v>
      </c>
      <c r="B3838" s="17" t="s">
        <v>5406</v>
      </c>
      <c r="C3838" s="30" t="s">
        <v>2385</v>
      </c>
      <c r="D3838" s="30" t="s">
        <v>596</v>
      </c>
      <c r="E3838" s="17"/>
      <c r="F3838" s="444">
        <v>8.0399999999999991</v>
      </c>
      <c r="G3838" s="519">
        <v>8.0399999999999991</v>
      </c>
      <c r="H3838" s="18">
        <f t="shared" si="1531"/>
        <v>6.43</v>
      </c>
      <c r="I3838" s="694"/>
      <c r="J3838" s="669" t="s">
        <v>5805</v>
      </c>
      <c r="L3838" s="70" t="str">
        <f t="shared" si="1534"/>
        <v/>
      </c>
      <c r="M3838" s="59">
        <f t="shared" si="1535"/>
        <v>8.0400000000000009</v>
      </c>
      <c r="N3838" s="52">
        <f t="shared" si="1536"/>
        <v>6.07</v>
      </c>
      <c r="O3838" s="115"/>
      <c r="P3838" s="115"/>
      <c r="Q3838" s="114" t="s">
        <v>1017</v>
      </c>
    </row>
    <row r="3839" spans="1:18" x14ac:dyDescent="0.25">
      <c r="A3839" s="608"/>
      <c r="B3839" s="2"/>
      <c r="C3839" s="1"/>
      <c r="D3839" s="2"/>
      <c r="E3839" s="1"/>
      <c r="F3839" s="442"/>
      <c r="G3839" s="520"/>
      <c r="H3839" s="13" t="str">
        <f t="shared" si="1531"/>
        <v/>
      </c>
      <c r="I3839" s="692"/>
      <c r="J3839" s="669" t="s">
        <v>4180</v>
      </c>
      <c r="M3839" s="358">
        <v>2011</v>
      </c>
      <c r="N3839" s="358"/>
      <c r="O3839" s="352">
        <f>ROUND(O$3821*(1-$R$3820)^($M3839-$M$3821),2)</f>
        <v>1.94</v>
      </c>
      <c r="P3839" s="351">
        <f>ROUND(P$3821*(1-$R$3820)^($M3839-$M$3821),2)</f>
        <v>0.97</v>
      </c>
      <c r="Q3839" s="353">
        <f>ROUND(Q$3821*(1-$R$3820)^($M3839-$M$3821),2)</f>
        <v>1.94</v>
      </c>
      <c r="R3839" s="41" t="str">
        <f>"Bonushöhe bei Inbetriebnahme in "&amp;M3839</f>
        <v>Bonushöhe bei Inbetriebnahme in 2011</v>
      </c>
    </row>
    <row r="3840" spans="1:18" ht="17.25" customHeight="1" x14ac:dyDescent="0.25">
      <c r="A3840" s="610" t="str">
        <f t="shared" ref="A3840:A3847" si="1537">LEFT(A3831,12)&amp;($M$3839-2000)</f>
        <v>DeK240------11</v>
      </c>
      <c r="B3840" s="17" t="s">
        <v>5406</v>
      </c>
      <c r="C3840" s="30" t="str">
        <f t="shared" ref="C3840:C3847" si="1538">"Inbetriebnahme "&amp;$M$3839</f>
        <v>Inbetriebnahme 2011</v>
      </c>
      <c r="D3840" s="17" t="s">
        <v>5407</v>
      </c>
      <c r="E3840" s="17"/>
      <c r="F3840" s="444">
        <f t="shared" ref="F3840:F3847" si="1539">M3840</f>
        <v>8.73</v>
      </c>
      <c r="G3840" s="519">
        <v>8.73</v>
      </c>
      <c r="H3840" s="18">
        <f t="shared" ref="H3840:H3903" si="1540">IF(ISNUMBER(G3840),ROUND(0.8*G3840,2),"")</f>
        <v>6.98</v>
      </c>
      <c r="I3840" s="694"/>
      <c r="J3840" s="669" t="s">
        <v>5805</v>
      </c>
      <c r="L3840" s="70" t="str">
        <f t="shared" ref="L3840:L3847" si="1541">IF(F3840=M3840,"",FALSE)</f>
        <v/>
      </c>
      <c r="M3840" s="49">
        <f t="shared" ref="M3840:M3847" si="1542">N3840+SUMIF(O3840:Q3840,"x",O$3839:Q$3839)</f>
        <v>8.73</v>
      </c>
      <c r="N3840" s="90">
        <f t="shared" ref="N3840:N3847" si="1543">ROUND(N3822*(1-$R$3820)^($M$3839-$M$3821),2)</f>
        <v>8.73</v>
      </c>
      <c r="O3840" s="113"/>
      <c r="P3840" s="113"/>
      <c r="Q3840" s="112"/>
    </row>
    <row r="3841" spans="1:45" s="12" customFormat="1" x14ac:dyDescent="0.25">
      <c r="A3841" s="610" t="str">
        <f t="shared" si="1537"/>
        <v>DeK241------11</v>
      </c>
      <c r="B3841" s="17" t="s">
        <v>5406</v>
      </c>
      <c r="C3841" s="30" t="str">
        <f t="shared" si="1538"/>
        <v>Inbetriebnahme 2011</v>
      </c>
      <c r="D3841" s="17" t="s">
        <v>5517</v>
      </c>
      <c r="E3841" s="17"/>
      <c r="F3841" s="444">
        <f t="shared" si="1539"/>
        <v>10.67</v>
      </c>
      <c r="G3841" s="519">
        <v>10.67</v>
      </c>
      <c r="H3841" s="18">
        <f t="shared" si="1540"/>
        <v>8.5399999999999991</v>
      </c>
      <c r="I3841" s="694"/>
      <c r="J3841" s="669" t="s">
        <v>5805</v>
      </c>
      <c r="K3841"/>
      <c r="L3841" s="70" t="str">
        <f t="shared" si="1541"/>
        <v/>
      </c>
      <c r="M3841" s="49">
        <f t="shared" si="1542"/>
        <v>10.67</v>
      </c>
      <c r="N3841" s="90">
        <f t="shared" si="1543"/>
        <v>8.73</v>
      </c>
      <c r="O3841" s="113" t="s">
        <v>1017</v>
      </c>
      <c r="P3841" s="113"/>
      <c r="Q3841" s="112"/>
      <c r="R3841"/>
      <c r="S3841"/>
      <c r="T3841"/>
      <c r="U3841"/>
      <c r="V3841"/>
      <c r="W3841"/>
      <c r="X3841"/>
      <c r="Y3841"/>
      <c r="Z3841"/>
      <c r="AA3841"/>
      <c r="AB3841"/>
      <c r="AC3841"/>
      <c r="AD3841"/>
      <c r="AE3841"/>
      <c r="AF3841"/>
      <c r="AG3841"/>
    </row>
    <row r="3842" spans="1:45" s="12" customFormat="1" x14ac:dyDescent="0.25">
      <c r="A3842" s="610" t="str">
        <f t="shared" si="1537"/>
        <v>DeK242------11</v>
      </c>
      <c r="B3842" s="17" t="s">
        <v>5406</v>
      </c>
      <c r="C3842" s="30" t="str">
        <f t="shared" si="1538"/>
        <v>Inbetriebnahme 2011</v>
      </c>
      <c r="D3842" s="17" t="s">
        <v>5518</v>
      </c>
      <c r="E3842" s="17"/>
      <c r="F3842" s="444">
        <f t="shared" si="1539"/>
        <v>9.7000000000000011</v>
      </c>
      <c r="G3842" s="519">
        <v>9.7000000000000011</v>
      </c>
      <c r="H3842" s="18">
        <f t="shared" si="1540"/>
        <v>7.76</v>
      </c>
      <c r="I3842" s="694"/>
      <c r="J3842" s="669" t="s">
        <v>5805</v>
      </c>
      <c r="K3842"/>
      <c r="L3842" s="70" t="str">
        <f t="shared" si="1541"/>
        <v/>
      </c>
      <c r="M3842" s="49">
        <f t="shared" si="1542"/>
        <v>9.7000000000000011</v>
      </c>
      <c r="N3842" s="90">
        <f t="shared" si="1543"/>
        <v>8.73</v>
      </c>
      <c r="O3842" s="113"/>
      <c r="P3842" s="113" t="s">
        <v>1017</v>
      </c>
      <c r="Q3842" s="112"/>
      <c r="R3842"/>
      <c r="S3842"/>
      <c r="T3842"/>
      <c r="U3842"/>
      <c r="V3842"/>
      <c r="W3842"/>
      <c r="X3842"/>
      <c r="Y3842"/>
      <c r="Z3842"/>
      <c r="AA3842"/>
      <c r="AB3842"/>
      <c r="AC3842"/>
      <c r="AD3842"/>
      <c r="AE3842"/>
      <c r="AF3842"/>
      <c r="AG3842"/>
    </row>
    <row r="3843" spans="1:45" s="12" customFormat="1" x14ac:dyDescent="0.25">
      <c r="A3843" s="610" t="str">
        <f t="shared" si="1537"/>
        <v>DeK243------11</v>
      </c>
      <c r="B3843" s="17" t="s">
        <v>5406</v>
      </c>
      <c r="C3843" s="30" t="str">
        <f t="shared" si="1538"/>
        <v>Inbetriebnahme 2011</v>
      </c>
      <c r="D3843" s="30" t="s">
        <v>3299</v>
      </c>
      <c r="E3843" s="17"/>
      <c r="F3843" s="444">
        <f t="shared" si="1539"/>
        <v>10.67</v>
      </c>
      <c r="G3843" s="519">
        <v>10.67</v>
      </c>
      <c r="H3843" s="18">
        <f t="shared" si="1540"/>
        <v>8.5399999999999991</v>
      </c>
      <c r="I3843" s="694"/>
      <c r="J3843" s="669" t="s">
        <v>5805</v>
      </c>
      <c r="K3843"/>
      <c r="L3843" s="70" t="str">
        <f t="shared" si="1541"/>
        <v/>
      </c>
      <c r="M3843" s="49">
        <f t="shared" si="1542"/>
        <v>10.67</v>
      </c>
      <c r="N3843" s="90">
        <f t="shared" si="1543"/>
        <v>8.73</v>
      </c>
      <c r="O3843" s="113"/>
      <c r="P3843" s="113"/>
      <c r="Q3843" s="112" t="s">
        <v>1017</v>
      </c>
      <c r="R3843"/>
      <c r="S3843"/>
      <c r="T3843"/>
      <c r="U3843"/>
      <c r="V3843"/>
      <c r="W3843"/>
      <c r="X3843"/>
      <c r="Y3843"/>
      <c r="Z3843"/>
      <c r="AA3843"/>
      <c r="AB3843"/>
      <c r="AC3843"/>
      <c r="AD3843"/>
      <c r="AE3843"/>
      <c r="AF3843"/>
      <c r="AG3843"/>
    </row>
    <row r="3844" spans="1:45" x14ac:dyDescent="0.25">
      <c r="A3844" s="610" t="str">
        <f t="shared" si="1537"/>
        <v>DeK245------11</v>
      </c>
      <c r="B3844" s="17" t="s">
        <v>5406</v>
      </c>
      <c r="C3844" s="30" t="str">
        <f t="shared" si="1538"/>
        <v>Inbetriebnahme 2011</v>
      </c>
      <c r="D3844" s="17" t="s">
        <v>5408</v>
      </c>
      <c r="E3844" s="17"/>
      <c r="F3844" s="444">
        <f t="shared" si="1539"/>
        <v>5.98</v>
      </c>
      <c r="G3844" s="519">
        <v>5.98</v>
      </c>
      <c r="H3844" s="18">
        <f t="shared" si="1540"/>
        <v>4.78</v>
      </c>
      <c r="I3844" s="694"/>
      <c r="J3844" s="669" t="s">
        <v>5805</v>
      </c>
      <c r="L3844" s="70" t="str">
        <f t="shared" si="1541"/>
        <v/>
      </c>
      <c r="M3844" s="49">
        <f t="shared" si="1542"/>
        <v>5.98</v>
      </c>
      <c r="N3844" s="90">
        <f t="shared" si="1543"/>
        <v>5.98</v>
      </c>
      <c r="O3844" s="117"/>
      <c r="P3844" s="117"/>
      <c r="Q3844" s="112"/>
    </row>
    <row r="3845" spans="1:45" x14ac:dyDescent="0.25">
      <c r="A3845" s="610" t="str">
        <f t="shared" si="1537"/>
        <v>DeK246------11</v>
      </c>
      <c r="B3845" s="17" t="s">
        <v>5406</v>
      </c>
      <c r="C3845" s="30" t="str">
        <f t="shared" si="1538"/>
        <v>Inbetriebnahme 2011</v>
      </c>
      <c r="D3845" s="17" t="s">
        <v>2907</v>
      </c>
      <c r="E3845" s="17"/>
      <c r="F3845" s="444">
        <f t="shared" si="1539"/>
        <v>7.92</v>
      </c>
      <c r="G3845" s="519">
        <v>7.92</v>
      </c>
      <c r="H3845" s="18">
        <f t="shared" si="1540"/>
        <v>6.34</v>
      </c>
      <c r="I3845" s="694"/>
      <c r="J3845" s="669" t="s">
        <v>5805</v>
      </c>
      <c r="L3845" s="70" t="str">
        <f t="shared" si="1541"/>
        <v/>
      </c>
      <c r="M3845" s="49">
        <f t="shared" si="1542"/>
        <v>7.92</v>
      </c>
      <c r="N3845" s="90">
        <f t="shared" si="1543"/>
        <v>5.98</v>
      </c>
      <c r="O3845" s="117" t="s">
        <v>1017</v>
      </c>
      <c r="P3845" s="117"/>
      <c r="Q3845" s="112"/>
    </row>
    <row r="3846" spans="1:45" x14ac:dyDescent="0.25">
      <c r="A3846" s="610" t="str">
        <f t="shared" si="1537"/>
        <v>DeK247------11</v>
      </c>
      <c r="B3846" s="17" t="s">
        <v>5406</v>
      </c>
      <c r="C3846" s="30" t="str">
        <f t="shared" si="1538"/>
        <v>Inbetriebnahme 2011</v>
      </c>
      <c r="D3846" s="17" t="s">
        <v>594</v>
      </c>
      <c r="E3846" s="17"/>
      <c r="F3846" s="444">
        <f t="shared" si="1539"/>
        <v>6.95</v>
      </c>
      <c r="G3846" s="519">
        <v>6.95</v>
      </c>
      <c r="H3846" s="18">
        <f t="shared" si="1540"/>
        <v>5.56</v>
      </c>
      <c r="I3846" s="694"/>
      <c r="J3846" s="669" t="s">
        <v>5805</v>
      </c>
      <c r="L3846" s="70" t="str">
        <f t="shared" si="1541"/>
        <v/>
      </c>
      <c r="M3846" s="49">
        <f t="shared" si="1542"/>
        <v>6.95</v>
      </c>
      <c r="N3846" s="90">
        <f t="shared" si="1543"/>
        <v>5.98</v>
      </c>
      <c r="O3846" s="117"/>
      <c r="P3846" s="117" t="s">
        <v>1017</v>
      </c>
      <c r="Q3846" s="112"/>
    </row>
    <row r="3847" spans="1:45" x14ac:dyDescent="0.25">
      <c r="A3847" s="610" t="str">
        <f t="shared" si="1537"/>
        <v>DeK248------11</v>
      </c>
      <c r="B3847" s="17" t="s">
        <v>5406</v>
      </c>
      <c r="C3847" s="30" t="str">
        <f t="shared" si="1538"/>
        <v>Inbetriebnahme 2011</v>
      </c>
      <c r="D3847" s="30" t="s">
        <v>596</v>
      </c>
      <c r="E3847" s="17"/>
      <c r="F3847" s="444">
        <f t="shared" si="1539"/>
        <v>7.92</v>
      </c>
      <c r="G3847" s="519">
        <v>7.92</v>
      </c>
      <c r="H3847" s="18">
        <f t="shared" si="1540"/>
        <v>6.34</v>
      </c>
      <c r="I3847" s="694"/>
      <c r="J3847" s="669" t="s">
        <v>5805</v>
      </c>
      <c r="L3847" s="70" t="str">
        <f t="shared" si="1541"/>
        <v/>
      </c>
      <c r="M3847" s="49">
        <f t="shared" si="1542"/>
        <v>7.92</v>
      </c>
      <c r="N3847" s="90">
        <f t="shared" si="1543"/>
        <v>5.98</v>
      </c>
      <c r="O3847" s="115"/>
      <c r="P3847" s="115"/>
      <c r="Q3847" s="114" t="s">
        <v>1017</v>
      </c>
    </row>
    <row r="3848" spans="1:45" x14ac:dyDescent="0.25">
      <c r="A3848" s="608"/>
      <c r="B3848" s="2"/>
      <c r="C3848" s="34"/>
      <c r="D3848" s="34"/>
      <c r="E3848" s="2"/>
      <c r="F3848" s="445"/>
      <c r="G3848" s="521"/>
      <c r="H3848" s="14" t="str">
        <f t="shared" si="1540"/>
        <v/>
      </c>
      <c r="I3848" s="695"/>
      <c r="J3848" s="669" t="s">
        <v>4180</v>
      </c>
      <c r="L3848" s="70"/>
      <c r="M3848" s="354"/>
      <c r="N3848" s="89"/>
      <c r="O3848" s="117"/>
      <c r="P3848" s="117"/>
      <c r="Q3848" s="117"/>
    </row>
    <row r="3849" spans="1:45" s="259" customFormat="1" ht="20.25" customHeight="1" x14ac:dyDescent="0.25">
      <c r="A3849" s="617"/>
      <c r="B3849" s="255"/>
      <c r="C3849" s="256"/>
      <c r="D3849" s="255"/>
      <c r="E3849" s="256"/>
      <c r="F3849" s="463"/>
      <c r="G3849" s="539"/>
      <c r="H3849" s="257" t="str">
        <f t="shared" si="1540"/>
        <v/>
      </c>
      <c r="I3849" s="717"/>
      <c r="J3849" s="669" t="s">
        <v>4180</v>
      </c>
      <c r="K3849" s="258"/>
      <c r="L3849" s="362"/>
      <c r="M3849" s="260" t="s">
        <v>491</v>
      </c>
      <c r="N3849" s="261"/>
      <c r="O3849" s="261"/>
      <c r="AG3849" s="262"/>
    </row>
    <row r="3850" spans="1:45" s="238" customFormat="1" ht="39.75" customHeight="1" x14ac:dyDescent="0.25">
      <c r="A3850" s="621"/>
      <c r="B3850" s="230"/>
      <c r="C3850" s="231"/>
      <c r="D3850" s="231"/>
      <c r="E3850" s="232"/>
      <c r="F3850" s="464"/>
      <c r="G3850" s="540"/>
      <c r="H3850" s="496" t="str">
        <f t="shared" si="1540"/>
        <v/>
      </c>
      <c r="I3850" s="718"/>
      <c r="J3850" s="669" t="s">
        <v>4180</v>
      </c>
      <c r="K3850" s="234"/>
      <c r="L3850" s="234"/>
      <c r="M3850" s="235">
        <v>2012</v>
      </c>
      <c r="N3850" s="234"/>
      <c r="O3850" s="1158" t="s">
        <v>1745</v>
      </c>
      <c r="P3850" s="1159"/>
      <c r="Q3850" s="1160"/>
      <c r="R3850" s="267"/>
      <c r="S3850" s="267"/>
      <c r="T3850" s="267"/>
      <c r="U3850" s="267"/>
      <c r="V3850" s="267"/>
      <c r="W3850" s="267"/>
      <c r="X3850" s="267"/>
      <c r="Y3850" s="236"/>
      <c r="Z3850" s="237"/>
    </row>
    <row r="3851" spans="1:45" s="238" customFormat="1" ht="57.75" customHeight="1" x14ac:dyDescent="0.25">
      <c r="A3851" s="621"/>
      <c r="B3851" s="230"/>
      <c r="C3851" s="231"/>
      <c r="D3851" s="231"/>
      <c r="E3851" s="232"/>
      <c r="F3851" s="464"/>
      <c r="G3851" s="540"/>
      <c r="H3851" s="496" t="str">
        <f t="shared" si="1540"/>
        <v/>
      </c>
      <c r="I3851" s="718"/>
      <c r="J3851" s="669" t="s">
        <v>4180</v>
      </c>
      <c r="K3851" s="234"/>
      <c r="L3851" s="234"/>
      <c r="M3851" s="242" t="s">
        <v>2914</v>
      </c>
      <c r="N3851" s="243" t="s">
        <v>508</v>
      </c>
      <c r="O3851" s="247" t="s">
        <v>1746</v>
      </c>
      <c r="P3851" s="248" t="s">
        <v>1747</v>
      </c>
      <c r="Q3851" s="249" t="s">
        <v>1748</v>
      </c>
      <c r="V3851" s="268"/>
      <c r="W3851" s="268"/>
      <c r="X3851" s="268"/>
      <c r="Y3851" s="237"/>
    </row>
    <row r="3852" spans="1:45" ht="34.5" x14ac:dyDescent="0.25">
      <c r="A3852" s="608"/>
      <c r="B3852" s="2"/>
      <c r="C3852" s="22"/>
      <c r="D3852" s="22"/>
      <c r="E3852" s="34"/>
      <c r="F3852" s="456"/>
      <c r="G3852" s="531"/>
      <c r="H3852" s="489" t="str">
        <f t="shared" si="1540"/>
        <v/>
      </c>
      <c r="I3852" s="708"/>
      <c r="J3852" s="669" t="s">
        <v>4180</v>
      </c>
      <c r="K3852" s="29"/>
      <c r="L3852" s="29"/>
      <c r="M3852" s="46"/>
      <c r="N3852" s="42"/>
      <c r="O3852" s="250" t="s">
        <v>1740</v>
      </c>
      <c r="P3852" s="251" t="s">
        <v>1741</v>
      </c>
      <c r="Q3852" s="252" t="s">
        <v>1742</v>
      </c>
      <c r="R3852" s="118" t="s">
        <v>505</v>
      </c>
      <c r="S3852" s="251" t="s">
        <v>1740</v>
      </c>
      <c r="T3852" s="251" t="s">
        <v>1741</v>
      </c>
      <c r="U3852" s="251" t="s">
        <v>1742</v>
      </c>
      <c r="V3852" s="251"/>
      <c r="W3852" s="251"/>
      <c r="X3852" s="251"/>
      <c r="Y3852" s="12"/>
    </row>
    <row r="3853" spans="1:45" x14ac:dyDescent="0.25">
      <c r="A3853" s="609"/>
      <c r="B3853" s="1"/>
      <c r="C3853" s="1"/>
      <c r="D3853" s="2"/>
      <c r="E3853" s="1"/>
      <c r="F3853" s="457"/>
      <c r="G3853" s="532"/>
      <c r="H3853" s="490" t="str">
        <f t="shared" si="1540"/>
        <v/>
      </c>
      <c r="I3853" s="709"/>
      <c r="J3853" s="669" t="s">
        <v>4180</v>
      </c>
      <c r="L3853" s="71"/>
      <c r="M3853" s="47">
        <v>2012</v>
      </c>
      <c r="N3853" s="40"/>
      <c r="O3853" s="45">
        <v>3</v>
      </c>
      <c r="P3853" s="40">
        <v>2</v>
      </c>
      <c r="Q3853" s="52">
        <v>1</v>
      </c>
      <c r="R3853" s="275">
        <v>1.4999999999999999E-2</v>
      </c>
      <c r="S3853" s="41">
        <v>3</v>
      </c>
      <c r="T3853" s="41">
        <v>2</v>
      </c>
      <c r="U3853" s="41">
        <v>1</v>
      </c>
      <c r="V3853" s="205" t="str">
        <f xml:space="preserve"> "Bonushöhe bei Inbetriebnahme in " &amp; M3853</f>
        <v>Bonushöhe bei Inbetriebnahme in 2012</v>
      </c>
      <c r="W3853" s="41"/>
      <c r="X3853" s="41"/>
      <c r="Y3853" s="41"/>
      <c r="Z3853" s="41"/>
      <c r="AA3853" s="41"/>
      <c r="AB3853" s="41"/>
      <c r="AC3853" s="41"/>
      <c r="AD3853" s="41"/>
      <c r="AE3853" s="41"/>
      <c r="AF3853" s="41"/>
      <c r="AG3853" s="41"/>
      <c r="AK3853" t="s">
        <v>1740</v>
      </c>
      <c r="AL3853" t="s">
        <v>1741</v>
      </c>
      <c r="AM3853" t="s">
        <v>1742</v>
      </c>
      <c r="AN3853" t="s">
        <v>1764</v>
      </c>
      <c r="AO3853" t="s">
        <v>1765</v>
      </c>
      <c r="AP3853" t="s">
        <v>1766</v>
      </c>
      <c r="AQ3853" t="s">
        <v>669</v>
      </c>
      <c r="AR3853" t="s">
        <v>1763</v>
      </c>
    </row>
    <row r="3854" spans="1:45" x14ac:dyDescent="0.25">
      <c r="A3854" s="613" t="str">
        <f>"DeK240"&amp;AN3854&amp;RIGHT("------",6-LEN(AN3854))&amp;RIGHT($M3853,2)</f>
        <v>DeK240------12</v>
      </c>
      <c r="B3854" s="283" t="s">
        <v>5406</v>
      </c>
      <c r="C3854" s="284" t="str">
        <f t="shared" ref="C3854:C3861" si="1544">"Inbetriebnahme "&amp;$M$3853</f>
        <v>Inbetriebnahme 2012</v>
      </c>
      <c r="D3854" s="283" t="str">
        <f t="shared" ref="D3854:D3861" si="1545">IF(COUNTA(O3854:Q3854)=0,AH3854,AH3854&amp;", Bonusregel "&amp;AN3854)</f>
        <v>0-0,5 MW</v>
      </c>
      <c r="E3854" s="283"/>
      <c r="F3854" s="465">
        <f t="shared" ref="F3854:F3861" si="1546">M3854</f>
        <v>8.6</v>
      </c>
      <c r="G3854" s="541">
        <v>8.6</v>
      </c>
      <c r="H3854" s="497">
        <f t="shared" si="1540"/>
        <v>6.88</v>
      </c>
      <c r="I3854" s="719"/>
      <c r="J3854" s="669" t="s">
        <v>5805</v>
      </c>
      <c r="K3854" s="23"/>
      <c r="L3854" s="70" t="str">
        <f t="shared" ref="L3854:L3861" si="1547">IF(F3854=M3854,"",FALSE)</f>
        <v/>
      </c>
      <c r="M3854" s="49">
        <f t="shared" ref="M3854:M3861" si="1548">N3854+SUMIF(O3854:Q3854,"x",$O$3853:$Q$3853)</f>
        <v>8.6</v>
      </c>
      <c r="N3854" s="41">
        <v>8.6</v>
      </c>
      <c r="O3854" s="60"/>
      <c r="P3854" s="29"/>
      <c r="Q3854" s="62"/>
      <c r="AG3854" s="92"/>
      <c r="AH3854" s="253" t="s">
        <v>5407</v>
      </c>
      <c r="AK3854" t="str">
        <f t="shared" ref="AK3854:AM3861" si="1549">IF(O3854="x",V$3280,"")</f>
        <v/>
      </c>
      <c r="AL3854" t="str">
        <f t="shared" si="1549"/>
        <v/>
      </c>
      <c r="AM3854" t="str">
        <f t="shared" si="1549"/>
        <v/>
      </c>
      <c r="AN3854" t="str">
        <f t="shared" ref="AN3854:AN3861" si="1550">AK3854&amp;AL3854&amp;AM3854</f>
        <v/>
      </c>
      <c r="AO3854" s="254" t="str">
        <f>"DeK240"&amp;AN3854&amp;RIGHT("------",6-LEN(AN3854))&amp;RIGHT($M$3278,2)</f>
        <v>DeK240------12</v>
      </c>
      <c r="AP3854">
        <f t="shared" ref="AP3854:AP3861" si="1551">LEN(AO3854)</f>
        <v>14</v>
      </c>
      <c r="AQ3854" t="str">
        <f t="shared" ref="AQ3854:AQ3861" si="1552">IF(COUNTA(O3854:Q3854)=0,AH3854,AH3854&amp;", Bonusregel "&amp;AN3854)</f>
        <v>0-0,5 MW</v>
      </c>
      <c r="AR3854" t="str">
        <f>IF(COUNTA(#REF!)&gt;1,"Fehler ESVK",IF(COUNTA(O3854:Q3854)&gt;1,"Fehler GAB",IF(AP3854&lt;&gt;14,"Fehler Kategorie","")))</f>
        <v/>
      </c>
      <c r="AS3854" t="str">
        <f>SUBSTITUTE(AN3854,", ","")</f>
        <v/>
      </c>
    </row>
    <row r="3855" spans="1:45" x14ac:dyDescent="0.25">
      <c r="A3855" s="613" t="str">
        <f>"DeK240"&amp;AN3855&amp;RIGHT("------",6-LEN(AN3855))&amp;RIGHT($M3853,2)</f>
        <v>DeK240G1----12</v>
      </c>
      <c r="B3855" s="283" t="s">
        <v>5406</v>
      </c>
      <c r="C3855" s="284" t="str">
        <f t="shared" si="1544"/>
        <v>Inbetriebnahme 2012</v>
      </c>
      <c r="D3855" s="283" t="str">
        <f t="shared" si="1545"/>
        <v>0-0,5 MW, Bonusregel G1</v>
      </c>
      <c r="E3855" s="283"/>
      <c r="F3855" s="465">
        <f t="shared" si="1546"/>
        <v>11.6</v>
      </c>
      <c r="G3855" s="541">
        <v>11.6</v>
      </c>
      <c r="H3855" s="497">
        <f t="shared" si="1540"/>
        <v>9.2799999999999994</v>
      </c>
      <c r="I3855" s="719"/>
      <c r="J3855" s="669" t="s">
        <v>5805</v>
      </c>
      <c r="K3855" s="23"/>
      <c r="L3855" s="70" t="str">
        <f t="shared" si="1547"/>
        <v/>
      </c>
      <c r="M3855" s="49">
        <f t="shared" si="1548"/>
        <v>11.6</v>
      </c>
      <c r="N3855" s="41">
        <f>N3854</f>
        <v>8.6</v>
      </c>
      <c r="O3855" s="228" t="s">
        <v>1017</v>
      </c>
      <c r="P3855" s="29"/>
      <c r="Q3855" s="50"/>
      <c r="AG3855" s="92"/>
      <c r="AH3855" s="253" t="s">
        <v>5407</v>
      </c>
      <c r="AK3855" t="str">
        <f t="shared" si="1549"/>
        <v>G1</v>
      </c>
      <c r="AL3855" t="str">
        <f t="shared" si="1549"/>
        <v/>
      </c>
      <c r="AM3855" t="str">
        <f t="shared" si="1549"/>
        <v/>
      </c>
      <c r="AN3855" t="str">
        <f t="shared" si="1550"/>
        <v>G1</v>
      </c>
      <c r="AO3855" s="254" t="str">
        <f>"DeK240"&amp;AN3855&amp;RIGHT("------",6-LEN(AN3855))&amp;RIGHT($M$3278,2)</f>
        <v>DeK240G1----12</v>
      </c>
      <c r="AP3855">
        <f t="shared" si="1551"/>
        <v>14</v>
      </c>
      <c r="AQ3855" t="str">
        <f t="shared" si="1552"/>
        <v>0-0,5 MW, Bonusregel G1</v>
      </c>
      <c r="AR3855" t="str">
        <f>IF(COUNTA(#REF!)&gt;1,"Fehler ESVK",IF(COUNTA(O3855:Q3855)&gt;1,"Fehler GAB",IF(AP3855&lt;&gt;14,"Fehler Kategorie","")))</f>
        <v/>
      </c>
    </row>
    <row r="3856" spans="1:45" x14ac:dyDescent="0.25">
      <c r="A3856" s="613" t="str">
        <f>"DeK240"&amp;AN3856&amp;RIGHT("------",6-LEN(AN3856))&amp;RIGHT($M3853,2)</f>
        <v>DeK240G2----12</v>
      </c>
      <c r="B3856" s="283" t="s">
        <v>5406</v>
      </c>
      <c r="C3856" s="284" t="str">
        <f t="shared" si="1544"/>
        <v>Inbetriebnahme 2012</v>
      </c>
      <c r="D3856" s="283" t="str">
        <f t="shared" si="1545"/>
        <v>0-0,5 MW, Bonusregel G2</v>
      </c>
      <c r="E3856" s="283"/>
      <c r="F3856" s="465">
        <f t="shared" si="1546"/>
        <v>10.6</v>
      </c>
      <c r="G3856" s="541">
        <v>10.6</v>
      </c>
      <c r="H3856" s="497">
        <f t="shared" si="1540"/>
        <v>8.48</v>
      </c>
      <c r="I3856" s="719"/>
      <c r="J3856" s="669" t="s">
        <v>5805</v>
      </c>
      <c r="K3856" s="23"/>
      <c r="L3856" s="70" t="str">
        <f t="shared" si="1547"/>
        <v/>
      </c>
      <c r="M3856" s="49">
        <f t="shared" si="1548"/>
        <v>10.6</v>
      </c>
      <c r="N3856" s="41">
        <f>N3855</f>
        <v>8.6</v>
      </c>
      <c r="O3856" s="228"/>
      <c r="P3856" s="29" t="s">
        <v>1017</v>
      </c>
      <c r="Q3856" s="50"/>
      <c r="AG3856" s="92"/>
      <c r="AH3856" s="253" t="s">
        <v>5407</v>
      </c>
      <c r="AK3856" t="str">
        <f t="shared" si="1549"/>
        <v/>
      </c>
      <c r="AL3856" t="str">
        <f t="shared" si="1549"/>
        <v>G2</v>
      </c>
      <c r="AM3856" t="str">
        <f t="shared" si="1549"/>
        <v/>
      </c>
      <c r="AN3856" t="str">
        <f t="shared" si="1550"/>
        <v>G2</v>
      </c>
      <c r="AO3856" s="254" t="str">
        <f>"DeK240"&amp;AN3856&amp;RIGHT("------",6-LEN(AN3856))&amp;RIGHT($M$3278,2)</f>
        <v>DeK240G2----12</v>
      </c>
      <c r="AP3856">
        <f t="shared" si="1551"/>
        <v>14</v>
      </c>
      <c r="AQ3856" t="str">
        <f t="shared" si="1552"/>
        <v>0-0,5 MW, Bonusregel G2</v>
      </c>
      <c r="AR3856" t="str">
        <f>IF(COUNTA(#REF!)&gt;1,"Fehler ESVK",IF(COUNTA(O3856:Q3856)&gt;1,"Fehler GAB",IF(AP3856&lt;&gt;14,"Fehler Kategorie","")))</f>
        <v/>
      </c>
    </row>
    <row r="3857" spans="1:50" x14ac:dyDescent="0.25">
      <c r="A3857" s="613" t="str">
        <f>"DeK240"&amp;AN3857&amp;RIGHT("------",6-LEN(AN3857))&amp;RIGHT($M3853,2)</f>
        <v>DeK240G3----12</v>
      </c>
      <c r="B3857" s="283" t="s">
        <v>5406</v>
      </c>
      <c r="C3857" s="284" t="str">
        <f t="shared" si="1544"/>
        <v>Inbetriebnahme 2012</v>
      </c>
      <c r="D3857" s="283" t="str">
        <f t="shared" si="1545"/>
        <v>0-0,5 MW, Bonusregel G3</v>
      </c>
      <c r="E3857" s="283"/>
      <c r="F3857" s="465">
        <f t="shared" si="1546"/>
        <v>9.6</v>
      </c>
      <c r="G3857" s="541">
        <v>9.6</v>
      </c>
      <c r="H3857" s="497">
        <f t="shared" si="1540"/>
        <v>7.68</v>
      </c>
      <c r="I3857" s="719"/>
      <c r="J3857" s="669" t="s">
        <v>5805</v>
      </c>
      <c r="K3857" s="23"/>
      <c r="L3857" s="70" t="str">
        <f t="shared" si="1547"/>
        <v/>
      </c>
      <c r="M3857" s="49">
        <f t="shared" si="1548"/>
        <v>9.6</v>
      </c>
      <c r="N3857" s="41">
        <f>N3856</f>
        <v>8.6</v>
      </c>
      <c r="O3857" s="228"/>
      <c r="P3857" s="29"/>
      <c r="Q3857" s="50" t="s">
        <v>1017</v>
      </c>
      <c r="AG3857" s="92"/>
      <c r="AH3857" s="253" t="s">
        <v>5407</v>
      </c>
      <c r="AK3857" t="str">
        <f t="shared" si="1549"/>
        <v/>
      </c>
      <c r="AL3857" t="str">
        <f t="shared" si="1549"/>
        <v/>
      </c>
      <c r="AM3857" t="str">
        <f t="shared" si="1549"/>
        <v>G3</v>
      </c>
      <c r="AN3857" t="str">
        <f t="shared" si="1550"/>
        <v>G3</v>
      </c>
      <c r="AO3857" s="254" t="str">
        <f>"DeK240"&amp;AN3857&amp;RIGHT("------",6-LEN(AN3857))&amp;RIGHT($M$3278,2)</f>
        <v>DeK240G3----12</v>
      </c>
      <c r="AP3857">
        <f t="shared" si="1551"/>
        <v>14</v>
      </c>
      <c r="AQ3857" t="str">
        <f t="shared" si="1552"/>
        <v>0-0,5 MW, Bonusregel G3</v>
      </c>
      <c r="AR3857" t="str">
        <f>IF(COUNTA(#REF!)&gt;1,"Fehler ESVK",IF(COUNTA(O3857:Q3857)&gt;1,"Fehler GAB",IF(AP3857&lt;&gt;14,"Fehler Kategorie","")))</f>
        <v/>
      </c>
    </row>
    <row r="3858" spans="1:50" x14ac:dyDescent="0.25">
      <c r="A3858" s="613" t="str">
        <f>"DeK241"&amp;AN3858&amp;RIGHT("------",6-LEN(AN3858))&amp;RIGHT($M3853,2)</f>
        <v>DeK241------12</v>
      </c>
      <c r="B3858" s="283" t="s">
        <v>5406</v>
      </c>
      <c r="C3858" s="284" t="str">
        <f t="shared" si="1544"/>
        <v>Inbetriebnahme 2012</v>
      </c>
      <c r="D3858" s="283" t="str">
        <f t="shared" si="1545"/>
        <v>0,5-5 MW</v>
      </c>
      <c r="E3858" s="283"/>
      <c r="F3858" s="465">
        <f t="shared" si="1546"/>
        <v>5.89</v>
      </c>
      <c r="G3858" s="541">
        <v>5.89</v>
      </c>
      <c r="H3858" s="497">
        <f t="shared" si="1540"/>
        <v>4.71</v>
      </c>
      <c r="I3858" s="719"/>
      <c r="J3858" s="669" t="s">
        <v>5805</v>
      </c>
      <c r="K3858" s="23"/>
      <c r="L3858" s="70" t="str">
        <f t="shared" si="1547"/>
        <v/>
      </c>
      <c r="M3858" s="49">
        <f t="shared" si="1548"/>
        <v>5.89</v>
      </c>
      <c r="N3858" s="41">
        <v>5.89</v>
      </c>
      <c r="O3858" s="228"/>
      <c r="P3858" s="29"/>
      <c r="Q3858" s="50"/>
      <c r="AG3858" s="92"/>
      <c r="AH3858" s="253" t="s">
        <v>5408</v>
      </c>
      <c r="AK3858" t="str">
        <f t="shared" si="1549"/>
        <v/>
      </c>
      <c r="AL3858" t="str">
        <f t="shared" si="1549"/>
        <v/>
      </c>
      <c r="AM3858" t="str">
        <f t="shared" si="1549"/>
        <v/>
      </c>
      <c r="AN3858" t="str">
        <f t="shared" si="1550"/>
        <v/>
      </c>
      <c r="AO3858" s="254" t="str">
        <f>"DeK241"&amp;AN3858&amp;RIGHT("------",6-LEN(AN3858))&amp;RIGHT($M$3278,2)</f>
        <v>DeK241------12</v>
      </c>
      <c r="AP3858">
        <f t="shared" si="1551"/>
        <v>14</v>
      </c>
      <c r="AQ3858" t="str">
        <f t="shared" si="1552"/>
        <v>0,5-5 MW</v>
      </c>
      <c r="AR3858" t="str">
        <f>IF(COUNTA(#REF!)&gt;1,"Fehler ESVK",IF(COUNTA(O3858:Q3858)&gt;1,"Fehler GAB",IF(AP3858&lt;&gt;14,"Fehler Kategorie","")))</f>
        <v/>
      </c>
    </row>
    <row r="3859" spans="1:50" x14ac:dyDescent="0.25">
      <c r="A3859" s="613" t="str">
        <f>"DeK241"&amp;AN3859&amp;RIGHT("------",6-LEN(AN3859))&amp;RIGHT($M3853,2)</f>
        <v>DeK241G1----12</v>
      </c>
      <c r="B3859" s="283" t="s">
        <v>5406</v>
      </c>
      <c r="C3859" s="284" t="str">
        <f t="shared" si="1544"/>
        <v>Inbetriebnahme 2012</v>
      </c>
      <c r="D3859" s="283" t="str">
        <f t="shared" si="1545"/>
        <v>0,5-5 MW, Bonusregel G1</v>
      </c>
      <c r="E3859" s="283"/>
      <c r="F3859" s="465">
        <f t="shared" si="1546"/>
        <v>8.89</v>
      </c>
      <c r="G3859" s="541">
        <v>8.89</v>
      </c>
      <c r="H3859" s="497">
        <f t="shared" si="1540"/>
        <v>7.11</v>
      </c>
      <c r="I3859" s="719"/>
      <c r="J3859" s="669" t="s">
        <v>5805</v>
      </c>
      <c r="K3859" s="23"/>
      <c r="L3859" s="70" t="str">
        <f t="shared" si="1547"/>
        <v/>
      </c>
      <c r="M3859" s="49">
        <f t="shared" si="1548"/>
        <v>8.89</v>
      </c>
      <c r="N3859" s="41">
        <f>N3858</f>
        <v>5.89</v>
      </c>
      <c r="O3859" s="228" t="s">
        <v>1017</v>
      </c>
      <c r="P3859" s="29"/>
      <c r="Q3859" s="50"/>
      <c r="AG3859" s="92"/>
      <c r="AH3859" s="253" t="s">
        <v>5408</v>
      </c>
      <c r="AK3859" t="str">
        <f t="shared" si="1549"/>
        <v>G1</v>
      </c>
      <c r="AL3859" t="str">
        <f t="shared" si="1549"/>
        <v/>
      </c>
      <c r="AM3859" t="str">
        <f t="shared" si="1549"/>
        <v/>
      </c>
      <c r="AN3859" t="str">
        <f t="shared" si="1550"/>
        <v>G1</v>
      </c>
      <c r="AO3859" s="254" t="str">
        <f>"DeK240"&amp;AN3859&amp;RIGHT("------",6-LEN(AN3859))&amp;RIGHT($M$3278,2)</f>
        <v>DeK240G1----12</v>
      </c>
      <c r="AP3859">
        <f t="shared" si="1551"/>
        <v>14</v>
      </c>
      <c r="AQ3859" t="str">
        <f t="shared" si="1552"/>
        <v>0,5-5 MW, Bonusregel G1</v>
      </c>
      <c r="AR3859" t="str">
        <f>IF(COUNTA(#REF!)&gt;1,"Fehler ESVK",IF(COUNTA(O3859:Q3859)&gt;1,"Fehler GAB",IF(AP3859&lt;&gt;14,"Fehler Kategorie","")))</f>
        <v/>
      </c>
    </row>
    <row r="3860" spans="1:50" x14ac:dyDescent="0.25">
      <c r="A3860" s="613" t="str">
        <f>"DeK241"&amp;AN3860&amp;RIGHT("------",6-LEN(AN3860))&amp;RIGHT($M3853,2)</f>
        <v>DeK241G2----12</v>
      </c>
      <c r="B3860" s="283" t="s">
        <v>5406</v>
      </c>
      <c r="C3860" s="284" t="str">
        <f t="shared" si="1544"/>
        <v>Inbetriebnahme 2012</v>
      </c>
      <c r="D3860" s="283" t="str">
        <f t="shared" si="1545"/>
        <v>0,5-5 MW, Bonusregel G2</v>
      </c>
      <c r="E3860" s="283"/>
      <c r="F3860" s="465">
        <f t="shared" si="1546"/>
        <v>7.89</v>
      </c>
      <c r="G3860" s="541">
        <v>7.89</v>
      </c>
      <c r="H3860" s="497">
        <f t="shared" si="1540"/>
        <v>6.31</v>
      </c>
      <c r="I3860" s="719"/>
      <c r="J3860" s="669" t="s">
        <v>5805</v>
      </c>
      <c r="K3860" s="23"/>
      <c r="L3860" s="70" t="str">
        <f t="shared" si="1547"/>
        <v/>
      </c>
      <c r="M3860" s="49">
        <f t="shared" si="1548"/>
        <v>7.89</v>
      </c>
      <c r="N3860" s="41">
        <f>N3859</f>
        <v>5.89</v>
      </c>
      <c r="O3860" s="228"/>
      <c r="P3860" s="29" t="s">
        <v>1017</v>
      </c>
      <c r="Q3860" s="50"/>
      <c r="AG3860" s="92"/>
      <c r="AH3860" s="253" t="s">
        <v>5408</v>
      </c>
      <c r="AK3860" t="str">
        <f t="shared" si="1549"/>
        <v/>
      </c>
      <c r="AL3860" t="str">
        <f t="shared" si="1549"/>
        <v>G2</v>
      </c>
      <c r="AM3860" t="str">
        <f t="shared" si="1549"/>
        <v/>
      </c>
      <c r="AN3860" t="str">
        <f t="shared" si="1550"/>
        <v>G2</v>
      </c>
      <c r="AO3860" s="254" t="str">
        <f>"DeK240"&amp;AN3860&amp;RIGHT("------",6-LEN(AN3860))&amp;RIGHT($M$3278,2)</f>
        <v>DeK240G2----12</v>
      </c>
      <c r="AP3860">
        <f t="shared" si="1551"/>
        <v>14</v>
      </c>
      <c r="AQ3860" t="str">
        <f t="shared" si="1552"/>
        <v>0,5-5 MW, Bonusregel G2</v>
      </c>
      <c r="AR3860" t="str">
        <f>IF(COUNTA(#REF!)&gt;1,"Fehler ESVK",IF(COUNTA(O3860:Q3860)&gt;1,"Fehler GAB",IF(AP3860&lt;&gt;14,"Fehler Kategorie","")))</f>
        <v/>
      </c>
    </row>
    <row r="3861" spans="1:50" x14ac:dyDescent="0.25">
      <c r="A3861" s="613" t="str">
        <f>"DeK241"&amp;AN3861&amp;RIGHT("------",6-LEN(AN3861))&amp;RIGHT($M3853,2)</f>
        <v>DeK241G3----12</v>
      </c>
      <c r="B3861" s="283" t="s">
        <v>5406</v>
      </c>
      <c r="C3861" s="284" t="str">
        <f t="shared" si="1544"/>
        <v>Inbetriebnahme 2012</v>
      </c>
      <c r="D3861" s="283" t="str">
        <f t="shared" si="1545"/>
        <v>0,5-5 MW, Bonusregel G3</v>
      </c>
      <c r="E3861" s="283"/>
      <c r="F3861" s="465">
        <f t="shared" si="1546"/>
        <v>6.89</v>
      </c>
      <c r="G3861" s="541">
        <v>6.89</v>
      </c>
      <c r="H3861" s="497">
        <f t="shared" si="1540"/>
        <v>5.51</v>
      </c>
      <c r="I3861" s="719"/>
      <c r="J3861" s="669" t="s">
        <v>5805</v>
      </c>
      <c r="K3861" s="23"/>
      <c r="L3861" s="70" t="str">
        <f t="shared" si="1547"/>
        <v/>
      </c>
      <c r="M3861" s="49">
        <f t="shared" si="1548"/>
        <v>6.89</v>
      </c>
      <c r="N3861" s="41">
        <f>N3860</f>
        <v>5.89</v>
      </c>
      <c r="O3861" s="228"/>
      <c r="P3861" s="29"/>
      <c r="Q3861" s="50" t="s">
        <v>1017</v>
      </c>
      <c r="AG3861" s="92"/>
      <c r="AH3861" s="253" t="s">
        <v>5408</v>
      </c>
      <c r="AK3861" t="str">
        <f t="shared" si="1549"/>
        <v/>
      </c>
      <c r="AL3861" t="str">
        <f t="shared" si="1549"/>
        <v/>
      </c>
      <c r="AM3861" t="str">
        <f t="shared" si="1549"/>
        <v>G3</v>
      </c>
      <c r="AN3861" t="str">
        <f t="shared" si="1550"/>
        <v>G3</v>
      </c>
      <c r="AO3861" s="254" t="str">
        <f>"DeK240"&amp;AN3861&amp;RIGHT("------",6-LEN(AN3861))&amp;RIGHT($M$3278,2)</f>
        <v>DeK240G3----12</v>
      </c>
      <c r="AP3861">
        <f t="shared" si="1551"/>
        <v>14</v>
      </c>
      <c r="AQ3861" t="str">
        <f t="shared" si="1552"/>
        <v>0,5-5 MW, Bonusregel G3</v>
      </c>
      <c r="AR3861" t="str">
        <f>IF(COUNTA(#REF!)&gt;1,"Fehler ESVK",IF(COUNTA(O3861:Q3861)&gt;1,"Fehler GAB",IF(AP3861&lt;&gt;14,"Fehler Kategorie","")))</f>
        <v/>
      </c>
    </row>
    <row r="3862" spans="1:50" x14ac:dyDescent="0.25">
      <c r="A3862" s="609"/>
      <c r="B3862" s="1"/>
      <c r="C3862" s="1"/>
      <c r="D3862" s="2"/>
      <c r="E3862" s="1"/>
      <c r="F3862" s="457"/>
      <c r="G3862" s="532"/>
      <c r="H3862" s="490" t="str">
        <f t="shared" si="1540"/>
        <v/>
      </c>
      <c r="I3862" s="709"/>
      <c r="J3862" s="669" t="s">
        <v>4180</v>
      </c>
      <c r="L3862" s="71"/>
      <c r="M3862" s="350">
        <v>2013</v>
      </c>
      <c r="N3862" s="351"/>
      <c r="O3862" s="352">
        <f>ROUND(S3862,2)</f>
        <v>2.96</v>
      </c>
      <c r="P3862" s="351">
        <f>ROUND(T3862,2)</f>
        <v>1.97</v>
      </c>
      <c r="Q3862" s="353">
        <f>ROUND(U3862,2)</f>
        <v>0.99</v>
      </c>
      <c r="R3862" s="275">
        <v>1.4999999999999999E-2</v>
      </c>
      <c r="S3862" s="414">
        <f>O3853*(1-$R$3862)</f>
        <v>2.9550000000000001</v>
      </c>
      <c r="T3862" s="414">
        <f>P3853*(1-$R$3862)</f>
        <v>1.97</v>
      </c>
      <c r="U3862" s="414">
        <f>Q3853*(1-$R$3862)</f>
        <v>0.98499999999999999</v>
      </c>
      <c r="V3862" s="205" t="str">
        <f xml:space="preserve"> "Bonushöhe bei Inbetriebnahme in " &amp; M3862</f>
        <v>Bonushöhe bei Inbetriebnahme in 2013</v>
      </c>
      <c r="W3862" s="41"/>
      <c r="X3862" s="41"/>
      <c r="Y3862" s="41"/>
      <c r="Z3862" s="41"/>
      <c r="AA3862" s="41"/>
      <c r="AB3862" s="41"/>
      <c r="AC3862" s="41"/>
      <c r="AD3862" s="41"/>
      <c r="AE3862" s="41"/>
      <c r="AF3862" s="41"/>
      <c r="AG3862" s="41"/>
      <c r="AK3862" t="s">
        <v>1740</v>
      </c>
      <c r="AL3862" t="s">
        <v>1741</v>
      </c>
      <c r="AM3862" t="s">
        <v>1742</v>
      </c>
      <c r="AN3862" t="s">
        <v>1764</v>
      </c>
      <c r="AO3862" t="s">
        <v>1765</v>
      </c>
      <c r="AP3862" t="s">
        <v>1766</v>
      </c>
      <c r="AQ3862" t="s">
        <v>669</v>
      </c>
      <c r="AR3862" t="s">
        <v>1763</v>
      </c>
    </row>
    <row r="3863" spans="1:50" x14ac:dyDescent="0.25">
      <c r="A3863" s="615" t="str">
        <f>"DeK240"&amp;AN3863&amp;RIGHT("------",6-LEN(AN3863))&amp;RIGHT($M3862,2)</f>
        <v>DeK240------13</v>
      </c>
      <c r="B3863" s="372" t="s">
        <v>5406</v>
      </c>
      <c r="C3863" s="375" t="str">
        <f t="shared" ref="C3863:C3870" si="1553">"Inbetriebnahme "&amp;$M$3862</f>
        <v>Inbetriebnahme 2013</v>
      </c>
      <c r="D3863" s="372" t="str">
        <f t="shared" ref="D3863:D3870" si="1554">IF(COUNTA(O3863:Q3863)=0,AH3863,AH3863&amp;", Bonusregel "&amp;AN3863)</f>
        <v>0-0,5 MW</v>
      </c>
      <c r="E3863" s="372"/>
      <c r="F3863" s="459">
        <f t="shared" ref="F3863:F3870" si="1555">M3863</f>
        <v>8.4700000000000006</v>
      </c>
      <c r="G3863" s="535">
        <v>8.4700000000000006</v>
      </c>
      <c r="H3863" s="493">
        <f t="shared" si="1540"/>
        <v>6.78</v>
      </c>
      <c r="I3863" s="712"/>
      <c r="J3863" s="669" t="s">
        <v>5805</v>
      </c>
      <c r="K3863" s="23"/>
      <c r="L3863" s="70" t="str">
        <f t="shared" ref="L3863:L3870" si="1556">IF(F3863=M3863,"",FALSE)</f>
        <v/>
      </c>
      <c r="M3863" s="354">
        <f t="shared" ref="M3863:M3870" si="1557">ROUND(N3863,2)+SUMIF(O3863:Q3863,"x",$O$3862:$Q$3862)</f>
        <v>8.4700000000000006</v>
      </c>
      <c r="N3863" s="41">
        <f t="shared" ref="N3863:N3870" si="1558">N3854*(1-$R$3862)</f>
        <v>8.4710000000000001</v>
      </c>
      <c r="O3863" s="60"/>
      <c r="P3863" s="29"/>
      <c r="Q3863" s="62"/>
      <c r="AG3863" s="92"/>
      <c r="AH3863" s="253" t="s">
        <v>5407</v>
      </c>
      <c r="AK3863" t="str">
        <f t="shared" ref="AK3863:AM3870" si="1559">IF(O3863="x",V$3280,"")</f>
        <v/>
      </c>
      <c r="AL3863" t="str">
        <f t="shared" si="1559"/>
        <v/>
      </c>
      <c r="AM3863" t="str">
        <f t="shared" si="1559"/>
        <v/>
      </c>
      <c r="AN3863" t="str">
        <f t="shared" ref="AN3863:AN3870" si="1560">AK3863&amp;AL3863&amp;AM3863</f>
        <v/>
      </c>
      <c r="AO3863" s="254" t="str">
        <f>"DeK240"&amp;AN3863&amp;RIGHT("------",6-LEN(AN3863))&amp;RIGHT($M$3862,2)</f>
        <v>DeK240------13</v>
      </c>
      <c r="AP3863">
        <f t="shared" ref="AP3863:AP3870" si="1561">LEN(AO3863)</f>
        <v>14</v>
      </c>
      <c r="AQ3863" t="str">
        <f t="shared" ref="AQ3863:AQ3870" si="1562">IF(COUNTA(O3863:Q3863)=0,AH3863,AH3863&amp;", Bonusregel "&amp;AN3863)</f>
        <v>0-0,5 MW</v>
      </c>
      <c r="AR3863" t="str">
        <f>IF(COUNTA(#REF!)&gt;1,"Fehler ESVK",IF(COUNTA(O3863:Q3863)&gt;1,"Fehler GAB",IF(AP3863&lt;&gt;14,"Fehler Kategorie","")))</f>
        <v/>
      </c>
      <c r="AS3863" t="str">
        <f>SUBSTITUTE(AN3863,", ","")</f>
        <v/>
      </c>
    </row>
    <row r="3864" spans="1:50" x14ac:dyDescent="0.25">
      <c r="A3864" s="615" t="str">
        <f>"DeK240"&amp;AN3864&amp;RIGHT("------",6-LEN(AN3864))&amp;RIGHT($M3862,2)</f>
        <v>DeK240G1----13</v>
      </c>
      <c r="B3864" s="372" t="s">
        <v>5406</v>
      </c>
      <c r="C3864" s="375" t="str">
        <f t="shared" si="1553"/>
        <v>Inbetriebnahme 2013</v>
      </c>
      <c r="D3864" s="372" t="str">
        <f t="shared" si="1554"/>
        <v>0-0,5 MW, Bonusregel G1</v>
      </c>
      <c r="E3864" s="372"/>
      <c r="F3864" s="459">
        <f t="shared" si="1555"/>
        <v>11.43</v>
      </c>
      <c r="G3864" s="535">
        <v>11.43</v>
      </c>
      <c r="H3864" s="493">
        <f t="shared" si="1540"/>
        <v>9.14</v>
      </c>
      <c r="I3864" s="712"/>
      <c r="J3864" s="669" t="s">
        <v>5805</v>
      </c>
      <c r="K3864" s="23"/>
      <c r="L3864" s="70" t="str">
        <f t="shared" si="1556"/>
        <v/>
      </c>
      <c r="M3864" s="49">
        <f t="shared" si="1557"/>
        <v>11.43</v>
      </c>
      <c r="N3864" s="41">
        <f t="shared" si="1558"/>
        <v>8.4710000000000001</v>
      </c>
      <c r="O3864" s="228" t="s">
        <v>1017</v>
      </c>
      <c r="P3864" s="29"/>
      <c r="Q3864" s="50"/>
      <c r="AG3864" s="92"/>
      <c r="AH3864" s="253" t="s">
        <v>5407</v>
      </c>
      <c r="AK3864" t="str">
        <f t="shared" si="1559"/>
        <v>G1</v>
      </c>
      <c r="AL3864" t="str">
        <f t="shared" si="1559"/>
        <v/>
      </c>
      <c r="AM3864" t="str">
        <f t="shared" si="1559"/>
        <v/>
      </c>
      <c r="AN3864" t="str">
        <f t="shared" si="1560"/>
        <v>G1</v>
      </c>
      <c r="AO3864" s="254" t="str">
        <f>"DeK240"&amp;AN3864&amp;RIGHT("------",6-LEN(AN3864))&amp;RIGHT($M$3862,2)</f>
        <v>DeK240G1----13</v>
      </c>
      <c r="AP3864">
        <f t="shared" si="1561"/>
        <v>14</v>
      </c>
      <c r="AQ3864" t="str">
        <f t="shared" si="1562"/>
        <v>0-0,5 MW, Bonusregel G1</v>
      </c>
      <c r="AR3864" t="str">
        <f>IF(COUNTA(#REF!)&gt;1,"Fehler ESVK",IF(COUNTA(O3864:Q3864)&gt;1,"Fehler GAB",IF(AP3864&lt;&gt;14,"Fehler Kategorie","")))</f>
        <v/>
      </c>
    </row>
    <row r="3865" spans="1:50" x14ac:dyDescent="0.25">
      <c r="A3865" s="615" t="str">
        <f>"DeK240"&amp;AN3865&amp;RIGHT("------",6-LEN(AN3865))&amp;RIGHT($M3862,2)</f>
        <v>DeK240G2----13</v>
      </c>
      <c r="B3865" s="372" t="s">
        <v>5406</v>
      </c>
      <c r="C3865" s="375" t="str">
        <f t="shared" si="1553"/>
        <v>Inbetriebnahme 2013</v>
      </c>
      <c r="D3865" s="372" t="str">
        <f t="shared" si="1554"/>
        <v>0-0,5 MW, Bonusregel G2</v>
      </c>
      <c r="E3865" s="372"/>
      <c r="F3865" s="459">
        <f t="shared" si="1555"/>
        <v>10.440000000000001</v>
      </c>
      <c r="G3865" s="535">
        <v>10.440000000000001</v>
      </c>
      <c r="H3865" s="493">
        <f t="shared" si="1540"/>
        <v>8.35</v>
      </c>
      <c r="I3865" s="712"/>
      <c r="J3865" s="669" t="s">
        <v>5805</v>
      </c>
      <c r="K3865" s="23"/>
      <c r="L3865" s="70" t="str">
        <f t="shared" si="1556"/>
        <v/>
      </c>
      <c r="M3865" s="49">
        <f t="shared" si="1557"/>
        <v>10.440000000000001</v>
      </c>
      <c r="N3865" s="41">
        <f t="shared" si="1558"/>
        <v>8.4710000000000001</v>
      </c>
      <c r="O3865" s="228"/>
      <c r="P3865" s="29" t="s">
        <v>1017</v>
      </c>
      <c r="Q3865" s="50"/>
      <c r="AG3865" s="92"/>
      <c r="AH3865" s="253" t="s">
        <v>5407</v>
      </c>
      <c r="AK3865" t="str">
        <f t="shared" si="1559"/>
        <v/>
      </c>
      <c r="AL3865" t="str">
        <f t="shared" si="1559"/>
        <v>G2</v>
      </c>
      <c r="AM3865" t="str">
        <f t="shared" si="1559"/>
        <v/>
      </c>
      <c r="AN3865" t="str">
        <f t="shared" si="1560"/>
        <v>G2</v>
      </c>
      <c r="AO3865" s="254" t="str">
        <f>"DeK240"&amp;AN3865&amp;RIGHT("------",6-LEN(AN3865))&amp;RIGHT($M$3862,2)</f>
        <v>DeK240G2----13</v>
      </c>
      <c r="AP3865">
        <f t="shared" si="1561"/>
        <v>14</v>
      </c>
      <c r="AQ3865" t="str">
        <f t="shared" si="1562"/>
        <v>0-0,5 MW, Bonusregel G2</v>
      </c>
      <c r="AR3865" t="str">
        <f>IF(COUNTA(#REF!)&gt;1,"Fehler ESVK",IF(COUNTA(O3865:Q3865)&gt;1,"Fehler GAB",IF(AP3865&lt;&gt;14,"Fehler Kategorie","")))</f>
        <v/>
      </c>
    </row>
    <row r="3866" spans="1:50" x14ac:dyDescent="0.25">
      <c r="A3866" s="615" t="str">
        <f>"DeK240"&amp;AN3866&amp;RIGHT("------",6-LEN(AN3866))&amp;RIGHT($M3862,2)</f>
        <v>DeK240G3----13</v>
      </c>
      <c r="B3866" s="372" t="s">
        <v>5406</v>
      </c>
      <c r="C3866" s="375" t="str">
        <f t="shared" si="1553"/>
        <v>Inbetriebnahme 2013</v>
      </c>
      <c r="D3866" s="372" t="str">
        <f t="shared" si="1554"/>
        <v>0-0,5 MW, Bonusregel G3</v>
      </c>
      <c r="E3866" s="372"/>
      <c r="F3866" s="459">
        <f t="shared" si="1555"/>
        <v>9.4600000000000009</v>
      </c>
      <c r="G3866" s="535">
        <v>9.4600000000000009</v>
      </c>
      <c r="H3866" s="493">
        <f t="shared" si="1540"/>
        <v>7.57</v>
      </c>
      <c r="I3866" s="712"/>
      <c r="J3866" s="669" t="s">
        <v>5805</v>
      </c>
      <c r="K3866" s="23"/>
      <c r="L3866" s="70" t="str">
        <f t="shared" si="1556"/>
        <v/>
      </c>
      <c r="M3866" s="49">
        <f t="shared" si="1557"/>
        <v>9.4600000000000009</v>
      </c>
      <c r="N3866" s="41">
        <f t="shared" si="1558"/>
        <v>8.4710000000000001</v>
      </c>
      <c r="O3866" s="228"/>
      <c r="P3866" s="29"/>
      <c r="Q3866" s="50" t="s">
        <v>1017</v>
      </c>
      <c r="AG3866" s="92"/>
      <c r="AH3866" s="253" t="s">
        <v>5407</v>
      </c>
      <c r="AK3866" t="str">
        <f t="shared" si="1559"/>
        <v/>
      </c>
      <c r="AL3866" t="str">
        <f t="shared" si="1559"/>
        <v/>
      </c>
      <c r="AM3866" t="str">
        <f t="shared" si="1559"/>
        <v>G3</v>
      </c>
      <c r="AN3866" t="str">
        <f t="shared" si="1560"/>
        <v>G3</v>
      </c>
      <c r="AO3866" s="254" t="str">
        <f>"DeK240"&amp;AN3866&amp;RIGHT("------",6-LEN(AN3866))&amp;RIGHT($M$3862,2)</f>
        <v>DeK240G3----13</v>
      </c>
      <c r="AP3866">
        <f t="shared" si="1561"/>
        <v>14</v>
      </c>
      <c r="AQ3866" t="str">
        <f t="shared" si="1562"/>
        <v>0-0,5 MW, Bonusregel G3</v>
      </c>
      <c r="AR3866" t="str">
        <f>IF(COUNTA(#REF!)&gt;1,"Fehler ESVK",IF(COUNTA(O3866:Q3866)&gt;1,"Fehler GAB",IF(AP3866&lt;&gt;14,"Fehler Kategorie","")))</f>
        <v/>
      </c>
    </row>
    <row r="3867" spans="1:50" x14ac:dyDescent="0.25">
      <c r="A3867" s="615" t="str">
        <f>"DeK241"&amp;AN3867&amp;RIGHT("------",6-LEN(AN3867))&amp;RIGHT($M3862,2)</f>
        <v>DeK241------13</v>
      </c>
      <c r="B3867" s="372" t="s">
        <v>5406</v>
      </c>
      <c r="C3867" s="375" t="str">
        <f t="shared" si="1553"/>
        <v>Inbetriebnahme 2013</v>
      </c>
      <c r="D3867" s="372" t="str">
        <f t="shared" si="1554"/>
        <v>0,5-5 MW</v>
      </c>
      <c r="E3867" s="372"/>
      <c r="F3867" s="459">
        <f t="shared" si="1555"/>
        <v>5.8</v>
      </c>
      <c r="G3867" s="535">
        <v>5.8</v>
      </c>
      <c r="H3867" s="493">
        <f t="shared" si="1540"/>
        <v>4.6399999999999997</v>
      </c>
      <c r="I3867" s="712"/>
      <c r="J3867" s="669" t="s">
        <v>5805</v>
      </c>
      <c r="K3867" s="23"/>
      <c r="L3867" s="70" t="str">
        <f t="shared" si="1556"/>
        <v/>
      </c>
      <c r="M3867" s="49">
        <f t="shared" si="1557"/>
        <v>5.8</v>
      </c>
      <c r="N3867" s="41">
        <f t="shared" si="1558"/>
        <v>5.8016499999999995</v>
      </c>
      <c r="O3867" s="228"/>
      <c r="P3867" s="29"/>
      <c r="Q3867" s="50"/>
      <c r="AG3867" s="92"/>
      <c r="AH3867" s="253" t="s">
        <v>5408</v>
      </c>
      <c r="AK3867" t="str">
        <f t="shared" si="1559"/>
        <v/>
      </c>
      <c r="AL3867" t="str">
        <f t="shared" si="1559"/>
        <v/>
      </c>
      <c r="AM3867" t="str">
        <f t="shared" si="1559"/>
        <v/>
      </c>
      <c r="AN3867" t="str">
        <f t="shared" si="1560"/>
        <v/>
      </c>
      <c r="AO3867" s="254" t="str">
        <f>"DeK241"&amp;AN3867&amp;RIGHT("------",6-LEN(AN3867))&amp;RIGHT($M$3862,2)</f>
        <v>DeK241------13</v>
      </c>
      <c r="AP3867">
        <f t="shared" si="1561"/>
        <v>14</v>
      </c>
      <c r="AQ3867" t="str">
        <f t="shared" si="1562"/>
        <v>0,5-5 MW</v>
      </c>
      <c r="AR3867" t="str">
        <f>IF(COUNTA(#REF!)&gt;1,"Fehler ESVK",IF(COUNTA(O3867:Q3867)&gt;1,"Fehler GAB",IF(AP3867&lt;&gt;14,"Fehler Kategorie","")))</f>
        <v/>
      </c>
    </row>
    <row r="3868" spans="1:50" x14ac:dyDescent="0.25">
      <c r="A3868" s="615" t="str">
        <f>"DeK241"&amp;AN3868&amp;RIGHT("------",6-LEN(AN3868))&amp;RIGHT($M3862,2)</f>
        <v>DeK241G1----13</v>
      </c>
      <c r="B3868" s="372" t="s">
        <v>5406</v>
      </c>
      <c r="C3868" s="375" t="str">
        <f t="shared" si="1553"/>
        <v>Inbetriebnahme 2013</v>
      </c>
      <c r="D3868" s="372" t="str">
        <f t="shared" si="1554"/>
        <v>0,5-5 MW, Bonusregel G1</v>
      </c>
      <c r="E3868" s="372"/>
      <c r="F3868" s="459">
        <f t="shared" si="1555"/>
        <v>8.76</v>
      </c>
      <c r="G3868" s="535">
        <v>8.76</v>
      </c>
      <c r="H3868" s="493">
        <f t="shared" si="1540"/>
        <v>7.01</v>
      </c>
      <c r="I3868" s="712"/>
      <c r="J3868" s="669" t="s">
        <v>5805</v>
      </c>
      <c r="K3868" s="23"/>
      <c r="L3868" s="70" t="str">
        <f t="shared" si="1556"/>
        <v/>
      </c>
      <c r="M3868" s="49">
        <f t="shared" si="1557"/>
        <v>8.76</v>
      </c>
      <c r="N3868" s="41">
        <f t="shared" si="1558"/>
        <v>5.8016499999999995</v>
      </c>
      <c r="O3868" s="228" t="s">
        <v>1017</v>
      </c>
      <c r="P3868" s="29"/>
      <c r="Q3868" s="50"/>
      <c r="AG3868" s="92"/>
      <c r="AH3868" s="253" t="s">
        <v>5408</v>
      </c>
      <c r="AK3868" t="str">
        <f t="shared" si="1559"/>
        <v>G1</v>
      </c>
      <c r="AL3868" t="str">
        <f t="shared" si="1559"/>
        <v/>
      </c>
      <c r="AM3868" t="str">
        <f t="shared" si="1559"/>
        <v/>
      </c>
      <c r="AN3868" t="str">
        <f t="shared" si="1560"/>
        <v>G1</v>
      </c>
      <c r="AO3868" s="254" t="str">
        <f>"DeK240"&amp;AN3868&amp;RIGHT("------",6-LEN(AN3868))&amp;RIGHT($M$3862,2)</f>
        <v>DeK240G1----13</v>
      </c>
      <c r="AP3868">
        <f t="shared" si="1561"/>
        <v>14</v>
      </c>
      <c r="AQ3868" t="str">
        <f t="shared" si="1562"/>
        <v>0,5-5 MW, Bonusregel G1</v>
      </c>
      <c r="AR3868" t="str">
        <f>IF(COUNTA(#REF!)&gt;1,"Fehler ESVK",IF(COUNTA(O3868:Q3868)&gt;1,"Fehler GAB",IF(AP3868&lt;&gt;14,"Fehler Kategorie","")))</f>
        <v/>
      </c>
    </row>
    <row r="3869" spans="1:50" x14ac:dyDescent="0.25">
      <c r="A3869" s="615" t="str">
        <f>"DeK241"&amp;AN3869&amp;RIGHT("------",6-LEN(AN3869))&amp;RIGHT($M3862,2)</f>
        <v>DeK241G2----13</v>
      </c>
      <c r="B3869" s="372" t="s">
        <v>5406</v>
      </c>
      <c r="C3869" s="375" t="str">
        <f t="shared" si="1553"/>
        <v>Inbetriebnahme 2013</v>
      </c>
      <c r="D3869" s="372" t="str">
        <f t="shared" si="1554"/>
        <v>0,5-5 MW, Bonusregel G2</v>
      </c>
      <c r="E3869" s="372"/>
      <c r="F3869" s="459">
        <f t="shared" si="1555"/>
        <v>7.77</v>
      </c>
      <c r="G3869" s="535">
        <v>7.77</v>
      </c>
      <c r="H3869" s="493">
        <f t="shared" si="1540"/>
        <v>6.22</v>
      </c>
      <c r="I3869" s="712"/>
      <c r="J3869" s="669" t="s">
        <v>5805</v>
      </c>
      <c r="K3869" s="23"/>
      <c r="L3869" s="70" t="str">
        <f t="shared" si="1556"/>
        <v/>
      </c>
      <c r="M3869" s="49">
        <f t="shared" si="1557"/>
        <v>7.77</v>
      </c>
      <c r="N3869" s="41">
        <f t="shared" si="1558"/>
        <v>5.8016499999999995</v>
      </c>
      <c r="O3869" s="228"/>
      <c r="P3869" s="29" t="s">
        <v>1017</v>
      </c>
      <c r="Q3869" s="50"/>
      <c r="AG3869" s="92"/>
      <c r="AH3869" s="253" t="s">
        <v>5408</v>
      </c>
      <c r="AK3869" t="str">
        <f t="shared" si="1559"/>
        <v/>
      </c>
      <c r="AL3869" t="str">
        <f t="shared" si="1559"/>
        <v>G2</v>
      </c>
      <c r="AM3869" t="str">
        <f t="shared" si="1559"/>
        <v/>
      </c>
      <c r="AN3869" t="str">
        <f t="shared" si="1560"/>
        <v>G2</v>
      </c>
      <c r="AO3869" s="254" t="str">
        <f>"DeK240"&amp;AN3869&amp;RIGHT("------",6-LEN(AN3869))&amp;RIGHT($M$3862,2)</f>
        <v>DeK240G2----13</v>
      </c>
      <c r="AP3869">
        <f t="shared" si="1561"/>
        <v>14</v>
      </c>
      <c r="AQ3869" t="str">
        <f t="shared" si="1562"/>
        <v>0,5-5 MW, Bonusregel G2</v>
      </c>
      <c r="AR3869" t="str">
        <f>IF(COUNTA(#REF!)&gt;1,"Fehler ESVK",IF(COUNTA(O3869:Q3869)&gt;1,"Fehler GAB",IF(AP3869&lt;&gt;14,"Fehler Kategorie","")))</f>
        <v/>
      </c>
    </row>
    <row r="3870" spans="1:50" x14ac:dyDescent="0.25">
      <c r="A3870" s="615" t="str">
        <f>"DeK241"&amp;AN3870&amp;RIGHT("------",6-LEN(AN3870))&amp;RIGHT($M3862,2)</f>
        <v>DeK241G3----13</v>
      </c>
      <c r="B3870" s="372" t="s">
        <v>5406</v>
      </c>
      <c r="C3870" s="375" t="str">
        <f t="shared" si="1553"/>
        <v>Inbetriebnahme 2013</v>
      </c>
      <c r="D3870" s="372" t="str">
        <f t="shared" si="1554"/>
        <v>0,5-5 MW, Bonusregel G3</v>
      </c>
      <c r="E3870" s="372"/>
      <c r="F3870" s="459">
        <f t="shared" si="1555"/>
        <v>6.79</v>
      </c>
      <c r="G3870" s="535">
        <v>6.79</v>
      </c>
      <c r="H3870" s="493">
        <f t="shared" si="1540"/>
        <v>5.43</v>
      </c>
      <c r="I3870" s="712"/>
      <c r="J3870" s="669" t="s">
        <v>5805</v>
      </c>
      <c r="K3870" s="23"/>
      <c r="L3870" s="70" t="str">
        <f t="shared" si="1556"/>
        <v/>
      </c>
      <c r="M3870" s="59">
        <f t="shared" si="1557"/>
        <v>6.79</v>
      </c>
      <c r="N3870" s="40">
        <f t="shared" si="1558"/>
        <v>5.8016499999999995</v>
      </c>
      <c r="O3870" s="356"/>
      <c r="P3870" s="357"/>
      <c r="Q3870" s="111" t="s">
        <v>1017</v>
      </c>
      <c r="AG3870" s="92"/>
      <c r="AH3870" s="253" t="s">
        <v>5408</v>
      </c>
      <c r="AK3870" t="str">
        <f t="shared" si="1559"/>
        <v/>
      </c>
      <c r="AL3870" t="str">
        <f t="shared" si="1559"/>
        <v/>
      </c>
      <c r="AM3870" t="str">
        <f t="shared" si="1559"/>
        <v>G3</v>
      </c>
      <c r="AN3870" t="str">
        <f t="shared" si="1560"/>
        <v>G3</v>
      </c>
      <c r="AO3870" s="254" t="str">
        <f>"DeK240"&amp;AN3870&amp;RIGHT("------",6-LEN(AN3870))&amp;RIGHT($M$3862,2)</f>
        <v>DeK240G3----13</v>
      </c>
      <c r="AP3870">
        <f t="shared" si="1561"/>
        <v>14</v>
      </c>
      <c r="AQ3870" t="str">
        <f t="shared" si="1562"/>
        <v>0,5-5 MW, Bonusregel G3</v>
      </c>
      <c r="AR3870" t="str">
        <f>IF(COUNTA(#REF!)&gt;1,"Fehler ESVK",IF(COUNTA(O3870:Q3870)&gt;1,"Fehler GAB",IF(AP3870&lt;&gt;14,"Fehler Kategorie","")))</f>
        <v/>
      </c>
    </row>
    <row r="3871" spans="1:50" s="12" customFormat="1" x14ac:dyDescent="0.25">
      <c r="A3871" s="609"/>
      <c r="B3871" s="1"/>
      <c r="C3871" s="1"/>
      <c r="D3871" s="2"/>
      <c r="E3871" s="1"/>
      <c r="F3871" s="457"/>
      <c r="G3871" s="533"/>
      <c r="H3871" s="491" t="str">
        <f t="shared" si="1540"/>
        <v/>
      </c>
      <c r="I3871" s="710"/>
      <c r="J3871" s="669" t="s">
        <v>4180</v>
      </c>
      <c r="K3871"/>
      <c r="L3871" s="400"/>
      <c r="M3871" s="407">
        <v>2014</v>
      </c>
      <c r="N3871" s="351"/>
      <c r="O3871" s="352">
        <f>ROUND(S3871,2)</f>
        <v>2.91</v>
      </c>
      <c r="P3871" s="351">
        <f>ROUND(T3871,2)</f>
        <v>1.94</v>
      </c>
      <c r="Q3871" s="353">
        <f>ROUND(U3871,2)</f>
        <v>0.97</v>
      </c>
      <c r="R3871" s="395">
        <v>1.4999999999999999E-2</v>
      </c>
      <c r="S3871" s="414">
        <f>S3862*(1-$R$3871)</f>
        <v>2.9106749999999999</v>
      </c>
      <c r="T3871" s="414">
        <f>T3862*(1-$R$3871)</f>
        <v>1.94045</v>
      </c>
      <c r="U3871" s="414">
        <f>U3862*(1-$R$3871)</f>
        <v>0.970225</v>
      </c>
      <c r="V3871" s="205" t="str">
        <f xml:space="preserve"> "Bonushöhe bei Inbetriebnahme in " &amp; M3871</f>
        <v>Bonushöhe bei Inbetriebnahme in 2014</v>
      </c>
      <c r="W3871" s="41"/>
      <c r="AG3871" s="27"/>
      <c r="AH3871"/>
      <c r="AI3871"/>
      <c r="AJ3871"/>
      <c r="AK3871" t="s">
        <v>1740</v>
      </c>
      <c r="AL3871" t="s">
        <v>1741</v>
      </c>
      <c r="AM3871" t="s">
        <v>1742</v>
      </c>
      <c r="AN3871" t="s">
        <v>1764</v>
      </c>
      <c r="AO3871" t="s">
        <v>1765</v>
      </c>
      <c r="AP3871" t="s">
        <v>1766</v>
      </c>
      <c r="AQ3871" t="s">
        <v>669</v>
      </c>
      <c r="AR3871" t="s">
        <v>1763</v>
      </c>
      <c r="AS3871"/>
      <c r="AT3871"/>
      <c r="AU3871"/>
      <c r="AV3871"/>
      <c r="AW3871"/>
      <c r="AX3871"/>
    </row>
    <row r="3872" spans="1:50" s="12" customFormat="1" x14ac:dyDescent="0.25">
      <c r="A3872" s="615" t="str">
        <f>"DeK240"&amp;AN3872&amp;RIGHT("------",6-LEN(AN3872))&amp;RIGHT($M3871,2)</f>
        <v>DeK240------14</v>
      </c>
      <c r="B3872" s="372" t="s">
        <v>5406</v>
      </c>
      <c r="C3872" s="375" t="str">
        <f t="shared" ref="C3872:C3879" si="1563">"Inbetriebnahme "&amp;$M$3871</f>
        <v>Inbetriebnahme 2014</v>
      </c>
      <c r="D3872" s="372" t="str">
        <f t="shared" ref="D3872:D3879" si="1564">IF(COUNTA(O3872:Q3872)=0,AH3872,AH3872&amp;", Bonusregel "&amp;AN3872)</f>
        <v>0-0,5 MW</v>
      </c>
      <c r="E3872" s="372"/>
      <c r="F3872" s="459">
        <f t="shared" ref="F3872:F3879" si="1565">M3872</f>
        <v>8.34</v>
      </c>
      <c r="G3872" s="544">
        <v>8.34</v>
      </c>
      <c r="H3872" s="500">
        <f t="shared" si="1540"/>
        <v>6.67</v>
      </c>
      <c r="I3872" s="714"/>
      <c r="J3872" s="669" t="s">
        <v>5805</v>
      </c>
      <c r="K3872" s="23"/>
      <c r="L3872" s="70" t="str">
        <f t="shared" ref="L3872:L3879" si="1566">IF(F3872=M3872,"",FALSE)</f>
        <v/>
      </c>
      <c r="M3872" s="405">
        <f>ROUND(N3872,2)+SUMIF(O3872:Q3872,"x",$O$3856:$Q$3856)</f>
        <v>8.34</v>
      </c>
      <c r="N3872" s="41">
        <f t="shared" ref="N3872:N3879" si="1567">N3863*(1-$R$3871)</f>
        <v>8.3439350000000001</v>
      </c>
      <c r="O3872" s="60"/>
      <c r="P3872" s="29"/>
      <c r="Q3872" s="62"/>
      <c r="R3872"/>
      <c r="S3872"/>
      <c r="T3872"/>
      <c r="U3872"/>
      <c r="V3872"/>
      <c r="W3872"/>
      <c r="AG3872" s="27"/>
      <c r="AH3872" s="35" t="s">
        <v>5407</v>
      </c>
      <c r="AI3872"/>
      <c r="AJ3872"/>
      <c r="AK3872" t="str">
        <f t="shared" ref="AK3872:AM3879" si="1568">IF(O3872="x",V$3280,"")</f>
        <v/>
      </c>
      <c r="AL3872" t="str">
        <f t="shared" si="1568"/>
        <v/>
      </c>
      <c r="AM3872" t="str">
        <f t="shared" si="1568"/>
        <v/>
      </c>
      <c r="AN3872" t="str">
        <f t="shared" ref="AN3872:AN3879" si="1569">AK3872&amp;AL3872&amp;AM3872</f>
        <v/>
      </c>
      <c r="AO3872" s="254" t="str">
        <f>"DeK240"&amp;AN3872&amp;RIGHT("------",6-LEN(AN3872))&amp;RIGHT($M$3871,2)</f>
        <v>DeK240------14</v>
      </c>
      <c r="AP3872">
        <f t="shared" ref="AP3872:AP3879" si="1570">LEN(AO3872)</f>
        <v>14</v>
      </c>
      <c r="AQ3872" t="str">
        <f t="shared" ref="AQ3872:AQ3879" si="1571">IF(COUNTA(O3872:Q3872)=0,AH3872,AH3872&amp;", Bonusregel "&amp;AN3872)</f>
        <v>0-0,5 MW</v>
      </c>
      <c r="AR3872" t="str">
        <f>IF(COUNTA(#REF!)&gt;1,"Fehler ESVK",IF(COUNTA(O3872:Q3872)&gt;1,"Fehler GAB",IF(AP3872&lt;&gt;14,"Fehler Kategorie","")))</f>
        <v/>
      </c>
      <c r="AS3872" t="str">
        <f>SUBSTITUTE(AN3872,", ","")</f>
        <v/>
      </c>
      <c r="AT3872"/>
      <c r="AU3872"/>
      <c r="AV3872"/>
      <c r="AW3872"/>
      <c r="AX3872"/>
    </row>
    <row r="3873" spans="1:50" s="12" customFormat="1" x14ac:dyDescent="0.25">
      <c r="A3873" s="615" t="str">
        <f>"DeK240"&amp;AN3873&amp;RIGHT("------",6-LEN(AN3873))&amp;RIGHT($M3871,2)</f>
        <v>DeK240G1----14</v>
      </c>
      <c r="B3873" s="372" t="s">
        <v>5406</v>
      </c>
      <c r="C3873" s="375" t="str">
        <f t="shared" si="1563"/>
        <v>Inbetriebnahme 2014</v>
      </c>
      <c r="D3873" s="372" t="str">
        <f t="shared" si="1564"/>
        <v>0-0,5 MW, Bonusregel G1</v>
      </c>
      <c r="E3873" s="372"/>
      <c r="F3873" s="459">
        <f t="shared" si="1565"/>
        <v>11.25</v>
      </c>
      <c r="G3873" s="544">
        <v>11.25</v>
      </c>
      <c r="H3873" s="500">
        <f t="shared" si="1540"/>
        <v>9</v>
      </c>
      <c r="I3873" s="714"/>
      <c r="J3873" s="669" t="s">
        <v>5805</v>
      </c>
      <c r="K3873" s="23"/>
      <c r="L3873" s="70" t="str">
        <f t="shared" si="1566"/>
        <v/>
      </c>
      <c r="M3873" s="387">
        <f t="shared" ref="M3873:M3879" si="1572">ROUND(N3873,2)+SUMIF(O3873:Q3873,"x",$O$3871:$Q$3871)</f>
        <v>11.25</v>
      </c>
      <c r="N3873" s="41">
        <f t="shared" si="1567"/>
        <v>8.3439350000000001</v>
      </c>
      <c r="O3873" s="43" t="s">
        <v>1017</v>
      </c>
      <c r="P3873" s="29"/>
      <c r="Q3873" s="50"/>
      <c r="R3873"/>
      <c r="S3873"/>
      <c r="T3873"/>
      <c r="U3873"/>
      <c r="V3873"/>
      <c r="W3873"/>
      <c r="AG3873" s="27"/>
      <c r="AH3873" s="35" t="s">
        <v>5407</v>
      </c>
      <c r="AI3873"/>
      <c r="AJ3873"/>
      <c r="AK3873" t="str">
        <f t="shared" si="1568"/>
        <v>G1</v>
      </c>
      <c r="AL3873" t="str">
        <f t="shared" si="1568"/>
        <v/>
      </c>
      <c r="AM3873" t="str">
        <f t="shared" si="1568"/>
        <v/>
      </c>
      <c r="AN3873" t="str">
        <f t="shared" si="1569"/>
        <v>G1</v>
      </c>
      <c r="AO3873" s="254" t="str">
        <f>"DeK240"&amp;AN3873&amp;RIGHT("------",6-LEN(AN3873))&amp;RIGHT($M$3871,2)</f>
        <v>DeK240G1----14</v>
      </c>
      <c r="AP3873">
        <f t="shared" si="1570"/>
        <v>14</v>
      </c>
      <c r="AQ3873" t="str">
        <f t="shared" si="1571"/>
        <v>0-0,5 MW, Bonusregel G1</v>
      </c>
      <c r="AR3873" t="str">
        <f>IF(COUNTA(#REF!)&gt;1,"Fehler ESVK",IF(COUNTA(O3873:Q3873)&gt;1,"Fehler GAB",IF(AP3873&lt;&gt;14,"Fehler Kategorie","")))</f>
        <v/>
      </c>
      <c r="AS3873"/>
      <c r="AT3873"/>
      <c r="AU3873"/>
      <c r="AV3873"/>
      <c r="AW3873"/>
      <c r="AX3873"/>
    </row>
    <row r="3874" spans="1:50" s="12" customFormat="1" x14ac:dyDescent="0.25">
      <c r="A3874" s="615" t="str">
        <f>"DeK240"&amp;AN3874&amp;RIGHT("------",6-LEN(AN3874))&amp;RIGHT($M3871,2)</f>
        <v>DeK240G2----14</v>
      </c>
      <c r="B3874" s="372" t="s">
        <v>5406</v>
      </c>
      <c r="C3874" s="375" t="str">
        <f t="shared" si="1563"/>
        <v>Inbetriebnahme 2014</v>
      </c>
      <c r="D3874" s="372" t="str">
        <f t="shared" si="1564"/>
        <v>0-0,5 MW, Bonusregel G2</v>
      </c>
      <c r="E3874" s="372"/>
      <c r="F3874" s="459">
        <f t="shared" si="1565"/>
        <v>10.28</v>
      </c>
      <c r="G3874" s="544">
        <v>10.28</v>
      </c>
      <c r="H3874" s="500">
        <f t="shared" si="1540"/>
        <v>8.2200000000000006</v>
      </c>
      <c r="I3874" s="714"/>
      <c r="J3874" s="669" t="s">
        <v>5805</v>
      </c>
      <c r="K3874" s="23"/>
      <c r="L3874" s="70" t="str">
        <f t="shared" si="1566"/>
        <v/>
      </c>
      <c r="M3874" s="387">
        <f t="shared" si="1572"/>
        <v>10.28</v>
      </c>
      <c r="N3874" s="41">
        <f t="shared" si="1567"/>
        <v>8.3439350000000001</v>
      </c>
      <c r="O3874" s="43"/>
      <c r="P3874" s="29" t="s">
        <v>1017</v>
      </c>
      <c r="Q3874" s="50"/>
      <c r="R3874"/>
      <c r="S3874"/>
      <c r="T3874"/>
      <c r="U3874"/>
      <c r="V3874"/>
      <c r="W3874"/>
      <c r="AG3874" s="27"/>
      <c r="AH3874" s="35" t="s">
        <v>5407</v>
      </c>
      <c r="AI3874"/>
      <c r="AJ3874"/>
      <c r="AK3874" t="str">
        <f t="shared" si="1568"/>
        <v/>
      </c>
      <c r="AL3874" t="str">
        <f t="shared" si="1568"/>
        <v>G2</v>
      </c>
      <c r="AM3874" t="str">
        <f t="shared" si="1568"/>
        <v/>
      </c>
      <c r="AN3874" t="str">
        <f t="shared" si="1569"/>
        <v>G2</v>
      </c>
      <c r="AO3874" s="254" t="str">
        <f>"DeK240"&amp;AN3874&amp;RIGHT("------",6-LEN(AN3874))&amp;RIGHT($M$3871,2)</f>
        <v>DeK240G2----14</v>
      </c>
      <c r="AP3874">
        <f t="shared" si="1570"/>
        <v>14</v>
      </c>
      <c r="AQ3874" t="str">
        <f t="shared" si="1571"/>
        <v>0-0,5 MW, Bonusregel G2</v>
      </c>
      <c r="AR3874" t="str">
        <f>IF(COUNTA(#REF!)&gt;1,"Fehler ESVK",IF(COUNTA(O3874:Q3874)&gt;1,"Fehler GAB",IF(AP3874&lt;&gt;14,"Fehler Kategorie","")))</f>
        <v/>
      </c>
      <c r="AS3874"/>
      <c r="AT3874"/>
      <c r="AU3874"/>
      <c r="AV3874"/>
      <c r="AW3874"/>
      <c r="AX3874"/>
    </row>
    <row r="3875" spans="1:50" s="12" customFormat="1" x14ac:dyDescent="0.25">
      <c r="A3875" s="615" t="str">
        <f>"DeK240"&amp;AN3875&amp;RIGHT("------",6-LEN(AN3875))&amp;RIGHT($M3871,2)</f>
        <v>DeK240G3----14</v>
      </c>
      <c r="B3875" s="372" t="s">
        <v>5406</v>
      </c>
      <c r="C3875" s="375" t="str">
        <f t="shared" si="1563"/>
        <v>Inbetriebnahme 2014</v>
      </c>
      <c r="D3875" s="372" t="str">
        <f t="shared" si="1564"/>
        <v>0-0,5 MW, Bonusregel G3</v>
      </c>
      <c r="E3875" s="372"/>
      <c r="F3875" s="459">
        <f t="shared" si="1565"/>
        <v>9.31</v>
      </c>
      <c r="G3875" s="544">
        <v>9.31</v>
      </c>
      <c r="H3875" s="500">
        <f t="shared" si="1540"/>
        <v>7.45</v>
      </c>
      <c r="I3875" s="714"/>
      <c r="J3875" s="669" t="s">
        <v>5805</v>
      </c>
      <c r="K3875" s="23"/>
      <c r="L3875" s="70" t="str">
        <f t="shared" si="1566"/>
        <v/>
      </c>
      <c r="M3875" s="387">
        <f t="shared" si="1572"/>
        <v>9.31</v>
      </c>
      <c r="N3875" s="41">
        <f t="shared" si="1567"/>
        <v>8.3439350000000001</v>
      </c>
      <c r="O3875" s="43"/>
      <c r="P3875" s="29"/>
      <c r="Q3875" s="50" t="s">
        <v>1017</v>
      </c>
      <c r="R3875"/>
      <c r="S3875"/>
      <c r="T3875"/>
      <c r="U3875"/>
      <c r="V3875"/>
      <c r="W3875"/>
      <c r="AG3875" s="27"/>
      <c r="AH3875" s="35" t="s">
        <v>5407</v>
      </c>
      <c r="AI3875"/>
      <c r="AJ3875"/>
      <c r="AK3875" t="str">
        <f t="shared" si="1568"/>
        <v/>
      </c>
      <c r="AL3875" t="str">
        <f t="shared" si="1568"/>
        <v/>
      </c>
      <c r="AM3875" t="str">
        <f t="shared" si="1568"/>
        <v>G3</v>
      </c>
      <c r="AN3875" t="str">
        <f t="shared" si="1569"/>
        <v>G3</v>
      </c>
      <c r="AO3875" s="254" t="str">
        <f>"DeK240"&amp;AN3875&amp;RIGHT("------",6-LEN(AN3875))&amp;RIGHT($M$3871,2)</f>
        <v>DeK240G3----14</v>
      </c>
      <c r="AP3875">
        <f t="shared" si="1570"/>
        <v>14</v>
      </c>
      <c r="AQ3875" t="str">
        <f t="shared" si="1571"/>
        <v>0-0,5 MW, Bonusregel G3</v>
      </c>
      <c r="AR3875" t="str">
        <f>IF(COUNTA(#REF!)&gt;1,"Fehler ESVK",IF(COUNTA(O3875:Q3875)&gt;1,"Fehler GAB",IF(AP3875&lt;&gt;14,"Fehler Kategorie","")))</f>
        <v/>
      </c>
      <c r="AS3875"/>
      <c r="AT3875"/>
      <c r="AU3875"/>
      <c r="AV3875"/>
      <c r="AW3875"/>
      <c r="AX3875"/>
    </row>
    <row r="3876" spans="1:50" s="12" customFormat="1" x14ac:dyDescent="0.25">
      <c r="A3876" s="615" t="str">
        <f>"DeK241"&amp;AN3876&amp;RIGHT("------",6-LEN(AN3876))&amp;RIGHT($M3871,2)</f>
        <v>DeK241------14</v>
      </c>
      <c r="B3876" s="372" t="s">
        <v>5406</v>
      </c>
      <c r="C3876" s="375" t="str">
        <f t="shared" si="1563"/>
        <v>Inbetriebnahme 2014</v>
      </c>
      <c r="D3876" s="372" t="str">
        <f t="shared" si="1564"/>
        <v>0,5-5 MW</v>
      </c>
      <c r="E3876" s="372"/>
      <c r="F3876" s="459">
        <f t="shared" si="1565"/>
        <v>5.71</v>
      </c>
      <c r="G3876" s="544">
        <v>5.71</v>
      </c>
      <c r="H3876" s="500">
        <f t="shared" si="1540"/>
        <v>4.57</v>
      </c>
      <c r="I3876" s="714"/>
      <c r="J3876" s="669" t="s">
        <v>5805</v>
      </c>
      <c r="K3876" s="23"/>
      <c r="L3876" s="70" t="str">
        <f t="shared" si="1566"/>
        <v/>
      </c>
      <c r="M3876" s="387">
        <f t="shared" si="1572"/>
        <v>5.71</v>
      </c>
      <c r="N3876" s="41">
        <f t="shared" si="1567"/>
        <v>5.7146252499999992</v>
      </c>
      <c r="O3876" s="43"/>
      <c r="P3876" s="29"/>
      <c r="Q3876" s="50"/>
      <c r="R3876"/>
      <c r="S3876"/>
      <c r="T3876"/>
      <c r="U3876"/>
      <c r="V3876"/>
      <c r="W3876"/>
      <c r="AG3876" s="27"/>
      <c r="AH3876" s="35" t="s">
        <v>5408</v>
      </c>
      <c r="AI3876"/>
      <c r="AJ3876"/>
      <c r="AK3876" t="str">
        <f t="shared" si="1568"/>
        <v/>
      </c>
      <c r="AL3876" t="str">
        <f t="shared" si="1568"/>
        <v/>
      </c>
      <c r="AM3876" t="str">
        <f t="shared" si="1568"/>
        <v/>
      </c>
      <c r="AN3876" t="str">
        <f t="shared" si="1569"/>
        <v/>
      </c>
      <c r="AO3876" s="254" t="str">
        <f>"DeK241"&amp;AN3876&amp;RIGHT("------",6-LEN(AN3876))&amp;RIGHT($M$3871,2)</f>
        <v>DeK241------14</v>
      </c>
      <c r="AP3876">
        <f t="shared" si="1570"/>
        <v>14</v>
      </c>
      <c r="AQ3876" t="str">
        <f t="shared" si="1571"/>
        <v>0,5-5 MW</v>
      </c>
      <c r="AR3876" t="str">
        <f>IF(COUNTA(#REF!)&gt;1,"Fehler ESVK",IF(COUNTA(O3876:Q3876)&gt;1,"Fehler GAB",IF(AP3876&lt;&gt;14,"Fehler Kategorie","")))</f>
        <v/>
      </c>
      <c r="AS3876"/>
      <c r="AT3876"/>
      <c r="AU3876"/>
      <c r="AV3876"/>
      <c r="AW3876"/>
      <c r="AX3876"/>
    </row>
    <row r="3877" spans="1:50" s="12" customFormat="1" x14ac:dyDescent="0.25">
      <c r="A3877" s="615" t="str">
        <f>"DeK241"&amp;AN3877&amp;RIGHT("------",6-LEN(AN3877))&amp;RIGHT($M3871,2)</f>
        <v>DeK241G1----14</v>
      </c>
      <c r="B3877" s="372" t="s">
        <v>5406</v>
      </c>
      <c r="C3877" s="375" t="str">
        <f t="shared" si="1563"/>
        <v>Inbetriebnahme 2014</v>
      </c>
      <c r="D3877" s="372" t="str">
        <f t="shared" si="1564"/>
        <v>0,5-5 MW, Bonusregel G1</v>
      </c>
      <c r="E3877" s="372"/>
      <c r="F3877" s="459">
        <f t="shared" si="1565"/>
        <v>8.620000000000001</v>
      </c>
      <c r="G3877" s="544">
        <v>8.620000000000001</v>
      </c>
      <c r="H3877" s="500">
        <f t="shared" si="1540"/>
        <v>6.9</v>
      </c>
      <c r="I3877" s="714"/>
      <c r="J3877" s="669" t="s">
        <v>5805</v>
      </c>
      <c r="K3877" s="23"/>
      <c r="L3877" s="70" t="str">
        <f t="shared" si="1566"/>
        <v/>
      </c>
      <c r="M3877" s="387">
        <f t="shared" si="1572"/>
        <v>8.620000000000001</v>
      </c>
      <c r="N3877" s="41">
        <f t="shared" si="1567"/>
        <v>5.7146252499999992</v>
      </c>
      <c r="O3877" s="43" t="s">
        <v>1017</v>
      </c>
      <c r="P3877" s="29"/>
      <c r="Q3877" s="50"/>
      <c r="R3877"/>
      <c r="S3877"/>
      <c r="T3877"/>
      <c r="U3877"/>
      <c r="V3877"/>
      <c r="W3877"/>
      <c r="AG3877" s="27"/>
      <c r="AH3877" s="35" t="s">
        <v>5408</v>
      </c>
      <c r="AI3877"/>
      <c r="AJ3877"/>
      <c r="AK3877" t="str">
        <f t="shared" si="1568"/>
        <v>G1</v>
      </c>
      <c r="AL3877" t="str">
        <f t="shared" si="1568"/>
        <v/>
      </c>
      <c r="AM3877" t="str">
        <f t="shared" si="1568"/>
        <v/>
      </c>
      <c r="AN3877" t="str">
        <f t="shared" si="1569"/>
        <v>G1</v>
      </c>
      <c r="AO3877" s="254" t="str">
        <f>"DeK240"&amp;AN3877&amp;RIGHT("------",6-LEN(AN3877))&amp;RIGHT($M$3871,2)</f>
        <v>DeK240G1----14</v>
      </c>
      <c r="AP3877">
        <f t="shared" si="1570"/>
        <v>14</v>
      </c>
      <c r="AQ3877" t="str">
        <f t="shared" si="1571"/>
        <v>0,5-5 MW, Bonusregel G1</v>
      </c>
      <c r="AR3877" t="str">
        <f>IF(COUNTA(#REF!)&gt;1,"Fehler ESVK",IF(COUNTA(O3877:Q3877)&gt;1,"Fehler GAB",IF(AP3877&lt;&gt;14,"Fehler Kategorie","")))</f>
        <v/>
      </c>
      <c r="AS3877"/>
      <c r="AT3877"/>
      <c r="AU3877"/>
      <c r="AV3877"/>
      <c r="AW3877"/>
      <c r="AX3877"/>
    </row>
    <row r="3878" spans="1:50" s="12" customFormat="1" x14ac:dyDescent="0.25">
      <c r="A3878" s="615" t="str">
        <f>"DeK241"&amp;AN3878&amp;RIGHT("------",6-LEN(AN3878))&amp;RIGHT($M3871,2)</f>
        <v>DeK241G2----14</v>
      </c>
      <c r="B3878" s="372" t="s">
        <v>5406</v>
      </c>
      <c r="C3878" s="375" t="str">
        <f t="shared" si="1563"/>
        <v>Inbetriebnahme 2014</v>
      </c>
      <c r="D3878" s="372" t="str">
        <f t="shared" si="1564"/>
        <v>0,5-5 MW, Bonusregel G2</v>
      </c>
      <c r="E3878" s="372"/>
      <c r="F3878" s="459">
        <f t="shared" si="1565"/>
        <v>7.65</v>
      </c>
      <c r="G3878" s="544">
        <v>7.65</v>
      </c>
      <c r="H3878" s="500">
        <f t="shared" si="1540"/>
        <v>6.12</v>
      </c>
      <c r="I3878" s="714"/>
      <c r="J3878" s="669" t="s">
        <v>5805</v>
      </c>
      <c r="K3878" s="23"/>
      <c r="L3878" s="70" t="str">
        <f t="shared" si="1566"/>
        <v/>
      </c>
      <c r="M3878" s="387">
        <f t="shared" si="1572"/>
        <v>7.65</v>
      </c>
      <c r="N3878" s="41">
        <f t="shared" si="1567"/>
        <v>5.7146252499999992</v>
      </c>
      <c r="O3878" s="43"/>
      <c r="P3878" s="29" t="s">
        <v>1017</v>
      </c>
      <c r="Q3878" s="50"/>
      <c r="R3878"/>
      <c r="S3878"/>
      <c r="T3878"/>
      <c r="U3878"/>
      <c r="V3878"/>
      <c r="W3878"/>
      <c r="AG3878" s="27"/>
      <c r="AH3878" s="35" t="s">
        <v>5408</v>
      </c>
      <c r="AI3878"/>
      <c r="AJ3878"/>
      <c r="AK3878" t="str">
        <f t="shared" si="1568"/>
        <v/>
      </c>
      <c r="AL3878" t="str">
        <f t="shared" si="1568"/>
        <v>G2</v>
      </c>
      <c r="AM3878" t="str">
        <f t="shared" si="1568"/>
        <v/>
      </c>
      <c r="AN3878" t="str">
        <f t="shared" si="1569"/>
        <v>G2</v>
      </c>
      <c r="AO3878" s="254" t="str">
        <f>"DeK240"&amp;AN3878&amp;RIGHT("------",6-LEN(AN3878))&amp;RIGHT($M$3871,2)</f>
        <v>DeK240G2----14</v>
      </c>
      <c r="AP3878">
        <f t="shared" si="1570"/>
        <v>14</v>
      </c>
      <c r="AQ3878" t="str">
        <f t="shared" si="1571"/>
        <v>0,5-5 MW, Bonusregel G2</v>
      </c>
      <c r="AR3878" t="str">
        <f>IF(COUNTA(#REF!)&gt;1,"Fehler ESVK",IF(COUNTA(O3878:Q3878)&gt;1,"Fehler GAB",IF(AP3878&lt;&gt;14,"Fehler Kategorie","")))</f>
        <v/>
      </c>
      <c r="AS3878"/>
      <c r="AT3878"/>
      <c r="AU3878"/>
      <c r="AV3878"/>
      <c r="AW3878"/>
      <c r="AX3878"/>
    </row>
    <row r="3879" spans="1:50" s="12" customFormat="1" x14ac:dyDescent="0.25">
      <c r="A3879" s="615" t="str">
        <f>"DeK241"&amp;AN3879&amp;RIGHT("------",6-LEN(AN3879))&amp;RIGHT($M3871,2)</f>
        <v>DeK241G3----14</v>
      </c>
      <c r="B3879" s="372" t="s">
        <v>5406</v>
      </c>
      <c r="C3879" s="375" t="str">
        <f t="shared" si="1563"/>
        <v>Inbetriebnahme 2014</v>
      </c>
      <c r="D3879" s="372" t="str">
        <f t="shared" si="1564"/>
        <v>0,5-5 MW, Bonusregel G3</v>
      </c>
      <c r="E3879" s="372"/>
      <c r="F3879" s="459">
        <f t="shared" si="1565"/>
        <v>6.68</v>
      </c>
      <c r="G3879" s="544">
        <v>6.68</v>
      </c>
      <c r="H3879" s="500">
        <f t="shared" si="1540"/>
        <v>5.34</v>
      </c>
      <c r="I3879" s="714"/>
      <c r="J3879" s="669" t="s">
        <v>5805</v>
      </c>
      <c r="K3879" s="23"/>
      <c r="L3879" s="70" t="str">
        <f t="shared" si="1566"/>
        <v/>
      </c>
      <c r="M3879" s="406">
        <f t="shared" si="1572"/>
        <v>6.68</v>
      </c>
      <c r="N3879" s="40">
        <f t="shared" si="1567"/>
        <v>5.7146252499999992</v>
      </c>
      <c r="O3879" s="408"/>
      <c r="P3879" s="357"/>
      <c r="Q3879" s="111" t="s">
        <v>1017</v>
      </c>
      <c r="R3879"/>
      <c r="S3879"/>
      <c r="T3879"/>
      <c r="U3879"/>
      <c r="V3879"/>
      <c r="W3879"/>
      <c r="AG3879" s="27"/>
      <c r="AH3879" s="35" t="s">
        <v>5408</v>
      </c>
      <c r="AI3879"/>
      <c r="AJ3879"/>
      <c r="AK3879" t="str">
        <f t="shared" si="1568"/>
        <v/>
      </c>
      <c r="AL3879" t="str">
        <f t="shared" si="1568"/>
        <v/>
      </c>
      <c r="AM3879" t="str">
        <f t="shared" si="1568"/>
        <v>G3</v>
      </c>
      <c r="AN3879" t="str">
        <f t="shared" si="1569"/>
        <v>G3</v>
      </c>
      <c r="AO3879" s="254" t="str">
        <f>"DeK240"&amp;AN3879&amp;RIGHT("------",6-LEN(AN3879))&amp;RIGHT($M$3871,2)</f>
        <v>DeK240G3----14</v>
      </c>
      <c r="AP3879">
        <f t="shared" si="1570"/>
        <v>14</v>
      </c>
      <c r="AQ3879" t="str">
        <f t="shared" si="1571"/>
        <v>0,5-5 MW, Bonusregel G3</v>
      </c>
      <c r="AR3879" t="str">
        <f>IF(COUNTA(#REF!)&gt;1,"Fehler ESVK",IF(COUNTA(O3879:Q3879)&gt;1,"Fehler GAB",IF(AP3879&lt;&gt;14,"Fehler Kategorie","")))</f>
        <v/>
      </c>
      <c r="AS3879"/>
      <c r="AT3879"/>
      <c r="AU3879"/>
      <c r="AV3879"/>
      <c r="AW3879"/>
      <c r="AX3879"/>
    </row>
    <row r="3880" spans="1:50" s="12" customFormat="1" x14ac:dyDescent="0.25">
      <c r="A3880" s="608"/>
      <c r="B3880" s="2"/>
      <c r="C3880" s="34"/>
      <c r="D3880" s="2"/>
      <c r="E3880" s="2"/>
      <c r="F3880" s="456"/>
      <c r="G3880" s="95"/>
      <c r="H3880" s="489" t="str">
        <f t="shared" si="1540"/>
        <v/>
      </c>
      <c r="I3880" s="708"/>
      <c r="J3880" s="669" t="s">
        <v>4180</v>
      </c>
      <c r="K3880" s="23"/>
      <c r="L3880" s="70"/>
      <c r="M3880" s="49"/>
      <c r="N3880" s="41"/>
      <c r="O3880" s="253"/>
      <c r="P3880" s="29"/>
      <c r="Q3880" s="27"/>
      <c r="AG3880" s="27"/>
      <c r="AH3880" s="253"/>
      <c r="AO3880" s="346"/>
    </row>
    <row r="3881" spans="1:50" s="259" customFormat="1" ht="20.25" customHeight="1" x14ac:dyDescent="0.25">
      <c r="A3881" s="617"/>
      <c r="B3881" s="255"/>
      <c r="C3881" s="256"/>
      <c r="D3881" s="255"/>
      <c r="E3881" s="256"/>
      <c r="F3881" s="463"/>
      <c r="G3881" s="257"/>
      <c r="H3881" s="257" t="str">
        <f t="shared" si="1540"/>
        <v/>
      </c>
      <c r="I3881" s="717"/>
      <c r="J3881" s="669" t="s">
        <v>4180</v>
      </c>
      <c r="K3881" s="258"/>
      <c r="L3881" s="362"/>
      <c r="M3881" s="260" t="s">
        <v>58</v>
      </c>
      <c r="N3881" s="261"/>
      <c r="O3881" s="261"/>
      <c r="AG3881" s="262"/>
    </row>
    <row r="3882" spans="1:50" x14ac:dyDescent="0.25">
      <c r="A3882" s="608"/>
      <c r="B3882" s="2"/>
      <c r="C3882" s="34"/>
      <c r="D3882" s="34"/>
      <c r="E3882" s="2"/>
      <c r="F3882" s="445"/>
      <c r="G3882" s="14"/>
      <c r="H3882" s="14" t="str">
        <f t="shared" si="1540"/>
        <v/>
      </c>
      <c r="I3882" s="695"/>
      <c r="J3882" s="669" t="s">
        <v>4180</v>
      </c>
      <c r="N3882" s="270" t="s">
        <v>5490</v>
      </c>
      <c r="O3882" t="s">
        <v>5407</v>
      </c>
      <c r="P3882" t="s">
        <v>5408</v>
      </c>
    </row>
    <row r="3883" spans="1:50" x14ac:dyDescent="0.25">
      <c r="A3883" s="607" t="s">
        <v>59</v>
      </c>
      <c r="B3883" s="435" t="s">
        <v>5406</v>
      </c>
      <c r="C3883" s="436" t="s">
        <v>39</v>
      </c>
      <c r="D3883" s="436" t="s">
        <v>5407</v>
      </c>
      <c r="E3883" s="435"/>
      <c r="F3883" s="450">
        <f>ROUND(HLOOKUP(D3883,O3882:P3884,3,FALSE),2)</f>
        <v>8.2200000000000006</v>
      </c>
      <c r="G3883" s="437">
        <f>ROUND(HLOOKUP(D3883,O3882:P3884,2,FALSE),2)</f>
        <v>8.42</v>
      </c>
      <c r="H3883" s="437">
        <f t="shared" si="1540"/>
        <v>6.74</v>
      </c>
      <c r="I3883" s="700"/>
      <c r="J3883" s="669" t="s">
        <v>5805</v>
      </c>
      <c r="M3883" s="127">
        <v>2014</v>
      </c>
      <c r="N3883" s="395" t="s">
        <v>90</v>
      </c>
      <c r="O3883" s="327">
        <v>8.42</v>
      </c>
      <c r="P3883" s="327">
        <v>5.83</v>
      </c>
      <c r="R3883" t="s">
        <v>49</v>
      </c>
    </row>
    <row r="3884" spans="1:50" x14ac:dyDescent="0.25">
      <c r="A3884" s="607" t="s">
        <v>60</v>
      </c>
      <c r="B3884" s="435" t="s">
        <v>5406</v>
      </c>
      <c r="C3884" s="436" t="s">
        <v>39</v>
      </c>
      <c r="D3884" s="436" t="s">
        <v>5408</v>
      </c>
      <c r="E3884" s="435"/>
      <c r="F3884" s="450">
        <f>ROUND(HLOOKUP(D3884,O3882:P3884,3,FALSE),2)</f>
        <v>5.63</v>
      </c>
      <c r="G3884" s="437">
        <f>ROUND(HLOOKUP(D3884,O3882:P3884,2,FALSE),2)</f>
        <v>5.83</v>
      </c>
      <c r="H3884" s="437">
        <f t="shared" si="1540"/>
        <v>4.66</v>
      </c>
      <c r="I3884" s="700"/>
      <c r="J3884" s="669" t="s">
        <v>5805</v>
      </c>
      <c r="N3884" s="395" t="s">
        <v>85</v>
      </c>
      <c r="O3884" s="327">
        <f>O3883-0.2</f>
        <v>8.2200000000000006</v>
      </c>
      <c r="P3884" s="327">
        <f>P3883-0.2</f>
        <v>5.63</v>
      </c>
      <c r="R3884" t="s">
        <v>50</v>
      </c>
    </row>
    <row r="3885" spans="1:50" x14ac:dyDescent="0.25">
      <c r="A3885" s="608"/>
      <c r="B3885" s="2"/>
      <c r="C3885" s="34"/>
      <c r="D3885" s="34"/>
      <c r="E3885" s="2"/>
      <c r="F3885" s="445"/>
      <c r="G3885" s="14"/>
      <c r="H3885" s="14" t="str">
        <f t="shared" si="1540"/>
        <v/>
      </c>
      <c r="I3885" s="695"/>
      <c r="J3885" s="669" t="s">
        <v>4180</v>
      </c>
      <c r="N3885" s="270" t="s">
        <v>5490</v>
      </c>
      <c r="O3885" t="s">
        <v>5407</v>
      </c>
      <c r="P3885" t="s">
        <v>5408</v>
      </c>
    </row>
    <row r="3886" spans="1:50" x14ac:dyDescent="0.25">
      <c r="A3886" s="607" t="s">
        <v>393</v>
      </c>
      <c r="B3886" s="435" t="s">
        <v>5406</v>
      </c>
      <c r="C3886" s="436" t="s">
        <v>380</v>
      </c>
      <c r="D3886" s="436" t="s">
        <v>5407</v>
      </c>
      <c r="E3886" s="435"/>
      <c r="F3886" s="450">
        <f>ROUND(HLOOKUP(D3886,O3885:P3887,3,FALSE),2)</f>
        <v>8.2200000000000006</v>
      </c>
      <c r="G3886" s="437">
        <f>ROUND(HLOOKUP(D3886,O3885:P3887,2,FALSE),2)</f>
        <v>8.42</v>
      </c>
      <c r="H3886" s="437">
        <f t="shared" si="1540"/>
        <v>6.74</v>
      </c>
      <c r="I3886" s="700"/>
      <c r="J3886" s="669" t="s">
        <v>5805</v>
      </c>
      <c r="M3886" s="127">
        <v>2015</v>
      </c>
      <c r="N3886" s="395" t="s">
        <v>90</v>
      </c>
      <c r="O3886" s="327">
        <v>8.42</v>
      </c>
      <c r="P3886" s="327">
        <v>5.83</v>
      </c>
      <c r="R3886" t="s">
        <v>49</v>
      </c>
    </row>
    <row r="3887" spans="1:50" x14ac:dyDescent="0.25">
      <c r="A3887" s="607" t="s">
        <v>394</v>
      </c>
      <c r="B3887" s="435" t="s">
        <v>5406</v>
      </c>
      <c r="C3887" s="436" t="s">
        <v>380</v>
      </c>
      <c r="D3887" s="436" t="s">
        <v>5408</v>
      </c>
      <c r="E3887" s="435"/>
      <c r="F3887" s="450">
        <f>ROUND(HLOOKUP(D3887,O3885:P3887,3,FALSE),2)</f>
        <v>5.63</v>
      </c>
      <c r="G3887" s="437">
        <f>ROUND(HLOOKUP(D3887,O3885:P3887,2,FALSE),2)</f>
        <v>5.83</v>
      </c>
      <c r="H3887" s="437">
        <f t="shared" si="1540"/>
        <v>4.66</v>
      </c>
      <c r="I3887" s="700"/>
      <c r="J3887" s="669" t="s">
        <v>5805</v>
      </c>
      <c r="N3887" s="395" t="s">
        <v>85</v>
      </c>
      <c r="O3887" s="327">
        <f>O3886-0.2</f>
        <v>8.2200000000000006</v>
      </c>
      <c r="P3887" s="327">
        <f>P3886-0.2</f>
        <v>5.63</v>
      </c>
      <c r="R3887" t="s">
        <v>50</v>
      </c>
    </row>
    <row r="3888" spans="1:50" x14ac:dyDescent="0.25">
      <c r="A3888" s="608"/>
      <c r="B3888" s="2"/>
      <c r="C3888" s="34"/>
      <c r="D3888" s="34"/>
      <c r="E3888" s="2"/>
      <c r="F3888" s="445"/>
      <c r="G3888" s="14"/>
      <c r="H3888" s="14" t="str">
        <f t="shared" si="1540"/>
        <v/>
      </c>
      <c r="I3888" s="695"/>
      <c r="J3888" s="669" t="s">
        <v>4180</v>
      </c>
      <c r="N3888" s="270" t="s">
        <v>5490</v>
      </c>
      <c r="O3888" t="s">
        <v>5407</v>
      </c>
      <c r="P3888" t="s">
        <v>5408</v>
      </c>
    </row>
    <row r="3889" spans="1:18" x14ac:dyDescent="0.25">
      <c r="A3889" s="607" t="s">
        <v>5669</v>
      </c>
      <c r="B3889" s="435" t="s">
        <v>5406</v>
      </c>
      <c r="C3889" s="436" t="s">
        <v>5648</v>
      </c>
      <c r="D3889" s="436" t="s">
        <v>5407</v>
      </c>
      <c r="E3889" s="435"/>
      <c r="F3889" s="450">
        <f>ROUND(HLOOKUP(D3889,O3888:P3890,3,FALSE),2)</f>
        <v>8.1</v>
      </c>
      <c r="G3889" s="437">
        <f>ROUND(HLOOKUP(D3889,O3888:P3890,2,FALSE),2)</f>
        <v>8.2899999999999991</v>
      </c>
      <c r="H3889" s="437">
        <f t="shared" si="1540"/>
        <v>6.63</v>
      </c>
      <c r="I3889" s="700"/>
      <c r="J3889" s="669" t="s">
        <v>5805</v>
      </c>
      <c r="M3889" s="127">
        <v>2016</v>
      </c>
      <c r="N3889" s="395">
        <v>1.4999999999999999E-2</v>
      </c>
      <c r="O3889" s="327">
        <f>IF($N3889&lt;&gt;"",O3886*(100%-$N3889),"")</f>
        <v>8.2936999999999994</v>
      </c>
      <c r="P3889" s="327">
        <f>IF($N3889&lt;&gt;"",P3886*(100%-$N3889),"")</f>
        <v>5.7425499999999996</v>
      </c>
      <c r="R3889" t="s">
        <v>49</v>
      </c>
    </row>
    <row r="3890" spans="1:18" x14ac:dyDescent="0.25">
      <c r="A3890" s="607" t="s">
        <v>5670</v>
      </c>
      <c r="B3890" s="435" t="s">
        <v>5406</v>
      </c>
      <c r="C3890" s="436" t="s">
        <v>5648</v>
      </c>
      <c r="D3890" s="436" t="s">
        <v>5408</v>
      </c>
      <c r="E3890" s="435"/>
      <c r="F3890" s="450">
        <f>ROUND(HLOOKUP(D3890,O3888:P3890,3,FALSE),2)</f>
        <v>5.55</v>
      </c>
      <c r="G3890" s="437">
        <f>ROUND(HLOOKUP(D3890,O3888:P3890,2,FALSE),2)</f>
        <v>5.74</v>
      </c>
      <c r="H3890" s="437">
        <f t="shared" si="1540"/>
        <v>4.59</v>
      </c>
      <c r="I3890" s="700"/>
      <c r="J3890" s="669" t="s">
        <v>5805</v>
      </c>
      <c r="N3890" s="395"/>
      <c r="O3890" s="327">
        <f>IF($N3889&lt;&gt;"",O3887*(100%-$N3889),"")</f>
        <v>8.0967000000000002</v>
      </c>
      <c r="P3890" s="327">
        <f>IF($N3889&lt;&gt;"",P3887*(100%-$N3889),"")</f>
        <v>5.5455499999999995</v>
      </c>
      <c r="R3890" t="s">
        <v>50</v>
      </c>
    </row>
    <row r="3891" spans="1:18" x14ac:dyDescent="0.25">
      <c r="A3891" s="608"/>
      <c r="B3891" s="2"/>
      <c r="C3891" s="34"/>
      <c r="D3891" s="34"/>
      <c r="E3891" s="2"/>
      <c r="F3891" s="445"/>
      <c r="G3891" s="14"/>
      <c r="H3891" s="14" t="str">
        <f t="shared" si="1540"/>
        <v/>
      </c>
      <c r="I3891" s="695"/>
      <c r="J3891" s="669" t="s">
        <v>4180</v>
      </c>
      <c r="N3891" s="270" t="s">
        <v>5490</v>
      </c>
      <c r="O3891" t="s">
        <v>5407</v>
      </c>
      <c r="P3891" t="s">
        <v>5408</v>
      </c>
    </row>
    <row r="3892" spans="1:18" x14ac:dyDescent="0.25">
      <c r="A3892" s="644" t="s">
        <v>5887</v>
      </c>
      <c r="B3892" s="645" t="s">
        <v>5406</v>
      </c>
      <c r="C3892" s="643" t="s">
        <v>5867</v>
      </c>
      <c r="D3892" s="643" t="s">
        <v>5407</v>
      </c>
      <c r="E3892" s="645"/>
      <c r="F3892" s="657">
        <f>ROUND(HLOOKUP(D3892,O3891:P3893,3,FALSE),2)</f>
        <v>7.97</v>
      </c>
      <c r="G3892" s="656">
        <f>ROUND(HLOOKUP(D3892,O3891:P3893,2,FALSE),2)</f>
        <v>8.17</v>
      </c>
      <c r="H3892" s="656">
        <f t="shared" si="1540"/>
        <v>6.54</v>
      </c>
      <c r="I3892" s="701"/>
      <c r="J3892" s="669">
        <v>42705</v>
      </c>
      <c r="M3892" s="127">
        <v>2017</v>
      </c>
      <c r="N3892" s="395" t="s">
        <v>5886</v>
      </c>
      <c r="O3892" s="327">
        <v>8.17</v>
      </c>
      <c r="P3892" s="327">
        <v>5.66</v>
      </c>
      <c r="R3892" t="s">
        <v>49</v>
      </c>
    </row>
    <row r="3893" spans="1:18" x14ac:dyDescent="0.25">
      <c r="A3893" s="644" t="s">
        <v>5888</v>
      </c>
      <c r="B3893" s="645" t="s">
        <v>5406</v>
      </c>
      <c r="C3893" s="643" t="s">
        <v>5867</v>
      </c>
      <c r="D3893" s="643" t="s">
        <v>5408</v>
      </c>
      <c r="E3893" s="645"/>
      <c r="F3893" s="657">
        <f>ROUND(HLOOKUP(D3893,O3891:P3893,3,FALSE),2)</f>
        <v>5.46</v>
      </c>
      <c r="G3893" s="656">
        <f>ROUND(HLOOKUP(D3893,O3891:P3893,2,FALSE),2)</f>
        <v>5.66</v>
      </c>
      <c r="H3893" s="656">
        <f t="shared" si="1540"/>
        <v>4.53</v>
      </c>
      <c r="I3893" s="701"/>
      <c r="J3893" s="669">
        <v>42705</v>
      </c>
      <c r="N3893" s="395" t="s">
        <v>5882</v>
      </c>
      <c r="O3893" s="327">
        <f>O3892-0.2</f>
        <v>7.97</v>
      </c>
      <c r="P3893" s="327">
        <f>P3892-0.2</f>
        <v>5.46</v>
      </c>
      <c r="R3893" t="s">
        <v>50</v>
      </c>
    </row>
    <row r="3894" spans="1:18" x14ac:dyDescent="0.25">
      <c r="A3894" s="608"/>
      <c r="B3894" s="2"/>
      <c r="C3894" s="34"/>
      <c r="D3894" s="34"/>
      <c r="E3894" s="2"/>
      <c r="F3894" s="445"/>
      <c r="G3894" s="14"/>
      <c r="H3894" s="14" t="str">
        <f t="shared" si="1540"/>
        <v/>
      </c>
      <c r="I3894" s="695"/>
      <c r="J3894" s="669" t="s">
        <v>4180</v>
      </c>
      <c r="N3894" s="270" t="s">
        <v>5490</v>
      </c>
      <c r="O3894" t="s">
        <v>5407</v>
      </c>
      <c r="P3894" t="s">
        <v>5408</v>
      </c>
    </row>
    <row r="3895" spans="1:18" x14ac:dyDescent="0.25">
      <c r="A3895" s="644" t="s">
        <v>6222</v>
      </c>
      <c r="B3895" s="645" t="s">
        <v>5406</v>
      </c>
      <c r="C3895" s="643" t="s">
        <v>6189</v>
      </c>
      <c r="D3895" s="643" t="s">
        <v>5407</v>
      </c>
      <c r="E3895" s="645"/>
      <c r="F3895" s="657">
        <f>ROUND(HLOOKUP(D3895,O3894:P3896,3,FALSE),2)</f>
        <v>7.85</v>
      </c>
      <c r="G3895" s="656">
        <f>ROUND(HLOOKUP(D3895,O3894:P3896,2,FALSE),2)</f>
        <v>8.0500000000000007</v>
      </c>
      <c r="H3895" s="656">
        <f t="shared" si="1540"/>
        <v>6.44</v>
      </c>
      <c r="I3895" s="701"/>
      <c r="J3895" s="669">
        <v>43077</v>
      </c>
      <c r="M3895" s="127">
        <v>2018</v>
      </c>
      <c r="N3895" s="395">
        <v>1.4999999999999999E-2</v>
      </c>
      <c r="O3895" s="327">
        <f>IF($N3895&lt;&gt;"",O3892*(100%-$N3895),"")</f>
        <v>8.0474499999999995</v>
      </c>
      <c r="P3895" s="327">
        <f>IF($N3895&lt;&gt;"",P3892*(100%-$N3895),"")</f>
        <v>5.5750999999999999</v>
      </c>
      <c r="R3895" t="s">
        <v>49</v>
      </c>
    </row>
    <row r="3896" spans="1:18" x14ac:dyDescent="0.25">
      <c r="A3896" s="644" t="s">
        <v>6223</v>
      </c>
      <c r="B3896" s="645" t="s">
        <v>5406</v>
      </c>
      <c r="C3896" s="643" t="s">
        <v>6189</v>
      </c>
      <c r="D3896" s="643" t="s">
        <v>5408</v>
      </c>
      <c r="E3896" s="645"/>
      <c r="F3896" s="657">
        <f>ROUND(HLOOKUP(D3896,O3894:P3896,3,FALSE),2)</f>
        <v>5.38</v>
      </c>
      <c r="G3896" s="656">
        <f>ROUND(HLOOKUP(D3896,O3894:P3896,2,FALSE),2)</f>
        <v>5.58</v>
      </c>
      <c r="H3896" s="656">
        <f t="shared" si="1540"/>
        <v>4.46</v>
      </c>
      <c r="I3896" s="701"/>
      <c r="J3896" s="669">
        <v>43077</v>
      </c>
      <c r="N3896" s="395"/>
      <c r="O3896" s="327">
        <f>O3895-0.2</f>
        <v>7.8474499999999994</v>
      </c>
      <c r="P3896" s="327">
        <f>P3895-0.2</f>
        <v>5.3750999999999998</v>
      </c>
      <c r="R3896" t="s">
        <v>50</v>
      </c>
    </row>
    <row r="3897" spans="1:18" s="774" customFormat="1" x14ac:dyDescent="0.25">
      <c r="A3897" s="608"/>
      <c r="B3897" s="2"/>
      <c r="C3897" s="34"/>
      <c r="D3897" s="34"/>
      <c r="E3897" s="2"/>
      <c r="F3897" s="445"/>
      <c r="G3897" s="14"/>
      <c r="H3897" s="14" t="str">
        <f t="shared" si="1540"/>
        <v/>
      </c>
      <c r="I3897" s="695"/>
      <c r="J3897" s="669" t="s">
        <v>4180</v>
      </c>
      <c r="N3897" s="270" t="s">
        <v>5490</v>
      </c>
      <c r="O3897" s="774" t="s">
        <v>5407</v>
      </c>
      <c r="P3897" s="774" t="s">
        <v>5408</v>
      </c>
    </row>
    <row r="3898" spans="1:18" s="774" customFormat="1" x14ac:dyDescent="0.25">
      <c r="A3898" s="644" t="s">
        <v>6410</v>
      </c>
      <c r="B3898" s="645" t="s">
        <v>5406</v>
      </c>
      <c r="C3898" s="643" t="s">
        <v>6409</v>
      </c>
      <c r="D3898" s="643" t="s">
        <v>5407</v>
      </c>
      <c r="E3898" s="645"/>
      <c r="F3898" s="657">
        <f>ROUND(HLOOKUP(D3898,O3897:P3899,3,FALSE),2)</f>
        <v>7.73</v>
      </c>
      <c r="G3898" s="656">
        <f>ROUND(HLOOKUP(D3898,O3897:P3899,2,FALSE),2)</f>
        <v>7.93</v>
      </c>
      <c r="H3898" s="656">
        <f t="shared" si="1540"/>
        <v>6.34</v>
      </c>
      <c r="I3898" s="701"/>
      <c r="J3898" s="669">
        <v>43419</v>
      </c>
      <c r="M3898" s="127">
        <v>2019</v>
      </c>
      <c r="N3898" s="395">
        <v>1.4999999999999999E-2</v>
      </c>
      <c r="O3898" s="327">
        <f>IF($N3898&lt;&gt;"",O3895*(100%-$N3898),"")</f>
        <v>7.9267382499999997</v>
      </c>
      <c r="P3898" s="327">
        <f>IF($N3898&lt;&gt;"",P3895*(100%-$N3898),"")</f>
        <v>5.4914734999999997</v>
      </c>
      <c r="R3898" s="774" t="s">
        <v>49</v>
      </c>
    </row>
    <row r="3899" spans="1:18" s="774" customFormat="1" x14ac:dyDescent="0.25">
      <c r="A3899" s="644" t="s">
        <v>6411</v>
      </c>
      <c r="B3899" s="645" t="s">
        <v>5406</v>
      </c>
      <c r="C3899" s="643" t="s">
        <v>6409</v>
      </c>
      <c r="D3899" s="643" t="s">
        <v>5408</v>
      </c>
      <c r="E3899" s="645"/>
      <c r="F3899" s="657">
        <f>ROUND(HLOOKUP(D3899,O3897:P3899,3,FALSE),2)</f>
        <v>5.29</v>
      </c>
      <c r="G3899" s="656">
        <f>ROUND(HLOOKUP(D3899,O3897:P3899,2,FALSE),2)</f>
        <v>5.49</v>
      </c>
      <c r="H3899" s="656">
        <f t="shared" si="1540"/>
        <v>4.3899999999999997</v>
      </c>
      <c r="I3899" s="701"/>
      <c r="J3899" s="669">
        <v>43419</v>
      </c>
      <c r="N3899" s="395"/>
      <c r="O3899" s="327">
        <f>O3898-0.2</f>
        <v>7.7267382499999995</v>
      </c>
      <c r="P3899" s="327">
        <f>P3898-0.2</f>
        <v>5.2914734999999995</v>
      </c>
      <c r="R3899" s="774" t="s">
        <v>50</v>
      </c>
    </row>
    <row r="3900" spans="1:18" s="774" customFormat="1" x14ac:dyDescent="0.25">
      <c r="A3900" s="608"/>
      <c r="B3900" s="2"/>
      <c r="C3900" s="34"/>
      <c r="D3900" s="34"/>
      <c r="E3900" s="2"/>
      <c r="F3900" s="445"/>
      <c r="G3900" s="14"/>
      <c r="H3900" s="14" t="str">
        <f t="shared" si="1540"/>
        <v/>
      </c>
      <c r="I3900" s="695"/>
      <c r="J3900" s="669" t="s">
        <v>4180</v>
      </c>
      <c r="N3900" s="270" t="s">
        <v>5490</v>
      </c>
      <c r="O3900" s="774" t="s">
        <v>5407</v>
      </c>
      <c r="P3900" s="774" t="s">
        <v>5408</v>
      </c>
    </row>
    <row r="3901" spans="1:18" s="774" customFormat="1" x14ac:dyDescent="0.25">
      <c r="A3901" s="644" t="s">
        <v>6551</v>
      </c>
      <c r="B3901" s="645" t="s">
        <v>5406</v>
      </c>
      <c r="C3901" s="643" t="s">
        <v>6510</v>
      </c>
      <c r="D3901" s="643" t="s">
        <v>5407</v>
      </c>
      <c r="E3901" s="645"/>
      <c r="F3901" s="657">
        <f>ROUND(HLOOKUP(D3901,O3900:P3902,3,FALSE),2)</f>
        <v>7.61</v>
      </c>
      <c r="G3901" s="656">
        <f>ROUND(HLOOKUP(D3901,O3900:P3902,2,FALSE),2)</f>
        <v>7.81</v>
      </c>
      <c r="H3901" s="656">
        <f t="shared" si="1540"/>
        <v>6.25</v>
      </c>
      <c r="I3901" s="701"/>
      <c r="J3901" s="669">
        <v>43796</v>
      </c>
      <c r="M3901" s="127">
        <v>2020</v>
      </c>
      <c r="N3901" s="395">
        <v>1.4999999999999999E-2</v>
      </c>
      <c r="O3901" s="327">
        <f>IF($N3901&lt;&gt;"",O3898*(100%-$N3901),"")</f>
        <v>7.8078371762499996</v>
      </c>
      <c r="P3901" s="327">
        <f>IF($N3901&lt;&gt;"",P3898*(100%-$N3901),"")</f>
        <v>5.4091013974999997</v>
      </c>
      <c r="R3901" s="774" t="s">
        <v>49</v>
      </c>
    </row>
    <row r="3902" spans="1:18" s="774" customFormat="1" x14ac:dyDescent="0.25">
      <c r="A3902" s="644" t="s">
        <v>6552</v>
      </c>
      <c r="B3902" s="645" t="s">
        <v>5406</v>
      </c>
      <c r="C3902" s="643" t="s">
        <v>6510</v>
      </c>
      <c r="D3902" s="643" t="s">
        <v>5408</v>
      </c>
      <c r="E3902" s="645"/>
      <c r="F3902" s="657">
        <f>ROUND(HLOOKUP(D3902,O3900:P3902,3,FALSE),2)</f>
        <v>5.21</v>
      </c>
      <c r="G3902" s="656">
        <f>ROUND(HLOOKUP(D3902,O3900:P3902,2,FALSE),2)</f>
        <v>5.41</v>
      </c>
      <c r="H3902" s="656">
        <f t="shared" si="1540"/>
        <v>4.33</v>
      </c>
      <c r="I3902" s="701"/>
      <c r="J3902" s="669">
        <v>43796</v>
      </c>
      <c r="N3902" s="395"/>
      <c r="O3902" s="327">
        <f>O3901-0.2</f>
        <v>7.6078371762499994</v>
      </c>
      <c r="P3902" s="327">
        <f>P3901-0.2</f>
        <v>5.2091013974999996</v>
      </c>
      <c r="R3902" s="774" t="s">
        <v>50</v>
      </c>
    </row>
    <row r="3903" spans="1:18" s="774" customFormat="1" x14ac:dyDescent="0.25">
      <c r="A3903" s="608"/>
      <c r="B3903" s="2"/>
      <c r="C3903" s="445"/>
      <c r="D3903" s="34"/>
      <c r="E3903" s="2"/>
      <c r="F3903" s="445"/>
      <c r="G3903" s="14"/>
      <c r="H3903" s="14" t="str">
        <f t="shared" si="1540"/>
        <v/>
      </c>
      <c r="I3903" s="695"/>
      <c r="J3903" s="669" t="s">
        <v>4180</v>
      </c>
      <c r="N3903" s="270" t="s">
        <v>5490</v>
      </c>
      <c r="O3903" s="774" t="s">
        <v>5407</v>
      </c>
      <c r="P3903" s="774" t="s">
        <v>5408</v>
      </c>
    </row>
    <row r="3904" spans="1:18" s="774" customFormat="1" x14ac:dyDescent="0.25">
      <c r="A3904" s="644" t="s">
        <v>6652</v>
      </c>
      <c r="B3904" s="645" t="s">
        <v>5406</v>
      </c>
      <c r="C3904" s="643" t="s">
        <v>6629</v>
      </c>
      <c r="D3904" s="643" t="s">
        <v>5407</v>
      </c>
      <c r="E3904" s="645"/>
      <c r="F3904" s="793">
        <f>ROUND(HLOOKUP(D3904,O3903:P3905,3,FALSE),2)</f>
        <v>7.49</v>
      </c>
      <c r="G3904" s="795">
        <f>ROUND(HLOOKUP(D3904,O3903:P3905,2,FALSE),2)</f>
        <v>7.69</v>
      </c>
      <c r="H3904" s="795">
        <f t="shared" ref="H3904:H3967" si="1573">IF(ISNUMBER(G3904),ROUND(0.8*G3904,2),"")</f>
        <v>6.15</v>
      </c>
      <c r="I3904" s="701"/>
      <c r="J3904" s="669">
        <v>44196</v>
      </c>
      <c r="M3904" s="127">
        <v>2021</v>
      </c>
      <c r="N3904" s="395" t="s">
        <v>5886</v>
      </c>
      <c r="O3904" s="327">
        <v>7.69</v>
      </c>
      <c r="P3904" s="327">
        <v>5.33</v>
      </c>
      <c r="R3904" s="774" t="s">
        <v>49</v>
      </c>
    </row>
    <row r="3905" spans="1:41" s="774" customFormat="1" x14ac:dyDescent="0.25">
      <c r="A3905" s="644" t="s">
        <v>6653</v>
      </c>
      <c r="B3905" s="645" t="s">
        <v>5406</v>
      </c>
      <c r="C3905" s="643" t="s">
        <v>6629</v>
      </c>
      <c r="D3905" s="643" t="s">
        <v>5408</v>
      </c>
      <c r="E3905" s="645"/>
      <c r="F3905" s="793">
        <f>ROUND(HLOOKUP(D3905,O3903:P3905,3,FALSE),2)</f>
        <v>5.13</v>
      </c>
      <c r="G3905" s="795">
        <f>ROUND(HLOOKUP(D3905,O3903:P3905,2,FALSE),2)</f>
        <v>5.33</v>
      </c>
      <c r="H3905" s="795">
        <f t="shared" si="1573"/>
        <v>4.26</v>
      </c>
      <c r="I3905" s="701"/>
      <c r="J3905" s="669">
        <v>44196</v>
      </c>
      <c r="N3905" s="395" t="s">
        <v>5882</v>
      </c>
      <c r="O3905" s="327">
        <f>O3904-0.2</f>
        <v>7.49</v>
      </c>
      <c r="P3905" s="327">
        <f>P3904-0.2</f>
        <v>5.13</v>
      </c>
      <c r="R3905" s="774" t="s">
        <v>50</v>
      </c>
    </row>
    <row r="3906" spans="1:41" s="774" customFormat="1" x14ac:dyDescent="0.25">
      <c r="A3906" s="608"/>
      <c r="B3906" s="2"/>
      <c r="C3906" s="445"/>
      <c r="D3906" s="34"/>
      <c r="E3906" s="2"/>
      <c r="F3906" s="445"/>
      <c r="G3906" s="14"/>
      <c r="H3906" s="14" t="str">
        <f t="shared" si="1573"/>
        <v/>
      </c>
      <c r="I3906" s="695"/>
      <c r="J3906" s="669" t="s">
        <v>4180</v>
      </c>
      <c r="N3906" s="270" t="s">
        <v>5490</v>
      </c>
      <c r="O3906" s="774" t="s">
        <v>5407</v>
      </c>
      <c r="P3906" s="774" t="s">
        <v>5408</v>
      </c>
    </row>
    <row r="3907" spans="1:41" s="774" customFormat="1" x14ac:dyDescent="0.25">
      <c r="A3907" s="644" t="str">
        <f>LEFT(A3904,12)&amp;RIGHT(M3907,2)</f>
        <v>DeK4111-----22</v>
      </c>
      <c r="B3907" s="645" t="s">
        <v>5406</v>
      </c>
      <c r="C3907" s="645" t="str">
        <f>"Inbetriebnahme 20" &amp; RIGHT(M3907,2)</f>
        <v>Inbetriebnahme 2022</v>
      </c>
      <c r="D3907" s="643" t="s">
        <v>5407</v>
      </c>
      <c r="E3907" s="645"/>
      <c r="F3907" s="793">
        <f>ROUND(HLOOKUP(D3907,O3906:P3908,3,FALSE),2)</f>
        <v>7.37</v>
      </c>
      <c r="G3907" s="795">
        <f>ROUND(HLOOKUP(D3907,O3906:P3908,2,FALSE),2)</f>
        <v>7.57</v>
      </c>
      <c r="H3907" s="795">
        <f t="shared" si="1573"/>
        <v>6.06</v>
      </c>
      <c r="I3907" s="701"/>
      <c r="J3907" s="669">
        <v>44536</v>
      </c>
      <c r="M3907" s="127">
        <v>2022</v>
      </c>
      <c r="N3907" s="395">
        <v>1.4999999999999999E-2</v>
      </c>
      <c r="O3907" s="327">
        <f>IF($N3907&lt;&gt;"",O3904*(100%-$N3907),"")</f>
        <v>7.5746500000000001</v>
      </c>
      <c r="P3907" s="327">
        <f>IF($N3907&lt;&gt;"",P3904*(100%-$N3907),"")</f>
        <v>5.2500499999999999</v>
      </c>
      <c r="R3907" s="774" t="s">
        <v>49</v>
      </c>
    </row>
    <row r="3908" spans="1:41" s="774" customFormat="1" x14ac:dyDescent="0.25">
      <c r="A3908" s="644" t="str">
        <f>LEFT(A3905,12)&amp;RIGHT(M3907,2)</f>
        <v>DeK4112-----22</v>
      </c>
      <c r="B3908" s="645" t="s">
        <v>5406</v>
      </c>
      <c r="C3908" s="645" t="str">
        <f>"Inbetriebnahme 20" &amp; RIGHT(M3907,2)</f>
        <v>Inbetriebnahme 2022</v>
      </c>
      <c r="D3908" s="643" t="s">
        <v>5408</v>
      </c>
      <c r="E3908" s="645"/>
      <c r="F3908" s="793">
        <f>ROUND(HLOOKUP(D3908,O3906:P3908,3,FALSE),2)</f>
        <v>5.05</v>
      </c>
      <c r="G3908" s="795">
        <f>ROUND(HLOOKUP(D3908,O3906:P3908,2,FALSE),2)</f>
        <v>5.25</v>
      </c>
      <c r="H3908" s="795">
        <f t="shared" si="1573"/>
        <v>4.2</v>
      </c>
      <c r="I3908" s="701"/>
      <c r="J3908" s="669">
        <v>44536</v>
      </c>
      <c r="N3908" s="395"/>
      <c r="O3908" s="327">
        <f>O3907-0.2</f>
        <v>7.3746499999999999</v>
      </c>
      <c r="P3908" s="327">
        <f>P3907-0.2</f>
        <v>5.0500499999999997</v>
      </c>
      <c r="R3908" s="774" t="s">
        <v>50</v>
      </c>
    </row>
    <row r="3909" spans="1:41" s="774" customFormat="1" x14ac:dyDescent="0.25">
      <c r="A3909" s="608"/>
      <c r="B3909" s="2"/>
      <c r="C3909" s="445"/>
      <c r="D3909" s="34"/>
      <c r="E3909" s="2"/>
      <c r="F3909" s="445"/>
      <c r="G3909" s="14"/>
      <c r="H3909" s="14" t="str">
        <f t="shared" si="1573"/>
        <v/>
      </c>
      <c r="I3909" s="695"/>
      <c r="J3909" s="669" t="s">
        <v>4180</v>
      </c>
      <c r="N3909" s="270" t="s">
        <v>5490</v>
      </c>
      <c r="O3909" s="774" t="s">
        <v>5407</v>
      </c>
      <c r="P3909" s="774" t="s">
        <v>5408</v>
      </c>
    </row>
    <row r="3910" spans="1:41" s="774" customFormat="1" x14ac:dyDescent="0.25">
      <c r="A3910" s="644" t="str">
        <f>LEFT(A3907,12)&amp;RIGHT(M3910,2)</f>
        <v>DeK4111-----23</v>
      </c>
      <c r="B3910" s="645" t="s">
        <v>5406</v>
      </c>
      <c r="C3910" s="645" t="str">
        <f>"Inbetriebnahme 20" &amp; RIGHT(M3910,2)</f>
        <v>Inbetriebnahme 2023</v>
      </c>
      <c r="D3910" s="643" t="s">
        <v>5407</v>
      </c>
      <c r="E3910" s="645"/>
      <c r="F3910" s="793">
        <f>ROUND(HLOOKUP(D3910,O3909:P3911,3,FALSE),2)</f>
        <v>7.26</v>
      </c>
      <c r="G3910" s="795">
        <f>ROUND(HLOOKUP(D3910,O3909:P3911,2,FALSE),2)</f>
        <v>7.46</v>
      </c>
      <c r="H3910" s="795">
        <f t="shared" si="1573"/>
        <v>5.97</v>
      </c>
      <c r="I3910" s="701"/>
      <c r="J3910" s="669">
        <f>J$31</f>
        <v>44896</v>
      </c>
      <c r="M3910" s="127">
        <v>2023</v>
      </c>
      <c r="N3910" s="395" t="s">
        <v>7910</v>
      </c>
      <c r="O3910" s="327">
        <v>7.46</v>
      </c>
      <c r="P3910" s="327">
        <v>5.17</v>
      </c>
      <c r="R3910" s="774" t="s">
        <v>49</v>
      </c>
    </row>
    <row r="3911" spans="1:41" s="774" customFormat="1" x14ac:dyDescent="0.25">
      <c r="A3911" s="644" t="str">
        <f>LEFT(A3908,12)&amp;RIGHT(M3910,2)</f>
        <v>DeK4112-----23</v>
      </c>
      <c r="B3911" s="645" t="s">
        <v>5406</v>
      </c>
      <c r="C3911" s="645" t="str">
        <f>"Inbetriebnahme 20" &amp; RIGHT(M3910,2)</f>
        <v>Inbetriebnahme 2023</v>
      </c>
      <c r="D3911" s="643" t="s">
        <v>5408</v>
      </c>
      <c r="E3911" s="645"/>
      <c r="F3911" s="793">
        <f>ROUND(HLOOKUP(D3911,O3909:P3911,3,FALSE),2)</f>
        <v>4.97</v>
      </c>
      <c r="G3911" s="795">
        <f>ROUND(HLOOKUP(D3911,O3909:P3911,2,FALSE),2)</f>
        <v>5.17</v>
      </c>
      <c r="H3911" s="795">
        <f t="shared" si="1573"/>
        <v>4.1399999999999997</v>
      </c>
      <c r="I3911" s="701"/>
      <c r="J3911" s="669">
        <f>J$31</f>
        <v>44896</v>
      </c>
      <c r="N3911" s="395"/>
      <c r="O3911" s="327">
        <f>O3910-0.2</f>
        <v>7.26</v>
      </c>
      <c r="P3911" s="327">
        <f>P3910-0.2</f>
        <v>4.97</v>
      </c>
      <c r="R3911" s="774" t="s">
        <v>50</v>
      </c>
    </row>
    <row r="3912" spans="1:41" s="12" customFormat="1" x14ac:dyDescent="0.25">
      <c r="A3912" s="608"/>
      <c r="B3912" s="2"/>
      <c r="C3912" s="34"/>
      <c r="D3912" s="2"/>
      <c r="E3912" s="2"/>
      <c r="F3912" s="456"/>
      <c r="G3912" s="95"/>
      <c r="H3912" s="489" t="str">
        <f t="shared" si="1573"/>
        <v/>
      </c>
      <c r="I3912" s="708"/>
      <c r="J3912" s="669" t="s">
        <v>4180</v>
      </c>
      <c r="K3912" s="23"/>
      <c r="L3912" s="70"/>
      <c r="M3912" s="49"/>
      <c r="N3912" s="41"/>
      <c r="O3912" s="253"/>
      <c r="P3912" s="29"/>
      <c r="Q3912" s="27"/>
      <c r="AG3912" s="27"/>
      <c r="AH3912" s="253"/>
      <c r="AO3912" s="346"/>
    </row>
    <row r="3913" spans="1:41" ht="15.75" x14ac:dyDescent="0.25">
      <c r="A3913" s="609"/>
      <c r="B3913" s="1"/>
      <c r="C3913" s="1"/>
      <c r="D3913" s="2"/>
      <c r="E3913" s="1"/>
      <c r="F3913" s="442"/>
      <c r="G3913" s="13"/>
      <c r="H3913" s="13" t="str">
        <f t="shared" si="1573"/>
        <v/>
      </c>
      <c r="I3913" s="692"/>
      <c r="J3913" s="669" t="s">
        <v>4180</v>
      </c>
      <c r="K3913" s="29"/>
      <c r="M3913" s="68" t="s">
        <v>5491</v>
      </c>
      <c r="N3913" s="39"/>
      <c r="O3913" s="29"/>
      <c r="P3913" s="29"/>
    </row>
    <row r="3914" spans="1:41" x14ac:dyDescent="0.25">
      <c r="A3914" s="608"/>
      <c r="B3914" s="2"/>
      <c r="C3914" s="22"/>
      <c r="D3914" s="22"/>
      <c r="E3914" s="34"/>
      <c r="F3914" s="445"/>
      <c r="G3914" s="14"/>
      <c r="H3914" s="14" t="str">
        <f t="shared" si="1573"/>
        <v/>
      </c>
      <c r="I3914" s="695"/>
      <c r="J3914" s="669" t="s">
        <v>4180</v>
      </c>
      <c r="K3914" s="29"/>
      <c r="L3914" s="29"/>
      <c r="M3914" s="29"/>
      <c r="N3914" s="106"/>
      <c r="O3914" s="107" t="s">
        <v>1205</v>
      </c>
      <c r="P3914" s="29"/>
      <c r="Q3914" s="50"/>
      <c r="R3914" s="92"/>
      <c r="S3914" s="35"/>
      <c r="T3914" s="92"/>
      <c r="U3914" s="92"/>
      <c r="V3914" s="92"/>
      <c r="W3914" s="92"/>
      <c r="X3914" s="92"/>
      <c r="Y3914" s="92"/>
      <c r="Z3914" s="92"/>
      <c r="AA3914" s="92"/>
      <c r="AB3914" s="105"/>
      <c r="AC3914" s="92"/>
      <c r="AD3914" s="92"/>
      <c r="AE3914" s="12"/>
      <c r="AF3914" s="12"/>
      <c r="AG3914" s="12"/>
    </row>
    <row r="3915" spans="1:41" ht="68.25" x14ac:dyDescent="0.25">
      <c r="A3915" s="608"/>
      <c r="B3915" s="2"/>
      <c r="C3915" s="22"/>
      <c r="D3915" s="22"/>
      <c r="E3915" s="34"/>
      <c r="F3915" s="445"/>
      <c r="G3915" s="14"/>
      <c r="H3915" s="14" t="str">
        <f t="shared" si="1573"/>
        <v/>
      </c>
      <c r="I3915" s="695"/>
      <c r="J3915" s="669" t="s">
        <v>4180</v>
      </c>
      <c r="K3915" s="29"/>
      <c r="L3915" s="29"/>
      <c r="M3915" s="48" t="s">
        <v>2914</v>
      </c>
      <c r="N3915" s="51" t="s">
        <v>5492</v>
      </c>
      <c r="O3915" s="42" t="s">
        <v>772</v>
      </c>
      <c r="P3915" s="42" t="s">
        <v>773</v>
      </c>
      <c r="Q3915" s="51" t="s">
        <v>774</v>
      </c>
      <c r="R3915" s="118" t="s">
        <v>5490</v>
      </c>
      <c r="S3915" s="42"/>
      <c r="T3915" s="42"/>
      <c r="U3915" s="42"/>
      <c r="V3915" s="79"/>
      <c r="W3915" s="79"/>
      <c r="X3915" s="79"/>
      <c r="Y3915" s="79"/>
      <c r="Z3915" s="79"/>
      <c r="AA3915" s="79"/>
      <c r="AB3915" s="42"/>
      <c r="AC3915" s="42"/>
      <c r="AD3915" s="42"/>
      <c r="AE3915" s="12"/>
      <c r="AF3915" s="12"/>
      <c r="AG3915" s="12"/>
    </row>
    <row r="3916" spans="1:41" x14ac:dyDescent="0.25">
      <c r="A3916" s="608"/>
      <c r="B3916" s="2"/>
      <c r="C3916" s="22"/>
      <c r="D3916" s="22"/>
      <c r="E3916" s="34"/>
      <c r="F3916" s="445"/>
      <c r="G3916" s="14"/>
      <c r="H3916" s="14" t="str">
        <f t="shared" si="1573"/>
        <v/>
      </c>
      <c r="I3916" s="695"/>
      <c r="J3916" s="669" t="s">
        <v>4180</v>
      </c>
      <c r="K3916" s="29"/>
      <c r="L3916" s="29"/>
      <c r="M3916" s="274"/>
      <c r="N3916" s="51"/>
      <c r="O3916" s="42" t="s">
        <v>1032</v>
      </c>
      <c r="P3916" s="42" t="s">
        <v>1030</v>
      </c>
      <c r="Q3916" s="51" t="s">
        <v>1031</v>
      </c>
      <c r="R3916" s="119">
        <v>1.4999999999999999E-2</v>
      </c>
      <c r="S3916" s="42"/>
      <c r="T3916" s="42"/>
      <c r="U3916" s="42"/>
      <c r="V3916" s="42"/>
      <c r="W3916" s="42"/>
      <c r="X3916" s="42"/>
      <c r="Y3916" s="42"/>
      <c r="Z3916" s="42"/>
      <c r="AA3916" s="42"/>
      <c r="AB3916" s="42"/>
      <c r="AC3916" s="42"/>
      <c r="AD3916" s="42"/>
      <c r="AE3916" s="12"/>
      <c r="AF3916" s="12"/>
      <c r="AG3916" s="12"/>
    </row>
    <row r="3917" spans="1:41" x14ac:dyDescent="0.25">
      <c r="A3917" s="609"/>
      <c r="B3917" s="1"/>
      <c r="C3917" s="1"/>
      <c r="D3917" s="2"/>
      <c r="E3917" s="1"/>
      <c r="F3917" s="442"/>
      <c r="G3917" s="13"/>
      <c r="H3917" s="13" t="str">
        <f t="shared" si="1573"/>
        <v/>
      </c>
      <c r="I3917" s="692"/>
      <c r="J3917" s="669" t="s">
        <v>4180</v>
      </c>
      <c r="L3917" s="116"/>
      <c r="M3917" s="47">
        <v>2009</v>
      </c>
      <c r="N3917" s="40"/>
      <c r="O3917" s="45">
        <v>2</v>
      </c>
      <c r="P3917" s="40">
        <v>1</v>
      </c>
      <c r="Q3917" s="52">
        <v>2</v>
      </c>
      <c r="R3917" s="41" t="str">
        <f>"Bonushöhe bei Inbetriebnahme in "&amp;M3917</f>
        <v>Bonushöhe bei Inbetriebnahme in 2009</v>
      </c>
      <c r="S3917" s="41"/>
      <c r="T3917" s="41"/>
      <c r="U3917" s="41"/>
      <c r="V3917" s="41"/>
      <c r="W3917" s="41"/>
      <c r="X3917" s="41"/>
      <c r="Y3917" s="41"/>
      <c r="Z3917" s="41"/>
      <c r="AA3917" s="41"/>
      <c r="AB3917" s="41"/>
      <c r="AC3917" s="41"/>
      <c r="AD3917" s="41"/>
    </row>
    <row r="3918" spans="1:41" x14ac:dyDescent="0.25">
      <c r="A3918" s="610" t="s">
        <v>5590</v>
      </c>
      <c r="B3918" s="17" t="s">
        <v>5411</v>
      </c>
      <c r="C3918" s="17" t="s">
        <v>5405</v>
      </c>
      <c r="D3918" s="17" t="s">
        <v>5407</v>
      </c>
      <c r="E3918" s="17"/>
      <c r="F3918" s="444">
        <v>7.11</v>
      </c>
      <c r="G3918" s="519">
        <v>7.11</v>
      </c>
      <c r="H3918" s="18">
        <f t="shared" si="1573"/>
        <v>5.69</v>
      </c>
      <c r="I3918" s="694"/>
      <c r="J3918" s="669" t="s">
        <v>5805</v>
      </c>
      <c r="L3918" s="70" t="str">
        <f t="shared" ref="L3918:L3925" si="1574">IF(F3918=M3918,"",FALSE)</f>
        <v/>
      </c>
      <c r="M3918" s="49">
        <f t="shared" ref="M3918:M3925" si="1575">N3918+SUMIF(O3918:Q3918,"x",O$3917:Q$3917)</f>
        <v>7.11</v>
      </c>
      <c r="N3918" s="112">
        <v>7.11</v>
      </c>
      <c r="O3918" s="113"/>
      <c r="P3918" s="113"/>
      <c r="Q3918" s="112"/>
    </row>
    <row r="3919" spans="1:41" x14ac:dyDescent="0.25">
      <c r="A3919" s="610" t="s">
        <v>5591</v>
      </c>
      <c r="B3919" s="17" t="s">
        <v>5411</v>
      </c>
      <c r="C3919" s="17" t="s">
        <v>5405</v>
      </c>
      <c r="D3919" s="17" t="s">
        <v>5517</v>
      </c>
      <c r="E3919" s="17"/>
      <c r="F3919" s="444">
        <v>9.11</v>
      </c>
      <c r="G3919" s="519">
        <v>9.11</v>
      </c>
      <c r="H3919" s="18">
        <f t="shared" si="1573"/>
        <v>7.29</v>
      </c>
      <c r="I3919" s="694"/>
      <c r="J3919" s="669" t="s">
        <v>5805</v>
      </c>
      <c r="L3919" s="70" t="str">
        <f t="shared" si="1574"/>
        <v/>
      </c>
      <c r="M3919" s="49">
        <f t="shared" si="1575"/>
        <v>9.11</v>
      </c>
      <c r="N3919" s="112">
        <v>7.11</v>
      </c>
      <c r="O3919" s="113" t="s">
        <v>1017</v>
      </c>
      <c r="P3919" s="113"/>
      <c r="Q3919" s="112"/>
    </row>
    <row r="3920" spans="1:41" x14ac:dyDescent="0.25">
      <c r="A3920" s="610" t="s">
        <v>5592</v>
      </c>
      <c r="B3920" s="17" t="s">
        <v>5411</v>
      </c>
      <c r="C3920" s="17" t="s">
        <v>5405</v>
      </c>
      <c r="D3920" s="17" t="s">
        <v>5518</v>
      </c>
      <c r="E3920" s="17"/>
      <c r="F3920" s="444">
        <v>8.11</v>
      </c>
      <c r="G3920" s="519">
        <v>8.11</v>
      </c>
      <c r="H3920" s="18">
        <f t="shared" si="1573"/>
        <v>6.49</v>
      </c>
      <c r="I3920" s="694"/>
      <c r="J3920" s="669" t="s">
        <v>5805</v>
      </c>
      <c r="L3920" s="70" t="str">
        <f t="shared" si="1574"/>
        <v/>
      </c>
      <c r="M3920" s="49">
        <f t="shared" si="1575"/>
        <v>8.11</v>
      </c>
      <c r="N3920" s="112">
        <v>7.11</v>
      </c>
      <c r="O3920" s="113"/>
      <c r="P3920" s="113" t="s">
        <v>1017</v>
      </c>
      <c r="Q3920" s="112"/>
    </row>
    <row r="3921" spans="1:18" x14ac:dyDescent="0.25">
      <c r="A3921" s="610" t="s">
        <v>3301</v>
      </c>
      <c r="B3921" s="17" t="s">
        <v>5411</v>
      </c>
      <c r="C3921" s="17" t="s">
        <v>5405</v>
      </c>
      <c r="D3921" s="30" t="s">
        <v>3299</v>
      </c>
      <c r="E3921" s="17"/>
      <c r="F3921" s="444">
        <v>9.11</v>
      </c>
      <c r="G3921" s="519">
        <v>9.11</v>
      </c>
      <c r="H3921" s="18">
        <f t="shared" si="1573"/>
        <v>7.29</v>
      </c>
      <c r="I3921" s="694"/>
      <c r="J3921" s="669" t="s">
        <v>5805</v>
      </c>
      <c r="L3921" s="70" t="str">
        <f t="shared" si="1574"/>
        <v/>
      </c>
      <c r="M3921" s="49">
        <f t="shared" si="1575"/>
        <v>9.11</v>
      </c>
      <c r="N3921" s="112">
        <v>7.11</v>
      </c>
      <c r="O3921" s="113"/>
      <c r="P3921" s="113"/>
      <c r="Q3921" s="112" t="s">
        <v>1017</v>
      </c>
    </row>
    <row r="3922" spans="1:18" x14ac:dyDescent="0.25">
      <c r="A3922" s="610" t="s">
        <v>5593</v>
      </c>
      <c r="B3922" s="17" t="s">
        <v>5411</v>
      </c>
      <c r="C3922" s="17" t="s">
        <v>5405</v>
      </c>
      <c r="D3922" s="17" t="s">
        <v>5408</v>
      </c>
      <c r="E3922" s="17"/>
      <c r="F3922" s="444">
        <v>6.16</v>
      </c>
      <c r="G3922" s="519">
        <v>6.16</v>
      </c>
      <c r="H3922" s="18">
        <f t="shared" si="1573"/>
        <v>4.93</v>
      </c>
      <c r="I3922" s="694"/>
      <c r="J3922" s="669" t="s">
        <v>5805</v>
      </c>
      <c r="L3922" s="70" t="str">
        <f t="shared" si="1574"/>
        <v/>
      </c>
      <c r="M3922" s="49">
        <f t="shared" si="1575"/>
        <v>6.16</v>
      </c>
      <c r="N3922" s="112">
        <v>6.16</v>
      </c>
      <c r="O3922" s="117"/>
      <c r="P3922" s="117"/>
      <c r="Q3922" s="112"/>
    </row>
    <row r="3923" spans="1:18" x14ac:dyDescent="0.25">
      <c r="A3923" s="610" t="s">
        <v>5594</v>
      </c>
      <c r="B3923" s="17" t="s">
        <v>5411</v>
      </c>
      <c r="C3923" s="17" t="s">
        <v>5405</v>
      </c>
      <c r="D3923" s="17" t="s">
        <v>2907</v>
      </c>
      <c r="E3923" s="17"/>
      <c r="F3923" s="444">
        <v>8.16</v>
      </c>
      <c r="G3923" s="519">
        <v>8.16</v>
      </c>
      <c r="H3923" s="18">
        <f t="shared" si="1573"/>
        <v>6.53</v>
      </c>
      <c r="I3923" s="694"/>
      <c r="J3923" s="669" t="s">
        <v>5805</v>
      </c>
      <c r="L3923" s="70" t="str">
        <f t="shared" si="1574"/>
        <v/>
      </c>
      <c r="M3923" s="49">
        <f t="shared" si="1575"/>
        <v>8.16</v>
      </c>
      <c r="N3923" s="112">
        <v>6.16</v>
      </c>
      <c r="O3923" s="117" t="s">
        <v>1017</v>
      </c>
      <c r="P3923" s="117"/>
      <c r="Q3923" s="112"/>
      <c r="R3923" s="41"/>
    </row>
    <row r="3924" spans="1:18" x14ac:dyDescent="0.25">
      <c r="A3924" s="610" t="s">
        <v>5595</v>
      </c>
      <c r="B3924" s="17" t="s">
        <v>5411</v>
      </c>
      <c r="C3924" s="17" t="s">
        <v>5405</v>
      </c>
      <c r="D3924" s="17" t="s">
        <v>594</v>
      </c>
      <c r="E3924" s="17"/>
      <c r="F3924" s="444">
        <v>7.16</v>
      </c>
      <c r="G3924" s="519">
        <v>7.16</v>
      </c>
      <c r="H3924" s="18">
        <f t="shared" si="1573"/>
        <v>5.73</v>
      </c>
      <c r="I3924" s="694"/>
      <c r="J3924" s="669" t="s">
        <v>5805</v>
      </c>
      <c r="L3924" s="70" t="str">
        <f t="shared" si="1574"/>
        <v/>
      </c>
      <c r="M3924" s="49">
        <f t="shared" si="1575"/>
        <v>7.16</v>
      </c>
      <c r="N3924" s="112">
        <v>6.16</v>
      </c>
      <c r="O3924" s="117"/>
      <c r="P3924" s="117" t="s">
        <v>1017</v>
      </c>
      <c r="Q3924" s="112"/>
    </row>
    <row r="3925" spans="1:18" x14ac:dyDescent="0.25">
      <c r="A3925" s="610" t="s">
        <v>3302</v>
      </c>
      <c r="B3925" s="17" t="s">
        <v>5411</v>
      </c>
      <c r="C3925" s="30" t="s">
        <v>5405</v>
      </c>
      <c r="D3925" s="30" t="s">
        <v>596</v>
      </c>
      <c r="E3925" s="17"/>
      <c r="F3925" s="444">
        <v>8.16</v>
      </c>
      <c r="G3925" s="519">
        <v>8.16</v>
      </c>
      <c r="H3925" s="18">
        <f t="shared" si="1573"/>
        <v>6.53</v>
      </c>
      <c r="I3925" s="694"/>
      <c r="J3925" s="669" t="s">
        <v>5805</v>
      </c>
      <c r="L3925" s="70" t="str">
        <f t="shared" si="1574"/>
        <v/>
      </c>
      <c r="M3925" s="59">
        <f t="shared" si="1575"/>
        <v>8.16</v>
      </c>
      <c r="N3925" s="114">
        <v>6.16</v>
      </c>
      <c r="O3925" s="364"/>
      <c r="P3925" s="115"/>
      <c r="Q3925" s="114" t="s">
        <v>1017</v>
      </c>
    </row>
    <row r="3926" spans="1:18" x14ac:dyDescent="0.25">
      <c r="A3926" s="608"/>
      <c r="B3926" s="2"/>
      <c r="C3926" s="1"/>
      <c r="D3926" s="2"/>
      <c r="E3926" s="1"/>
      <c r="F3926" s="442"/>
      <c r="G3926" s="520"/>
      <c r="H3926" s="13" t="str">
        <f t="shared" si="1573"/>
        <v/>
      </c>
      <c r="I3926" s="692"/>
      <c r="J3926" s="669" t="s">
        <v>4180</v>
      </c>
      <c r="M3926" s="358">
        <v>2010</v>
      </c>
      <c r="N3926" s="358"/>
      <c r="O3926" s="352">
        <f>ROUND(O$3917*(1-$R$3916)^($M3926-$M$3917),2)</f>
        <v>1.97</v>
      </c>
      <c r="P3926" s="351">
        <f>ROUND(P$3917*(1-$R$3916)^($M3926-$M$3917),2)</f>
        <v>0.99</v>
      </c>
      <c r="Q3926" s="353">
        <f>ROUND(Q$3917*(1-$R$3916)^($M3926-$M$3917),2)</f>
        <v>1.97</v>
      </c>
      <c r="R3926" s="41" t="str">
        <f>"Bonushöhe bei Inbetriebnahme in "&amp;M3926</f>
        <v>Bonushöhe bei Inbetriebnahme in 2010</v>
      </c>
    </row>
    <row r="3927" spans="1:18" ht="15" customHeight="1" x14ac:dyDescent="0.25">
      <c r="A3927" s="610" t="s">
        <v>5470</v>
      </c>
      <c r="B3927" s="17" t="s">
        <v>5411</v>
      </c>
      <c r="C3927" s="30" t="s">
        <v>2385</v>
      </c>
      <c r="D3927" s="17" t="s">
        <v>5407</v>
      </c>
      <c r="E3927" s="17"/>
      <c r="F3927" s="444">
        <v>7</v>
      </c>
      <c r="G3927" s="519">
        <v>7</v>
      </c>
      <c r="H3927" s="18">
        <f t="shared" si="1573"/>
        <v>5.6</v>
      </c>
      <c r="I3927" s="694"/>
      <c r="J3927" s="669" t="s">
        <v>5805</v>
      </c>
      <c r="L3927" s="70" t="str">
        <f t="shared" ref="L3927:L3934" si="1576">IF(F3927=M3927,"",FALSE)</f>
        <v/>
      </c>
      <c r="M3927" s="49">
        <f>N3927+SUMIF(O3927:Q3927,"x",O$3830:Q$3830)</f>
        <v>7</v>
      </c>
      <c r="N3927" s="90">
        <f t="shared" ref="N3927:N3934" si="1577">ROUND(N3918*(1-$R$3916)^($M$3926-$M$3917),2)</f>
        <v>7</v>
      </c>
      <c r="O3927" s="113"/>
      <c r="P3927" s="113"/>
      <c r="Q3927" s="112"/>
    </row>
    <row r="3928" spans="1:18" ht="15" customHeight="1" x14ac:dyDescent="0.25">
      <c r="A3928" s="610" t="s">
        <v>5471</v>
      </c>
      <c r="B3928" s="17" t="s">
        <v>5411</v>
      </c>
      <c r="C3928" s="30" t="s">
        <v>2385</v>
      </c>
      <c r="D3928" s="17" t="s">
        <v>5517</v>
      </c>
      <c r="E3928" s="17"/>
      <c r="F3928" s="444">
        <v>8.9700000000000006</v>
      </c>
      <c r="G3928" s="519">
        <v>8.9700000000000006</v>
      </c>
      <c r="H3928" s="18">
        <f t="shared" si="1573"/>
        <v>7.18</v>
      </c>
      <c r="I3928" s="694"/>
      <c r="J3928" s="669" t="s">
        <v>5805</v>
      </c>
      <c r="L3928" s="70" t="str">
        <f t="shared" si="1576"/>
        <v/>
      </c>
      <c r="M3928" s="49">
        <f t="shared" ref="M3928:M3934" si="1578">N3928+SUMIF(O3928:Q3928,"x",O$3926:Q$3926)</f>
        <v>8.9700000000000006</v>
      </c>
      <c r="N3928" s="90">
        <f t="shared" si="1577"/>
        <v>7</v>
      </c>
      <c r="O3928" s="113" t="s">
        <v>1017</v>
      </c>
      <c r="P3928" s="113"/>
      <c r="Q3928" s="112"/>
    </row>
    <row r="3929" spans="1:18" x14ac:dyDescent="0.25">
      <c r="A3929" s="610" t="s">
        <v>5472</v>
      </c>
      <c r="B3929" s="17" t="s">
        <v>5411</v>
      </c>
      <c r="C3929" s="30" t="s">
        <v>2385</v>
      </c>
      <c r="D3929" s="17" t="s">
        <v>5518</v>
      </c>
      <c r="E3929" s="17"/>
      <c r="F3929" s="444">
        <v>7.99</v>
      </c>
      <c r="G3929" s="519">
        <v>7.99</v>
      </c>
      <c r="H3929" s="18">
        <f t="shared" si="1573"/>
        <v>6.39</v>
      </c>
      <c r="I3929" s="694"/>
      <c r="J3929" s="669" t="s">
        <v>5805</v>
      </c>
      <c r="L3929" s="70" t="str">
        <f t="shared" si="1576"/>
        <v/>
      </c>
      <c r="M3929" s="49">
        <f t="shared" si="1578"/>
        <v>7.99</v>
      </c>
      <c r="N3929" s="90">
        <f t="shared" si="1577"/>
        <v>7</v>
      </c>
      <c r="O3929" s="113"/>
      <c r="P3929" s="113" t="s">
        <v>1017</v>
      </c>
      <c r="Q3929" s="112"/>
    </row>
    <row r="3930" spans="1:18" x14ac:dyDescent="0.25">
      <c r="A3930" s="610" t="s">
        <v>5473</v>
      </c>
      <c r="B3930" s="17" t="s">
        <v>5411</v>
      </c>
      <c r="C3930" s="30" t="s">
        <v>2385</v>
      </c>
      <c r="D3930" s="30" t="s">
        <v>3299</v>
      </c>
      <c r="E3930" s="17"/>
      <c r="F3930" s="444">
        <v>8.9700000000000006</v>
      </c>
      <c r="G3930" s="519">
        <v>8.9700000000000006</v>
      </c>
      <c r="H3930" s="18">
        <f t="shared" si="1573"/>
        <v>7.18</v>
      </c>
      <c r="I3930" s="694"/>
      <c r="J3930" s="669" t="s">
        <v>5805</v>
      </c>
      <c r="L3930" s="70" t="str">
        <f t="shared" si="1576"/>
        <v/>
      </c>
      <c r="M3930" s="49">
        <f t="shared" si="1578"/>
        <v>8.9700000000000006</v>
      </c>
      <c r="N3930" s="90">
        <f t="shared" si="1577"/>
        <v>7</v>
      </c>
      <c r="O3930" s="113"/>
      <c r="P3930" s="113"/>
      <c r="Q3930" s="112" t="s">
        <v>1017</v>
      </c>
    </row>
    <row r="3931" spans="1:18" x14ac:dyDescent="0.25">
      <c r="A3931" s="610" t="s">
        <v>5474</v>
      </c>
      <c r="B3931" s="17" t="s">
        <v>5411</v>
      </c>
      <c r="C3931" s="30" t="s">
        <v>2385</v>
      </c>
      <c r="D3931" s="17" t="s">
        <v>5408</v>
      </c>
      <c r="E3931" s="17"/>
      <c r="F3931" s="444">
        <v>6.07</v>
      </c>
      <c r="G3931" s="519">
        <v>6.07</v>
      </c>
      <c r="H3931" s="18">
        <f t="shared" si="1573"/>
        <v>4.8600000000000003</v>
      </c>
      <c r="I3931" s="694"/>
      <c r="J3931" s="669" t="s">
        <v>5805</v>
      </c>
      <c r="L3931" s="70" t="str">
        <f t="shared" si="1576"/>
        <v/>
      </c>
      <c r="M3931" s="49">
        <f t="shared" si="1578"/>
        <v>6.07</v>
      </c>
      <c r="N3931" s="90">
        <f t="shared" si="1577"/>
        <v>6.07</v>
      </c>
      <c r="O3931" s="117"/>
      <c r="P3931" s="117"/>
      <c r="Q3931" s="112"/>
    </row>
    <row r="3932" spans="1:18" x14ac:dyDescent="0.25">
      <c r="A3932" s="610" t="s">
        <v>5475</v>
      </c>
      <c r="B3932" s="17" t="s">
        <v>5411</v>
      </c>
      <c r="C3932" s="30" t="s">
        <v>2385</v>
      </c>
      <c r="D3932" s="17" t="s">
        <v>2907</v>
      </c>
      <c r="E3932" s="17"/>
      <c r="F3932" s="444">
        <v>8.0399999999999991</v>
      </c>
      <c r="G3932" s="519">
        <v>8.0399999999999991</v>
      </c>
      <c r="H3932" s="18">
        <f t="shared" si="1573"/>
        <v>6.43</v>
      </c>
      <c r="I3932" s="694"/>
      <c r="J3932" s="669" t="s">
        <v>5805</v>
      </c>
      <c r="L3932" s="70" t="str">
        <f t="shared" si="1576"/>
        <v/>
      </c>
      <c r="M3932" s="49">
        <f t="shared" si="1578"/>
        <v>8.0400000000000009</v>
      </c>
      <c r="N3932" s="90">
        <f t="shared" si="1577"/>
        <v>6.07</v>
      </c>
      <c r="O3932" s="117" t="s">
        <v>1017</v>
      </c>
      <c r="P3932" s="117"/>
      <c r="Q3932" s="112"/>
    </row>
    <row r="3933" spans="1:18" ht="15" customHeight="1" x14ac:dyDescent="0.25">
      <c r="A3933" s="610" t="s">
        <v>5476</v>
      </c>
      <c r="B3933" s="17" t="s">
        <v>5411</v>
      </c>
      <c r="C3933" s="30" t="s">
        <v>2385</v>
      </c>
      <c r="D3933" s="17" t="s">
        <v>594</v>
      </c>
      <c r="E3933" s="17"/>
      <c r="F3933" s="444">
        <v>7.06</v>
      </c>
      <c r="G3933" s="519">
        <v>7.06</v>
      </c>
      <c r="H3933" s="18">
        <f t="shared" si="1573"/>
        <v>5.65</v>
      </c>
      <c r="I3933" s="694"/>
      <c r="J3933" s="669" t="s">
        <v>5805</v>
      </c>
      <c r="L3933" s="70" t="str">
        <f t="shared" si="1576"/>
        <v/>
      </c>
      <c r="M3933" s="49">
        <f t="shared" si="1578"/>
        <v>7.0600000000000005</v>
      </c>
      <c r="N3933" s="90">
        <f t="shared" si="1577"/>
        <v>6.07</v>
      </c>
      <c r="O3933" s="117"/>
      <c r="P3933" s="117" t="s">
        <v>1017</v>
      </c>
      <c r="Q3933" s="112"/>
    </row>
    <row r="3934" spans="1:18" x14ac:dyDescent="0.25">
      <c r="A3934" s="610" t="s">
        <v>5477</v>
      </c>
      <c r="B3934" s="17" t="s">
        <v>5411</v>
      </c>
      <c r="C3934" s="30" t="s">
        <v>2385</v>
      </c>
      <c r="D3934" s="30" t="s">
        <v>596</v>
      </c>
      <c r="E3934" s="17"/>
      <c r="F3934" s="444">
        <v>8.0399999999999991</v>
      </c>
      <c r="G3934" s="519">
        <v>8.0399999999999991</v>
      </c>
      <c r="H3934" s="18">
        <f t="shared" si="1573"/>
        <v>6.43</v>
      </c>
      <c r="I3934" s="694"/>
      <c r="J3934" s="669" t="s">
        <v>5805</v>
      </c>
      <c r="L3934" s="70" t="str">
        <f t="shared" si="1576"/>
        <v/>
      </c>
      <c r="M3934" s="59">
        <f t="shared" si="1578"/>
        <v>8.0400000000000009</v>
      </c>
      <c r="N3934" s="52">
        <f t="shared" si="1577"/>
        <v>6.07</v>
      </c>
      <c r="O3934" s="115"/>
      <c r="P3934" s="115"/>
      <c r="Q3934" s="114" t="s">
        <v>1017</v>
      </c>
    </row>
    <row r="3935" spans="1:18" ht="15" customHeight="1" x14ac:dyDescent="0.25">
      <c r="A3935" s="608"/>
      <c r="B3935" s="2"/>
      <c r="C3935" s="1"/>
      <c r="D3935" s="2"/>
      <c r="E3935" s="1"/>
      <c r="F3935" s="442"/>
      <c r="G3935" s="520"/>
      <c r="H3935" s="13" t="str">
        <f t="shared" si="1573"/>
        <v/>
      </c>
      <c r="I3935" s="692"/>
      <c r="J3935" s="669" t="s">
        <v>4180</v>
      </c>
      <c r="M3935" s="47">
        <v>2011</v>
      </c>
      <c r="N3935" s="47"/>
      <c r="O3935" s="352">
        <f>ROUND(O$3917*(1-$R$3916)^($M3935-$M$3917),2)</f>
        <v>1.94</v>
      </c>
      <c r="P3935" s="351">
        <f>ROUND(P$3917*(1-$R$3916)^($M3935-$M$3917),2)</f>
        <v>0.97</v>
      </c>
      <c r="Q3935" s="353">
        <f>ROUND(Q$3917*(1-$R$3916)^($M3935-$M$3917),2)</f>
        <v>1.94</v>
      </c>
      <c r="R3935" s="93" t="str">
        <f>"Bonushöhe bei Inbetriebnahme in "&amp;M3935</f>
        <v>Bonushöhe bei Inbetriebnahme in 2011</v>
      </c>
    </row>
    <row r="3936" spans="1:18" ht="15" customHeight="1" x14ac:dyDescent="0.25">
      <c r="A3936" s="610" t="str">
        <f t="shared" ref="A3936:A3943" si="1579">LEFT(A3927,12)&amp;($M$3935-2000)</f>
        <v>KlK250------11</v>
      </c>
      <c r="B3936" s="17" t="s">
        <v>5411</v>
      </c>
      <c r="C3936" s="30" t="str">
        <f t="shared" ref="C3936:C3943" si="1580">"Inbetriebnahme "&amp;$M$3935</f>
        <v>Inbetriebnahme 2011</v>
      </c>
      <c r="D3936" s="17" t="s">
        <v>5407</v>
      </c>
      <c r="E3936" s="17"/>
      <c r="F3936" s="444">
        <f t="shared" ref="F3936:F3943" si="1581">M3936</f>
        <v>6.9</v>
      </c>
      <c r="G3936" s="519">
        <v>6.9</v>
      </c>
      <c r="H3936" s="18">
        <f t="shared" si="1573"/>
        <v>5.52</v>
      </c>
      <c r="I3936" s="694"/>
      <c r="J3936" s="669" t="s">
        <v>5805</v>
      </c>
      <c r="L3936" s="70" t="str">
        <f t="shared" ref="L3936:L3943" si="1582">IF(F3936=M3936,"",FALSE)</f>
        <v/>
      </c>
      <c r="M3936" s="49">
        <f t="shared" ref="M3936:M3943" si="1583">N3936+SUMIF(O3936:Q3936,"x",O$3935:Q$3935)</f>
        <v>6.9</v>
      </c>
      <c r="N3936" s="90">
        <f t="shared" ref="N3936:N3943" si="1584">ROUND(N3918*(1-$R$3916)^($M$3935-$M$3917),2)</f>
        <v>6.9</v>
      </c>
      <c r="O3936" s="276"/>
      <c r="P3936" s="117"/>
      <c r="Q3936" s="112"/>
    </row>
    <row r="3937" spans="1:45" x14ac:dyDescent="0.25">
      <c r="A3937" s="610" t="str">
        <f t="shared" si="1579"/>
        <v>KlK251------11</v>
      </c>
      <c r="B3937" s="17" t="s">
        <v>5411</v>
      </c>
      <c r="C3937" s="30" t="str">
        <f t="shared" si="1580"/>
        <v>Inbetriebnahme 2011</v>
      </c>
      <c r="D3937" s="17" t="s">
        <v>5517</v>
      </c>
      <c r="E3937" s="17"/>
      <c r="F3937" s="444">
        <f t="shared" si="1581"/>
        <v>8.84</v>
      </c>
      <c r="G3937" s="519">
        <v>8.84</v>
      </c>
      <c r="H3937" s="18">
        <f t="shared" si="1573"/>
        <v>7.07</v>
      </c>
      <c r="I3937" s="694"/>
      <c r="J3937" s="669" t="s">
        <v>5805</v>
      </c>
      <c r="L3937" s="70" t="str">
        <f t="shared" si="1582"/>
        <v/>
      </c>
      <c r="M3937" s="49">
        <f t="shared" si="1583"/>
        <v>8.84</v>
      </c>
      <c r="N3937" s="90">
        <f t="shared" si="1584"/>
        <v>6.9</v>
      </c>
      <c r="O3937" s="113" t="s">
        <v>1017</v>
      </c>
      <c r="P3937" s="113"/>
      <c r="Q3937" s="112"/>
    </row>
    <row r="3938" spans="1:45" x14ac:dyDescent="0.25">
      <c r="A3938" s="610" t="str">
        <f t="shared" si="1579"/>
        <v>KlK252------11</v>
      </c>
      <c r="B3938" s="17" t="s">
        <v>5411</v>
      </c>
      <c r="C3938" s="30" t="str">
        <f t="shared" si="1580"/>
        <v>Inbetriebnahme 2011</v>
      </c>
      <c r="D3938" s="17" t="s">
        <v>5518</v>
      </c>
      <c r="E3938" s="17"/>
      <c r="F3938" s="444">
        <f t="shared" si="1581"/>
        <v>7.87</v>
      </c>
      <c r="G3938" s="519">
        <v>7.87</v>
      </c>
      <c r="H3938" s="18">
        <f t="shared" si="1573"/>
        <v>6.3</v>
      </c>
      <c r="I3938" s="694"/>
      <c r="J3938" s="669" t="s">
        <v>5805</v>
      </c>
      <c r="L3938" s="70" t="str">
        <f t="shared" si="1582"/>
        <v/>
      </c>
      <c r="M3938" s="49">
        <f t="shared" si="1583"/>
        <v>7.87</v>
      </c>
      <c r="N3938" s="90">
        <f t="shared" si="1584"/>
        <v>6.9</v>
      </c>
      <c r="O3938" s="113"/>
      <c r="P3938" s="113" t="s">
        <v>1017</v>
      </c>
      <c r="Q3938" s="112"/>
    </row>
    <row r="3939" spans="1:45" x14ac:dyDescent="0.25">
      <c r="A3939" s="610" t="str">
        <f t="shared" si="1579"/>
        <v>KlK253------11</v>
      </c>
      <c r="B3939" s="17" t="s">
        <v>5411</v>
      </c>
      <c r="C3939" s="30" t="str">
        <f t="shared" si="1580"/>
        <v>Inbetriebnahme 2011</v>
      </c>
      <c r="D3939" s="30" t="s">
        <v>3299</v>
      </c>
      <c r="E3939" s="17"/>
      <c r="F3939" s="444">
        <f t="shared" si="1581"/>
        <v>8.84</v>
      </c>
      <c r="G3939" s="519">
        <v>8.84</v>
      </c>
      <c r="H3939" s="18">
        <f t="shared" si="1573"/>
        <v>7.07</v>
      </c>
      <c r="I3939" s="694"/>
      <c r="J3939" s="669" t="s">
        <v>5805</v>
      </c>
      <c r="L3939" s="70" t="str">
        <f t="shared" si="1582"/>
        <v/>
      </c>
      <c r="M3939" s="49">
        <f t="shared" si="1583"/>
        <v>8.84</v>
      </c>
      <c r="N3939" s="90">
        <f t="shared" si="1584"/>
        <v>6.9</v>
      </c>
      <c r="O3939" s="113"/>
      <c r="P3939" s="113"/>
      <c r="Q3939" s="112" t="s">
        <v>1017</v>
      </c>
    </row>
    <row r="3940" spans="1:45" x14ac:dyDescent="0.25">
      <c r="A3940" s="610" t="str">
        <f t="shared" si="1579"/>
        <v>KlK255------11</v>
      </c>
      <c r="B3940" s="17" t="s">
        <v>5411</v>
      </c>
      <c r="C3940" s="30" t="str">
        <f t="shared" si="1580"/>
        <v>Inbetriebnahme 2011</v>
      </c>
      <c r="D3940" s="17" t="s">
        <v>5408</v>
      </c>
      <c r="E3940" s="17"/>
      <c r="F3940" s="444">
        <f t="shared" si="1581"/>
        <v>5.98</v>
      </c>
      <c r="G3940" s="519">
        <v>5.98</v>
      </c>
      <c r="H3940" s="18">
        <f t="shared" si="1573"/>
        <v>4.78</v>
      </c>
      <c r="I3940" s="694"/>
      <c r="J3940" s="669" t="s">
        <v>5805</v>
      </c>
      <c r="L3940" s="70" t="str">
        <f t="shared" si="1582"/>
        <v/>
      </c>
      <c r="M3940" s="49">
        <f t="shared" si="1583"/>
        <v>5.98</v>
      </c>
      <c r="N3940" s="90">
        <f t="shared" si="1584"/>
        <v>5.98</v>
      </c>
      <c r="O3940" s="117"/>
      <c r="P3940" s="117"/>
      <c r="Q3940" s="112"/>
    </row>
    <row r="3941" spans="1:45" x14ac:dyDescent="0.25">
      <c r="A3941" s="610" t="str">
        <f t="shared" si="1579"/>
        <v>KlK256------11</v>
      </c>
      <c r="B3941" s="17" t="s">
        <v>5411</v>
      </c>
      <c r="C3941" s="30" t="str">
        <f t="shared" si="1580"/>
        <v>Inbetriebnahme 2011</v>
      </c>
      <c r="D3941" s="17" t="s">
        <v>2907</v>
      </c>
      <c r="E3941" s="17"/>
      <c r="F3941" s="444">
        <f t="shared" si="1581"/>
        <v>7.92</v>
      </c>
      <c r="G3941" s="519">
        <v>7.92</v>
      </c>
      <c r="H3941" s="18">
        <f t="shared" si="1573"/>
        <v>6.34</v>
      </c>
      <c r="I3941" s="694"/>
      <c r="J3941" s="669" t="s">
        <v>5805</v>
      </c>
      <c r="L3941" s="70" t="str">
        <f t="shared" si="1582"/>
        <v/>
      </c>
      <c r="M3941" s="49">
        <f t="shared" si="1583"/>
        <v>7.92</v>
      </c>
      <c r="N3941" s="90">
        <f t="shared" si="1584"/>
        <v>5.98</v>
      </c>
      <c r="O3941" s="117" t="s">
        <v>1017</v>
      </c>
      <c r="P3941" s="117"/>
      <c r="Q3941" s="112"/>
    </row>
    <row r="3942" spans="1:45" x14ac:dyDescent="0.25">
      <c r="A3942" s="610" t="str">
        <f t="shared" si="1579"/>
        <v>KlK257------11</v>
      </c>
      <c r="B3942" s="17" t="s">
        <v>5411</v>
      </c>
      <c r="C3942" s="30" t="str">
        <f t="shared" si="1580"/>
        <v>Inbetriebnahme 2011</v>
      </c>
      <c r="D3942" s="17" t="s">
        <v>594</v>
      </c>
      <c r="E3942" s="17"/>
      <c r="F3942" s="444">
        <f t="shared" si="1581"/>
        <v>6.95</v>
      </c>
      <c r="G3942" s="519">
        <v>6.95</v>
      </c>
      <c r="H3942" s="18">
        <f t="shared" si="1573"/>
        <v>5.56</v>
      </c>
      <c r="I3942" s="694"/>
      <c r="J3942" s="669" t="s">
        <v>5805</v>
      </c>
      <c r="L3942" s="70" t="str">
        <f t="shared" si="1582"/>
        <v/>
      </c>
      <c r="M3942" s="49">
        <f t="shared" si="1583"/>
        <v>6.95</v>
      </c>
      <c r="N3942" s="90">
        <f t="shared" si="1584"/>
        <v>5.98</v>
      </c>
      <c r="O3942" s="117"/>
      <c r="P3942" s="117" t="s">
        <v>1017</v>
      </c>
      <c r="Q3942" s="112"/>
    </row>
    <row r="3943" spans="1:45" x14ac:dyDescent="0.25">
      <c r="A3943" s="610" t="str">
        <f t="shared" si="1579"/>
        <v>KlK258------11</v>
      </c>
      <c r="B3943" s="17" t="s">
        <v>5411</v>
      </c>
      <c r="C3943" s="30" t="str">
        <f t="shared" si="1580"/>
        <v>Inbetriebnahme 2011</v>
      </c>
      <c r="D3943" s="30" t="s">
        <v>596</v>
      </c>
      <c r="E3943" s="17"/>
      <c r="F3943" s="444">
        <f t="shared" si="1581"/>
        <v>7.92</v>
      </c>
      <c r="G3943" s="519">
        <v>7.92</v>
      </c>
      <c r="H3943" s="18">
        <f t="shared" si="1573"/>
        <v>6.34</v>
      </c>
      <c r="I3943" s="694"/>
      <c r="J3943" s="669" t="s">
        <v>5805</v>
      </c>
      <c r="L3943" s="70" t="str">
        <f t="shared" si="1582"/>
        <v/>
      </c>
      <c r="M3943" s="59">
        <f t="shared" si="1583"/>
        <v>7.92</v>
      </c>
      <c r="N3943" s="52">
        <f t="shared" si="1584"/>
        <v>5.98</v>
      </c>
      <c r="O3943" s="115"/>
      <c r="P3943" s="115"/>
      <c r="Q3943" s="114" t="s">
        <v>1017</v>
      </c>
    </row>
    <row r="3944" spans="1:45" x14ac:dyDescent="0.25">
      <c r="A3944" s="608"/>
      <c r="B3944" s="2"/>
      <c r="C3944" s="1"/>
      <c r="D3944" s="2"/>
      <c r="E3944" s="1"/>
      <c r="F3944" s="442"/>
      <c r="G3944" s="520"/>
      <c r="H3944" s="13" t="str">
        <f t="shared" si="1573"/>
        <v/>
      </c>
      <c r="I3944" s="692"/>
      <c r="J3944" s="669" t="s">
        <v>4180</v>
      </c>
      <c r="L3944" s="70"/>
      <c r="M3944" s="49"/>
      <c r="N3944" s="41"/>
      <c r="O3944" s="117"/>
      <c r="P3944" s="117"/>
      <c r="Q3944" s="117"/>
    </row>
    <row r="3945" spans="1:45" s="259" customFormat="1" ht="20.25" customHeight="1" x14ac:dyDescent="0.25">
      <c r="A3945" s="608"/>
      <c r="B3945" s="2"/>
      <c r="C3945" s="1"/>
      <c r="D3945" s="2"/>
      <c r="E3945" s="1"/>
      <c r="F3945" s="442"/>
      <c r="G3945" s="520"/>
      <c r="H3945" s="13" t="str">
        <f t="shared" si="1573"/>
        <v/>
      </c>
      <c r="I3945" s="692"/>
      <c r="J3945" s="669" t="s">
        <v>4180</v>
      </c>
      <c r="K3945" s="258"/>
      <c r="M3945" s="68" t="s">
        <v>1781</v>
      </c>
      <c r="N3945" s="261"/>
      <c r="O3945" s="261"/>
      <c r="AG3945" s="262"/>
    </row>
    <row r="3946" spans="1:45" s="238" customFormat="1" ht="39.75" customHeight="1" x14ac:dyDescent="0.25">
      <c r="A3946" s="621"/>
      <c r="B3946" s="230"/>
      <c r="C3946" s="231"/>
      <c r="D3946" s="231"/>
      <c r="E3946" s="232"/>
      <c r="F3946" s="464"/>
      <c r="G3946" s="540"/>
      <c r="H3946" s="496" t="str">
        <f t="shared" si="1573"/>
        <v/>
      </c>
      <c r="I3946" s="718"/>
      <c r="J3946" s="669" t="s">
        <v>4180</v>
      </c>
      <c r="K3946" s="234"/>
      <c r="L3946" s="234"/>
      <c r="M3946" s="235">
        <v>2012</v>
      </c>
      <c r="N3946" s="234"/>
      <c r="O3946" s="1158" t="s">
        <v>1745</v>
      </c>
      <c r="P3946" s="1159"/>
      <c r="Q3946" s="1160"/>
      <c r="R3946" s="267"/>
      <c r="S3946" s="267"/>
      <c r="T3946" s="267"/>
      <c r="U3946" s="267"/>
      <c r="V3946" s="267"/>
      <c r="W3946" s="267"/>
      <c r="X3946" s="267"/>
      <c r="Y3946" s="236"/>
      <c r="Z3946" s="237"/>
    </row>
    <row r="3947" spans="1:45" s="238" customFormat="1" ht="57.75" customHeight="1" x14ac:dyDescent="0.25">
      <c r="A3947" s="621"/>
      <c r="B3947" s="230"/>
      <c r="C3947" s="231"/>
      <c r="D3947" s="231"/>
      <c r="E3947" s="232"/>
      <c r="F3947" s="464"/>
      <c r="G3947" s="540"/>
      <c r="H3947" s="496" t="str">
        <f t="shared" si="1573"/>
        <v/>
      </c>
      <c r="I3947" s="718"/>
      <c r="J3947" s="669" t="s">
        <v>4180</v>
      </c>
      <c r="K3947" s="234"/>
      <c r="L3947" s="234"/>
      <c r="M3947" s="242" t="s">
        <v>2914</v>
      </c>
      <c r="N3947" s="243" t="s">
        <v>502</v>
      </c>
      <c r="O3947" s="247" t="s">
        <v>1746</v>
      </c>
      <c r="P3947" s="248" t="s">
        <v>1747</v>
      </c>
      <c r="Q3947" s="249" t="s">
        <v>1748</v>
      </c>
      <c r="V3947" s="268"/>
      <c r="W3947" s="268"/>
      <c r="X3947" s="268"/>
      <c r="Y3947" s="237"/>
    </row>
    <row r="3948" spans="1:45" ht="34.5" x14ac:dyDescent="0.25">
      <c r="A3948" s="608"/>
      <c r="B3948" s="2"/>
      <c r="C3948" s="22"/>
      <c r="D3948" s="22"/>
      <c r="E3948" s="34"/>
      <c r="F3948" s="456"/>
      <c r="G3948" s="531"/>
      <c r="H3948" s="489" t="str">
        <f t="shared" si="1573"/>
        <v/>
      </c>
      <c r="I3948" s="708"/>
      <c r="J3948" s="669" t="s">
        <v>4180</v>
      </c>
      <c r="K3948" s="29"/>
      <c r="L3948" s="29"/>
      <c r="M3948" s="46"/>
      <c r="N3948" s="42"/>
      <c r="O3948" s="250" t="s">
        <v>1740</v>
      </c>
      <c r="P3948" s="251" t="s">
        <v>1741</v>
      </c>
      <c r="Q3948" s="252" t="s">
        <v>1742</v>
      </c>
      <c r="R3948" s="118" t="s">
        <v>505</v>
      </c>
      <c r="S3948" s="251" t="s">
        <v>1740</v>
      </c>
      <c r="T3948" s="251" t="s">
        <v>1741</v>
      </c>
      <c r="U3948" s="251" t="s">
        <v>1742</v>
      </c>
      <c r="V3948" s="251"/>
      <c r="W3948" s="251"/>
      <c r="X3948" s="251"/>
      <c r="Y3948" s="12"/>
    </row>
    <row r="3949" spans="1:45" x14ac:dyDescent="0.25">
      <c r="A3949" s="609"/>
      <c r="B3949" s="1"/>
      <c r="C3949" s="1"/>
      <c r="D3949" s="2"/>
      <c r="E3949" s="1"/>
      <c r="F3949" s="457"/>
      <c r="G3949" s="532"/>
      <c r="H3949" s="490" t="str">
        <f t="shared" si="1573"/>
        <v/>
      </c>
      <c r="I3949" s="709"/>
      <c r="J3949" s="669" t="s">
        <v>4180</v>
      </c>
      <c r="L3949" s="71"/>
      <c r="M3949" s="47">
        <v>2012</v>
      </c>
      <c r="N3949" s="40"/>
      <c r="O3949" s="45">
        <v>3</v>
      </c>
      <c r="P3949" s="40">
        <v>2</v>
      </c>
      <c r="Q3949" s="52">
        <v>1</v>
      </c>
      <c r="R3949" s="275">
        <v>1.4999999999999999E-2</v>
      </c>
      <c r="S3949" s="41">
        <v>3</v>
      </c>
      <c r="T3949" s="41">
        <v>2</v>
      </c>
      <c r="U3949" s="41">
        <v>1</v>
      </c>
      <c r="V3949" s="205" t="str">
        <f xml:space="preserve"> "Bonushöhe bei Inbetriebnahme in " &amp; M3949</f>
        <v>Bonushöhe bei Inbetriebnahme in 2012</v>
      </c>
      <c r="W3949" s="41"/>
      <c r="X3949" s="41"/>
      <c r="Y3949" s="41"/>
      <c r="Z3949" s="41"/>
      <c r="AA3949" s="41"/>
      <c r="AB3949" s="41"/>
      <c r="AC3949" s="41"/>
      <c r="AD3949" s="41"/>
      <c r="AE3949" s="41"/>
      <c r="AF3949" s="41"/>
      <c r="AG3949" s="41"/>
      <c r="AK3949" t="s">
        <v>1740</v>
      </c>
      <c r="AL3949" t="s">
        <v>1741</v>
      </c>
      <c r="AM3949" t="s">
        <v>1742</v>
      </c>
      <c r="AN3949" t="s">
        <v>1764</v>
      </c>
      <c r="AO3949" t="s">
        <v>1765</v>
      </c>
      <c r="AP3949" t="s">
        <v>1766</v>
      </c>
      <c r="AQ3949" t="s">
        <v>669</v>
      </c>
      <c r="AR3949" t="s">
        <v>1763</v>
      </c>
    </row>
    <row r="3950" spans="1:45" x14ac:dyDescent="0.25">
      <c r="A3950" s="613" t="str">
        <f>"KlK250"&amp;AN3950&amp;RIGHT("------",6-LEN(AN3950))&amp;RIGHT($M3949,2)</f>
        <v>KlK250------12</v>
      </c>
      <c r="B3950" s="283" t="s">
        <v>5411</v>
      </c>
      <c r="C3950" s="284" t="str">
        <f t="shared" ref="C3950:C3957" si="1585">"Inbetriebnahme "&amp;$M$3949</f>
        <v>Inbetriebnahme 2012</v>
      </c>
      <c r="D3950" s="283" t="str">
        <f t="shared" ref="D3950:D3957" si="1586">IF(COUNTA(O3950:Q3950)=0,AH3950,AH3950&amp;", Bonusregel "&amp;AN3950)</f>
        <v>0-0,5 MW</v>
      </c>
      <c r="E3950" s="283"/>
      <c r="F3950" s="465">
        <f t="shared" ref="F3950:F3957" si="1587">M3950</f>
        <v>6.79</v>
      </c>
      <c r="G3950" s="541">
        <v>6.79</v>
      </c>
      <c r="H3950" s="497">
        <f t="shared" si="1573"/>
        <v>5.43</v>
      </c>
      <c r="I3950" s="719"/>
      <c r="J3950" s="669" t="s">
        <v>5805</v>
      </c>
      <c r="K3950" s="23"/>
      <c r="L3950" s="70" t="str">
        <f t="shared" ref="L3950:L3957" si="1588">IF(F3950=M3950,"",FALSE)</f>
        <v/>
      </c>
      <c r="M3950" s="49">
        <f t="shared" ref="M3950:M3957" si="1589">N3950+SUMIF(O3950:Q3950,"x",$O$3949:$Q$3949)</f>
        <v>6.79</v>
      </c>
      <c r="N3950" s="41">
        <v>6.79</v>
      </c>
      <c r="O3950" s="60"/>
      <c r="P3950" s="29"/>
      <c r="Q3950" s="62"/>
      <c r="AG3950" s="92"/>
      <c r="AH3950" s="253" t="s">
        <v>5407</v>
      </c>
      <c r="AK3950" t="str">
        <f t="shared" ref="AK3950:AM3957" si="1590">IF(O3950="x",V$3280,"")</f>
        <v/>
      </c>
      <c r="AL3950" t="str">
        <f t="shared" si="1590"/>
        <v/>
      </c>
      <c r="AM3950" t="str">
        <f t="shared" si="1590"/>
        <v/>
      </c>
      <c r="AN3950" t="str">
        <f t="shared" ref="AN3950:AN3957" si="1591">AK3950&amp;AL3950&amp;AM3950</f>
        <v/>
      </c>
      <c r="AO3950" s="254" t="str">
        <f>"BiK27a0"&amp;AN3950&amp;RIGHT("-----",5-LEN(AN3950))&amp;RIGHT($M$3278,2)</f>
        <v>BiK27a0-----12</v>
      </c>
      <c r="AP3950">
        <f t="shared" ref="AP3950:AP3957" si="1592">LEN(AO3950)</f>
        <v>14</v>
      </c>
      <c r="AQ3950" t="str">
        <f t="shared" ref="AQ3950:AQ3957" si="1593">IF(COUNTA(O3950:Q3950)=0,AH3950,AH3950&amp;", Bonusregel "&amp;AN3950)</f>
        <v>0-0,5 MW</v>
      </c>
      <c r="AR3950" t="str">
        <f>IF(COUNTA(#REF!)&gt;1,"Fehler ESVK",IF(COUNTA(O3950:Q3950)&gt;1,"Fehler GAB",IF(AP3950&lt;&gt;14,"Fehler Kategorie","")))</f>
        <v/>
      </c>
      <c r="AS3950" t="str">
        <f>SUBSTITUTE(AN3950,", ","")</f>
        <v/>
      </c>
    </row>
    <row r="3951" spans="1:45" x14ac:dyDescent="0.25">
      <c r="A3951" s="613" t="str">
        <f>"KlK250"&amp;AN3951&amp;RIGHT("------",6-LEN(AN3951))&amp;RIGHT($M3949,2)</f>
        <v>KlK250G1----12</v>
      </c>
      <c r="B3951" s="283" t="s">
        <v>5411</v>
      </c>
      <c r="C3951" s="284" t="str">
        <f t="shared" si="1585"/>
        <v>Inbetriebnahme 2012</v>
      </c>
      <c r="D3951" s="283" t="str">
        <f t="shared" si="1586"/>
        <v>0-0,5 MW, Bonusregel G1</v>
      </c>
      <c r="E3951" s="283"/>
      <c r="F3951" s="465">
        <f t="shared" si="1587"/>
        <v>9.7899999999999991</v>
      </c>
      <c r="G3951" s="541">
        <v>9.7899999999999991</v>
      </c>
      <c r="H3951" s="497">
        <f t="shared" si="1573"/>
        <v>7.83</v>
      </c>
      <c r="I3951" s="719"/>
      <c r="J3951" s="669" t="s">
        <v>5805</v>
      </c>
      <c r="K3951" s="23"/>
      <c r="L3951" s="70" t="str">
        <f t="shared" si="1588"/>
        <v/>
      </c>
      <c r="M3951" s="49">
        <f t="shared" si="1589"/>
        <v>9.7899999999999991</v>
      </c>
      <c r="N3951" s="41">
        <f>N3950</f>
        <v>6.79</v>
      </c>
      <c r="O3951" s="228" t="s">
        <v>1017</v>
      </c>
      <c r="P3951" s="29"/>
      <c r="Q3951" s="50"/>
      <c r="AG3951" s="92"/>
      <c r="AH3951" s="253" t="s">
        <v>5407</v>
      </c>
      <c r="AK3951" t="str">
        <f t="shared" si="1590"/>
        <v>G1</v>
      </c>
      <c r="AL3951" t="str">
        <f t="shared" si="1590"/>
        <v/>
      </c>
      <c r="AM3951" t="str">
        <f t="shared" si="1590"/>
        <v/>
      </c>
      <c r="AN3951" t="str">
        <f t="shared" si="1591"/>
        <v>G1</v>
      </c>
      <c r="AO3951" s="254" t="str">
        <f>"BiK27a0"&amp;AN3951&amp;RIGHT("-----",5-LEN(AN3951))&amp;RIGHT($M$3278,2)</f>
        <v>BiK27a0G1---12</v>
      </c>
      <c r="AP3951">
        <f t="shared" si="1592"/>
        <v>14</v>
      </c>
      <c r="AQ3951" t="str">
        <f t="shared" si="1593"/>
        <v>0-0,5 MW, Bonusregel G1</v>
      </c>
      <c r="AR3951" t="str">
        <f>IF(COUNTA(#REF!)&gt;1,"Fehler ESVK",IF(COUNTA(O3951:Q3951)&gt;1,"Fehler GAB",IF(AP3951&lt;&gt;14,"Fehler Kategorie","")))</f>
        <v/>
      </c>
    </row>
    <row r="3952" spans="1:45" x14ac:dyDescent="0.25">
      <c r="A3952" s="613" t="str">
        <f>"KlK250"&amp;AN3952&amp;RIGHT("------",6-LEN(AN3952))&amp;RIGHT($M3949,2)</f>
        <v>KlK250G2----12</v>
      </c>
      <c r="B3952" s="283" t="s">
        <v>5411</v>
      </c>
      <c r="C3952" s="284" t="str">
        <f t="shared" si="1585"/>
        <v>Inbetriebnahme 2012</v>
      </c>
      <c r="D3952" s="283" t="str">
        <f t="shared" si="1586"/>
        <v>0-0,5 MW, Bonusregel G2</v>
      </c>
      <c r="E3952" s="283"/>
      <c r="F3952" s="465">
        <f t="shared" si="1587"/>
        <v>8.7899999999999991</v>
      </c>
      <c r="G3952" s="541">
        <v>8.7899999999999991</v>
      </c>
      <c r="H3952" s="497">
        <f t="shared" si="1573"/>
        <v>7.03</v>
      </c>
      <c r="I3952" s="719"/>
      <c r="J3952" s="669" t="s">
        <v>5805</v>
      </c>
      <c r="K3952" s="23"/>
      <c r="L3952" s="70" t="str">
        <f t="shared" si="1588"/>
        <v/>
      </c>
      <c r="M3952" s="49">
        <f t="shared" si="1589"/>
        <v>8.7899999999999991</v>
      </c>
      <c r="N3952" s="41">
        <f>N3951</f>
        <v>6.79</v>
      </c>
      <c r="O3952" s="228"/>
      <c r="P3952" s="29" t="s">
        <v>1017</v>
      </c>
      <c r="Q3952" s="50"/>
      <c r="AG3952" s="92"/>
      <c r="AH3952" s="253" t="s">
        <v>5407</v>
      </c>
      <c r="AK3952" t="str">
        <f t="shared" si="1590"/>
        <v/>
      </c>
      <c r="AL3952" t="str">
        <f t="shared" si="1590"/>
        <v>G2</v>
      </c>
      <c r="AM3952" t="str">
        <f t="shared" si="1590"/>
        <v/>
      </c>
      <c r="AN3952" t="str">
        <f t="shared" si="1591"/>
        <v>G2</v>
      </c>
      <c r="AO3952" s="254" t="str">
        <f>"BiK27a0"&amp;AN3952&amp;RIGHT("-----",5-LEN(AN3952))&amp;RIGHT($M$3278,2)</f>
        <v>BiK27a0G2---12</v>
      </c>
      <c r="AP3952">
        <f t="shared" si="1592"/>
        <v>14</v>
      </c>
      <c r="AQ3952" t="str">
        <f t="shared" si="1593"/>
        <v>0-0,5 MW, Bonusregel G2</v>
      </c>
      <c r="AR3952" t="str">
        <f>IF(COUNTA(#REF!)&gt;1,"Fehler ESVK",IF(COUNTA(O3952:Q3952)&gt;1,"Fehler GAB",IF(AP3952&lt;&gt;14,"Fehler Kategorie","")))</f>
        <v/>
      </c>
    </row>
    <row r="3953" spans="1:51" x14ac:dyDescent="0.25">
      <c r="A3953" s="613" t="str">
        <f>"KlK250"&amp;AN3953&amp;RIGHT("------",6-LEN(AN3953))&amp;RIGHT($M3949,2)</f>
        <v>KlK250G3----12</v>
      </c>
      <c r="B3953" s="283" t="s">
        <v>5411</v>
      </c>
      <c r="C3953" s="284" t="str">
        <f t="shared" si="1585"/>
        <v>Inbetriebnahme 2012</v>
      </c>
      <c r="D3953" s="283" t="str">
        <f t="shared" si="1586"/>
        <v>0-0,5 MW, Bonusregel G3</v>
      </c>
      <c r="E3953" s="283"/>
      <c r="F3953" s="465">
        <f t="shared" si="1587"/>
        <v>7.79</v>
      </c>
      <c r="G3953" s="541">
        <v>7.79</v>
      </c>
      <c r="H3953" s="497">
        <f t="shared" si="1573"/>
        <v>6.23</v>
      </c>
      <c r="I3953" s="719"/>
      <c r="J3953" s="669" t="s">
        <v>5805</v>
      </c>
      <c r="K3953" s="23"/>
      <c r="L3953" s="70" t="str">
        <f t="shared" si="1588"/>
        <v/>
      </c>
      <c r="M3953" s="49">
        <f t="shared" si="1589"/>
        <v>7.79</v>
      </c>
      <c r="N3953" s="41">
        <f>N3952</f>
        <v>6.79</v>
      </c>
      <c r="O3953" s="228"/>
      <c r="P3953" s="29"/>
      <c r="Q3953" s="50" t="s">
        <v>1017</v>
      </c>
      <c r="AG3953" s="92"/>
      <c r="AH3953" s="253" t="s">
        <v>5407</v>
      </c>
      <c r="AK3953" t="str">
        <f t="shared" si="1590"/>
        <v/>
      </c>
      <c r="AL3953" t="str">
        <f t="shared" si="1590"/>
        <v/>
      </c>
      <c r="AM3953" t="str">
        <f t="shared" si="1590"/>
        <v>G3</v>
      </c>
      <c r="AN3953" t="str">
        <f t="shared" si="1591"/>
        <v>G3</v>
      </c>
      <c r="AO3953" s="254" t="str">
        <f>"BiK27a0"&amp;AN3953&amp;RIGHT("-----",5-LEN(AN3953))&amp;RIGHT($M$3278,2)</f>
        <v>BiK27a0G3---12</v>
      </c>
      <c r="AP3953">
        <f t="shared" si="1592"/>
        <v>14</v>
      </c>
      <c r="AQ3953" t="str">
        <f t="shared" si="1593"/>
        <v>0-0,5 MW, Bonusregel G3</v>
      </c>
      <c r="AR3953" t="str">
        <f>IF(COUNTA(#REF!)&gt;1,"Fehler ESVK",IF(COUNTA(O3953:Q3953)&gt;1,"Fehler GAB",IF(AP3953&lt;&gt;14,"Fehler Kategorie","")))</f>
        <v/>
      </c>
    </row>
    <row r="3954" spans="1:51" x14ac:dyDescent="0.25">
      <c r="A3954" s="613" t="str">
        <f>"KlK251"&amp;AN3954&amp;RIGHT("------",6-LEN(AN3954))&amp;RIGHT($M3949,2)</f>
        <v>KlK251------12</v>
      </c>
      <c r="B3954" s="283" t="s">
        <v>5411</v>
      </c>
      <c r="C3954" s="284" t="str">
        <f t="shared" si="1585"/>
        <v>Inbetriebnahme 2012</v>
      </c>
      <c r="D3954" s="283" t="str">
        <f t="shared" si="1586"/>
        <v>0,5-5 MW</v>
      </c>
      <c r="E3954" s="283"/>
      <c r="F3954" s="465">
        <f t="shared" si="1587"/>
        <v>5.89</v>
      </c>
      <c r="G3954" s="541">
        <v>5.89</v>
      </c>
      <c r="H3954" s="497">
        <f t="shared" si="1573"/>
        <v>4.71</v>
      </c>
      <c r="I3954" s="719"/>
      <c r="J3954" s="669" t="s">
        <v>5805</v>
      </c>
      <c r="K3954" s="23"/>
      <c r="L3954" s="70" t="str">
        <f t="shared" si="1588"/>
        <v/>
      </c>
      <c r="M3954" s="49">
        <f t="shared" si="1589"/>
        <v>5.89</v>
      </c>
      <c r="N3954" s="41">
        <v>5.89</v>
      </c>
      <c r="O3954" s="228"/>
      <c r="P3954" s="29"/>
      <c r="Q3954" s="50"/>
      <c r="T3954" s="92"/>
      <c r="U3954" s="92"/>
      <c r="AG3954" s="92"/>
      <c r="AH3954" s="253" t="s">
        <v>5408</v>
      </c>
      <c r="AK3954" t="str">
        <f t="shared" si="1590"/>
        <v/>
      </c>
      <c r="AL3954" t="str">
        <f t="shared" si="1590"/>
        <v/>
      </c>
      <c r="AM3954" t="str">
        <f t="shared" si="1590"/>
        <v/>
      </c>
      <c r="AN3954" t="str">
        <f t="shared" si="1591"/>
        <v/>
      </c>
      <c r="AO3954" s="254" t="str">
        <f>"BiK27a1"&amp;AN3954&amp;RIGHT("-----",5-LEN(AN3954))&amp;RIGHT($M$3278,2)</f>
        <v>BiK27a1-----12</v>
      </c>
      <c r="AP3954">
        <f t="shared" si="1592"/>
        <v>14</v>
      </c>
      <c r="AQ3954" t="str">
        <f t="shared" si="1593"/>
        <v>0,5-5 MW</v>
      </c>
      <c r="AR3954" t="str">
        <f>IF(COUNTA(#REF!)&gt;1,"Fehler ESVK",IF(COUNTA(O3954:Q3954)&gt;1,"Fehler GAB",IF(AP3954&lt;&gt;14,"Fehler Kategorie","")))</f>
        <v/>
      </c>
    </row>
    <row r="3955" spans="1:51" x14ac:dyDescent="0.25">
      <c r="A3955" s="613" t="str">
        <f>"KlK251"&amp;AN3955&amp;RIGHT("------",6-LEN(AN3955))&amp;RIGHT($M3949,2)</f>
        <v>KlK251G1----12</v>
      </c>
      <c r="B3955" s="283" t="s">
        <v>5411</v>
      </c>
      <c r="C3955" s="284" t="str">
        <f t="shared" si="1585"/>
        <v>Inbetriebnahme 2012</v>
      </c>
      <c r="D3955" s="283" t="str">
        <f t="shared" si="1586"/>
        <v>0,5-5 MW, Bonusregel G1</v>
      </c>
      <c r="E3955" s="283"/>
      <c r="F3955" s="465">
        <f t="shared" si="1587"/>
        <v>8.89</v>
      </c>
      <c r="G3955" s="541">
        <v>8.89</v>
      </c>
      <c r="H3955" s="497">
        <f t="shared" si="1573"/>
        <v>7.11</v>
      </c>
      <c r="I3955" s="719"/>
      <c r="J3955" s="669" t="s">
        <v>5805</v>
      </c>
      <c r="K3955" s="23"/>
      <c r="L3955" s="70" t="str">
        <f t="shared" si="1588"/>
        <v/>
      </c>
      <c r="M3955" s="49">
        <f t="shared" si="1589"/>
        <v>8.89</v>
      </c>
      <c r="N3955" s="41">
        <f>N3954</f>
        <v>5.89</v>
      </c>
      <c r="O3955" s="228" t="s">
        <v>1017</v>
      </c>
      <c r="P3955" s="29"/>
      <c r="Q3955" s="50"/>
      <c r="AG3955" s="92"/>
      <c r="AH3955" s="253" t="s">
        <v>5408</v>
      </c>
      <c r="AK3955" t="str">
        <f t="shared" si="1590"/>
        <v>G1</v>
      </c>
      <c r="AL3955" t="str">
        <f t="shared" si="1590"/>
        <v/>
      </c>
      <c r="AM3955" t="str">
        <f t="shared" si="1590"/>
        <v/>
      </c>
      <c r="AN3955" t="str">
        <f t="shared" si="1591"/>
        <v>G1</v>
      </c>
      <c r="AO3955" s="254" t="str">
        <f>"BiK27a1"&amp;AN3955&amp;RIGHT("-----",5-LEN(AN3955))&amp;RIGHT($M$3278,2)</f>
        <v>BiK27a1G1---12</v>
      </c>
      <c r="AP3955">
        <f t="shared" si="1592"/>
        <v>14</v>
      </c>
      <c r="AQ3955" t="str">
        <f t="shared" si="1593"/>
        <v>0,5-5 MW, Bonusregel G1</v>
      </c>
      <c r="AR3955" t="str">
        <f>IF(COUNTA(#REF!)&gt;1,"Fehler ESVK",IF(COUNTA(O3955:Q3955)&gt;1,"Fehler GAB",IF(AP3955&lt;&gt;14,"Fehler Kategorie","")))</f>
        <v/>
      </c>
    </row>
    <row r="3956" spans="1:51" x14ac:dyDescent="0.25">
      <c r="A3956" s="613" t="str">
        <f>"KlK251"&amp;AN3956&amp;RIGHT("------",6-LEN(AN3956))&amp;RIGHT($M3949,2)</f>
        <v>KlK251G2----12</v>
      </c>
      <c r="B3956" s="283" t="s">
        <v>5411</v>
      </c>
      <c r="C3956" s="284" t="str">
        <f t="shared" si="1585"/>
        <v>Inbetriebnahme 2012</v>
      </c>
      <c r="D3956" s="283" t="str">
        <f t="shared" si="1586"/>
        <v>0,5-5 MW, Bonusregel G2</v>
      </c>
      <c r="E3956" s="283"/>
      <c r="F3956" s="465">
        <f t="shared" si="1587"/>
        <v>7.89</v>
      </c>
      <c r="G3956" s="541">
        <v>7.89</v>
      </c>
      <c r="H3956" s="497">
        <f t="shared" si="1573"/>
        <v>6.31</v>
      </c>
      <c r="I3956" s="719"/>
      <c r="J3956" s="669" t="s">
        <v>5805</v>
      </c>
      <c r="K3956" s="23"/>
      <c r="L3956" s="70" t="str">
        <f t="shared" si="1588"/>
        <v/>
      </c>
      <c r="M3956" s="49">
        <f t="shared" si="1589"/>
        <v>7.89</v>
      </c>
      <c r="N3956" s="41">
        <f>N3955</f>
        <v>5.89</v>
      </c>
      <c r="O3956" s="228"/>
      <c r="P3956" s="29" t="s">
        <v>1017</v>
      </c>
      <c r="Q3956" s="50"/>
      <c r="AG3956" s="92"/>
      <c r="AH3956" s="253" t="s">
        <v>5408</v>
      </c>
      <c r="AK3956" t="str">
        <f t="shared" si="1590"/>
        <v/>
      </c>
      <c r="AL3956" t="str">
        <f t="shared" si="1590"/>
        <v>G2</v>
      </c>
      <c r="AM3956" t="str">
        <f t="shared" si="1590"/>
        <v/>
      </c>
      <c r="AN3956" t="str">
        <f t="shared" si="1591"/>
        <v>G2</v>
      </c>
      <c r="AO3956" s="254" t="str">
        <f>"BiK27a1"&amp;AN3956&amp;RIGHT("-----",5-LEN(AN3956))&amp;RIGHT($M$3278,2)</f>
        <v>BiK27a1G2---12</v>
      </c>
      <c r="AP3956">
        <f t="shared" si="1592"/>
        <v>14</v>
      </c>
      <c r="AQ3956" t="str">
        <f t="shared" si="1593"/>
        <v>0,5-5 MW, Bonusregel G2</v>
      </c>
      <c r="AR3956" t="str">
        <f>IF(COUNTA(#REF!)&gt;1,"Fehler ESVK",IF(COUNTA(O3956:Q3956)&gt;1,"Fehler GAB",IF(AP3956&lt;&gt;14,"Fehler Kategorie","")))</f>
        <v/>
      </c>
    </row>
    <row r="3957" spans="1:51" x14ac:dyDescent="0.25">
      <c r="A3957" s="613" t="str">
        <f>"KlK251"&amp;AN3957&amp;RIGHT("------",6-LEN(AN3957))&amp;RIGHT($M3949,2)</f>
        <v>KlK251G3----12</v>
      </c>
      <c r="B3957" s="283" t="s">
        <v>5411</v>
      </c>
      <c r="C3957" s="284" t="str">
        <f t="shared" si="1585"/>
        <v>Inbetriebnahme 2012</v>
      </c>
      <c r="D3957" s="283" t="str">
        <f t="shared" si="1586"/>
        <v>0,5-5 MW, Bonusregel G3</v>
      </c>
      <c r="E3957" s="283"/>
      <c r="F3957" s="465">
        <f t="shared" si="1587"/>
        <v>6.89</v>
      </c>
      <c r="G3957" s="541">
        <v>6.89</v>
      </c>
      <c r="H3957" s="497">
        <f t="shared" si="1573"/>
        <v>5.51</v>
      </c>
      <c r="I3957" s="719"/>
      <c r="J3957" s="669" t="s">
        <v>5805</v>
      </c>
      <c r="K3957" s="23"/>
      <c r="L3957" s="70" t="str">
        <f t="shared" si="1588"/>
        <v/>
      </c>
      <c r="M3957" s="59">
        <f t="shared" si="1589"/>
        <v>6.89</v>
      </c>
      <c r="N3957" s="40">
        <f>N3956</f>
        <v>5.89</v>
      </c>
      <c r="O3957" s="356"/>
      <c r="P3957" s="357"/>
      <c r="Q3957" s="111" t="s">
        <v>1017</v>
      </c>
      <c r="AG3957" s="92"/>
      <c r="AH3957" s="253" t="s">
        <v>5408</v>
      </c>
      <c r="AK3957" t="str">
        <f t="shared" si="1590"/>
        <v/>
      </c>
      <c r="AL3957" t="str">
        <f t="shared" si="1590"/>
        <v/>
      </c>
      <c r="AM3957" t="str">
        <f t="shared" si="1590"/>
        <v>G3</v>
      </c>
      <c r="AN3957" t="str">
        <f t="shared" si="1591"/>
        <v>G3</v>
      </c>
      <c r="AO3957" s="254" t="str">
        <f>"BiK27a1"&amp;AN3957&amp;RIGHT("-----",5-LEN(AN3957))&amp;RIGHT($M$3278,2)</f>
        <v>BiK27a1G3---12</v>
      </c>
      <c r="AP3957">
        <f t="shared" si="1592"/>
        <v>14</v>
      </c>
      <c r="AQ3957" t="str">
        <f t="shared" si="1593"/>
        <v>0,5-5 MW, Bonusregel G3</v>
      </c>
      <c r="AR3957" t="str">
        <f>IF(COUNTA(#REF!)&gt;1,"Fehler ESVK",IF(COUNTA(O3957:Q3957)&gt;1,"Fehler GAB",IF(AP3957&lt;&gt;14,"Fehler Kategorie","")))</f>
        <v/>
      </c>
    </row>
    <row r="3958" spans="1:51" x14ac:dyDescent="0.25">
      <c r="A3958" s="609"/>
      <c r="B3958" s="1"/>
      <c r="C3958" s="1"/>
      <c r="D3958" s="2"/>
      <c r="E3958" s="1"/>
      <c r="F3958" s="457"/>
      <c r="G3958" s="532"/>
      <c r="H3958" s="490" t="str">
        <f t="shared" si="1573"/>
        <v/>
      </c>
      <c r="I3958" s="709"/>
      <c r="J3958" s="669" t="s">
        <v>4180</v>
      </c>
      <c r="L3958" s="71"/>
      <c r="M3958" s="355">
        <v>2013</v>
      </c>
      <c r="N3958" s="40"/>
      <c r="O3958" s="45">
        <f>ROUND(S3958,2)</f>
        <v>2.96</v>
      </c>
      <c r="P3958" s="40">
        <f>ROUND(T3958,2)</f>
        <v>1.97</v>
      </c>
      <c r="Q3958" s="52">
        <f>ROUND(U3958,2)</f>
        <v>0.99</v>
      </c>
      <c r="R3958" s="275">
        <v>1.4999999999999999E-2</v>
      </c>
      <c r="S3958" s="414">
        <f>O3949*(1-$R$3958)</f>
        <v>2.9550000000000001</v>
      </c>
      <c r="T3958" s="414">
        <f>P3949*(1-$R$3958)</f>
        <v>1.97</v>
      </c>
      <c r="U3958" s="414">
        <f>Q3949*(1-$R$3958)</f>
        <v>0.98499999999999999</v>
      </c>
      <c r="V3958" s="205" t="str">
        <f xml:space="preserve"> "Bonushöhe bei Inbetriebnahme in " &amp; M3958</f>
        <v>Bonushöhe bei Inbetriebnahme in 2013</v>
      </c>
      <c r="W3958" s="41"/>
      <c r="X3958" s="41"/>
      <c r="Y3958" s="41"/>
      <c r="Z3958" s="41"/>
      <c r="AA3958" s="41"/>
      <c r="AB3958" s="41"/>
      <c r="AC3958" s="41"/>
      <c r="AD3958" s="41"/>
      <c r="AE3958" s="41"/>
      <c r="AF3958" s="41"/>
      <c r="AG3958" s="41"/>
      <c r="AK3958" t="s">
        <v>1740</v>
      </c>
      <c r="AL3958" t="s">
        <v>1741</v>
      </c>
      <c r="AM3958" t="s">
        <v>1742</v>
      </c>
      <c r="AN3958" t="s">
        <v>1764</v>
      </c>
      <c r="AO3958" t="s">
        <v>1765</v>
      </c>
      <c r="AP3958" t="s">
        <v>1766</v>
      </c>
      <c r="AQ3958" t="s">
        <v>669</v>
      </c>
      <c r="AR3958" t="s">
        <v>1763</v>
      </c>
    </row>
    <row r="3959" spans="1:51" x14ac:dyDescent="0.25">
      <c r="A3959" s="615" t="str">
        <f>"KlK250"&amp;AN3959&amp;RIGHT("------",6-LEN(AN3959))&amp;RIGHT($M3958,2)</f>
        <v>KlK250------13</v>
      </c>
      <c r="B3959" s="372" t="s">
        <v>5411</v>
      </c>
      <c r="C3959" s="375" t="str">
        <f t="shared" ref="C3959:C3966" si="1594">"Inbetriebnahme "&amp;$M$3958</f>
        <v>Inbetriebnahme 2013</v>
      </c>
      <c r="D3959" s="372" t="str">
        <f t="shared" ref="D3959:D3966" si="1595">IF(COUNTA(O3959:Q3959)=0,AH3959,AH3959&amp;", Bonusregel "&amp;AN3959)</f>
        <v>0-0,5 MW</v>
      </c>
      <c r="E3959" s="372"/>
      <c r="F3959" s="459">
        <f t="shared" ref="F3959:F3966" si="1596">M3959</f>
        <v>6.69</v>
      </c>
      <c r="G3959" s="535">
        <v>6.69</v>
      </c>
      <c r="H3959" s="493">
        <f t="shared" si="1573"/>
        <v>5.35</v>
      </c>
      <c r="I3959" s="712"/>
      <c r="J3959" s="669" t="s">
        <v>5805</v>
      </c>
      <c r="K3959" s="23"/>
      <c r="L3959" s="70" t="str">
        <f t="shared" ref="L3959:L3966" si="1597">IF(F3959=M3959,"",FALSE)</f>
        <v/>
      </c>
      <c r="M3959" s="49">
        <f t="shared" ref="M3959:M3966" si="1598">ROUND(N3959,2)+SUMIF(O3959:Q3959,"x",$O$3958:$Q$3958)</f>
        <v>6.69</v>
      </c>
      <c r="N3959" s="41">
        <f t="shared" ref="N3959:N3966" si="1599">N3950*(1-$R$3958)</f>
        <v>6.6881500000000003</v>
      </c>
      <c r="O3959" s="60"/>
      <c r="P3959" s="29"/>
      <c r="Q3959" s="62"/>
      <c r="AG3959" s="92"/>
      <c r="AH3959" s="253" t="s">
        <v>5407</v>
      </c>
      <c r="AK3959" t="str">
        <f t="shared" ref="AK3959:AM3966" si="1600">IF(O3959="x",V$3280,"")</f>
        <v/>
      </c>
      <c r="AL3959" t="str">
        <f t="shared" si="1600"/>
        <v/>
      </c>
      <c r="AM3959" t="str">
        <f t="shared" si="1600"/>
        <v/>
      </c>
      <c r="AN3959" t="str">
        <f t="shared" ref="AN3959:AN3966" si="1601">AK3959&amp;AL3959&amp;AM3959</f>
        <v/>
      </c>
      <c r="AO3959" s="254" t="str">
        <f>"BiK27a0"&amp;AN3959&amp;RIGHT("-----",5-LEN(AN3959))&amp;RIGHT($M$3958,2)</f>
        <v>BiK27a0-----13</v>
      </c>
      <c r="AP3959">
        <f t="shared" ref="AP3959:AP3966" si="1602">LEN(AO3959)</f>
        <v>14</v>
      </c>
      <c r="AQ3959" t="str">
        <f t="shared" ref="AQ3959:AQ3966" si="1603">IF(COUNTA(O3959:Q3959)=0,AH3959,AH3959&amp;", Bonusregel "&amp;AN3959)</f>
        <v>0-0,5 MW</v>
      </c>
      <c r="AR3959" t="str">
        <f>IF(COUNTA(#REF!)&gt;1,"Fehler ESVK",IF(COUNTA(O3959:Q3959)&gt;1,"Fehler GAB",IF(AP3959&lt;&gt;14,"Fehler Kategorie","")))</f>
        <v/>
      </c>
      <c r="AS3959" t="str">
        <f>SUBSTITUTE(AN3959,", ","")</f>
        <v/>
      </c>
    </row>
    <row r="3960" spans="1:51" x14ac:dyDescent="0.25">
      <c r="A3960" s="615" t="str">
        <f>"KlK250"&amp;AN3960&amp;RIGHT("------",6-LEN(AN3960))&amp;RIGHT($M3958,2)</f>
        <v>KlK250G1----13</v>
      </c>
      <c r="B3960" s="372" t="s">
        <v>5411</v>
      </c>
      <c r="C3960" s="375" t="str">
        <f t="shared" si="1594"/>
        <v>Inbetriebnahme 2013</v>
      </c>
      <c r="D3960" s="372" t="str">
        <f t="shared" si="1595"/>
        <v>0-0,5 MW, Bonusregel G1</v>
      </c>
      <c r="E3960" s="372"/>
      <c r="F3960" s="459">
        <f t="shared" si="1596"/>
        <v>9.65</v>
      </c>
      <c r="G3960" s="535">
        <v>9.65</v>
      </c>
      <c r="H3960" s="493">
        <f t="shared" si="1573"/>
        <v>7.72</v>
      </c>
      <c r="I3960" s="712"/>
      <c r="J3960" s="669" t="s">
        <v>5805</v>
      </c>
      <c r="K3960" s="23"/>
      <c r="L3960" s="70" t="str">
        <f t="shared" si="1597"/>
        <v/>
      </c>
      <c r="M3960" s="49">
        <f t="shared" si="1598"/>
        <v>9.65</v>
      </c>
      <c r="N3960" s="41">
        <f t="shared" si="1599"/>
        <v>6.6881500000000003</v>
      </c>
      <c r="O3960" s="228" t="s">
        <v>1017</v>
      </c>
      <c r="P3960" s="29"/>
      <c r="Q3960" s="50"/>
      <c r="AG3960" s="92"/>
      <c r="AH3960" s="253" t="s">
        <v>5407</v>
      </c>
      <c r="AK3960" t="str">
        <f t="shared" si="1600"/>
        <v>G1</v>
      </c>
      <c r="AL3960" t="str">
        <f t="shared" si="1600"/>
        <v/>
      </c>
      <c r="AM3960" t="str">
        <f t="shared" si="1600"/>
        <v/>
      </c>
      <c r="AN3960" t="str">
        <f t="shared" si="1601"/>
        <v>G1</v>
      </c>
      <c r="AO3960" s="254" t="str">
        <f>"BiK27a0"&amp;AN3960&amp;RIGHT("-----",5-LEN(AN3960))&amp;RIGHT($M$3958,2)</f>
        <v>BiK27a0G1---13</v>
      </c>
      <c r="AP3960">
        <f t="shared" si="1602"/>
        <v>14</v>
      </c>
      <c r="AQ3960" t="str">
        <f t="shared" si="1603"/>
        <v>0-0,5 MW, Bonusregel G1</v>
      </c>
      <c r="AR3960" t="str">
        <f>IF(COUNTA(#REF!)&gt;1,"Fehler ESVK",IF(COUNTA(O3960:Q3960)&gt;1,"Fehler GAB",IF(AP3960&lt;&gt;14,"Fehler Kategorie","")))</f>
        <v/>
      </c>
    </row>
    <row r="3961" spans="1:51" x14ac:dyDescent="0.25">
      <c r="A3961" s="615" t="str">
        <f>"KlK250"&amp;AN3961&amp;RIGHT("------",6-LEN(AN3961))&amp;RIGHT($M3958,2)</f>
        <v>KlK250G2----13</v>
      </c>
      <c r="B3961" s="372" t="s">
        <v>5411</v>
      </c>
      <c r="C3961" s="375" t="str">
        <f t="shared" si="1594"/>
        <v>Inbetriebnahme 2013</v>
      </c>
      <c r="D3961" s="372" t="str">
        <f t="shared" si="1595"/>
        <v>0-0,5 MW, Bonusregel G2</v>
      </c>
      <c r="E3961" s="372"/>
      <c r="F3961" s="459">
        <f t="shared" si="1596"/>
        <v>8.66</v>
      </c>
      <c r="G3961" s="535">
        <v>8.66</v>
      </c>
      <c r="H3961" s="493">
        <f t="shared" si="1573"/>
        <v>6.93</v>
      </c>
      <c r="I3961" s="712"/>
      <c r="J3961" s="669" t="s">
        <v>5805</v>
      </c>
      <c r="K3961" s="23"/>
      <c r="L3961" s="70" t="str">
        <f t="shared" si="1597"/>
        <v/>
      </c>
      <c r="M3961" s="49">
        <f t="shared" si="1598"/>
        <v>8.66</v>
      </c>
      <c r="N3961" s="41">
        <f t="shared" si="1599"/>
        <v>6.6881500000000003</v>
      </c>
      <c r="O3961" s="228"/>
      <c r="P3961" s="29" t="s">
        <v>1017</v>
      </c>
      <c r="Q3961" s="50"/>
      <c r="AG3961" s="92"/>
      <c r="AH3961" s="253" t="s">
        <v>5407</v>
      </c>
      <c r="AK3961" t="str">
        <f t="shared" si="1600"/>
        <v/>
      </c>
      <c r="AL3961" t="str">
        <f t="shared" si="1600"/>
        <v>G2</v>
      </c>
      <c r="AM3961" t="str">
        <f t="shared" si="1600"/>
        <v/>
      </c>
      <c r="AN3961" t="str">
        <f t="shared" si="1601"/>
        <v>G2</v>
      </c>
      <c r="AO3961" s="254" t="str">
        <f>"BiK27a0"&amp;AN3961&amp;RIGHT("-----",5-LEN(AN3961))&amp;RIGHT($M$3958,2)</f>
        <v>BiK27a0G2---13</v>
      </c>
      <c r="AP3961">
        <f t="shared" si="1602"/>
        <v>14</v>
      </c>
      <c r="AQ3961" t="str">
        <f t="shared" si="1603"/>
        <v>0-0,5 MW, Bonusregel G2</v>
      </c>
      <c r="AR3961" t="str">
        <f>IF(COUNTA(#REF!)&gt;1,"Fehler ESVK",IF(COUNTA(O3961:Q3961)&gt;1,"Fehler GAB",IF(AP3961&lt;&gt;14,"Fehler Kategorie","")))</f>
        <v/>
      </c>
    </row>
    <row r="3962" spans="1:51" x14ac:dyDescent="0.25">
      <c r="A3962" s="615" t="str">
        <f>"KlK250"&amp;AN3962&amp;RIGHT("------",6-LEN(AN3962))&amp;RIGHT($M3958,2)</f>
        <v>KlK250G3----13</v>
      </c>
      <c r="B3962" s="372" t="s">
        <v>5411</v>
      </c>
      <c r="C3962" s="375" t="str">
        <f t="shared" si="1594"/>
        <v>Inbetriebnahme 2013</v>
      </c>
      <c r="D3962" s="372" t="str">
        <f t="shared" si="1595"/>
        <v>0-0,5 MW, Bonusregel G3</v>
      </c>
      <c r="E3962" s="372"/>
      <c r="F3962" s="459">
        <f t="shared" si="1596"/>
        <v>7.6800000000000006</v>
      </c>
      <c r="G3962" s="535">
        <v>7.6800000000000006</v>
      </c>
      <c r="H3962" s="493">
        <f t="shared" si="1573"/>
        <v>6.14</v>
      </c>
      <c r="I3962" s="712"/>
      <c r="J3962" s="669" t="s">
        <v>5805</v>
      </c>
      <c r="K3962" s="23"/>
      <c r="L3962" s="70" t="str">
        <f t="shared" si="1597"/>
        <v/>
      </c>
      <c r="M3962" s="49">
        <f t="shared" si="1598"/>
        <v>7.6800000000000006</v>
      </c>
      <c r="N3962" s="41">
        <f t="shared" si="1599"/>
        <v>6.6881500000000003</v>
      </c>
      <c r="O3962" s="228"/>
      <c r="P3962" s="29"/>
      <c r="Q3962" s="50" t="s">
        <v>1017</v>
      </c>
      <c r="T3962" s="92"/>
      <c r="AG3962" s="92"/>
      <c r="AH3962" s="253" t="s">
        <v>5407</v>
      </c>
      <c r="AK3962" t="str">
        <f t="shared" si="1600"/>
        <v/>
      </c>
      <c r="AL3962" t="str">
        <f t="shared" si="1600"/>
        <v/>
      </c>
      <c r="AM3962" t="str">
        <f t="shared" si="1600"/>
        <v>G3</v>
      </c>
      <c r="AN3962" t="str">
        <f t="shared" si="1601"/>
        <v>G3</v>
      </c>
      <c r="AO3962" s="254" t="str">
        <f>"BiK27a0"&amp;AN3962&amp;RIGHT("-----",5-LEN(AN3962))&amp;RIGHT($M$3958,2)</f>
        <v>BiK27a0G3---13</v>
      </c>
      <c r="AP3962">
        <f t="shared" si="1602"/>
        <v>14</v>
      </c>
      <c r="AQ3962" t="str">
        <f t="shared" si="1603"/>
        <v>0-0,5 MW, Bonusregel G3</v>
      </c>
      <c r="AR3962" t="str">
        <f>IF(COUNTA(#REF!)&gt;1,"Fehler ESVK",IF(COUNTA(O3962:Q3962)&gt;1,"Fehler GAB",IF(AP3962&lt;&gt;14,"Fehler Kategorie","")))</f>
        <v/>
      </c>
    </row>
    <row r="3963" spans="1:51" x14ac:dyDescent="0.25">
      <c r="A3963" s="615" t="str">
        <f>"KlK251"&amp;AN3963&amp;RIGHT("------",6-LEN(AN3963))&amp;RIGHT($M3958,2)</f>
        <v>KlK251------13</v>
      </c>
      <c r="B3963" s="372" t="s">
        <v>5411</v>
      </c>
      <c r="C3963" s="375" t="str">
        <f t="shared" si="1594"/>
        <v>Inbetriebnahme 2013</v>
      </c>
      <c r="D3963" s="372" t="str">
        <f t="shared" si="1595"/>
        <v>0,5-5 MW</v>
      </c>
      <c r="E3963" s="372"/>
      <c r="F3963" s="459">
        <f t="shared" si="1596"/>
        <v>5.8</v>
      </c>
      <c r="G3963" s="535">
        <v>5.8</v>
      </c>
      <c r="H3963" s="493">
        <f t="shared" si="1573"/>
        <v>4.6399999999999997</v>
      </c>
      <c r="I3963" s="712"/>
      <c r="J3963" s="669" t="s">
        <v>5805</v>
      </c>
      <c r="K3963" s="23"/>
      <c r="L3963" s="70" t="str">
        <f t="shared" si="1597"/>
        <v/>
      </c>
      <c r="M3963" s="49">
        <f t="shared" si="1598"/>
        <v>5.8</v>
      </c>
      <c r="N3963" s="41">
        <f t="shared" si="1599"/>
        <v>5.8016499999999995</v>
      </c>
      <c r="O3963" s="228"/>
      <c r="P3963" s="29"/>
      <c r="Q3963" s="50"/>
      <c r="T3963" s="92"/>
      <c r="U3963" s="92"/>
      <c r="AG3963" s="92"/>
      <c r="AH3963" s="253" t="s">
        <v>5408</v>
      </c>
      <c r="AK3963" t="str">
        <f t="shared" si="1600"/>
        <v/>
      </c>
      <c r="AL3963" t="str">
        <f t="shared" si="1600"/>
        <v/>
      </c>
      <c r="AM3963" t="str">
        <f t="shared" si="1600"/>
        <v/>
      </c>
      <c r="AN3963" t="str">
        <f t="shared" si="1601"/>
        <v/>
      </c>
      <c r="AO3963" s="254" t="str">
        <f>"BiK27a1"&amp;AN3963&amp;RIGHT("-----",5-LEN(AN3963))&amp;RIGHT($M$3958,2)</f>
        <v>BiK27a1-----13</v>
      </c>
      <c r="AP3963">
        <f t="shared" si="1602"/>
        <v>14</v>
      </c>
      <c r="AQ3963" t="str">
        <f t="shared" si="1603"/>
        <v>0,5-5 MW</v>
      </c>
      <c r="AR3963" t="str">
        <f>IF(COUNTA(#REF!)&gt;1,"Fehler ESVK",IF(COUNTA(O3963:Q3963)&gt;1,"Fehler GAB",IF(AP3963&lt;&gt;14,"Fehler Kategorie","")))</f>
        <v/>
      </c>
    </row>
    <row r="3964" spans="1:51" x14ac:dyDescent="0.25">
      <c r="A3964" s="615" t="str">
        <f>"KlK251"&amp;AN3964&amp;RIGHT("------",6-LEN(AN3964))&amp;RIGHT($M3958,2)</f>
        <v>KlK251G1----13</v>
      </c>
      <c r="B3964" s="372" t="s">
        <v>5411</v>
      </c>
      <c r="C3964" s="375" t="str">
        <f t="shared" si="1594"/>
        <v>Inbetriebnahme 2013</v>
      </c>
      <c r="D3964" s="372" t="str">
        <f t="shared" si="1595"/>
        <v>0,5-5 MW, Bonusregel G1</v>
      </c>
      <c r="E3964" s="372"/>
      <c r="F3964" s="459">
        <f t="shared" si="1596"/>
        <v>8.76</v>
      </c>
      <c r="G3964" s="535">
        <v>8.76</v>
      </c>
      <c r="H3964" s="493">
        <f t="shared" si="1573"/>
        <v>7.01</v>
      </c>
      <c r="I3964" s="712"/>
      <c r="J3964" s="669" t="s">
        <v>5805</v>
      </c>
      <c r="K3964" s="23"/>
      <c r="L3964" s="70" t="str">
        <f t="shared" si="1597"/>
        <v/>
      </c>
      <c r="M3964" s="49">
        <f t="shared" si="1598"/>
        <v>8.76</v>
      </c>
      <c r="N3964" s="41">
        <f t="shared" si="1599"/>
        <v>5.8016499999999995</v>
      </c>
      <c r="O3964" s="228" t="s">
        <v>1017</v>
      </c>
      <c r="P3964" s="29"/>
      <c r="Q3964" s="50"/>
      <c r="AG3964" s="92"/>
      <c r="AH3964" s="253" t="s">
        <v>5408</v>
      </c>
      <c r="AK3964" t="str">
        <f t="shared" si="1600"/>
        <v>G1</v>
      </c>
      <c r="AL3964" t="str">
        <f t="shared" si="1600"/>
        <v/>
      </c>
      <c r="AM3964" t="str">
        <f t="shared" si="1600"/>
        <v/>
      </c>
      <c r="AN3964" t="str">
        <f t="shared" si="1601"/>
        <v>G1</v>
      </c>
      <c r="AO3964" s="254" t="str">
        <f>"BiK27a1"&amp;AN3964&amp;RIGHT("-----",5-LEN(AN3964))&amp;RIGHT($M$3958,2)</f>
        <v>BiK27a1G1---13</v>
      </c>
      <c r="AP3964">
        <f t="shared" si="1602"/>
        <v>14</v>
      </c>
      <c r="AQ3964" t="str">
        <f t="shared" si="1603"/>
        <v>0,5-5 MW, Bonusregel G1</v>
      </c>
      <c r="AR3964" t="str">
        <f>IF(COUNTA(#REF!)&gt;1,"Fehler ESVK",IF(COUNTA(O3964:Q3964)&gt;1,"Fehler GAB",IF(AP3964&lt;&gt;14,"Fehler Kategorie","")))</f>
        <v/>
      </c>
    </row>
    <row r="3965" spans="1:51" x14ac:dyDescent="0.25">
      <c r="A3965" s="615" t="str">
        <f>"KlK251"&amp;AN3965&amp;RIGHT("------",6-LEN(AN3965))&amp;RIGHT($M3958,2)</f>
        <v>KlK251G2----13</v>
      </c>
      <c r="B3965" s="372" t="s">
        <v>5411</v>
      </c>
      <c r="C3965" s="375" t="str">
        <f t="shared" si="1594"/>
        <v>Inbetriebnahme 2013</v>
      </c>
      <c r="D3965" s="372" t="str">
        <f t="shared" si="1595"/>
        <v>0,5-5 MW, Bonusregel G2</v>
      </c>
      <c r="E3965" s="372"/>
      <c r="F3965" s="459">
        <f t="shared" si="1596"/>
        <v>7.77</v>
      </c>
      <c r="G3965" s="535">
        <v>7.77</v>
      </c>
      <c r="H3965" s="493">
        <f t="shared" si="1573"/>
        <v>6.22</v>
      </c>
      <c r="I3965" s="712"/>
      <c r="J3965" s="669" t="s">
        <v>5805</v>
      </c>
      <c r="K3965" s="23"/>
      <c r="L3965" s="70" t="str">
        <f t="shared" si="1597"/>
        <v/>
      </c>
      <c r="M3965" s="49">
        <f t="shared" si="1598"/>
        <v>7.77</v>
      </c>
      <c r="N3965" s="41">
        <f t="shared" si="1599"/>
        <v>5.8016499999999995</v>
      </c>
      <c r="O3965" s="228"/>
      <c r="P3965" s="29" t="s">
        <v>1017</v>
      </c>
      <c r="Q3965" s="50"/>
      <c r="AG3965" s="92"/>
      <c r="AH3965" s="253" t="s">
        <v>5408</v>
      </c>
      <c r="AK3965" t="str">
        <f t="shared" si="1600"/>
        <v/>
      </c>
      <c r="AL3965" t="str">
        <f t="shared" si="1600"/>
        <v>G2</v>
      </c>
      <c r="AM3965" t="str">
        <f t="shared" si="1600"/>
        <v/>
      </c>
      <c r="AN3965" t="str">
        <f t="shared" si="1601"/>
        <v>G2</v>
      </c>
      <c r="AO3965" s="254" t="str">
        <f>"BiK27a1"&amp;AN3965&amp;RIGHT("-----",5-LEN(AN3965))&amp;RIGHT($M$3958,2)</f>
        <v>BiK27a1G2---13</v>
      </c>
      <c r="AP3965">
        <f t="shared" si="1602"/>
        <v>14</v>
      </c>
      <c r="AQ3965" t="str">
        <f t="shared" si="1603"/>
        <v>0,5-5 MW, Bonusregel G2</v>
      </c>
      <c r="AR3965" t="str">
        <f>IF(COUNTA(#REF!)&gt;1,"Fehler ESVK",IF(COUNTA(O3965:Q3965)&gt;1,"Fehler GAB",IF(AP3965&lt;&gt;14,"Fehler Kategorie","")))</f>
        <v/>
      </c>
    </row>
    <row r="3966" spans="1:51" x14ac:dyDescent="0.25">
      <c r="A3966" s="615" t="str">
        <f>"KlK251"&amp;AN3966&amp;RIGHT("------",6-LEN(AN3966))&amp;RIGHT($M3958,2)</f>
        <v>KlK251G3----13</v>
      </c>
      <c r="B3966" s="372" t="s">
        <v>5411</v>
      </c>
      <c r="C3966" s="375" t="str">
        <f t="shared" si="1594"/>
        <v>Inbetriebnahme 2013</v>
      </c>
      <c r="D3966" s="372" t="str">
        <f t="shared" si="1595"/>
        <v>0,5-5 MW, Bonusregel G3</v>
      </c>
      <c r="E3966" s="372"/>
      <c r="F3966" s="459">
        <f t="shared" si="1596"/>
        <v>6.79</v>
      </c>
      <c r="G3966" s="535">
        <v>6.79</v>
      </c>
      <c r="H3966" s="493">
        <f t="shared" si="1573"/>
        <v>5.43</v>
      </c>
      <c r="I3966" s="712"/>
      <c r="J3966" s="669" t="s">
        <v>5805</v>
      </c>
      <c r="K3966" s="23"/>
      <c r="L3966" s="70" t="str">
        <f t="shared" si="1597"/>
        <v/>
      </c>
      <c r="M3966" s="59">
        <f t="shared" si="1598"/>
        <v>6.79</v>
      </c>
      <c r="N3966" s="40">
        <f t="shared" si="1599"/>
        <v>5.8016499999999995</v>
      </c>
      <c r="O3966" s="356"/>
      <c r="P3966" s="357"/>
      <c r="Q3966" s="111" t="s">
        <v>1017</v>
      </c>
      <c r="AG3966" s="92"/>
      <c r="AH3966" s="253" t="s">
        <v>5408</v>
      </c>
      <c r="AK3966" t="str">
        <f t="shared" si="1600"/>
        <v/>
      </c>
      <c r="AL3966" t="str">
        <f t="shared" si="1600"/>
        <v/>
      </c>
      <c r="AM3966" t="str">
        <f t="shared" si="1600"/>
        <v>G3</v>
      </c>
      <c r="AN3966" t="str">
        <f t="shared" si="1601"/>
        <v>G3</v>
      </c>
      <c r="AO3966" s="254" t="str">
        <f>"BiK27a1"&amp;AN3966&amp;RIGHT("-----",5-LEN(AN3966))&amp;RIGHT($M$3958,2)</f>
        <v>BiK27a1G3---13</v>
      </c>
      <c r="AP3966">
        <f t="shared" si="1602"/>
        <v>14</v>
      </c>
      <c r="AQ3966" t="str">
        <f t="shared" si="1603"/>
        <v>0,5-5 MW, Bonusregel G3</v>
      </c>
      <c r="AR3966" t="str">
        <f>IF(COUNTA(#REF!)&gt;1,"Fehler ESVK",IF(COUNTA(O3966:Q3966)&gt;1,"Fehler GAB",IF(AP3966&lt;&gt;14,"Fehler Kategorie","")))</f>
        <v/>
      </c>
    </row>
    <row r="3967" spans="1:51" s="12" customFormat="1" x14ac:dyDescent="0.25">
      <c r="A3967" s="609"/>
      <c r="B3967" s="1"/>
      <c r="C3967" s="1"/>
      <c r="D3967" s="2"/>
      <c r="E3967" s="1"/>
      <c r="F3967" s="457"/>
      <c r="G3967" s="533"/>
      <c r="H3967" s="491" t="str">
        <f t="shared" si="1573"/>
        <v/>
      </c>
      <c r="I3967" s="710"/>
      <c r="J3967" s="669" t="s">
        <v>4180</v>
      </c>
      <c r="K3967"/>
      <c r="L3967" s="400"/>
      <c r="M3967" s="401">
        <v>2014</v>
      </c>
      <c r="N3967" s="40"/>
      <c r="O3967" s="45">
        <f>ROUND(S3967,2)</f>
        <v>2.91</v>
      </c>
      <c r="P3967" s="40">
        <f>ROUND(T3967,2)</f>
        <v>1.94</v>
      </c>
      <c r="Q3967" s="52">
        <f>ROUND(U3967,2)</f>
        <v>0.97</v>
      </c>
      <c r="R3967" s="395">
        <v>1.4999999999999999E-2</v>
      </c>
      <c r="S3967" s="414">
        <f>S3958*(1-$R$3967)</f>
        <v>2.9106749999999999</v>
      </c>
      <c r="T3967" s="414">
        <f>T3958*(1-$R$3967)</f>
        <v>1.94045</v>
      </c>
      <c r="U3967" s="414">
        <f>U3958*(1-$R$3967)</f>
        <v>0.970225</v>
      </c>
      <c r="V3967" s="205" t="str">
        <f xml:space="preserve"> "Bonushöhe bei Inbetriebnahme in " &amp; M3967</f>
        <v>Bonushöhe bei Inbetriebnahme in 2014</v>
      </c>
      <c r="W3967" s="41"/>
      <c r="X3967" s="41"/>
      <c r="Y3967" s="41"/>
      <c r="Z3967" s="41"/>
      <c r="AA3967" s="41"/>
      <c r="AB3967" s="41"/>
      <c r="AC3967" s="41"/>
      <c r="AD3967" s="41"/>
      <c r="AE3967" s="41"/>
      <c r="AF3967" s="41"/>
      <c r="AG3967" s="41"/>
      <c r="AH3967"/>
      <c r="AI3967"/>
      <c r="AJ3967"/>
      <c r="AK3967" t="s">
        <v>1740</v>
      </c>
      <c r="AL3967" t="s">
        <v>1741</v>
      </c>
      <c r="AM3967" t="s">
        <v>1742</v>
      </c>
      <c r="AN3967" t="s">
        <v>1764</v>
      </c>
      <c r="AO3967" t="s">
        <v>1765</v>
      </c>
      <c r="AP3967" t="s">
        <v>1766</v>
      </c>
      <c r="AQ3967" t="s">
        <v>669</v>
      </c>
      <c r="AR3967" t="s">
        <v>1763</v>
      </c>
      <c r="AS3967"/>
      <c r="AT3967"/>
      <c r="AU3967"/>
      <c r="AV3967"/>
      <c r="AW3967"/>
      <c r="AX3967"/>
      <c r="AY3967"/>
    </row>
    <row r="3968" spans="1:51" s="12" customFormat="1" x14ac:dyDescent="0.25">
      <c r="A3968" s="615" t="str">
        <f>"KlK250"&amp;AN3968&amp;RIGHT("------",6-LEN(AN3968))&amp;RIGHT($M3967,2)</f>
        <v>KlK250------14</v>
      </c>
      <c r="B3968" s="372" t="s">
        <v>5411</v>
      </c>
      <c r="C3968" s="375" t="str">
        <f t="shared" ref="C3968:C3975" si="1604">"Inbetriebnahme "&amp;$M$3967</f>
        <v>Inbetriebnahme 2014</v>
      </c>
      <c r="D3968" s="372" t="str">
        <f t="shared" ref="D3968:D3975" si="1605">IF(COUNTA(O3968:Q3968)=0,AH3968,AH3968&amp;", Bonusregel "&amp;AN3968)</f>
        <v>0-0,5 MW</v>
      </c>
      <c r="E3968" s="372"/>
      <c r="F3968" s="459">
        <f t="shared" ref="F3968:F3975" si="1606">M3968</f>
        <v>6.59</v>
      </c>
      <c r="G3968" s="544">
        <v>6.59</v>
      </c>
      <c r="H3968" s="500">
        <f t="shared" ref="H3968:H4031" si="1607">IF(ISNUMBER(G3968),ROUND(0.8*G3968,2),"")</f>
        <v>5.27</v>
      </c>
      <c r="I3968" s="714"/>
      <c r="J3968" s="669" t="s">
        <v>5805</v>
      </c>
      <c r="K3968" s="23"/>
      <c r="L3968" s="70" t="str">
        <f t="shared" ref="L3968:L3975" si="1608">IF(F3968=M3968,"",FALSE)</f>
        <v/>
      </c>
      <c r="M3968" s="387">
        <f t="shared" ref="M3968:M3975" si="1609">ROUND(N3968,2)+SUMIF(O3968:Q3968,"x",$O$3967:$Q$3967)</f>
        <v>6.59</v>
      </c>
      <c r="N3968" s="41">
        <f t="shared" ref="N3968:N3975" si="1610">N3959*(1-$R$3967)</f>
        <v>6.5878277499999998</v>
      </c>
      <c r="O3968" s="60"/>
      <c r="P3968" s="29"/>
      <c r="Q3968" s="62"/>
      <c r="R3968"/>
      <c r="S3968"/>
      <c r="T3968"/>
      <c r="U3968"/>
      <c r="V3968"/>
      <c r="W3968"/>
      <c r="X3968"/>
      <c r="Y3968"/>
      <c r="Z3968"/>
      <c r="AA3968"/>
      <c r="AB3968"/>
      <c r="AC3968"/>
      <c r="AD3968"/>
      <c r="AE3968"/>
      <c r="AF3968"/>
      <c r="AG3968" s="92"/>
      <c r="AH3968" s="35" t="s">
        <v>5407</v>
      </c>
      <c r="AI3968"/>
      <c r="AJ3968"/>
      <c r="AK3968" t="str">
        <f t="shared" ref="AK3968:AM3975" si="1611">IF(O3968="x",V$3280,"")</f>
        <v/>
      </c>
      <c r="AL3968" t="str">
        <f t="shared" si="1611"/>
        <v/>
      </c>
      <c r="AM3968" t="str">
        <f t="shared" si="1611"/>
        <v/>
      </c>
      <c r="AN3968" t="str">
        <f t="shared" ref="AN3968:AN3975" si="1612">AK3968&amp;AL3968&amp;AM3968</f>
        <v/>
      </c>
      <c r="AO3968" s="254" t="str">
        <f>"BiK27a0"&amp;AN3968&amp;RIGHT("-----",5-LEN(AN3968))&amp;RIGHT($M$3967,2)</f>
        <v>BiK27a0-----14</v>
      </c>
      <c r="AP3968">
        <f t="shared" ref="AP3968:AP3975" si="1613">LEN(AO3968)</f>
        <v>14</v>
      </c>
      <c r="AQ3968" t="str">
        <f t="shared" ref="AQ3968:AQ3975" si="1614">IF(COUNTA(O3968:Q3968)=0,AH3968,AH3968&amp;", Bonusregel "&amp;AN3968)</f>
        <v>0-0,5 MW</v>
      </c>
      <c r="AR3968" t="str">
        <f>IF(COUNTA(#REF!)&gt;1,"Fehler ESVK",IF(COUNTA(O3968:Q3968)&gt;1,"Fehler GAB",IF(AP3968&lt;&gt;14,"Fehler Kategorie","")))</f>
        <v/>
      </c>
      <c r="AS3968" t="str">
        <f>SUBSTITUTE(AN3968,", ","")</f>
        <v/>
      </c>
      <c r="AT3968"/>
      <c r="AU3968"/>
      <c r="AV3968"/>
      <c r="AW3968"/>
      <c r="AX3968"/>
      <c r="AY3968"/>
    </row>
    <row r="3969" spans="1:51" s="12" customFormat="1" x14ac:dyDescent="0.25">
      <c r="A3969" s="615" t="str">
        <f>"KlK250"&amp;AN3969&amp;RIGHT("------",6-LEN(AN3969))&amp;RIGHT($M3967,2)</f>
        <v>KlK250G1----14</v>
      </c>
      <c r="B3969" s="372" t="s">
        <v>5411</v>
      </c>
      <c r="C3969" s="375" t="str">
        <f t="shared" si="1604"/>
        <v>Inbetriebnahme 2014</v>
      </c>
      <c r="D3969" s="372" t="str">
        <f t="shared" si="1605"/>
        <v>0-0,5 MW, Bonusregel G1</v>
      </c>
      <c r="E3969" s="372"/>
      <c r="F3969" s="459">
        <f t="shared" si="1606"/>
        <v>9.5</v>
      </c>
      <c r="G3969" s="544">
        <v>9.5</v>
      </c>
      <c r="H3969" s="500">
        <f t="shared" si="1607"/>
        <v>7.6</v>
      </c>
      <c r="I3969" s="714"/>
      <c r="J3969" s="669" t="s">
        <v>5805</v>
      </c>
      <c r="K3969" s="23"/>
      <c r="L3969" s="70" t="str">
        <f t="shared" si="1608"/>
        <v/>
      </c>
      <c r="M3969" s="387">
        <f t="shared" si="1609"/>
        <v>9.5</v>
      </c>
      <c r="N3969" s="41">
        <f t="shared" si="1610"/>
        <v>6.5878277499999998</v>
      </c>
      <c r="O3969" s="43" t="s">
        <v>1017</v>
      </c>
      <c r="P3969" s="29"/>
      <c r="Q3969" s="50"/>
      <c r="R3969"/>
      <c r="S3969"/>
      <c r="T3969"/>
      <c r="U3969"/>
      <c r="V3969"/>
      <c r="W3969"/>
      <c r="X3969"/>
      <c r="Y3969"/>
      <c r="Z3969"/>
      <c r="AA3969"/>
      <c r="AB3969"/>
      <c r="AC3969"/>
      <c r="AD3969"/>
      <c r="AE3969"/>
      <c r="AF3969"/>
      <c r="AG3969" s="92"/>
      <c r="AH3969" s="35" t="s">
        <v>5407</v>
      </c>
      <c r="AI3969"/>
      <c r="AJ3969"/>
      <c r="AK3969" t="str">
        <f t="shared" si="1611"/>
        <v>G1</v>
      </c>
      <c r="AL3969" t="str">
        <f t="shared" si="1611"/>
        <v/>
      </c>
      <c r="AM3969" t="str">
        <f t="shared" si="1611"/>
        <v/>
      </c>
      <c r="AN3969" t="str">
        <f t="shared" si="1612"/>
        <v>G1</v>
      </c>
      <c r="AO3969" s="254" t="str">
        <f>"BiK27a0"&amp;AN3969&amp;RIGHT("-----",5-LEN(AN3969))&amp;RIGHT($M$3967,2)</f>
        <v>BiK27a0G1---14</v>
      </c>
      <c r="AP3969">
        <f t="shared" si="1613"/>
        <v>14</v>
      </c>
      <c r="AQ3969" t="str">
        <f t="shared" si="1614"/>
        <v>0-0,5 MW, Bonusregel G1</v>
      </c>
      <c r="AR3969" t="str">
        <f>IF(COUNTA(#REF!)&gt;1,"Fehler ESVK",IF(COUNTA(O3969:Q3969)&gt;1,"Fehler GAB",IF(AP3969&lt;&gt;14,"Fehler Kategorie","")))</f>
        <v/>
      </c>
      <c r="AS3969"/>
      <c r="AT3969"/>
      <c r="AU3969"/>
      <c r="AV3969"/>
      <c r="AW3969"/>
      <c r="AX3969"/>
      <c r="AY3969"/>
    </row>
    <row r="3970" spans="1:51" s="12" customFormat="1" x14ac:dyDescent="0.25">
      <c r="A3970" s="615" t="str">
        <f>"KlK250"&amp;AN3970&amp;RIGHT("------",6-LEN(AN3970))&amp;RIGHT($M3967,2)</f>
        <v>KlK250G2----14</v>
      </c>
      <c r="B3970" s="372" t="s">
        <v>5411</v>
      </c>
      <c r="C3970" s="375" t="str">
        <f t="shared" si="1604"/>
        <v>Inbetriebnahme 2014</v>
      </c>
      <c r="D3970" s="372" t="str">
        <f t="shared" si="1605"/>
        <v>0-0,5 MW, Bonusregel G2</v>
      </c>
      <c r="E3970" s="372"/>
      <c r="F3970" s="459">
        <f t="shared" si="1606"/>
        <v>8.5299999999999994</v>
      </c>
      <c r="G3970" s="544">
        <v>8.5299999999999994</v>
      </c>
      <c r="H3970" s="500">
        <f t="shared" si="1607"/>
        <v>6.82</v>
      </c>
      <c r="I3970" s="714"/>
      <c r="J3970" s="669" t="s">
        <v>5805</v>
      </c>
      <c r="K3970" s="23"/>
      <c r="L3970" s="70" t="str">
        <f t="shared" si="1608"/>
        <v/>
      </c>
      <c r="M3970" s="387">
        <f t="shared" si="1609"/>
        <v>8.5299999999999994</v>
      </c>
      <c r="N3970" s="41">
        <f t="shared" si="1610"/>
        <v>6.5878277499999998</v>
      </c>
      <c r="O3970" s="43"/>
      <c r="P3970" s="29" t="s">
        <v>1017</v>
      </c>
      <c r="Q3970" s="50"/>
      <c r="R3970"/>
      <c r="S3970"/>
      <c r="T3970"/>
      <c r="U3970"/>
      <c r="V3970"/>
      <c r="W3970"/>
      <c r="X3970"/>
      <c r="Y3970"/>
      <c r="Z3970"/>
      <c r="AA3970"/>
      <c r="AB3970"/>
      <c r="AC3970"/>
      <c r="AD3970"/>
      <c r="AE3970"/>
      <c r="AF3970"/>
      <c r="AG3970" s="92"/>
      <c r="AH3970" s="35" t="s">
        <v>5407</v>
      </c>
      <c r="AI3970"/>
      <c r="AJ3970"/>
      <c r="AK3970" t="str">
        <f t="shared" si="1611"/>
        <v/>
      </c>
      <c r="AL3970" t="str">
        <f t="shared" si="1611"/>
        <v>G2</v>
      </c>
      <c r="AM3970" t="str">
        <f t="shared" si="1611"/>
        <v/>
      </c>
      <c r="AN3970" t="str">
        <f t="shared" si="1612"/>
        <v>G2</v>
      </c>
      <c r="AO3970" s="254" t="str">
        <f>"BiK27a0"&amp;AN3970&amp;RIGHT("-----",5-LEN(AN3970))&amp;RIGHT($M$3967,2)</f>
        <v>BiK27a0G2---14</v>
      </c>
      <c r="AP3970">
        <f t="shared" si="1613"/>
        <v>14</v>
      </c>
      <c r="AQ3970" t="str">
        <f t="shared" si="1614"/>
        <v>0-0,5 MW, Bonusregel G2</v>
      </c>
      <c r="AR3970" t="str">
        <f>IF(COUNTA(#REF!)&gt;1,"Fehler ESVK",IF(COUNTA(O3970:Q3970)&gt;1,"Fehler GAB",IF(AP3970&lt;&gt;14,"Fehler Kategorie","")))</f>
        <v/>
      </c>
      <c r="AS3970"/>
      <c r="AT3970"/>
      <c r="AU3970"/>
      <c r="AV3970"/>
      <c r="AW3970"/>
      <c r="AX3970"/>
      <c r="AY3970"/>
    </row>
    <row r="3971" spans="1:51" s="12" customFormat="1" x14ac:dyDescent="0.25">
      <c r="A3971" s="615" t="str">
        <f>"KlK250"&amp;AN3971&amp;RIGHT("------",6-LEN(AN3971))&amp;RIGHT($M3967,2)</f>
        <v>KlK250G3----14</v>
      </c>
      <c r="B3971" s="372" t="s">
        <v>5411</v>
      </c>
      <c r="C3971" s="375" t="str">
        <f t="shared" si="1604"/>
        <v>Inbetriebnahme 2014</v>
      </c>
      <c r="D3971" s="372" t="str">
        <f t="shared" si="1605"/>
        <v>0-0,5 MW, Bonusregel G3</v>
      </c>
      <c r="E3971" s="372"/>
      <c r="F3971" s="459">
        <f t="shared" si="1606"/>
        <v>7.56</v>
      </c>
      <c r="G3971" s="544">
        <v>7.56</v>
      </c>
      <c r="H3971" s="500">
        <f t="shared" si="1607"/>
        <v>6.05</v>
      </c>
      <c r="I3971" s="714"/>
      <c r="J3971" s="669" t="s">
        <v>5805</v>
      </c>
      <c r="K3971" s="23"/>
      <c r="L3971" s="70" t="str">
        <f t="shared" si="1608"/>
        <v/>
      </c>
      <c r="M3971" s="387">
        <f t="shared" si="1609"/>
        <v>7.56</v>
      </c>
      <c r="N3971" s="41">
        <f t="shared" si="1610"/>
        <v>6.5878277499999998</v>
      </c>
      <c r="O3971" s="43"/>
      <c r="P3971" s="29"/>
      <c r="Q3971" s="50" t="s">
        <v>1017</v>
      </c>
      <c r="R3971"/>
      <c r="S3971"/>
      <c r="T3971" s="92"/>
      <c r="U3971"/>
      <c r="V3971"/>
      <c r="W3971"/>
      <c r="X3971"/>
      <c r="Y3971"/>
      <c r="Z3971"/>
      <c r="AA3971"/>
      <c r="AB3971"/>
      <c r="AC3971"/>
      <c r="AD3971"/>
      <c r="AE3971"/>
      <c r="AF3971"/>
      <c r="AG3971" s="92"/>
      <c r="AH3971" s="35" t="s">
        <v>5407</v>
      </c>
      <c r="AI3971"/>
      <c r="AJ3971"/>
      <c r="AK3971" t="str">
        <f t="shared" si="1611"/>
        <v/>
      </c>
      <c r="AL3971" t="str">
        <f t="shared" si="1611"/>
        <v/>
      </c>
      <c r="AM3971" t="str">
        <f t="shared" si="1611"/>
        <v>G3</v>
      </c>
      <c r="AN3971" t="str">
        <f t="shared" si="1612"/>
        <v>G3</v>
      </c>
      <c r="AO3971" s="254" t="str">
        <f>"BiK27a0"&amp;AN3971&amp;RIGHT("-----",5-LEN(AN3971))&amp;RIGHT($M$3967,2)</f>
        <v>BiK27a0G3---14</v>
      </c>
      <c r="AP3971">
        <f t="shared" si="1613"/>
        <v>14</v>
      </c>
      <c r="AQ3971" t="str">
        <f t="shared" si="1614"/>
        <v>0-0,5 MW, Bonusregel G3</v>
      </c>
      <c r="AR3971" t="str">
        <f>IF(COUNTA(#REF!)&gt;1,"Fehler ESVK",IF(COUNTA(O3971:Q3971)&gt;1,"Fehler GAB",IF(AP3971&lt;&gt;14,"Fehler Kategorie","")))</f>
        <v/>
      </c>
      <c r="AS3971"/>
      <c r="AT3971"/>
      <c r="AU3971"/>
      <c r="AV3971"/>
      <c r="AW3971"/>
      <c r="AX3971"/>
      <c r="AY3971"/>
    </row>
    <row r="3972" spans="1:51" s="12" customFormat="1" x14ac:dyDescent="0.25">
      <c r="A3972" s="615" t="str">
        <f>"KlK251"&amp;AN3972&amp;RIGHT("------",6-LEN(AN3972))&amp;RIGHT($M3967,2)</f>
        <v>KlK251------14</v>
      </c>
      <c r="B3972" s="372" t="s">
        <v>5411</v>
      </c>
      <c r="C3972" s="375" t="str">
        <f t="shared" si="1604"/>
        <v>Inbetriebnahme 2014</v>
      </c>
      <c r="D3972" s="372" t="str">
        <f t="shared" si="1605"/>
        <v>0,5-5 MW</v>
      </c>
      <c r="E3972" s="372"/>
      <c r="F3972" s="459">
        <f t="shared" si="1606"/>
        <v>5.71</v>
      </c>
      <c r="G3972" s="544">
        <v>5.71</v>
      </c>
      <c r="H3972" s="500">
        <f t="shared" si="1607"/>
        <v>4.57</v>
      </c>
      <c r="I3972" s="714"/>
      <c r="J3972" s="669" t="s">
        <v>5805</v>
      </c>
      <c r="K3972" s="23"/>
      <c r="L3972" s="70" t="str">
        <f t="shared" si="1608"/>
        <v/>
      </c>
      <c r="M3972" s="387">
        <f t="shared" si="1609"/>
        <v>5.71</v>
      </c>
      <c r="N3972" s="41">
        <f t="shared" si="1610"/>
        <v>5.7146252499999992</v>
      </c>
      <c r="O3972" s="43"/>
      <c r="P3972" s="29"/>
      <c r="Q3972" s="50"/>
      <c r="R3972"/>
      <c r="S3972"/>
      <c r="T3972" s="92"/>
      <c r="U3972" s="92"/>
      <c r="V3972"/>
      <c r="W3972"/>
      <c r="X3972"/>
      <c r="Y3972"/>
      <c r="Z3972"/>
      <c r="AA3972"/>
      <c r="AB3972"/>
      <c r="AC3972"/>
      <c r="AD3972"/>
      <c r="AE3972"/>
      <c r="AF3972"/>
      <c r="AG3972" s="92"/>
      <c r="AH3972" s="35" t="s">
        <v>5408</v>
      </c>
      <c r="AI3972"/>
      <c r="AJ3972"/>
      <c r="AK3972" t="str">
        <f t="shared" si="1611"/>
        <v/>
      </c>
      <c r="AL3972" t="str">
        <f t="shared" si="1611"/>
        <v/>
      </c>
      <c r="AM3972" t="str">
        <f t="shared" si="1611"/>
        <v/>
      </c>
      <c r="AN3972" t="str">
        <f t="shared" si="1612"/>
        <v/>
      </c>
      <c r="AO3972" s="254" t="str">
        <f>"BiK27a1"&amp;AN3972&amp;RIGHT("-----",5-LEN(AN3972))&amp;RIGHT($M$3967,2)</f>
        <v>BiK27a1-----14</v>
      </c>
      <c r="AP3972">
        <f t="shared" si="1613"/>
        <v>14</v>
      </c>
      <c r="AQ3972" t="str">
        <f t="shared" si="1614"/>
        <v>0,5-5 MW</v>
      </c>
      <c r="AR3972" t="str">
        <f>IF(COUNTA(#REF!)&gt;1,"Fehler ESVK",IF(COUNTA(O3972:Q3972)&gt;1,"Fehler GAB",IF(AP3972&lt;&gt;14,"Fehler Kategorie","")))</f>
        <v/>
      </c>
      <c r="AS3972"/>
      <c r="AT3972"/>
      <c r="AU3972"/>
      <c r="AV3972"/>
      <c r="AW3972"/>
      <c r="AX3972"/>
      <c r="AY3972"/>
    </row>
    <row r="3973" spans="1:51" s="12" customFormat="1" x14ac:dyDescent="0.25">
      <c r="A3973" s="615" t="str">
        <f>"KlK251"&amp;AN3973&amp;RIGHT("------",6-LEN(AN3973))&amp;RIGHT($M3967,2)</f>
        <v>KlK251G1----14</v>
      </c>
      <c r="B3973" s="372" t="s">
        <v>5411</v>
      </c>
      <c r="C3973" s="375" t="str">
        <f t="shared" si="1604"/>
        <v>Inbetriebnahme 2014</v>
      </c>
      <c r="D3973" s="372" t="str">
        <f t="shared" si="1605"/>
        <v>0,5-5 MW, Bonusregel G1</v>
      </c>
      <c r="E3973" s="372"/>
      <c r="F3973" s="459">
        <f t="shared" si="1606"/>
        <v>8.620000000000001</v>
      </c>
      <c r="G3973" s="544">
        <v>8.620000000000001</v>
      </c>
      <c r="H3973" s="500">
        <f t="shared" si="1607"/>
        <v>6.9</v>
      </c>
      <c r="I3973" s="714"/>
      <c r="J3973" s="669" t="s">
        <v>5805</v>
      </c>
      <c r="K3973" s="23"/>
      <c r="L3973" s="70" t="str">
        <f t="shared" si="1608"/>
        <v/>
      </c>
      <c r="M3973" s="387">
        <f t="shared" si="1609"/>
        <v>8.620000000000001</v>
      </c>
      <c r="N3973" s="41">
        <f t="shared" si="1610"/>
        <v>5.7146252499999992</v>
      </c>
      <c r="O3973" s="43" t="s">
        <v>1017</v>
      </c>
      <c r="P3973" s="29"/>
      <c r="Q3973" s="50"/>
      <c r="R3973"/>
      <c r="S3973"/>
      <c r="T3973"/>
      <c r="U3973"/>
      <c r="V3973"/>
      <c r="W3973"/>
      <c r="X3973"/>
      <c r="Y3973"/>
      <c r="Z3973"/>
      <c r="AA3973"/>
      <c r="AB3973"/>
      <c r="AC3973"/>
      <c r="AD3973"/>
      <c r="AE3973"/>
      <c r="AF3973"/>
      <c r="AG3973" s="92"/>
      <c r="AH3973" s="35" t="s">
        <v>5408</v>
      </c>
      <c r="AI3973"/>
      <c r="AJ3973"/>
      <c r="AK3973" t="str">
        <f t="shared" si="1611"/>
        <v>G1</v>
      </c>
      <c r="AL3973" t="str">
        <f t="shared" si="1611"/>
        <v/>
      </c>
      <c r="AM3973" t="str">
        <f t="shared" si="1611"/>
        <v/>
      </c>
      <c r="AN3973" t="str">
        <f t="shared" si="1612"/>
        <v>G1</v>
      </c>
      <c r="AO3973" s="254" t="str">
        <f>"BiK27a1"&amp;AN3973&amp;RIGHT("-----",5-LEN(AN3973))&amp;RIGHT($M$3967,2)</f>
        <v>BiK27a1G1---14</v>
      </c>
      <c r="AP3973">
        <f t="shared" si="1613"/>
        <v>14</v>
      </c>
      <c r="AQ3973" t="str">
        <f t="shared" si="1614"/>
        <v>0,5-5 MW, Bonusregel G1</v>
      </c>
      <c r="AR3973" t="str">
        <f>IF(COUNTA(#REF!)&gt;1,"Fehler ESVK",IF(COUNTA(O3973:Q3973)&gt;1,"Fehler GAB",IF(AP3973&lt;&gt;14,"Fehler Kategorie","")))</f>
        <v/>
      </c>
      <c r="AS3973"/>
      <c r="AT3973"/>
      <c r="AU3973"/>
      <c r="AV3973"/>
      <c r="AW3973"/>
      <c r="AX3973"/>
      <c r="AY3973"/>
    </row>
    <row r="3974" spans="1:51" s="12" customFormat="1" x14ac:dyDescent="0.25">
      <c r="A3974" s="615" t="str">
        <f>"KlK251"&amp;AN3974&amp;RIGHT("------",6-LEN(AN3974))&amp;RIGHT($M3967,2)</f>
        <v>KlK251G2----14</v>
      </c>
      <c r="B3974" s="372" t="s">
        <v>5411</v>
      </c>
      <c r="C3974" s="375" t="str">
        <f t="shared" si="1604"/>
        <v>Inbetriebnahme 2014</v>
      </c>
      <c r="D3974" s="372" t="str">
        <f t="shared" si="1605"/>
        <v>0,5-5 MW, Bonusregel G2</v>
      </c>
      <c r="E3974" s="372"/>
      <c r="F3974" s="459">
        <f t="shared" si="1606"/>
        <v>7.65</v>
      </c>
      <c r="G3974" s="544">
        <v>7.65</v>
      </c>
      <c r="H3974" s="500">
        <f t="shared" si="1607"/>
        <v>6.12</v>
      </c>
      <c r="I3974" s="714"/>
      <c r="J3974" s="669" t="s">
        <v>5805</v>
      </c>
      <c r="K3974" s="23"/>
      <c r="L3974" s="70" t="str">
        <f t="shared" si="1608"/>
        <v/>
      </c>
      <c r="M3974" s="387">
        <f t="shared" si="1609"/>
        <v>7.65</v>
      </c>
      <c r="N3974" s="41">
        <f t="shared" si="1610"/>
        <v>5.7146252499999992</v>
      </c>
      <c r="O3974" s="43"/>
      <c r="P3974" s="29" t="s">
        <v>1017</v>
      </c>
      <c r="Q3974" s="50"/>
      <c r="R3974"/>
      <c r="S3974"/>
      <c r="T3974"/>
      <c r="U3974"/>
      <c r="V3974"/>
      <c r="W3974"/>
      <c r="X3974"/>
      <c r="Y3974"/>
      <c r="Z3974"/>
      <c r="AA3974"/>
      <c r="AB3974"/>
      <c r="AC3974"/>
      <c r="AD3974"/>
      <c r="AE3974"/>
      <c r="AF3974"/>
      <c r="AG3974" s="92"/>
      <c r="AH3974" s="35" t="s">
        <v>5408</v>
      </c>
      <c r="AI3974"/>
      <c r="AJ3974"/>
      <c r="AK3974" t="str">
        <f t="shared" si="1611"/>
        <v/>
      </c>
      <c r="AL3974" t="str">
        <f t="shared" si="1611"/>
        <v>G2</v>
      </c>
      <c r="AM3974" t="str">
        <f t="shared" si="1611"/>
        <v/>
      </c>
      <c r="AN3974" t="str">
        <f t="shared" si="1612"/>
        <v>G2</v>
      </c>
      <c r="AO3974" s="254" t="str">
        <f>"BiK27a1"&amp;AN3974&amp;RIGHT("-----",5-LEN(AN3974))&amp;RIGHT($M$3967,2)</f>
        <v>BiK27a1G2---14</v>
      </c>
      <c r="AP3974">
        <f t="shared" si="1613"/>
        <v>14</v>
      </c>
      <c r="AQ3974" t="str">
        <f t="shared" si="1614"/>
        <v>0,5-5 MW, Bonusregel G2</v>
      </c>
      <c r="AR3974" t="str">
        <f>IF(COUNTA(#REF!)&gt;1,"Fehler ESVK",IF(COUNTA(O3974:Q3974)&gt;1,"Fehler GAB",IF(AP3974&lt;&gt;14,"Fehler Kategorie","")))</f>
        <v/>
      </c>
      <c r="AS3974"/>
      <c r="AT3974"/>
      <c r="AU3974"/>
      <c r="AV3974"/>
      <c r="AW3974"/>
      <c r="AX3974"/>
      <c r="AY3974"/>
    </row>
    <row r="3975" spans="1:51" s="12" customFormat="1" x14ac:dyDescent="0.25">
      <c r="A3975" s="615" t="str">
        <f>"KlK251"&amp;AN3975&amp;RIGHT("------",6-LEN(AN3975))&amp;RIGHT($M3967,2)</f>
        <v>KlK251G3----14</v>
      </c>
      <c r="B3975" s="372" t="s">
        <v>5411</v>
      </c>
      <c r="C3975" s="375" t="str">
        <f t="shared" si="1604"/>
        <v>Inbetriebnahme 2014</v>
      </c>
      <c r="D3975" s="372" t="str">
        <f t="shared" si="1605"/>
        <v>0,5-5 MW, Bonusregel G3</v>
      </c>
      <c r="E3975" s="372"/>
      <c r="F3975" s="459">
        <f t="shared" si="1606"/>
        <v>6.68</v>
      </c>
      <c r="G3975" s="544">
        <v>6.68</v>
      </c>
      <c r="H3975" s="500">
        <f t="shared" si="1607"/>
        <v>5.34</v>
      </c>
      <c r="I3975" s="714"/>
      <c r="J3975" s="669" t="s">
        <v>5805</v>
      </c>
      <c r="K3975" s="23"/>
      <c r="L3975" s="70" t="str">
        <f t="shared" si="1608"/>
        <v/>
      </c>
      <c r="M3975" s="406">
        <f t="shared" si="1609"/>
        <v>6.68</v>
      </c>
      <c r="N3975" s="40">
        <f t="shared" si="1610"/>
        <v>5.7146252499999992</v>
      </c>
      <c r="O3975" s="408"/>
      <c r="P3975" s="357"/>
      <c r="Q3975" s="111" t="s">
        <v>1017</v>
      </c>
      <c r="R3975"/>
      <c r="S3975"/>
      <c r="T3975"/>
      <c r="U3975"/>
      <c r="V3975"/>
      <c r="W3975"/>
      <c r="X3975"/>
      <c r="Y3975"/>
      <c r="Z3975"/>
      <c r="AA3975"/>
      <c r="AB3975"/>
      <c r="AC3975"/>
      <c r="AD3975"/>
      <c r="AE3975"/>
      <c r="AF3975"/>
      <c r="AG3975" s="92"/>
      <c r="AH3975" s="35" t="s">
        <v>5408</v>
      </c>
      <c r="AI3975"/>
      <c r="AJ3975"/>
      <c r="AK3975" t="str">
        <f t="shared" si="1611"/>
        <v/>
      </c>
      <c r="AL3975" t="str">
        <f t="shared" si="1611"/>
        <v/>
      </c>
      <c r="AM3975" t="str">
        <f t="shared" si="1611"/>
        <v>G3</v>
      </c>
      <c r="AN3975" t="str">
        <f t="shared" si="1612"/>
        <v>G3</v>
      </c>
      <c r="AO3975" s="254" t="str">
        <f>"BiK27a1"&amp;AN3975&amp;RIGHT("-----",5-LEN(AN3975))&amp;RIGHT($M$3967,2)</f>
        <v>BiK27a1G3---14</v>
      </c>
      <c r="AP3975">
        <f t="shared" si="1613"/>
        <v>14</v>
      </c>
      <c r="AQ3975" t="str">
        <f t="shared" si="1614"/>
        <v>0,5-5 MW, Bonusregel G3</v>
      </c>
      <c r="AR3975" t="str">
        <f>IF(COUNTA(#REF!)&gt;1,"Fehler ESVK",IF(COUNTA(O3975:Q3975)&gt;1,"Fehler GAB",IF(AP3975&lt;&gt;14,"Fehler Kategorie","")))</f>
        <v/>
      </c>
      <c r="AS3975"/>
      <c r="AT3975"/>
      <c r="AU3975"/>
      <c r="AV3975"/>
      <c r="AW3975"/>
      <c r="AX3975"/>
      <c r="AY3975"/>
    </row>
    <row r="3976" spans="1:51" s="12" customFormat="1" x14ac:dyDescent="0.25">
      <c r="A3976" s="608"/>
      <c r="B3976" s="2"/>
      <c r="C3976" s="34"/>
      <c r="D3976" s="2"/>
      <c r="E3976" s="2"/>
      <c r="F3976" s="456"/>
      <c r="G3976" s="95"/>
      <c r="H3976" s="489" t="str">
        <f t="shared" si="1607"/>
        <v/>
      </c>
      <c r="I3976" s="708"/>
      <c r="J3976" s="669" t="s">
        <v>4180</v>
      </c>
      <c r="K3976" s="23"/>
      <c r="L3976" s="70"/>
      <c r="M3976" s="49"/>
      <c r="N3976" s="41"/>
      <c r="O3976" s="253"/>
      <c r="P3976" s="29"/>
      <c r="Q3976" s="27"/>
      <c r="AG3976" s="27"/>
      <c r="AH3976" s="253"/>
      <c r="AO3976" s="346"/>
    </row>
    <row r="3977" spans="1:51" s="259" customFormat="1" ht="20.25" customHeight="1" x14ac:dyDescent="0.25">
      <c r="A3977" s="617"/>
      <c r="B3977" s="255"/>
      <c r="C3977" s="256"/>
      <c r="D3977" s="255"/>
      <c r="E3977" s="256"/>
      <c r="F3977" s="463"/>
      <c r="G3977" s="257"/>
      <c r="H3977" s="257" t="str">
        <f t="shared" si="1607"/>
        <v/>
      </c>
      <c r="I3977" s="717"/>
      <c r="J3977" s="669" t="s">
        <v>4180</v>
      </c>
      <c r="K3977" s="258"/>
      <c r="L3977" s="362"/>
      <c r="M3977" s="260" t="s">
        <v>61</v>
      </c>
      <c r="N3977" s="261"/>
      <c r="O3977" s="261"/>
      <c r="AG3977" s="262"/>
    </row>
    <row r="3978" spans="1:51" x14ac:dyDescent="0.25">
      <c r="A3978" s="608"/>
      <c r="B3978" s="2"/>
      <c r="C3978" s="34"/>
      <c r="D3978" s="34"/>
      <c r="E3978" s="2"/>
      <c r="F3978" s="445"/>
      <c r="G3978" s="14"/>
      <c r="H3978" s="14" t="str">
        <f t="shared" si="1607"/>
        <v/>
      </c>
      <c r="I3978" s="695"/>
      <c r="J3978" s="669" t="s">
        <v>4180</v>
      </c>
      <c r="N3978" s="270" t="s">
        <v>5490</v>
      </c>
      <c r="O3978" t="s">
        <v>5407</v>
      </c>
      <c r="P3978" t="s">
        <v>5408</v>
      </c>
    </row>
    <row r="3979" spans="1:51" x14ac:dyDescent="0.25">
      <c r="A3979" s="607" t="s">
        <v>62</v>
      </c>
      <c r="B3979" s="435" t="s">
        <v>5411</v>
      </c>
      <c r="C3979" s="436" t="s">
        <v>39</v>
      </c>
      <c r="D3979" s="436" t="s">
        <v>5407</v>
      </c>
      <c r="E3979" s="435"/>
      <c r="F3979" s="450">
        <f>ROUND(HLOOKUP(D3979,O3978:P3980,3,FALSE),2)</f>
        <v>6.49</v>
      </c>
      <c r="G3979" s="437">
        <f>ROUND(HLOOKUP(D3979,O3978:P3980,2,FALSE),2)</f>
        <v>6.69</v>
      </c>
      <c r="H3979" s="437">
        <f t="shared" si="1607"/>
        <v>5.35</v>
      </c>
      <c r="I3979" s="700"/>
      <c r="J3979" s="669" t="s">
        <v>5805</v>
      </c>
      <c r="M3979" s="127" t="s">
        <v>64</v>
      </c>
      <c r="N3979" s="395" t="s">
        <v>89</v>
      </c>
      <c r="O3979" s="327">
        <v>6.69</v>
      </c>
      <c r="P3979" s="327">
        <v>5.83</v>
      </c>
      <c r="R3979" t="s">
        <v>49</v>
      </c>
    </row>
    <row r="3980" spans="1:51" x14ac:dyDescent="0.25">
      <c r="A3980" s="607" t="s">
        <v>63</v>
      </c>
      <c r="B3980" s="435" t="s">
        <v>5411</v>
      </c>
      <c r="C3980" s="436" t="s">
        <v>39</v>
      </c>
      <c r="D3980" s="436" t="s">
        <v>5408</v>
      </c>
      <c r="E3980" s="435"/>
      <c r="F3980" s="450">
        <f>ROUND(HLOOKUP(D3980,O3978:P3980,3,FALSE),2)</f>
        <v>5.63</v>
      </c>
      <c r="G3980" s="437">
        <f>ROUND(HLOOKUP(D3980,O3978:P3980,2,FALSE),2)</f>
        <v>5.83</v>
      </c>
      <c r="H3980" s="437">
        <f t="shared" si="1607"/>
        <v>4.66</v>
      </c>
      <c r="I3980" s="700"/>
      <c r="J3980" s="669" t="s">
        <v>5805</v>
      </c>
      <c r="N3980" s="395" t="s">
        <v>85</v>
      </c>
      <c r="O3980" s="327">
        <f>O3979-0.2</f>
        <v>6.49</v>
      </c>
      <c r="P3980" s="327">
        <f>P3979-0.2</f>
        <v>5.63</v>
      </c>
      <c r="R3980" t="s">
        <v>50</v>
      </c>
    </row>
    <row r="3981" spans="1:51" x14ac:dyDescent="0.25">
      <c r="A3981" s="608"/>
      <c r="B3981" s="2"/>
      <c r="C3981" s="34"/>
      <c r="D3981" s="34"/>
      <c r="E3981" s="2"/>
      <c r="F3981" s="445"/>
      <c r="G3981" s="14"/>
      <c r="H3981" s="14" t="str">
        <f t="shared" si="1607"/>
        <v/>
      </c>
      <c r="I3981" s="695"/>
      <c r="J3981" s="669" t="s">
        <v>4180</v>
      </c>
      <c r="N3981" s="270" t="s">
        <v>5490</v>
      </c>
      <c r="O3981" t="s">
        <v>5407</v>
      </c>
      <c r="P3981" t="s">
        <v>5408</v>
      </c>
    </row>
    <row r="3982" spans="1:51" x14ac:dyDescent="0.25">
      <c r="A3982" s="607" t="s">
        <v>391</v>
      </c>
      <c r="B3982" s="435" t="s">
        <v>5411</v>
      </c>
      <c r="C3982" s="436" t="s">
        <v>380</v>
      </c>
      <c r="D3982" s="436" t="s">
        <v>5407</v>
      </c>
      <c r="E3982" s="435"/>
      <c r="F3982" s="450">
        <f>ROUND(HLOOKUP(D3982,O3981:P3983,3,FALSE),2)</f>
        <v>6.49</v>
      </c>
      <c r="G3982" s="437">
        <f>ROUND(HLOOKUP(D3982,O3981:P3983,2,FALSE),2)</f>
        <v>6.69</v>
      </c>
      <c r="H3982" s="437">
        <f t="shared" si="1607"/>
        <v>5.35</v>
      </c>
      <c r="I3982" s="700"/>
      <c r="J3982" s="669" t="s">
        <v>5805</v>
      </c>
      <c r="M3982" s="127">
        <v>2015</v>
      </c>
      <c r="N3982" s="395" t="s">
        <v>89</v>
      </c>
      <c r="O3982" s="327">
        <v>6.69</v>
      </c>
      <c r="P3982" s="327">
        <v>5.83</v>
      </c>
      <c r="R3982" t="s">
        <v>49</v>
      </c>
    </row>
    <row r="3983" spans="1:51" x14ac:dyDescent="0.25">
      <c r="A3983" s="607" t="s">
        <v>392</v>
      </c>
      <c r="B3983" s="435" t="s">
        <v>5411</v>
      </c>
      <c r="C3983" s="436" t="s">
        <v>380</v>
      </c>
      <c r="D3983" s="436" t="s">
        <v>5408</v>
      </c>
      <c r="E3983" s="435"/>
      <c r="F3983" s="450">
        <f>ROUND(HLOOKUP(D3983,O3981:P3983,3,FALSE),2)</f>
        <v>5.63</v>
      </c>
      <c r="G3983" s="437">
        <f>ROUND(HLOOKUP(D3983,O3981:P3983,2,FALSE),2)</f>
        <v>5.83</v>
      </c>
      <c r="H3983" s="437">
        <f t="shared" si="1607"/>
        <v>4.66</v>
      </c>
      <c r="I3983" s="700"/>
      <c r="J3983" s="669" t="s">
        <v>5805</v>
      </c>
      <c r="N3983" s="395" t="s">
        <v>85</v>
      </c>
      <c r="O3983" s="327">
        <f>O3982-0.2</f>
        <v>6.49</v>
      </c>
      <c r="P3983" s="327">
        <f>P3982-0.2</f>
        <v>5.63</v>
      </c>
      <c r="R3983" t="s">
        <v>50</v>
      </c>
    </row>
    <row r="3984" spans="1:51" x14ac:dyDescent="0.25">
      <c r="A3984" s="608"/>
      <c r="B3984" s="2"/>
      <c r="C3984" s="34"/>
      <c r="D3984" s="34"/>
      <c r="E3984" s="2"/>
      <c r="F3984" s="445"/>
      <c r="G3984" s="14"/>
      <c r="H3984" s="14" t="str">
        <f t="shared" si="1607"/>
        <v/>
      </c>
      <c r="I3984" s="695"/>
      <c r="J3984" s="669" t="s">
        <v>4180</v>
      </c>
      <c r="N3984" s="270" t="s">
        <v>5490</v>
      </c>
      <c r="O3984" t="s">
        <v>5407</v>
      </c>
      <c r="P3984" t="s">
        <v>5408</v>
      </c>
    </row>
    <row r="3985" spans="1:18" x14ac:dyDescent="0.25">
      <c r="A3985" s="607" t="s">
        <v>5671</v>
      </c>
      <c r="B3985" s="435" t="s">
        <v>5411</v>
      </c>
      <c r="C3985" s="436" t="s">
        <v>5648</v>
      </c>
      <c r="D3985" s="436" t="s">
        <v>5407</v>
      </c>
      <c r="E3985" s="435"/>
      <c r="F3985" s="450">
        <f>ROUND(HLOOKUP(D3985,O3984:P3986,3,FALSE),2)</f>
        <v>6.39</v>
      </c>
      <c r="G3985" s="437">
        <f>ROUND(HLOOKUP(D3985,O3984:P3986,2,FALSE),2)</f>
        <v>6.59</v>
      </c>
      <c r="H3985" s="437">
        <f t="shared" si="1607"/>
        <v>5.27</v>
      </c>
      <c r="I3985" s="700"/>
      <c r="J3985" s="669" t="s">
        <v>5805</v>
      </c>
      <c r="M3985" s="127">
        <v>2016</v>
      </c>
      <c r="N3985" s="395">
        <v>1.4999999999999999E-2</v>
      </c>
      <c r="O3985" s="327">
        <f>IF($N3985&lt;&gt;"",O3982*(100%-$N3985),"")</f>
        <v>6.5896500000000007</v>
      </c>
      <c r="P3985" s="327">
        <f>IF($N3985&lt;&gt;"",P3982*(100%-$N3985),"")</f>
        <v>5.7425499999999996</v>
      </c>
      <c r="R3985" t="s">
        <v>49</v>
      </c>
    </row>
    <row r="3986" spans="1:18" x14ac:dyDescent="0.25">
      <c r="A3986" s="607" t="s">
        <v>5672</v>
      </c>
      <c r="B3986" s="435" t="s">
        <v>5411</v>
      </c>
      <c r="C3986" s="436" t="s">
        <v>5648</v>
      </c>
      <c r="D3986" s="436" t="s">
        <v>5408</v>
      </c>
      <c r="E3986" s="435"/>
      <c r="F3986" s="450">
        <f>ROUND(HLOOKUP(D3986,O3984:P3986,3,FALSE),2)</f>
        <v>5.55</v>
      </c>
      <c r="G3986" s="437">
        <f>ROUND(HLOOKUP(D3986,O3984:P3986,2,FALSE),2)</f>
        <v>5.74</v>
      </c>
      <c r="H3986" s="437">
        <f t="shared" si="1607"/>
        <v>4.59</v>
      </c>
      <c r="I3986" s="700"/>
      <c r="J3986" s="669" t="s">
        <v>5805</v>
      </c>
      <c r="N3986" s="395"/>
      <c r="O3986" s="327">
        <f>IF($N3985&lt;&gt;"",O3983*(100%-$N3985),"")</f>
        <v>6.3926499999999997</v>
      </c>
      <c r="P3986" s="327">
        <f>IF($N3985&lt;&gt;"",P3983*(100%-$N3985),"")</f>
        <v>5.5455499999999995</v>
      </c>
      <c r="R3986" t="s">
        <v>50</v>
      </c>
    </row>
    <row r="3987" spans="1:18" x14ac:dyDescent="0.25">
      <c r="A3987" s="608"/>
      <c r="B3987" s="2"/>
      <c r="C3987" s="34"/>
      <c r="D3987" s="34"/>
      <c r="E3987" s="2"/>
      <c r="F3987" s="445"/>
      <c r="G3987" s="14"/>
      <c r="H3987" s="14" t="str">
        <f t="shared" si="1607"/>
        <v/>
      </c>
      <c r="I3987" s="695"/>
      <c r="J3987" s="669" t="s">
        <v>4180</v>
      </c>
      <c r="N3987" s="270" t="s">
        <v>5490</v>
      </c>
      <c r="O3987" t="s">
        <v>5407</v>
      </c>
      <c r="P3987" t="s">
        <v>5408</v>
      </c>
    </row>
    <row r="3988" spans="1:18" x14ac:dyDescent="0.25">
      <c r="A3988" s="644" t="s">
        <v>5884</v>
      </c>
      <c r="B3988" s="645" t="s">
        <v>5411</v>
      </c>
      <c r="C3988" s="643" t="s">
        <v>5867</v>
      </c>
      <c r="D3988" s="643" t="s">
        <v>5407</v>
      </c>
      <c r="E3988" s="645"/>
      <c r="F3988" s="657">
        <f>ROUND(HLOOKUP(D3988,O3987:P3989,3,FALSE),2)</f>
        <v>6.29</v>
      </c>
      <c r="G3988" s="656">
        <f>ROUND(HLOOKUP(D3988,O3987:P3989,2,FALSE),2)</f>
        <v>6.49</v>
      </c>
      <c r="H3988" s="656">
        <f t="shared" si="1607"/>
        <v>5.19</v>
      </c>
      <c r="I3988" s="701"/>
      <c r="J3988" s="669">
        <v>42705</v>
      </c>
      <c r="M3988" s="127">
        <v>2017</v>
      </c>
      <c r="N3988" s="395" t="s">
        <v>5883</v>
      </c>
      <c r="O3988" s="327">
        <v>6.49</v>
      </c>
      <c r="P3988" s="327">
        <v>5.66</v>
      </c>
      <c r="R3988" t="s">
        <v>49</v>
      </c>
    </row>
    <row r="3989" spans="1:18" x14ac:dyDescent="0.25">
      <c r="A3989" s="644" t="s">
        <v>5885</v>
      </c>
      <c r="B3989" s="645" t="s">
        <v>5411</v>
      </c>
      <c r="C3989" s="643" t="s">
        <v>5867</v>
      </c>
      <c r="D3989" s="643" t="s">
        <v>5408</v>
      </c>
      <c r="E3989" s="645"/>
      <c r="F3989" s="657">
        <f>ROUND(HLOOKUP(D3989,O3987:P3989,3,FALSE),2)</f>
        <v>5.46</v>
      </c>
      <c r="G3989" s="656">
        <f>ROUND(HLOOKUP(D3989,O3987:P3989,2,FALSE),2)</f>
        <v>5.66</v>
      </c>
      <c r="H3989" s="656">
        <f t="shared" si="1607"/>
        <v>4.53</v>
      </c>
      <c r="I3989" s="701"/>
      <c r="J3989" s="669">
        <v>42705</v>
      </c>
      <c r="N3989" s="395" t="s">
        <v>5882</v>
      </c>
      <c r="O3989" s="327">
        <f>O3988-0.2</f>
        <v>6.29</v>
      </c>
      <c r="P3989" s="327">
        <f>P3988-0.2</f>
        <v>5.46</v>
      </c>
      <c r="R3989" t="s">
        <v>50</v>
      </c>
    </row>
    <row r="3990" spans="1:18" x14ac:dyDescent="0.25">
      <c r="A3990" s="608"/>
      <c r="B3990" s="2"/>
      <c r="C3990" s="34"/>
      <c r="D3990" s="34"/>
      <c r="E3990" s="2"/>
      <c r="F3990" s="445"/>
      <c r="G3990" s="14"/>
      <c r="H3990" s="14" t="str">
        <f t="shared" si="1607"/>
        <v/>
      </c>
      <c r="I3990" s="695"/>
      <c r="J3990" s="669" t="s">
        <v>4180</v>
      </c>
      <c r="N3990" s="270" t="s">
        <v>5490</v>
      </c>
      <c r="O3990" t="s">
        <v>5407</v>
      </c>
      <c r="P3990" t="s">
        <v>5408</v>
      </c>
    </row>
    <row r="3991" spans="1:18" x14ac:dyDescent="0.25">
      <c r="A3991" s="644" t="s">
        <v>6229</v>
      </c>
      <c r="B3991" s="645" t="s">
        <v>5411</v>
      </c>
      <c r="C3991" s="643" t="s">
        <v>6189</v>
      </c>
      <c r="D3991" s="643" t="s">
        <v>5407</v>
      </c>
      <c r="E3991" s="645"/>
      <c r="F3991" s="657">
        <f>ROUND(HLOOKUP(D3991,O3990:P3992,3,FALSE),2)</f>
        <v>6.19</v>
      </c>
      <c r="G3991" s="656">
        <f>ROUND(HLOOKUP(D3991,O3990:P3992,2,FALSE),2)</f>
        <v>6.39</v>
      </c>
      <c r="H3991" s="656">
        <f t="shared" si="1607"/>
        <v>5.1100000000000003</v>
      </c>
      <c r="I3991" s="701"/>
      <c r="J3991" s="669">
        <v>43077</v>
      </c>
      <c r="M3991" s="127">
        <v>2018</v>
      </c>
      <c r="N3991" s="395">
        <v>1.4999999999999999E-2</v>
      </c>
      <c r="O3991" s="327">
        <f>IF($N3991&lt;&gt;"",O3988*(100%-$N3991),"")</f>
        <v>6.3926499999999997</v>
      </c>
      <c r="P3991" s="327">
        <f>IF($N3991&lt;&gt;"",P3988*(100%-$N3991),"")</f>
        <v>5.5750999999999999</v>
      </c>
      <c r="R3991" t="s">
        <v>49</v>
      </c>
    </row>
    <row r="3992" spans="1:18" x14ac:dyDescent="0.25">
      <c r="A3992" s="644" t="s">
        <v>6228</v>
      </c>
      <c r="B3992" s="645" t="s">
        <v>5411</v>
      </c>
      <c r="C3992" s="643" t="s">
        <v>6189</v>
      </c>
      <c r="D3992" s="643" t="s">
        <v>5408</v>
      </c>
      <c r="E3992" s="645"/>
      <c r="F3992" s="657">
        <f>ROUND(HLOOKUP(D3992,O3990:P3992,3,FALSE),2)</f>
        <v>5.38</v>
      </c>
      <c r="G3992" s="656">
        <f>ROUND(HLOOKUP(D3992,O3990:P3992,2,FALSE),2)</f>
        <v>5.58</v>
      </c>
      <c r="H3992" s="656">
        <f t="shared" si="1607"/>
        <v>4.46</v>
      </c>
      <c r="I3992" s="701"/>
      <c r="J3992" s="669">
        <v>43077</v>
      </c>
      <c r="N3992" s="395"/>
      <c r="O3992" s="327">
        <f>O3991-0.2</f>
        <v>6.1926499999999995</v>
      </c>
      <c r="P3992" s="327">
        <f>P3991-0.2</f>
        <v>5.3750999999999998</v>
      </c>
      <c r="R3992" t="s">
        <v>50</v>
      </c>
    </row>
    <row r="3993" spans="1:18" s="774" customFormat="1" x14ac:dyDescent="0.25">
      <c r="A3993" s="608"/>
      <c r="B3993" s="2"/>
      <c r="C3993" s="34"/>
      <c r="D3993" s="34"/>
      <c r="E3993" s="2"/>
      <c r="F3993" s="445"/>
      <c r="G3993" s="14"/>
      <c r="H3993" s="14" t="str">
        <f t="shared" si="1607"/>
        <v/>
      </c>
      <c r="I3993" s="695"/>
      <c r="J3993" s="669" t="s">
        <v>4180</v>
      </c>
      <c r="N3993" s="270" t="s">
        <v>5490</v>
      </c>
      <c r="O3993" s="774" t="s">
        <v>5407</v>
      </c>
      <c r="P3993" s="774" t="s">
        <v>5408</v>
      </c>
    </row>
    <row r="3994" spans="1:18" s="774" customFormat="1" x14ac:dyDescent="0.25">
      <c r="A3994" s="644" t="s">
        <v>6412</v>
      </c>
      <c r="B3994" s="645" t="s">
        <v>5411</v>
      </c>
      <c r="C3994" s="643" t="s">
        <v>6409</v>
      </c>
      <c r="D3994" s="643" t="s">
        <v>5407</v>
      </c>
      <c r="E3994" s="645"/>
      <c r="F3994" s="657">
        <f>ROUND(HLOOKUP(D3994,O3993:P3995,3,FALSE),2)</f>
        <v>6.1</v>
      </c>
      <c r="G3994" s="656">
        <f>ROUND(HLOOKUP(D3994,O3993:P3995,2,FALSE),2)</f>
        <v>6.3</v>
      </c>
      <c r="H3994" s="656">
        <f t="shared" si="1607"/>
        <v>5.04</v>
      </c>
      <c r="I3994" s="701"/>
      <c r="J3994" s="669">
        <v>43419</v>
      </c>
      <c r="M3994" s="127">
        <v>2019</v>
      </c>
      <c r="N3994" s="395">
        <v>1.4999999999999999E-2</v>
      </c>
      <c r="O3994" s="327">
        <f>IF($N3994&lt;&gt;"",O3991*(100%-$N3994),"")</f>
        <v>6.2967602499999993</v>
      </c>
      <c r="P3994" s="327">
        <f>IF($N3994&lt;&gt;"",P3991*(100%-$N3994),"")</f>
        <v>5.4914734999999997</v>
      </c>
      <c r="R3994" s="774" t="s">
        <v>49</v>
      </c>
    </row>
    <row r="3995" spans="1:18" s="774" customFormat="1" x14ac:dyDescent="0.25">
      <c r="A3995" s="644" t="s">
        <v>6413</v>
      </c>
      <c r="B3995" s="645" t="s">
        <v>5411</v>
      </c>
      <c r="C3995" s="643" t="s">
        <v>6409</v>
      </c>
      <c r="D3995" s="643" t="s">
        <v>5408</v>
      </c>
      <c r="E3995" s="645"/>
      <c r="F3995" s="657">
        <f>ROUND(HLOOKUP(D3995,O3993:P3995,3,FALSE),2)</f>
        <v>5.29</v>
      </c>
      <c r="G3995" s="656">
        <f>ROUND(HLOOKUP(D3995,O3993:P3995,2,FALSE),2)</f>
        <v>5.49</v>
      </c>
      <c r="H3995" s="656">
        <f t="shared" si="1607"/>
        <v>4.3899999999999997</v>
      </c>
      <c r="I3995" s="701"/>
      <c r="J3995" s="669">
        <v>43419</v>
      </c>
      <c r="N3995" s="395"/>
      <c r="O3995" s="327">
        <f>O3994-0.2</f>
        <v>6.0967602499999991</v>
      </c>
      <c r="P3995" s="327">
        <f>P3994-0.2</f>
        <v>5.2914734999999995</v>
      </c>
      <c r="R3995" s="774" t="s">
        <v>50</v>
      </c>
    </row>
    <row r="3996" spans="1:18" s="774" customFormat="1" x14ac:dyDescent="0.25">
      <c r="A3996" s="608"/>
      <c r="B3996" s="2"/>
      <c r="C3996" s="34"/>
      <c r="D3996" s="34"/>
      <c r="E3996" s="2"/>
      <c r="F3996" s="445"/>
      <c r="G3996" s="14"/>
      <c r="H3996" s="14" t="str">
        <f t="shared" si="1607"/>
        <v/>
      </c>
      <c r="I3996" s="695"/>
      <c r="J3996" s="669" t="s">
        <v>4180</v>
      </c>
      <c r="N3996" s="270" t="s">
        <v>5490</v>
      </c>
      <c r="O3996" s="774" t="s">
        <v>5407</v>
      </c>
      <c r="P3996" s="774" t="s">
        <v>5408</v>
      </c>
    </row>
    <row r="3997" spans="1:18" s="774" customFormat="1" x14ac:dyDescent="0.25">
      <c r="A3997" s="644" t="s">
        <v>6553</v>
      </c>
      <c r="B3997" s="645" t="s">
        <v>5411</v>
      </c>
      <c r="C3997" s="643" t="s">
        <v>6510</v>
      </c>
      <c r="D3997" s="643" t="s">
        <v>5407</v>
      </c>
      <c r="E3997" s="645"/>
      <c r="F3997" s="657">
        <f>ROUND(HLOOKUP(D3997,O3996:P3998,3,FALSE),2)</f>
        <v>6</v>
      </c>
      <c r="G3997" s="656">
        <f>ROUND(HLOOKUP(D3997,O3996:P3998,2,FALSE),2)</f>
        <v>6.2</v>
      </c>
      <c r="H3997" s="656">
        <f t="shared" si="1607"/>
        <v>4.96</v>
      </c>
      <c r="I3997" s="701"/>
      <c r="J3997" s="669">
        <v>43796</v>
      </c>
      <c r="M3997" s="127">
        <v>2020</v>
      </c>
      <c r="N3997" s="395">
        <v>1.4999999999999999E-2</v>
      </c>
      <c r="O3997" s="327">
        <f>IF($N3997&lt;&gt;"",O3994*(100%-$N3997),"")</f>
        <v>6.2023088462499993</v>
      </c>
      <c r="P3997" s="327">
        <f>IF($N3997&lt;&gt;"",P3994*(100%-$N3997),"")</f>
        <v>5.4091013974999997</v>
      </c>
      <c r="R3997" s="774" t="s">
        <v>49</v>
      </c>
    </row>
    <row r="3998" spans="1:18" s="774" customFormat="1" x14ac:dyDescent="0.25">
      <c r="A3998" s="644" t="s">
        <v>6554</v>
      </c>
      <c r="B3998" s="645" t="s">
        <v>5411</v>
      </c>
      <c r="C3998" s="643" t="s">
        <v>6510</v>
      </c>
      <c r="D3998" s="643" t="s">
        <v>5408</v>
      </c>
      <c r="E3998" s="645"/>
      <c r="F3998" s="657">
        <f>ROUND(HLOOKUP(D3998,O3996:P3998,3,FALSE),2)</f>
        <v>5.21</v>
      </c>
      <c r="G3998" s="656">
        <f>ROUND(HLOOKUP(D3998,O3996:P3998,2,FALSE),2)</f>
        <v>5.41</v>
      </c>
      <c r="H3998" s="656">
        <f t="shared" si="1607"/>
        <v>4.33</v>
      </c>
      <c r="I3998" s="701"/>
      <c r="J3998" s="669">
        <v>43796</v>
      </c>
      <c r="N3998" s="395"/>
      <c r="O3998" s="327">
        <f>O3997-0.2</f>
        <v>6.0023088462499992</v>
      </c>
      <c r="P3998" s="327">
        <f>P3997-0.2</f>
        <v>5.2091013974999996</v>
      </c>
      <c r="R3998" s="774" t="s">
        <v>50</v>
      </c>
    </row>
    <row r="3999" spans="1:18" s="774" customFormat="1" x14ac:dyDescent="0.25">
      <c r="A3999" s="608"/>
      <c r="B3999" s="2"/>
      <c r="C3999" s="445"/>
      <c r="D3999" s="34"/>
      <c r="E3999" s="2"/>
      <c r="F3999" s="445"/>
      <c r="G3999" s="14"/>
      <c r="H3999" s="14" t="str">
        <f t="shared" si="1607"/>
        <v/>
      </c>
      <c r="I3999" s="695"/>
      <c r="J3999" s="669" t="s">
        <v>4180</v>
      </c>
      <c r="N3999" s="270" t="s">
        <v>5490</v>
      </c>
      <c r="O3999" s="774" t="s">
        <v>5407</v>
      </c>
      <c r="P3999" s="774" t="s">
        <v>5408</v>
      </c>
    </row>
    <row r="4000" spans="1:18" s="774" customFormat="1" x14ac:dyDescent="0.25">
      <c r="A4000" s="644" t="s">
        <v>6654</v>
      </c>
      <c r="B4000" s="645" t="s">
        <v>5411</v>
      </c>
      <c r="C4000" s="643" t="s">
        <v>6629</v>
      </c>
      <c r="D4000" s="643" t="s">
        <v>5407</v>
      </c>
      <c r="E4000" s="645"/>
      <c r="F4000" s="793">
        <f>ROUND(HLOOKUP(D4000,O3999:P4001,3,FALSE),2)</f>
        <v>5.91</v>
      </c>
      <c r="G4000" s="795">
        <f>ROUND(HLOOKUP(D4000,O3999:P4001,2,FALSE),2)</f>
        <v>6.11</v>
      </c>
      <c r="H4000" s="795">
        <f t="shared" si="1607"/>
        <v>4.8899999999999997</v>
      </c>
      <c r="I4000" s="701"/>
      <c r="J4000" s="669">
        <v>44196</v>
      </c>
      <c r="M4000" s="127">
        <v>2021</v>
      </c>
      <c r="N4000" s="395" t="s">
        <v>5883</v>
      </c>
      <c r="O4000" s="327">
        <v>6.11</v>
      </c>
      <c r="P4000" s="327">
        <v>5.33</v>
      </c>
      <c r="R4000" s="774" t="s">
        <v>49</v>
      </c>
    </row>
    <row r="4001" spans="1:41" s="774" customFormat="1" x14ac:dyDescent="0.25">
      <c r="A4001" s="644" t="s">
        <v>6655</v>
      </c>
      <c r="B4001" s="645" t="s">
        <v>5411</v>
      </c>
      <c r="C4001" s="643" t="s">
        <v>6629</v>
      </c>
      <c r="D4001" s="643" t="s">
        <v>5408</v>
      </c>
      <c r="E4001" s="645"/>
      <c r="F4001" s="793">
        <f>ROUND(HLOOKUP(D4001,O3999:P4001,3,FALSE),2)</f>
        <v>5.13</v>
      </c>
      <c r="G4001" s="795">
        <f>ROUND(HLOOKUP(D4001,O3999:P4001,2,FALSE),2)</f>
        <v>5.33</v>
      </c>
      <c r="H4001" s="795">
        <f t="shared" si="1607"/>
        <v>4.26</v>
      </c>
      <c r="I4001" s="701"/>
      <c r="J4001" s="669">
        <v>44196</v>
      </c>
      <c r="N4001" s="395" t="s">
        <v>5882</v>
      </c>
      <c r="O4001" s="327">
        <f>O4000-0.2</f>
        <v>5.91</v>
      </c>
      <c r="P4001" s="327">
        <f>P4000-0.2</f>
        <v>5.13</v>
      </c>
      <c r="R4001" s="774" t="s">
        <v>50</v>
      </c>
    </row>
    <row r="4002" spans="1:41" s="774" customFormat="1" x14ac:dyDescent="0.25">
      <c r="A4002" s="608"/>
      <c r="B4002" s="2"/>
      <c r="C4002" s="445"/>
      <c r="D4002" s="34"/>
      <c r="E4002" s="2"/>
      <c r="F4002" s="445"/>
      <c r="G4002" s="14"/>
      <c r="H4002" s="14" t="str">
        <f t="shared" si="1607"/>
        <v/>
      </c>
      <c r="I4002" s="695"/>
      <c r="J4002" s="669" t="s">
        <v>4180</v>
      </c>
      <c r="N4002" s="270" t="s">
        <v>5490</v>
      </c>
      <c r="O4002" s="774" t="s">
        <v>5407</v>
      </c>
      <c r="P4002" s="774" t="s">
        <v>5408</v>
      </c>
    </row>
    <row r="4003" spans="1:41" s="774" customFormat="1" x14ac:dyDescent="0.25">
      <c r="A4003" s="644" t="str">
        <f>LEFT(A4000,12)&amp;RIGHT(M4003,2)</f>
        <v>KlK4121-----22</v>
      </c>
      <c r="B4003" s="645" t="s">
        <v>5411</v>
      </c>
      <c r="C4003" s="645" t="str">
        <f>"Inbetriebnahme 20" &amp; RIGHT(M4003,2)</f>
        <v>Inbetriebnahme 2022</v>
      </c>
      <c r="D4003" s="643" t="s">
        <v>5407</v>
      </c>
      <c r="E4003" s="645"/>
      <c r="F4003" s="793">
        <f>ROUND(HLOOKUP(D4003,O4002:P4004,3,FALSE),2)</f>
        <v>5.82</v>
      </c>
      <c r="G4003" s="795">
        <f>ROUND(HLOOKUP(D4003,O4002:P4004,2,FALSE),2)</f>
        <v>6.02</v>
      </c>
      <c r="H4003" s="795">
        <f t="shared" si="1607"/>
        <v>4.82</v>
      </c>
      <c r="I4003" s="701"/>
      <c r="J4003" s="669">
        <v>44536</v>
      </c>
      <c r="M4003" s="127">
        <v>2022</v>
      </c>
      <c r="N4003" s="395">
        <v>1.4999999999999999E-2</v>
      </c>
      <c r="O4003" s="327">
        <f>IF($N4003&lt;&gt;"",O4000*(100%-$N4003),"")</f>
        <v>6.0183499999999999</v>
      </c>
      <c r="P4003" s="327">
        <f>IF($N4003&lt;&gt;"",P4000*(100%-$N4003),"")</f>
        <v>5.2500499999999999</v>
      </c>
      <c r="R4003" s="774" t="s">
        <v>49</v>
      </c>
    </row>
    <row r="4004" spans="1:41" s="774" customFormat="1" x14ac:dyDescent="0.25">
      <c r="A4004" s="644" t="str">
        <f>LEFT(A4001,12)&amp;RIGHT(M4003,2)</f>
        <v>KlK4122-----22</v>
      </c>
      <c r="B4004" s="645" t="s">
        <v>5411</v>
      </c>
      <c r="C4004" s="645" t="str">
        <f>"Inbetriebnahme 20" &amp; RIGHT(M4003,2)</f>
        <v>Inbetriebnahme 2022</v>
      </c>
      <c r="D4004" s="643" t="s">
        <v>5408</v>
      </c>
      <c r="E4004" s="645"/>
      <c r="F4004" s="793">
        <f>ROUND(HLOOKUP(D4004,O4002:P4004,3,FALSE),2)</f>
        <v>5.05</v>
      </c>
      <c r="G4004" s="795">
        <f>ROUND(HLOOKUP(D4004,O4002:P4004,2,FALSE),2)</f>
        <v>5.25</v>
      </c>
      <c r="H4004" s="795">
        <f t="shared" si="1607"/>
        <v>4.2</v>
      </c>
      <c r="I4004" s="701"/>
      <c r="J4004" s="669">
        <v>44536</v>
      </c>
      <c r="N4004" s="395"/>
      <c r="O4004" s="327">
        <f>O4003-0.2</f>
        <v>5.8183499999999997</v>
      </c>
      <c r="P4004" s="327">
        <f>P4003-0.2</f>
        <v>5.0500499999999997</v>
      </c>
      <c r="R4004" s="774" t="s">
        <v>50</v>
      </c>
    </row>
    <row r="4005" spans="1:41" s="774" customFormat="1" x14ac:dyDescent="0.25">
      <c r="A4005" s="608"/>
      <c r="B4005" s="2"/>
      <c r="C4005" s="445"/>
      <c r="D4005" s="34"/>
      <c r="E4005" s="2"/>
      <c r="F4005" s="445"/>
      <c r="G4005" s="14"/>
      <c r="H4005" s="14" t="str">
        <f t="shared" si="1607"/>
        <v/>
      </c>
      <c r="I4005" s="695"/>
      <c r="J4005" s="669" t="s">
        <v>4180</v>
      </c>
      <c r="N4005" s="270" t="s">
        <v>5490</v>
      </c>
      <c r="O4005" s="774" t="s">
        <v>5407</v>
      </c>
      <c r="P4005" s="774" t="s">
        <v>5408</v>
      </c>
    </row>
    <row r="4006" spans="1:41" s="774" customFormat="1" x14ac:dyDescent="0.25">
      <c r="A4006" s="644" t="str">
        <f>LEFT(A4003,12)&amp;RIGHT(M4006,2)</f>
        <v>KlK4121-----23</v>
      </c>
      <c r="B4006" s="645" t="s">
        <v>5411</v>
      </c>
      <c r="C4006" s="645" t="str">
        <f>"Inbetriebnahme 20" &amp; RIGHT(M4006,2)</f>
        <v>Inbetriebnahme 2023</v>
      </c>
      <c r="D4006" s="643" t="s">
        <v>5407</v>
      </c>
      <c r="E4006" s="645"/>
      <c r="F4006" s="793">
        <f>ROUND(HLOOKUP(D4006,O4005:P4007,3,FALSE),2)</f>
        <v>5.73</v>
      </c>
      <c r="G4006" s="795">
        <f>ROUND(HLOOKUP(D4006,O4005:P4007,2,FALSE),2)</f>
        <v>5.93</v>
      </c>
      <c r="H4006" s="795">
        <f t="shared" si="1607"/>
        <v>4.74</v>
      </c>
      <c r="I4006" s="701"/>
      <c r="J4006" s="669">
        <f>J$31</f>
        <v>44896</v>
      </c>
      <c r="M4006" s="127">
        <v>2023</v>
      </c>
      <c r="N4006" s="395" t="s">
        <v>5883</v>
      </c>
      <c r="O4006" s="327">
        <v>5.93</v>
      </c>
      <c r="P4006" s="327">
        <v>5.17</v>
      </c>
      <c r="R4006" s="774" t="s">
        <v>49</v>
      </c>
    </row>
    <row r="4007" spans="1:41" s="774" customFormat="1" x14ac:dyDescent="0.25">
      <c r="A4007" s="644" t="str">
        <f>LEFT(A4004,12)&amp;RIGHT(M4006,2)</f>
        <v>KlK4122-----23</v>
      </c>
      <c r="B4007" s="645" t="s">
        <v>5411</v>
      </c>
      <c r="C4007" s="645" t="str">
        <f>"Inbetriebnahme 20" &amp; RIGHT(M4006,2)</f>
        <v>Inbetriebnahme 2023</v>
      </c>
      <c r="D4007" s="643" t="s">
        <v>5408</v>
      </c>
      <c r="E4007" s="645"/>
      <c r="F4007" s="793">
        <f>ROUND(HLOOKUP(D4007,O4005:P4007,3,FALSE),2)</f>
        <v>4.97</v>
      </c>
      <c r="G4007" s="795">
        <f>ROUND(HLOOKUP(D4007,O4005:P4007,2,FALSE),2)</f>
        <v>5.17</v>
      </c>
      <c r="H4007" s="795">
        <f t="shared" si="1607"/>
        <v>4.1399999999999997</v>
      </c>
      <c r="I4007" s="701"/>
      <c r="J4007" s="669">
        <f>J$31</f>
        <v>44896</v>
      </c>
      <c r="N4007" s="395" t="s">
        <v>5882</v>
      </c>
      <c r="O4007" s="327">
        <f>O4006-0.2</f>
        <v>5.7299999999999995</v>
      </c>
      <c r="P4007" s="327">
        <f>P4006-0.2</f>
        <v>4.97</v>
      </c>
      <c r="R4007" s="774" t="s">
        <v>50</v>
      </c>
    </row>
    <row r="4008" spans="1:41" s="12" customFormat="1" x14ac:dyDescent="0.25">
      <c r="A4008" s="608"/>
      <c r="B4008" s="2"/>
      <c r="C4008" s="34"/>
      <c r="D4008" s="2"/>
      <c r="E4008" s="2"/>
      <c r="F4008" s="456"/>
      <c r="G4008" s="95"/>
      <c r="H4008" s="489" t="str">
        <f t="shared" si="1607"/>
        <v/>
      </c>
      <c r="I4008" s="708"/>
      <c r="J4008" s="669" t="s">
        <v>4180</v>
      </c>
      <c r="K4008" s="23"/>
      <c r="L4008" s="70"/>
      <c r="M4008" s="49"/>
      <c r="N4008" s="41"/>
      <c r="O4008" s="253"/>
      <c r="P4008" s="29"/>
      <c r="Q4008" s="27"/>
      <c r="AG4008" s="27"/>
      <c r="AH4008" s="253"/>
      <c r="AO4008" s="346"/>
    </row>
    <row r="4009" spans="1:41" ht="15.75" x14ac:dyDescent="0.25">
      <c r="A4009" s="609"/>
      <c r="B4009" s="1"/>
      <c r="C4009" s="1"/>
      <c r="D4009" s="2"/>
      <c r="E4009" s="1"/>
      <c r="F4009" s="442"/>
      <c r="G4009" s="13"/>
      <c r="H4009" s="13" t="str">
        <f t="shared" si="1607"/>
        <v/>
      </c>
      <c r="I4009" s="692"/>
      <c r="J4009" s="669" t="s">
        <v>4180</v>
      </c>
      <c r="K4009" s="29"/>
      <c r="M4009" s="68" t="s">
        <v>5494</v>
      </c>
      <c r="N4009" s="39"/>
      <c r="O4009" s="29"/>
      <c r="P4009" s="29"/>
    </row>
    <row r="4010" spans="1:41" x14ac:dyDescent="0.25">
      <c r="A4010" s="608"/>
      <c r="B4010" s="2"/>
      <c r="C4010" s="22"/>
      <c r="D4010" s="22"/>
      <c r="E4010" s="34"/>
      <c r="F4010" s="445"/>
      <c r="G4010" s="14"/>
      <c r="H4010" s="14" t="str">
        <f t="shared" si="1607"/>
        <v/>
      </c>
      <c r="I4010" s="695"/>
      <c r="J4010" s="669" t="s">
        <v>4180</v>
      </c>
      <c r="K4010" s="29"/>
      <c r="L4010" s="29"/>
      <c r="M4010" s="29"/>
      <c r="N4010" s="106"/>
      <c r="O4010" s="107" t="s">
        <v>1205</v>
      </c>
      <c r="P4010" s="29"/>
      <c r="Q4010" s="50"/>
      <c r="R4010" s="92"/>
      <c r="S4010" s="35"/>
      <c r="T4010" s="92"/>
      <c r="U4010" s="92"/>
      <c r="V4010" s="92"/>
      <c r="W4010" s="92"/>
      <c r="X4010" s="92"/>
      <c r="Y4010" s="92"/>
      <c r="Z4010" s="92"/>
      <c r="AA4010" s="92"/>
      <c r="AB4010" s="105"/>
      <c r="AC4010" s="92"/>
      <c r="AD4010" s="92"/>
      <c r="AE4010" s="12"/>
      <c r="AF4010" s="12"/>
      <c r="AG4010" s="12"/>
    </row>
    <row r="4011" spans="1:41" ht="68.25" x14ac:dyDescent="0.25">
      <c r="A4011" s="608"/>
      <c r="B4011" s="2"/>
      <c r="C4011" s="22"/>
      <c r="D4011" s="22"/>
      <c r="E4011" s="34"/>
      <c r="F4011" s="445"/>
      <c r="G4011" s="14"/>
      <c r="H4011" s="14" t="str">
        <f t="shared" si="1607"/>
        <v/>
      </c>
      <c r="I4011" s="695"/>
      <c r="J4011" s="669" t="s">
        <v>4180</v>
      </c>
      <c r="K4011" s="29"/>
      <c r="L4011" s="29"/>
      <c r="M4011" s="48" t="s">
        <v>2914</v>
      </c>
      <c r="N4011" s="51" t="s">
        <v>5495</v>
      </c>
      <c r="O4011" s="42" t="s">
        <v>772</v>
      </c>
      <c r="P4011" s="42" t="s">
        <v>773</v>
      </c>
      <c r="Q4011" s="51" t="s">
        <v>774</v>
      </c>
      <c r="R4011" s="118" t="s">
        <v>5490</v>
      </c>
      <c r="S4011" s="42"/>
      <c r="T4011" s="42"/>
      <c r="U4011" s="42"/>
      <c r="V4011" s="79"/>
      <c r="W4011" s="79"/>
      <c r="X4011" s="79"/>
      <c r="Y4011" s="79"/>
      <c r="Z4011" s="79"/>
      <c r="AA4011" s="79"/>
      <c r="AB4011" s="42"/>
      <c r="AC4011" s="42"/>
      <c r="AD4011" s="42"/>
      <c r="AE4011" s="12"/>
      <c r="AF4011" s="12"/>
      <c r="AG4011" s="12"/>
    </row>
    <row r="4012" spans="1:41" x14ac:dyDescent="0.25">
      <c r="A4012" s="608"/>
      <c r="B4012" s="2"/>
      <c r="C4012" s="22"/>
      <c r="D4012" s="22"/>
      <c r="E4012" s="34"/>
      <c r="F4012" s="445"/>
      <c r="G4012" s="14"/>
      <c r="H4012" s="14" t="str">
        <f t="shared" si="1607"/>
        <v/>
      </c>
      <c r="I4012" s="695"/>
      <c r="J4012" s="669" t="s">
        <v>4180</v>
      </c>
      <c r="K4012" s="29"/>
      <c r="L4012" s="29"/>
      <c r="M4012" s="274"/>
      <c r="N4012" s="51"/>
      <c r="O4012" s="42" t="s">
        <v>1032</v>
      </c>
      <c r="P4012" s="42" t="s">
        <v>1030</v>
      </c>
      <c r="Q4012" s="51" t="s">
        <v>1031</v>
      </c>
      <c r="R4012" s="363">
        <v>1.4999999999999999E-2</v>
      </c>
      <c r="S4012" s="42"/>
      <c r="T4012" s="42"/>
      <c r="U4012" s="42"/>
      <c r="V4012" s="42"/>
      <c r="W4012" s="42"/>
      <c r="X4012" s="42"/>
      <c r="Y4012" s="42"/>
      <c r="Z4012" s="42"/>
      <c r="AA4012" s="42"/>
      <c r="AB4012" s="42"/>
      <c r="AC4012" s="42"/>
      <c r="AD4012" s="42"/>
      <c r="AE4012" s="12"/>
      <c r="AF4012" s="12"/>
      <c r="AG4012" s="12"/>
    </row>
    <row r="4013" spans="1:41" x14ac:dyDescent="0.25">
      <c r="A4013" s="609"/>
      <c r="B4013" s="1"/>
      <c r="C4013" s="1"/>
      <c r="D4013" s="2"/>
      <c r="E4013" s="1"/>
      <c r="F4013" s="442"/>
      <c r="G4013" s="13"/>
      <c r="H4013" s="13" t="str">
        <f t="shared" si="1607"/>
        <v/>
      </c>
      <c r="I4013" s="692"/>
      <c r="J4013" s="669" t="s">
        <v>4180</v>
      </c>
      <c r="L4013" s="116"/>
      <c r="M4013" s="47">
        <v>2009</v>
      </c>
      <c r="N4013" s="40"/>
      <c r="O4013" s="45"/>
      <c r="P4013" s="40"/>
      <c r="Q4013" s="52">
        <v>2</v>
      </c>
      <c r="R4013" s="41" t="str">
        <f>"Bonushöhe bei Inbetriebnahme in "&amp;M4013</f>
        <v>Bonushöhe bei Inbetriebnahme in 2009</v>
      </c>
      <c r="S4013" s="41"/>
      <c r="T4013" s="41"/>
      <c r="U4013" s="41"/>
      <c r="V4013" s="41"/>
      <c r="W4013" s="41"/>
      <c r="X4013" s="41"/>
      <c r="Y4013" s="41"/>
      <c r="Z4013" s="41"/>
      <c r="AA4013" s="41"/>
      <c r="AB4013" s="41"/>
      <c r="AC4013" s="41"/>
      <c r="AD4013" s="41"/>
    </row>
    <row r="4014" spans="1:41" x14ac:dyDescent="0.25">
      <c r="A4014" s="610" t="s">
        <v>3304</v>
      </c>
      <c r="B4014" s="17" t="s">
        <v>5412</v>
      </c>
      <c r="C4014" s="17" t="s">
        <v>5405</v>
      </c>
      <c r="D4014" s="17" t="s">
        <v>5413</v>
      </c>
      <c r="E4014" s="17"/>
      <c r="F4014" s="444">
        <v>7.16</v>
      </c>
      <c r="G4014" s="519">
        <v>7.16</v>
      </c>
      <c r="H4014" s="18">
        <f t="shared" si="1607"/>
        <v>5.73</v>
      </c>
      <c r="I4014" s="694"/>
      <c r="J4014" s="669" t="s">
        <v>5805</v>
      </c>
      <c r="L4014" s="70" t="str">
        <f>IF(F4014=M4014,"",FALSE)</f>
        <v/>
      </c>
      <c r="M4014" s="49">
        <f>N4014+SUMIF(O4014:Q4014,"x",O$4013:Q$4013)</f>
        <v>7.16</v>
      </c>
      <c r="N4014" s="112">
        <v>7.16</v>
      </c>
      <c r="O4014" s="120"/>
      <c r="P4014" s="120"/>
      <c r="Q4014" s="112"/>
    </row>
    <row r="4015" spans="1:41" x14ac:dyDescent="0.25">
      <c r="A4015" s="610" t="s">
        <v>3303</v>
      </c>
      <c r="B4015" s="17" t="s">
        <v>5412</v>
      </c>
      <c r="C4015" s="17" t="s">
        <v>5405</v>
      </c>
      <c r="D4015" s="30" t="s">
        <v>590</v>
      </c>
      <c r="E4015" s="17"/>
      <c r="F4015" s="444">
        <v>9.16</v>
      </c>
      <c r="G4015" s="519">
        <v>9.16</v>
      </c>
      <c r="H4015" s="18">
        <f t="shared" si="1607"/>
        <v>7.33</v>
      </c>
      <c r="I4015" s="694"/>
      <c r="J4015" s="669" t="s">
        <v>5805</v>
      </c>
      <c r="L4015" s="70" t="str">
        <f>IF(F4015=M4015,"",FALSE)</f>
        <v/>
      </c>
      <c r="M4015" s="49">
        <f>N4015+SUMIF(O4015:Q4015,"x",O$4013:Q$4013)</f>
        <v>9.16</v>
      </c>
      <c r="N4015" s="112">
        <v>7.16</v>
      </c>
      <c r="O4015" s="120"/>
      <c r="P4015" s="120"/>
      <c r="Q4015" s="112" t="s">
        <v>1017</v>
      </c>
    </row>
    <row r="4016" spans="1:41" x14ac:dyDescent="0.25">
      <c r="A4016" s="610" t="s">
        <v>3305</v>
      </c>
      <c r="B4016" s="17" t="s">
        <v>5412</v>
      </c>
      <c r="C4016" s="17" t="s">
        <v>5405</v>
      </c>
      <c r="D4016" s="17" t="s">
        <v>5414</v>
      </c>
      <c r="E4016" s="17"/>
      <c r="F4016" s="444">
        <v>5.16</v>
      </c>
      <c r="G4016" s="519">
        <v>5.16</v>
      </c>
      <c r="H4016" s="18">
        <f t="shared" si="1607"/>
        <v>4.13</v>
      </c>
      <c r="I4016" s="694"/>
      <c r="J4016" s="669" t="s">
        <v>5805</v>
      </c>
      <c r="L4016" s="70" t="str">
        <f>IF(F4016=M4016,"",FALSE)</f>
        <v/>
      </c>
      <c r="M4016" s="49">
        <f>N4016+SUMIF(O4016:Q4016,"x",O$4013:Q$4013)</f>
        <v>5.16</v>
      </c>
      <c r="N4016" s="112">
        <v>5.16</v>
      </c>
      <c r="O4016" s="121"/>
      <c r="P4016" s="121"/>
      <c r="Q4016" s="112"/>
    </row>
    <row r="4017" spans="1:33" x14ac:dyDescent="0.25">
      <c r="A4017" s="610" t="s">
        <v>591</v>
      </c>
      <c r="B4017" s="17" t="s">
        <v>5412</v>
      </c>
      <c r="C4017" s="17" t="s">
        <v>5405</v>
      </c>
      <c r="D4017" s="30" t="s">
        <v>592</v>
      </c>
      <c r="E4017" s="17"/>
      <c r="F4017" s="444">
        <v>7.16</v>
      </c>
      <c r="G4017" s="519">
        <v>7.16</v>
      </c>
      <c r="H4017" s="18">
        <f t="shared" si="1607"/>
        <v>5.73</v>
      </c>
      <c r="I4017" s="694"/>
      <c r="J4017" s="669" t="s">
        <v>5805</v>
      </c>
      <c r="L4017" s="70" t="str">
        <f>IF(F4017=M4017,"",FALSE)</f>
        <v/>
      </c>
      <c r="M4017" s="49">
        <f>N4017+SUMIF(O4017:Q4017,"x",O$4013:Q$4013)</f>
        <v>7.16</v>
      </c>
      <c r="N4017" s="112">
        <v>5.16</v>
      </c>
      <c r="O4017" s="121"/>
      <c r="P4017" s="121"/>
      <c r="Q4017" s="112" t="s">
        <v>1017</v>
      </c>
    </row>
    <row r="4018" spans="1:33" x14ac:dyDescent="0.25">
      <c r="A4018" s="610" t="s">
        <v>3306</v>
      </c>
      <c r="B4018" s="17" t="s">
        <v>5412</v>
      </c>
      <c r="C4018" s="17" t="s">
        <v>5405</v>
      </c>
      <c r="D4018" s="17" t="s">
        <v>7376</v>
      </c>
      <c r="E4018" s="17"/>
      <c r="F4018" s="444">
        <v>4.16</v>
      </c>
      <c r="G4018" s="519">
        <v>4.16</v>
      </c>
      <c r="H4018" s="18">
        <f t="shared" si="1607"/>
        <v>3.33</v>
      </c>
      <c r="I4018" s="694"/>
      <c r="J4018" s="669" t="s">
        <v>5805</v>
      </c>
      <c r="L4018" s="70" t="str">
        <f>IF(F4018=M4018,"",FALSE)</f>
        <v/>
      </c>
      <c r="M4018" s="59">
        <f>N4018+SUMIF(O4018:Q4018,"x",O$4013:Q$4013)</f>
        <v>4.16</v>
      </c>
      <c r="N4018" s="114">
        <v>4.16</v>
      </c>
      <c r="O4018" s="122"/>
      <c r="P4018" s="122"/>
      <c r="Q4018" s="114"/>
    </row>
    <row r="4019" spans="1:33" x14ac:dyDescent="0.25">
      <c r="A4019" s="608"/>
      <c r="B4019" s="2"/>
      <c r="C4019" s="1"/>
      <c r="D4019" s="2"/>
      <c r="E4019" s="1"/>
      <c r="F4019" s="442"/>
      <c r="G4019" s="520"/>
      <c r="H4019" s="13" t="str">
        <f t="shared" si="1607"/>
        <v/>
      </c>
      <c r="I4019" s="692"/>
      <c r="J4019" s="669" t="s">
        <v>4180</v>
      </c>
      <c r="M4019" s="47">
        <v>2010</v>
      </c>
      <c r="N4019" s="111"/>
      <c r="O4019" s="367"/>
      <c r="P4019" s="367"/>
      <c r="Q4019" s="114">
        <f>ROUND(Q$4013*(1-$R$4012)^($M4019-$M$4013),2)</f>
        <v>1.97</v>
      </c>
      <c r="R4019" s="41" t="str">
        <f>"Bonushöhe bei Inbetriebnahme in "&amp;M4019</f>
        <v>Bonushöhe bei Inbetriebnahme in 2010</v>
      </c>
    </row>
    <row r="4020" spans="1:33" x14ac:dyDescent="0.25">
      <c r="A4020" s="610" t="s">
        <v>5478</v>
      </c>
      <c r="B4020" s="17" t="s">
        <v>5412</v>
      </c>
      <c r="C4020" s="30" t="s">
        <v>2385</v>
      </c>
      <c r="D4020" s="17" t="s">
        <v>5413</v>
      </c>
      <c r="E4020" s="17"/>
      <c r="F4020" s="444">
        <f>ROUND(F4014*0.985,2)</f>
        <v>7.05</v>
      </c>
      <c r="G4020" s="519">
        <v>7.05</v>
      </c>
      <c r="H4020" s="18">
        <f t="shared" si="1607"/>
        <v>5.64</v>
      </c>
      <c r="I4020" s="694"/>
      <c r="J4020" s="669" t="s">
        <v>5805</v>
      </c>
      <c r="L4020" s="70" t="str">
        <f>IF(F4020=M4020,"",FALSE)</f>
        <v/>
      </c>
      <c r="M4020" s="49">
        <f>N4020+SUMIF(O4020:Q4020,"x",$O$4019:$Q$4019)</f>
        <v>7.05</v>
      </c>
      <c r="N4020" s="90">
        <f>ROUND(N4014*(1-$R$4012)^($M$4019-$M$4013),2)</f>
        <v>7.05</v>
      </c>
      <c r="O4020" s="120"/>
      <c r="P4020" s="120"/>
      <c r="Q4020" s="112"/>
    </row>
    <row r="4021" spans="1:33" x14ac:dyDescent="0.25">
      <c r="A4021" s="610" t="s">
        <v>5479</v>
      </c>
      <c r="B4021" s="17" t="s">
        <v>5412</v>
      </c>
      <c r="C4021" s="30" t="s">
        <v>2385</v>
      </c>
      <c r="D4021" s="30" t="s">
        <v>590</v>
      </c>
      <c r="E4021" s="17"/>
      <c r="F4021" s="444">
        <f>ROUND(F4015*0.985,2)</f>
        <v>9.02</v>
      </c>
      <c r="G4021" s="519">
        <v>9.02</v>
      </c>
      <c r="H4021" s="18">
        <f t="shared" si="1607"/>
        <v>7.22</v>
      </c>
      <c r="I4021" s="694"/>
      <c r="J4021" s="669" t="s">
        <v>5805</v>
      </c>
      <c r="L4021" s="70" t="str">
        <f>IF(F4021=M4021,"",FALSE)</f>
        <v/>
      </c>
      <c r="M4021" s="49">
        <f>N4021+SUMIF(O4021:Q4021,"x",$O$4019:$Q$4019)</f>
        <v>9.02</v>
      </c>
      <c r="N4021" s="90">
        <f>ROUND(N4015*(1-$R$4012)^($M$4019-$M$4013),2)</f>
        <v>7.05</v>
      </c>
      <c r="O4021" s="120"/>
      <c r="P4021" s="120"/>
      <c r="Q4021" s="112" t="s">
        <v>1017</v>
      </c>
    </row>
    <row r="4022" spans="1:33" x14ac:dyDescent="0.25">
      <c r="A4022" s="610" t="s">
        <v>5480</v>
      </c>
      <c r="B4022" s="17" t="s">
        <v>5412</v>
      </c>
      <c r="C4022" s="30" t="s">
        <v>2385</v>
      </c>
      <c r="D4022" s="17" t="s">
        <v>5414</v>
      </c>
      <c r="E4022" s="17"/>
      <c r="F4022" s="444">
        <f>ROUND(F4016*0.985,2)</f>
        <v>5.08</v>
      </c>
      <c r="G4022" s="519">
        <v>5.08</v>
      </c>
      <c r="H4022" s="18">
        <f t="shared" si="1607"/>
        <v>4.0599999999999996</v>
      </c>
      <c r="I4022" s="694"/>
      <c r="J4022" s="669" t="s">
        <v>5805</v>
      </c>
      <c r="L4022" s="70" t="str">
        <f>IF(F4022=M4022,"",FALSE)</f>
        <v/>
      </c>
      <c r="M4022" s="49">
        <f>N4022+SUMIF(O4022:Q4022,"x",$O$4019:$Q$4019)</f>
        <v>5.08</v>
      </c>
      <c r="N4022" s="90">
        <f>ROUND(N4016*(1-$R$4012)^($M$4019-$M$4013),2)</f>
        <v>5.08</v>
      </c>
      <c r="O4022" s="121"/>
      <c r="P4022" s="121"/>
      <c r="Q4022" s="112"/>
    </row>
    <row r="4023" spans="1:33" x14ac:dyDescent="0.25">
      <c r="A4023" s="610" t="s">
        <v>5481</v>
      </c>
      <c r="B4023" s="17" t="s">
        <v>5412</v>
      </c>
      <c r="C4023" s="30" t="s">
        <v>2385</v>
      </c>
      <c r="D4023" s="30" t="s">
        <v>592</v>
      </c>
      <c r="E4023" s="17"/>
      <c r="F4023" s="444">
        <f>ROUND(F4017*0.985,2)</f>
        <v>7.05</v>
      </c>
      <c r="G4023" s="519">
        <v>7.05</v>
      </c>
      <c r="H4023" s="18">
        <f t="shared" si="1607"/>
        <v>5.64</v>
      </c>
      <c r="I4023" s="694"/>
      <c r="J4023" s="669" t="s">
        <v>5805</v>
      </c>
      <c r="L4023" s="70" t="str">
        <f>IF(F4023=M4023,"",FALSE)</f>
        <v/>
      </c>
      <c r="M4023" s="49">
        <f>N4023+SUMIF(O4023:Q4023,"x",$O$4019:$Q$4019)</f>
        <v>7.05</v>
      </c>
      <c r="N4023" s="90">
        <f>ROUND(N4017*(1-$R$4012)^($M$4019-$M$4013),2)</f>
        <v>5.08</v>
      </c>
      <c r="O4023" s="123"/>
      <c r="P4023" s="121"/>
      <c r="Q4023" s="112" t="s">
        <v>1017</v>
      </c>
    </row>
    <row r="4024" spans="1:33" x14ac:dyDescent="0.25">
      <c r="A4024" s="610" t="s">
        <v>5482</v>
      </c>
      <c r="B4024" s="17" t="s">
        <v>5412</v>
      </c>
      <c r="C4024" s="30" t="s">
        <v>2385</v>
      </c>
      <c r="D4024" s="17" t="s">
        <v>7376</v>
      </c>
      <c r="E4024" s="17"/>
      <c r="F4024" s="444">
        <f>ROUND(F4018*0.985,2)</f>
        <v>4.0999999999999996</v>
      </c>
      <c r="G4024" s="519">
        <v>4.0999999999999996</v>
      </c>
      <c r="H4024" s="18">
        <f t="shared" si="1607"/>
        <v>3.28</v>
      </c>
      <c r="I4024" s="694"/>
      <c r="J4024" s="669" t="s">
        <v>5805</v>
      </c>
      <c r="L4024" s="70" t="str">
        <f>IF(F4024=M4024,"",FALSE)</f>
        <v/>
      </c>
      <c r="M4024" s="59">
        <f>N4024+SUMIF(O4024:Q4024,"x",$O$4019:$Q$4019)</f>
        <v>4.0999999999999996</v>
      </c>
      <c r="N4024" s="52">
        <f>ROUND(N4018*(1-$R$4012)^($M$4019-$M$4013),2)</f>
        <v>4.0999999999999996</v>
      </c>
      <c r="O4024" s="122"/>
      <c r="P4024" s="122"/>
      <c r="Q4024" s="114"/>
    </row>
    <row r="4025" spans="1:33" x14ac:dyDescent="0.25">
      <c r="A4025" s="608"/>
      <c r="B4025" s="2"/>
      <c r="C4025" s="2"/>
      <c r="D4025" s="2"/>
      <c r="E4025" s="2"/>
      <c r="F4025" s="445"/>
      <c r="G4025" s="521"/>
      <c r="H4025" s="14" t="str">
        <f t="shared" si="1607"/>
        <v/>
      </c>
      <c r="I4025" s="695"/>
      <c r="J4025" s="669" t="s">
        <v>4180</v>
      </c>
      <c r="K4025" s="12"/>
      <c r="L4025" s="12"/>
      <c r="M4025" s="47">
        <v>2011</v>
      </c>
      <c r="N4025" s="366"/>
      <c r="O4025" s="367"/>
      <c r="P4025" s="367"/>
      <c r="Q4025" s="114">
        <f>ROUND(Q$4013*(1-$R$4012)^($M4025-$M$4013),2)</f>
        <v>1.94</v>
      </c>
      <c r="R4025" s="41" t="str">
        <f>"Bonushöhe bei Inbetriebnahme in "&amp;M4025</f>
        <v>Bonushöhe bei Inbetriebnahme in 2011</v>
      </c>
      <c r="S4025" s="12"/>
      <c r="T4025" s="12"/>
      <c r="U4025" s="12"/>
      <c r="V4025" s="12"/>
      <c r="W4025" s="12"/>
      <c r="X4025" s="12"/>
      <c r="Y4025" s="12"/>
      <c r="Z4025" s="12"/>
      <c r="AA4025" s="12"/>
      <c r="AB4025" s="12"/>
      <c r="AC4025" s="12"/>
      <c r="AD4025" s="12"/>
      <c r="AE4025" s="12"/>
      <c r="AF4025" s="12"/>
      <c r="AG4025" s="12"/>
    </row>
    <row r="4026" spans="1:33" x14ac:dyDescent="0.25">
      <c r="A4026" s="610" t="str">
        <f>LEFT(A4020,12)&amp;($M$4025-2000)</f>
        <v>GrK260------11</v>
      </c>
      <c r="B4026" s="17" t="s">
        <v>5412</v>
      </c>
      <c r="C4026" s="30" t="str">
        <f>"Inbetriebnahme "&amp;$M$4025</f>
        <v>Inbetriebnahme 2011</v>
      </c>
      <c r="D4026" s="17" t="s">
        <v>5413</v>
      </c>
      <c r="E4026" s="17"/>
      <c r="F4026" s="444">
        <f>M4026</f>
        <v>6.95</v>
      </c>
      <c r="G4026" s="519">
        <v>6.95</v>
      </c>
      <c r="H4026" s="18">
        <f t="shared" si="1607"/>
        <v>5.56</v>
      </c>
      <c r="I4026" s="694"/>
      <c r="J4026" s="669" t="s">
        <v>5805</v>
      </c>
      <c r="L4026" s="70" t="str">
        <f>IF(F4026=M4026,"",FALSE)</f>
        <v/>
      </c>
      <c r="M4026" s="49">
        <f>N4026+SUMIF(O4026:Q4026,"x",$O$4025:$Q$4025)</f>
        <v>6.95</v>
      </c>
      <c r="N4026" s="90">
        <f>ROUND(N4014*(1-$R$4012)^($M$4025-$M$4013),2)</f>
        <v>6.95</v>
      </c>
      <c r="O4026" s="120"/>
      <c r="P4026" s="120"/>
      <c r="Q4026" s="112"/>
    </row>
    <row r="4027" spans="1:33" x14ac:dyDescent="0.25">
      <c r="A4027" s="610" t="str">
        <f>LEFT(A4021,12)&amp;($M$4025-2000)</f>
        <v>GrK263------11</v>
      </c>
      <c r="B4027" s="17" t="s">
        <v>5412</v>
      </c>
      <c r="C4027" s="30" t="str">
        <f>"Inbetriebnahme "&amp;$M$4025</f>
        <v>Inbetriebnahme 2011</v>
      </c>
      <c r="D4027" s="30" t="s">
        <v>590</v>
      </c>
      <c r="E4027" s="17"/>
      <c r="F4027" s="444">
        <f>M4027</f>
        <v>8.89</v>
      </c>
      <c r="G4027" s="519">
        <v>8.89</v>
      </c>
      <c r="H4027" s="18">
        <f t="shared" si="1607"/>
        <v>7.11</v>
      </c>
      <c r="I4027" s="694"/>
      <c r="J4027" s="669" t="s">
        <v>5805</v>
      </c>
      <c r="L4027" s="70" t="str">
        <f>IF(F4027=M4027,"",FALSE)</f>
        <v/>
      </c>
      <c r="M4027" s="49">
        <f>N4027+SUMIF(O4027:Q4027,"x",$O$4025:$Q$4025)</f>
        <v>8.89</v>
      </c>
      <c r="N4027" s="90">
        <f>ROUND(N4015*(1-$R$4012)^($M$4025-$M$4013),2)</f>
        <v>6.95</v>
      </c>
      <c r="O4027" s="120"/>
      <c r="P4027" s="120"/>
      <c r="Q4027" s="112" t="s">
        <v>1017</v>
      </c>
    </row>
    <row r="4028" spans="1:33" x14ac:dyDescent="0.25">
      <c r="A4028" s="610" t="str">
        <f>LEFT(A4022,12)&amp;($M$4025-2000)</f>
        <v>GrK265------11</v>
      </c>
      <c r="B4028" s="17" t="s">
        <v>5412</v>
      </c>
      <c r="C4028" s="30" t="str">
        <f>"Inbetriebnahme "&amp;$M$4025</f>
        <v>Inbetriebnahme 2011</v>
      </c>
      <c r="D4028" s="17" t="s">
        <v>5414</v>
      </c>
      <c r="E4028" s="17"/>
      <c r="F4028" s="444">
        <f>M4028</f>
        <v>5.01</v>
      </c>
      <c r="G4028" s="519">
        <v>5.01</v>
      </c>
      <c r="H4028" s="18">
        <f t="shared" si="1607"/>
        <v>4.01</v>
      </c>
      <c r="I4028" s="694"/>
      <c r="J4028" s="669" t="s">
        <v>5805</v>
      </c>
      <c r="L4028" s="70" t="str">
        <f>IF(F4028=M4028,"",FALSE)</f>
        <v/>
      </c>
      <c r="M4028" s="49">
        <f>N4028+SUMIF(O4028:Q4028,"x",$O$4025:$Q$4025)</f>
        <v>5.01</v>
      </c>
      <c r="N4028" s="90">
        <f>ROUND(N4016*(1-$R$4012)^($M$4025-$M$4013),2)</f>
        <v>5.01</v>
      </c>
      <c r="O4028" s="121"/>
      <c r="P4028" s="121"/>
      <c r="Q4028" s="112"/>
    </row>
    <row r="4029" spans="1:33" x14ac:dyDescent="0.25">
      <c r="A4029" s="610" t="str">
        <f>LEFT(A4023,12)&amp;($M$4025-2000)</f>
        <v>GrK268------11</v>
      </c>
      <c r="B4029" s="17" t="s">
        <v>5412</v>
      </c>
      <c r="C4029" s="30" t="str">
        <f>"Inbetriebnahme "&amp;$M$4025</f>
        <v>Inbetriebnahme 2011</v>
      </c>
      <c r="D4029" s="30" t="s">
        <v>592</v>
      </c>
      <c r="E4029" s="17"/>
      <c r="F4029" s="444">
        <f>M4029</f>
        <v>6.9499999999999993</v>
      </c>
      <c r="G4029" s="519">
        <v>6.9499999999999993</v>
      </c>
      <c r="H4029" s="18">
        <f t="shared" si="1607"/>
        <v>5.56</v>
      </c>
      <c r="I4029" s="694"/>
      <c r="J4029" s="669" t="s">
        <v>5805</v>
      </c>
      <c r="L4029" s="70" t="str">
        <f>IF(F4029=M4029,"",FALSE)</f>
        <v/>
      </c>
      <c r="M4029" s="49">
        <f>N4029+SUMIF(O4029:Q4029,"x",$O$4025:$Q$4025)</f>
        <v>6.9499999999999993</v>
      </c>
      <c r="N4029" s="90">
        <f>ROUND(N4017*(1-$R$4012)^($M$4025-$M$4013),2)</f>
        <v>5.01</v>
      </c>
      <c r="O4029" s="123"/>
      <c r="P4029" s="121"/>
      <c r="Q4029" s="112" t="s">
        <v>1017</v>
      </c>
    </row>
    <row r="4030" spans="1:33" x14ac:dyDescent="0.25">
      <c r="A4030" s="610" t="str">
        <f>LEFT(A4024,12)&amp;($M$4025-2000)</f>
        <v>GrK2610-----11</v>
      </c>
      <c r="B4030" s="17" t="s">
        <v>5412</v>
      </c>
      <c r="C4030" s="30" t="str">
        <f>"Inbetriebnahme "&amp;$M$4025</f>
        <v>Inbetriebnahme 2011</v>
      </c>
      <c r="D4030" s="17" t="s">
        <v>7376</v>
      </c>
      <c r="E4030" s="17"/>
      <c r="F4030" s="444">
        <f>M4030</f>
        <v>4.04</v>
      </c>
      <c r="G4030" s="519">
        <v>4.04</v>
      </c>
      <c r="H4030" s="18">
        <f t="shared" si="1607"/>
        <v>3.23</v>
      </c>
      <c r="I4030" s="694"/>
      <c r="J4030" s="669" t="s">
        <v>5805</v>
      </c>
      <c r="L4030" s="70" t="str">
        <f>IF(F4030=M4030,"",FALSE)</f>
        <v/>
      </c>
      <c r="M4030" s="59">
        <f>N4030+SUMIF(O4030:Q4030,"x",$O$4025:$Q$4025)</f>
        <v>4.04</v>
      </c>
      <c r="N4030" s="52">
        <f>ROUND(N4018*(1-$R$4012)^($M$4025-$M$4013),2)</f>
        <v>4.04</v>
      </c>
      <c r="O4030" s="122"/>
      <c r="P4030" s="122"/>
      <c r="Q4030" s="114"/>
    </row>
    <row r="4031" spans="1:33" x14ac:dyDescent="0.25">
      <c r="A4031" s="608"/>
      <c r="B4031" s="2"/>
      <c r="C4031" s="1"/>
      <c r="D4031" s="2"/>
      <c r="E4031" s="1"/>
      <c r="F4031" s="442"/>
      <c r="G4031" s="520"/>
      <c r="H4031" s="13" t="str">
        <f t="shared" si="1607"/>
        <v/>
      </c>
      <c r="I4031" s="692"/>
      <c r="J4031" s="669" t="s">
        <v>4180</v>
      </c>
      <c r="K4031" s="28"/>
      <c r="M4031" s="35"/>
      <c r="N4031" s="15"/>
      <c r="O4031" s="15"/>
    </row>
    <row r="4032" spans="1:33" s="259" customFormat="1" ht="21.75" customHeight="1" x14ac:dyDescent="0.25">
      <c r="A4032" s="622"/>
      <c r="B4032" s="256"/>
      <c r="C4032" s="256"/>
      <c r="D4032" s="255"/>
      <c r="E4032" s="256"/>
      <c r="F4032" s="463"/>
      <c r="G4032" s="539"/>
      <c r="H4032" s="257" t="str">
        <f t="shared" ref="H4032:H4088" si="1615">IF(ISNUMBER(G4032),ROUND(0.8*G4032,2),"")</f>
        <v/>
      </c>
      <c r="I4032" s="717"/>
      <c r="J4032" s="669" t="s">
        <v>4180</v>
      </c>
      <c r="K4032" s="272"/>
      <c r="M4032" s="260" t="s">
        <v>492</v>
      </c>
      <c r="N4032" s="273"/>
      <c r="O4032" s="272"/>
      <c r="P4032" s="272"/>
    </row>
    <row r="4033" spans="1:33" s="238" customFormat="1" ht="57.75" customHeight="1" x14ac:dyDescent="0.2">
      <c r="A4033" s="621"/>
      <c r="B4033" s="230"/>
      <c r="C4033" s="231"/>
      <c r="D4033" s="231"/>
      <c r="E4033" s="232"/>
      <c r="F4033" s="464"/>
      <c r="G4033" s="540"/>
      <c r="H4033" s="496" t="str">
        <f t="shared" si="1615"/>
        <v/>
      </c>
      <c r="I4033" s="718"/>
      <c r="J4033" s="669" t="s">
        <v>4180</v>
      </c>
      <c r="K4033" s="234"/>
      <c r="L4033" s="234"/>
      <c r="M4033" s="242" t="s">
        <v>2914</v>
      </c>
      <c r="N4033" s="359" t="s">
        <v>503</v>
      </c>
      <c r="O4033" s="271" t="s">
        <v>496</v>
      </c>
      <c r="P4033" s="268"/>
      <c r="Q4033" s="365"/>
      <c r="R4033" s="118" t="s">
        <v>505</v>
      </c>
      <c r="S4033" s="268"/>
      <c r="T4033" s="268"/>
      <c r="U4033" s="268"/>
      <c r="V4033" s="268"/>
      <c r="W4033" s="268"/>
      <c r="X4033" s="268"/>
      <c r="Y4033" s="237"/>
    </row>
    <row r="4034" spans="1:33" x14ac:dyDescent="0.25">
      <c r="A4034" s="608"/>
      <c r="B4034" s="2"/>
      <c r="C4034" s="1"/>
      <c r="D4034" s="2"/>
      <c r="E4034" s="1"/>
      <c r="F4034" s="442"/>
      <c r="G4034" s="520"/>
      <c r="H4034" s="13" t="str">
        <f t="shared" si="1615"/>
        <v/>
      </c>
      <c r="I4034" s="692"/>
      <c r="J4034" s="669" t="s">
        <v>4180</v>
      </c>
      <c r="K4034" s="28"/>
      <c r="M4034" s="47">
        <v>2012</v>
      </c>
      <c r="N4034" s="360"/>
      <c r="O4034" s="47"/>
      <c r="P4034" s="47"/>
      <c r="Q4034" s="111"/>
      <c r="R4034" s="119">
        <v>1.4999999999999999E-2</v>
      </c>
    </row>
    <row r="4035" spans="1:33" x14ac:dyDescent="0.25">
      <c r="A4035" s="613" t="s">
        <v>493</v>
      </c>
      <c r="B4035" s="283" t="s">
        <v>5412</v>
      </c>
      <c r="C4035" s="285" t="str">
        <f>"Inbetriebnahme "&amp;$M$4034</f>
        <v>Inbetriebnahme 2012</v>
      </c>
      <c r="D4035" s="283" t="s">
        <v>5413</v>
      </c>
      <c r="E4035" s="283"/>
      <c r="F4035" s="447">
        <v>6.84</v>
      </c>
      <c r="G4035" s="523">
        <v>6.84</v>
      </c>
      <c r="H4035" s="286">
        <f t="shared" si="1615"/>
        <v>5.47</v>
      </c>
      <c r="I4035" s="697"/>
      <c r="J4035" s="669" t="s">
        <v>5805</v>
      </c>
      <c r="L4035" s="269" t="str">
        <f>IF(F4035=M4035,"",FALSE)</f>
        <v/>
      </c>
      <c r="M4035" s="49">
        <f>N4035+SUMIF(O4035:Q4035,"x",O$4034:Q$4034)</f>
        <v>6.84</v>
      </c>
      <c r="N4035" s="90">
        <v>6.84</v>
      </c>
      <c r="O4035" s="117"/>
      <c r="P4035" s="117"/>
      <c r="Q4035" s="112"/>
      <c r="R4035" s="92"/>
      <c r="S4035" s="92"/>
      <c r="T4035" s="92"/>
      <c r="U4035" s="92"/>
    </row>
    <row r="4036" spans="1:33" x14ac:dyDescent="0.25">
      <c r="A4036" s="613" t="s">
        <v>494</v>
      </c>
      <c r="B4036" s="283" t="s">
        <v>5412</v>
      </c>
      <c r="C4036" s="285" t="str">
        <f>"Inbetriebnahme "&amp;$M$4034</f>
        <v>Inbetriebnahme 2012</v>
      </c>
      <c r="D4036" s="283" t="s">
        <v>5414</v>
      </c>
      <c r="E4036" s="283"/>
      <c r="F4036" s="447">
        <v>4.93</v>
      </c>
      <c r="G4036" s="523">
        <v>4.93</v>
      </c>
      <c r="H4036" s="286">
        <f t="shared" si="1615"/>
        <v>3.94</v>
      </c>
      <c r="I4036" s="697"/>
      <c r="J4036" s="669" t="s">
        <v>5805</v>
      </c>
      <c r="L4036" s="269" t="str">
        <f>IF(F4036=M4036,"",FALSE)</f>
        <v/>
      </c>
      <c r="M4036" s="49">
        <f>N4036+SUMIF(O4036:Q4036,"x",O$4034:Q$4034)</f>
        <v>4.93</v>
      </c>
      <c r="N4036" s="90">
        <v>4.93</v>
      </c>
      <c r="O4036" s="117"/>
      <c r="P4036" s="117"/>
      <c r="Q4036" s="112"/>
      <c r="R4036" s="92"/>
      <c r="S4036" s="92"/>
      <c r="T4036" s="92"/>
      <c r="U4036" s="92"/>
    </row>
    <row r="4037" spans="1:33" x14ac:dyDescent="0.25">
      <c r="A4037" s="613" t="s">
        <v>495</v>
      </c>
      <c r="B4037" s="283" t="s">
        <v>5412</v>
      </c>
      <c r="C4037" s="285" t="str">
        <f>"Inbetriebnahme "&amp;$M$4034</f>
        <v>Inbetriebnahme 2012</v>
      </c>
      <c r="D4037" s="283" t="s">
        <v>7376</v>
      </c>
      <c r="E4037" s="283"/>
      <c r="F4037" s="447">
        <v>3.98</v>
      </c>
      <c r="G4037" s="523">
        <v>3.98</v>
      </c>
      <c r="H4037" s="286">
        <f t="shared" si="1615"/>
        <v>3.18</v>
      </c>
      <c r="I4037" s="697"/>
      <c r="J4037" s="669" t="s">
        <v>5805</v>
      </c>
      <c r="L4037" s="269" t="str">
        <f>IF(F4037=M4037,"",FALSE)</f>
        <v/>
      </c>
      <c r="M4037" s="59">
        <f>N4037+SUMIF(O4037:Q4037,"x",O$4034:Q$4034)</f>
        <v>3.98</v>
      </c>
      <c r="N4037" s="52">
        <v>3.98</v>
      </c>
      <c r="O4037" s="115"/>
      <c r="P4037" s="115"/>
      <c r="Q4037" s="114"/>
      <c r="R4037" s="92"/>
      <c r="S4037" s="92"/>
      <c r="T4037" s="92"/>
      <c r="U4037" s="92"/>
    </row>
    <row r="4038" spans="1:33" x14ac:dyDescent="0.25">
      <c r="A4038" s="608"/>
      <c r="B4038" s="2"/>
      <c r="C4038" s="1"/>
      <c r="D4038" s="2"/>
      <c r="E4038" s="1"/>
      <c r="F4038" s="442"/>
      <c r="G4038" s="520"/>
      <c r="H4038" s="13" t="str">
        <f t="shared" si="1615"/>
        <v/>
      </c>
      <c r="I4038" s="692"/>
      <c r="J4038" s="669" t="s">
        <v>4180</v>
      </c>
      <c r="K4038" s="28"/>
      <c r="M4038" s="358">
        <v>2013</v>
      </c>
      <c r="N4038" s="361"/>
      <c r="O4038" s="358"/>
      <c r="P4038" s="358"/>
      <c r="Q4038" s="366"/>
      <c r="R4038" s="119">
        <v>1.4999999999999999E-2</v>
      </c>
    </row>
    <row r="4039" spans="1:33" x14ac:dyDescent="0.25">
      <c r="A4039" s="615" t="s">
        <v>4699</v>
      </c>
      <c r="B4039" s="372" t="s">
        <v>5412</v>
      </c>
      <c r="C4039" s="373" t="str">
        <f>"Inbetriebnahme "&amp;$M$4038</f>
        <v>Inbetriebnahme 2013</v>
      </c>
      <c r="D4039" s="372" t="s">
        <v>5413</v>
      </c>
      <c r="E4039" s="372"/>
      <c r="F4039" s="449">
        <f>M4039</f>
        <v>6.74</v>
      </c>
      <c r="G4039" s="525">
        <v>6.74</v>
      </c>
      <c r="H4039" s="374">
        <f t="shared" si="1615"/>
        <v>5.39</v>
      </c>
      <c r="I4039" s="699"/>
      <c r="J4039" s="669" t="s">
        <v>5805</v>
      </c>
      <c r="L4039" s="269" t="str">
        <f>IF(F4039=M4039,"",FALSE)</f>
        <v/>
      </c>
      <c r="M4039" s="49">
        <f>ROUND(N4039,2)+SUMIF(O4039:Q4039,"x",O$4038:Q$4038)</f>
        <v>6.74</v>
      </c>
      <c r="N4039" s="90">
        <f>N4035*(1-$R$4038)</f>
        <v>6.7374000000000001</v>
      </c>
      <c r="O4039" s="117"/>
      <c r="P4039" s="117"/>
      <c r="Q4039" s="112"/>
      <c r="R4039" s="92"/>
      <c r="S4039" s="92"/>
      <c r="T4039" s="92"/>
      <c r="U4039" s="92"/>
    </row>
    <row r="4040" spans="1:33" x14ac:dyDescent="0.25">
      <c r="A4040" s="615" t="s">
        <v>4700</v>
      </c>
      <c r="B4040" s="372" t="s">
        <v>5412</v>
      </c>
      <c r="C4040" s="373" t="str">
        <f>"Inbetriebnahme "&amp;$M$4038</f>
        <v>Inbetriebnahme 2013</v>
      </c>
      <c r="D4040" s="372" t="s">
        <v>5414</v>
      </c>
      <c r="E4040" s="372"/>
      <c r="F4040" s="449">
        <f>M4040</f>
        <v>4.8600000000000003</v>
      </c>
      <c r="G4040" s="525">
        <v>4.8600000000000003</v>
      </c>
      <c r="H4040" s="374">
        <f t="shared" si="1615"/>
        <v>3.89</v>
      </c>
      <c r="I4040" s="699"/>
      <c r="J4040" s="669" t="s">
        <v>5805</v>
      </c>
      <c r="L4040" s="269" t="str">
        <f>IF(F4040=M4040,"",FALSE)</f>
        <v/>
      </c>
      <c r="M4040" s="49">
        <f>ROUND(N4040,2)+SUMIF(O4040:Q4040,"x",O$4038:Q$4038)</f>
        <v>4.8600000000000003</v>
      </c>
      <c r="N4040" s="90">
        <f>N4036*(1-$R$4038)</f>
        <v>4.8560499999999998</v>
      </c>
      <c r="O4040" s="117"/>
      <c r="P4040" s="117"/>
      <c r="Q4040" s="112"/>
      <c r="R4040" s="92"/>
      <c r="S4040" s="92"/>
      <c r="T4040" s="92"/>
      <c r="U4040" s="92"/>
    </row>
    <row r="4041" spans="1:33" x14ac:dyDescent="0.25">
      <c r="A4041" s="615" t="s">
        <v>4701</v>
      </c>
      <c r="B4041" s="372" t="s">
        <v>5412</v>
      </c>
      <c r="C4041" s="373" t="str">
        <f>"Inbetriebnahme "&amp;$M$4038</f>
        <v>Inbetriebnahme 2013</v>
      </c>
      <c r="D4041" s="372" t="s">
        <v>7376</v>
      </c>
      <c r="E4041" s="372"/>
      <c r="F4041" s="449">
        <f>M4041</f>
        <v>3.92</v>
      </c>
      <c r="G4041" s="525">
        <v>3.92</v>
      </c>
      <c r="H4041" s="374">
        <f t="shared" si="1615"/>
        <v>3.14</v>
      </c>
      <c r="I4041" s="699"/>
      <c r="J4041" s="669" t="s">
        <v>5805</v>
      </c>
      <c r="L4041" s="269" t="str">
        <f>IF(F4041=M4041,"",FALSE)</f>
        <v/>
      </c>
      <c r="M4041" s="59">
        <f>ROUND(N4041,2)+SUMIF(O4041:Q4041,"x",O$4038:Q$4038)</f>
        <v>3.92</v>
      </c>
      <c r="N4041" s="52">
        <f>N4037*(1-$R$4038)</f>
        <v>3.9203000000000001</v>
      </c>
      <c r="O4041" s="115"/>
      <c r="P4041" s="115"/>
      <c r="Q4041" s="114"/>
      <c r="R4041" s="92"/>
      <c r="S4041" s="92"/>
      <c r="T4041" s="92"/>
      <c r="U4041" s="92"/>
    </row>
    <row r="4042" spans="1:33" x14ac:dyDescent="0.25">
      <c r="A4042" s="608"/>
      <c r="B4042" s="2"/>
      <c r="C4042" s="1"/>
      <c r="D4042" s="2"/>
      <c r="E4042" s="1"/>
      <c r="F4042" s="442"/>
      <c r="G4042" s="520"/>
      <c r="H4042" s="13" t="str">
        <f t="shared" si="1615"/>
        <v/>
      </c>
      <c r="I4042" s="692"/>
      <c r="J4042" s="669" t="s">
        <v>4180</v>
      </c>
      <c r="K4042" s="28"/>
      <c r="M4042" s="358">
        <v>2014</v>
      </c>
      <c r="N4042" s="361"/>
      <c r="O4042" s="358"/>
      <c r="P4042" s="358"/>
      <c r="Q4042" s="366"/>
      <c r="R4042" s="119">
        <v>1.4999999999999999E-2</v>
      </c>
    </row>
    <row r="4043" spans="1:33" x14ac:dyDescent="0.25">
      <c r="A4043" s="615" t="s">
        <v>1669</v>
      </c>
      <c r="B4043" s="372" t="s">
        <v>5412</v>
      </c>
      <c r="C4043" s="373" t="str">
        <f>"Inbetriebnahme "&amp;$M$4042</f>
        <v>Inbetriebnahme 2014</v>
      </c>
      <c r="D4043" s="372" t="s">
        <v>5413</v>
      </c>
      <c r="E4043" s="372"/>
      <c r="F4043" s="449">
        <f>M4043</f>
        <v>6.64</v>
      </c>
      <c r="G4043" s="525">
        <v>6.64</v>
      </c>
      <c r="H4043" s="374">
        <f t="shared" si="1615"/>
        <v>5.31</v>
      </c>
      <c r="I4043" s="699"/>
      <c r="J4043" s="669" t="s">
        <v>5805</v>
      </c>
      <c r="L4043" s="269" t="str">
        <f>IF(F4043=M4043,"",FALSE)</f>
        <v/>
      </c>
      <c r="M4043" s="49">
        <f>ROUND(N4043,2)+SUMIF(O4043:Q4043,"x",O$4042:Q$4042)</f>
        <v>6.64</v>
      </c>
      <c r="N4043" s="90">
        <f>N4039*(1-$R$4042)</f>
        <v>6.6363389999999995</v>
      </c>
      <c r="O4043" s="117"/>
      <c r="P4043" s="117"/>
      <c r="Q4043" s="112"/>
      <c r="R4043" s="92"/>
      <c r="S4043" s="92"/>
      <c r="T4043" s="92"/>
      <c r="U4043" s="92"/>
    </row>
    <row r="4044" spans="1:33" x14ac:dyDescent="0.25">
      <c r="A4044" s="615" t="s">
        <v>1670</v>
      </c>
      <c r="B4044" s="372" t="s">
        <v>5412</v>
      </c>
      <c r="C4044" s="373" t="str">
        <f>"Inbetriebnahme "&amp;$M$4042</f>
        <v>Inbetriebnahme 2014</v>
      </c>
      <c r="D4044" s="372" t="s">
        <v>5414</v>
      </c>
      <c r="E4044" s="372"/>
      <c r="F4044" s="449">
        <f>M4044</f>
        <v>4.78</v>
      </c>
      <c r="G4044" s="525">
        <v>4.78</v>
      </c>
      <c r="H4044" s="374">
        <f t="shared" si="1615"/>
        <v>3.82</v>
      </c>
      <c r="I4044" s="699"/>
      <c r="J4044" s="669" t="s">
        <v>5805</v>
      </c>
      <c r="L4044" s="269" t="str">
        <f>IF(F4044=M4044,"",FALSE)</f>
        <v/>
      </c>
      <c r="M4044" s="49">
        <f>ROUND(N4044,2)+SUMIF(O4044:Q4044,"x",O$4042:Q$4042)</f>
        <v>4.78</v>
      </c>
      <c r="N4044" s="90">
        <f>N4040*(1-$R$4042)</f>
        <v>4.7832092499999996</v>
      </c>
      <c r="O4044" s="117"/>
      <c r="P4044" s="117"/>
      <c r="Q4044" s="112"/>
      <c r="R4044" s="92"/>
      <c r="S4044" s="92"/>
      <c r="T4044" s="92"/>
      <c r="U4044" s="92"/>
    </row>
    <row r="4045" spans="1:33" x14ac:dyDescent="0.25">
      <c r="A4045" s="615" t="s">
        <v>1671</v>
      </c>
      <c r="B4045" s="372" t="s">
        <v>5412</v>
      </c>
      <c r="C4045" s="373" t="str">
        <f>"Inbetriebnahme "&amp;$M$4042</f>
        <v>Inbetriebnahme 2014</v>
      </c>
      <c r="D4045" s="372" t="s">
        <v>7376</v>
      </c>
      <c r="E4045" s="372"/>
      <c r="F4045" s="449">
        <f>M4045</f>
        <v>3.86</v>
      </c>
      <c r="G4045" s="525">
        <v>3.86</v>
      </c>
      <c r="H4045" s="374">
        <f t="shared" si="1615"/>
        <v>3.09</v>
      </c>
      <c r="I4045" s="699"/>
      <c r="J4045" s="669" t="s">
        <v>5805</v>
      </c>
      <c r="L4045" s="269" t="str">
        <f>IF(F4045=M4045,"",FALSE)</f>
        <v/>
      </c>
      <c r="M4045" s="59">
        <f>ROUND(N4045,2)+SUMIF(O4045:Q4045,"x",O$4042:Q$4042)</f>
        <v>3.86</v>
      </c>
      <c r="N4045" s="52">
        <f>N4041*(1-$R$4042)</f>
        <v>3.8614955000000002</v>
      </c>
      <c r="O4045" s="115"/>
      <c r="P4045" s="115"/>
      <c r="Q4045" s="114"/>
      <c r="R4045" s="92"/>
      <c r="S4045" s="92"/>
      <c r="T4045" s="92"/>
      <c r="U4045" s="92"/>
    </row>
    <row r="4046" spans="1:33" s="12" customFormat="1" x14ac:dyDescent="0.25">
      <c r="A4046" s="616"/>
      <c r="B4046" s="2"/>
      <c r="C4046" s="1"/>
      <c r="D4046" s="2"/>
      <c r="E4046" s="1"/>
      <c r="F4046" s="442"/>
      <c r="G4046" s="13"/>
      <c r="H4046" s="13" t="str">
        <f t="shared" si="1615"/>
        <v/>
      </c>
      <c r="I4046" s="692"/>
      <c r="J4046" s="669" t="s">
        <v>4180</v>
      </c>
      <c r="L4046" s="269"/>
      <c r="M4046" s="49"/>
      <c r="N4046" s="41"/>
      <c r="O4046" s="188"/>
      <c r="P4046" s="188"/>
      <c r="Q4046" s="188"/>
      <c r="R4046" s="27"/>
      <c r="S4046" s="27"/>
      <c r="T4046" s="27"/>
      <c r="U4046" s="27"/>
    </row>
    <row r="4047" spans="1:33" s="259" customFormat="1" ht="20.25" customHeight="1" x14ac:dyDescent="0.25">
      <c r="A4047" s="617"/>
      <c r="B4047" s="255"/>
      <c r="C4047" s="256"/>
      <c r="D4047" s="255"/>
      <c r="E4047" s="256"/>
      <c r="F4047" s="463"/>
      <c r="G4047" s="257"/>
      <c r="H4047" s="257" t="str">
        <f t="shared" si="1615"/>
        <v/>
      </c>
      <c r="I4047" s="717"/>
      <c r="J4047" s="669" t="s">
        <v>4180</v>
      </c>
      <c r="K4047" s="258"/>
      <c r="L4047" s="362"/>
      <c r="M4047" s="260" t="s">
        <v>67</v>
      </c>
      <c r="N4047" s="261"/>
      <c r="O4047" s="261"/>
      <c r="AG4047" s="262"/>
    </row>
    <row r="4048" spans="1:33" x14ac:dyDescent="0.25">
      <c r="A4048" s="608"/>
      <c r="B4048" s="2"/>
      <c r="C4048" s="34"/>
      <c r="D4048" s="34"/>
      <c r="E4048" s="2"/>
      <c r="F4048" s="445"/>
      <c r="G4048" s="14"/>
      <c r="H4048" s="14" t="str">
        <f t="shared" si="1615"/>
        <v/>
      </c>
      <c r="I4048" s="695"/>
      <c r="J4048" s="669" t="s">
        <v>4180</v>
      </c>
      <c r="N4048" s="270" t="s">
        <v>5490</v>
      </c>
      <c r="O4048" t="s">
        <v>5413</v>
      </c>
      <c r="P4048" t="s">
        <v>5414</v>
      </c>
      <c r="Q4048" t="s">
        <v>7376</v>
      </c>
    </row>
    <row r="4049" spans="1:19" x14ac:dyDescent="0.25">
      <c r="A4049" s="607" t="s">
        <v>65</v>
      </c>
      <c r="B4049" s="435" t="s">
        <v>5412</v>
      </c>
      <c r="C4049" s="436" t="s">
        <v>39</v>
      </c>
      <c r="D4049" s="436" t="s">
        <v>5413</v>
      </c>
      <c r="E4049" s="435"/>
      <c r="F4049" s="450">
        <f>ROUND(HLOOKUP(D4049,O4048:Q4050,3,FALSE),2)</f>
        <v>6.54</v>
      </c>
      <c r="G4049" s="437">
        <f>ROUND(HLOOKUP(D4049,O4048:Q4050,2,FALSE),2)</f>
        <v>6.74</v>
      </c>
      <c r="H4049" s="437">
        <f t="shared" si="1615"/>
        <v>5.39</v>
      </c>
      <c r="I4049" s="700"/>
      <c r="J4049" s="669" t="s">
        <v>5805</v>
      </c>
      <c r="M4049" s="127">
        <v>2014</v>
      </c>
      <c r="N4049" s="395" t="s">
        <v>88</v>
      </c>
      <c r="O4049" s="327">
        <v>6.74</v>
      </c>
      <c r="P4049" s="327">
        <v>4.3</v>
      </c>
      <c r="Q4049" s="327">
        <v>3.8</v>
      </c>
      <c r="S4049" t="s">
        <v>49</v>
      </c>
    </row>
    <row r="4050" spans="1:19" x14ac:dyDescent="0.25">
      <c r="A4050" s="607" t="s">
        <v>66</v>
      </c>
      <c r="B4050" s="435" t="s">
        <v>5412</v>
      </c>
      <c r="C4050" s="436" t="s">
        <v>39</v>
      </c>
      <c r="D4050" s="436" t="s">
        <v>5414</v>
      </c>
      <c r="E4050" s="435"/>
      <c r="F4050" s="450">
        <f>ROUND(HLOOKUP(D4050,O4048:Q4050,3,FALSE),2)</f>
        <v>4.0999999999999996</v>
      </c>
      <c r="G4050" s="437">
        <f>ROUND(HLOOKUP(D4050,O4048:Q4050,2,FALSE),2)</f>
        <v>4.3</v>
      </c>
      <c r="H4050" s="437">
        <f t="shared" si="1615"/>
        <v>3.44</v>
      </c>
      <c r="I4050" s="700"/>
      <c r="J4050" s="669" t="s">
        <v>5805</v>
      </c>
      <c r="N4050" s="395" t="s">
        <v>85</v>
      </c>
      <c r="O4050" s="327">
        <f>O4049-0.2</f>
        <v>6.54</v>
      </c>
      <c r="P4050" s="327">
        <f>P4049-0.2</f>
        <v>4.0999999999999996</v>
      </c>
      <c r="Q4050" s="327">
        <f>Q4049-0.2</f>
        <v>3.5999999999999996</v>
      </c>
      <c r="S4050" t="s">
        <v>50</v>
      </c>
    </row>
    <row r="4051" spans="1:19" x14ac:dyDescent="0.25">
      <c r="A4051" s="607" t="s">
        <v>68</v>
      </c>
      <c r="B4051" s="435" t="s">
        <v>5412</v>
      </c>
      <c r="C4051" s="436" t="s">
        <v>39</v>
      </c>
      <c r="D4051" s="436" t="s">
        <v>7376</v>
      </c>
      <c r="E4051" s="435"/>
      <c r="F4051" s="450">
        <f>ROUND(HLOOKUP(D4051,O4048:Q4050,3,FALSE),2)</f>
        <v>3.6</v>
      </c>
      <c r="G4051" s="437">
        <f>ROUND(HLOOKUP(D4051,O4048:Q4050,2,FALSE),2)</f>
        <v>3.8</v>
      </c>
      <c r="H4051" s="437">
        <f t="shared" si="1615"/>
        <v>3.04</v>
      </c>
      <c r="I4051" s="700"/>
      <c r="J4051" s="669" t="s">
        <v>5805</v>
      </c>
      <c r="N4051" s="395"/>
      <c r="O4051" s="327"/>
      <c r="P4051" s="327"/>
      <c r="Q4051" s="327"/>
    </row>
    <row r="4052" spans="1:19" x14ac:dyDescent="0.25">
      <c r="A4052" s="608"/>
      <c r="B4052" s="2"/>
      <c r="C4052" s="34"/>
      <c r="D4052" s="34"/>
      <c r="E4052" s="2"/>
      <c r="F4052" s="445"/>
      <c r="G4052" s="14"/>
      <c r="H4052" s="14" t="str">
        <f t="shared" si="1615"/>
        <v/>
      </c>
      <c r="I4052" s="695"/>
      <c r="J4052" s="669" t="s">
        <v>4180</v>
      </c>
      <c r="N4052" s="270" t="s">
        <v>5490</v>
      </c>
      <c r="O4052" t="s">
        <v>5413</v>
      </c>
      <c r="P4052" t="s">
        <v>5414</v>
      </c>
      <c r="Q4052" t="s">
        <v>7376</v>
      </c>
    </row>
    <row r="4053" spans="1:19" x14ac:dyDescent="0.25">
      <c r="A4053" s="607" t="s">
        <v>388</v>
      </c>
      <c r="B4053" s="435" t="s">
        <v>5412</v>
      </c>
      <c r="C4053" s="436" t="s">
        <v>380</v>
      </c>
      <c r="D4053" s="436" t="s">
        <v>5413</v>
      </c>
      <c r="E4053" s="435"/>
      <c r="F4053" s="450">
        <f>ROUND(HLOOKUP(D4053,O4052:Q4054,3,FALSE),2)</f>
        <v>6.54</v>
      </c>
      <c r="G4053" s="437">
        <f>ROUND(HLOOKUP(D4053,O4052:Q4054,2,FALSE),2)</f>
        <v>6.74</v>
      </c>
      <c r="H4053" s="437">
        <f t="shared" si="1615"/>
        <v>5.39</v>
      </c>
      <c r="I4053" s="700"/>
      <c r="J4053" s="669" t="s">
        <v>5805</v>
      </c>
      <c r="M4053" s="127">
        <v>2015</v>
      </c>
      <c r="N4053" s="395" t="s">
        <v>88</v>
      </c>
      <c r="O4053" s="327">
        <v>6.74</v>
      </c>
      <c r="P4053" s="327">
        <v>4.3</v>
      </c>
      <c r="Q4053" s="327">
        <v>3.8</v>
      </c>
      <c r="S4053" t="s">
        <v>49</v>
      </c>
    </row>
    <row r="4054" spans="1:19" x14ac:dyDescent="0.25">
      <c r="A4054" s="607" t="s">
        <v>389</v>
      </c>
      <c r="B4054" s="435" t="s">
        <v>5412</v>
      </c>
      <c r="C4054" s="436" t="s">
        <v>380</v>
      </c>
      <c r="D4054" s="436" t="s">
        <v>5414</v>
      </c>
      <c r="E4054" s="435"/>
      <c r="F4054" s="450">
        <f>ROUND(HLOOKUP(D4054,O4052:Q4054,3,FALSE),2)</f>
        <v>4.0999999999999996</v>
      </c>
      <c r="G4054" s="437">
        <f>ROUND(HLOOKUP(D4054,O4052:Q4054,2,FALSE),2)</f>
        <v>4.3</v>
      </c>
      <c r="H4054" s="437">
        <f t="shared" si="1615"/>
        <v>3.44</v>
      </c>
      <c r="I4054" s="700"/>
      <c r="J4054" s="669" t="s">
        <v>5805</v>
      </c>
      <c r="N4054" s="395" t="s">
        <v>85</v>
      </c>
      <c r="O4054" s="327">
        <f>O4053-0.2</f>
        <v>6.54</v>
      </c>
      <c r="P4054" s="327">
        <f>P4053-0.2</f>
        <v>4.0999999999999996</v>
      </c>
      <c r="Q4054" s="327">
        <f>Q4053-0.2</f>
        <v>3.5999999999999996</v>
      </c>
      <c r="S4054" t="s">
        <v>50</v>
      </c>
    </row>
    <row r="4055" spans="1:19" x14ac:dyDescent="0.25">
      <c r="A4055" s="607" t="s">
        <v>390</v>
      </c>
      <c r="B4055" s="435" t="s">
        <v>5412</v>
      </c>
      <c r="C4055" s="436" t="s">
        <v>380</v>
      </c>
      <c r="D4055" s="436" t="s">
        <v>7376</v>
      </c>
      <c r="E4055" s="435"/>
      <c r="F4055" s="450">
        <f>ROUND(HLOOKUP(D4055,O4052:Q4054,3,FALSE),2)</f>
        <v>3.6</v>
      </c>
      <c r="G4055" s="437">
        <f>ROUND(HLOOKUP(D4055,O4052:Q4054,2,FALSE),2)</f>
        <v>3.8</v>
      </c>
      <c r="H4055" s="437">
        <f t="shared" si="1615"/>
        <v>3.04</v>
      </c>
      <c r="I4055" s="700"/>
      <c r="J4055" s="669" t="s">
        <v>5805</v>
      </c>
      <c r="N4055" s="395"/>
      <c r="O4055" s="327"/>
      <c r="P4055" s="327"/>
      <c r="Q4055" s="327"/>
    </row>
    <row r="4056" spans="1:19" x14ac:dyDescent="0.25">
      <c r="A4056" s="608"/>
      <c r="B4056" s="2"/>
      <c r="C4056" s="34"/>
      <c r="D4056" s="34"/>
      <c r="E4056" s="2"/>
      <c r="F4056" s="445"/>
      <c r="G4056" s="14"/>
      <c r="H4056" s="14" t="str">
        <f t="shared" si="1615"/>
        <v/>
      </c>
      <c r="I4056" s="695"/>
      <c r="J4056" s="669" t="s">
        <v>4180</v>
      </c>
      <c r="N4056" s="270" t="s">
        <v>5490</v>
      </c>
      <c r="O4056" t="s">
        <v>5413</v>
      </c>
      <c r="P4056" t="s">
        <v>5414</v>
      </c>
      <c r="Q4056" t="s">
        <v>7376</v>
      </c>
    </row>
    <row r="4057" spans="1:19" x14ac:dyDescent="0.25">
      <c r="A4057" s="607" t="s">
        <v>5673</v>
      </c>
      <c r="B4057" s="435" t="s">
        <v>5412</v>
      </c>
      <c r="C4057" s="436" t="s">
        <v>5648</v>
      </c>
      <c r="D4057" s="436" t="s">
        <v>5413</v>
      </c>
      <c r="E4057" s="435"/>
      <c r="F4057" s="450">
        <f>ROUND(HLOOKUP(D4057,O4056:Q4058,3,FALSE),2)</f>
        <v>6.44</v>
      </c>
      <c r="G4057" s="437">
        <f>ROUND(HLOOKUP(D4057,O4056:Q4058,2,FALSE),2)</f>
        <v>6.64</v>
      </c>
      <c r="H4057" s="437">
        <f t="shared" si="1615"/>
        <v>5.31</v>
      </c>
      <c r="I4057" s="700"/>
      <c r="J4057" s="669" t="s">
        <v>5805</v>
      </c>
      <c r="M4057" s="127">
        <v>2016</v>
      </c>
      <c r="N4057" s="395">
        <v>1.4999999999999999E-2</v>
      </c>
      <c r="O4057" s="327">
        <f>IF($N4057&lt;&gt;"",O4053*(100%-$N4057),"")</f>
        <v>6.6389000000000005</v>
      </c>
      <c r="P4057" s="327">
        <f>IF($N4057&lt;&gt;"",P4053*(100%-$N4057),"")</f>
        <v>4.2355</v>
      </c>
      <c r="Q4057" s="327">
        <f>IF($N4057&lt;&gt;"",Q4053*(100%-$N4057),"")</f>
        <v>3.7429999999999999</v>
      </c>
      <c r="S4057" t="s">
        <v>49</v>
      </c>
    </row>
    <row r="4058" spans="1:19" x14ac:dyDescent="0.25">
      <c r="A4058" s="607" t="s">
        <v>5674</v>
      </c>
      <c r="B4058" s="435" t="s">
        <v>5412</v>
      </c>
      <c r="C4058" s="436" t="s">
        <v>5648</v>
      </c>
      <c r="D4058" s="436" t="s">
        <v>5414</v>
      </c>
      <c r="E4058" s="435"/>
      <c r="F4058" s="450">
        <f>ROUND(HLOOKUP(D4058,O4056:Q4058,3,FALSE),2)</f>
        <v>4.04</v>
      </c>
      <c r="G4058" s="437">
        <f>ROUND(HLOOKUP(D4058,O4056:Q4058,2,FALSE),2)</f>
        <v>4.24</v>
      </c>
      <c r="H4058" s="437">
        <f t="shared" si="1615"/>
        <v>3.39</v>
      </c>
      <c r="I4058" s="700"/>
      <c r="J4058" s="669" t="s">
        <v>5805</v>
      </c>
      <c r="N4058" s="395"/>
      <c r="O4058" s="327">
        <f>IF($N4057&lt;&gt;"",O4054*(100%-$N4057),"")</f>
        <v>6.4418999999999995</v>
      </c>
      <c r="P4058" s="327">
        <f>IF($N4057&lt;&gt;"",P4054*(100%-$N4057),"")</f>
        <v>4.0385</v>
      </c>
      <c r="Q4058" s="327">
        <f>IF($N4057&lt;&gt;"",Q4054*(100%-$N4057),"")</f>
        <v>3.5459999999999998</v>
      </c>
      <c r="S4058" t="s">
        <v>50</v>
      </c>
    </row>
    <row r="4059" spans="1:19" x14ac:dyDescent="0.25">
      <c r="A4059" s="607" t="s">
        <v>5675</v>
      </c>
      <c r="B4059" s="435" t="s">
        <v>5412</v>
      </c>
      <c r="C4059" s="436" t="s">
        <v>5648</v>
      </c>
      <c r="D4059" s="436" t="s">
        <v>7376</v>
      </c>
      <c r="E4059" s="435"/>
      <c r="F4059" s="450">
        <f>ROUND(HLOOKUP(D4059,O4056:Q4058,3,FALSE),2)</f>
        <v>3.55</v>
      </c>
      <c r="G4059" s="437">
        <f>ROUND(HLOOKUP(D4059,O4056:Q4058,2,FALSE),2)</f>
        <v>3.74</v>
      </c>
      <c r="H4059" s="437">
        <f t="shared" si="1615"/>
        <v>2.99</v>
      </c>
      <c r="I4059" s="700"/>
      <c r="J4059" s="669" t="s">
        <v>5805</v>
      </c>
      <c r="N4059" s="395"/>
      <c r="O4059" s="327"/>
      <c r="P4059" s="327"/>
      <c r="Q4059" s="327"/>
    </row>
    <row r="4060" spans="1:19" x14ac:dyDescent="0.25">
      <c r="A4060" s="608"/>
      <c r="B4060" s="2"/>
      <c r="C4060" s="34"/>
      <c r="D4060" s="34"/>
      <c r="E4060" s="2"/>
      <c r="F4060" s="445"/>
      <c r="G4060" s="14"/>
      <c r="H4060" s="14" t="str">
        <f t="shared" si="1615"/>
        <v/>
      </c>
      <c r="I4060" s="695"/>
      <c r="J4060" s="669" t="s">
        <v>4180</v>
      </c>
      <c r="N4060" s="270" t="s">
        <v>5490</v>
      </c>
      <c r="O4060" t="s">
        <v>5413</v>
      </c>
      <c r="P4060" t="s">
        <v>5414</v>
      </c>
      <c r="Q4060" t="s">
        <v>7376</v>
      </c>
    </row>
    <row r="4061" spans="1:19" x14ac:dyDescent="0.25">
      <c r="A4061" s="644" t="s">
        <v>5890</v>
      </c>
      <c r="B4061" s="645" t="s">
        <v>5412</v>
      </c>
      <c r="C4061" s="643" t="s">
        <v>5867</v>
      </c>
      <c r="D4061" s="643" t="s">
        <v>5413</v>
      </c>
      <c r="E4061" s="645"/>
      <c r="F4061" s="657">
        <f>ROUND(HLOOKUP(D4061,O4060:Q4062,3,FALSE),2)</f>
        <v>6.34</v>
      </c>
      <c r="G4061" s="656">
        <f>ROUND(HLOOKUP(D4061,O4060:Q4062,2,FALSE),2)</f>
        <v>6.54</v>
      </c>
      <c r="H4061" s="656">
        <f t="shared" si="1615"/>
        <v>5.23</v>
      </c>
      <c r="I4061" s="701"/>
      <c r="J4061" s="669">
        <v>42705</v>
      </c>
      <c r="M4061" s="127">
        <v>2017</v>
      </c>
      <c r="N4061" s="395" t="s">
        <v>5892</v>
      </c>
      <c r="O4061" s="327">
        <v>6.54</v>
      </c>
      <c r="P4061" s="327">
        <v>4.17</v>
      </c>
      <c r="Q4061" s="327">
        <v>3.69</v>
      </c>
      <c r="S4061" t="s">
        <v>49</v>
      </c>
    </row>
    <row r="4062" spans="1:19" x14ac:dyDescent="0.25">
      <c r="A4062" s="644" t="s">
        <v>5891</v>
      </c>
      <c r="B4062" s="645" t="s">
        <v>5412</v>
      </c>
      <c r="C4062" s="643" t="s">
        <v>5867</v>
      </c>
      <c r="D4062" s="643" t="s">
        <v>5414</v>
      </c>
      <c r="E4062" s="645"/>
      <c r="F4062" s="657">
        <f>ROUND(HLOOKUP(D4062,O4060:Q4062,3,FALSE),2)</f>
        <v>3.97</v>
      </c>
      <c r="G4062" s="656">
        <f>ROUND(HLOOKUP(D4062,O4060:Q4062,2,FALSE),2)</f>
        <v>4.17</v>
      </c>
      <c r="H4062" s="656">
        <f t="shared" si="1615"/>
        <v>3.34</v>
      </c>
      <c r="I4062" s="701"/>
      <c r="J4062" s="669">
        <v>42705</v>
      </c>
      <c r="N4062" s="395" t="s">
        <v>5882</v>
      </c>
      <c r="O4062" s="327">
        <f>O4061-0.2</f>
        <v>6.34</v>
      </c>
      <c r="P4062" s="327">
        <f>P4061-0.2</f>
        <v>3.9699999999999998</v>
      </c>
      <c r="Q4062" s="327">
        <f>Q4061-0.2</f>
        <v>3.4899999999999998</v>
      </c>
      <c r="S4062" t="s">
        <v>50</v>
      </c>
    </row>
    <row r="4063" spans="1:19" x14ac:dyDescent="0.25">
      <c r="A4063" s="644" t="s">
        <v>5889</v>
      </c>
      <c r="B4063" s="645" t="s">
        <v>5412</v>
      </c>
      <c r="C4063" s="643" t="s">
        <v>5867</v>
      </c>
      <c r="D4063" s="643" t="s">
        <v>7376</v>
      </c>
      <c r="E4063" s="645"/>
      <c r="F4063" s="657">
        <f>ROUND(HLOOKUP(D4063,O4060:Q4062,3,FALSE),2)</f>
        <v>3.49</v>
      </c>
      <c r="G4063" s="656">
        <f>ROUND(HLOOKUP(D4063,O4060:Q4062,2,FALSE),2)</f>
        <v>3.69</v>
      </c>
      <c r="H4063" s="656">
        <f t="shared" si="1615"/>
        <v>2.95</v>
      </c>
      <c r="I4063" s="701"/>
      <c r="J4063" s="669">
        <v>42705</v>
      </c>
      <c r="N4063" s="395"/>
      <c r="O4063" s="327"/>
      <c r="P4063" s="327"/>
      <c r="Q4063" s="327"/>
    </row>
    <row r="4064" spans="1:19" x14ac:dyDescent="0.25">
      <c r="A4064" s="608"/>
      <c r="B4064" s="2"/>
      <c r="C4064" s="34"/>
      <c r="D4064" s="34"/>
      <c r="E4064" s="2"/>
      <c r="F4064" s="445"/>
      <c r="G4064" s="14"/>
      <c r="H4064" s="14" t="str">
        <f t="shared" si="1615"/>
        <v/>
      </c>
      <c r="I4064" s="695"/>
      <c r="J4064" s="669" t="s">
        <v>4180</v>
      </c>
      <c r="N4064" s="270" t="s">
        <v>5490</v>
      </c>
      <c r="O4064" t="s">
        <v>5413</v>
      </c>
      <c r="P4064" t="s">
        <v>5414</v>
      </c>
      <c r="Q4064" t="s">
        <v>7376</v>
      </c>
    </row>
    <row r="4065" spans="1:19" x14ac:dyDescent="0.25">
      <c r="A4065" s="644" t="s">
        <v>6224</v>
      </c>
      <c r="B4065" s="645" t="s">
        <v>5412</v>
      </c>
      <c r="C4065" s="643" t="s">
        <v>6189</v>
      </c>
      <c r="D4065" s="643" t="s">
        <v>5413</v>
      </c>
      <c r="E4065" s="645"/>
      <c r="F4065" s="657">
        <f>ROUND(HLOOKUP(D4065,O4064:Q4066,3,FALSE),2)</f>
        <v>6.24</v>
      </c>
      <c r="G4065" s="656">
        <f>ROUND(HLOOKUP(D4065,O4064:Q4066,2,FALSE),2)</f>
        <v>6.44</v>
      </c>
      <c r="H4065" s="656">
        <f t="shared" si="1615"/>
        <v>5.15</v>
      </c>
      <c r="I4065" s="701"/>
      <c r="J4065" s="669">
        <v>43077</v>
      </c>
      <c r="M4065" s="127">
        <v>2018</v>
      </c>
      <c r="N4065" s="395">
        <v>1.4999999999999999E-2</v>
      </c>
      <c r="O4065" s="327">
        <f>IF($N4065&lt;&gt;"",O4061*(100%-$N4065),"")</f>
        <v>6.4418999999999995</v>
      </c>
      <c r="P4065" s="327">
        <f>IF($N4065&lt;&gt;"",P4061*(100%-$N4065),"")</f>
        <v>4.10745</v>
      </c>
      <c r="Q4065" s="327">
        <f>IF($N4065&lt;&gt;"",Q4061*(100%-$N4065),"")</f>
        <v>3.6346499999999997</v>
      </c>
      <c r="S4065" t="s">
        <v>49</v>
      </c>
    </row>
    <row r="4066" spans="1:19" x14ac:dyDescent="0.25">
      <c r="A4066" s="644" t="s">
        <v>6225</v>
      </c>
      <c r="B4066" s="645" t="s">
        <v>5412</v>
      </c>
      <c r="C4066" s="643" t="s">
        <v>6189</v>
      </c>
      <c r="D4066" s="643" t="s">
        <v>5414</v>
      </c>
      <c r="E4066" s="645"/>
      <c r="F4066" s="657">
        <f>ROUND(HLOOKUP(D4066,O4064:Q4066,3,FALSE),2)</f>
        <v>3.91</v>
      </c>
      <c r="G4066" s="656">
        <f>ROUND(HLOOKUP(D4066,O4064:Q4066,2,FALSE),2)</f>
        <v>4.1100000000000003</v>
      </c>
      <c r="H4066" s="656">
        <f t="shared" si="1615"/>
        <v>3.29</v>
      </c>
      <c r="I4066" s="701"/>
      <c r="J4066" s="669">
        <v>43077</v>
      </c>
      <c r="N4066" s="395"/>
      <c r="O4066" s="327">
        <f>O4065-0.2</f>
        <v>6.2418999999999993</v>
      </c>
      <c r="P4066" s="327">
        <f>P4065-0.2</f>
        <v>3.9074499999999999</v>
      </c>
      <c r="Q4066" s="327">
        <f>Q4065-0.2</f>
        <v>3.4346499999999995</v>
      </c>
      <c r="S4066" t="s">
        <v>50</v>
      </c>
    </row>
    <row r="4067" spans="1:19" x14ac:dyDescent="0.25">
      <c r="A4067" s="644" t="s">
        <v>6226</v>
      </c>
      <c r="B4067" s="645" t="s">
        <v>5412</v>
      </c>
      <c r="C4067" s="643" t="s">
        <v>6189</v>
      </c>
      <c r="D4067" s="643" t="s">
        <v>7376</v>
      </c>
      <c r="E4067" s="645"/>
      <c r="F4067" s="657">
        <f>ROUND(HLOOKUP(D4067,O4064:Q4066,3,FALSE),2)</f>
        <v>3.43</v>
      </c>
      <c r="G4067" s="656">
        <f>ROUND(HLOOKUP(D4067,O4064:Q4066,2,FALSE),2)</f>
        <v>3.63</v>
      </c>
      <c r="H4067" s="656">
        <f t="shared" si="1615"/>
        <v>2.9</v>
      </c>
      <c r="I4067" s="701"/>
      <c r="J4067" s="669">
        <v>43077</v>
      </c>
      <c r="N4067" s="395"/>
      <c r="O4067" s="327"/>
      <c r="P4067" s="327"/>
      <c r="Q4067" s="327"/>
    </row>
    <row r="4068" spans="1:19" s="774" customFormat="1" x14ac:dyDescent="0.25">
      <c r="A4068" s="608"/>
      <c r="B4068" s="2"/>
      <c r="C4068" s="34"/>
      <c r="D4068" s="34"/>
      <c r="E4068" s="2"/>
      <c r="F4068" s="445"/>
      <c r="G4068" s="14"/>
      <c r="H4068" s="14" t="str">
        <f t="shared" si="1615"/>
        <v/>
      </c>
      <c r="I4068" s="695"/>
      <c r="J4068" s="669" t="s">
        <v>4180</v>
      </c>
      <c r="N4068" s="270" t="s">
        <v>5490</v>
      </c>
      <c r="O4068" s="774" t="s">
        <v>5413</v>
      </c>
      <c r="P4068" s="774" t="s">
        <v>5414</v>
      </c>
      <c r="Q4068" s="774" t="s">
        <v>7376</v>
      </c>
    </row>
    <row r="4069" spans="1:19" s="774" customFormat="1" x14ac:dyDescent="0.25">
      <c r="A4069" s="644" t="s">
        <v>6414</v>
      </c>
      <c r="B4069" s="645" t="s">
        <v>5412</v>
      </c>
      <c r="C4069" s="643" t="s">
        <v>6409</v>
      </c>
      <c r="D4069" s="643" t="s">
        <v>5413</v>
      </c>
      <c r="E4069" s="645"/>
      <c r="F4069" s="657">
        <f>ROUND(HLOOKUP(D4069,O4068:Q4070,3,FALSE),2)</f>
        <v>6.15</v>
      </c>
      <c r="G4069" s="656">
        <f>ROUND(HLOOKUP(D4069,O4068:Q4070,2,FALSE),2)</f>
        <v>6.35</v>
      </c>
      <c r="H4069" s="656">
        <f t="shared" si="1615"/>
        <v>5.08</v>
      </c>
      <c r="I4069" s="701"/>
      <c r="J4069" s="669">
        <v>43419</v>
      </c>
      <c r="M4069" s="127">
        <v>2019</v>
      </c>
      <c r="N4069" s="395">
        <v>1.4999999999999999E-2</v>
      </c>
      <c r="O4069" s="327">
        <f>IF($N4069&lt;&gt;"",O4065*(100%-$N4069),"")</f>
        <v>6.3452714999999991</v>
      </c>
      <c r="P4069" s="327">
        <f>IF($N4069&lt;&gt;"",P4065*(100%-$N4069),"")</f>
        <v>4.0458382500000001</v>
      </c>
      <c r="Q4069" s="327">
        <f>IF($N4069&lt;&gt;"",Q4065*(100%-$N4069),"")</f>
        <v>3.5801302499999998</v>
      </c>
      <c r="S4069" s="774" t="s">
        <v>49</v>
      </c>
    </row>
    <row r="4070" spans="1:19" s="774" customFormat="1" x14ac:dyDescent="0.25">
      <c r="A4070" s="644" t="s">
        <v>6415</v>
      </c>
      <c r="B4070" s="645" t="s">
        <v>5412</v>
      </c>
      <c r="C4070" s="643" t="s">
        <v>6409</v>
      </c>
      <c r="D4070" s="643" t="s">
        <v>5414</v>
      </c>
      <c r="E4070" s="645"/>
      <c r="F4070" s="657">
        <f>ROUND(HLOOKUP(D4070,O4068:Q4070,3,FALSE),2)</f>
        <v>3.85</v>
      </c>
      <c r="G4070" s="656">
        <f>ROUND(HLOOKUP(D4070,O4068:Q4070,2,FALSE),2)</f>
        <v>4.05</v>
      </c>
      <c r="H4070" s="656">
        <f t="shared" si="1615"/>
        <v>3.24</v>
      </c>
      <c r="I4070" s="701"/>
      <c r="J4070" s="669">
        <v>43419</v>
      </c>
      <c r="N4070" s="395"/>
      <c r="O4070" s="327">
        <f>O4069-0.2</f>
        <v>6.1452714999999989</v>
      </c>
      <c r="P4070" s="327">
        <f>P4069-0.2</f>
        <v>3.8458382499999999</v>
      </c>
      <c r="Q4070" s="327">
        <f>Q4069-0.2</f>
        <v>3.3801302499999997</v>
      </c>
      <c r="S4070" s="774" t="s">
        <v>50</v>
      </c>
    </row>
    <row r="4071" spans="1:19" s="774" customFormat="1" x14ac:dyDescent="0.25">
      <c r="A4071" s="644" t="s">
        <v>6416</v>
      </c>
      <c r="B4071" s="645" t="s">
        <v>5412</v>
      </c>
      <c r="C4071" s="643" t="s">
        <v>6409</v>
      </c>
      <c r="D4071" s="643" t="s">
        <v>7376</v>
      </c>
      <c r="E4071" s="645"/>
      <c r="F4071" s="657">
        <f>ROUND(HLOOKUP(D4071,O4068:Q4070,3,FALSE),2)</f>
        <v>3.38</v>
      </c>
      <c r="G4071" s="656">
        <f>ROUND(HLOOKUP(D4071,O4068:Q4070,2,FALSE),2)</f>
        <v>3.58</v>
      </c>
      <c r="H4071" s="656">
        <f t="shared" si="1615"/>
        <v>2.86</v>
      </c>
      <c r="I4071" s="701"/>
      <c r="J4071" s="669">
        <v>43419</v>
      </c>
      <c r="N4071" s="395"/>
      <c r="O4071" s="327"/>
      <c r="P4071" s="327"/>
      <c r="Q4071" s="327"/>
    </row>
    <row r="4072" spans="1:19" s="774" customFormat="1" x14ac:dyDescent="0.25">
      <c r="A4072" s="608"/>
      <c r="B4072" s="2"/>
      <c r="C4072" s="34"/>
      <c r="D4072" s="34"/>
      <c r="E4072" s="2"/>
      <c r="F4072" s="445"/>
      <c r="G4072" s="14"/>
      <c r="H4072" s="14" t="str">
        <f t="shared" si="1615"/>
        <v/>
      </c>
      <c r="I4072" s="695"/>
      <c r="J4072" s="669" t="s">
        <v>4180</v>
      </c>
      <c r="N4072" s="270" t="s">
        <v>5490</v>
      </c>
      <c r="O4072" s="774" t="s">
        <v>5413</v>
      </c>
      <c r="P4072" s="774" t="s">
        <v>5414</v>
      </c>
      <c r="Q4072" s="774" t="s">
        <v>7376</v>
      </c>
    </row>
    <row r="4073" spans="1:19" s="774" customFormat="1" x14ac:dyDescent="0.25">
      <c r="A4073" s="644" t="s">
        <v>6555</v>
      </c>
      <c r="B4073" s="645" t="s">
        <v>5412</v>
      </c>
      <c r="C4073" s="643" t="s">
        <v>6510</v>
      </c>
      <c r="D4073" s="643" t="s">
        <v>5413</v>
      </c>
      <c r="E4073" s="645"/>
      <c r="F4073" s="657">
        <f>ROUND(HLOOKUP(D4073,O4072:Q4074,3,FALSE),2)</f>
        <v>6.05</v>
      </c>
      <c r="G4073" s="656">
        <f>ROUND(HLOOKUP(D4073,O4072:Q4074,2,FALSE),2)</f>
        <v>6.25</v>
      </c>
      <c r="H4073" s="656">
        <f t="shared" si="1615"/>
        <v>5</v>
      </c>
      <c r="I4073" s="701"/>
      <c r="J4073" s="669">
        <v>43796</v>
      </c>
      <c r="M4073" s="127">
        <v>2020</v>
      </c>
      <c r="N4073" s="395">
        <v>1.4999999999999999E-2</v>
      </c>
      <c r="O4073" s="327">
        <f>IF($N4073&lt;&gt;"",O4069*(100%-$N4073),"")</f>
        <v>6.2500924274999994</v>
      </c>
      <c r="P4073" s="327">
        <f>IF($N4073&lt;&gt;"",P4069*(100%-$N4073),"")</f>
        <v>3.98515067625</v>
      </c>
      <c r="Q4073" s="327">
        <f>IF($N4073&lt;&gt;"",Q4069*(100%-$N4073),"")</f>
        <v>3.5264282962499998</v>
      </c>
      <c r="S4073" s="774" t="s">
        <v>49</v>
      </c>
    </row>
    <row r="4074" spans="1:19" s="774" customFormat="1" x14ac:dyDescent="0.25">
      <c r="A4074" s="644" t="s">
        <v>6556</v>
      </c>
      <c r="B4074" s="645" t="s">
        <v>5412</v>
      </c>
      <c r="C4074" s="643" t="s">
        <v>6510</v>
      </c>
      <c r="D4074" s="643" t="s">
        <v>5414</v>
      </c>
      <c r="E4074" s="645"/>
      <c r="F4074" s="657">
        <f>ROUND(HLOOKUP(D4074,O4072:Q4074,3,FALSE),2)</f>
        <v>3.79</v>
      </c>
      <c r="G4074" s="656">
        <f>ROUND(HLOOKUP(D4074,O4072:Q4074,2,FALSE),2)</f>
        <v>3.99</v>
      </c>
      <c r="H4074" s="656">
        <f t="shared" si="1615"/>
        <v>3.19</v>
      </c>
      <c r="I4074" s="701"/>
      <c r="J4074" s="669">
        <v>43796</v>
      </c>
      <c r="N4074" s="395"/>
      <c r="O4074" s="327">
        <f>O4073-0.2</f>
        <v>6.0500924274999992</v>
      </c>
      <c r="P4074" s="327">
        <f>P4073-0.2</f>
        <v>3.7851506762499998</v>
      </c>
      <c r="Q4074" s="327">
        <f>Q4073-0.2</f>
        <v>3.3264282962499996</v>
      </c>
      <c r="S4074" s="774" t="s">
        <v>50</v>
      </c>
    </row>
    <row r="4075" spans="1:19" s="774" customFormat="1" x14ac:dyDescent="0.25">
      <c r="A4075" s="644" t="s">
        <v>6557</v>
      </c>
      <c r="B4075" s="645" t="s">
        <v>5412</v>
      </c>
      <c r="C4075" s="643" t="s">
        <v>6510</v>
      </c>
      <c r="D4075" s="643" t="s">
        <v>7376</v>
      </c>
      <c r="E4075" s="645"/>
      <c r="F4075" s="657">
        <f>ROUND(HLOOKUP(D4075,O4072:Q4074,3,FALSE),2)</f>
        <v>3.33</v>
      </c>
      <c r="G4075" s="656">
        <f>ROUND(HLOOKUP(D4075,O4072:Q4074,2,FALSE),2)</f>
        <v>3.53</v>
      </c>
      <c r="H4075" s="656">
        <f t="shared" si="1615"/>
        <v>2.82</v>
      </c>
      <c r="I4075" s="701"/>
      <c r="J4075" s="669">
        <v>43796</v>
      </c>
      <c r="N4075" s="395"/>
      <c r="O4075" s="327"/>
      <c r="P4075" s="327"/>
      <c r="Q4075" s="327"/>
    </row>
    <row r="4076" spans="1:19" s="774" customFormat="1" x14ac:dyDescent="0.25">
      <c r="A4076" s="608"/>
      <c r="B4076" s="2"/>
      <c r="C4076" s="445"/>
      <c r="D4076" s="34"/>
      <c r="E4076" s="2"/>
      <c r="F4076" s="445"/>
      <c r="G4076" s="14"/>
      <c r="H4076" s="14" t="str">
        <f t="shared" si="1615"/>
        <v/>
      </c>
      <c r="I4076" s="695"/>
      <c r="J4076" s="669" t="s">
        <v>4180</v>
      </c>
      <c r="N4076" s="270" t="s">
        <v>5490</v>
      </c>
      <c r="O4076" s="774" t="s">
        <v>5413</v>
      </c>
      <c r="P4076" s="774" t="s">
        <v>5414</v>
      </c>
      <c r="Q4076" s="774" t="s">
        <v>7376</v>
      </c>
    </row>
    <row r="4077" spans="1:19" s="774" customFormat="1" x14ac:dyDescent="0.25">
      <c r="A4077" s="644" t="s">
        <v>6656</v>
      </c>
      <c r="B4077" s="645" t="s">
        <v>5412</v>
      </c>
      <c r="C4077" s="643" t="s">
        <v>6629</v>
      </c>
      <c r="D4077" s="643" t="s">
        <v>5413</v>
      </c>
      <c r="E4077" s="645"/>
      <c r="F4077" s="793">
        <f>ROUND(HLOOKUP(D4077,O4076:Q4078,3,FALSE),2)</f>
        <v>5.96</v>
      </c>
      <c r="G4077" s="795">
        <f>ROUND(HLOOKUP(D4077,O4076:Q4078,2,FALSE),2)</f>
        <v>6.16</v>
      </c>
      <c r="H4077" s="795">
        <f t="shared" si="1615"/>
        <v>4.93</v>
      </c>
      <c r="I4077" s="792"/>
      <c r="J4077" s="669">
        <v>44196</v>
      </c>
      <c r="M4077" s="127">
        <v>2021</v>
      </c>
      <c r="N4077" s="395" t="s">
        <v>5892</v>
      </c>
      <c r="O4077" s="327">
        <v>6.16</v>
      </c>
      <c r="P4077" s="327">
        <v>3.93</v>
      </c>
      <c r="Q4077" s="327">
        <v>3.47</v>
      </c>
      <c r="S4077" s="774" t="s">
        <v>49</v>
      </c>
    </row>
    <row r="4078" spans="1:19" s="774" customFormat="1" x14ac:dyDescent="0.25">
      <c r="A4078" s="644" t="s">
        <v>6657</v>
      </c>
      <c r="B4078" s="645" t="s">
        <v>5412</v>
      </c>
      <c r="C4078" s="643" t="s">
        <v>6629</v>
      </c>
      <c r="D4078" s="643" t="s">
        <v>5414</v>
      </c>
      <c r="E4078" s="645"/>
      <c r="F4078" s="793">
        <f>ROUND(HLOOKUP(D4078,O4076:Q4078,3,FALSE),2)</f>
        <v>3.73</v>
      </c>
      <c r="G4078" s="795">
        <f>ROUND(HLOOKUP(D4078,O4076:Q4078,2,FALSE),2)</f>
        <v>3.93</v>
      </c>
      <c r="H4078" s="795">
        <f t="shared" si="1615"/>
        <v>3.14</v>
      </c>
      <c r="I4078" s="792"/>
      <c r="J4078" s="669">
        <v>44196</v>
      </c>
      <c r="N4078" s="395" t="s">
        <v>5882</v>
      </c>
      <c r="O4078" s="327">
        <f>O4077-0.2</f>
        <v>5.96</v>
      </c>
      <c r="P4078" s="327">
        <f>P4077-0.2</f>
        <v>3.73</v>
      </c>
      <c r="Q4078" s="327">
        <f>Q4077-0.2</f>
        <v>3.27</v>
      </c>
      <c r="S4078" s="774" t="s">
        <v>50</v>
      </c>
    </row>
    <row r="4079" spans="1:19" s="774" customFormat="1" x14ac:dyDescent="0.25">
      <c r="A4079" s="644" t="s">
        <v>6658</v>
      </c>
      <c r="B4079" s="645" t="s">
        <v>5412</v>
      </c>
      <c r="C4079" s="643" t="s">
        <v>6629</v>
      </c>
      <c r="D4079" s="643" t="s">
        <v>7376</v>
      </c>
      <c r="E4079" s="645"/>
      <c r="F4079" s="793">
        <f>ROUND(HLOOKUP(D4079,O4076:Q4078,3,FALSE),2)</f>
        <v>3.27</v>
      </c>
      <c r="G4079" s="795">
        <f>ROUND(HLOOKUP(D4079,O4076:Q4078,2,FALSE),2)</f>
        <v>3.47</v>
      </c>
      <c r="H4079" s="795">
        <f t="shared" si="1615"/>
        <v>2.78</v>
      </c>
      <c r="I4079" s="792"/>
      <c r="J4079" s="669">
        <v>44196</v>
      </c>
      <c r="N4079" s="395"/>
      <c r="O4079" s="327"/>
      <c r="P4079" s="327"/>
      <c r="Q4079" s="327"/>
    </row>
    <row r="4080" spans="1:19" s="774" customFormat="1" x14ac:dyDescent="0.25">
      <c r="A4080" s="608"/>
      <c r="B4080" s="2"/>
      <c r="C4080" s="445"/>
      <c r="D4080" s="34"/>
      <c r="E4080" s="2"/>
      <c r="F4080" s="445"/>
      <c r="G4080" s="14"/>
      <c r="H4080" s="14" t="str">
        <f t="shared" si="1615"/>
        <v/>
      </c>
      <c r="I4080" s="695"/>
      <c r="J4080" s="669" t="s">
        <v>4180</v>
      </c>
      <c r="N4080" s="270" t="s">
        <v>5490</v>
      </c>
      <c r="O4080" s="774" t="s">
        <v>5413</v>
      </c>
      <c r="P4080" s="774" t="s">
        <v>5414</v>
      </c>
      <c r="Q4080" s="774" t="s">
        <v>7376</v>
      </c>
    </row>
    <row r="4081" spans="1:41" s="774" customFormat="1" x14ac:dyDescent="0.25">
      <c r="A4081" s="644" t="str">
        <f>LEFT(A4077,12)&amp;RIGHT(M4081,2)</f>
        <v>GrK4131-----22</v>
      </c>
      <c r="B4081" s="645" t="s">
        <v>5412</v>
      </c>
      <c r="C4081" s="645" t="str">
        <f>"Inbetriebnahme 20" &amp; RIGHT(M4081,2)</f>
        <v>Inbetriebnahme 2022</v>
      </c>
      <c r="D4081" s="643" t="s">
        <v>5413</v>
      </c>
      <c r="E4081" s="645"/>
      <c r="F4081" s="793">
        <f>ROUND(HLOOKUP(D4081,O4080:Q4082,3,FALSE),2)</f>
        <v>5.87</v>
      </c>
      <c r="G4081" s="795">
        <f>ROUND(HLOOKUP(D4081,O4080:Q4082,2,FALSE),2)</f>
        <v>6.07</v>
      </c>
      <c r="H4081" s="795">
        <f t="shared" si="1615"/>
        <v>4.8600000000000003</v>
      </c>
      <c r="I4081" s="701"/>
      <c r="J4081" s="669">
        <v>44536</v>
      </c>
      <c r="M4081" s="127">
        <v>2022</v>
      </c>
      <c r="N4081" s="395">
        <v>1.4999999999999999E-2</v>
      </c>
      <c r="O4081" s="327">
        <f>IF($N4081&lt;&gt;"",O4077*(100%-$N4081),"")</f>
        <v>6.0675999999999997</v>
      </c>
      <c r="P4081" s="327">
        <f>IF($N4081&lt;&gt;"",P4077*(100%-$N4081),"")</f>
        <v>3.8710500000000003</v>
      </c>
      <c r="Q4081" s="327">
        <f>IF($N4081&lt;&gt;"",Q4077*(100%-$N4081),"")</f>
        <v>3.4179500000000003</v>
      </c>
      <c r="S4081" s="774" t="s">
        <v>49</v>
      </c>
    </row>
    <row r="4082" spans="1:41" s="774" customFormat="1" x14ac:dyDescent="0.25">
      <c r="A4082" s="644" t="str">
        <f>LEFT(A4078,12)&amp;RIGHT(M4081,2)</f>
        <v>GrK4132-----22</v>
      </c>
      <c r="B4082" s="645" t="s">
        <v>5412</v>
      </c>
      <c r="C4082" s="645" t="str">
        <f>"Inbetriebnahme 20" &amp; RIGHT(M4081,2)</f>
        <v>Inbetriebnahme 2022</v>
      </c>
      <c r="D4082" s="643" t="s">
        <v>5414</v>
      </c>
      <c r="E4082" s="645"/>
      <c r="F4082" s="793">
        <f>ROUND(HLOOKUP(D4082,O4080:Q4082,3,FALSE),2)</f>
        <v>3.67</v>
      </c>
      <c r="G4082" s="795">
        <f>ROUND(HLOOKUP(D4082,O4080:Q4082,2,FALSE),2)</f>
        <v>3.87</v>
      </c>
      <c r="H4082" s="795">
        <f t="shared" si="1615"/>
        <v>3.1</v>
      </c>
      <c r="I4082" s="701"/>
      <c r="J4082" s="669">
        <v>44536</v>
      </c>
      <c r="N4082" s="395"/>
      <c r="O4082" s="327">
        <f>O4081-0.2</f>
        <v>5.8675999999999995</v>
      </c>
      <c r="P4082" s="327">
        <f>P4081-0.2</f>
        <v>3.6710500000000001</v>
      </c>
      <c r="Q4082" s="327">
        <f>Q4081-0.2</f>
        <v>3.2179500000000001</v>
      </c>
      <c r="S4082" s="774" t="s">
        <v>50</v>
      </c>
    </row>
    <row r="4083" spans="1:41" s="774" customFormat="1" x14ac:dyDescent="0.25">
      <c r="A4083" s="644" t="str">
        <f>LEFT(A4079,12)&amp;RIGHT(M4081,2)</f>
        <v>GrK4133-----22</v>
      </c>
      <c r="B4083" s="645" t="s">
        <v>5412</v>
      </c>
      <c r="C4083" s="645" t="str">
        <f>"Inbetriebnahme 20" &amp; RIGHT(M4081,2)</f>
        <v>Inbetriebnahme 2022</v>
      </c>
      <c r="D4083" s="643" t="s">
        <v>7376</v>
      </c>
      <c r="E4083" s="645"/>
      <c r="F4083" s="793">
        <f>ROUND(HLOOKUP(D4083,O4080:Q4082,3,FALSE),2)</f>
        <v>3.22</v>
      </c>
      <c r="G4083" s="795">
        <f>ROUND(HLOOKUP(D4083,O4080:Q4082,2,FALSE),2)</f>
        <v>3.42</v>
      </c>
      <c r="H4083" s="795">
        <f t="shared" si="1615"/>
        <v>2.74</v>
      </c>
      <c r="I4083" s="701"/>
      <c r="J4083" s="669">
        <v>44536</v>
      </c>
      <c r="N4083" s="395"/>
      <c r="O4083" s="327"/>
      <c r="P4083" s="327"/>
    </row>
    <row r="4084" spans="1:41" s="774" customFormat="1" x14ac:dyDescent="0.25">
      <c r="A4084" s="608"/>
      <c r="B4084" s="2"/>
      <c r="C4084" s="445"/>
      <c r="D4084" s="34"/>
      <c r="E4084" s="2"/>
      <c r="F4084" s="445"/>
      <c r="G4084" s="14"/>
      <c r="H4084" s="14" t="str">
        <f t="shared" si="1615"/>
        <v/>
      </c>
      <c r="I4084" s="695"/>
      <c r="J4084" s="669" t="s">
        <v>4180</v>
      </c>
      <c r="N4084" s="270" t="s">
        <v>5490</v>
      </c>
      <c r="O4084" s="774" t="s">
        <v>5413</v>
      </c>
      <c r="P4084" s="774" t="s">
        <v>5414</v>
      </c>
      <c r="Q4084" s="774" t="s">
        <v>7376</v>
      </c>
    </row>
    <row r="4085" spans="1:41" s="774" customFormat="1" x14ac:dyDescent="0.25">
      <c r="A4085" s="644" t="str">
        <f>LEFT(A4081,12)&amp;RIGHT(M$4085,2)</f>
        <v>GrK4131-----23</v>
      </c>
      <c r="B4085" s="645" t="s">
        <v>5412</v>
      </c>
      <c r="C4085" s="643" t="str">
        <f>"Inbetriebnahme "&amp;$M$4085</f>
        <v>Inbetriebnahme 2023</v>
      </c>
      <c r="D4085" s="643" t="s">
        <v>5413</v>
      </c>
      <c r="E4085" s="645"/>
      <c r="F4085" s="793">
        <f>ROUND(HLOOKUP(D4085,O4084:Q4086,3,FALSE),2)</f>
        <v>5.78</v>
      </c>
      <c r="G4085" s="795">
        <f>ROUND(HLOOKUP(D4085,O4084:Q4086,2,FALSE),2)</f>
        <v>5.98</v>
      </c>
      <c r="H4085" s="795">
        <f t="shared" si="1615"/>
        <v>4.78</v>
      </c>
      <c r="I4085" s="792"/>
      <c r="J4085" s="669">
        <f>J$31</f>
        <v>44896</v>
      </c>
      <c r="M4085" s="127">
        <v>2023</v>
      </c>
      <c r="N4085" s="395" t="s">
        <v>5892</v>
      </c>
      <c r="O4085" s="327">
        <v>5.98</v>
      </c>
      <c r="P4085" s="327">
        <v>3.81</v>
      </c>
      <c r="Q4085" s="327">
        <v>3.37</v>
      </c>
      <c r="S4085" s="774" t="s">
        <v>49</v>
      </c>
    </row>
    <row r="4086" spans="1:41" s="774" customFormat="1" x14ac:dyDescent="0.25">
      <c r="A4086" s="644" t="str">
        <f>LEFT(A4082,12)&amp;RIGHT(M$4085,2)</f>
        <v>GrK4132-----23</v>
      </c>
      <c r="B4086" s="645" t="s">
        <v>5412</v>
      </c>
      <c r="C4086" s="643" t="str">
        <f>"Inbetriebnahme "&amp;$M$4085</f>
        <v>Inbetriebnahme 2023</v>
      </c>
      <c r="D4086" s="643" t="s">
        <v>5414</v>
      </c>
      <c r="E4086" s="645"/>
      <c r="F4086" s="793">
        <f>ROUND(HLOOKUP(D4086,O4084:Q4086,3,FALSE),2)</f>
        <v>3.61</v>
      </c>
      <c r="G4086" s="795">
        <f>ROUND(HLOOKUP(D4086,O4084:Q4086,2,FALSE),2)</f>
        <v>3.81</v>
      </c>
      <c r="H4086" s="795">
        <f t="shared" si="1615"/>
        <v>3.05</v>
      </c>
      <c r="I4086" s="792"/>
      <c r="J4086" s="669">
        <f>J$31</f>
        <v>44896</v>
      </c>
      <c r="N4086" s="395" t="s">
        <v>5882</v>
      </c>
      <c r="O4086" s="327">
        <f>O4085-0.2</f>
        <v>5.78</v>
      </c>
      <c r="P4086" s="327">
        <f>P4085-0.2</f>
        <v>3.61</v>
      </c>
      <c r="Q4086" s="327">
        <f>Q4085-0.2</f>
        <v>3.17</v>
      </c>
      <c r="S4086" s="774" t="s">
        <v>50</v>
      </c>
    </row>
    <row r="4087" spans="1:41" s="774" customFormat="1" x14ac:dyDescent="0.25">
      <c r="A4087" s="644" t="str">
        <f>LEFT(A4083,12)&amp;RIGHT(M$4085,2)</f>
        <v>GrK4133-----23</v>
      </c>
      <c r="B4087" s="645" t="s">
        <v>5412</v>
      </c>
      <c r="C4087" s="643" t="str">
        <f>"Inbetriebnahme "&amp;$M$4085</f>
        <v>Inbetriebnahme 2023</v>
      </c>
      <c r="D4087" s="643" t="s">
        <v>7376</v>
      </c>
      <c r="E4087" s="645"/>
      <c r="F4087" s="793">
        <f>ROUND(HLOOKUP(D4087,O4084:Q4086,3,FALSE),2)</f>
        <v>3.17</v>
      </c>
      <c r="G4087" s="795">
        <f>ROUND(HLOOKUP(D4087,O4084:Q4086,2,FALSE),2)</f>
        <v>3.37</v>
      </c>
      <c r="H4087" s="795">
        <f t="shared" si="1615"/>
        <v>2.7</v>
      </c>
      <c r="I4087" s="792"/>
      <c r="J4087" s="669">
        <f>J$31</f>
        <v>44896</v>
      </c>
      <c r="N4087" s="395"/>
      <c r="O4087" s="327"/>
      <c r="P4087" s="327"/>
      <c r="Q4087" s="327"/>
    </row>
    <row r="4088" spans="1:41" s="12" customFormat="1" x14ac:dyDescent="0.25">
      <c r="A4088" s="4"/>
      <c r="B4088" s="513"/>
      <c r="C4088" s="514"/>
      <c r="D4088" s="515"/>
      <c r="E4088" s="515"/>
      <c r="F4088" s="516"/>
      <c r="G4088" s="517"/>
      <c r="H4088" s="518" t="str">
        <f t="shared" si="1615"/>
        <v/>
      </c>
      <c r="I4088" s="724"/>
      <c r="J4088" s="669" t="s">
        <v>4180</v>
      </c>
      <c r="K4088" s="224"/>
      <c r="L4088" s="70"/>
      <c r="M4088" s="49"/>
      <c r="N4088" s="41"/>
      <c r="O4088" s="253"/>
      <c r="P4088" s="29"/>
      <c r="Q4088" s="27"/>
      <c r="AG4088" s="27"/>
      <c r="AH4088" s="253"/>
      <c r="AO4088" s="346"/>
    </row>
    <row r="4089" spans="1:41" ht="23.25" x14ac:dyDescent="0.35">
      <c r="A4089" s="110" t="s">
        <v>2034</v>
      </c>
      <c r="B4089" s="65"/>
      <c r="C4089" s="65"/>
      <c r="D4089" s="65"/>
      <c r="E4089" s="77"/>
      <c r="F4089" s="443"/>
      <c r="G4089" s="65"/>
      <c r="H4089" s="74"/>
      <c r="I4089" s="693"/>
      <c r="J4089" s="669" t="s">
        <v>5805</v>
      </c>
    </row>
    <row r="4090" spans="1:41" ht="15.75" x14ac:dyDescent="0.25">
      <c r="A4090" s="609"/>
      <c r="B4090" s="1"/>
      <c r="C4090" s="1"/>
      <c r="D4090" s="2"/>
      <c r="E4090" s="1"/>
      <c r="F4090" s="442"/>
      <c r="G4090" s="13"/>
      <c r="H4090" s="13"/>
      <c r="I4090" s="692"/>
      <c r="J4090" s="669" t="s">
        <v>4180</v>
      </c>
      <c r="K4090" s="29"/>
      <c r="M4090" s="68" t="s">
        <v>1199</v>
      </c>
      <c r="N4090" s="39"/>
      <c r="O4090" s="29"/>
      <c r="P4090" s="29"/>
    </row>
    <row r="4091" spans="1:41" x14ac:dyDescent="0.25">
      <c r="A4091" s="608"/>
      <c r="B4091" s="2"/>
      <c r="C4091" s="22"/>
      <c r="D4091" s="22"/>
      <c r="E4091" s="34"/>
      <c r="F4091" s="445"/>
      <c r="G4091" s="14"/>
      <c r="H4091" s="14"/>
      <c r="I4091" s="695"/>
      <c r="J4091" s="669" t="s">
        <v>4180</v>
      </c>
      <c r="K4091" s="29"/>
      <c r="L4091" s="29"/>
      <c r="M4091" s="29"/>
      <c r="N4091" s="106"/>
      <c r="O4091" s="107" t="s">
        <v>1205</v>
      </c>
      <c r="P4091" s="29"/>
      <c r="Q4091" s="50"/>
      <c r="R4091" s="92"/>
      <c r="S4091" s="35"/>
      <c r="T4091" s="92"/>
      <c r="U4091" s="92"/>
      <c r="V4091" s="92"/>
      <c r="W4091" s="92"/>
      <c r="X4091" s="92"/>
      <c r="Y4091" s="92"/>
      <c r="Z4091" s="92"/>
      <c r="AA4091" s="92"/>
      <c r="AB4091" s="105"/>
      <c r="AC4091" s="92"/>
      <c r="AD4091" s="92"/>
      <c r="AE4091" s="12"/>
      <c r="AF4091" s="12"/>
      <c r="AG4091" s="12"/>
    </row>
    <row r="4092" spans="1:41" ht="45.75" x14ac:dyDescent="0.25">
      <c r="A4092" s="608"/>
      <c r="B4092" s="2"/>
      <c r="C4092" s="22"/>
      <c r="D4092" s="22"/>
      <c r="E4092" s="34"/>
      <c r="F4092" s="445"/>
      <c r="G4092" s="14"/>
      <c r="H4092" s="14"/>
      <c r="I4092" s="695"/>
      <c r="J4092" s="669" t="s">
        <v>4180</v>
      </c>
      <c r="K4092" s="29"/>
      <c r="L4092" s="29"/>
      <c r="M4092" s="48" t="s">
        <v>2914</v>
      </c>
      <c r="N4092" s="42" t="s">
        <v>1198</v>
      </c>
      <c r="O4092" s="44" t="s">
        <v>1200</v>
      </c>
      <c r="P4092" s="42" t="s">
        <v>5515</v>
      </c>
      <c r="Q4092" s="51" t="s">
        <v>1203</v>
      </c>
      <c r="R4092" s="79"/>
      <c r="S4092" s="42"/>
      <c r="T4092" s="42"/>
      <c r="U4092" s="42"/>
      <c r="V4092" s="79"/>
      <c r="W4092" s="79"/>
      <c r="X4092" s="79"/>
      <c r="Y4092" s="79"/>
      <c r="Z4092" s="79"/>
      <c r="AA4092" s="79"/>
      <c r="AB4092" s="42"/>
      <c r="AC4092" s="42"/>
      <c r="AD4092" s="42"/>
      <c r="AE4092" s="12"/>
      <c r="AF4092" s="12"/>
      <c r="AG4092" s="12"/>
    </row>
    <row r="4093" spans="1:41" ht="34.5" x14ac:dyDescent="0.25">
      <c r="A4093" s="608"/>
      <c r="B4093" s="2"/>
      <c r="C4093" s="22"/>
      <c r="D4093" s="22"/>
      <c r="E4093" s="34"/>
      <c r="F4093" s="445"/>
      <c r="G4093" s="14"/>
      <c r="H4093" s="14"/>
      <c r="I4093" s="695"/>
      <c r="J4093" s="669" t="s">
        <v>4180</v>
      </c>
      <c r="K4093" s="29"/>
      <c r="L4093" s="29"/>
      <c r="M4093" s="46"/>
      <c r="N4093" s="42"/>
      <c r="O4093" s="44" t="s">
        <v>1201</v>
      </c>
      <c r="P4093" s="42" t="s">
        <v>1202</v>
      </c>
      <c r="Q4093" s="51" t="s">
        <v>1204</v>
      </c>
      <c r="R4093" s="42"/>
      <c r="S4093" s="42"/>
      <c r="T4093" s="42"/>
      <c r="U4093" s="42"/>
      <c r="V4093" s="42"/>
      <c r="W4093" s="42"/>
      <c r="X4093" s="42"/>
      <c r="Y4093" s="42"/>
      <c r="Z4093" s="42"/>
      <c r="AA4093" s="42"/>
      <c r="AB4093" s="42"/>
      <c r="AC4093" s="42"/>
      <c r="AD4093" s="42"/>
      <c r="AE4093" s="12"/>
      <c r="AF4093" s="12"/>
      <c r="AG4093" s="12"/>
    </row>
    <row r="4094" spans="1:41" x14ac:dyDescent="0.25">
      <c r="A4094" s="609"/>
      <c r="B4094" s="1"/>
      <c r="C4094" s="1"/>
      <c r="D4094" s="2"/>
      <c r="E4094" s="1"/>
      <c r="F4094" s="442"/>
      <c r="G4094" s="13"/>
      <c r="H4094" s="13"/>
      <c r="I4094" s="692"/>
      <c r="J4094" s="669" t="s">
        <v>4180</v>
      </c>
      <c r="L4094" s="73"/>
      <c r="M4094" s="47"/>
      <c r="N4094" s="40"/>
      <c r="O4094" s="45">
        <v>4</v>
      </c>
      <c r="P4094" s="40">
        <v>3</v>
      </c>
      <c r="Q4094" s="52">
        <v>4</v>
      </c>
      <c r="R4094" s="41"/>
      <c r="S4094" s="41"/>
      <c r="T4094" s="41"/>
      <c r="U4094" s="41"/>
      <c r="V4094" s="41"/>
      <c r="W4094" s="41"/>
      <c r="X4094" s="41"/>
      <c r="Y4094" s="41"/>
      <c r="Z4094" s="41"/>
      <c r="AA4094" s="41"/>
      <c r="AB4094" s="41"/>
      <c r="AC4094" s="41"/>
      <c r="AD4094" s="41"/>
    </row>
    <row r="4095" spans="1:41" x14ac:dyDescent="0.25">
      <c r="A4095" s="609" t="s">
        <v>2039</v>
      </c>
      <c r="B4095" s="1" t="s">
        <v>2034</v>
      </c>
      <c r="C4095" s="1" t="s">
        <v>3727</v>
      </c>
      <c r="D4095" s="1" t="s">
        <v>2035</v>
      </c>
      <c r="E4095" s="1"/>
      <c r="F4095" s="442">
        <v>8.9499999999999993</v>
      </c>
      <c r="G4095" s="520">
        <v>8.9499999999999993</v>
      </c>
      <c r="H4095" s="13">
        <f t="shared" ref="H4095:H4126" si="1616">IF(ISNUMBER(G4095),ROUND(0.8*G4095,2),"")</f>
        <v>7.16</v>
      </c>
      <c r="I4095" s="692"/>
      <c r="J4095" s="669" t="s">
        <v>5805</v>
      </c>
      <c r="N4095" s="50"/>
      <c r="Q4095" s="50"/>
    </row>
    <row r="4096" spans="1:41" x14ac:dyDescent="0.25">
      <c r="A4096" s="609" t="s">
        <v>2040</v>
      </c>
      <c r="B4096" s="1" t="s">
        <v>2034</v>
      </c>
      <c r="C4096" s="1" t="s">
        <v>3727</v>
      </c>
      <c r="D4096" s="1" t="s">
        <v>7387</v>
      </c>
      <c r="E4096" s="1"/>
      <c r="F4096" s="442">
        <v>7.16</v>
      </c>
      <c r="G4096" s="520">
        <v>7.16</v>
      </c>
      <c r="H4096" s="13">
        <f t="shared" si="1616"/>
        <v>5.73</v>
      </c>
      <c r="I4096" s="692"/>
      <c r="J4096" s="669" t="s">
        <v>5805</v>
      </c>
      <c r="N4096" s="50"/>
      <c r="Q4096" s="50"/>
    </row>
    <row r="4097" spans="1:17" x14ac:dyDescent="0.25">
      <c r="A4097" s="609"/>
      <c r="B4097" s="1"/>
      <c r="C4097" s="1"/>
      <c r="D4097" s="1"/>
      <c r="E4097" s="1"/>
      <c r="F4097" s="442"/>
      <c r="G4097" s="520"/>
      <c r="H4097" s="13" t="str">
        <f t="shared" si="1616"/>
        <v/>
      </c>
      <c r="I4097" s="692"/>
      <c r="J4097" s="669" t="s">
        <v>4180</v>
      </c>
      <c r="N4097" s="50"/>
      <c r="Q4097" s="50"/>
    </row>
    <row r="4098" spans="1:17" x14ac:dyDescent="0.25">
      <c r="A4098" s="609" t="s">
        <v>2041</v>
      </c>
      <c r="B4098" s="1" t="s">
        <v>2034</v>
      </c>
      <c r="C4098" s="1" t="s">
        <v>1272</v>
      </c>
      <c r="D4098" s="1" t="s">
        <v>2035</v>
      </c>
      <c r="E4098" s="1"/>
      <c r="F4098" s="442">
        <v>8.9499999999999993</v>
      </c>
      <c r="G4098" s="520">
        <v>8.9499999999999993</v>
      </c>
      <c r="H4098" s="13">
        <f t="shared" si="1616"/>
        <v>7.16</v>
      </c>
      <c r="I4098" s="692"/>
      <c r="J4098" s="669" t="s">
        <v>5805</v>
      </c>
      <c r="N4098" s="50"/>
      <c r="Q4098" s="50"/>
    </row>
    <row r="4099" spans="1:17" x14ac:dyDescent="0.25">
      <c r="A4099" s="609" t="s">
        <v>2042</v>
      </c>
      <c r="B4099" s="1" t="s">
        <v>2034</v>
      </c>
      <c r="C4099" s="1" t="s">
        <v>1272</v>
      </c>
      <c r="D4099" s="1" t="s">
        <v>7387</v>
      </c>
      <c r="E4099" s="1"/>
      <c r="F4099" s="442">
        <v>7.16</v>
      </c>
      <c r="G4099" s="520">
        <v>7.16</v>
      </c>
      <c r="H4099" s="13">
        <f t="shared" si="1616"/>
        <v>5.73</v>
      </c>
      <c r="I4099" s="692"/>
      <c r="J4099" s="669" t="s">
        <v>5805</v>
      </c>
      <c r="N4099" s="50"/>
      <c r="Q4099" s="50"/>
    </row>
    <row r="4100" spans="1:17" x14ac:dyDescent="0.25">
      <c r="A4100" s="609"/>
      <c r="B4100" s="1"/>
      <c r="C4100" s="1"/>
      <c r="D4100" s="1"/>
      <c r="E4100" s="1"/>
      <c r="F4100" s="442"/>
      <c r="G4100" s="520"/>
      <c r="H4100" s="13" t="str">
        <f t="shared" si="1616"/>
        <v/>
      </c>
      <c r="I4100" s="692"/>
      <c r="J4100" s="669" t="s">
        <v>4180</v>
      </c>
      <c r="N4100" s="50"/>
      <c r="Q4100" s="50"/>
    </row>
    <row r="4101" spans="1:17" x14ac:dyDescent="0.25">
      <c r="A4101" s="618" t="s">
        <v>2043</v>
      </c>
      <c r="B4101" s="31" t="s">
        <v>2034</v>
      </c>
      <c r="C4101" s="33" t="s">
        <v>1275</v>
      </c>
      <c r="D4101" s="31" t="s">
        <v>2044</v>
      </c>
      <c r="E4101" s="31"/>
      <c r="F4101" s="469">
        <v>19</v>
      </c>
      <c r="G4101" s="546">
        <v>19</v>
      </c>
      <c r="H4101" s="108">
        <f t="shared" si="1616"/>
        <v>15.2</v>
      </c>
      <c r="I4101" s="725"/>
      <c r="J4101" s="669" t="s">
        <v>5805</v>
      </c>
      <c r="L4101" s="70" t="str">
        <f t="shared" ref="L4101:L4110" si="1617">IF(F4101=M4101,"",FALSE)</f>
        <v/>
      </c>
      <c r="M4101" s="49">
        <f t="shared" ref="M4101:M4110" si="1618">N4101+SUMIF(O4101:Q4101,"x",O$4094:Q$4094)</f>
        <v>19</v>
      </c>
      <c r="N4101" s="50">
        <v>15</v>
      </c>
      <c r="O4101" t="s">
        <v>1017</v>
      </c>
      <c r="Q4101" s="50"/>
    </row>
    <row r="4102" spans="1:17" x14ac:dyDescent="0.25">
      <c r="A4102" s="610" t="s">
        <v>5005</v>
      </c>
      <c r="B4102" s="17" t="s">
        <v>2034</v>
      </c>
      <c r="C4102" s="30" t="s">
        <v>1275</v>
      </c>
      <c r="D4102" s="30" t="s">
        <v>5512</v>
      </c>
      <c r="E4102" s="17"/>
      <c r="F4102" s="444">
        <v>22</v>
      </c>
      <c r="G4102" s="519">
        <v>22</v>
      </c>
      <c r="H4102" s="18">
        <f t="shared" si="1616"/>
        <v>17.600000000000001</v>
      </c>
      <c r="I4102" s="694"/>
      <c r="J4102" s="669" t="s">
        <v>5805</v>
      </c>
      <c r="L4102" s="70" t="str">
        <f t="shared" si="1617"/>
        <v/>
      </c>
      <c r="M4102" s="49">
        <f t="shared" si="1618"/>
        <v>22</v>
      </c>
      <c r="N4102" s="50">
        <v>15</v>
      </c>
      <c r="O4102" t="s">
        <v>1017</v>
      </c>
      <c r="P4102" t="s">
        <v>1017</v>
      </c>
      <c r="Q4102" s="50"/>
    </row>
    <row r="4103" spans="1:17" x14ac:dyDescent="0.25">
      <c r="A4103" s="610" t="s">
        <v>5006</v>
      </c>
      <c r="B4103" s="17" t="s">
        <v>2034</v>
      </c>
      <c r="C4103" s="30" t="s">
        <v>1275</v>
      </c>
      <c r="D4103" s="30" t="s">
        <v>5513</v>
      </c>
      <c r="E4103" s="17"/>
      <c r="F4103" s="444">
        <v>23</v>
      </c>
      <c r="G4103" s="519">
        <v>23</v>
      </c>
      <c r="H4103" s="18">
        <f t="shared" si="1616"/>
        <v>18.399999999999999</v>
      </c>
      <c r="I4103" s="694"/>
      <c r="J4103" s="669" t="s">
        <v>5805</v>
      </c>
      <c r="L4103" s="70" t="str">
        <f t="shared" si="1617"/>
        <v/>
      </c>
      <c r="M4103" s="49">
        <f t="shared" si="1618"/>
        <v>23</v>
      </c>
      <c r="N4103" s="50">
        <v>15</v>
      </c>
      <c r="O4103" t="s">
        <v>1017</v>
      </c>
      <c r="Q4103" s="50" t="s">
        <v>1017</v>
      </c>
    </row>
    <row r="4104" spans="1:17" x14ac:dyDescent="0.25">
      <c r="A4104" s="610" t="s">
        <v>5007</v>
      </c>
      <c r="B4104" s="17" t="s">
        <v>2034</v>
      </c>
      <c r="C4104" s="30" t="s">
        <v>1275</v>
      </c>
      <c r="D4104" s="30" t="s">
        <v>5514</v>
      </c>
      <c r="E4104" s="17"/>
      <c r="F4104" s="444">
        <v>26</v>
      </c>
      <c r="G4104" s="519">
        <v>26</v>
      </c>
      <c r="H4104" s="18">
        <f t="shared" si="1616"/>
        <v>20.8</v>
      </c>
      <c r="I4104" s="694"/>
      <c r="J4104" s="669" t="s">
        <v>5805</v>
      </c>
      <c r="L4104" s="70" t="str">
        <f t="shared" si="1617"/>
        <v/>
      </c>
      <c r="M4104" s="49">
        <f t="shared" si="1618"/>
        <v>26</v>
      </c>
      <c r="N4104" s="50">
        <v>15</v>
      </c>
      <c r="O4104" t="s">
        <v>1017</v>
      </c>
      <c r="P4104" t="s">
        <v>1017</v>
      </c>
      <c r="Q4104" s="50" t="s">
        <v>1017</v>
      </c>
    </row>
    <row r="4105" spans="1:17" x14ac:dyDescent="0.25">
      <c r="A4105" s="618" t="s">
        <v>2045</v>
      </c>
      <c r="B4105" s="31" t="s">
        <v>2034</v>
      </c>
      <c r="C4105" s="31" t="s">
        <v>1275</v>
      </c>
      <c r="D4105" s="31" t="s">
        <v>2046</v>
      </c>
      <c r="E4105" s="31"/>
      <c r="F4105" s="469">
        <v>18</v>
      </c>
      <c r="G4105" s="546">
        <v>18</v>
      </c>
      <c r="H4105" s="108">
        <f t="shared" si="1616"/>
        <v>14.4</v>
      </c>
      <c r="I4105" s="725"/>
      <c r="J4105" s="669" t="s">
        <v>5805</v>
      </c>
      <c r="L4105" s="70" t="str">
        <f t="shared" si="1617"/>
        <v/>
      </c>
      <c r="M4105" s="49">
        <f t="shared" si="1618"/>
        <v>18</v>
      </c>
      <c r="N4105" s="50">
        <v>14</v>
      </c>
      <c r="O4105" t="s">
        <v>1017</v>
      </c>
      <c r="Q4105" s="50"/>
    </row>
    <row r="4106" spans="1:17" x14ac:dyDescent="0.25">
      <c r="A4106" s="610" t="s">
        <v>5008</v>
      </c>
      <c r="B4106" s="17" t="s">
        <v>2034</v>
      </c>
      <c r="C4106" s="30" t="s">
        <v>1275</v>
      </c>
      <c r="D4106" s="30" t="s">
        <v>1212</v>
      </c>
      <c r="E4106" s="17"/>
      <c r="F4106" s="444">
        <v>21</v>
      </c>
      <c r="G4106" s="519">
        <v>21</v>
      </c>
      <c r="H4106" s="18">
        <f t="shared" si="1616"/>
        <v>16.8</v>
      </c>
      <c r="I4106" s="694"/>
      <c r="J4106" s="669" t="s">
        <v>5805</v>
      </c>
      <c r="L4106" s="70" t="str">
        <f t="shared" si="1617"/>
        <v/>
      </c>
      <c r="M4106" s="49">
        <f t="shared" si="1618"/>
        <v>21</v>
      </c>
      <c r="N4106" s="50">
        <v>14</v>
      </c>
      <c r="O4106" t="s">
        <v>1017</v>
      </c>
      <c r="P4106" t="s">
        <v>1017</v>
      </c>
      <c r="Q4106" s="50"/>
    </row>
    <row r="4107" spans="1:17" x14ac:dyDescent="0.25">
      <c r="A4107" s="610" t="s">
        <v>5009</v>
      </c>
      <c r="B4107" s="17" t="s">
        <v>2034</v>
      </c>
      <c r="C4107" s="30" t="s">
        <v>1275</v>
      </c>
      <c r="D4107" s="30" t="s">
        <v>1213</v>
      </c>
      <c r="E4107" s="17"/>
      <c r="F4107" s="444">
        <v>22</v>
      </c>
      <c r="G4107" s="519">
        <v>22</v>
      </c>
      <c r="H4107" s="18">
        <f t="shared" si="1616"/>
        <v>17.600000000000001</v>
      </c>
      <c r="I4107" s="694"/>
      <c r="J4107" s="669" t="s">
        <v>5805</v>
      </c>
      <c r="L4107" s="70" t="str">
        <f t="shared" si="1617"/>
        <v/>
      </c>
      <c r="M4107" s="49">
        <f t="shared" si="1618"/>
        <v>22</v>
      </c>
      <c r="N4107" s="50">
        <v>14</v>
      </c>
      <c r="O4107" t="s">
        <v>1017</v>
      </c>
      <c r="Q4107" s="50" t="s">
        <v>1017</v>
      </c>
    </row>
    <row r="4108" spans="1:17" x14ac:dyDescent="0.25">
      <c r="A4108" s="610" t="s">
        <v>5010</v>
      </c>
      <c r="B4108" s="17" t="s">
        <v>2034</v>
      </c>
      <c r="C4108" s="30" t="s">
        <v>1275</v>
      </c>
      <c r="D4108" s="30" t="s">
        <v>1214</v>
      </c>
      <c r="E4108" s="17"/>
      <c r="F4108" s="444">
        <v>25</v>
      </c>
      <c r="G4108" s="519">
        <v>25</v>
      </c>
      <c r="H4108" s="18">
        <f t="shared" si="1616"/>
        <v>20</v>
      </c>
      <c r="I4108" s="694"/>
      <c r="J4108" s="669" t="s">
        <v>5805</v>
      </c>
      <c r="L4108" s="70" t="str">
        <f t="shared" si="1617"/>
        <v/>
      </c>
      <c r="M4108" s="49">
        <f t="shared" si="1618"/>
        <v>25</v>
      </c>
      <c r="N4108" s="50">
        <v>14</v>
      </c>
      <c r="O4108" t="s">
        <v>1017</v>
      </c>
      <c r="P4108" t="s">
        <v>1017</v>
      </c>
      <c r="Q4108" s="50" t="s">
        <v>1017</v>
      </c>
    </row>
    <row r="4109" spans="1:17" ht="15" customHeight="1" x14ac:dyDescent="0.25">
      <c r="A4109" s="618" t="s">
        <v>2047</v>
      </c>
      <c r="B4109" s="31" t="s">
        <v>2034</v>
      </c>
      <c r="C4109" s="31" t="s">
        <v>1275</v>
      </c>
      <c r="D4109" s="31" t="s">
        <v>2048</v>
      </c>
      <c r="E4109" s="31"/>
      <c r="F4109" s="469">
        <v>12.95</v>
      </c>
      <c r="G4109" s="546">
        <v>12.95</v>
      </c>
      <c r="H4109" s="108">
        <f t="shared" si="1616"/>
        <v>10.36</v>
      </c>
      <c r="I4109" s="725"/>
      <c r="J4109" s="669" t="s">
        <v>5805</v>
      </c>
      <c r="L4109" s="70" t="str">
        <f t="shared" si="1617"/>
        <v/>
      </c>
      <c r="M4109" s="49">
        <f t="shared" si="1618"/>
        <v>12.95</v>
      </c>
      <c r="N4109" s="50">
        <v>8.9499999999999993</v>
      </c>
      <c r="O4109" t="s">
        <v>1017</v>
      </c>
      <c r="Q4109" s="50"/>
    </row>
    <row r="4110" spans="1:17" x14ac:dyDescent="0.25">
      <c r="A4110" s="618" t="s">
        <v>2049</v>
      </c>
      <c r="B4110" s="31" t="s">
        <v>2034</v>
      </c>
      <c r="C4110" s="31" t="s">
        <v>1275</v>
      </c>
      <c r="D4110" s="31" t="s">
        <v>7387</v>
      </c>
      <c r="E4110" s="31"/>
      <c r="F4110" s="469">
        <v>11.16</v>
      </c>
      <c r="G4110" s="546">
        <v>11.16</v>
      </c>
      <c r="H4110" s="108">
        <f t="shared" si="1616"/>
        <v>8.93</v>
      </c>
      <c r="I4110" s="725"/>
      <c r="J4110" s="669" t="s">
        <v>5805</v>
      </c>
      <c r="L4110" s="70" t="str">
        <f t="shared" si="1617"/>
        <v/>
      </c>
      <c r="M4110" s="49">
        <f t="shared" si="1618"/>
        <v>11.16</v>
      </c>
      <c r="N4110" s="50">
        <v>7.16</v>
      </c>
      <c r="O4110" t="s">
        <v>1017</v>
      </c>
      <c r="Q4110" s="50"/>
    </row>
    <row r="4111" spans="1:17" ht="15" customHeight="1" x14ac:dyDescent="0.25">
      <c r="A4111" s="609"/>
      <c r="B4111" s="1"/>
      <c r="C4111" s="1"/>
      <c r="D4111" s="1"/>
      <c r="E4111" s="1"/>
      <c r="F4111" s="442"/>
      <c r="G4111" s="520"/>
      <c r="H4111" s="13" t="str">
        <f t="shared" si="1616"/>
        <v/>
      </c>
      <c r="I4111" s="692"/>
      <c r="J4111" s="669" t="s">
        <v>4180</v>
      </c>
      <c r="N4111" s="50"/>
      <c r="Q4111" s="50"/>
    </row>
    <row r="4112" spans="1:17" x14ac:dyDescent="0.25">
      <c r="A4112" s="618" t="s">
        <v>2050</v>
      </c>
      <c r="B4112" s="31" t="s">
        <v>2034</v>
      </c>
      <c r="C4112" s="31" t="s">
        <v>1288</v>
      </c>
      <c r="D4112" s="31" t="s">
        <v>2044</v>
      </c>
      <c r="E4112" s="31"/>
      <c r="F4112" s="469">
        <v>19</v>
      </c>
      <c r="G4112" s="546">
        <v>19</v>
      </c>
      <c r="H4112" s="108">
        <f t="shared" si="1616"/>
        <v>15.2</v>
      </c>
      <c r="I4112" s="725"/>
      <c r="J4112" s="669" t="s">
        <v>5805</v>
      </c>
      <c r="L4112" s="70" t="str">
        <f t="shared" ref="L4112:L4121" si="1619">IF(F4112=M4112,"",FALSE)</f>
        <v/>
      </c>
      <c r="M4112" s="49">
        <f t="shared" ref="M4112:M4121" si="1620">N4112+SUMIF(O4112:Q4112,"x",O$4094:Q$4094)</f>
        <v>19</v>
      </c>
      <c r="N4112" s="50">
        <v>15</v>
      </c>
      <c r="O4112" t="s">
        <v>1017</v>
      </c>
      <c r="Q4112" s="50"/>
    </row>
    <row r="4113" spans="1:17" ht="14.25" customHeight="1" x14ac:dyDescent="0.25">
      <c r="A4113" s="610" t="s">
        <v>5011</v>
      </c>
      <c r="B4113" s="17" t="s">
        <v>2034</v>
      </c>
      <c r="C4113" s="17" t="s">
        <v>1288</v>
      </c>
      <c r="D4113" s="30" t="s">
        <v>5512</v>
      </c>
      <c r="E4113" s="17"/>
      <c r="F4113" s="444">
        <v>22</v>
      </c>
      <c r="G4113" s="519">
        <v>22</v>
      </c>
      <c r="H4113" s="18">
        <f t="shared" si="1616"/>
        <v>17.600000000000001</v>
      </c>
      <c r="I4113" s="694"/>
      <c r="J4113" s="669" t="s">
        <v>5805</v>
      </c>
      <c r="L4113" s="70" t="str">
        <f t="shared" si="1619"/>
        <v/>
      </c>
      <c r="M4113" s="49">
        <f t="shared" si="1620"/>
        <v>22</v>
      </c>
      <c r="N4113" s="50">
        <v>15</v>
      </c>
      <c r="O4113" t="s">
        <v>1017</v>
      </c>
      <c r="P4113" t="s">
        <v>1017</v>
      </c>
      <c r="Q4113" s="50"/>
    </row>
    <row r="4114" spans="1:17" x14ac:dyDescent="0.25">
      <c r="A4114" s="610" t="s">
        <v>5012</v>
      </c>
      <c r="B4114" s="17" t="s">
        <v>2034</v>
      </c>
      <c r="C4114" s="17" t="s">
        <v>1288</v>
      </c>
      <c r="D4114" s="30" t="s">
        <v>5513</v>
      </c>
      <c r="E4114" s="17"/>
      <c r="F4114" s="444">
        <v>23</v>
      </c>
      <c r="G4114" s="519">
        <v>23</v>
      </c>
      <c r="H4114" s="18">
        <f t="shared" si="1616"/>
        <v>18.399999999999999</v>
      </c>
      <c r="I4114" s="694"/>
      <c r="J4114" s="669" t="s">
        <v>5805</v>
      </c>
      <c r="L4114" s="70" t="str">
        <f t="shared" si="1619"/>
        <v/>
      </c>
      <c r="M4114" s="49">
        <f t="shared" si="1620"/>
        <v>23</v>
      </c>
      <c r="N4114" s="50">
        <v>15</v>
      </c>
      <c r="O4114" t="s">
        <v>1017</v>
      </c>
      <c r="Q4114" s="50" t="s">
        <v>1017</v>
      </c>
    </row>
    <row r="4115" spans="1:17" x14ac:dyDescent="0.25">
      <c r="A4115" s="610" t="s">
        <v>5013</v>
      </c>
      <c r="B4115" s="17" t="s">
        <v>2034</v>
      </c>
      <c r="C4115" s="17" t="s">
        <v>1288</v>
      </c>
      <c r="D4115" s="30" t="s">
        <v>5514</v>
      </c>
      <c r="E4115" s="17"/>
      <c r="F4115" s="444">
        <v>26</v>
      </c>
      <c r="G4115" s="519">
        <v>26</v>
      </c>
      <c r="H4115" s="18">
        <f t="shared" si="1616"/>
        <v>20.8</v>
      </c>
      <c r="I4115" s="694"/>
      <c r="J4115" s="669" t="s">
        <v>5805</v>
      </c>
      <c r="L4115" s="70" t="str">
        <f t="shared" si="1619"/>
        <v/>
      </c>
      <c r="M4115" s="49">
        <f t="shared" si="1620"/>
        <v>26</v>
      </c>
      <c r="N4115" s="50">
        <v>15</v>
      </c>
      <c r="O4115" t="s">
        <v>1017</v>
      </c>
      <c r="P4115" t="s">
        <v>1017</v>
      </c>
      <c r="Q4115" s="50" t="s">
        <v>1017</v>
      </c>
    </row>
    <row r="4116" spans="1:17" x14ac:dyDescent="0.25">
      <c r="A4116" s="618" t="s">
        <v>2051</v>
      </c>
      <c r="B4116" s="31" t="s">
        <v>2034</v>
      </c>
      <c r="C4116" s="31" t="s">
        <v>1288</v>
      </c>
      <c r="D4116" s="31" t="s">
        <v>2046</v>
      </c>
      <c r="E4116" s="31"/>
      <c r="F4116" s="469">
        <v>18</v>
      </c>
      <c r="G4116" s="546">
        <v>18</v>
      </c>
      <c r="H4116" s="108">
        <f t="shared" si="1616"/>
        <v>14.4</v>
      </c>
      <c r="I4116" s="725"/>
      <c r="J4116" s="669" t="s">
        <v>5805</v>
      </c>
      <c r="L4116" s="70" t="str">
        <f t="shared" si="1619"/>
        <v/>
      </c>
      <c r="M4116" s="49">
        <f t="shared" si="1620"/>
        <v>18</v>
      </c>
      <c r="N4116" s="50">
        <v>14</v>
      </c>
      <c r="O4116" t="s">
        <v>1017</v>
      </c>
      <c r="Q4116" s="50"/>
    </row>
    <row r="4117" spans="1:17" ht="15" customHeight="1" x14ac:dyDescent="0.25">
      <c r="A4117" s="610" t="s">
        <v>5014</v>
      </c>
      <c r="B4117" s="17" t="s">
        <v>2034</v>
      </c>
      <c r="C4117" s="17" t="s">
        <v>1288</v>
      </c>
      <c r="D4117" s="30" t="s">
        <v>1212</v>
      </c>
      <c r="E4117" s="17"/>
      <c r="F4117" s="444">
        <v>21</v>
      </c>
      <c r="G4117" s="519">
        <v>21</v>
      </c>
      <c r="H4117" s="18">
        <f t="shared" si="1616"/>
        <v>16.8</v>
      </c>
      <c r="I4117" s="694"/>
      <c r="J4117" s="669" t="s">
        <v>5805</v>
      </c>
      <c r="L4117" s="70" t="str">
        <f t="shared" si="1619"/>
        <v/>
      </c>
      <c r="M4117" s="49">
        <f t="shared" si="1620"/>
        <v>21</v>
      </c>
      <c r="N4117" s="50">
        <v>14</v>
      </c>
      <c r="O4117" t="s">
        <v>1017</v>
      </c>
      <c r="P4117" t="s">
        <v>1017</v>
      </c>
      <c r="Q4117" s="50"/>
    </row>
    <row r="4118" spans="1:17" x14ac:dyDescent="0.25">
      <c r="A4118" s="610" t="s">
        <v>5015</v>
      </c>
      <c r="B4118" s="17" t="s">
        <v>2034</v>
      </c>
      <c r="C4118" s="17" t="s">
        <v>1288</v>
      </c>
      <c r="D4118" s="30" t="s">
        <v>1213</v>
      </c>
      <c r="E4118" s="17"/>
      <c r="F4118" s="444">
        <v>22</v>
      </c>
      <c r="G4118" s="519">
        <v>22</v>
      </c>
      <c r="H4118" s="18">
        <f t="shared" si="1616"/>
        <v>17.600000000000001</v>
      </c>
      <c r="I4118" s="694"/>
      <c r="J4118" s="669" t="s">
        <v>5805</v>
      </c>
      <c r="L4118" s="70" t="str">
        <f t="shared" si="1619"/>
        <v/>
      </c>
      <c r="M4118" s="49">
        <f t="shared" si="1620"/>
        <v>22</v>
      </c>
      <c r="N4118" s="50">
        <v>14</v>
      </c>
      <c r="O4118" t="s">
        <v>1017</v>
      </c>
      <c r="Q4118" s="50" t="s">
        <v>1017</v>
      </c>
    </row>
    <row r="4119" spans="1:17" x14ac:dyDescent="0.25">
      <c r="A4119" s="610" t="s">
        <v>5016</v>
      </c>
      <c r="B4119" s="17" t="s">
        <v>2034</v>
      </c>
      <c r="C4119" s="17" t="s">
        <v>1288</v>
      </c>
      <c r="D4119" s="30" t="s">
        <v>1214</v>
      </c>
      <c r="E4119" s="17"/>
      <c r="F4119" s="444">
        <v>25</v>
      </c>
      <c r="G4119" s="519">
        <v>25</v>
      </c>
      <c r="H4119" s="18">
        <f t="shared" si="1616"/>
        <v>20</v>
      </c>
      <c r="I4119" s="694"/>
      <c r="J4119" s="669" t="s">
        <v>5805</v>
      </c>
      <c r="L4119" s="70" t="str">
        <f t="shared" si="1619"/>
        <v/>
      </c>
      <c r="M4119" s="49">
        <f t="shared" si="1620"/>
        <v>25</v>
      </c>
      <c r="N4119" s="50">
        <v>14</v>
      </c>
      <c r="O4119" t="s">
        <v>1017</v>
      </c>
      <c r="P4119" t="s">
        <v>1017</v>
      </c>
      <c r="Q4119" s="50" t="s">
        <v>1017</v>
      </c>
    </row>
    <row r="4120" spans="1:17" x14ac:dyDescent="0.25">
      <c r="A4120" s="618" t="s">
        <v>2052</v>
      </c>
      <c r="B4120" s="31" t="s">
        <v>2034</v>
      </c>
      <c r="C4120" s="31" t="s">
        <v>1288</v>
      </c>
      <c r="D4120" s="31" t="s">
        <v>2048</v>
      </c>
      <c r="E4120" s="31"/>
      <c r="F4120" s="469">
        <v>12.95</v>
      </c>
      <c r="G4120" s="546">
        <v>12.95</v>
      </c>
      <c r="H4120" s="108">
        <f t="shared" si="1616"/>
        <v>10.36</v>
      </c>
      <c r="I4120" s="725"/>
      <c r="J4120" s="669" t="s">
        <v>5805</v>
      </c>
      <c r="L4120" s="70" t="str">
        <f t="shared" si="1619"/>
        <v/>
      </c>
      <c r="M4120" s="49">
        <f t="shared" si="1620"/>
        <v>12.95</v>
      </c>
      <c r="N4120" s="50">
        <v>8.9499999999999993</v>
      </c>
      <c r="O4120" t="s">
        <v>1017</v>
      </c>
      <c r="Q4120" s="50"/>
    </row>
    <row r="4121" spans="1:17" x14ac:dyDescent="0.25">
      <c r="A4121" s="618" t="s">
        <v>2053</v>
      </c>
      <c r="B4121" s="31" t="s">
        <v>2034</v>
      </c>
      <c r="C4121" s="31" t="s">
        <v>1288</v>
      </c>
      <c r="D4121" s="31" t="s">
        <v>7387</v>
      </c>
      <c r="E4121" s="31"/>
      <c r="F4121" s="469">
        <v>11.16</v>
      </c>
      <c r="G4121" s="546">
        <v>11.16</v>
      </c>
      <c r="H4121" s="108">
        <f t="shared" si="1616"/>
        <v>8.93</v>
      </c>
      <c r="I4121" s="725"/>
      <c r="J4121" s="669" t="s">
        <v>5805</v>
      </c>
      <c r="L4121" s="70" t="str">
        <f t="shared" si="1619"/>
        <v/>
      </c>
      <c r="M4121" s="49">
        <f t="shared" si="1620"/>
        <v>11.16</v>
      </c>
      <c r="N4121" s="50">
        <v>7.16</v>
      </c>
      <c r="O4121" t="s">
        <v>1017</v>
      </c>
      <c r="Q4121" s="50"/>
    </row>
    <row r="4122" spans="1:17" x14ac:dyDescent="0.25">
      <c r="A4122" s="609"/>
      <c r="B4122" s="1"/>
      <c r="C4122" s="1"/>
      <c r="D4122" s="1"/>
      <c r="E4122" s="1"/>
      <c r="F4122" s="442"/>
      <c r="G4122" s="520"/>
      <c r="H4122" s="13" t="str">
        <f t="shared" si="1616"/>
        <v/>
      </c>
      <c r="I4122" s="692"/>
      <c r="J4122" s="669" t="s">
        <v>4180</v>
      </c>
      <c r="N4122" s="50"/>
      <c r="Q4122" s="50"/>
    </row>
    <row r="4123" spans="1:17" x14ac:dyDescent="0.25">
      <c r="A4123" s="618" t="s">
        <v>2054</v>
      </c>
      <c r="B4123" s="31" t="s">
        <v>2034</v>
      </c>
      <c r="C4123" s="31" t="s">
        <v>1296</v>
      </c>
      <c r="D4123" s="31" t="s">
        <v>2044</v>
      </c>
      <c r="E4123" s="31"/>
      <c r="F4123" s="469">
        <v>19</v>
      </c>
      <c r="G4123" s="546">
        <v>19</v>
      </c>
      <c r="H4123" s="108">
        <f t="shared" si="1616"/>
        <v>15.2</v>
      </c>
      <c r="I4123" s="725"/>
      <c r="J4123" s="669" t="s">
        <v>5805</v>
      </c>
      <c r="L4123" s="70" t="str">
        <f t="shared" ref="L4123:L4132" si="1621">IF(F4123=M4123,"",FALSE)</f>
        <v/>
      </c>
      <c r="M4123" s="49">
        <f t="shared" ref="M4123:M4132" si="1622">N4123+SUMIF(O4123:Q4123,"x",O$4094:Q$4094)</f>
        <v>19</v>
      </c>
      <c r="N4123" s="50">
        <v>15</v>
      </c>
      <c r="O4123" t="s">
        <v>1017</v>
      </c>
      <c r="Q4123" s="50"/>
    </row>
    <row r="4124" spans="1:17" ht="15" customHeight="1" x14ac:dyDescent="0.25">
      <c r="A4124" s="610" t="s">
        <v>5017</v>
      </c>
      <c r="B4124" s="17" t="s">
        <v>2034</v>
      </c>
      <c r="C4124" s="17" t="s">
        <v>1296</v>
      </c>
      <c r="D4124" s="30" t="s">
        <v>5512</v>
      </c>
      <c r="E4124" s="17"/>
      <c r="F4124" s="444">
        <v>22</v>
      </c>
      <c r="G4124" s="519">
        <v>22</v>
      </c>
      <c r="H4124" s="18">
        <f t="shared" si="1616"/>
        <v>17.600000000000001</v>
      </c>
      <c r="I4124" s="694"/>
      <c r="J4124" s="669" t="s">
        <v>5805</v>
      </c>
      <c r="L4124" s="70" t="str">
        <f t="shared" si="1621"/>
        <v/>
      </c>
      <c r="M4124" s="49">
        <f t="shared" si="1622"/>
        <v>22</v>
      </c>
      <c r="N4124" s="50">
        <v>15</v>
      </c>
      <c r="O4124" t="s">
        <v>1017</v>
      </c>
      <c r="P4124" t="s">
        <v>1017</v>
      </c>
      <c r="Q4124" s="50"/>
    </row>
    <row r="4125" spans="1:17" x14ac:dyDescent="0.25">
      <c r="A4125" s="610" t="s">
        <v>5018</v>
      </c>
      <c r="B4125" s="17" t="s">
        <v>2034</v>
      </c>
      <c r="C4125" s="17" t="s">
        <v>1296</v>
      </c>
      <c r="D4125" s="30" t="s">
        <v>5513</v>
      </c>
      <c r="E4125" s="17"/>
      <c r="F4125" s="444">
        <v>23</v>
      </c>
      <c r="G4125" s="519">
        <v>23</v>
      </c>
      <c r="H4125" s="18">
        <f t="shared" si="1616"/>
        <v>18.399999999999999</v>
      </c>
      <c r="I4125" s="694"/>
      <c r="J4125" s="669" t="s">
        <v>5805</v>
      </c>
      <c r="L4125" s="70" t="str">
        <f t="shared" si="1621"/>
        <v/>
      </c>
      <c r="M4125" s="49">
        <f t="shared" si="1622"/>
        <v>23</v>
      </c>
      <c r="N4125" s="50">
        <v>15</v>
      </c>
      <c r="O4125" t="s">
        <v>1017</v>
      </c>
      <c r="Q4125" s="50" t="s">
        <v>1017</v>
      </c>
    </row>
    <row r="4126" spans="1:17" x14ac:dyDescent="0.25">
      <c r="A4126" s="610" t="s">
        <v>5019</v>
      </c>
      <c r="B4126" s="17" t="s">
        <v>2034</v>
      </c>
      <c r="C4126" s="17" t="s">
        <v>1296</v>
      </c>
      <c r="D4126" s="30" t="s">
        <v>5514</v>
      </c>
      <c r="E4126" s="17"/>
      <c r="F4126" s="444">
        <v>26</v>
      </c>
      <c r="G4126" s="519">
        <v>26</v>
      </c>
      <c r="H4126" s="18">
        <f t="shared" si="1616"/>
        <v>20.8</v>
      </c>
      <c r="I4126" s="694"/>
      <c r="J4126" s="669" t="s">
        <v>5805</v>
      </c>
      <c r="L4126" s="70" t="str">
        <f t="shared" si="1621"/>
        <v/>
      </c>
      <c r="M4126" s="49">
        <f t="shared" si="1622"/>
        <v>26</v>
      </c>
      <c r="N4126" s="50">
        <v>15</v>
      </c>
      <c r="O4126" t="s">
        <v>1017</v>
      </c>
      <c r="P4126" t="s">
        <v>1017</v>
      </c>
      <c r="Q4126" s="50" t="s">
        <v>1017</v>
      </c>
    </row>
    <row r="4127" spans="1:17" ht="15" customHeight="1" x14ac:dyDescent="0.25">
      <c r="A4127" s="618" t="s">
        <v>2055</v>
      </c>
      <c r="B4127" s="31" t="s">
        <v>2034</v>
      </c>
      <c r="C4127" s="31" t="s">
        <v>1296</v>
      </c>
      <c r="D4127" s="31" t="s">
        <v>2046</v>
      </c>
      <c r="E4127" s="31"/>
      <c r="F4127" s="469">
        <v>18</v>
      </c>
      <c r="G4127" s="546">
        <v>18</v>
      </c>
      <c r="H4127" s="108">
        <f t="shared" ref="H4127:H4158" si="1623">IF(ISNUMBER(G4127),ROUND(0.8*G4127,2),"")</f>
        <v>14.4</v>
      </c>
      <c r="I4127" s="725"/>
      <c r="J4127" s="669" t="s">
        <v>5805</v>
      </c>
      <c r="L4127" s="70" t="str">
        <f t="shared" si="1621"/>
        <v/>
      </c>
      <c r="M4127" s="49">
        <f t="shared" si="1622"/>
        <v>18</v>
      </c>
      <c r="N4127" s="50">
        <v>14</v>
      </c>
      <c r="O4127" t="s">
        <v>1017</v>
      </c>
      <c r="Q4127" s="50"/>
    </row>
    <row r="4128" spans="1:17" x14ac:dyDescent="0.25">
      <c r="A4128" s="610" t="s">
        <v>5020</v>
      </c>
      <c r="B4128" s="17" t="s">
        <v>2034</v>
      </c>
      <c r="C4128" s="17" t="s">
        <v>1296</v>
      </c>
      <c r="D4128" s="30" t="s">
        <v>1212</v>
      </c>
      <c r="E4128" s="17"/>
      <c r="F4128" s="444">
        <v>21</v>
      </c>
      <c r="G4128" s="519">
        <v>21</v>
      </c>
      <c r="H4128" s="18">
        <f t="shared" si="1623"/>
        <v>16.8</v>
      </c>
      <c r="I4128" s="694"/>
      <c r="J4128" s="669" t="s">
        <v>5805</v>
      </c>
      <c r="L4128" s="70" t="str">
        <f t="shared" si="1621"/>
        <v/>
      </c>
      <c r="M4128" s="49">
        <f t="shared" si="1622"/>
        <v>21</v>
      </c>
      <c r="N4128" s="50">
        <v>14</v>
      </c>
      <c r="O4128" t="s">
        <v>1017</v>
      </c>
      <c r="P4128" t="s">
        <v>1017</v>
      </c>
      <c r="Q4128" s="50"/>
    </row>
    <row r="4129" spans="1:17" x14ac:dyDescent="0.25">
      <c r="A4129" s="610" t="s">
        <v>5021</v>
      </c>
      <c r="B4129" s="17" t="s">
        <v>2034</v>
      </c>
      <c r="C4129" s="17" t="s">
        <v>1296</v>
      </c>
      <c r="D4129" s="30" t="s">
        <v>1213</v>
      </c>
      <c r="E4129" s="17"/>
      <c r="F4129" s="444">
        <v>22</v>
      </c>
      <c r="G4129" s="519">
        <v>22</v>
      </c>
      <c r="H4129" s="18">
        <f t="shared" si="1623"/>
        <v>17.600000000000001</v>
      </c>
      <c r="I4129" s="694"/>
      <c r="J4129" s="669" t="s">
        <v>5805</v>
      </c>
      <c r="L4129" s="70" t="str">
        <f t="shared" si="1621"/>
        <v/>
      </c>
      <c r="M4129" s="49">
        <f t="shared" si="1622"/>
        <v>22</v>
      </c>
      <c r="N4129" s="50">
        <v>14</v>
      </c>
      <c r="O4129" t="s">
        <v>1017</v>
      </c>
      <c r="Q4129" s="50" t="s">
        <v>1017</v>
      </c>
    </row>
    <row r="4130" spans="1:17" x14ac:dyDescent="0.25">
      <c r="A4130" s="610" t="s">
        <v>5022</v>
      </c>
      <c r="B4130" s="17" t="s">
        <v>2034</v>
      </c>
      <c r="C4130" s="17" t="s">
        <v>1296</v>
      </c>
      <c r="D4130" s="30" t="s">
        <v>1214</v>
      </c>
      <c r="E4130" s="17"/>
      <c r="F4130" s="444">
        <v>25</v>
      </c>
      <c r="G4130" s="519">
        <v>25</v>
      </c>
      <c r="H4130" s="18">
        <f t="shared" si="1623"/>
        <v>20</v>
      </c>
      <c r="I4130" s="694"/>
      <c r="J4130" s="669" t="s">
        <v>5805</v>
      </c>
      <c r="L4130" s="70" t="str">
        <f t="shared" si="1621"/>
        <v/>
      </c>
      <c r="M4130" s="49">
        <f t="shared" si="1622"/>
        <v>25</v>
      </c>
      <c r="N4130" s="50">
        <v>14</v>
      </c>
      <c r="O4130" t="s">
        <v>1017</v>
      </c>
      <c r="P4130" t="s">
        <v>1017</v>
      </c>
      <c r="Q4130" s="50" t="s">
        <v>1017</v>
      </c>
    </row>
    <row r="4131" spans="1:17" x14ac:dyDescent="0.25">
      <c r="A4131" s="618" t="s">
        <v>2056</v>
      </c>
      <c r="B4131" s="31" t="s">
        <v>2034</v>
      </c>
      <c r="C4131" s="31" t="s">
        <v>1296</v>
      </c>
      <c r="D4131" s="31" t="s">
        <v>2048</v>
      </c>
      <c r="E4131" s="31"/>
      <c r="F4131" s="469">
        <v>12.95</v>
      </c>
      <c r="G4131" s="546">
        <v>12.95</v>
      </c>
      <c r="H4131" s="108">
        <f t="shared" si="1623"/>
        <v>10.36</v>
      </c>
      <c r="I4131" s="725"/>
      <c r="J4131" s="669" t="s">
        <v>5805</v>
      </c>
      <c r="L4131" s="70" t="str">
        <f t="shared" si="1621"/>
        <v/>
      </c>
      <c r="M4131" s="49">
        <f t="shared" si="1622"/>
        <v>12.95</v>
      </c>
      <c r="N4131" s="50">
        <v>8.9499999999999993</v>
      </c>
      <c r="O4131" t="s">
        <v>1017</v>
      </c>
      <c r="Q4131" s="50"/>
    </row>
    <row r="4132" spans="1:17" x14ac:dyDescent="0.25">
      <c r="A4132" s="618" t="s">
        <v>2057</v>
      </c>
      <c r="B4132" s="31" t="s">
        <v>2034</v>
      </c>
      <c r="C4132" s="31" t="s">
        <v>1296</v>
      </c>
      <c r="D4132" s="31" t="s">
        <v>7387</v>
      </c>
      <c r="E4132" s="31"/>
      <c r="F4132" s="469">
        <v>11.16</v>
      </c>
      <c r="G4132" s="546">
        <v>11.16</v>
      </c>
      <c r="H4132" s="108">
        <f t="shared" si="1623"/>
        <v>8.93</v>
      </c>
      <c r="I4132" s="725"/>
      <c r="J4132" s="669" t="s">
        <v>5805</v>
      </c>
      <c r="L4132" s="70" t="str">
        <f t="shared" si="1621"/>
        <v/>
      </c>
      <c r="M4132" s="49">
        <f t="shared" si="1622"/>
        <v>11.16</v>
      </c>
      <c r="N4132" s="50">
        <v>7.16</v>
      </c>
      <c r="O4132" t="s">
        <v>1017</v>
      </c>
      <c r="Q4132" s="50"/>
    </row>
    <row r="4133" spans="1:17" x14ac:dyDescent="0.25">
      <c r="A4133" s="609"/>
      <c r="B4133" s="1"/>
      <c r="C4133" s="1"/>
      <c r="D4133" s="1"/>
      <c r="E4133" s="1"/>
      <c r="F4133" s="442"/>
      <c r="G4133" s="520"/>
      <c r="H4133" s="13" t="str">
        <f t="shared" si="1623"/>
        <v/>
      </c>
      <c r="I4133" s="692"/>
      <c r="J4133" s="669" t="s">
        <v>4180</v>
      </c>
      <c r="N4133" s="50"/>
      <c r="Q4133" s="50"/>
    </row>
    <row r="4134" spans="1:17" ht="15" customHeight="1" x14ac:dyDescent="0.25">
      <c r="A4134" s="618" t="s">
        <v>2058</v>
      </c>
      <c r="B4134" s="31" t="s">
        <v>2034</v>
      </c>
      <c r="C4134" s="31" t="s">
        <v>1304</v>
      </c>
      <c r="D4134" s="31" t="s">
        <v>2044</v>
      </c>
      <c r="E4134" s="31"/>
      <c r="F4134" s="469">
        <v>19</v>
      </c>
      <c r="G4134" s="546">
        <v>19</v>
      </c>
      <c r="H4134" s="108">
        <f t="shared" si="1623"/>
        <v>15.2</v>
      </c>
      <c r="I4134" s="725"/>
      <c r="J4134" s="669" t="s">
        <v>5805</v>
      </c>
      <c r="L4134" s="70" t="str">
        <f t="shared" ref="L4134:L4143" si="1624">IF(F4134=M4134,"",FALSE)</f>
        <v/>
      </c>
      <c r="M4134" s="49">
        <f t="shared" ref="M4134:M4143" si="1625">N4134+SUMIF(O4134:Q4134,"x",O$4094:Q$4094)</f>
        <v>19</v>
      </c>
      <c r="N4134" s="50">
        <v>15</v>
      </c>
      <c r="O4134" t="s">
        <v>1017</v>
      </c>
      <c r="Q4134" s="50"/>
    </row>
    <row r="4135" spans="1:17" x14ac:dyDescent="0.25">
      <c r="A4135" s="610" t="s">
        <v>5023</v>
      </c>
      <c r="B4135" s="17" t="s">
        <v>2034</v>
      </c>
      <c r="C4135" s="17" t="s">
        <v>1304</v>
      </c>
      <c r="D4135" s="30" t="s">
        <v>5512</v>
      </c>
      <c r="E4135" s="17"/>
      <c r="F4135" s="444">
        <v>22</v>
      </c>
      <c r="G4135" s="519">
        <v>22</v>
      </c>
      <c r="H4135" s="18">
        <f t="shared" si="1623"/>
        <v>17.600000000000001</v>
      </c>
      <c r="I4135" s="694"/>
      <c r="J4135" s="669" t="s">
        <v>5805</v>
      </c>
      <c r="L4135" s="70" t="str">
        <f t="shared" si="1624"/>
        <v/>
      </c>
      <c r="M4135" s="49">
        <f t="shared" si="1625"/>
        <v>22</v>
      </c>
      <c r="N4135" s="50">
        <v>15</v>
      </c>
      <c r="O4135" t="s">
        <v>1017</v>
      </c>
      <c r="P4135" t="s">
        <v>1017</v>
      </c>
      <c r="Q4135" s="50"/>
    </row>
    <row r="4136" spans="1:17" x14ac:dyDescent="0.25">
      <c r="A4136" s="610" t="s">
        <v>5024</v>
      </c>
      <c r="B4136" s="17" t="s">
        <v>2034</v>
      </c>
      <c r="C4136" s="17" t="s">
        <v>1304</v>
      </c>
      <c r="D4136" s="30" t="s">
        <v>5513</v>
      </c>
      <c r="E4136" s="17"/>
      <c r="F4136" s="444">
        <v>23</v>
      </c>
      <c r="G4136" s="519">
        <v>23</v>
      </c>
      <c r="H4136" s="18">
        <f t="shared" si="1623"/>
        <v>18.399999999999999</v>
      </c>
      <c r="I4136" s="694"/>
      <c r="J4136" s="669" t="s">
        <v>5805</v>
      </c>
      <c r="L4136" s="70" t="str">
        <f t="shared" si="1624"/>
        <v/>
      </c>
      <c r="M4136" s="49">
        <f t="shared" si="1625"/>
        <v>23</v>
      </c>
      <c r="N4136" s="50">
        <v>15</v>
      </c>
      <c r="O4136" t="s">
        <v>1017</v>
      </c>
      <c r="Q4136" s="50" t="s">
        <v>1017</v>
      </c>
    </row>
    <row r="4137" spans="1:17" x14ac:dyDescent="0.25">
      <c r="A4137" s="610" t="s">
        <v>5025</v>
      </c>
      <c r="B4137" s="17" t="s">
        <v>2034</v>
      </c>
      <c r="C4137" s="17" t="s">
        <v>1304</v>
      </c>
      <c r="D4137" s="30" t="s">
        <v>5514</v>
      </c>
      <c r="E4137" s="17"/>
      <c r="F4137" s="444">
        <v>26</v>
      </c>
      <c r="G4137" s="519">
        <v>26</v>
      </c>
      <c r="H4137" s="18">
        <f t="shared" si="1623"/>
        <v>20.8</v>
      </c>
      <c r="I4137" s="694"/>
      <c r="J4137" s="669" t="s">
        <v>5805</v>
      </c>
      <c r="L4137" s="70" t="str">
        <f t="shared" si="1624"/>
        <v/>
      </c>
      <c r="M4137" s="49">
        <f t="shared" si="1625"/>
        <v>26</v>
      </c>
      <c r="N4137" s="50">
        <v>15</v>
      </c>
      <c r="O4137" t="s">
        <v>1017</v>
      </c>
      <c r="P4137" t="s">
        <v>1017</v>
      </c>
      <c r="Q4137" s="50" t="s">
        <v>1017</v>
      </c>
    </row>
    <row r="4138" spans="1:17" x14ac:dyDescent="0.25">
      <c r="A4138" s="618" t="s">
        <v>2059</v>
      </c>
      <c r="B4138" s="31" t="s">
        <v>2034</v>
      </c>
      <c r="C4138" s="31" t="s">
        <v>1304</v>
      </c>
      <c r="D4138" s="31" t="s">
        <v>2046</v>
      </c>
      <c r="E4138" s="31"/>
      <c r="F4138" s="469">
        <v>18</v>
      </c>
      <c r="G4138" s="546">
        <v>18</v>
      </c>
      <c r="H4138" s="108">
        <f t="shared" si="1623"/>
        <v>14.4</v>
      </c>
      <c r="I4138" s="725"/>
      <c r="J4138" s="669" t="s">
        <v>5805</v>
      </c>
      <c r="L4138" s="70" t="str">
        <f t="shared" si="1624"/>
        <v/>
      </c>
      <c r="M4138" s="49">
        <f t="shared" si="1625"/>
        <v>18</v>
      </c>
      <c r="N4138" s="50">
        <v>14</v>
      </c>
      <c r="O4138" t="s">
        <v>1017</v>
      </c>
      <c r="Q4138" s="50"/>
    </row>
    <row r="4139" spans="1:17" x14ac:dyDescent="0.25">
      <c r="A4139" s="610" t="s">
        <v>5026</v>
      </c>
      <c r="B4139" s="17" t="s">
        <v>2034</v>
      </c>
      <c r="C4139" s="17" t="s">
        <v>1304</v>
      </c>
      <c r="D4139" s="30" t="s">
        <v>1212</v>
      </c>
      <c r="E4139" s="17"/>
      <c r="F4139" s="444">
        <v>21</v>
      </c>
      <c r="G4139" s="519">
        <v>21</v>
      </c>
      <c r="H4139" s="18">
        <f t="shared" si="1623"/>
        <v>16.8</v>
      </c>
      <c r="I4139" s="694"/>
      <c r="J4139" s="669" t="s">
        <v>5805</v>
      </c>
      <c r="L4139" s="70" t="str">
        <f t="shared" si="1624"/>
        <v/>
      </c>
      <c r="M4139" s="49">
        <f t="shared" si="1625"/>
        <v>21</v>
      </c>
      <c r="N4139" s="50">
        <v>14</v>
      </c>
      <c r="O4139" t="s">
        <v>1017</v>
      </c>
      <c r="P4139" t="s">
        <v>1017</v>
      </c>
      <c r="Q4139" s="50"/>
    </row>
    <row r="4140" spans="1:17" x14ac:dyDescent="0.25">
      <c r="A4140" s="610" t="s">
        <v>5027</v>
      </c>
      <c r="B4140" s="17" t="s">
        <v>2034</v>
      </c>
      <c r="C4140" s="17" t="s">
        <v>1304</v>
      </c>
      <c r="D4140" s="30" t="s">
        <v>1213</v>
      </c>
      <c r="E4140" s="17"/>
      <c r="F4140" s="444">
        <v>22</v>
      </c>
      <c r="G4140" s="519">
        <v>22</v>
      </c>
      <c r="H4140" s="18">
        <f t="shared" si="1623"/>
        <v>17.600000000000001</v>
      </c>
      <c r="I4140" s="694"/>
      <c r="J4140" s="669" t="s">
        <v>5805</v>
      </c>
      <c r="L4140" s="70" t="str">
        <f t="shared" si="1624"/>
        <v/>
      </c>
      <c r="M4140" s="49">
        <f t="shared" si="1625"/>
        <v>22</v>
      </c>
      <c r="N4140" s="50">
        <v>14</v>
      </c>
      <c r="O4140" t="s">
        <v>1017</v>
      </c>
      <c r="Q4140" s="50" t="s">
        <v>1017</v>
      </c>
    </row>
    <row r="4141" spans="1:17" ht="14.25" customHeight="1" x14ac:dyDescent="0.25">
      <c r="A4141" s="610" t="s">
        <v>5028</v>
      </c>
      <c r="B4141" s="17" t="s">
        <v>2034</v>
      </c>
      <c r="C4141" s="17" t="s">
        <v>1304</v>
      </c>
      <c r="D4141" s="30" t="s">
        <v>1214</v>
      </c>
      <c r="E4141" s="17"/>
      <c r="F4141" s="444">
        <v>25</v>
      </c>
      <c r="G4141" s="519">
        <v>25</v>
      </c>
      <c r="H4141" s="18">
        <f t="shared" si="1623"/>
        <v>20</v>
      </c>
      <c r="I4141" s="694"/>
      <c r="J4141" s="669" t="s">
        <v>5805</v>
      </c>
      <c r="L4141" s="70" t="str">
        <f t="shared" si="1624"/>
        <v/>
      </c>
      <c r="M4141" s="49">
        <f t="shared" si="1625"/>
        <v>25</v>
      </c>
      <c r="N4141" s="50">
        <v>14</v>
      </c>
      <c r="O4141" t="s">
        <v>1017</v>
      </c>
      <c r="P4141" t="s">
        <v>1017</v>
      </c>
      <c r="Q4141" s="50" t="s">
        <v>1017</v>
      </c>
    </row>
    <row r="4142" spans="1:17" x14ac:dyDescent="0.25">
      <c r="A4142" s="618" t="s">
        <v>2060</v>
      </c>
      <c r="B4142" s="31" t="s">
        <v>2034</v>
      </c>
      <c r="C4142" s="31" t="s">
        <v>1304</v>
      </c>
      <c r="D4142" s="31" t="s">
        <v>2048</v>
      </c>
      <c r="E4142" s="31"/>
      <c r="F4142" s="469">
        <v>12.95</v>
      </c>
      <c r="G4142" s="546">
        <v>12.95</v>
      </c>
      <c r="H4142" s="108">
        <f t="shared" si="1623"/>
        <v>10.36</v>
      </c>
      <c r="I4142" s="725"/>
      <c r="J4142" s="669" t="s">
        <v>5805</v>
      </c>
      <c r="L4142" s="70" t="str">
        <f t="shared" si="1624"/>
        <v/>
      </c>
      <c r="M4142" s="49">
        <f t="shared" si="1625"/>
        <v>12.95</v>
      </c>
      <c r="N4142" s="50">
        <v>8.9499999999999993</v>
      </c>
      <c r="O4142" t="s">
        <v>1017</v>
      </c>
      <c r="Q4142" s="50"/>
    </row>
    <row r="4143" spans="1:17" x14ac:dyDescent="0.25">
      <c r="A4143" s="618" t="s">
        <v>2061</v>
      </c>
      <c r="B4143" s="31" t="s">
        <v>2034</v>
      </c>
      <c r="C4143" s="31" t="s">
        <v>1304</v>
      </c>
      <c r="D4143" s="31" t="s">
        <v>7387</v>
      </c>
      <c r="E4143" s="31"/>
      <c r="F4143" s="469">
        <v>11.16</v>
      </c>
      <c r="G4143" s="546">
        <v>11.16</v>
      </c>
      <c r="H4143" s="108">
        <f t="shared" si="1623"/>
        <v>8.93</v>
      </c>
      <c r="I4143" s="725"/>
      <c r="J4143" s="669" t="s">
        <v>5805</v>
      </c>
      <c r="L4143" s="70" t="str">
        <f t="shared" si="1624"/>
        <v/>
      </c>
      <c r="M4143" s="49">
        <f t="shared" si="1625"/>
        <v>11.16</v>
      </c>
      <c r="N4143" s="50">
        <v>7.16</v>
      </c>
      <c r="O4143" t="s">
        <v>1017</v>
      </c>
      <c r="Q4143" s="50"/>
    </row>
    <row r="4144" spans="1:17" x14ac:dyDescent="0.25">
      <c r="A4144" s="609"/>
      <c r="B4144" s="1"/>
      <c r="C4144" s="1"/>
      <c r="D4144" s="1"/>
      <c r="E4144" s="1"/>
      <c r="F4144" s="442"/>
      <c r="G4144" s="520"/>
      <c r="H4144" s="13" t="str">
        <f t="shared" si="1623"/>
        <v/>
      </c>
      <c r="I4144" s="692"/>
      <c r="J4144" s="669" t="s">
        <v>4180</v>
      </c>
      <c r="N4144" s="50"/>
      <c r="Q4144" s="50"/>
    </row>
    <row r="4145" spans="1:33" x14ac:dyDescent="0.25">
      <c r="A4145" s="618" t="s">
        <v>2062</v>
      </c>
      <c r="B4145" s="31" t="s">
        <v>2034</v>
      </c>
      <c r="C4145" s="31" t="s">
        <v>5540</v>
      </c>
      <c r="D4145" s="31" t="s">
        <v>2044</v>
      </c>
      <c r="E4145" s="31"/>
      <c r="F4145" s="469">
        <v>19</v>
      </c>
      <c r="G4145" s="546">
        <v>19</v>
      </c>
      <c r="H4145" s="108">
        <f t="shared" si="1623"/>
        <v>15.2</v>
      </c>
      <c r="I4145" s="725"/>
      <c r="J4145" s="669" t="s">
        <v>5805</v>
      </c>
      <c r="L4145" s="70" t="str">
        <f t="shared" ref="L4145:L4154" si="1626">IF(F4145=M4145,"",FALSE)</f>
        <v/>
      </c>
      <c r="M4145" s="49">
        <f t="shared" ref="M4145:M4154" si="1627">N4145+SUMIF(O4145:Q4145,"x",O$4094:Q$4094)</f>
        <v>19</v>
      </c>
      <c r="N4145" s="50">
        <v>15</v>
      </c>
      <c r="O4145" t="s">
        <v>1017</v>
      </c>
      <c r="Q4145" s="50"/>
    </row>
    <row r="4146" spans="1:33" x14ac:dyDescent="0.25">
      <c r="A4146" s="610" t="s">
        <v>1206</v>
      </c>
      <c r="B4146" s="17" t="s">
        <v>2034</v>
      </c>
      <c r="C4146" s="17" t="s">
        <v>5540</v>
      </c>
      <c r="D4146" s="30" t="s">
        <v>5512</v>
      </c>
      <c r="E4146" s="17"/>
      <c r="F4146" s="444">
        <v>22</v>
      </c>
      <c r="G4146" s="519">
        <v>22</v>
      </c>
      <c r="H4146" s="18">
        <f t="shared" si="1623"/>
        <v>17.600000000000001</v>
      </c>
      <c r="I4146" s="694"/>
      <c r="J4146" s="669" t="s">
        <v>5805</v>
      </c>
      <c r="L4146" s="70" t="str">
        <f t="shared" si="1626"/>
        <v/>
      </c>
      <c r="M4146" s="49">
        <f t="shared" si="1627"/>
        <v>22</v>
      </c>
      <c r="N4146" s="50">
        <v>15</v>
      </c>
      <c r="O4146" t="s">
        <v>1017</v>
      </c>
      <c r="P4146" t="s">
        <v>1017</v>
      </c>
      <c r="Q4146" s="50"/>
    </row>
    <row r="4147" spans="1:33" x14ac:dyDescent="0.25">
      <c r="A4147" s="610" t="s">
        <v>1207</v>
      </c>
      <c r="B4147" s="17" t="s">
        <v>2034</v>
      </c>
      <c r="C4147" s="17" t="s">
        <v>5540</v>
      </c>
      <c r="D4147" s="30" t="s">
        <v>5513</v>
      </c>
      <c r="E4147" s="17"/>
      <c r="F4147" s="444">
        <v>23</v>
      </c>
      <c r="G4147" s="519">
        <v>23</v>
      </c>
      <c r="H4147" s="18">
        <f t="shared" si="1623"/>
        <v>18.399999999999999</v>
      </c>
      <c r="I4147" s="694"/>
      <c r="J4147" s="669" t="s">
        <v>5805</v>
      </c>
      <c r="L4147" s="70" t="str">
        <f t="shared" si="1626"/>
        <v/>
      </c>
      <c r="M4147" s="49">
        <f t="shared" si="1627"/>
        <v>23</v>
      </c>
      <c r="N4147" s="50">
        <v>15</v>
      </c>
      <c r="O4147" t="s">
        <v>1017</v>
      </c>
      <c r="Q4147" s="50" t="s">
        <v>1017</v>
      </c>
    </row>
    <row r="4148" spans="1:33" x14ac:dyDescent="0.25">
      <c r="A4148" s="610" t="s">
        <v>1208</v>
      </c>
      <c r="B4148" s="17" t="s">
        <v>2034</v>
      </c>
      <c r="C4148" s="17" t="s">
        <v>5540</v>
      </c>
      <c r="D4148" s="30" t="s">
        <v>5514</v>
      </c>
      <c r="E4148" s="17"/>
      <c r="F4148" s="444">
        <v>26</v>
      </c>
      <c r="G4148" s="519">
        <v>26</v>
      </c>
      <c r="H4148" s="18">
        <f t="shared" si="1623"/>
        <v>20.8</v>
      </c>
      <c r="I4148" s="694"/>
      <c r="J4148" s="669" t="s">
        <v>5805</v>
      </c>
      <c r="L4148" s="70" t="str">
        <f t="shared" si="1626"/>
        <v/>
      </c>
      <c r="M4148" s="49">
        <f t="shared" si="1627"/>
        <v>26</v>
      </c>
      <c r="N4148" s="50">
        <v>15</v>
      </c>
      <c r="O4148" t="s">
        <v>1017</v>
      </c>
      <c r="P4148" t="s">
        <v>1017</v>
      </c>
      <c r="Q4148" s="50" t="s">
        <v>1017</v>
      </c>
    </row>
    <row r="4149" spans="1:33" x14ac:dyDescent="0.25">
      <c r="A4149" s="618" t="s">
        <v>2063</v>
      </c>
      <c r="B4149" s="31" t="s">
        <v>2034</v>
      </c>
      <c r="C4149" s="31" t="s">
        <v>5540</v>
      </c>
      <c r="D4149" s="31" t="s">
        <v>2046</v>
      </c>
      <c r="E4149" s="31"/>
      <c r="F4149" s="469">
        <v>18</v>
      </c>
      <c r="G4149" s="546">
        <v>18</v>
      </c>
      <c r="H4149" s="108">
        <f t="shared" si="1623"/>
        <v>14.4</v>
      </c>
      <c r="I4149" s="725"/>
      <c r="J4149" s="669" t="s">
        <v>5805</v>
      </c>
      <c r="L4149" s="70" t="str">
        <f t="shared" si="1626"/>
        <v/>
      </c>
      <c r="M4149" s="49">
        <f t="shared" si="1627"/>
        <v>18</v>
      </c>
      <c r="N4149" s="50">
        <v>14</v>
      </c>
      <c r="O4149" t="s">
        <v>1017</v>
      </c>
      <c r="Q4149" s="50"/>
    </row>
    <row r="4150" spans="1:33" x14ac:dyDescent="0.25">
      <c r="A4150" s="610" t="s">
        <v>1209</v>
      </c>
      <c r="B4150" s="17" t="s">
        <v>2034</v>
      </c>
      <c r="C4150" s="17" t="s">
        <v>5540</v>
      </c>
      <c r="D4150" s="30" t="s">
        <v>1212</v>
      </c>
      <c r="E4150" s="17"/>
      <c r="F4150" s="444">
        <v>21</v>
      </c>
      <c r="G4150" s="519">
        <v>21</v>
      </c>
      <c r="H4150" s="18">
        <f t="shared" si="1623"/>
        <v>16.8</v>
      </c>
      <c r="I4150" s="694"/>
      <c r="J4150" s="669" t="s">
        <v>5805</v>
      </c>
      <c r="L4150" s="70" t="str">
        <f t="shared" si="1626"/>
        <v/>
      </c>
      <c r="M4150" s="49">
        <f t="shared" si="1627"/>
        <v>21</v>
      </c>
      <c r="N4150" s="50">
        <v>14</v>
      </c>
      <c r="O4150" t="s">
        <v>1017</v>
      </c>
      <c r="P4150" t="s">
        <v>1017</v>
      </c>
      <c r="Q4150" s="50"/>
    </row>
    <row r="4151" spans="1:33" x14ac:dyDescent="0.25">
      <c r="A4151" s="610" t="s">
        <v>1210</v>
      </c>
      <c r="B4151" s="17" t="s">
        <v>2034</v>
      </c>
      <c r="C4151" s="17" t="s">
        <v>5540</v>
      </c>
      <c r="D4151" s="30" t="s">
        <v>1213</v>
      </c>
      <c r="E4151" s="17"/>
      <c r="F4151" s="444">
        <v>22</v>
      </c>
      <c r="G4151" s="519">
        <v>22</v>
      </c>
      <c r="H4151" s="18">
        <f t="shared" si="1623"/>
        <v>17.600000000000001</v>
      </c>
      <c r="I4151" s="694"/>
      <c r="J4151" s="669" t="s">
        <v>5805</v>
      </c>
      <c r="L4151" s="70" t="str">
        <f t="shared" si="1626"/>
        <v/>
      </c>
      <c r="M4151" s="49">
        <f t="shared" si="1627"/>
        <v>22</v>
      </c>
      <c r="N4151" s="50">
        <v>14</v>
      </c>
      <c r="O4151" t="s">
        <v>1017</v>
      </c>
      <c r="Q4151" s="50" t="s">
        <v>1017</v>
      </c>
    </row>
    <row r="4152" spans="1:33" x14ac:dyDescent="0.25">
      <c r="A4152" s="610" t="s">
        <v>1211</v>
      </c>
      <c r="B4152" s="17" t="s">
        <v>2034</v>
      </c>
      <c r="C4152" s="17" t="s">
        <v>5540</v>
      </c>
      <c r="D4152" s="30" t="s">
        <v>1214</v>
      </c>
      <c r="E4152" s="17"/>
      <c r="F4152" s="444">
        <v>25</v>
      </c>
      <c r="G4152" s="519">
        <v>25</v>
      </c>
      <c r="H4152" s="18">
        <f t="shared" si="1623"/>
        <v>20</v>
      </c>
      <c r="I4152" s="694"/>
      <c r="J4152" s="669" t="s">
        <v>5805</v>
      </c>
      <c r="L4152" s="70" t="str">
        <f t="shared" si="1626"/>
        <v/>
      </c>
      <c r="M4152" s="49">
        <f t="shared" si="1627"/>
        <v>25</v>
      </c>
      <c r="N4152" s="50">
        <v>14</v>
      </c>
      <c r="O4152" t="s">
        <v>1017</v>
      </c>
      <c r="P4152" t="s">
        <v>1017</v>
      </c>
      <c r="Q4152" s="50" t="s">
        <v>1017</v>
      </c>
    </row>
    <row r="4153" spans="1:33" x14ac:dyDescent="0.25">
      <c r="A4153" s="618" t="s">
        <v>2064</v>
      </c>
      <c r="B4153" s="31" t="s">
        <v>2034</v>
      </c>
      <c r="C4153" s="31" t="s">
        <v>5540</v>
      </c>
      <c r="D4153" s="31" t="s">
        <v>2048</v>
      </c>
      <c r="E4153" s="31"/>
      <c r="F4153" s="469">
        <v>12.95</v>
      </c>
      <c r="G4153" s="546">
        <v>12.95</v>
      </c>
      <c r="H4153" s="108">
        <f t="shared" si="1623"/>
        <v>10.36</v>
      </c>
      <c r="I4153" s="725"/>
      <c r="J4153" s="669" t="s">
        <v>5805</v>
      </c>
      <c r="L4153" s="70" t="str">
        <f t="shared" si="1626"/>
        <v/>
      </c>
      <c r="M4153" s="49">
        <f t="shared" si="1627"/>
        <v>12.95</v>
      </c>
      <c r="N4153" s="50">
        <v>8.9499999999999993</v>
      </c>
      <c r="O4153" t="s">
        <v>1017</v>
      </c>
      <c r="Q4153" s="50"/>
    </row>
    <row r="4154" spans="1:33" x14ac:dyDescent="0.25">
      <c r="A4154" s="618" t="s">
        <v>2065</v>
      </c>
      <c r="B4154" s="31" t="s">
        <v>2034</v>
      </c>
      <c r="C4154" s="31" t="s">
        <v>5540</v>
      </c>
      <c r="D4154" s="31" t="s">
        <v>7387</v>
      </c>
      <c r="E4154" s="31"/>
      <c r="F4154" s="469">
        <v>11.16</v>
      </c>
      <c r="G4154" s="546">
        <v>11.16</v>
      </c>
      <c r="H4154" s="108">
        <f t="shared" si="1623"/>
        <v>8.93</v>
      </c>
      <c r="I4154" s="725"/>
      <c r="J4154" s="669" t="s">
        <v>5805</v>
      </c>
      <c r="L4154" s="70" t="str">
        <f t="shared" si="1626"/>
        <v/>
      </c>
      <c r="M4154" s="49">
        <f t="shared" si="1627"/>
        <v>11.16</v>
      </c>
      <c r="N4154" s="50">
        <v>7.16</v>
      </c>
      <c r="O4154" t="s">
        <v>1017</v>
      </c>
      <c r="Q4154" s="50"/>
    </row>
    <row r="4155" spans="1:33" ht="15" customHeight="1" x14ac:dyDescent="0.25">
      <c r="A4155" s="609"/>
      <c r="B4155" s="1"/>
      <c r="C4155" s="1"/>
      <c r="D4155" s="1"/>
      <c r="E4155" s="1"/>
      <c r="F4155" s="442"/>
      <c r="G4155" s="520"/>
      <c r="H4155" s="13" t="str">
        <f t="shared" si="1623"/>
        <v/>
      </c>
      <c r="I4155" s="692"/>
      <c r="J4155" s="669" t="s">
        <v>4180</v>
      </c>
    </row>
    <row r="4156" spans="1:33" ht="15.75" x14ac:dyDescent="0.25">
      <c r="A4156" s="609"/>
      <c r="B4156" s="1"/>
      <c r="C4156" s="1"/>
      <c r="D4156" s="2"/>
      <c r="E4156" s="1"/>
      <c r="F4156" s="442"/>
      <c r="G4156" s="520"/>
      <c r="H4156" s="13" t="str">
        <f t="shared" si="1623"/>
        <v/>
      </c>
      <c r="I4156" s="692"/>
      <c r="J4156" s="669" t="s">
        <v>4180</v>
      </c>
      <c r="K4156" s="29"/>
      <c r="M4156" s="68" t="s">
        <v>5488</v>
      </c>
      <c r="N4156" s="39"/>
      <c r="O4156" s="29"/>
      <c r="P4156" s="29"/>
    </row>
    <row r="4157" spans="1:33" x14ac:dyDescent="0.25">
      <c r="A4157" s="608"/>
      <c r="B4157" s="2"/>
      <c r="C4157" s="22"/>
      <c r="D4157" s="22"/>
      <c r="E4157" s="34"/>
      <c r="F4157" s="445"/>
      <c r="G4157" s="521"/>
      <c r="H4157" s="14" t="str">
        <f t="shared" si="1623"/>
        <v/>
      </c>
      <c r="I4157" s="695"/>
      <c r="J4157" s="669" t="s">
        <v>4180</v>
      </c>
      <c r="K4157" s="29"/>
      <c r="L4157" s="29"/>
      <c r="M4157" s="29"/>
      <c r="N4157" s="106"/>
      <c r="O4157" s="107" t="s">
        <v>1205</v>
      </c>
      <c r="P4157" s="29"/>
      <c r="Q4157" s="50"/>
      <c r="R4157" s="92"/>
      <c r="S4157" s="35"/>
      <c r="T4157" s="92"/>
      <c r="U4157" s="92"/>
      <c r="V4157" s="92"/>
      <c r="W4157" s="92"/>
      <c r="X4157" s="92"/>
      <c r="Y4157" s="92"/>
      <c r="Z4157" s="92"/>
      <c r="AA4157" s="92"/>
      <c r="AB4157" s="105"/>
      <c r="AC4157" s="92"/>
      <c r="AD4157" s="92"/>
      <c r="AE4157" s="12"/>
      <c r="AF4157" s="12"/>
      <c r="AG4157" s="12"/>
    </row>
    <row r="4158" spans="1:33" ht="45.75" x14ac:dyDescent="0.25">
      <c r="A4158" s="608"/>
      <c r="B4158" s="2"/>
      <c r="C4158" s="22"/>
      <c r="D4158" s="22"/>
      <c r="E4158" s="34"/>
      <c r="F4158" s="445"/>
      <c r="G4158" s="521"/>
      <c r="H4158" s="14" t="str">
        <f t="shared" si="1623"/>
        <v/>
      </c>
      <c r="I4158" s="695"/>
      <c r="J4158" s="669" t="s">
        <v>4180</v>
      </c>
      <c r="K4158" s="29"/>
      <c r="L4158" s="29"/>
      <c r="M4158" s="48" t="s">
        <v>2914</v>
      </c>
      <c r="N4158" s="42" t="s">
        <v>5496</v>
      </c>
      <c r="O4158" s="44" t="s">
        <v>1200</v>
      </c>
      <c r="P4158" s="42" t="s">
        <v>5515</v>
      </c>
      <c r="Q4158" s="51" t="s">
        <v>1203</v>
      </c>
      <c r="R4158" s="118" t="s">
        <v>5490</v>
      </c>
      <c r="S4158" s="42"/>
      <c r="T4158" s="42"/>
      <c r="U4158" s="42"/>
      <c r="V4158" s="79"/>
      <c r="W4158" s="79"/>
      <c r="X4158" s="79"/>
      <c r="Y4158" s="79"/>
      <c r="Z4158" s="79"/>
      <c r="AA4158" s="79"/>
      <c r="AB4158" s="42"/>
      <c r="AC4158" s="42"/>
      <c r="AD4158" s="42"/>
      <c r="AE4158" s="12"/>
      <c r="AF4158" s="12"/>
      <c r="AG4158" s="12"/>
    </row>
    <row r="4159" spans="1:33" ht="34.5" x14ac:dyDescent="0.25">
      <c r="A4159" s="608"/>
      <c r="B4159" s="2"/>
      <c r="C4159" s="22"/>
      <c r="D4159" s="22"/>
      <c r="E4159" s="34"/>
      <c r="F4159" s="445"/>
      <c r="G4159" s="521"/>
      <c r="H4159" s="14" t="str">
        <f t="shared" ref="H4159:H4190" si="1628">IF(ISNUMBER(G4159),ROUND(0.8*G4159,2),"")</f>
        <v/>
      </c>
      <c r="I4159" s="695"/>
      <c r="J4159" s="669" t="s">
        <v>4180</v>
      </c>
      <c r="K4159" s="29"/>
      <c r="L4159" s="29"/>
      <c r="M4159" s="274"/>
      <c r="N4159" s="42"/>
      <c r="O4159" s="44" t="s">
        <v>1201</v>
      </c>
      <c r="P4159" s="42" t="s">
        <v>1202</v>
      </c>
      <c r="Q4159" s="51" t="s">
        <v>1204</v>
      </c>
      <c r="R4159" s="363">
        <v>0.01</v>
      </c>
      <c r="S4159" s="42"/>
      <c r="T4159" s="42"/>
      <c r="U4159" s="42"/>
      <c r="V4159" s="42"/>
      <c r="W4159" s="42"/>
      <c r="X4159" s="42"/>
      <c r="Y4159" s="42"/>
      <c r="Z4159" s="42"/>
      <c r="AA4159" s="42"/>
      <c r="AB4159" s="42"/>
      <c r="AC4159" s="42"/>
      <c r="AD4159" s="42"/>
      <c r="AE4159" s="12"/>
      <c r="AF4159" s="12"/>
      <c r="AG4159" s="12"/>
    </row>
    <row r="4160" spans="1:33" x14ac:dyDescent="0.25">
      <c r="A4160" s="609"/>
      <c r="B4160" s="1"/>
      <c r="C4160" s="1"/>
      <c r="D4160" s="2"/>
      <c r="E4160" s="1"/>
      <c r="F4160" s="442"/>
      <c r="G4160" s="520"/>
      <c r="H4160" s="13" t="str">
        <f t="shared" si="1628"/>
        <v/>
      </c>
      <c r="I4160" s="692"/>
      <c r="J4160" s="669" t="s">
        <v>4180</v>
      </c>
      <c r="L4160" s="116"/>
      <c r="M4160" s="47">
        <v>2009</v>
      </c>
      <c r="N4160" s="40"/>
      <c r="O4160" s="45">
        <v>4</v>
      </c>
      <c r="P4160" s="40">
        <v>3</v>
      </c>
      <c r="Q4160" s="52">
        <v>4</v>
      </c>
      <c r="R4160" s="41" t="str">
        <f>"Bonushöhe bei Inbetriebnahme in "&amp;M4160</f>
        <v>Bonushöhe bei Inbetriebnahme in 2009</v>
      </c>
      <c r="S4160" s="41"/>
      <c r="T4160" s="41"/>
      <c r="U4160" s="41"/>
      <c r="V4160" s="41"/>
      <c r="W4160" s="41"/>
      <c r="X4160" s="41"/>
      <c r="Y4160" s="41"/>
      <c r="Z4160" s="41"/>
      <c r="AA4160" s="41"/>
      <c r="AB4160" s="41"/>
      <c r="AC4160" s="41"/>
      <c r="AD4160" s="41"/>
    </row>
    <row r="4161" spans="1:33" x14ac:dyDescent="0.25">
      <c r="A4161" s="610" t="s">
        <v>4750</v>
      </c>
      <c r="B4161" s="17" t="s">
        <v>2034</v>
      </c>
      <c r="C4161" s="17" t="s">
        <v>5405</v>
      </c>
      <c r="D4161" s="17" t="s">
        <v>3723</v>
      </c>
      <c r="E4161" s="17"/>
      <c r="F4161" s="444">
        <f>M4161</f>
        <v>20</v>
      </c>
      <c r="G4161" s="519">
        <v>20</v>
      </c>
      <c r="H4161" s="18">
        <f t="shared" si="1628"/>
        <v>16</v>
      </c>
      <c r="I4161" s="694"/>
      <c r="J4161" s="669" t="s">
        <v>5805</v>
      </c>
      <c r="L4161" s="70" t="str">
        <f>IF(F4161=M4161,"",FALSE)</f>
        <v/>
      </c>
      <c r="M4161" s="49">
        <f>N4161+SUMIF(O4161:Q4161,"x",O$4160:Q$4160)</f>
        <v>20</v>
      </c>
      <c r="N4161" s="112">
        <v>16</v>
      </c>
      <c r="O4161" s="113" t="s">
        <v>1017</v>
      </c>
      <c r="P4161" s="113"/>
      <c r="Q4161" s="112"/>
    </row>
    <row r="4162" spans="1:33" x14ac:dyDescent="0.25">
      <c r="A4162" s="610" t="s">
        <v>4752</v>
      </c>
      <c r="B4162" s="17" t="s">
        <v>2034</v>
      </c>
      <c r="C4162" s="17" t="s">
        <v>5405</v>
      </c>
      <c r="D4162" s="17" t="s">
        <v>4747</v>
      </c>
      <c r="E4162" s="17"/>
      <c r="F4162" s="444">
        <f>M4162</f>
        <v>23</v>
      </c>
      <c r="G4162" s="519">
        <v>23</v>
      </c>
      <c r="H4162" s="18">
        <f t="shared" si="1628"/>
        <v>18.399999999999999</v>
      </c>
      <c r="I4162" s="694"/>
      <c r="J4162" s="669" t="s">
        <v>5805</v>
      </c>
      <c r="L4162" s="70" t="str">
        <f>IF(F4162=M4162,"",FALSE)</f>
        <v/>
      </c>
      <c r="M4162" s="49">
        <f>N4162+SUMIF(O4162:Q4162,"x",O$4160:Q$4160)</f>
        <v>23</v>
      </c>
      <c r="N4162" s="112">
        <v>16</v>
      </c>
      <c r="O4162" s="113" t="s">
        <v>1017</v>
      </c>
      <c r="P4162" s="113" t="s">
        <v>1017</v>
      </c>
      <c r="Q4162" s="112"/>
    </row>
    <row r="4163" spans="1:33" x14ac:dyDescent="0.25">
      <c r="A4163" s="610" t="s">
        <v>4753</v>
      </c>
      <c r="B4163" s="17" t="s">
        <v>2034</v>
      </c>
      <c r="C4163" s="17" t="s">
        <v>5405</v>
      </c>
      <c r="D4163" s="17" t="s">
        <v>4748</v>
      </c>
      <c r="E4163" s="17"/>
      <c r="F4163" s="444">
        <f>M4163</f>
        <v>24</v>
      </c>
      <c r="G4163" s="519">
        <v>24</v>
      </c>
      <c r="H4163" s="18">
        <f t="shared" si="1628"/>
        <v>19.2</v>
      </c>
      <c r="I4163" s="694"/>
      <c r="J4163" s="669" t="s">
        <v>5805</v>
      </c>
      <c r="L4163" s="70" t="str">
        <f>IF(F4163=M4163,"",FALSE)</f>
        <v/>
      </c>
      <c r="M4163" s="49">
        <f>N4163+SUMIF(O4163:Q4163,"x",O$4160:Q$4160)</f>
        <v>24</v>
      </c>
      <c r="N4163" s="112">
        <v>16</v>
      </c>
      <c r="O4163" s="113" t="s">
        <v>1017</v>
      </c>
      <c r="P4163" s="113"/>
      <c r="Q4163" s="112" t="s">
        <v>1017</v>
      </c>
    </row>
    <row r="4164" spans="1:33" x14ac:dyDescent="0.25">
      <c r="A4164" s="610" t="s">
        <v>4754</v>
      </c>
      <c r="B4164" s="17" t="s">
        <v>2034</v>
      </c>
      <c r="C4164" s="17" t="s">
        <v>5405</v>
      </c>
      <c r="D4164" s="17" t="s">
        <v>4749</v>
      </c>
      <c r="E4164" s="17"/>
      <c r="F4164" s="444">
        <f>M4164</f>
        <v>27</v>
      </c>
      <c r="G4164" s="519">
        <v>27</v>
      </c>
      <c r="H4164" s="18">
        <f t="shared" si="1628"/>
        <v>21.6</v>
      </c>
      <c r="I4164" s="694"/>
      <c r="J4164" s="669" t="s">
        <v>5805</v>
      </c>
      <c r="L4164" s="70" t="str">
        <f>IF(F4164=M4164,"",FALSE)</f>
        <v/>
      </c>
      <c r="M4164" s="49">
        <f>N4164+SUMIF(O4164:Q4164,"x",O$4160:Q$4160)</f>
        <v>27</v>
      </c>
      <c r="N4164" s="112">
        <v>16</v>
      </c>
      <c r="O4164" s="113" t="s">
        <v>1017</v>
      </c>
      <c r="P4164" s="113" t="s">
        <v>1017</v>
      </c>
      <c r="Q4164" s="112" t="s">
        <v>1017</v>
      </c>
    </row>
    <row r="4165" spans="1:33" x14ac:dyDescent="0.25">
      <c r="A4165" s="610" t="s">
        <v>4751</v>
      </c>
      <c r="B4165" s="17" t="s">
        <v>2034</v>
      </c>
      <c r="C4165" s="17" t="s">
        <v>5405</v>
      </c>
      <c r="D4165" s="17" t="s">
        <v>2257</v>
      </c>
      <c r="E4165" s="17"/>
      <c r="F4165" s="444">
        <f>M4165</f>
        <v>14.5</v>
      </c>
      <c r="G4165" s="519">
        <v>14.5</v>
      </c>
      <c r="H4165" s="18">
        <f t="shared" si="1628"/>
        <v>11.6</v>
      </c>
      <c r="I4165" s="694"/>
      <c r="J4165" s="669" t="s">
        <v>5805</v>
      </c>
      <c r="L4165" s="70" t="str">
        <f>IF(F4165=M4165,"",FALSE)</f>
        <v/>
      </c>
      <c r="M4165" s="59">
        <f>N4165+SUMIF(O4165:Q4165,"x",O$4160:Q$4160)</f>
        <v>14.5</v>
      </c>
      <c r="N4165" s="114">
        <v>10.5</v>
      </c>
      <c r="O4165" s="115" t="s">
        <v>1017</v>
      </c>
      <c r="P4165" s="115"/>
      <c r="Q4165" s="114"/>
    </row>
    <row r="4166" spans="1:33" x14ac:dyDescent="0.25">
      <c r="A4166" s="609"/>
      <c r="B4166" s="1"/>
      <c r="C4166" s="1"/>
      <c r="D4166" s="1"/>
      <c r="E4166" s="1"/>
      <c r="F4166" s="442"/>
      <c r="G4166" s="520"/>
      <c r="H4166" s="13" t="str">
        <f t="shared" si="1628"/>
        <v/>
      </c>
      <c r="I4166" s="692"/>
      <c r="J4166" s="669" t="s">
        <v>4180</v>
      </c>
      <c r="M4166" s="358">
        <v>2010</v>
      </c>
      <c r="N4166" s="358"/>
      <c r="O4166" s="352">
        <f>ROUND(O$4160*(1-$R$4159)^($M4166-$M$4160),2)</f>
        <v>3.96</v>
      </c>
      <c r="P4166" s="351">
        <f>ROUND(P$4160*(1-$R$4159)^($M4166-$M$4160),2)</f>
        <v>2.97</v>
      </c>
      <c r="Q4166" s="353">
        <f>ROUND(Q$4160*(1-$R$4159)^($M4166-$M$4160),2)</f>
        <v>3.96</v>
      </c>
      <c r="R4166" s="41" t="str">
        <f>"Bonushöhe bei Inbetriebnahme in "&amp;M4166</f>
        <v>Bonushöhe bei Inbetriebnahme in 2010</v>
      </c>
    </row>
    <row r="4167" spans="1:33" x14ac:dyDescent="0.25">
      <c r="A4167" s="610" t="s">
        <v>5483</v>
      </c>
      <c r="B4167" s="17" t="s">
        <v>2034</v>
      </c>
      <c r="C4167" s="30" t="s">
        <v>2385</v>
      </c>
      <c r="D4167" s="17" t="s">
        <v>3723</v>
      </c>
      <c r="E4167" s="17"/>
      <c r="F4167" s="444">
        <f>M4167</f>
        <v>19.8</v>
      </c>
      <c r="G4167" s="519">
        <v>19.8</v>
      </c>
      <c r="H4167" s="18">
        <f t="shared" si="1628"/>
        <v>15.84</v>
      </c>
      <c r="I4167" s="694"/>
      <c r="J4167" s="669" t="s">
        <v>5805</v>
      </c>
      <c r="L4167" s="70" t="str">
        <f>IF(F4167=M4167,"",FALSE)</f>
        <v/>
      </c>
      <c r="M4167" s="49">
        <f>N4167+SUMIF(O4167:Q4167,"x",O$4166:Q$4166)</f>
        <v>19.8</v>
      </c>
      <c r="N4167" s="90">
        <f>ROUND(N4161*(1-$R$4159)^($M$4166-$M$4160),2)</f>
        <v>15.84</v>
      </c>
      <c r="O4167" t="s">
        <v>1017</v>
      </c>
      <c r="Q4167" s="50"/>
    </row>
    <row r="4168" spans="1:33" x14ac:dyDescent="0.25">
      <c r="A4168" s="610" t="s">
        <v>5484</v>
      </c>
      <c r="B4168" s="17" t="s">
        <v>2034</v>
      </c>
      <c r="C4168" s="30" t="s">
        <v>2385</v>
      </c>
      <c r="D4168" s="17" t="s">
        <v>4747</v>
      </c>
      <c r="E4168" s="17"/>
      <c r="F4168" s="444">
        <f>M4168</f>
        <v>22.77</v>
      </c>
      <c r="G4168" s="519">
        <v>22.77</v>
      </c>
      <c r="H4168" s="18">
        <f t="shared" si="1628"/>
        <v>18.22</v>
      </c>
      <c r="I4168" s="694"/>
      <c r="J4168" s="669" t="s">
        <v>5805</v>
      </c>
      <c r="L4168" s="70" t="str">
        <f>IF(F4168=M4168,"",FALSE)</f>
        <v/>
      </c>
      <c r="M4168" s="49">
        <f>N4168+SUMIF(O4168:Q4168,"x",O$4166:Q$4166)</f>
        <v>22.77</v>
      </c>
      <c r="N4168" s="90">
        <f>ROUND(N4162*(1-$R$4159)^($M$4166-$M$4160),2)</f>
        <v>15.84</v>
      </c>
      <c r="O4168" t="s">
        <v>1017</v>
      </c>
      <c r="P4168" t="s">
        <v>1017</v>
      </c>
      <c r="Q4168" s="50"/>
    </row>
    <row r="4169" spans="1:33" ht="15" customHeight="1" x14ac:dyDescent="0.25">
      <c r="A4169" s="610" t="s">
        <v>5485</v>
      </c>
      <c r="B4169" s="17" t="s">
        <v>2034</v>
      </c>
      <c r="C4169" s="30" t="s">
        <v>2385</v>
      </c>
      <c r="D4169" s="17" t="s">
        <v>4748</v>
      </c>
      <c r="E4169" s="17"/>
      <c r="F4169" s="444">
        <f>M4169</f>
        <v>23.759999999999998</v>
      </c>
      <c r="G4169" s="519">
        <v>23.759999999999998</v>
      </c>
      <c r="H4169" s="18">
        <f t="shared" si="1628"/>
        <v>19.010000000000002</v>
      </c>
      <c r="I4169" s="694"/>
      <c r="J4169" s="669" t="s">
        <v>5805</v>
      </c>
      <c r="L4169" s="70" t="str">
        <f>IF(F4169=M4169,"",FALSE)</f>
        <v/>
      </c>
      <c r="M4169" s="49">
        <f>N4169+SUMIF(O4169:Q4169,"x",O$4166:Q$4166)</f>
        <v>23.759999999999998</v>
      </c>
      <c r="N4169" s="90">
        <f>ROUND(N4163*(1-$R$4159)^($M$4166-$M$4160),2)</f>
        <v>15.84</v>
      </c>
      <c r="O4169" t="s">
        <v>1017</v>
      </c>
      <c r="Q4169" s="50" t="s">
        <v>1017</v>
      </c>
    </row>
    <row r="4170" spans="1:33" x14ac:dyDescent="0.25">
      <c r="A4170" s="610" t="s">
        <v>5486</v>
      </c>
      <c r="B4170" s="17" t="s">
        <v>2034</v>
      </c>
      <c r="C4170" s="30" t="s">
        <v>2385</v>
      </c>
      <c r="D4170" s="17" t="s">
        <v>4749</v>
      </c>
      <c r="E4170" s="17"/>
      <c r="F4170" s="444">
        <f>M4170</f>
        <v>26.73</v>
      </c>
      <c r="G4170" s="519">
        <v>26.73</v>
      </c>
      <c r="H4170" s="18">
        <f t="shared" si="1628"/>
        <v>21.38</v>
      </c>
      <c r="I4170" s="694"/>
      <c r="J4170" s="669" t="s">
        <v>5805</v>
      </c>
      <c r="L4170" s="70" t="str">
        <f>IF(F4170=M4170,"",FALSE)</f>
        <v/>
      </c>
      <c r="M4170" s="49">
        <f>N4170+SUMIF(O4170:Q4170,"x",O$4166:Q$4166)</f>
        <v>26.73</v>
      </c>
      <c r="N4170" s="90">
        <f>ROUND(N4164*(1-$R$4159)^($M$4166-$M$4160),2)</f>
        <v>15.84</v>
      </c>
      <c r="O4170" t="s">
        <v>1017</v>
      </c>
      <c r="P4170" t="s">
        <v>1017</v>
      </c>
      <c r="Q4170" s="50" t="s">
        <v>1017</v>
      </c>
    </row>
    <row r="4171" spans="1:33" x14ac:dyDescent="0.25">
      <c r="A4171" s="610" t="s">
        <v>5487</v>
      </c>
      <c r="B4171" s="17" t="s">
        <v>2034</v>
      </c>
      <c r="C4171" s="30" t="s">
        <v>2385</v>
      </c>
      <c r="D4171" s="17" t="s">
        <v>2257</v>
      </c>
      <c r="E4171" s="17"/>
      <c r="F4171" s="444">
        <f>M4171</f>
        <v>14.36</v>
      </c>
      <c r="G4171" s="519">
        <v>14.36</v>
      </c>
      <c r="H4171" s="18">
        <f t="shared" si="1628"/>
        <v>11.49</v>
      </c>
      <c r="I4171" s="694"/>
      <c r="J4171" s="669" t="s">
        <v>5805</v>
      </c>
      <c r="L4171" s="70" t="str">
        <f>IF(F4171=M4171,"",FALSE)</f>
        <v/>
      </c>
      <c r="M4171" s="59">
        <f>N4171+SUMIF(O4171:Q4171,"x",O$4166:Q$4166)</f>
        <v>14.36</v>
      </c>
      <c r="N4171" s="90">
        <f>ROUND(N4165*(1-$R$4159)^($M$4166-$M$4160),2)</f>
        <v>10.4</v>
      </c>
      <c r="O4171" s="47" t="s">
        <v>1017</v>
      </c>
      <c r="P4171" s="47"/>
      <c r="Q4171" s="111"/>
    </row>
    <row r="4172" spans="1:33" x14ac:dyDescent="0.25">
      <c r="A4172" s="608"/>
      <c r="B4172" s="2"/>
      <c r="C4172" s="34"/>
      <c r="D4172" s="2"/>
      <c r="E4172" s="2"/>
      <c r="F4172" s="445"/>
      <c r="G4172" s="521"/>
      <c r="H4172" s="14" t="str">
        <f t="shared" si="1628"/>
        <v/>
      </c>
      <c r="I4172" s="695"/>
      <c r="J4172" s="669" t="s">
        <v>4180</v>
      </c>
      <c r="K4172" s="12"/>
      <c r="L4172" s="70"/>
      <c r="M4172" s="358">
        <v>2011</v>
      </c>
      <c r="N4172" s="366"/>
      <c r="O4172" s="352">
        <f>ROUND(O$4160*(1-$R$4159)^($M4172-$M$4160),2)</f>
        <v>3.92</v>
      </c>
      <c r="P4172" s="351">
        <f>ROUND(P$4160*(1-$R$4159)^($M4172-$M$4160),2)</f>
        <v>2.94</v>
      </c>
      <c r="Q4172" s="353">
        <f>ROUND(Q$4160*(1-$R$4159)^($M4172-$M$4160),2)</f>
        <v>3.92</v>
      </c>
      <c r="R4172" s="41" t="str">
        <f>"Bonushöhe bei Inbetriebnahme in "&amp;M4172</f>
        <v>Bonushöhe bei Inbetriebnahme in 2011</v>
      </c>
      <c r="S4172" s="12"/>
      <c r="T4172" s="12"/>
      <c r="U4172" s="12"/>
      <c r="V4172" s="12"/>
      <c r="W4172" s="12"/>
      <c r="X4172" s="12"/>
      <c r="Y4172" s="12"/>
      <c r="Z4172" s="12"/>
      <c r="AA4172" s="12"/>
      <c r="AB4172" s="12"/>
      <c r="AC4172" s="12"/>
      <c r="AD4172" s="12"/>
      <c r="AE4172" s="12"/>
      <c r="AF4172" s="12"/>
      <c r="AG4172" s="12"/>
    </row>
    <row r="4173" spans="1:33" x14ac:dyDescent="0.25">
      <c r="A4173" s="610" t="str">
        <f>LEFT(A4167,12)&amp;($M$4172-2000)</f>
        <v>GeK280------11</v>
      </c>
      <c r="B4173" s="17" t="s">
        <v>2034</v>
      </c>
      <c r="C4173" s="30" t="str">
        <f>"Inbetriebnahme "&amp;$M$4172</f>
        <v>Inbetriebnahme 2011</v>
      </c>
      <c r="D4173" s="17" t="s">
        <v>3723</v>
      </c>
      <c r="E4173" s="17"/>
      <c r="F4173" s="444">
        <f>M4173</f>
        <v>19.600000000000001</v>
      </c>
      <c r="G4173" s="519">
        <v>19.600000000000001</v>
      </c>
      <c r="H4173" s="18">
        <f t="shared" si="1628"/>
        <v>15.68</v>
      </c>
      <c r="I4173" s="694"/>
      <c r="J4173" s="669" t="s">
        <v>5805</v>
      </c>
      <c r="L4173" s="70" t="str">
        <f>IF(F4173=M4173,"",FALSE)</f>
        <v/>
      </c>
      <c r="M4173" s="49">
        <f>N4173+SUMIF(O4173:Q4173,"x",$O$4172:$Q$4172)</f>
        <v>19.600000000000001</v>
      </c>
      <c r="N4173" s="90">
        <f>ROUND(N4161*(1-$R$4159)^($M$4172-$M$4160),2)</f>
        <v>15.68</v>
      </c>
      <c r="O4173" t="s">
        <v>1017</v>
      </c>
      <c r="Q4173" s="50"/>
      <c r="S4173" s="12"/>
    </row>
    <row r="4174" spans="1:33" x14ac:dyDescent="0.25">
      <c r="A4174" s="610" t="str">
        <f>LEFT(A4168,12)&amp;($M$4172-2000)</f>
        <v>GeK280W-----11</v>
      </c>
      <c r="B4174" s="17" t="s">
        <v>2034</v>
      </c>
      <c r="C4174" s="30" t="str">
        <f>"Inbetriebnahme "&amp;$M$4172</f>
        <v>Inbetriebnahme 2011</v>
      </c>
      <c r="D4174" s="17" t="s">
        <v>4747</v>
      </c>
      <c r="E4174" s="17"/>
      <c r="F4174" s="444">
        <f>M4174</f>
        <v>22.54</v>
      </c>
      <c r="G4174" s="519">
        <v>22.54</v>
      </c>
      <c r="H4174" s="18">
        <f t="shared" si="1628"/>
        <v>18.03</v>
      </c>
      <c r="I4174" s="694"/>
      <c r="J4174" s="669" t="s">
        <v>5805</v>
      </c>
      <c r="L4174" s="70" t="str">
        <f>IF(F4174=M4174,"",FALSE)</f>
        <v/>
      </c>
      <c r="M4174" s="49">
        <f>N4174+SUMIF(O4174:Q4174,"x",$O$4172:$Q$4172)</f>
        <v>22.54</v>
      </c>
      <c r="N4174" s="90">
        <f>ROUND(N4162*(1-$R$4159)^($M$4172-$M$4160),2)</f>
        <v>15.68</v>
      </c>
      <c r="O4174" t="s">
        <v>1017</v>
      </c>
      <c r="P4174" t="s">
        <v>1017</v>
      </c>
      <c r="Q4174" s="50"/>
      <c r="S4174" s="12"/>
    </row>
    <row r="4175" spans="1:33" x14ac:dyDescent="0.25">
      <c r="A4175" s="610" t="str">
        <f>LEFT(A4169,12)&amp;($M$4172-2000)</f>
        <v>GeK280P-----11</v>
      </c>
      <c r="B4175" s="17" t="s">
        <v>2034</v>
      </c>
      <c r="C4175" s="30" t="str">
        <f>"Inbetriebnahme "&amp;$M$4172</f>
        <v>Inbetriebnahme 2011</v>
      </c>
      <c r="D4175" s="17" t="s">
        <v>4748</v>
      </c>
      <c r="E4175" s="17"/>
      <c r="F4175" s="444">
        <f>M4175</f>
        <v>23.52</v>
      </c>
      <c r="G4175" s="519">
        <v>23.52</v>
      </c>
      <c r="H4175" s="18">
        <f t="shared" si="1628"/>
        <v>18.82</v>
      </c>
      <c r="I4175" s="694"/>
      <c r="J4175" s="669" t="s">
        <v>5805</v>
      </c>
      <c r="L4175" s="70" t="str">
        <f>IF(F4175=M4175,"",FALSE)</f>
        <v/>
      </c>
      <c r="M4175" s="49">
        <f>N4175+SUMIF(O4175:Q4175,"x",$O$4172:$Q$4172)</f>
        <v>23.52</v>
      </c>
      <c r="N4175" s="90">
        <f>ROUND(N4163*(1-$R$4159)^($M$4172-$M$4160),2)</f>
        <v>15.68</v>
      </c>
      <c r="O4175" t="s">
        <v>1017</v>
      </c>
      <c r="Q4175" s="50" t="s">
        <v>1017</v>
      </c>
      <c r="S4175" s="12"/>
    </row>
    <row r="4176" spans="1:33" x14ac:dyDescent="0.25">
      <c r="A4176" s="610" t="str">
        <f>LEFT(A4170,12)&amp;($M$4172-2000)</f>
        <v>GeK280WP----11</v>
      </c>
      <c r="B4176" s="17" t="s">
        <v>2034</v>
      </c>
      <c r="C4176" s="30" t="str">
        <f>"Inbetriebnahme "&amp;$M$4172</f>
        <v>Inbetriebnahme 2011</v>
      </c>
      <c r="D4176" s="17" t="s">
        <v>4749</v>
      </c>
      <c r="E4176" s="17"/>
      <c r="F4176" s="444">
        <f>M4176</f>
        <v>26.46</v>
      </c>
      <c r="G4176" s="519">
        <v>26.46</v>
      </c>
      <c r="H4176" s="18">
        <f t="shared" si="1628"/>
        <v>21.17</v>
      </c>
      <c r="I4176" s="694"/>
      <c r="J4176" s="669" t="s">
        <v>5805</v>
      </c>
      <c r="L4176" s="70" t="str">
        <f>IF(F4176=M4176,"",FALSE)</f>
        <v/>
      </c>
      <c r="M4176" s="49">
        <f>N4176+SUMIF(O4176:Q4176,"x",$O$4172:$Q$4172)</f>
        <v>26.46</v>
      </c>
      <c r="N4176" s="90">
        <f>ROUND(N4164*(1-$R$4159)^($M$4172-$M$4160),2)</f>
        <v>15.68</v>
      </c>
      <c r="O4176" t="s">
        <v>1017</v>
      </c>
      <c r="P4176" t="s">
        <v>1017</v>
      </c>
      <c r="Q4176" s="50" t="s">
        <v>1017</v>
      </c>
    </row>
    <row r="4177" spans="1:33" x14ac:dyDescent="0.25">
      <c r="A4177" s="610" t="str">
        <f>LEFT(A4171,12)&amp;($M$4172-2000)</f>
        <v>GeK281------11</v>
      </c>
      <c r="B4177" s="17" t="s">
        <v>2034</v>
      </c>
      <c r="C4177" s="30" t="str">
        <f>"Inbetriebnahme "&amp;$M$4172</f>
        <v>Inbetriebnahme 2011</v>
      </c>
      <c r="D4177" s="17" t="s">
        <v>2257</v>
      </c>
      <c r="E4177" s="17"/>
      <c r="F4177" s="444">
        <f>M4177</f>
        <v>14.209999999999999</v>
      </c>
      <c r="G4177" s="519">
        <v>14.209999999999999</v>
      </c>
      <c r="H4177" s="18">
        <f t="shared" si="1628"/>
        <v>11.37</v>
      </c>
      <c r="I4177" s="694"/>
      <c r="J4177" s="669" t="s">
        <v>5805</v>
      </c>
      <c r="L4177" s="70" t="str">
        <f>IF(F4177=M4177,"",FALSE)</f>
        <v/>
      </c>
      <c r="M4177" s="59">
        <f>N4177+SUMIF(O4177:Q4177,"x",$O$4172:$Q$4172)</f>
        <v>14.209999999999999</v>
      </c>
      <c r="N4177" s="52">
        <f>ROUND(N4165*(1-$R$4159)^($M$4172-$M$4160),2)</f>
        <v>10.29</v>
      </c>
      <c r="O4177" s="47" t="s">
        <v>1017</v>
      </c>
      <c r="P4177" s="47"/>
      <c r="Q4177" s="111"/>
    </row>
    <row r="4178" spans="1:33" ht="15" customHeight="1" x14ac:dyDescent="0.25">
      <c r="A4178" s="609"/>
      <c r="B4178" s="1"/>
      <c r="C4178" s="1"/>
      <c r="D4178" s="1"/>
      <c r="E4178" s="1"/>
      <c r="F4178" s="442"/>
      <c r="G4178" s="520"/>
      <c r="H4178" s="13" t="str">
        <f t="shared" si="1628"/>
        <v/>
      </c>
      <c r="I4178" s="692"/>
      <c r="J4178" s="669" t="s">
        <v>4180</v>
      </c>
    </row>
    <row r="4179" spans="1:33" ht="15.75" x14ac:dyDescent="0.25">
      <c r="A4179" s="609"/>
      <c r="B4179" s="1"/>
      <c r="C4179" s="1"/>
      <c r="D4179" s="2"/>
      <c r="E4179" s="1"/>
      <c r="F4179" s="442"/>
      <c r="G4179" s="520"/>
      <c r="H4179" s="13" t="str">
        <f t="shared" si="1628"/>
        <v/>
      </c>
      <c r="I4179" s="692"/>
      <c r="J4179" s="669" t="s">
        <v>4180</v>
      </c>
      <c r="K4179" s="29"/>
      <c r="M4179" s="68" t="s">
        <v>497</v>
      </c>
      <c r="N4179" s="39"/>
      <c r="O4179" s="29"/>
      <c r="P4179" s="29"/>
    </row>
    <row r="4180" spans="1:33" x14ac:dyDescent="0.25">
      <c r="A4180" s="608"/>
      <c r="B4180" s="2"/>
      <c r="C4180" s="22"/>
      <c r="D4180" s="22"/>
      <c r="E4180" s="34"/>
      <c r="F4180" s="445"/>
      <c r="G4180" s="521"/>
      <c r="H4180" s="14" t="str">
        <f t="shared" si="1628"/>
        <v/>
      </c>
      <c r="I4180" s="695"/>
      <c r="J4180" s="669" t="s">
        <v>4180</v>
      </c>
      <c r="K4180" s="29"/>
      <c r="L4180" s="29"/>
      <c r="M4180" s="29"/>
      <c r="N4180" s="106"/>
      <c r="O4180" s="107" t="s">
        <v>1205</v>
      </c>
      <c r="P4180" s="29"/>
      <c r="Q4180" s="50"/>
      <c r="R4180" s="92"/>
      <c r="S4180" s="35"/>
      <c r="T4180" s="92"/>
      <c r="U4180" s="92"/>
      <c r="V4180" s="92"/>
      <c r="W4180" s="92"/>
      <c r="X4180" s="92"/>
      <c r="Y4180" s="92"/>
      <c r="Z4180" s="92"/>
      <c r="AA4180" s="92"/>
      <c r="AB4180" s="105"/>
      <c r="AC4180" s="92"/>
      <c r="AD4180" s="92"/>
      <c r="AE4180" s="12"/>
      <c r="AF4180" s="12"/>
      <c r="AG4180" s="12"/>
    </row>
    <row r="4181" spans="1:33" ht="34.5" x14ac:dyDescent="0.25">
      <c r="A4181" s="608"/>
      <c r="B4181" s="2"/>
      <c r="C4181" s="22"/>
      <c r="D4181" s="22"/>
      <c r="E4181" s="34"/>
      <c r="F4181" s="445"/>
      <c r="G4181" s="521"/>
      <c r="H4181" s="14" t="str">
        <f t="shared" si="1628"/>
        <v/>
      </c>
      <c r="I4181" s="695"/>
      <c r="J4181" s="669" t="s">
        <v>4180</v>
      </c>
      <c r="K4181" s="29"/>
      <c r="L4181" s="29"/>
      <c r="M4181" s="48" t="s">
        <v>2914</v>
      </c>
      <c r="N4181" s="42" t="s">
        <v>498</v>
      </c>
      <c r="O4181" s="1143" t="s">
        <v>1203</v>
      </c>
      <c r="P4181" s="1144"/>
      <c r="Q4181" s="1145"/>
      <c r="R4181" s="118" t="s">
        <v>5490</v>
      </c>
      <c r="S4181" s="42"/>
      <c r="T4181" s="42"/>
      <c r="U4181" s="42"/>
      <c r="V4181" s="79"/>
      <c r="W4181" s="79"/>
      <c r="X4181" s="79"/>
      <c r="Y4181" s="79"/>
      <c r="Z4181" s="79"/>
      <c r="AA4181" s="79"/>
      <c r="AB4181" s="42"/>
      <c r="AC4181" s="42"/>
      <c r="AD4181" s="42"/>
      <c r="AE4181" s="12"/>
      <c r="AF4181" s="12"/>
      <c r="AG4181" s="12"/>
    </row>
    <row r="4182" spans="1:33" x14ac:dyDescent="0.25">
      <c r="A4182" s="608"/>
      <c r="B4182" s="2"/>
      <c r="C4182" s="22"/>
      <c r="D4182" s="22"/>
      <c r="E4182" s="34"/>
      <c r="F4182" s="445"/>
      <c r="G4182" s="521"/>
      <c r="H4182" s="14" t="str">
        <f t="shared" si="1628"/>
        <v/>
      </c>
      <c r="I4182" s="695"/>
      <c r="J4182" s="669" t="s">
        <v>4180</v>
      </c>
      <c r="K4182" s="29"/>
      <c r="L4182" s="29"/>
      <c r="M4182" s="274"/>
      <c r="N4182" s="51"/>
      <c r="O4182" s="1161" t="s">
        <v>1204</v>
      </c>
      <c r="P4182" s="1162"/>
      <c r="Q4182" s="1163"/>
      <c r="R4182" s="119">
        <v>0</v>
      </c>
      <c r="S4182" s="270" t="s">
        <v>504</v>
      </c>
      <c r="T4182" s="42"/>
      <c r="U4182" s="42"/>
      <c r="V4182" s="42"/>
      <c r="W4182" s="42"/>
      <c r="X4182" s="42"/>
      <c r="Y4182" s="42"/>
      <c r="Z4182" s="42"/>
      <c r="AA4182" s="42"/>
      <c r="AB4182" s="42"/>
      <c r="AC4182" s="42"/>
      <c r="AD4182" s="42"/>
      <c r="AE4182" s="12"/>
      <c r="AF4182" s="12"/>
      <c r="AG4182" s="12"/>
    </row>
    <row r="4183" spans="1:33" x14ac:dyDescent="0.25">
      <c r="A4183" s="609"/>
      <c r="B4183" s="1"/>
      <c r="C4183" s="1"/>
      <c r="D4183" s="2"/>
      <c r="E4183" s="1"/>
      <c r="F4183" s="442"/>
      <c r="G4183" s="520"/>
      <c r="H4183" s="13" t="str">
        <f t="shared" si="1628"/>
        <v/>
      </c>
      <c r="I4183" s="692"/>
      <c r="J4183" s="669" t="s">
        <v>4180</v>
      </c>
      <c r="L4183" s="116"/>
      <c r="M4183" s="47">
        <v>2012</v>
      </c>
      <c r="N4183" s="52"/>
      <c r="O4183" s="1155">
        <v>5</v>
      </c>
      <c r="P4183" s="1156"/>
      <c r="Q4183" s="1157"/>
      <c r="R4183" s="41" t="str">
        <f>"Bonushöhe bei Inbetriebnahme in "&amp;M4183</f>
        <v>Bonushöhe bei Inbetriebnahme in 2012</v>
      </c>
      <c r="S4183" s="41"/>
      <c r="T4183" s="41"/>
      <c r="U4183" s="41"/>
      <c r="V4183" s="41"/>
      <c r="W4183" s="41"/>
      <c r="X4183" s="41"/>
      <c r="Y4183" s="41"/>
      <c r="Z4183" s="41"/>
      <c r="AA4183" s="41"/>
      <c r="AB4183" s="41"/>
      <c r="AC4183" s="41"/>
      <c r="AD4183" s="41"/>
    </row>
    <row r="4184" spans="1:33" x14ac:dyDescent="0.25">
      <c r="A4184" s="613" t="s">
        <v>499</v>
      </c>
      <c r="B4184" s="283" t="s">
        <v>2034</v>
      </c>
      <c r="C4184" s="283" t="s">
        <v>1984</v>
      </c>
      <c r="D4184" s="283" t="s">
        <v>6600</v>
      </c>
      <c r="E4184" s="283"/>
      <c r="F4184" s="447">
        <f>M4184</f>
        <v>25</v>
      </c>
      <c r="G4184" s="523">
        <v>25</v>
      </c>
      <c r="H4184" s="286">
        <f t="shared" si="1628"/>
        <v>20</v>
      </c>
      <c r="I4184" s="697"/>
      <c r="J4184" s="669" t="s">
        <v>5805</v>
      </c>
      <c r="L4184" s="70" t="str">
        <f>IF(F4184=M4184,"",FALSE)</f>
        <v/>
      </c>
      <c r="M4184" s="354">
        <f>ROUND(N4184,2)+SUMIF(O4184:Q4184,"x",O$4183:Q$4183)</f>
        <v>25</v>
      </c>
      <c r="N4184" s="90">
        <v>25</v>
      </c>
      <c r="O4184" s="1152"/>
      <c r="P4184" s="1153"/>
      <c r="Q4184" s="1154"/>
    </row>
    <row r="4185" spans="1:33" x14ac:dyDescent="0.25">
      <c r="A4185" s="613" t="s">
        <v>501</v>
      </c>
      <c r="B4185" s="283" t="s">
        <v>2034</v>
      </c>
      <c r="C4185" s="283" t="s">
        <v>1984</v>
      </c>
      <c r="D4185" s="283" t="s">
        <v>500</v>
      </c>
      <c r="E4185" s="283"/>
      <c r="F4185" s="447">
        <f>M4185</f>
        <v>30</v>
      </c>
      <c r="G4185" s="523">
        <v>30</v>
      </c>
      <c r="H4185" s="286">
        <f t="shared" si="1628"/>
        <v>24</v>
      </c>
      <c r="I4185" s="697"/>
      <c r="J4185" s="669" t="s">
        <v>5805</v>
      </c>
      <c r="L4185" s="70" t="str">
        <f>IF(F4185=M4185,"",FALSE)</f>
        <v/>
      </c>
      <c r="M4185" s="59">
        <f>ROUND(N4185,2)+SUMIF(O4185:Q4185,"x",O$4183:Q$4183)</f>
        <v>30</v>
      </c>
      <c r="N4185" s="52">
        <v>25</v>
      </c>
      <c r="O4185" s="1146" t="s">
        <v>1017</v>
      </c>
      <c r="P4185" s="1147"/>
      <c r="Q4185" s="1148"/>
    </row>
    <row r="4186" spans="1:33" x14ac:dyDescent="0.25">
      <c r="A4186" s="609"/>
      <c r="B4186" s="1"/>
      <c r="C4186" s="1"/>
      <c r="D4186" s="2"/>
      <c r="E4186" s="1"/>
      <c r="F4186" s="442"/>
      <c r="G4186" s="520"/>
      <c r="H4186" s="13" t="str">
        <f t="shared" si="1628"/>
        <v/>
      </c>
      <c r="I4186" s="692"/>
      <c r="J4186" s="669" t="s">
        <v>4180</v>
      </c>
      <c r="L4186" s="116"/>
      <c r="M4186" s="47">
        <v>2013</v>
      </c>
      <c r="N4186" s="52"/>
      <c r="O4186" s="1155">
        <v>5</v>
      </c>
      <c r="P4186" s="1156"/>
      <c r="Q4186" s="1157"/>
      <c r="R4186" s="41" t="str">
        <f>"Bonushöhe bei Inbetriebnahme in "&amp;M4186</f>
        <v>Bonushöhe bei Inbetriebnahme in 2013</v>
      </c>
      <c r="S4186" s="41"/>
      <c r="T4186" s="41"/>
      <c r="U4186" s="41"/>
      <c r="V4186" s="41"/>
      <c r="W4186" s="41"/>
      <c r="X4186" s="41"/>
      <c r="Y4186" s="41"/>
      <c r="Z4186" s="41"/>
      <c r="AA4186" s="41"/>
      <c r="AB4186" s="41"/>
      <c r="AC4186" s="41"/>
      <c r="AD4186" s="41"/>
    </row>
    <row r="4187" spans="1:33" x14ac:dyDescent="0.25">
      <c r="A4187" s="615" t="s">
        <v>4702</v>
      </c>
      <c r="B4187" s="372" t="s">
        <v>2034</v>
      </c>
      <c r="C4187" s="372" t="s">
        <v>4676</v>
      </c>
      <c r="D4187" s="372" t="s">
        <v>6600</v>
      </c>
      <c r="E4187" s="372"/>
      <c r="F4187" s="449">
        <f>M4187</f>
        <v>25</v>
      </c>
      <c r="G4187" s="525">
        <v>25</v>
      </c>
      <c r="H4187" s="374">
        <f t="shared" si="1628"/>
        <v>20</v>
      </c>
      <c r="I4187" s="699"/>
      <c r="J4187" s="669" t="s">
        <v>5805</v>
      </c>
      <c r="L4187" s="70" t="str">
        <f>IF(F4187=M4187,"",FALSE)</f>
        <v/>
      </c>
      <c r="M4187" s="49">
        <f>ROUND(N4187,2)+SUMIF(O4187:Q4187,"x",O$4186:Q$4186)</f>
        <v>25</v>
      </c>
      <c r="N4187" s="90">
        <f>N4184*(1-$R$4182)</f>
        <v>25</v>
      </c>
      <c r="O4187" s="1152"/>
      <c r="P4187" s="1153"/>
      <c r="Q4187" s="1154"/>
    </row>
    <row r="4188" spans="1:33" x14ac:dyDescent="0.25">
      <c r="A4188" s="615" t="s">
        <v>4703</v>
      </c>
      <c r="B4188" s="372" t="s">
        <v>2034</v>
      </c>
      <c r="C4188" s="372" t="s">
        <v>4676</v>
      </c>
      <c r="D4188" s="372" t="s">
        <v>500</v>
      </c>
      <c r="E4188" s="372"/>
      <c r="F4188" s="449">
        <f>M4188</f>
        <v>30</v>
      </c>
      <c r="G4188" s="525">
        <v>30</v>
      </c>
      <c r="H4188" s="374">
        <f t="shared" si="1628"/>
        <v>24</v>
      </c>
      <c r="I4188" s="699"/>
      <c r="J4188" s="669" t="s">
        <v>5805</v>
      </c>
      <c r="L4188" s="70" t="str">
        <f>IF(F4188=M4188,"",FALSE)</f>
        <v/>
      </c>
      <c r="M4188" s="59">
        <f>ROUND(N4188,2)+SUMIF(O4188:Q4188,"x",O$4186:Q$4186)</f>
        <v>30</v>
      </c>
      <c r="N4188" s="52">
        <f>N4185*(1-$R$4182)</f>
        <v>25</v>
      </c>
      <c r="O4188" s="1146" t="s">
        <v>1017</v>
      </c>
      <c r="P4188" s="1147"/>
      <c r="Q4188" s="1148"/>
    </row>
    <row r="4189" spans="1:33" x14ac:dyDescent="0.25">
      <c r="A4189" s="609"/>
      <c r="B4189" s="1"/>
      <c r="C4189" s="1"/>
      <c r="D4189" s="2"/>
      <c r="E4189" s="1"/>
      <c r="F4189" s="442"/>
      <c r="G4189" s="520"/>
      <c r="H4189" s="13" t="str">
        <f t="shared" si="1628"/>
        <v/>
      </c>
      <c r="I4189" s="692"/>
      <c r="J4189" s="669" t="s">
        <v>4180</v>
      </c>
      <c r="L4189" s="409"/>
      <c r="M4189" s="47">
        <v>2014</v>
      </c>
      <c r="N4189" s="52"/>
      <c r="O4189" s="1155">
        <v>5</v>
      </c>
      <c r="P4189" s="1156"/>
      <c r="Q4189" s="1157"/>
      <c r="R4189" s="41" t="str">
        <f>"Bonushöhe bei Inbetriebnahme in "&amp;M4189</f>
        <v>Bonushöhe bei Inbetriebnahme in 2014</v>
      </c>
      <c r="S4189" s="41"/>
      <c r="T4189" s="41"/>
      <c r="U4189" s="41"/>
      <c r="V4189" s="41"/>
      <c r="W4189" s="41"/>
      <c r="X4189" s="41"/>
      <c r="Y4189" s="41"/>
      <c r="Z4189" s="41"/>
      <c r="AA4189" s="41"/>
      <c r="AB4189" s="41"/>
      <c r="AC4189" s="41"/>
      <c r="AD4189" s="41"/>
    </row>
    <row r="4190" spans="1:33" x14ac:dyDescent="0.25">
      <c r="A4190" s="615" t="str">
        <f>"GeK280------"&amp;RIGHT($M$4189,2)</f>
        <v>GeK280------14</v>
      </c>
      <c r="B4190" s="372" t="s">
        <v>2034</v>
      </c>
      <c r="C4190" s="372" t="str">
        <f>"Inbetriebnahme "&amp;$M$4189</f>
        <v>Inbetriebnahme 2014</v>
      </c>
      <c r="D4190" s="372" t="s">
        <v>6600</v>
      </c>
      <c r="E4190" s="372"/>
      <c r="F4190" s="449">
        <f>M4190</f>
        <v>25</v>
      </c>
      <c r="G4190" s="525">
        <v>25</v>
      </c>
      <c r="H4190" s="374">
        <f t="shared" si="1628"/>
        <v>20</v>
      </c>
      <c r="I4190" s="699"/>
      <c r="J4190" s="669" t="s">
        <v>5805</v>
      </c>
      <c r="L4190" s="70" t="str">
        <f>IF(F4190=M4190,"",FALSE)</f>
        <v/>
      </c>
      <c r="M4190" s="387">
        <f>ROUND(N4190,2)+SUMIF(O4190:Q4190,"x",O$4179:Q$4179)</f>
        <v>25</v>
      </c>
      <c r="N4190" s="90">
        <f>N4187*(1-$R$4182)</f>
        <v>25</v>
      </c>
      <c r="O4190" s="1152"/>
      <c r="P4190" s="1153"/>
      <c r="Q4190" s="1154"/>
    </row>
    <row r="4191" spans="1:33" x14ac:dyDescent="0.25">
      <c r="A4191" s="615" t="str">
        <f>"GeK280P-----"&amp;RIGHT($M$4189,2)</f>
        <v>GeK280P-----14</v>
      </c>
      <c r="B4191" s="372" t="s">
        <v>2034</v>
      </c>
      <c r="C4191" s="372" t="str">
        <f>"Inbetriebnahme "&amp;$M$4189</f>
        <v>Inbetriebnahme 2014</v>
      </c>
      <c r="D4191" s="372" t="s">
        <v>500</v>
      </c>
      <c r="E4191" s="372"/>
      <c r="F4191" s="449">
        <f>M4191</f>
        <v>30</v>
      </c>
      <c r="G4191" s="525">
        <v>30</v>
      </c>
      <c r="H4191" s="374">
        <f t="shared" ref="H4191:H4199" si="1629">IF(ISNUMBER(G4191),ROUND(0.8*G4191,2),"")</f>
        <v>24</v>
      </c>
      <c r="I4191" s="699"/>
      <c r="J4191" s="669" t="s">
        <v>5805</v>
      </c>
      <c r="L4191" s="70" t="str">
        <f>IF(F4191=M4191,"",FALSE)</f>
        <v/>
      </c>
      <c r="M4191" s="406">
        <f>ROUND(N4191,2)+SUMIF(O4191:Q4191,"x",O$4189:Q$4189)</f>
        <v>30</v>
      </c>
      <c r="N4191" s="52">
        <f>N4188*(1-$R$4182)</f>
        <v>25</v>
      </c>
      <c r="O4191" s="1146" t="s">
        <v>1017</v>
      </c>
      <c r="P4191" s="1147"/>
      <c r="Q4191" s="1148"/>
    </row>
    <row r="4192" spans="1:33" s="12" customFormat="1" x14ac:dyDescent="0.25">
      <c r="A4192" s="616"/>
      <c r="B4192" s="2"/>
      <c r="C4192" s="1"/>
      <c r="D4192" s="2"/>
      <c r="E4192" s="1"/>
      <c r="F4192" s="442"/>
      <c r="G4192" s="13"/>
      <c r="H4192" s="13" t="str">
        <f t="shared" si="1629"/>
        <v/>
      </c>
      <c r="I4192" s="692"/>
      <c r="J4192" s="669" t="s">
        <v>4180</v>
      </c>
      <c r="L4192" s="269"/>
      <c r="M4192" s="49"/>
      <c r="N4192" s="41"/>
      <c r="O4192" s="188"/>
      <c r="P4192" s="188"/>
      <c r="Q4192" s="188"/>
      <c r="R4192" s="27"/>
      <c r="S4192" s="27"/>
      <c r="T4192" s="27"/>
      <c r="U4192" s="27"/>
    </row>
    <row r="4193" spans="1:33" s="259" customFormat="1" ht="20.25" customHeight="1" x14ac:dyDescent="0.25">
      <c r="A4193" s="617"/>
      <c r="B4193" s="255"/>
      <c r="C4193" s="256"/>
      <c r="D4193" s="255"/>
      <c r="E4193" s="256"/>
      <c r="F4193" s="463"/>
      <c r="G4193" s="257"/>
      <c r="H4193" s="257" t="str">
        <f t="shared" si="1629"/>
        <v/>
      </c>
      <c r="I4193" s="717"/>
      <c r="J4193" s="669" t="s">
        <v>4180</v>
      </c>
      <c r="K4193" s="258"/>
      <c r="L4193" s="362"/>
      <c r="M4193" s="260" t="s">
        <v>93</v>
      </c>
      <c r="N4193" s="261"/>
      <c r="O4193" s="261"/>
      <c r="AG4193" s="262"/>
    </row>
    <row r="4194" spans="1:33" x14ac:dyDescent="0.25">
      <c r="A4194" s="608"/>
      <c r="B4194" s="2"/>
      <c r="C4194" s="34"/>
      <c r="D4194" s="34"/>
      <c r="E4194" s="2"/>
      <c r="F4194" s="445"/>
      <c r="G4194" s="14"/>
      <c r="H4194" s="14" t="str">
        <f t="shared" si="1629"/>
        <v/>
      </c>
      <c r="I4194" s="695"/>
      <c r="J4194" s="669" t="s">
        <v>4180</v>
      </c>
      <c r="M4194" s="779"/>
      <c r="N4194" s="270" t="s">
        <v>5490</v>
      </c>
      <c r="O4194" s="779" t="s">
        <v>6471</v>
      </c>
      <c r="P4194" s="774"/>
      <c r="Q4194" s="779" t="s">
        <v>6472</v>
      </c>
    </row>
    <row r="4195" spans="1:33" x14ac:dyDescent="0.25">
      <c r="A4195" s="607" t="s">
        <v>94</v>
      </c>
      <c r="B4195" s="435" t="s">
        <v>2034</v>
      </c>
      <c r="C4195" s="436" t="s">
        <v>39</v>
      </c>
      <c r="D4195" s="436" t="s">
        <v>6600</v>
      </c>
      <c r="E4195" s="435"/>
      <c r="F4195" s="450">
        <f>Q4195</f>
        <v>25</v>
      </c>
      <c r="G4195" s="437">
        <f>O4195</f>
        <v>25.2</v>
      </c>
      <c r="H4195" s="437">
        <f t="shared" si="1629"/>
        <v>20.16</v>
      </c>
      <c r="I4195" s="700"/>
      <c r="J4195" s="669" t="s">
        <v>5805</v>
      </c>
      <c r="M4195" s="780">
        <v>2014</v>
      </c>
      <c r="N4195" s="395" t="s">
        <v>6473</v>
      </c>
      <c r="O4195" s="781">
        <v>25.2</v>
      </c>
      <c r="P4195" s="774"/>
      <c r="Q4195" s="781">
        <f>O4195-0.2</f>
        <v>25</v>
      </c>
    </row>
    <row r="4196" spans="1:33" x14ac:dyDescent="0.25">
      <c r="A4196" s="608"/>
      <c r="B4196" s="2"/>
      <c r="C4196" s="34"/>
      <c r="D4196" s="34"/>
      <c r="E4196" s="2"/>
      <c r="F4196" s="445"/>
      <c r="G4196" s="14"/>
      <c r="H4196" s="14" t="str">
        <f t="shared" si="1629"/>
        <v/>
      </c>
      <c r="I4196" s="695"/>
      <c r="J4196" s="669" t="s">
        <v>4180</v>
      </c>
      <c r="M4196" s="779"/>
      <c r="N4196" s="270"/>
      <c r="O4196" s="779" t="s">
        <v>6471</v>
      </c>
      <c r="P4196" s="774"/>
      <c r="Q4196" s="779" t="s">
        <v>6472</v>
      </c>
    </row>
    <row r="4197" spans="1:33" x14ac:dyDescent="0.25">
      <c r="A4197" s="607" t="s">
        <v>387</v>
      </c>
      <c r="B4197" s="435" t="s">
        <v>2034</v>
      </c>
      <c r="C4197" s="436" t="s">
        <v>380</v>
      </c>
      <c r="D4197" s="436" t="s">
        <v>6600</v>
      </c>
      <c r="E4197" s="435"/>
      <c r="F4197" s="450">
        <f>Q4197</f>
        <v>25</v>
      </c>
      <c r="G4197" s="437">
        <f>O4197</f>
        <v>25.2</v>
      </c>
      <c r="H4197" s="437">
        <f t="shared" si="1629"/>
        <v>20.16</v>
      </c>
      <c r="I4197" s="700"/>
      <c r="J4197" s="669" t="s">
        <v>5805</v>
      </c>
      <c r="M4197" s="780">
        <v>2015</v>
      </c>
      <c r="N4197" s="779" t="s">
        <v>384</v>
      </c>
      <c r="O4197" s="781">
        <v>25.2</v>
      </c>
      <c r="P4197" s="774"/>
      <c r="Q4197" s="781">
        <f>O4197-0.2</f>
        <v>25</v>
      </c>
    </row>
    <row r="4198" spans="1:33" x14ac:dyDescent="0.25">
      <c r="A4198" s="608"/>
      <c r="B4198" s="2"/>
      <c r="C4198" s="34"/>
      <c r="D4198" s="34"/>
      <c r="E4198" s="2"/>
      <c r="F4198" s="445"/>
      <c r="G4198" s="14"/>
      <c r="H4198" s="14" t="str">
        <f t="shared" si="1629"/>
        <v/>
      </c>
      <c r="I4198" s="695"/>
      <c r="J4198" s="669" t="s">
        <v>4180</v>
      </c>
      <c r="M4198" s="779"/>
      <c r="N4198" s="270"/>
      <c r="O4198" s="779" t="s">
        <v>6471</v>
      </c>
      <c r="P4198" s="774"/>
      <c r="Q4198" s="779" t="s">
        <v>6472</v>
      </c>
    </row>
    <row r="4199" spans="1:33" x14ac:dyDescent="0.25">
      <c r="A4199" s="607" t="s">
        <v>5676</v>
      </c>
      <c r="B4199" s="435" t="s">
        <v>2034</v>
      </c>
      <c r="C4199" s="436" t="s">
        <v>5648</v>
      </c>
      <c r="D4199" s="436" t="s">
        <v>6600</v>
      </c>
      <c r="E4199" s="435"/>
      <c r="F4199" s="450">
        <f>Q4199</f>
        <v>25</v>
      </c>
      <c r="G4199" s="437">
        <f>O4199</f>
        <v>25.2</v>
      </c>
      <c r="H4199" s="437">
        <f t="shared" si="1629"/>
        <v>20.16</v>
      </c>
      <c r="I4199" s="700"/>
      <c r="J4199" s="669" t="s">
        <v>5805</v>
      </c>
      <c r="M4199" s="780">
        <v>2016</v>
      </c>
      <c r="N4199" s="779" t="s">
        <v>384</v>
      </c>
      <c r="O4199" s="781">
        <v>25.2</v>
      </c>
      <c r="P4199" s="774"/>
      <c r="Q4199" s="781">
        <f>O4199-0.2</f>
        <v>25</v>
      </c>
    </row>
    <row r="4200" spans="1:33" x14ac:dyDescent="0.25">
      <c r="A4200" s="16"/>
      <c r="B4200" s="28"/>
      <c r="C4200" s="11"/>
      <c r="D4200" s="28"/>
      <c r="E4200" s="11"/>
      <c r="F4200" s="470"/>
      <c r="G4200" s="189"/>
      <c r="H4200" s="189"/>
      <c r="I4200" s="726"/>
      <c r="J4200" s="669" t="s">
        <v>4180</v>
      </c>
      <c r="M4200" s="779"/>
      <c r="N4200" s="395"/>
      <c r="O4200" s="779" t="s">
        <v>6471</v>
      </c>
      <c r="P4200" s="774"/>
      <c r="Q4200" s="779" t="s">
        <v>6474</v>
      </c>
    </row>
    <row r="4201" spans="1:33" x14ac:dyDescent="0.25">
      <c r="A4201" s="644" t="s">
        <v>5927</v>
      </c>
      <c r="B4201" s="645" t="s">
        <v>2034</v>
      </c>
      <c r="C4201" s="643" t="s">
        <v>5867</v>
      </c>
      <c r="D4201" s="643" t="s">
        <v>6600</v>
      </c>
      <c r="E4201" s="645"/>
      <c r="F4201" s="657">
        <f>Q4201</f>
        <v>25</v>
      </c>
      <c r="G4201" s="656">
        <f>O4201</f>
        <v>25.2</v>
      </c>
      <c r="H4201" s="656">
        <f>IF(ISNUMBER(G4201),ROUND(0.8*G4201,2),"")</f>
        <v>20.16</v>
      </c>
      <c r="I4201" s="701"/>
      <c r="J4201" s="669">
        <v>42705</v>
      </c>
      <c r="M4201" s="780">
        <v>2017</v>
      </c>
      <c r="N4201" s="779" t="s">
        <v>6475</v>
      </c>
      <c r="O4201" s="781">
        <v>25.2</v>
      </c>
      <c r="P4201" s="774"/>
      <c r="Q4201" s="781">
        <f>O4201-0.2</f>
        <v>25</v>
      </c>
    </row>
    <row r="4202" spans="1:33" x14ac:dyDescent="0.25">
      <c r="A4202" s="16"/>
      <c r="B4202" s="28"/>
      <c r="C4202" s="11"/>
      <c r="D4202" s="28"/>
      <c r="E4202" s="11"/>
      <c r="F4202" s="470"/>
      <c r="G4202" s="189"/>
      <c r="H4202" s="189"/>
      <c r="I4202" s="726"/>
      <c r="J4202" s="669" t="s">
        <v>4180</v>
      </c>
      <c r="M4202" s="779"/>
      <c r="N4202" s="395"/>
      <c r="O4202" s="779" t="s">
        <v>6471</v>
      </c>
      <c r="P4202" s="774"/>
      <c r="Q4202" s="779" t="s">
        <v>6474</v>
      </c>
    </row>
    <row r="4203" spans="1:33" x14ac:dyDescent="0.25">
      <c r="A4203" s="644" t="s">
        <v>6227</v>
      </c>
      <c r="B4203" s="645" t="s">
        <v>2034</v>
      </c>
      <c r="C4203" s="643" t="s">
        <v>6189</v>
      </c>
      <c r="D4203" s="643" t="s">
        <v>6600</v>
      </c>
      <c r="E4203" s="645"/>
      <c r="F4203" s="657">
        <f>Q4203</f>
        <v>25</v>
      </c>
      <c r="G4203" s="656">
        <f>O4203</f>
        <v>25.2</v>
      </c>
      <c r="H4203" s="656">
        <f>IF(ISNUMBER(G4203),ROUND(0.8*G4203,2),"")</f>
        <v>20.16</v>
      </c>
      <c r="I4203" s="701"/>
      <c r="J4203" s="669">
        <v>43077</v>
      </c>
      <c r="M4203" s="780">
        <v>2018</v>
      </c>
      <c r="N4203" s="779" t="s">
        <v>5928</v>
      </c>
      <c r="O4203" s="781">
        <v>25.2</v>
      </c>
      <c r="P4203" s="774"/>
      <c r="Q4203" s="781">
        <f>O4203-0.2</f>
        <v>25</v>
      </c>
    </row>
    <row r="4204" spans="1:33" x14ac:dyDescent="0.25">
      <c r="A4204" s="16"/>
      <c r="B4204" s="28"/>
      <c r="C4204" s="11"/>
      <c r="D4204" s="28"/>
      <c r="E4204" s="11"/>
      <c r="F4204" s="470"/>
      <c r="G4204" s="189"/>
      <c r="H4204" s="189"/>
      <c r="I4204" s="726"/>
      <c r="J4204" s="669" t="s">
        <v>4180</v>
      </c>
      <c r="M4204" s="779"/>
      <c r="N4204" s="395"/>
      <c r="O4204" s="779" t="s">
        <v>6471</v>
      </c>
      <c r="P4204" s="774"/>
      <c r="Q4204" s="779" t="s">
        <v>6474</v>
      </c>
    </row>
    <row r="4205" spans="1:33" s="774" customFormat="1" x14ac:dyDescent="0.25">
      <c r="A4205" s="644" t="s">
        <v>6417</v>
      </c>
      <c r="B4205" s="645" t="s">
        <v>2034</v>
      </c>
      <c r="C4205" s="643" t="s">
        <v>6409</v>
      </c>
      <c r="D4205" s="643" t="s">
        <v>6600</v>
      </c>
      <c r="E4205" s="645"/>
      <c r="F4205" s="657">
        <f>Q4205</f>
        <v>25</v>
      </c>
      <c r="G4205" s="656">
        <f>O4205</f>
        <v>25.2</v>
      </c>
      <c r="H4205" s="656">
        <f>IF(ISNUMBER(G4205),ROUND(0.8*G4205,2),"")</f>
        <v>20.16</v>
      </c>
      <c r="I4205" s="701"/>
      <c r="J4205" s="669">
        <v>43419</v>
      </c>
      <c r="M4205" s="780">
        <v>2019</v>
      </c>
      <c r="N4205" s="779" t="s">
        <v>5928</v>
      </c>
      <c r="O4205" s="781">
        <v>25.2</v>
      </c>
      <c r="Q4205" s="781">
        <f>O4205-0.2</f>
        <v>25</v>
      </c>
    </row>
    <row r="4206" spans="1:33" s="774" customFormat="1" x14ac:dyDescent="0.25">
      <c r="A4206" s="16"/>
      <c r="B4206" s="28"/>
      <c r="C4206" s="11"/>
      <c r="D4206" s="28"/>
      <c r="E4206" s="11"/>
      <c r="F4206" s="470"/>
      <c r="G4206" s="189"/>
      <c r="H4206" s="189"/>
      <c r="I4206" s="726"/>
      <c r="J4206" s="669" t="s">
        <v>4180</v>
      </c>
      <c r="M4206" s="779"/>
      <c r="N4206" s="395"/>
      <c r="O4206" s="779" t="s">
        <v>6471</v>
      </c>
      <c r="Q4206" s="779" t="s">
        <v>6474</v>
      </c>
    </row>
    <row r="4207" spans="1:33" s="774" customFormat="1" x14ac:dyDescent="0.25">
      <c r="A4207" s="644" t="s">
        <v>6558</v>
      </c>
      <c r="B4207" s="645" t="s">
        <v>2034</v>
      </c>
      <c r="C4207" s="643" t="s">
        <v>6510</v>
      </c>
      <c r="D4207" s="643" t="s">
        <v>6600</v>
      </c>
      <c r="E4207" s="645"/>
      <c r="F4207" s="657">
        <f>Q4207</f>
        <v>25</v>
      </c>
      <c r="G4207" s="656">
        <f>O4207</f>
        <v>25.2</v>
      </c>
      <c r="H4207" s="656">
        <f>IF(ISNUMBER(G4207),ROUND(0.8*G4207,2),"")</f>
        <v>20.16</v>
      </c>
      <c r="I4207" s="701"/>
      <c r="J4207" s="669">
        <v>43796</v>
      </c>
      <c r="M4207" s="780">
        <v>2020</v>
      </c>
      <c r="N4207" s="779" t="s">
        <v>5928</v>
      </c>
      <c r="O4207" s="781">
        <v>25.2</v>
      </c>
      <c r="Q4207" s="781">
        <f>O4207-0.2</f>
        <v>25</v>
      </c>
    </row>
    <row r="4208" spans="1:33" s="774" customFormat="1" x14ac:dyDescent="0.25">
      <c r="A4208" s="16"/>
      <c r="B4208" s="28"/>
      <c r="C4208" s="11"/>
      <c r="D4208" s="28"/>
      <c r="E4208" s="11"/>
      <c r="F4208" s="470"/>
      <c r="G4208" s="189"/>
      <c r="H4208" s="189"/>
      <c r="I4208" s="726"/>
      <c r="J4208" s="669" t="s">
        <v>4180</v>
      </c>
      <c r="M4208" s="779"/>
      <c r="N4208" s="395"/>
      <c r="O4208" s="779" t="s">
        <v>6471</v>
      </c>
      <c r="Q4208" s="779" t="s">
        <v>6474</v>
      </c>
    </row>
    <row r="4209" spans="1:17" s="774" customFormat="1" x14ac:dyDescent="0.25">
      <c r="A4209" s="644" t="s">
        <v>6659</v>
      </c>
      <c r="B4209" s="645" t="s">
        <v>2034</v>
      </c>
      <c r="C4209" s="643" t="s">
        <v>6629</v>
      </c>
      <c r="D4209" s="643" t="s">
        <v>6600</v>
      </c>
      <c r="E4209" s="645"/>
      <c r="F4209" s="793">
        <f>Q4209</f>
        <v>25</v>
      </c>
      <c r="G4209" s="795">
        <f>O4209</f>
        <v>25.2</v>
      </c>
      <c r="H4209" s="795">
        <f>IF(ISNUMBER(G4209),ROUND(0.8*G4209,2),"")</f>
        <v>20.16</v>
      </c>
      <c r="I4209" s="701"/>
      <c r="J4209" s="669">
        <v>44196</v>
      </c>
      <c r="M4209" s="780">
        <v>2021</v>
      </c>
      <c r="N4209" s="779" t="s">
        <v>5928</v>
      </c>
      <c r="O4209" s="781">
        <v>25.2</v>
      </c>
      <c r="Q4209" s="781">
        <f>O4209-0.2</f>
        <v>25</v>
      </c>
    </row>
    <row r="4210" spans="1:17" s="774" customFormat="1" x14ac:dyDescent="0.25">
      <c r="A4210" s="882"/>
      <c r="B4210" s="883"/>
      <c r="C4210" s="883"/>
      <c r="D4210" s="883"/>
      <c r="E4210" s="883"/>
      <c r="F4210" s="884"/>
      <c r="G4210" s="879"/>
      <c r="H4210" s="879"/>
      <c r="I4210" s="885"/>
      <c r="J4210" s="669" t="s">
        <v>4180</v>
      </c>
      <c r="M4210" s="779"/>
      <c r="N4210" s="395"/>
      <c r="O4210" s="779" t="s">
        <v>6471</v>
      </c>
      <c r="Q4210" s="779" t="s">
        <v>6474</v>
      </c>
    </row>
    <row r="4211" spans="1:17" s="774" customFormat="1" x14ac:dyDescent="0.25">
      <c r="A4211" s="644" t="str">
        <f>LEFT(A4209,12)&amp;RIGHT(M4211,2)</f>
        <v>GeK450------22</v>
      </c>
      <c r="B4211" s="645" t="s">
        <v>2034</v>
      </c>
      <c r="C4211" s="645" t="str">
        <f>"Inbetriebnahme 20" &amp; RIGHT(M4211,2)</f>
        <v>Inbetriebnahme 2022</v>
      </c>
      <c r="D4211" s="645" t="s">
        <v>6600</v>
      </c>
      <c r="E4211" s="645"/>
      <c r="F4211" s="657">
        <f>Q4211</f>
        <v>25</v>
      </c>
      <c r="G4211" s="656">
        <f>O4211</f>
        <v>25.2</v>
      </c>
      <c r="H4211" s="656">
        <f>IF(ISNUMBER(G4211),ROUND(0.8*G4211,2),"")</f>
        <v>20.16</v>
      </c>
      <c r="I4211" s="701"/>
      <c r="J4211" s="669">
        <v>44536</v>
      </c>
      <c r="M4211" s="780">
        <v>2022</v>
      </c>
      <c r="N4211" s="779" t="s">
        <v>5928</v>
      </c>
      <c r="O4211" s="886">
        <v>25.2</v>
      </c>
      <c r="Q4211" s="886">
        <f>O4211-0.2</f>
        <v>25</v>
      </c>
    </row>
    <row r="4212" spans="1:17" s="774" customFormat="1" x14ac:dyDescent="0.25">
      <c r="A4212" s="882"/>
      <c r="B4212" s="883"/>
      <c r="C4212" s="883"/>
      <c r="D4212" s="883"/>
      <c r="E4212" s="883"/>
      <c r="F4212" s="884"/>
      <c r="G4212" s="879"/>
      <c r="H4212" s="879"/>
      <c r="I4212" s="885"/>
      <c r="J4212" s="669" t="s">
        <v>4180</v>
      </c>
      <c r="M4212" s="779"/>
      <c r="N4212" s="395"/>
      <c r="O4212" s="779" t="s">
        <v>6471</v>
      </c>
      <c r="Q4212" s="779" t="s">
        <v>6474</v>
      </c>
    </row>
    <row r="4213" spans="1:17" s="774" customFormat="1" x14ac:dyDescent="0.25">
      <c r="A4213" s="644" t="str">
        <f>LEFT(A4211,12)&amp;RIGHT(M4213,2)</f>
        <v>GeK450------23</v>
      </c>
      <c r="B4213" s="645" t="s">
        <v>2034</v>
      </c>
      <c r="C4213" s="645" t="str">
        <f>"Inbetriebnahme 20" &amp; RIGHT(M4213,2)</f>
        <v>Inbetriebnahme 2023</v>
      </c>
      <c r="D4213" s="645" t="s">
        <v>6600</v>
      </c>
      <c r="E4213" s="645"/>
      <c r="F4213" s="657">
        <f>Q4213</f>
        <v>25</v>
      </c>
      <c r="G4213" s="656">
        <f>O4213</f>
        <v>25.2</v>
      </c>
      <c r="H4213" s="656">
        <f>IF(ISNUMBER(G4213),ROUND(0.8*G4213,2),"")</f>
        <v>20.16</v>
      </c>
      <c r="I4213" s="701"/>
      <c r="J4213" s="669">
        <f>J$31</f>
        <v>44896</v>
      </c>
      <c r="M4213" s="780">
        <v>2023</v>
      </c>
      <c r="N4213" s="779" t="s">
        <v>5928</v>
      </c>
      <c r="O4213" s="886">
        <v>25.2</v>
      </c>
      <c r="Q4213" s="886">
        <f>O4213-0.2</f>
        <v>25</v>
      </c>
    </row>
    <row r="4214" spans="1:17" x14ac:dyDescent="0.25">
      <c r="A4214" s="16"/>
      <c r="B4214" s="28"/>
      <c r="C4214" s="11"/>
      <c r="D4214" s="28"/>
      <c r="E4214" s="11"/>
      <c r="F4214" s="470"/>
      <c r="G4214" s="189"/>
      <c r="H4214" s="189"/>
      <c r="I4214" s="726"/>
      <c r="J4214" s="669" t="s">
        <v>4180</v>
      </c>
    </row>
    <row r="4215" spans="1:17" ht="23.25" x14ac:dyDescent="0.35">
      <c r="A4215" s="110" t="s">
        <v>106</v>
      </c>
      <c r="B4215" s="65"/>
      <c r="C4215" s="65"/>
      <c r="D4215" s="65"/>
      <c r="E4215" s="65"/>
      <c r="F4215" s="443"/>
      <c r="G4215" s="65"/>
      <c r="H4215" s="74"/>
      <c r="I4215" s="693"/>
      <c r="J4215" s="669" t="s">
        <v>5805</v>
      </c>
    </row>
    <row r="4216" spans="1:17" x14ac:dyDescent="0.25">
      <c r="A4216" s="609" t="s">
        <v>2073</v>
      </c>
      <c r="B4216" s="1" t="s">
        <v>2067</v>
      </c>
      <c r="C4216" s="1" t="s">
        <v>3727</v>
      </c>
      <c r="D4216" s="2" t="s">
        <v>2068</v>
      </c>
      <c r="E4216" s="1"/>
      <c r="F4216" s="442">
        <v>8.9</v>
      </c>
      <c r="G4216" s="520">
        <v>8.9</v>
      </c>
      <c r="H4216" s="13">
        <f t="shared" ref="H4216:H4247" si="1630">IF(ISNUMBER(G4216),ROUND(0.8*G4216,2),"")</f>
        <v>7.12</v>
      </c>
      <c r="I4216" s="692"/>
      <c r="J4216" s="669" t="s">
        <v>5805</v>
      </c>
    </row>
    <row r="4217" spans="1:17" x14ac:dyDescent="0.25">
      <c r="A4217" s="609" t="s">
        <v>2074</v>
      </c>
      <c r="B4217" s="1" t="s">
        <v>2067</v>
      </c>
      <c r="C4217" s="1" t="s">
        <v>3727</v>
      </c>
      <c r="D4217" s="2" t="s">
        <v>2070</v>
      </c>
      <c r="E4217" s="1"/>
      <c r="F4217" s="442">
        <v>6</v>
      </c>
      <c r="G4217" s="520">
        <v>6</v>
      </c>
      <c r="H4217" s="13">
        <f t="shared" si="1630"/>
        <v>4.8</v>
      </c>
      <c r="I4217" s="692"/>
      <c r="J4217" s="669" t="s">
        <v>5805</v>
      </c>
    </row>
    <row r="4218" spans="1:17" x14ac:dyDescent="0.25">
      <c r="A4218" s="610" t="s">
        <v>5525</v>
      </c>
      <c r="B4218" s="17" t="s">
        <v>2067</v>
      </c>
      <c r="C4218" s="17" t="s">
        <v>3727</v>
      </c>
      <c r="D4218" s="21" t="s">
        <v>5529</v>
      </c>
      <c r="E4218" s="17"/>
      <c r="F4218" s="444">
        <v>9.6</v>
      </c>
      <c r="G4218" s="519">
        <v>9.6</v>
      </c>
      <c r="H4218" s="18">
        <f t="shared" si="1630"/>
        <v>7.68</v>
      </c>
      <c r="I4218" s="694"/>
      <c r="J4218" s="669" t="s">
        <v>5805</v>
      </c>
    </row>
    <row r="4219" spans="1:17" x14ac:dyDescent="0.25">
      <c r="A4219" s="610" t="s">
        <v>5526</v>
      </c>
      <c r="B4219" s="17" t="s">
        <v>2067</v>
      </c>
      <c r="C4219" s="17" t="s">
        <v>3727</v>
      </c>
      <c r="D4219" s="21" t="s">
        <v>5530</v>
      </c>
      <c r="E4219" s="17"/>
      <c r="F4219" s="444">
        <v>6.7</v>
      </c>
      <c r="G4219" s="519">
        <v>6.7</v>
      </c>
      <c r="H4219" s="18">
        <f t="shared" si="1630"/>
        <v>5.36</v>
      </c>
      <c r="I4219" s="694"/>
      <c r="J4219" s="669" t="s">
        <v>5805</v>
      </c>
    </row>
    <row r="4220" spans="1:17" x14ac:dyDescent="0.25">
      <c r="A4220" s="609"/>
      <c r="B4220" s="1"/>
      <c r="C4220" s="1"/>
      <c r="D4220" s="2"/>
      <c r="E4220" s="1"/>
      <c r="F4220" s="442"/>
      <c r="G4220" s="520"/>
      <c r="H4220" s="13" t="str">
        <f t="shared" si="1630"/>
        <v/>
      </c>
      <c r="I4220" s="692"/>
      <c r="J4220" s="669" t="s">
        <v>4180</v>
      </c>
    </row>
    <row r="4221" spans="1:17" x14ac:dyDescent="0.25">
      <c r="A4221" s="609" t="s">
        <v>2075</v>
      </c>
      <c r="B4221" s="1" t="s">
        <v>2067</v>
      </c>
      <c r="C4221" s="1" t="s">
        <v>1272</v>
      </c>
      <c r="D4221" s="2" t="s">
        <v>2068</v>
      </c>
      <c r="E4221" s="1"/>
      <c r="F4221" s="442">
        <v>8.8000000000000007</v>
      </c>
      <c r="G4221" s="520">
        <v>8.8000000000000007</v>
      </c>
      <c r="H4221" s="13">
        <f t="shared" si="1630"/>
        <v>7.04</v>
      </c>
      <c r="I4221" s="692"/>
      <c r="J4221" s="669" t="s">
        <v>5805</v>
      </c>
    </row>
    <row r="4222" spans="1:17" x14ac:dyDescent="0.25">
      <c r="A4222" s="609" t="s">
        <v>2076</v>
      </c>
      <c r="B4222" s="1" t="s">
        <v>2067</v>
      </c>
      <c r="C4222" s="1" t="s">
        <v>1272</v>
      </c>
      <c r="D4222" s="2" t="s">
        <v>2070</v>
      </c>
      <c r="E4222" s="1"/>
      <c r="F4222" s="442">
        <v>5.9</v>
      </c>
      <c r="G4222" s="520">
        <v>5.9</v>
      </c>
      <c r="H4222" s="13">
        <f t="shared" si="1630"/>
        <v>4.72</v>
      </c>
      <c r="I4222" s="692"/>
      <c r="J4222" s="669" t="s">
        <v>5805</v>
      </c>
    </row>
    <row r="4223" spans="1:17" x14ac:dyDescent="0.25">
      <c r="A4223" s="610" t="s">
        <v>5527</v>
      </c>
      <c r="B4223" s="17" t="s">
        <v>2067</v>
      </c>
      <c r="C4223" s="17" t="s">
        <v>1272</v>
      </c>
      <c r="D4223" s="21" t="s">
        <v>5529</v>
      </c>
      <c r="E4223" s="17"/>
      <c r="F4223" s="444">
        <v>9.5</v>
      </c>
      <c r="G4223" s="519">
        <v>9.5</v>
      </c>
      <c r="H4223" s="18">
        <f t="shared" si="1630"/>
        <v>7.6</v>
      </c>
      <c r="I4223" s="694"/>
      <c r="J4223" s="669" t="s">
        <v>5805</v>
      </c>
    </row>
    <row r="4224" spans="1:17" x14ac:dyDescent="0.25">
      <c r="A4224" s="610" t="s">
        <v>5528</v>
      </c>
      <c r="B4224" s="17" t="s">
        <v>2067</v>
      </c>
      <c r="C4224" s="17" t="s">
        <v>1272</v>
      </c>
      <c r="D4224" s="21" t="s">
        <v>5530</v>
      </c>
      <c r="E4224" s="17"/>
      <c r="F4224" s="444">
        <v>6.6</v>
      </c>
      <c r="G4224" s="519">
        <v>6.6</v>
      </c>
      <c r="H4224" s="18">
        <f t="shared" si="1630"/>
        <v>5.28</v>
      </c>
      <c r="I4224" s="694"/>
      <c r="J4224" s="669" t="s">
        <v>5805</v>
      </c>
    </row>
    <row r="4225" spans="1:10" x14ac:dyDescent="0.25">
      <c r="A4225" s="609"/>
      <c r="B4225" s="1"/>
      <c r="C4225" s="1"/>
      <c r="D4225" s="1"/>
      <c r="E4225" s="1"/>
      <c r="F4225" s="442"/>
      <c r="G4225" s="520"/>
      <c r="H4225" s="13" t="str">
        <f t="shared" si="1630"/>
        <v/>
      </c>
      <c r="I4225" s="692"/>
      <c r="J4225" s="669" t="s">
        <v>4180</v>
      </c>
    </row>
    <row r="4226" spans="1:10" x14ac:dyDescent="0.25">
      <c r="A4226" s="609" t="s">
        <v>2077</v>
      </c>
      <c r="B4226" s="1" t="s">
        <v>2067</v>
      </c>
      <c r="C4226" s="1" t="s">
        <v>1275</v>
      </c>
      <c r="D4226" s="36" t="s">
        <v>4385</v>
      </c>
      <c r="E4226" s="1"/>
      <c r="F4226" s="442">
        <v>8.6999999999999993</v>
      </c>
      <c r="G4226" s="520">
        <v>8.6999999999999993</v>
      </c>
      <c r="H4226" s="13">
        <f t="shared" si="1630"/>
        <v>6.96</v>
      </c>
      <c r="I4226" s="692"/>
      <c r="J4226" s="669" t="s">
        <v>5805</v>
      </c>
    </row>
    <row r="4227" spans="1:10" x14ac:dyDescent="0.25">
      <c r="A4227" s="609" t="s">
        <v>2078</v>
      </c>
      <c r="B4227" s="1" t="s">
        <v>2067</v>
      </c>
      <c r="C4227" s="1" t="s">
        <v>1275</v>
      </c>
      <c r="D4227" s="36" t="s">
        <v>4387</v>
      </c>
      <c r="E4227" s="1"/>
      <c r="F4227" s="442">
        <v>5.5</v>
      </c>
      <c r="G4227" s="520">
        <v>5.5</v>
      </c>
      <c r="H4227" s="13">
        <f t="shared" si="1630"/>
        <v>4.4000000000000004</v>
      </c>
      <c r="I4227" s="692"/>
      <c r="J4227" s="669" t="s">
        <v>5805</v>
      </c>
    </row>
    <row r="4228" spans="1:10" x14ac:dyDescent="0.25">
      <c r="A4228" s="610" t="s">
        <v>5531</v>
      </c>
      <c r="B4228" s="17" t="s">
        <v>2067</v>
      </c>
      <c r="C4228" s="17" t="s">
        <v>1275</v>
      </c>
      <c r="D4228" s="21" t="s">
        <v>4386</v>
      </c>
      <c r="E4228" s="17"/>
      <c r="F4228" s="444">
        <v>9.4</v>
      </c>
      <c r="G4228" s="519">
        <v>9.4</v>
      </c>
      <c r="H4228" s="18">
        <f t="shared" si="1630"/>
        <v>7.52</v>
      </c>
      <c r="I4228" s="694"/>
      <c r="J4228" s="669" t="s">
        <v>5805</v>
      </c>
    </row>
    <row r="4229" spans="1:10" x14ac:dyDescent="0.25">
      <c r="A4229" s="610" t="s">
        <v>5532</v>
      </c>
      <c r="B4229" s="17" t="s">
        <v>2067</v>
      </c>
      <c r="C4229" s="17" t="s">
        <v>1275</v>
      </c>
      <c r="D4229" s="21" t="s">
        <v>929</v>
      </c>
      <c r="E4229" s="17"/>
      <c r="F4229" s="444">
        <v>6.2</v>
      </c>
      <c r="G4229" s="519">
        <v>6.2</v>
      </c>
      <c r="H4229" s="18">
        <f t="shared" si="1630"/>
        <v>4.96</v>
      </c>
      <c r="I4229" s="694"/>
      <c r="J4229" s="669" t="s">
        <v>5805</v>
      </c>
    </row>
    <row r="4230" spans="1:10" x14ac:dyDescent="0.25">
      <c r="A4230" s="609"/>
      <c r="B4230" s="1"/>
      <c r="C4230" s="1"/>
      <c r="D4230" s="1"/>
      <c r="E4230" s="1"/>
      <c r="F4230" s="442"/>
      <c r="G4230" s="520"/>
      <c r="H4230" s="13" t="str">
        <f t="shared" si="1630"/>
        <v/>
      </c>
      <c r="I4230" s="692"/>
      <c r="J4230" s="669" t="s">
        <v>4180</v>
      </c>
    </row>
    <row r="4231" spans="1:10" x14ac:dyDescent="0.25">
      <c r="A4231" s="609" t="s">
        <v>2081</v>
      </c>
      <c r="B4231" s="1" t="s">
        <v>2067</v>
      </c>
      <c r="C4231" s="1" t="s">
        <v>1288</v>
      </c>
      <c r="D4231" s="36" t="s">
        <v>4385</v>
      </c>
      <c r="E4231" s="1"/>
      <c r="F4231" s="442">
        <v>8.5299999999999994</v>
      </c>
      <c r="G4231" s="520">
        <v>8.5299999999999994</v>
      </c>
      <c r="H4231" s="13">
        <f t="shared" si="1630"/>
        <v>6.82</v>
      </c>
      <c r="I4231" s="692"/>
      <c r="J4231" s="669" t="s">
        <v>5805</v>
      </c>
    </row>
    <row r="4232" spans="1:10" x14ac:dyDescent="0.25">
      <c r="A4232" s="608" t="s">
        <v>2082</v>
      </c>
      <c r="B4232" s="1" t="s">
        <v>2067</v>
      </c>
      <c r="C4232" s="1" t="s">
        <v>1288</v>
      </c>
      <c r="D4232" s="36" t="s">
        <v>4387</v>
      </c>
      <c r="E4232" s="1"/>
      <c r="F4232" s="442">
        <v>5.39</v>
      </c>
      <c r="G4232" s="520">
        <v>5.39</v>
      </c>
      <c r="H4232" s="13">
        <f t="shared" si="1630"/>
        <v>4.3099999999999996</v>
      </c>
      <c r="I4232" s="692"/>
      <c r="J4232" s="669" t="s">
        <v>5805</v>
      </c>
    </row>
    <row r="4233" spans="1:10" x14ac:dyDescent="0.25">
      <c r="A4233" s="610" t="s">
        <v>5533</v>
      </c>
      <c r="B4233" s="17" t="s">
        <v>2067</v>
      </c>
      <c r="C4233" s="17" t="s">
        <v>1288</v>
      </c>
      <c r="D4233" s="21" t="s">
        <v>4386</v>
      </c>
      <c r="E4233" s="17"/>
      <c r="F4233" s="444">
        <v>9.23</v>
      </c>
      <c r="G4233" s="519">
        <v>9.23</v>
      </c>
      <c r="H4233" s="18">
        <f t="shared" si="1630"/>
        <v>7.38</v>
      </c>
      <c r="I4233" s="694"/>
      <c r="J4233" s="669" t="s">
        <v>5805</v>
      </c>
    </row>
    <row r="4234" spans="1:10" x14ac:dyDescent="0.25">
      <c r="A4234" s="610" t="s">
        <v>5534</v>
      </c>
      <c r="B4234" s="17" t="s">
        <v>2067</v>
      </c>
      <c r="C4234" s="17" t="s">
        <v>1288</v>
      </c>
      <c r="D4234" s="21" t="s">
        <v>929</v>
      </c>
      <c r="E4234" s="17"/>
      <c r="F4234" s="444">
        <v>6.09</v>
      </c>
      <c r="G4234" s="519">
        <v>6.09</v>
      </c>
      <c r="H4234" s="18">
        <f t="shared" si="1630"/>
        <v>4.87</v>
      </c>
      <c r="I4234" s="694"/>
      <c r="J4234" s="669" t="s">
        <v>5805</v>
      </c>
    </row>
    <row r="4235" spans="1:10" x14ac:dyDescent="0.25">
      <c r="A4235" s="608"/>
      <c r="B4235" s="2"/>
      <c r="C4235" s="1"/>
      <c r="D4235" s="2"/>
      <c r="E4235" s="1"/>
      <c r="F4235" s="442"/>
      <c r="G4235" s="520"/>
      <c r="H4235" s="13" t="str">
        <f t="shared" si="1630"/>
        <v/>
      </c>
      <c r="I4235" s="692"/>
      <c r="J4235" s="669" t="s">
        <v>4180</v>
      </c>
    </row>
    <row r="4236" spans="1:10" x14ac:dyDescent="0.25">
      <c r="A4236" s="608" t="s">
        <v>4586</v>
      </c>
      <c r="B4236" s="2" t="s">
        <v>2067</v>
      </c>
      <c r="C4236" s="1" t="s">
        <v>1296</v>
      </c>
      <c r="D4236" s="34" t="s">
        <v>4385</v>
      </c>
      <c r="E4236" s="1"/>
      <c r="F4236" s="442">
        <v>8.36</v>
      </c>
      <c r="G4236" s="520">
        <v>8.36</v>
      </c>
      <c r="H4236" s="13">
        <f t="shared" si="1630"/>
        <v>6.69</v>
      </c>
      <c r="I4236" s="692"/>
      <c r="J4236" s="669" t="s">
        <v>5805</v>
      </c>
    </row>
    <row r="4237" spans="1:10" x14ac:dyDescent="0.25">
      <c r="A4237" s="608" t="s">
        <v>4587</v>
      </c>
      <c r="B4237" s="2" t="s">
        <v>2067</v>
      </c>
      <c r="C4237" s="1" t="s">
        <v>1296</v>
      </c>
      <c r="D4237" s="34" t="s">
        <v>4387</v>
      </c>
      <c r="E4237" s="1"/>
      <c r="F4237" s="442">
        <v>5.28</v>
      </c>
      <c r="G4237" s="520">
        <v>5.28</v>
      </c>
      <c r="H4237" s="13">
        <f t="shared" si="1630"/>
        <v>4.22</v>
      </c>
      <c r="I4237" s="692"/>
      <c r="J4237" s="669" t="s">
        <v>5805</v>
      </c>
    </row>
    <row r="4238" spans="1:10" x14ac:dyDescent="0.25">
      <c r="A4238" s="610" t="s">
        <v>5535</v>
      </c>
      <c r="B4238" s="17" t="s">
        <v>2067</v>
      </c>
      <c r="C4238" s="17" t="s">
        <v>1296</v>
      </c>
      <c r="D4238" s="21" t="s">
        <v>4386</v>
      </c>
      <c r="E4238" s="17"/>
      <c r="F4238" s="444">
        <v>9.06</v>
      </c>
      <c r="G4238" s="519">
        <v>9.06</v>
      </c>
      <c r="H4238" s="18">
        <f t="shared" si="1630"/>
        <v>7.25</v>
      </c>
      <c r="I4238" s="694"/>
      <c r="J4238" s="669" t="s">
        <v>5805</v>
      </c>
    </row>
    <row r="4239" spans="1:10" x14ac:dyDescent="0.25">
      <c r="A4239" s="610" t="s">
        <v>5536</v>
      </c>
      <c r="B4239" s="17" t="s">
        <v>2067</v>
      </c>
      <c r="C4239" s="17" t="s">
        <v>1296</v>
      </c>
      <c r="D4239" s="21" t="s">
        <v>929</v>
      </c>
      <c r="E4239" s="17"/>
      <c r="F4239" s="444">
        <v>5.98</v>
      </c>
      <c r="G4239" s="519">
        <v>5.98</v>
      </c>
      <c r="H4239" s="18">
        <f t="shared" si="1630"/>
        <v>4.78</v>
      </c>
      <c r="I4239" s="694"/>
      <c r="J4239" s="669" t="s">
        <v>5805</v>
      </c>
    </row>
    <row r="4240" spans="1:10" x14ac:dyDescent="0.25">
      <c r="A4240" s="608"/>
      <c r="B4240" s="2"/>
      <c r="C4240" s="1"/>
      <c r="D4240" s="2"/>
      <c r="E4240" s="1"/>
      <c r="F4240" s="442"/>
      <c r="G4240" s="520"/>
      <c r="H4240" s="13" t="str">
        <f t="shared" si="1630"/>
        <v/>
      </c>
      <c r="I4240" s="692"/>
      <c r="J4240" s="669" t="s">
        <v>4180</v>
      </c>
    </row>
    <row r="4241" spans="1:33" x14ac:dyDescent="0.25">
      <c r="A4241" s="608" t="s">
        <v>925</v>
      </c>
      <c r="B4241" s="2" t="s">
        <v>2067</v>
      </c>
      <c r="C4241" s="1" t="s">
        <v>1304</v>
      </c>
      <c r="D4241" s="34" t="s">
        <v>4385</v>
      </c>
      <c r="E4241" s="1"/>
      <c r="F4241" s="442">
        <v>8.19</v>
      </c>
      <c r="G4241" s="520">
        <v>8.19</v>
      </c>
      <c r="H4241" s="13">
        <f t="shared" si="1630"/>
        <v>6.55</v>
      </c>
      <c r="I4241" s="692"/>
      <c r="J4241" s="669" t="s">
        <v>5805</v>
      </c>
    </row>
    <row r="4242" spans="1:33" x14ac:dyDescent="0.25">
      <c r="A4242" s="608" t="s">
        <v>926</v>
      </c>
      <c r="B4242" s="2" t="s">
        <v>2067</v>
      </c>
      <c r="C4242" s="1" t="s">
        <v>1304</v>
      </c>
      <c r="D4242" s="34" t="s">
        <v>4387</v>
      </c>
      <c r="E4242" s="1"/>
      <c r="F4242" s="442">
        <v>5.17</v>
      </c>
      <c r="G4242" s="520">
        <v>5.17</v>
      </c>
      <c r="H4242" s="13">
        <f t="shared" si="1630"/>
        <v>4.1399999999999997</v>
      </c>
      <c r="I4242" s="692"/>
      <c r="J4242" s="669" t="s">
        <v>5805</v>
      </c>
    </row>
    <row r="4243" spans="1:33" x14ac:dyDescent="0.25">
      <c r="A4243" s="610" t="s">
        <v>5537</v>
      </c>
      <c r="B4243" s="17" t="s">
        <v>2067</v>
      </c>
      <c r="C4243" s="17" t="s">
        <v>1304</v>
      </c>
      <c r="D4243" s="21" t="s">
        <v>4386</v>
      </c>
      <c r="E4243" s="17"/>
      <c r="F4243" s="444">
        <v>8.89</v>
      </c>
      <c r="G4243" s="519">
        <v>8.89</v>
      </c>
      <c r="H4243" s="18">
        <f t="shared" si="1630"/>
        <v>7.11</v>
      </c>
      <c r="I4243" s="694"/>
      <c r="J4243" s="669" t="s">
        <v>5805</v>
      </c>
    </row>
    <row r="4244" spans="1:33" x14ac:dyDescent="0.25">
      <c r="A4244" s="610" t="s">
        <v>5538</v>
      </c>
      <c r="B4244" s="17" t="s">
        <v>2067</v>
      </c>
      <c r="C4244" s="17" t="s">
        <v>1304</v>
      </c>
      <c r="D4244" s="21" t="s">
        <v>929</v>
      </c>
      <c r="E4244" s="17"/>
      <c r="F4244" s="444">
        <v>5.87</v>
      </c>
      <c r="G4244" s="519">
        <v>5.87</v>
      </c>
      <c r="H4244" s="18">
        <f t="shared" si="1630"/>
        <v>4.7</v>
      </c>
      <c r="I4244" s="694"/>
      <c r="J4244" s="669" t="s">
        <v>5805</v>
      </c>
    </row>
    <row r="4245" spans="1:33" x14ac:dyDescent="0.25">
      <c r="A4245" s="608"/>
      <c r="B4245" s="2"/>
      <c r="C4245" s="1"/>
      <c r="D4245" s="2"/>
      <c r="E4245" s="1"/>
      <c r="F4245" s="442"/>
      <c r="G4245" s="520"/>
      <c r="H4245" s="13" t="str">
        <f t="shared" si="1630"/>
        <v/>
      </c>
      <c r="I4245" s="692"/>
      <c r="J4245" s="669" t="s">
        <v>4180</v>
      </c>
    </row>
    <row r="4246" spans="1:33" x14ac:dyDescent="0.25">
      <c r="A4246" s="608" t="s">
        <v>735</v>
      </c>
      <c r="B4246" s="2" t="s">
        <v>2067</v>
      </c>
      <c r="C4246" s="1" t="s">
        <v>5540</v>
      </c>
      <c r="D4246" s="34" t="s">
        <v>4385</v>
      </c>
      <c r="E4246" s="1"/>
      <c r="F4246" s="442">
        <v>8.0299999999999994</v>
      </c>
      <c r="G4246" s="520">
        <v>8.0299999999999994</v>
      </c>
      <c r="H4246" s="13">
        <f t="shared" si="1630"/>
        <v>6.42</v>
      </c>
      <c r="I4246" s="692"/>
      <c r="J4246" s="669" t="s">
        <v>5805</v>
      </c>
    </row>
    <row r="4247" spans="1:33" x14ac:dyDescent="0.25">
      <c r="A4247" s="608" t="s">
        <v>736</v>
      </c>
      <c r="B4247" s="2" t="s">
        <v>2067</v>
      </c>
      <c r="C4247" s="1" t="s">
        <v>5540</v>
      </c>
      <c r="D4247" s="34" t="s">
        <v>4387</v>
      </c>
      <c r="E4247" s="1"/>
      <c r="F4247" s="442">
        <v>5.07</v>
      </c>
      <c r="G4247" s="520">
        <v>5.07</v>
      </c>
      <c r="H4247" s="13">
        <f t="shared" si="1630"/>
        <v>4.0599999999999996</v>
      </c>
      <c r="I4247" s="692"/>
      <c r="J4247" s="669" t="s">
        <v>5805</v>
      </c>
    </row>
    <row r="4248" spans="1:33" x14ac:dyDescent="0.25">
      <c r="A4248" s="610" t="s">
        <v>5539</v>
      </c>
      <c r="B4248" s="17" t="s">
        <v>2067</v>
      </c>
      <c r="C4248" s="17" t="s">
        <v>5540</v>
      </c>
      <c r="D4248" s="21" t="s">
        <v>4386</v>
      </c>
      <c r="E4248" s="17"/>
      <c r="F4248" s="444">
        <v>8.73</v>
      </c>
      <c r="G4248" s="519">
        <v>8.73</v>
      </c>
      <c r="H4248" s="18">
        <f t="shared" ref="H4248:H4279" si="1631">IF(ISNUMBER(G4248),ROUND(0.8*G4248,2),"")</f>
        <v>6.98</v>
      </c>
      <c r="I4248" s="694"/>
      <c r="J4248" s="669" t="s">
        <v>5805</v>
      </c>
    </row>
    <row r="4249" spans="1:33" x14ac:dyDescent="0.25">
      <c r="A4249" s="610" t="s">
        <v>2262</v>
      </c>
      <c r="B4249" s="17" t="s">
        <v>2067</v>
      </c>
      <c r="C4249" s="17" t="s">
        <v>5540</v>
      </c>
      <c r="D4249" s="21" t="s">
        <v>929</v>
      </c>
      <c r="E4249" s="17"/>
      <c r="F4249" s="444">
        <v>5.77</v>
      </c>
      <c r="G4249" s="519">
        <v>5.77</v>
      </c>
      <c r="H4249" s="18">
        <f t="shared" si="1631"/>
        <v>4.62</v>
      </c>
      <c r="I4249" s="694"/>
      <c r="J4249" s="669" t="s">
        <v>5805</v>
      </c>
    </row>
    <row r="4250" spans="1:33" x14ac:dyDescent="0.25">
      <c r="A4250" s="608"/>
      <c r="B4250" s="2"/>
      <c r="C4250" s="1"/>
      <c r="D4250" s="2"/>
      <c r="E4250" s="1"/>
      <c r="F4250" s="442"/>
      <c r="G4250" s="520"/>
      <c r="H4250" s="13" t="str">
        <f t="shared" si="1631"/>
        <v/>
      </c>
      <c r="I4250" s="692"/>
      <c r="J4250" s="669" t="s">
        <v>4180</v>
      </c>
    </row>
    <row r="4251" spans="1:33" ht="15.75" x14ac:dyDescent="0.25">
      <c r="A4251" s="609"/>
      <c r="B4251" s="1"/>
      <c r="C4251" s="1"/>
      <c r="D4251" s="2"/>
      <c r="E4251" s="1"/>
      <c r="F4251" s="442"/>
      <c r="G4251" s="520"/>
      <c r="H4251" s="13" t="str">
        <f t="shared" si="1631"/>
        <v/>
      </c>
      <c r="I4251" s="692"/>
      <c r="J4251" s="669" t="s">
        <v>4180</v>
      </c>
      <c r="K4251" s="29"/>
      <c r="M4251" s="68" t="s">
        <v>5498</v>
      </c>
      <c r="N4251" s="39"/>
      <c r="O4251" s="29"/>
      <c r="P4251" s="29"/>
    </row>
    <row r="4252" spans="1:33" x14ac:dyDescent="0.25">
      <c r="A4252" s="608"/>
      <c r="B4252" s="2"/>
      <c r="C4252" s="22"/>
      <c r="D4252" s="22"/>
      <c r="E4252" s="34"/>
      <c r="F4252" s="445"/>
      <c r="G4252" s="521"/>
      <c r="H4252" s="14" t="str">
        <f t="shared" si="1631"/>
        <v/>
      </c>
      <c r="I4252" s="695"/>
      <c r="J4252" s="669" t="s">
        <v>4180</v>
      </c>
      <c r="K4252" s="29"/>
      <c r="L4252" s="29"/>
      <c r="M4252" s="29"/>
      <c r="N4252" s="106"/>
      <c r="O4252" s="107" t="s">
        <v>1205</v>
      </c>
      <c r="P4252" s="106"/>
      <c r="Q4252" s="92"/>
      <c r="R4252" s="92"/>
      <c r="S4252" s="35"/>
      <c r="T4252" s="92"/>
      <c r="U4252" s="92"/>
      <c r="V4252" s="92"/>
      <c r="W4252" s="92"/>
      <c r="X4252" s="92"/>
      <c r="Y4252" s="92"/>
      <c r="Z4252" s="92"/>
      <c r="AA4252" s="92"/>
      <c r="AB4252" s="105"/>
      <c r="AC4252" s="92"/>
      <c r="AD4252" s="92"/>
      <c r="AE4252" s="12"/>
      <c r="AF4252" s="12"/>
      <c r="AG4252" s="12"/>
    </row>
    <row r="4253" spans="1:33" ht="34.5" x14ac:dyDescent="0.25">
      <c r="A4253" s="608"/>
      <c r="B4253" s="2"/>
      <c r="C4253" s="22"/>
      <c r="D4253" s="22"/>
      <c r="E4253" s="34"/>
      <c r="F4253" s="445"/>
      <c r="G4253" s="521"/>
      <c r="H4253" s="14" t="str">
        <f t="shared" si="1631"/>
        <v/>
      </c>
      <c r="I4253" s="695"/>
      <c r="J4253" s="669" t="s">
        <v>4180</v>
      </c>
      <c r="K4253" s="29"/>
      <c r="L4253" s="29"/>
      <c r="M4253" s="48" t="s">
        <v>2914</v>
      </c>
      <c r="N4253" s="51" t="s">
        <v>5499</v>
      </c>
      <c r="O4253" s="42" t="s">
        <v>558</v>
      </c>
      <c r="P4253" s="51" t="s">
        <v>560</v>
      </c>
      <c r="Q4253" s="118" t="s">
        <v>5490</v>
      </c>
      <c r="R4253" s="118"/>
      <c r="S4253" s="42"/>
      <c r="T4253" s="42"/>
      <c r="U4253" s="42"/>
      <c r="V4253" s="79"/>
      <c r="W4253" s="79"/>
      <c r="X4253" s="79"/>
      <c r="Y4253" s="79"/>
      <c r="Z4253" s="79"/>
      <c r="AA4253" s="79"/>
      <c r="AB4253" s="42"/>
      <c r="AC4253" s="42"/>
      <c r="AD4253" s="42"/>
      <c r="AE4253" s="12"/>
      <c r="AF4253" s="12"/>
      <c r="AG4253" s="12"/>
    </row>
    <row r="4254" spans="1:33" x14ac:dyDescent="0.25">
      <c r="A4254" s="608"/>
      <c r="B4254" s="2"/>
      <c r="C4254" s="22"/>
      <c r="D4254" s="22"/>
      <c r="E4254" s="34"/>
      <c r="F4254" s="445"/>
      <c r="G4254" s="521"/>
      <c r="H4254" s="14" t="str">
        <f t="shared" si="1631"/>
        <v/>
      </c>
      <c r="I4254" s="695"/>
      <c r="J4254" s="669" t="s">
        <v>4180</v>
      </c>
      <c r="K4254" s="29"/>
      <c r="L4254" s="29"/>
      <c r="M4254" s="274"/>
      <c r="N4254" s="51"/>
      <c r="O4254" s="42" t="s">
        <v>559</v>
      </c>
      <c r="P4254" s="51"/>
      <c r="Q4254" s="363">
        <v>0.01</v>
      </c>
      <c r="R4254" s="119"/>
      <c r="S4254" s="42"/>
      <c r="T4254" s="42"/>
      <c r="U4254" s="42"/>
      <c r="V4254" s="42"/>
      <c r="W4254" s="42"/>
      <c r="X4254" s="42"/>
      <c r="Y4254" s="42"/>
      <c r="Z4254" s="42"/>
      <c r="AA4254" s="42"/>
      <c r="AB4254" s="42"/>
      <c r="AC4254" s="42"/>
      <c r="AD4254" s="42"/>
      <c r="AE4254" s="12"/>
      <c r="AF4254" s="12"/>
      <c r="AG4254" s="12"/>
    </row>
    <row r="4255" spans="1:33" x14ac:dyDescent="0.25">
      <c r="A4255" s="609"/>
      <c r="B4255" s="1"/>
      <c r="C4255" s="1"/>
      <c r="D4255" s="2"/>
      <c r="E4255" s="1"/>
      <c r="F4255" s="442"/>
      <c r="G4255" s="520"/>
      <c r="H4255" s="13" t="str">
        <f t="shared" si="1631"/>
        <v/>
      </c>
      <c r="I4255" s="692"/>
      <c r="J4255" s="669" t="s">
        <v>4180</v>
      </c>
      <c r="L4255" s="116"/>
      <c r="M4255" s="47">
        <v>2009</v>
      </c>
      <c r="N4255" s="40"/>
      <c r="O4255" s="45">
        <v>0.5</v>
      </c>
      <c r="P4255" s="52">
        <v>0.5</v>
      </c>
      <c r="Q4255" s="93"/>
      <c r="R4255" s="41" t="str">
        <f>"Bonushöhe bei Inbetriebnahme in "&amp;M4255</f>
        <v>Bonushöhe bei Inbetriebnahme in 2009</v>
      </c>
      <c r="S4255" s="41"/>
      <c r="T4255" s="41"/>
      <c r="U4255" s="41"/>
      <c r="V4255" s="41"/>
      <c r="W4255" s="41"/>
      <c r="X4255" s="41"/>
      <c r="Y4255" s="41"/>
      <c r="Z4255" s="41"/>
      <c r="AA4255" s="41"/>
      <c r="AB4255" s="41"/>
      <c r="AC4255" s="41"/>
      <c r="AD4255" s="41"/>
    </row>
    <row r="4256" spans="1:33" x14ac:dyDescent="0.25">
      <c r="A4256" s="610" t="s">
        <v>4755</v>
      </c>
      <c r="B4256" s="17" t="s">
        <v>3374</v>
      </c>
      <c r="C4256" s="17" t="s">
        <v>5405</v>
      </c>
      <c r="D4256" s="17" t="s">
        <v>4385</v>
      </c>
      <c r="E4256" s="17"/>
      <c r="F4256" s="444">
        <v>9.1999999999999993</v>
      </c>
      <c r="G4256" s="519">
        <v>9.1999999999999993</v>
      </c>
      <c r="H4256" s="18">
        <f t="shared" si="1631"/>
        <v>7.36</v>
      </c>
      <c r="I4256" s="694"/>
      <c r="J4256" s="669" t="s">
        <v>5805</v>
      </c>
      <c r="L4256" s="70" t="str">
        <f>IF(F4256=M4256,"",FALSE)</f>
        <v/>
      </c>
      <c r="M4256" s="49">
        <f>N4256+SUMIF(O4256:Q4256,"x",O$4255:Q$4255)</f>
        <v>9.1999999999999993</v>
      </c>
      <c r="N4256" s="112">
        <v>9.1999999999999993</v>
      </c>
      <c r="O4256" s="113"/>
      <c r="P4256" s="112"/>
      <c r="Q4256" s="124"/>
    </row>
    <row r="4257" spans="1:33" x14ac:dyDescent="0.25">
      <c r="A4257" s="610" t="s">
        <v>4756</v>
      </c>
      <c r="B4257" s="17" t="s">
        <v>3374</v>
      </c>
      <c r="C4257" s="17" t="s">
        <v>5405</v>
      </c>
      <c r="D4257" s="17" t="s">
        <v>4386</v>
      </c>
      <c r="E4257" s="17"/>
      <c r="F4257" s="444">
        <v>9.6999999999999993</v>
      </c>
      <c r="G4257" s="519">
        <v>9.6999999999999993</v>
      </c>
      <c r="H4257" s="18">
        <f t="shared" si="1631"/>
        <v>7.76</v>
      </c>
      <c r="I4257" s="694"/>
      <c r="J4257" s="669" t="s">
        <v>5805</v>
      </c>
      <c r="L4257" s="70" t="str">
        <f>IF(F4257=M4257,"",FALSE)</f>
        <v/>
      </c>
      <c r="M4257" s="49">
        <f>N4257+SUMIF(O4257:Q4257,"x",O$4255:Q$4255)</f>
        <v>9.6999999999999993</v>
      </c>
      <c r="N4257" s="112">
        <v>9.1999999999999993</v>
      </c>
      <c r="O4257" s="113" t="s">
        <v>1017</v>
      </c>
      <c r="P4257" s="112"/>
    </row>
    <row r="4258" spans="1:33" x14ac:dyDescent="0.25">
      <c r="A4258" s="610" t="s">
        <v>4757</v>
      </c>
      <c r="B4258" s="17" t="s">
        <v>3374</v>
      </c>
      <c r="C4258" s="17" t="s">
        <v>5405</v>
      </c>
      <c r="D4258" s="17" t="s">
        <v>4387</v>
      </c>
      <c r="E4258" s="17"/>
      <c r="F4258" s="444">
        <v>5.0199999999999996</v>
      </c>
      <c r="G4258" s="519">
        <v>5.0199999999999996</v>
      </c>
      <c r="H4258" s="18">
        <f t="shared" si="1631"/>
        <v>4.0199999999999996</v>
      </c>
      <c r="I4258" s="694"/>
      <c r="J4258" s="669" t="s">
        <v>5805</v>
      </c>
      <c r="L4258" s="70" t="str">
        <f>IF(F4258=M4258,"",FALSE)</f>
        <v/>
      </c>
      <c r="M4258" s="49">
        <f>N4258+SUMIF(O4258:Q4258,"x",O$4255:Q$4255)</f>
        <v>5.0199999999999996</v>
      </c>
      <c r="N4258" s="112">
        <v>5.0199999999999996</v>
      </c>
      <c r="O4258" s="113"/>
      <c r="P4258" s="112"/>
      <c r="Q4258" s="124"/>
    </row>
    <row r="4259" spans="1:33" x14ac:dyDescent="0.25">
      <c r="A4259" s="609"/>
      <c r="B4259" s="1"/>
      <c r="C4259" s="1"/>
      <c r="D4259" s="2"/>
      <c r="E4259" s="1"/>
      <c r="F4259" s="442"/>
      <c r="G4259" s="520"/>
      <c r="H4259" s="13" t="str">
        <f t="shared" si="1631"/>
        <v/>
      </c>
      <c r="I4259" s="692"/>
      <c r="J4259" s="669" t="s">
        <v>4180</v>
      </c>
      <c r="L4259" s="116"/>
      <c r="M4259" s="358">
        <v>2010</v>
      </c>
      <c r="N4259" s="351"/>
      <c r="O4259" s="352">
        <f>ROUND(O$4255*(1-$Q$4254)^($M4259-$M$4255),2)</f>
        <v>0.5</v>
      </c>
      <c r="P4259" s="351">
        <f>ROUND(P$4255*(1-$Q$4254)^($M4259-$M$4255),2)</f>
        <v>0.5</v>
      </c>
      <c r="Q4259" s="93"/>
      <c r="R4259" s="41" t="str">
        <f>"Bonushöhe bei Inbetriebnahme in "&amp;M4259</f>
        <v>Bonushöhe bei Inbetriebnahme in 2010</v>
      </c>
      <c r="S4259" s="41"/>
      <c r="T4259" s="41"/>
      <c r="U4259" s="41"/>
      <c r="V4259" s="41"/>
      <c r="W4259" s="41"/>
      <c r="X4259" s="41"/>
      <c r="Y4259" s="41"/>
      <c r="Z4259" s="41"/>
      <c r="AA4259" s="41"/>
      <c r="AB4259" s="41"/>
      <c r="AC4259" s="41"/>
      <c r="AD4259" s="41"/>
    </row>
    <row r="4260" spans="1:33" x14ac:dyDescent="0.25">
      <c r="A4260" s="610" t="s">
        <v>561</v>
      </c>
      <c r="B4260" s="17" t="s">
        <v>3374</v>
      </c>
      <c r="C4260" s="30" t="s">
        <v>2385</v>
      </c>
      <c r="D4260" s="17" t="s">
        <v>4385</v>
      </c>
      <c r="E4260" s="17"/>
      <c r="F4260" s="444">
        <v>9.11</v>
      </c>
      <c r="G4260" s="519">
        <v>9.11</v>
      </c>
      <c r="H4260" s="18">
        <f t="shared" si="1631"/>
        <v>7.29</v>
      </c>
      <c r="I4260" s="694"/>
      <c r="J4260" s="669" t="s">
        <v>5805</v>
      </c>
      <c r="L4260" s="70" t="str">
        <f>IF(F4260=M4260,"",FALSE)</f>
        <v/>
      </c>
      <c r="M4260" s="49">
        <f>N4260+SUMIF(O4260:Q4260,"x",O$4255:Q$4255)</f>
        <v>9.11</v>
      </c>
      <c r="N4260" s="112">
        <f>ROUND(N4256*(1-$Q$4254),2)</f>
        <v>9.11</v>
      </c>
      <c r="O4260" s="113"/>
      <c r="P4260" s="112"/>
      <c r="Q4260" s="124"/>
    </row>
    <row r="4261" spans="1:33" x14ac:dyDescent="0.25">
      <c r="A4261" s="610" t="s">
        <v>562</v>
      </c>
      <c r="B4261" s="17" t="s">
        <v>3374</v>
      </c>
      <c r="C4261" s="30" t="s">
        <v>2385</v>
      </c>
      <c r="D4261" s="17" t="s">
        <v>4386</v>
      </c>
      <c r="E4261" s="17"/>
      <c r="F4261" s="444">
        <v>9.61</v>
      </c>
      <c r="G4261" s="519">
        <v>9.61</v>
      </c>
      <c r="H4261" s="18">
        <f t="shared" si="1631"/>
        <v>7.69</v>
      </c>
      <c r="I4261" s="694"/>
      <c r="J4261" s="669" t="s">
        <v>5805</v>
      </c>
      <c r="L4261" s="70" t="str">
        <f>IF(F4261=M4261,"",FALSE)</f>
        <v/>
      </c>
      <c r="M4261" s="49">
        <f>N4261+SUMIF(O4261:Q4261,"x",O$4255:Q$4255)</f>
        <v>9.61</v>
      </c>
      <c r="N4261" s="112">
        <f>ROUND(N4257*(1-$Q$4254),2)</f>
        <v>9.11</v>
      </c>
      <c r="O4261" s="113" t="s">
        <v>1017</v>
      </c>
      <c r="P4261" s="112"/>
    </row>
    <row r="4262" spans="1:33" x14ac:dyDescent="0.25">
      <c r="A4262" s="610" t="s">
        <v>563</v>
      </c>
      <c r="B4262" s="17" t="s">
        <v>3374</v>
      </c>
      <c r="C4262" s="30" t="s">
        <v>2385</v>
      </c>
      <c r="D4262" s="17" t="s">
        <v>4387</v>
      </c>
      <c r="E4262" s="17"/>
      <c r="F4262" s="444">
        <v>4.97</v>
      </c>
      <c r="G4262" s="519">
        <v>4.97</v>
      </c>
      <c r="H4262" s="18">
        <f t="shared" si="1631"/>
        <v>3.98</v>
      </c>
      <c r="I4262" s="694"/>
      <c r="J4262" s="669" t="s">
        <v>5805</v>
      </c>
      <c r="L4262" s="70" t="str">
        <f>IF(F4262=M4262,"",FALSE)</f>
        <v/>
      </c>
      <c r="M4262" s="59">
        <f>N4262+SUMIF(O4262:Q4262,"x",O$4255:Q$4255)</f>
        <v>4.97</v>
      </c>
      <c r="N4262" s="114">
        <f>ROUND(N4258*(1-$Q$4254),2)</f>
        <v>4.97</v>
      </c>
      <c r="O4262" s="113"/>
      <c r="P4262" s="112"/>
      <c r="Q4262" s="124"/>
      <c r="R4262" s="92"/>
    </row>
    <row r="4263" spans="1:33" x14ac:dyDescent="0.25">
      <c r="A4263" s="608"/>
      <c r="B4263" s="2"/>
      <c r="C4263" s="1"/>
      <c r="D4263" s="2"/>
      <c r="E4263" s="1"/>
      <c r="F4263" s="442"/>
      <c r="G4263" s="520"/>
      <c r="H4263" s="13" t="str">
        <f t="shared" si="1631"/>
        <v/>
      </c>
      <c r="I4263" s="692"/>
      <c r="J4263" s="669" t="s">
        <v>4180</v>
      </c>
      <c r="M4263" s="358">
        <v>2011</v>
      </c>
      <c r="N4263" s="358"/>
      <c r="O4263" s="352">
        <f>ROUND(O$4255*(1-$Q$4254)^($M4263-$M$4255),2)</f>
        <v>0.49</v>
      </c>
      <c r="P4263" s="353">
        <f>ROUND(P$4255*(1-$Q$4254)^($M4263-$M$4255),2)</f>
        <v>0.49</v>
      </c>
      <c r="Q4263" s="124"/>
      <c r="R4263" s="41" t="str">
        <f>"Bonushöhe bei Inbetriebnahme in "&amp;M4263</f>
        <v>Bonushöhe bei Inbetriebnahme in 2011</v>
      </c>
    </row>
    <row r="4264" spans="1:33" x14ac:dyDescent="0.25">
      <c r="A4264" s="610" t="str">
        <f>LEFT(A4260,12)&amp;($M$4263-2000)</f>
        <v>WnK290------11</v>
      </c>
      <c r="B4264" s="17" t="s">
        <v>3374</v>
      </c>
      <c r="C4264" s="30" t="str">
        <f>"Inbetriebnahme "&amp;$M$4263</f>
        <v>Inbetriebnahme 2011</v>
      </c>
      <c r="D4264" s="17" t="s">
        <v>4385</v>
      </c>
      <c r="E4264" s="17"/>
      <c r="F4264" s="444">
        <f>M4264</f>
        <v>9.02</v>
      </c>
      <c r="G4264" s="519">
        <v>9.02</v>
      </c>
      <c r="H4264" s="18">
        <f t="shared" si="1631"/>
        <v>7.22</v>
      </c>
      <c r="I4264" s="694"/>
      <c r="J4264" s="669" t="s">
        <v>5805</v>
      </c>
      <c r="L4264" s="70" t="str">
        <f>IF(F4264=M4264,"",FALSE)</f>
        <v/>
      </c>
      <c r="M4264" s="49">
        <f>N4264+SUMIF(O4264:Q4264,"x",O$4263:Q$4263)</f>
        <v>9.02</v>
      </c>
      <c r="N4264" s="112">
        <f>ROUND(N4256*(1-$Q$4254)^($M$4263-$M$4255),2)</f>
        <v>9.02</v>
      </c>
      <c r="O4264" s="113"/>
      <c r="P4264" s="112"/>
      <c r="Q4264" s="124"/>
    </row>
    <row r="4265" spans="1:33" x14ac:dyDescent="0.25">
      <c r="A4265" s="610" t="str">
        <f>LEFT(A4261,12)&amp;($M$4263-2000)</f>
        <v>WnK290S-----11</v>
      </c>
      <c r="B4265" s="17" t="s">
        <v>3374</v>
      </c>
      <c r="C4265" s="30" t="str">
        <f>"Inbetriebnahme "&amp;$M$4263</f>
        <v>Inbetriebnahme 2011</v>
      </c>
      <c r="D4265" s="17" t="s">
        <v>4386</v>
      </c>
      <c r="E4265" s="17"/>
      <c r="F4265" s="444">
        <f>M4265</f>
        <v>9.51</v>
      </c>
      <c r="G4265" s="519">
        <v>9.51</v>
      </c>
      <c r="H4265" s="18">
        <f t="shared" si="1631"/>
        <v>7.61</v>
      </c>
      <c r="I4265" s="694"/>
      <c r="J4265" s="669" t="s">
        <v>5805</v>
      </c>
      <c r="L4265" s="70" t="str">
        <f>IF(F4265=M4265,"",FALSE)</f>
        <v/>
      </c>
      <c r="M4265" s="49">
        <f>N4265+SUMIF(O4265:Q4265,"x",O$4263:Q$4263)</f>
        <v>9.51</v>
      </c>
      <c r="N4265" s="112">
        <f>ROUND(N4257*(1-$Q$4254)^($M$4263-$M$4255),2)</f>
        <v>9.02</v>
      </c>
      <c r="O4265" s="113" t="s">
        <v>1017</v>
      </c>
      <c r="P4265" s="112"/>
    </row>
    <row r="4266" spans="1:33" x14ac:dyDescent="0.25">
      <c r="A4266" s="610" t="str">
        <f>LEFT(A4262,12)&amp;($M$4263-2000)</f>
        <v>WnK291------11</v>
      </c>
      <c r="B4266" s="17" t="s">
        <v>3374</v>
      </c>
      <c r="C4266" s="30" t="str">
        <f>"Inbetriebnahme "&amp;$M$4263</f>
        <v>Inbetriebnahme 2011</v>
      </c>
      <c r="D4266" s="17" t="s">
        <v>4387</v>
      </c>
      <c r="E4266" s="17"/>
      <c r="F4266" s="444">
        <f>M4266</f>
        <v>4.92</v>
      </c>
      <c r="G4266" s="519">
        <v>4.92</v>
      </c>
      <c r="H4266" s="18">
        <f t="shared" si="1631"/>
        <v>3.94</v>
      </c>
      <c r="I4266" s="694"/>
      <c r="J4266" s="669" t="s">
        <v>5805</v>
      </c>
      <c r="L4266" s="70" t="str">
        <f>IF(F4266=M4266,"",FALSE)</f>
        <v/>
      </c>
      <c r="M4266" s="59">
        <f>N4266+SUMIF(O4266:Q4266,"x",O$4263:Q$4263)</f>
        <v>4.92</v>
      </c>
      <c r="N4266" s="114">
        <f>ROUND(N4258*(1-$Q$4254)^($M$4263-$M$4255),2)</f>
        <v>4.92</v>
      </c>
      <c r="O4266" s="115"/>
      <c r="P4266" s="114"/>
      <c r="Q4266" s="124"/>
    </row>
    <row r="4267" spans="1:33" x14ac:dyDescent="0.25">
      <c r="A4267" s="608"/>
      <c r="B4267" s="2"/>
      <c r="C4267" s="1"/>
      <c r="D4267" s="2"/>
      <c r="E4267" s="1"/>
      <c r="F4267" s="442"/>
      <c r="G4267" s="520"/>
      <c r="H4267" s="13" t="str">
        <f t="shared" si="1631"/>
        <v/>
      </c>
      <c r="I4267" s="692"/>
      <c r="J4267" s="669" t="s">
        <v>4180</v>
      </c>
    </row>
    <row r="4268" spans="1:33" ht="15.75" x14ac:dyDescent="0.25">
      <c r="A4268" s="609"/>
      <c r="B4268" s="1"/>
      <c r="C4268" s="1"/>
      <c r="D4268" s="2"/>
      <c r="E4268" s="1"/>
      <c r="F4268" s="442"/>
      <c r="G4268" s="520"/>
      <c r="H4268" s="13" t="str">
        <f t="shared" si="1631"/>
        <v/>
      </c>
      <c r="I4268" s="692"/>
      <c r="J4268" s="669" t="s">
        <v>4180</v>
      </c>
      <c r="K4268" s="29"/>
      <c r="M4268" s="68" t="s">
        <v>506</v>
      </c>
      <c r="N4268" s="39"/>
      <c r="O4268" s="29"/>
      <c r="P4268" s="29"/>
    </row>
    <row r="4269" spans="1:33" x14ac:dyDescent="0.25">
      <c r="A4269" s="608"/>
      <c r="B4269" s="2"/>
      <c r="C4269" s="22"/>
      <c r="D4269" s="22"/>
      <c r="E4269" s="34"/>
      <c r="F4269" s="445"/>
      <c r="G4269" s="521"/>
      <c r="H4269" s="14" t="str">
        <f t="shared" si="1631"/>
        <v/>
      </c>
      <c r="I4269" s="695"/>
      <c r="J4269" s="669" t="s">
        <v>4180</v>
      </c>
      <c r="K4269" s="29"/>
      <c r="L4269" s="29"/>
      <c r="M4269" s="29"/>
      <c r="N4269" s="106"/>
      <c r="O4269" s="107" t="s">
        <v>1205</v>
      </c>
      <c r="P4269" s="106"/>
      <c r="Q4269" s="92"/>
      <c r="R4269" s="92"/>
      <c r="S4269" s="35"/>
      <c r="T4269" s="92"/>
      <c r="U4269" s="92"/>
      <c r="V4269" s="92"/>
      <c r="W4269" s="92"/>
      <c r="X4269" s="92"/>
      <c r="Y4269" s="92"/>
      <c r="Z4269" s="92"/>
      <c r="AA4269" s="92"/>
      <c r="AB4269" s="105"/>
      <c r="AC4269" s="92"/>
      <c r="AD4269" s="92"/>
      <c r="AE4269" s="12"/>
      <c r="AF4269" s="12"/>
      <c r="AG4269" s="12"/>
    </row>
    <row r="4270" spans="1:33" ht="34.5" x14ac:dyDescent="0.25">
      <c r="A4270" s="608"/>
      <c r="B4270" s="2"/>
      <c r="C4270" s="22"/>
      <c r="D4270" s="22"/>
      <c r="E4270" s="34"/>
      <c r="F4270" s="445"/>
      <c r="G4270" s="521"/>
      <c r="H4270" s="14" t="str">
        <f t="shared" si="1631"/>
        <v/>
      </c>
      <c r="I4270" s="695"/>
      <c r="J4270" s="669" t="s">
        <v>4180</v>
      </c>
      <c r="K4270" s="29"/>
      <c r="L4270" s="29"/>
      <c r="M4270" s="48" t="s">
        <v>2914</v>
      </c>
      <c r="N4270" s="51" t="s">
        <v>507</v>
      </c>
      <c r="O4270" s="42" t="s">
        <v>558</v>
      </c>
      <c r="P4270" s="51" t="s">
        <v>560</v>
      </c>
      <c r="Q4270" s="118" t="s">
        <v>5490</v>
      </c>
      <c r="R4270" s="118"/>
      <c r="S4270" s="42"/>
      <c r="T4270" s="42"/>
      <c r="U4270" s="42"/>
      <c r="V4270" s="79"/>
      <c r="W4270" s="79"/>
      <c r="X4270" s="79"/>
      <c r="Y4270" s="79"/>
      <c r="Z4270" s="79"/>
      <c r="AA4270" s="79"/>
      <c r="AB4270" s="42"/>
      <c r="AC4270" s="42"/>
      <c r="AD4270" s="42"/>
      <c r="AE4270" s="12"/>
      <c r="AF4270" s="12"/>
      <c r="AG4270" s="12"/>
    </row>
    <row r="4271" spans="1:33" x14ac:dyDescent="0.25">
      <c r="A4271" s="608"/>
      <c r="B4271" s="2"/>
      <c r="C4271" s="22"/>
      <c r="D4271" s="22"/>
      <c r="E4271" s="34"/>
      <c r="F4271" s="445"/>
      <c r="G4271" s="521"/>
      <c r="H4271" s="14" t="str">
        <f t="shared" si="1631"/>
        <v/>
      </c>
      <c r="I4271" s="695"/>
      <c r="J4271" s="669" t="s">
        <v>4180</v>
      </c>
      <c r="K4271" s="29"/>
      <c r="L4271" s="29"/>
      <c r="M4271" s="274"/>
      <c r="N4271" s="51"/>
      <c r="O4271" s="42" t="s">
        <v>559</v>
      </c>
      <c r="P4271" s="42"/>
      <c r="Q4271" s="363">
        <v>1.4999999999999999E-2</v>
      </c>
      <c r="R4271" s="119"/>
      <c r="S4271" s="42"/>
      <c r="T4271" s="42"/>
      <c r="U4271" s="42"/>
      <c r="V4271" s="42"/>
      <c r="W4271" s="42"/>
      <c r="X4271" s="42"/>
      <c r="Y4271" s="42"/>
      <c r="Z4271" s="42"/>
      <c r="AA4271" s="42"/>
      <c r="AB4271" s="42"/>
      <c r="AC4271" s="42"/>
      <c r="AD4271" s="42"/>
      <c r="AE4271" s="12"/>
      <c r="AF4271" s="12"/>
      <c r="AG4271" s="12"/>
    </row>
    <row r="4272" spans="1:33" x14ac:dyDescent="0.25">
      <c r="A4272" s="609"/>
      <c r="B4272" s="1"/>
      <c r="C4272" s="1"/>
      <c r="D4272" s="2"/>
      <c r="E4272" s="1"/>
      <c r="F4272" s="442"/>
      <c r="G4272" s="520"/>
      <c r="H4272" s="13" t="str">
        <f t="shared" si="1631"/>
        <v/>
      </c>
      <c r="I4272" s="692"/>
      <c r="J4272" s="669" t="s">
        <v>4180</v>
      </c>
      <c r="L4272" s="116"/>
      <c r="M4272" s="47">
        <v>2012</v>
      </c>
      <c r="N4272" s="40"/>
      <c r="O4272" s="45">
        <v>0.48</v>
      </c>
      <c r="P4272" s="40">
        <v>0.5</v>
      </c>
      <c r="Q4272" s="93"/>
      <c r="S4272" s="41"/>
      <c r="T4272" s="41" t="str">
        <f>"Bonushöhe bei Inbetriebnahme in "&amp;M4272</f>
        <v>Bonushöhe bei Inbetriebnahme in 2012</v>
      </c>
      <c r="U4272" s="41"/>
      <c r="V4272" s="41"/>
      <c r="W4272" s="41"/>
      <c r="X4272" s="41"/>
      <c r="Y4272" s="41"/>
      <c r="Z4272" s="41"/>
      <c r="AA4272" s="41"/>
      <c r="AB4272" s="41"/>
      <c r="AC4272" s="41"/>
      <c r="AD4272" s="41"/>
    </row>
    <row r="4273" spans="1:33" x14ac:dyDescent="0.25">
      <c r="A4273" s="613" t="s">
        <v>4235</v>
      </c>
      <c r="B4273" s="283" t="s">
        <v>3374</v>
      </c>
      <c r="C4273" s="283" t="str">
        <f>"Inbetriebnahme "&amp;$M$4272</f>
        <v>Inbetriebnahme 2012</v>
      </c>
      <c r="D4273" s="283" t="s">
        <v>4385</v>
      </c>
      <c r="E4273" s="283"/>
      <c r="F4273" s="447">
        <f>M4273</f>
        <v>8.93</v>
      </c>
      <c r="G4273" s="523">
        <v>8.93</v>
      </c>
      <c r="H4273" s="286">
        <f t="shared" si="1631"/>
        <v>7.14</v>
      </c>
      <c r="I4273" s="697"/>
      <c r="J4273" s="669" t="s">
        <v>5805</v>
      </c>
      <c r="L4273" s="70" t="str">
        <f>IF(F4273=M4273,"",FALSE)</f>
        <v/>
      </c>
      <c r="M4273" s="49">
        <f>N4273+SUMIF(O4273:Q4273,"x",O$4272:Q$4272)</f>
        <v>8.93</v>
      </c>
      <c r="N4273" s="112">
        <v>8.93</v>
      </c>
      <c r="O4273" s="113"/>
      <c r="P4273" s="112"/>
      <c r="Q4273" s="124"/>
    </row>
    <row r="4274" spans="1:33" x14ac:dyDescent="0.25">
      <c r="A4274" s="613" t="s">
        <v>4236</v>
      </c>
      <c r="B4274" s="283" t="s">
        <v>3374</v>
      </c>
      <c r="C4274" s="283" t="str">
        <f>"Inbetriebnahme "&amp;$M$4272</f>
        <v>Inbetriebnahme 2012</v>
      </c>
      <c r="D4274" s="283" t="s">
        <v>4386</v>
      </c>
      <c r="E4274" s="283"/>
      <c r="F4274" s="447">
        <f>M4274</f>
        <v>9.41</v>
      </c>
      <c r="G4274" s="523">
        <v>9.41</v>
      </c>
      <c r="H4274" s="286">
        <f t="shared" si="1631"/>
        <v>7.53</v>
      </c>
      <c r="I4274" s="697"/>
      <c r="J4274" s="669" t="s">
        <v>5805</v>
      </c>
      <c r="L4274" s="70" t="str">
        <f>IF(F4274=M4274,"",FALSE)</f>
        <v/>
      </c>
      <c r="M4274" s="49">
        <f>N4274+SUMIF(O4274:Q4274,"x",O$4272:Q$4272)</f>
        <v>9.41</v>
      </c>
      <c r="N4274" s="112">
        <v>8.93</v>
      </c>
      <c r="O4274" s="113" t="s">
        <v>1017</v>
      </c>
      <c r="P4274" s="112"/>
    </row>
    <row r="4275" spans="1:33" x14ac:dyDescent="0.25">
      <c r="A4275" s="613" t="s">
        <v>4237</v>
      </c>
      <c r="B4275" s="283" t="s">
        <v>3374</v>
      </c>
      <c r="C4275" s="283" t="str">
        <f>"Inbetriebnahme "&amp;$M$4272</f>
        <v>Inbetriebnahme 2012</v>
      </c>
      <c r="D4275" s="283" t="s">
        <v>4387</v>
      </c>
      <c r="E4275" s="283"/>
      <c r="F4275" s="447">
        <f>M4275</f>
        <v>4.87</v>
      </c>
      <c r="G4275" s="523">
        <v>4.87</v>
      </c>
      <c r="H4275" s="286">
        <f t="shared" si="1631"/>
        <v>3.9</v>
      </c>
      <c r="I4275" s="697"/>
      <c r="J4275" s="669" t="s">
        <v>5805</v>
      </c>
      <c r="L4275" s="70" t="str">
        <f>IF(F4275=M4275,"",FALSE)</f>
        <v/>
      </c>
      <c r="M4275" s="49">
        <f>N4275+SUMIF(O4275:Q4275,"x",O$4272:Q$4272)</f>
        <v>4.87</v>
      </c>
      <c r="N4275" s="112">
        <v>4.87</v>
      </c>
      <c r="O4275" s="113"/>
      <c r="P4275" s="112"/>
      <c r="Q4275" s="124"/>
    </row>
    <row r="4276" spans="1:33" x14ac:dyDescent="0.25">
      <c r="A4276" s="609"/>
      <c r="B4276" s="1"/>
      <c r="C4276" s="1"/>
      <c r="D4276" s="2"/>
      <c r="E4276" s="1"/>
      <c r="F4276" s="442"/>
      <c r="G4276" s="520"/>
      <c r="H4276" s="13" t="str">
        <f t="shared" si="1631"/>
        <v/>
      </c>
      <c r="I4276" s="692"/>
      <c r="J4276" s="669" t="s">
        <v>4180</v>
      </c>
      <c r="L4276" s="116"/>
      <c r="M4276" s="358">
        <v>2013</v>
      </c>
      <c r="N4276" s="351"/>
      <c r="O4276" s="352">
        <f>ROUND(R4276,2)</f>
        <v>0.47</v>
      </c>
      <c r="P4276" s="353">
        <f>ROUND(S4276,2)</f>
        <v>0.49</v>
      </c>
      <c r="Q4276" s="93"/>
      <c r="R4276" s="415">
        <f>O4272*(1-$Q$4271)</f>
        <v>0.4728</v>
      </c>
      <c r="S4276" s="415">
        <f>P4272*(1-$Q$4271)</f>
        <v>0.49249999999999999</v>
      </c>
      <c r="T4276" s="41" t="str">
        <f>"Bonushöhe bei Inbetriebnahme in "&amp;M4276</f>
        <v>Bonushöhe bei Inbetriebnahme in 2013</v>
      </c>
      <c r="U4276" s="41"/>
      <c r="V4276" s="41"/>
      <c r="W4276" s="41"/>
      <c r="X4276" s="41"/>
      <c r="Y4276" s="41"/>
      <c r="Z4276" s="41"/>
      <c r="AA4276" s="41"/>
      <c r="AB4276" s="41"/>
      <c r="AC4276" s="41"/>
      <c r="AD4276" s="41"/>
    </row>
    <row r="4277" spans="1:33" x14ac:dyDescent="0.25">
      <c r="A4277" s="615" t="s">
        <v>4704</v>
      </c>
      <c r="B4277" s="372" t="s">
        <v>3374</v>
      </c>
      <c r="C4277" s="372" t="str">
        <f>"Inbetriebnahme "&amp;$M$4276</f>
        <v>Inbetriebnahme 2013</v>
      </c>
      <c r="D4277" s="372" t="s">
        <v>4385</v>
      </c>
      <c r="E4277" s="372"/>
      <c r="F4277" s="449">
        <f>M4277</f>
        <v>8.8000000000000007</v>
      </c>
      <c r="G4277" s="525">
        <v>8.8000000000000007</v>
      </c>
      <c r="H4277" s="374">
        <f t="shared" si="1631"/>
        <v>7.04</v>
      </c>
      <c r="I4277" s="699"/>
      <c r="J4277" s="669" t="s">
        <v>5805</v>
      </c>
      <c r="L4277" s="70" t="str">
        <f>IF(F4277=M4277,"",FALSE)</f>
        <v/>
      </c>
      <c r="M4277" s="49">
        <f>ROUND(N4277,2)+SUMIF(O4277:Q4277,"x",O$4276:Q$4276)</f>
        <v>8.8000000000000007</v>
      </c>
      <c r="N4277" s="349">
        <f>N4273*(1-$Q$4271)</f>
        <v>8.7960499999999993</v>
      </c>
      <c r="O4277" s="113"/>
      <c r="P4277" s="112"/>
      <c r="Q4277" s="124"/>
    </row>
    <row r="4278" spans="1:33" x14ac:dyDescent="0.25">
      <c r="A4278" s="615" t="s">
        <v>2188</v>
      </c>
      <c r="B4278" s="372" t="s">
        <v>3374</v>
      </c>
      <c r="C4278" s="372" t="str">
        <f>"Inbetriebnahme "&amp;$M$4276</f>
        <v>Inbetriebnahme 2013</v>
      </c>
      <c r="D4278" s="372" t="s">
        <v>4386</v>
      </c>
      <c r="E4278" s="372"/>
      <c r="F4278" s="449">
        <f>M4278</f>
        <v>9.2700000000000014</v>
      </c>
      <c r="G4278" s="525">
        <v>9.2700000000000014</v>
      </c>
      <c r="H4278" s="374">
        <f t="shared" si="1631"/>
        <v>7.42</v>
      </c>
      <c r="I4278" s="699"/>
      <c r="J4278" s="669" t="s">
        <v>5805</v>
      </c>
      <c r="L4278" s="70" t="str">
        <f>IF(F4278=M4278,"",FALSE)</f>
        <v/>
      </c>
      <c r="M4278" s="49">
        <f>ROUND(N4278,2)+SUMIF(O4278:Q4278,"x",O$4276:Q$4276)</f>
        <v>9.2700000000000014</v>
      </c>
      <c r="N4278" s="349">
        <f>N4274*(1-$Q$4271)</f>
        <v>8.7960499999999993</v>
      </c>
      <c r="O4278" s="113" t="s">
        <v>1017</v>
      </c>
      <c r="P4278" s="112"/>
    </row>
    <row r="4279" spans="1:33" x14ac:dyDescent="0.25">
      <c r="A4279" s="615" t="s">
        <v>2189</v>
      </c>
      <c r="B4279" s="372" t="s">
        <v>3374</v>
      </c>
      <c r="C4279" s="372" t="str">
        <f>"Inbetriebnahme "&amp;$M$4276</f>
        <v>Inbetriebnahme 2013</v>
      </c>
      <c r="D4279" s="372" t="s">
        <v>4387</v>
      </c>
      <c r="E4279" s="372"/>
      <c r="F4279" s="449">
        <f>M4279</f>
        <v>4.8</v>
      </c>
      <c r="G4279" s="525">
        <v>4.8</v>
      </c>
      <c r="H4279" s="374">
        <f t="shared" si="1631"/>
        <v>3.84</v>
      </c>
      <c r="I4279" s="699"/>
      <c r="J4279" s="669" t="s">
        <v>5805</v>
      </c>
      <c r="L4279" s="70" t="str">
        <f>IF(F4279=M4279,"",FALSE)</f>
        <v/>
      </c>
      <c r="M4279" s="59">
        <f>ROUND(N4279,2)+SUMIF(O4279:Q4279,"x",O$4276:Q$4276)</f>
        <v>4.8</v>
      </c>
      <c r="N4279" s="368">
        <f>N4275*(1-$Q$4271)</f>
        <v>4.7969499999999998</v>
      </c>
      <c r="O4279" s="115"/>
      <c r="P4279" s="114"/>
    </row>
    <row r="4280" spans="1:33" x14ac:dyDescent="0.25">
      <c r="A4280" s="609"/>
      <c r="B4280" s="1"/>
      <c r="C4280" s="1"/>
      <c r="D4280" s="2"/>
      <c r="E4280" s="1"/>
      <c r="F4280" s="442"/>
      <c r="G4280" s="520"/>
      <c r="H4280" s="13" t="str">
        <f t="shared" ref="H4280:H4301" si="1632">IF(ISNUMBER(G4280),ROUND(0.8*G4280,2),"")</f>
        <v/>
      </c>
      <c r="I4280" s="692"/>
      <c r="J4280" s="669" t="s">
        <v>4180</v>
      </c>
      <c r="L4280" s="116"/>
      <c r="M4280" s="358">
        <v>2014</v>
      </c>
      <c r="N4280" s="351"/>
      <c r="O4280" s="352">
        <f>ROUND(R4280,2)</f>
        <v>0.47</v>
      </c>
      <c r="P4280" s="353">
        <f>ROUND(S4280,2)</f>
        <v>0.49</v>
      </c>
      <c r="Q4280" s="93"/>
      <c r="R4280" s="415">
        <f>R4276*(1-$Q$4271)</f>
        <v>0.46570800000000001</v>
      </c>
      <c r="S4280" s="415">
        <f>S4276*(1-$Q$4271)</f>
        <v>0.4851125</v>
      </c>
      <c r="T4280" s="41" t="str">
        <f>"Bonushöhe bei Inbetriebnahme in "&amp;M4280</f>
        <v>Bonushöhe bei Inbetriebnahme in 2014</v>
      </c>
      <c r="U4280" s="41"/>
      <c r="V4280" s="41"/>
      <c r="W4280" s="41"/>
      <c r="X4280" s="41"/>
      <c r="Y4280" s="41"/>
      <c r="Z4280" s="41"/>
      <c r="AA4280" s="41"/>
      <c r="AB4280" s="41"/>
      <c r="AC4280" s="41"/>
      <c r="AD4280" s="41"/>
    </row>
    <row r="4281" spans="1:33" x14ac:dyDescent="0.25">
      <c r="A4281" s="615" t="s">
        <v>1672</v>
      </c>
      <c r="B4281" s="372" t="s">
        <v>3374</v>
      </c>
      <c r="C4281" s="372" t="str">
        <f>"Inbetriebnahme "&amp;$M$4280</f>
        <v>Inbetriebnahme 2014</v>
      </c>
      <c r="D4281" s="372" t="s">
        <v>4385</v>
      </c>
      <c r="E4281" s="372"/>
      <c r="F4281" s="449">
        <f>M4281</f>
        <v>8.66</v>
      </c>
      <c r="G4281" s="525">
        <v>8.66</v>
      </c>
      <c r="H4281" s="374">
        <f t="shared" si="1632"/>
        <v>6.93</v>
      </c>
      <c r="I4281" s="699"/>
      <c r="J4281" s="669" t="s">
        <v>5805</v>
      </c>
      <c r="L4281" s="70" t="str">
        <f>IF(F4281=M4281,"",FALSE)</f>
        <v/>
      </c>
      <c r="M4281" s="49">
        <f>ROUND(N4281,2)+SUMIF(O4281:Q4281,"x",O$4276:Q$4276)</f>
        <v>8.66</v>
      </c>
      <c r="N4281" s="349">
        <f>N4277*(1-$Q$4271)</f>
        <v>8.6641092499999992</v>
      </c>
      <c r="O4281" s="113"/>
      <c r="P4281" s="112"/>
      <c r="Q4281" s="124"/>
    </row>
    <row r="4282" spans="1:33" x14ac:dyDescent="0.25">
      <c r="A4282" s="615" t="s">
        <v>1673</v>
      </c>
      <c r="B4282" s="372" t="s">
        <v>3374</v>
      </c>
      <c r="C4282" s="372" t="str">
        <f>"Inbetriebnahme "&amp;$M$4280</f>
        <v>Inbetriebnahme 2014</v>
      </c>
      <c r="D4282" s="372" t="s">
        <v>4386</v>
      </c>
      <c r="E4282" s="372"/>
      <c r="F4282" s="449">
        <f>M4282</f>
        <v>9.1300000000000008</v>
      </c>
      <c r="G4282" s="525">
        <v>9.1300000000000008</v>
      </c>
      <c r="H4282" s="374">
        <f t="shared" si="1632"/>
        <v>7.3</v>
      </c>
      <c r="I4282" s="699"/>
      <c r="J4282" s="669" t="s">
        <v>5805</v>
      </c>
      <c r="L4282" s="70" t="str">
        <f>IF(F4282=M4282,"",FALSE)</f>
        <v/>
      </c>
      <c r="M4282" s="49">
        <f>ROUND(N4282,2)+SUMIF(O4282:Q4282,"x",O$4276:Q$4276)</f>
        <v>9.1300000000000008</v>
      </c>
      <c r="N4282" s="349">
        <f>N4278*(1-$Q$4271)</f>
        <v>8.6641092499999992</v>
      </c>
      <c r="O4282" s="113" t="s">
        <v>1017</v>
      </c>
      <c r="P4282" s="112"/>
    </row>
    <row r="4283" spans="1:33" x14ac:dyDescent="0.25">
      <c r="A4283" s="615" t="s">
        <v>1674</v>
      </c>
      <c r="B4283" s="372" t="s">
        <v>3374</v>
      </c>
      <c r="C4283" s="372" t="str">
        <f>"Inbetriebnahme "&amp;$M$4280</f>
        <v>Inbetriebnahme 2014</v>
      </c>
      <c r="D4283" s="372" t="s">
        <v>4387</v>
      </c>
      <c r="E4283" s="372"/>
      <c r="F4283" s="449">
        <f>M4283</f>
        <v>4.72</v>
      </c>
      <c r="G4283" s="525">
        <v>4.72</v>
      </c>
      <c r="H4283" s="374">
        <f t="shared" si="1632"/>
        <v>3.78</v>
      </c>
      <c r="I4283" s="699"/>
      <c r="J4283" s="669" t="s">
        <v>5805</v>
      </c>
      <c r="L4283" s="70" t="str">
        <f>IF(F4283=M4283,"",FALSE)</f>
        <v/>
      </c>
      <c r="M4283" s="59">
        <f>ROUND(N4283,2)+SUMIF(O4283:Q4283,"x",O$4276:Q$4276)</f>
        <v>4.72</v>
      </c>
      <c r="N4283" s="368">
        <f>N4279*(1-$Q$4271)</f>
        <v>4.7249957499999997</v>
      </c>
      <c r="O4283" s="115"/>
      <c r="P4283" s="114"/>
    </row>
    <row r="4284" spans="1:33" s="12" customFormat="1" x14ac:dyDescent="0.25">
      <c r="A4284" s="616"/>
      <c r="B4284" s="2"/>
      <c r="C4284" s="1"/>
      <c r="D4284" s="2"/>
      <c r="E4284" s="1"/>
      <c r="F4284" s="442"/>
      <c r="G4284" s="13"/>
      <c r="H4284" s="13" t="str">
        <f t="shared" si="1632"/>
        <v/>
      </c>
      <c r="I4284" s="692"/>
      <c r="J4284" s="669" t="s">
        <v>4180</v>
      </c>
      <c r="L4284" s="269"/>
      <c r="M4284" s="49"/>
      <c r="N4284" s="41"/>
      <c r="O4284" s="188"/>
      <c r="P4284" s="188"/>
      <c r="Q4284" s="188"/>
      <c r="R4284" s="27"/>
      <c r="S4284" s="27"/>
      <c r="T4284" s="27"/>
      <c r="U4284" s="27"/>
    </row>
    <row r="4285" spans="1:33" s="259" customFormat="1" ht="20.25" customHeight="1" x14ac:dyDescent="0.25">
      <c r="A4285" s="617"/>
      <c r="B4285" s="255"/>
      <c r="C4285" s="256"/>
      <c r="D4285" s="255"/>
      <c r="E4285" s="256"/>
      <c r="F4285" s="463"/>
      <c r="G4285" s="257"/>
      <c r="H4285" s="257" t="str">
        <f t="shared" si="1632"/>
        <v/>
      </c>
      <c r="I4285" s="717"/>
      <c r="J4285" s="669" t="s">
        <v>4180</v>
      </c>
      <c r="K4285" s="258"/>
      <c r="L4285" s="362"/>
      <c r="M4285" s="260" t="s">
        <v>95</v>
      </c>
      <c r="N4285" s="261"/>
      <c r="O4285" s="261"/>
      <c r="AG4285" s="262"/>
    </row>
    <row r="4286" spans="1:33" x14ac:dyDescent="0.25">
      <c r="A4286" s="608"/>
      <c r="B4286" s="2"/>
      <c r="C4286" s="34"/>
      <c r="D4286" s="34"/>
      <c r="E4286" s="2"/>
      <c r="F4286" s="445"/>
      <c r="G4286" s="14"/>
      <c r="H4286" s="14" t="str">
        <f t="shared" si="1632"/>
        <v/>
      </c>
      <c r="I4286" s="695"/>
      <c r="J4286" s="669" t="s">
        <v>4180</v>
      </c>
      <c r="N4286" s="270" t="s">
        <v>5490</v>
      </c>
      <c r="O4286" t="s">
        <v>4385</v>
      </c>
      <c r="P4286" t="s">
        <v>4387</v>
      </c>
    </row>
    <row r="4287" spans="1:33" x14ac:dyDescent="0.25">
      <c r="A4287" s="607" t="s">
        <v>96</v>
      </c>
      <c r="B4287" s="435" t="s">
        <v>3374</v>
      </c>
      <c r="C4287" s="436" t="s">
        <v>39</v>
      </c>
      <c r="D4287" s="436" t="s">
        <v>4385</v>
      </c>
      <c r="E4287" s="435"/>
      <c r="F4287" s="450">
        <f>ROUND(HLOOKUP(D4287,O4286:P4288,3,FALSE),2)</f>
        <v>8.5</v>
      </c>
      <c r="G4287" s="437">
        <f>ROUND(HLOOKUP(D4287,O4286:P4288,2,FALSE),2)</f>
        <v>8.9</v>
      </c>
      <c r="H4287" s="437">
        <f t="shared" si="1632"/>
        <v>7.12</v>
      </c>
      <c r="I4287" s="700"/>
      <c r="J4287" s="669" t="s">
        <v>5805</v>
      </c>
      <c r="M4287" s="127">
        <v>2014</v>
      </c>
      <c r="N4287" s="395" t="s">
        <v>98</v>
      </c>
      <c r="O4287" s="327">
        <v>8.9</v>
      </c>
      <c r="P4287" s="327">
        <v>4.95</v>
      </c>
      <c r="R4287" t="s">
        <v>49</v>
      </c>
    </row>
    <row r="4288" spans="1:33" x14ac:dyDescent="0.25">
      <c r="A4288" s="607" t="s">
        <v>97</v>
      </c>
      <c r="B4288" s="435" t="s">
        <v>3374</v>
      </c>
      <c r="C4288" s="436" t="s">
        <v>39</v>
      </c>
      <c r="D4288" s="436" t="s">
        <v>4387</v>
      </c>
      <c r="E4288" s="435"/>
      <c r="F4288" s="450">
        <f>ROUND(HLOOKUP(D4288,O4286:P4288,3,FALSE),2)</f>
        <v>4.55</v>
      </c>
      <c r="G4288" s="437">
        <f>ROUND(HLOOKUP(D4288,O4286:P4288,2,FALSE),2)</f>
        <v>4.95</v>
      </c>
      <c r="H4288" s="437">
        <f t="shared" si="1632"/>
        <v>3.96</v>
      </c>
      <c r="I4288" s="700"/>
      <c r="J4288" s="669" t="s">
        <v>5805</v>
      </c>
      <c r="N4288" s="395" t="s">
        <v>85</v>
      </c>
      <c r="O4288" s="327">
        <f>O4287-0.4</f>
        <v>8.5</v>
      </c>
      <c r="P4288" s="327">
        <f>P4287-0.4</f>
        <v>4.55</v>
      </c>
      <c r="R4288" t="s">
        <v>50</v>
      </c>
    </row>
    <row r="4289" spans="1:22" x14ac:dyDescent="0.25">
      <c r="A4289" s="608"/>
      <c r="B4289" s="2"/>
      <c r="C4289" s="34"/>
      <c r="D4289" s="34"/>
      <c r="E4289" s="2"/>
      <c r="F4289" s="445"/>
      <c r="G4289" s="14"/>
      <c r="H4289" s="14" t="str">
        <f t="shared" si="1632"/>
        <v/>
      </c>
      <c r="I4289" s="695"/>
      <c r="J4289" s="669" t="s">
        <v>4180</v>
      </c>
      <c r="N4289" s="270" t="s">
        <v>5490</v>
      </c>
      <c r="O4289" t="s">
        <v>4385</v>
      </c>
      <c r="P4289" t="s">
        <v>4387</v>
      </c>
    </row>
    <row r="4290" spans="1:22" x14ac:dyDescent="0.25">
      <c r="A4290" s="607" t="s">
        <v>385</v>
      </c>
      <c r="B4290" s="435" t="s">
        <v>3374</v>
      </c>
      <c r="C4290" s="436" t="s">
        <v>380</v>
      </c>
      <c r="D4290" s="436" t="s">
        <v>4385</v>
      </c>
      <c r="E4290" s="435"/>
      <c r="F4290" s="450">
        <f>ROUND(HLOOKUP(D4290,O4289:P4291,3,FALSE),2)</f>
        <v>8.5</v>
      </c>
      <c r="G4290" s="437">
        <f>ROUND(HLOOKUP(D4290,O4289:P4291,2,FALSE),2)</f>
        <v>8.9</v>
      </c>
      <c r="H4290" s="437">
        <f t="shared" si="1632"/>
        <v>7.12</v>
      </c>
      <c r="I4290" s="700"/>
      <c r="J4290" s="669" t="s">
        <v>5805</v>
      </c>
      <c r="M4290" s="127">
        <v>2015</v>
      </c>
      <c r="N4290" s="395" t="s">
        <v>98</v>
      </c>
      <c r="O4290" s="327">
        <v>8.9</v>
      </c>
      <c r="P4290" s="327">
        <v>4.95</v>
      </c>
      <c r="R4290" t="s">
        <v>49</v>
      </c>
    </row>
    <row r="4291" spans="1:22" x14ac:dyDescent="0.25">
      <c r="A4291" s="607" t="s">
        <v>386</v>
      </c>
      <c r="B4291" s="435" t="s">
        <v>3374</v>
      </c>
      <c r="C4291" s="436" t="s">
        <v>380</v>
      </c>
      <c r="D4291" s="436" t="s">
        <v>4387</v>
      </c>
      <c r="E4291" s="435"/>
      <c r="F4291" s="450">
        <f>ROUND(HLOOKUP(D4291,O4289:P4291,3,FALSE),2)</f>
        <v>4.55</v>
      </c>
      <c r="G4291" s="437">
        <f>ROUND(HLOOKUP(D4291,O4289:P4291,2,FALSE),2)</f>
        <v>4.95</v>
      </c>
      <c r="H4291" s="437">
        <f t="shared" si="1632"/>
        <v>3.96</v>
      </c>
      <c r="I4291" s="700"/>
      <c r="J4291" s="669" t="s">
        <v>5805</v>
      </c>
      <c r="N4291" s="395" t="s">
        <v>85</v>
      </c>
      <c r="O4291" s="327">
        <f>O4290-0.4</f>
        <v>8.5</v>
      </c>
      <c r="P4291" s="327">
        <f>P4290-0.4</f>
        <v>4.55</v>
      </c>
      <c r="R4291" t="s">
        <v>50</v>
      </c>
    </row>
    <row r="4292" spans="1:22" x14ac:dyDescent="0.25">
      <c r="A4292" s="16"/>
      <c r="B4292" s="28"/>
      <c r="C4292" s="34"/>
      <c r="D4292" s="34"/>
      <c r="E4292" s="2"/>
      <c r="F4292" s="445"/>
      <c r="G4292" s="14"/>
      <c r="H4292" s="14" t="str">
        <f t="shared" si="1632"/>
        <v/>
      </c>
      <c r="I4292" s="695"/>
      <c r="J4292" s="669" t="s">
        <v>4180</v>
      </c>
      <c r="N4292" s="270" t="s">
        <v>5490</v>
      </c>
      <c r="P4292" t="s">
        <v>4385</v>
      </c>
      <c r="Q4292" t="s">
        <v>4387</v>
      </c>
      <c r="R4292" t="s">
        <v>49</v>
      </c>
      <c r="S4292" s="127" t="s">
        <v>2884</v>
      </c>
      <c r="T4292" t="s">
        <v>4385</v>
      </c>
      <c r="U4292" t="s">
        <v>4387</v>
      </c>
      <c r="V4292" t="s">
        <v>50</v>
      </c>
    </row>
    <row r="4293" spans="1:22" x14ac:dyDescent="0.25">
      <c r="A4293" s="607" t="s">
        <v>5713</v>
      </c>
      <c r="B4293" s="435" t="s">
        <v>3374</v>
      </c>
      <c r="C4293" s="436" t="s">
        <v>5677</v>
      </c>
      <c r="D4293" s="436" t="s">
        <v>4385</v>
      </c>
      <c r="E4293" s="435"/>
      <c r="F4293" s="450">
        <f t="shared" ref="F4293:F4300" si="1633">IF(HLOOKUP($D4293,$T$4292:$U$4296,MATCH(MID($A4293,11,2),$N$4292:$N$4296,0),FALSE)&lt;&gt;"",ROUND(HLOOKUP($D4293,$T$4292:$U$4296,MATCH(MID($A4293,11,2),$N$4292:$N$4296,0),FALSE),2),"")</f>
        <v>8.4</v>
      </c>
      <c r="G4293" s="437">
        <f t="shared" ref="G4293:G4300" si="1634">IF(HLOOKUP($D4293,$P$4292:$Q$4296,MATCH(MID($A4293,11,2),$N$4292:$N$4296,0),FALSE)&lt;&gt;"",ROUND(HLOOKUP($D4293,$P$4292:$Q$4296,MATCH(MID($A4293,11,2),$N$4292:$N$4296,0),FALSE),2),"")</f>
        <v>8.7899999999999991</v>
      </c>
      <c r="H4293" s="437">
        <f t="shared" si="1632"/>
        <v>7.03</v>
      </c>
      <c r="I4293" s="700"/>
      <c r="J4293" s="669" t="s">
        <v>5805</v>
      </c>
      <c r="M4293" s="127">
        <v>2016</v>
      </c>
      <c r="N4293" s="635" t="s">
        <v>5759</v>
      </c>
      <c r="O4293" s="568">
        <v>1.2E-2</v>
      </c>
      <c r="P4293" s="327">
        <f>IF($O4293&lt;&gt;"",(1-$O4293)*O4290,"")</f>
        <v>8.7932000000000006</v>
      </c>
      <c r="Q4293" s="327">
        <f>IF($O4293&lt;&gt;"",(1-$O4293)*P4290,"")</f>
        <v>4.8906000000000001</v>
      </c>
      <c r="T4293" s="327">
        <f>IF($O4293&lt;&gt;"",(1-$O4293)*O4291,"")</f>
        <v>8.3979999999999997</v>
      </c>
      <c r="U4293" s="327">
        <f>IF($O4293&lt;&gt;"",(1-$O4293)*P4291,"")</f>
        <v>4.4954000000000001</v>
      </c>
    </row>
    <row r="4294" spans="1:22" x14ac:dyDescent="0.25">
      <c r="A4294" s="607" t="s">
        <v>5714</v>
      </c>
      <c r="B4294" s="435" t="s">
        <v>3374</v>
      </c>
      <c r="C4294" s="436" t="s">
        <v>5677</v>
      </c>
      <c r="D4294" s="436" t="s">
        <v>4387</v>
      </c>
      <c r="E4294" s="435"/>
      <c r="F4294" s="450">
        <f t="shared" si="1633"/>
        <v>4.5</v>
      </c>
      <c r="G4294" s="437">
        <f t="shared" si="1634"/>
        <v>4.8899999999999997</v>
      </c>
      <c r="H4294" s="437">
        <f t="shared" si="1632"/>
        <v>3.91</v>
      </c>
      <c r="I4294" s="700"/>
      <c r="J4294" s="669" t="s">
        <v>5805</v>
      </c>
      <c r="M4294" s="49"/>
      <c r="N4294" s="635" t="s">
        <v>5760</v>
      </c>
      <c r="O4294" s="568">
        <v>1.2E-2</v>
      </c>
      <c r="P4294" s="327">
        <f t="shared" ref="P4294:Q4296" si="1635">IF($O4294&lt;&gt;"",(1-$O4294)*P4293,"")</f>
        <v>8.6876816000000012</v>
      </c>
      <c r="Q4294" s="327">
        <f t="shared" si="1635"/>
        <v>4.8319127999999996</v>
      </c>
      <c r="T4294" s="327">
        <f t="shared" ref="T4294:U4296" si="1636">IF($O4294&lt;&gt;"",(1-$O4294)*T4293,"")</f>
        <v>8.2972239999999999</v>
      </c>
      <c r="U4294" s="327">
        <f t="shared" si="1636"/>
        <v>4.4414552</v>
      </c>
    </row>
    <row r="4295" spans="1:22" x14ac:dyDescent="0.25">
      <c r="A4295" s="607" t="s">
        <v>5715</v>
      </c>
      <c r="B4295" s="435" t="s">
        <v>3374</v>
      </c>
      <c r="C4295" s="436" t="s">
        <v>5695</v>
      </c>
      <c r="D4295" s="436" t="s">
        <v>4385</v>
      </c>
      <c r="E4295" s="435"/>
      <c r="F4295" s="450">
        <f t="shared" si="1633"/>
        <v>8.3000000000000007</v>
      </c>
      <c r="G4295" s="437">
        <f t="shared" si="1634"/>
        <v>8.69</v>
      </c>
      <c r="H4295" s="437">
        <f t="shared" si="1632"/>
        <v>6.95</v>
      </c>
      <c r="I4295" s="700"/>
      <c r="J4295" s="669" t="s">
        <v>5805</v>
      </c>
      <c r="M4295" s="49"/>
      <c r="N4295" s="635" t="s">
        <v>5761</v>
      </c>
      <c r="O4295" s="568">
        <v>1.2E-2</v>
      </c>
      <c r="P4295" s="327">
        <f t="shared" si="1635"/>
        <v>8.5834294208000017</v>
      </c>
      <c r="Q4295" s="327">
        <f t="shared" si="1635"/>
        <v>4.7739298463999997</v>
      </c>
      <c r="T4295" s="327">
        <f t="shared" si="1636"/>
        <v>8.1976573120000005</v>
      </c>
      <c r="U4295" s="327">
        <f t="shared" si="1636"/>
        <v>4.3881577376000003</v>
      </c>
    </row>
    <row r="4296" spans="1:22" x14ac:dyDescent="0.25">
      <c r="A4296" s="607" t="s">
        <v>5716</v>
      </c>
      <c r="B4296" s="435" t="s">
        <v>3374</v>
      </c>
      <c r="C4296" s="436" t="s">
        <v>5695</v>
      </c>
      <c r="D4296" s="436" t="s">
        <v>4387</v>
      </c>
      <c r="E4296" s="435"/>
      <c r="F4296" s="450">
        <f t="shared" si="1633"/>
        <v>4.4400000000000004</v>
      </c>
      <c r="G4296" s="437">
        <f t="shared" si="1634"/>
        <v>4.83</v>
      </c>
      <c r="H4296" s="437">
        <f t="shared" si="1632"/>
        <v>3.86</v>
      </c>
      <c r="I4296" s="700"/>
      <c r="J4296" s="669" t="s">
        <v>5805</v>
      </c>
      <c r="M4296" s="49"/>
      <c r="N4296" s="635" t="s">
        <v>5762</v>
      </c>
      <c r="O4296" s="568">
        <v>1.2E-2</v>
      </c>
      <c r="P4296" s="327">
        <f t="shared" si="1635"/>
        <v>8.4804282677504013</v>
      </c>
      <c r="Q4296" s="327">
        <f t="shared" si="1635"/>
        <v>4.7166426882431995</v>
      </c>
      <c r="T4296" s="327">
        <f t="shared" si="1636"/>
        <v>8.0992854242560011</v>
      </c>
      <c r="U4296" s="327">
        <f t="shared" si="1636"/>
        <v>4.3354998447488002</v>
      </c>
    </row>
    <row r="4297" spans="1:22" x14ac:dyDescent="0.25">
      <c r="A4297" s="607" t="s">
        <v>5717</v>
      </c>
      <c r="B4297" s="435" t="s">
        <v>3374</v>
      </c>
      <c r="C4297" s="436" t="s">
        <v>5696</v>
      </c>
      <c r="D4297" s="436" t="s">
        <v>4385</v>
      </c>
      <c r="E4297" s="435"/>
      <c r="F4297" s="450">
        <f t="shared" si="1633"/>
        <v>8.1999999999999993</v>
      </c>
      <c r="G4297" s="437">
        <f t="shared" si="1634"/>
        <v>8.58</v>
      </c>
      <c r="H4297" s="437">
        <f t="shared" si="1632"/>
        <v>6.86</v>
      </c>
      <c r="I4297" s="700"/>
      <c r="J4297" s="669" t="s">
        <v>5805</v>
      </c>
      <c r="N4297" s="395"/>
    </row>
    <row r="4298" spans="1:22" x14ac:dyDescent="0.25">
      <c r="A4298" s="607" t="s">
        <v>5718</v>
      </c>
      <c r="B4298" s="435" t="s">
        <v>3374</v>
      </c>
      <c r="C4298" s="436" t="s">
        <v>5696</v>
      </c>
      <c r="D4298" s="436" t="s">
        <v>4387</v>
      </c>
      <c r="E4298" s="435"/>
      <c r="F4298" s="450">
        <f t="shared" si="1633"/>
        <v>4.3899999999999997</v>
      </c>
      <c r="G4298" s="437">
        <f t="shared" si="1634"/>
        <v>4.7699999999999996</v>
      </c>
      <c r="H4298" s="437">
        <f t="shared" si="1632"/>
        <v>3.82</v>
      </c>
      <c r="I4298" s="700"/>
      <c r="J4298" s="669" t="s">
        <v>5805</v>
      </c>
      <c r="N4298" s="395"/>
    </row>
    <row r="4299" spans="1:22" x14ac:dyDescent="0.25">
      <c r="A4299" s="607" t="s">
        <v>5719</v>
      </c>
      <c r="B4299" s="435" t="s">
        <v>3374</v>
      </c>
      <c r="C4299" s="436" t="s">
        <v>5697</v>
      </c>
      <c r="D4299" s="436" t="s">
        <v>4385</v>
      </c>
      <c r="E4299" s="435"/>
      <c r="F4299" s="450">
        <f t="shared" si="1633"/>
        <v>8.1</v>
      </c>
      <c r="G4299" s="437">
        <f t="shared" si="1634"/>
        <v>8.48</v>
      </c>
      <c r="H4299" s="437">
        <f t="shared" si="1632"/>
        <v>6.78</v>
      </c>
      <c r="I4299" s="700"/>
      <c r="J4299" s="669" t="s">
        <v>5805</v>
      </c>
      <c r="N4299" s="395"/>
    </row>
    <row r="4300" spans="1:22" x14ac:dyDescent="0.25">
      <c r="A4300" s="607" t="s">
        <v>5720</v>
      </c>
      <c r="B4300" s="435" t="s">
        <v>3374</v>
      </c>
      <c r="C4300" s="436" t="s">
        <v>5697</v>
      </c>
      <c r="D4300" s="436" t="s">
        <v>4387</v>
      </c>
      <c r="E4300" s="435"/>
      <c r="F4300" s="450">
        <f t="shared" si="1633"/>
        <v>4.34</v>
      </c>
      <c r="G4300" s="437">
        <f t="shared" si="1634"/>
        <v>4.72</v>
      </c>
      <c r="H4300" s="437">
        <f t="shared" si="1632"/>
        <v>3.78</v>
      </c>
      <c r="I4300" s="700"/>
      <c r="J4300" s="669" t="s">
        <v>5805</v>
      </c>
      <c r="N4300" s="395"/>
    </row>
    <row r="4301" spans="1:22" x14ac:dyDescent="0.25">
      <c r="A4301" s="16"/>
      <c r="B4301" s="28"/>
      <c r="C4301" s="34"/>
      <c r="D4301" s="34"/>
      <c r="E4301" s="2"/>
      <c r="F4301" s="445"/>
      <c r="G4301" s="14"/>
      <c r="H4301" s="14" t="str">
        <f t="shared" si="1632"/>
        <v/>
      </c>
      <c r="I4301" s="695"/>
      <c r="J4301" s="669" t="s">
        <v>4180</v>
      </c>
    </row>
    <row r="4302" spans="1:22" ht="15.75" x14ac:dyDescent="0.25">
      <c r="A4302" s="16"/>
      <c r="B4302" s="28"/>
      <c r="C4302" s="34"/>
      <c r="D4302" s="34"/>
      <c r="E4302" s="2"/>
      <c r="F4302" s="445"/>
      <c r="G4302" s="14"/>
      <c r="H4302" s="14"/>
      <c r="I4302" s="695"/>
      <c r="J4302" s="669"/>
      <c r="M4302" s="260" t="s">
        <v>5929</v>
      </c>
      <c r="N4302" s="270"/>
      <c r="S4302" s="127"/>
    </row>
    <row r="4303" spans="1:22" x14ac:dyDescent="0.25">
      <c r="A4303" s="16"/>
      <c r="B4303" s="28"/>
      <c r="C4303" s="34"/>
      <c r="D4303" s="34"/>
      <c r="E4303" s="2"/>
      <c r="F4303" s="445"/>
      <c r="G4303" s="14"/>
      <c r="H4303" s="14"/>
      <c r="I4303" s="695"/>
      <c r="J4303" s="669"/>
      <c r="N4303" s="270" t="s">
        <v>5490</v>
      </c>
      <c r="P4303" t="s">
        <v>4385</v>
      </c>
      <c r="Q4303" t="s">
        <v>4387</v>
      </c>
      <c r="R4303" t="s">
        <v>49</v>
      </c>
      <c r="S4303" s="127" t="s">
        <v>2884</v>
      </c>
      <c r="T4303" t="s">
        <v>4385</v>
      </c>
      <c r="U4303" t="s">
        <v>4387</v>
      </c>
    </row>
    <row r="4304" spans="1:22" x14ac:dyDescent="0.25">
      <c r="A4304" s="644" t="s">
        <v>5952</v>
      </c>
      <c r="B4304" s="645" t="s">
        <v>3374</v>
      </c>
      <c r="C4304" s="643" t="s">
        <v>5955</v>
      </c>
      <c r="D4304" s="643" t="s">
        <v>4385</v>
      </c>
      <c r="E4304" s="645"/>
      <c r="F4304" s="657">
        <f t="shared" ref="F4304:F4327" si="1637">IF(HLOOKUP($D4304,$T$4303:$U$4315,MATCH(MID($A4304,10,3),$N$4303:$N$4315,0),FALSE)&lt;&gt;"",ROUND(HLOOKUP($D4304,$T$4303:$U$4315,MATCH(MID($A4304,10,3),$N$4303:$N$4315,0),FALSE),2),"")</f>
        <v>7.98</v>
      </c>
      <c r="G4304" s="656">
        <f t="shared" ref="G4304:G4327" si="1638">IF(HLOOKUP($D4304,$P$4303:$Q$4315,MATCH(MID($A4304,10,3),$N$4303:$N$4315,0),FALSE)&lt;&gt;"",ROUND(HLOOKUP($D4304,$P$4303:$Q$4315,MATCH(MID($A4304,10,3),$N$4303:$N$4315,0),FALSE),2),"")</f>
        <v>8.3800000000000008</v>
      </c>
      <c r="H4304" s="656">
        <f t="shared" ref="H4304:H4327" si="1639">IF(ISNUMBER(G4304),ROUND(0.8*G4304,2),"")</f>
        <v>6.7</v>
      </c>
      <c r="I4304" s="701"/>
      <c r="J4304" s="669">
        <v>42705</v>
      </c>
      <c r="M4304" s="127">
        <v>2017</v>
      </c>
      <c r="N4304" s="660" t="s">
        <v>5951</v>
      </c>
      <c r="O4304" s="568"/>
      <c r="P4304" s="327">
        <v>8.3800000000000008</v>
      </c>
      <c r="Q4304" s="327">
        <v>4.66</v>
      </c>
      <c r="T4304" s="327">
        <f>P4304-0.4</f>
        <v>7.98</v>
      </c>
      <c r="U4304" s="327">
        <f>Q4304-0.4</f>
        <v>4.26</v>
      </c>
    </row>
    <row r="4305" spans="1:21" x14ac:dyDescent="0.25">
      <c r="A4305" s="644" t="s">
        <v>5953</v>
      </c>
      <c r="B4305" s="645" t="s">
        <v>3374</v>
      </c>
      <c r="C4305" s="643" t="s">
        <v>5955</v>
      </c>
      <c r="D4305" s="643" t="s">
        <v>4387</v>
      </c>
      <c r="E4305" s="645"/>
      <c r="F4305" s="657">
        <f t="shared" si="1637"/>
        <v>4.26</v>
      </c>
      <c r="G4305" s="656">
        <f t="shared" si="1638"/>
        <v>4.66</v>
      </c>
      <c r="H4305" s="656">
        <f t="shared" si="1639"/>
        <v>3.73</v>
      </c>
      <c r="I4305" s="701"/>
      <c r="J4305" s="669">
        <v>42705</v>
      </c>
      <c r="M4305" s="49"/>
      <c r="N4305" s="660" t="s">
        <v>5933</v>
      </c>
      <c r="O4305" s="568">
        <v>0</v>
      </c>
      <c r="P4305" s="327">
        <f t="shared" ref="P4305:P4315" si="1640">IF($O4305&lt;&gt;"",(1-$O4305)*P4304,"")</f>
        <v>8.3800000000000008</v>
      </c>
      <c r="Q4305" s="327">
        <f t="shared" ref="Q4305:Q4315" si="1641">IF($O4305&lt;&gt;"",(1-$O4305)*Q4304,"")</f>
        <v>4.66</v>
      </c>
      <c r="T4305" s="327">
        <f t="shared" ref="T4305:T4315" si="1642">IF($O4305&lt;&gt;"",P4305-0.4,"")</f>
        <v>7.98</v>
      </c>
      <c r="U4305" s="327">
        <f t="shared" ref="U4305:U4315" si="1643">IF($O4305&lt;&gt;"",Q4305-0.4,"")</f>
        <v>4.26</v>
      </c>
    </row>
    <row r="4306" spans="1:21" x14ac:dyDescent="0.25">
      <c r="A4306" s="644" t="s">
        <v>5956</v>
      </c>
      <c r="B4306" s="645" t="s">
        <v>3374</v>
      </c>
      <c r="C4306" s="643" t="s">
        <v>5954</v>
      </c>
      <c r="D4306" s="643" t="s">
        <v>4385</v>
      </c>
      <c r="E4306" s="645"/>
      <c r="F4306" s="657">
        <f t="shared" si="1637"/>
        <v>7.98</v>
      </c>
      <c r="G4306" s="656">
        <f t="shared" si="1638"/>
        <v>8.3800000000000008</v>
      </c>
      <c r="H4306" s="656">
        <f t="shared" si="1639"/>
        <v>6.7</v>
      </c>
      <c r="I4306" s="701"/>
      <c r="J4306" s="669">
        <v>42705</v>
      </c>
      <c r="M4306" s="49"/>
      <c r="N4306" s="660" t="s">
        <v>5934</v>
      </c>
      <c r="O4306" s="568">
        <v>1.0500000000000001E-2</v>
      </c>
      <c r="P4306" s="327">
        <f t="shared" si="1640"/>
        <v>8.2920100000000012</v>
      </c>
      <c r="Q4306" s="327">
        <f t="shared" si="1641"/>
        <v>4.6110700000000007</v>
      </c>
      <c r="T4306" s="327">
        <f t="shared" si="1642"/>
        <v>7.8920100000000009</v>
      </c>
      <c r="U4306" s="327">
        <f t="shared" si="1643"/>
        <v>4.2110700000000003</v>
      </c>
    </row>
    <row r="4307" spans="1:21" x14ac:dyDescent="0.25">
      <c r="A4307" s="644" t="s">
        <v>5957</v>
      </c>
      <c r="B4307" s="645" t="s">
        <v>3374</v>
      </c>
      <c r="C4307" s="643" t="s">
        <v>5954</v>
      </c>
      <c r="D4307" s="643" t="s">
        <v>4387</v>
      </c>
      <c r="E4307" s="645"/>
      <c r="F4307" s="657">
        <f t="shared" si="1637"/>
        <v>4.26</v>
      </c>
      <c r="G4307" s="656">
        <f t="shared" si="1638"/>
        <v>4.66</v>
      </c>
      <c r="H4307" s="656">
        <f t="shared" si="1639"/>
        <v>3.73</v>
      </c>
      <c r="I4307" s="701"/>
      <c r="J4307" s="669">
        <v>42705</v>
      </c>
      <c r="M4307" s="49"/>
      <c r="N4307" s="660" t="s">
        <v>5935</v>
      </c>
      <c r="O4307" s="568">
        <v>1.0500000000000001E-2</v>
      </c>
      <c r="P4307" s="327">
        <f t="shared" si="1640"/>
        <v>8.2049438950000013</v>
      </c>
      <c r="Q4307" s="327">
        <f t="shared" si="1641"/>
        <v>4.5626537650000012</v>
      </c>
      <c r="T4307" s="327">
        <f t="shared" si="1642"/>
        <v>7.804943895000001</v>
      </c>
      <c r="U4307" s="327">
        <f t="shared" si="1643"/>
        <v>4.1626537650000008</v>
      </c>
    </row>
    <row r="4308" spans="1:21" x14ac:dyDescent="0.25">
      <c r="A4308" s="644" t="s">
        <v>5958</v>
      </c>
      <c r="B4308" s="645" t="s">
        <v>3374</v>
      </c>
      <c r="C4308" s="643" t="s">
        <v>5944</v>
      </c>
      <c r="D4308" s="643" t="s">
        <v>4385</v>
      </c>
      <c r="E4308" s="645"/>
      <c r="F4308" s="657">
        <f t="shared" si="1637"/>
        <v>7.89</v>
      </c>
      <c r="G4308" s="656">
        <f t="shared" si="1638"/>
        <v>8.2899999999999991</v>
      </c>
      <c r="H4308" s="656">
        <f t="shared" si="1639"/>
        <v>6.63</v>
      </c>
      <c r="I4308" s="701"/>
      <c r="J4308" s="669">
        <v>42705</v>
      </c>
      <c r="N4308" s="661" t="s">
        <v>5936</v>
      </c>
      <c r="O4308" s="568">
        <v>1.0500000000000001E-2</v>
      </c>
      <c r="P4308" s="327">
        <f t="shared" si="1640"/>
        <v>8.1187919841025025</v>
      </c>
      <c r="Q4308" s="327">
        <f t="shared" si="1641"/>
        <v>4.514745900467501</v>
      </c>
      <c r="T4308" s="327">
        <f t="shared" si="1642"/>
        <v>7.7187919841025021</v>
      </c>
      <c r="U4308" s="327">
        <f t="shared" si="1643"/>
        <v>4.1147459004675007</v>
      </c>
    </row>
    <row r="4309" spans="1:21" x14ac:dyDescent="0.25">
      <c r="A4309" s="644" t="s">
        <v>5959</v>
      </c>
      <c r="B4309" s="645" t="s">
        <v>3374</v>
      </c>
      <c r="C4309" s="643" t="s">
        <v>5944</v>
      </c>
      <c r="D4309" s="643" t="s">
        <v>4387</v>
      </c>
      <c r="E4309" s="645"/>
      <c r="F4309" s="657">
        <f t="shared" si="1637"/>
        <v>4.21</v>
      </c>
      <c r="G4309" s="656">
        <f t="shared" si="1638"/>
        <v>4.6100000000000003</v>
      </c>
      <c r="H4309" s="656">
        <f t="shared" si="1639"/>
        <v>3.69</v>
      </c>
      <c r="I4309" s="701"/>
      <c r="J4309" s="669">
        <v>42705</v>
      </c>
      <c r="N4309" s="660" t="s">
        <v>5937</v>
      </c>
      <c r="O4309" s="568">
        <v>1.0500000000000001E-2</v>
      </c>
      <c r="P4309" s="327">
        <f t="shared" si="1640"/>
        <v>8.0335446682694265</v>
      </c>
      <c r="Q4309" s="327">
        <f t="shared" si="1641"/>
        <v>4.4673410685125923</v>
      </c>
      <c r="T4309" s="327">
        <f t="shared" si="1642"/>
        <v>7.6335446682694261</v>
      </c>
      <c r="U4309" s="327">
        <f t="shared" si="1643"/>
        <v>4.0673410685125919</v>
      </c>
    </row>
    <row r="4310" spans="1:21" x14ac:dyDescent="0.25">
      <c r="A4310" s="644" t="s">
        <v>5960</v>
      </c>
      <c r="B4310" s="645" t="s">
        <v>3374</v>
      </c>
      <c r="C4310" s="643" t="s">
        <v>5930</v>
      </c>
      <c r="D4310" s="643" t="s">
        <v>4385</v>
      </c>
      <c r="E4310" s="645"/>
      <c r="F4310" s="657">
        <f t="shared" si="1637"/>
        <v>7.8</v>
      </c>
      <c r="G4310" s="656">
        <f t="shared" si="1638"/>
        <v>8.1999999999999993</v>
      </c>
      <c r="H4310" s="656">
        <f t="shared" si="1639"/>
        <v>6.56</v>
      </c>
      <c r="I4310" s="701"/>
      <c r="J4310" s="669">
        <v>42705</v>
      </c>
      <c r="N4310" s="661" t="s">
        <v>5938</v>
      </c>
      <c r="O4310" s="568">
        <v>1.0500000000000001E-2</v>
      </c>
      <c r="P4310" s="327">
        <f t="shared" si="1640"/>
        <v>7.9491924492525978</v>
      </c>
      <c r="Q4310" s="327">
        <f t="shared" si="1641"/>
        <v>4.4204339872932099</v>
      </c>
      <c r="T4310" s="327">
        <f t="shared" si="1642"/>
        <v>7.5491924492525975</v>
      </c>
      <c r="U4310" s="327">
        <f t="shared" si="1643"/>
        <v>4.0204339872932096</v>
      </c>
    </row>
    <row r="4311" spans="1:21" x14ac:dyDescent="0.25">
      <c r="A4311" s="644" t="s">
        <v>5961</v>
      </c>
      <c r="B4311" s="645" t="s">
        <v>3374</v>
      </c>
      <c r="C4311" s="643" t="s">
        <v>5930</v>
      </c>
      <c r="D4311" s="643" t="s">
        <v>4387</v>
      </c>
      <c r="E4311" s="645"/>
      <c r="F4311" s="657">
        <f t="shared" si="1637"/>
        <v>4.16</v>
      </c>
      <c r="G4311" s="656">
        <f t="shared" si="1638"/>
        <v>4.5599999999999996</v>
      </c>
      <c r="H4311" s="656">
        <f t="shared" si="1639"/>
        <v>3.65</v>
      </c>
      <c r="I4311" s="701"/>
      <c r="J4311" s="669">
        <v>42705</v>
      </c>
      <c r="N4311" s="660" t="s">
        <v>5939</v>
      </c>
      <c r="O4311" s="568">
        <v>1.0500000000000001E-2</v>
      </c>
      <c r="P4311" s="327">
        <f t="shared" si="1640"/>
        <v>7.8657259285354462</v>
      </c>
      <c r="Q4311" s="327">
        <f t="shared" si="1641"/>
        <v>4.3740194304266318</v>
      </c>
      <c r="T4311" s="327">
        <f t="shared" si="1642"/>
        <v>7.4657259285354458</v>
      </c>
      <c r="U4311" s="327">
        <f t="shared" si="1643"/>
        <v>3.9740194304266319</v>
      </c>
    </row>
    <row r="4312" spans="1:21" x14ac:dyDescent="0.25">
      <c r="A4312" s="644" t="s">
        <v>5962</v>
      </c>
      <c r="B4312" s="645" t="s">
        <v>3374</v>
      </c>
      <c r="C4312" s="643" t="s">
        <v>5931</v>
      </c>
      <c r="D4312" s="643" t="s">
        <v>4385</v>
      </c>
      <c r="E4312" s="645"/>
      <c r="F4312" s="657">
        <f t="shared" si="1637"/>
        <v>7.72</v>
      </c>
      <c r="G4312" s="656">
        <f t="shared" si="1638"/>
        <v>8.1199999999999992</v>
      </c>
      <c r="H4312" s="656">
        <f t="shared" si="1639"/>
        <v>6.5</v>
      </c>
      <c r="I4312" s="701"/>
      <c r="J4312" s="669">
        <v>42705</v>
      </c>
      <c r="N4312" s="661" t="s">
        <v>5940</v>
      </c>
      <c r="O4312" s="568">
        <v>0</v>
      </c>
      <c r="P4312" s="327">
        <f t="shared" si="1640"/>
        <v>7.8657259285354462</v>
      </c>
      <c r="Q4312" s="327">
        <f t="shared" si="1641"/>
        <v>4.3740194304266318</v>
      </c>
      <c r="T4312" s="327">
        <f t="shared" si="1642"/>
        <v>7.4657259285354458</v>
      </c>
      <c r="U4312" s="327">
        <f t="shared" si="1643"/>
        <v>3.9740194304266319</v>
      </c>
    </row>
    <row r="4313" spans="1:21" x14ac:dyDescent="0.25">
      <c r="A4313" s="644" t="s">
        <v>6073</v>
      </c>
      <c r="B4313" s="645" t="s">
        <v>3374</v>
      </c>
      <c r="C4313" s="643" t="s">
        <v>5931</v>
      </c>
      <c r="D4313" s="643" t="s">
        <v>4387</v>
      </c>
      <c r="E4313" s="645"/>
      <c r="F4313" s="657">
        <f t="shared" si="1637"/>
        <v>4.1100000000000003</v>
      </c>
      <c r="G4313" s="656">
        <f t="shared" si="1638"/>
        <v>4.51</v>
      </c>
      <c r="H4313" s="656">
        <f t="shared" si="1639"/>
        <v>3.61</v>
      </c>
      <c r="I4313" s="701"/>
      <c r="J4313" s="669">
        <v>42705</v>
      </c>
      <c r="N4313" s="660" t="s">
        <v>5941</v>
      </c>
      <c r="O4313" s="568">
        <v>2.4E-2</v>
      </c>
      <c r="P4313" s="327">
        <f t="shared" si="1640"/>
        <v>7.6769485062505955</v>
      </c>
      <c r="Q4313" s="327">
        <f t="shared" si="1641"/>
        <v>4.2690429640963927</v>
      </c>
      <c r="T4313" s="327">
        <f t="shared" si="1642"/>
        <v>7.2769485062505952</v>
      </c>
      <c r="U4313" s="327">
        <f t="shared" si="1643"/>
        <v>3.8690429640963928</v>
      </c>
    </row>
    <row r="4314" spans="1:21" x14ac:dyDescent="0.25">
      <c r="A4314" s="644" t="s">
        <v>5963</v>
      </c>
      <c r="B4314" s="645" t="s">
        <v>3374</v>
      </c>
      <c r="C4314" s="643" t="s">
        <v>5932</v>
      </c>
      <c r="D4314" s="643" t="s">
        <v>4385</v>
      </c>
      <c r="E4314" s="645"/>
      <c r="F4314" s="657">
        <f t="shared" si="1637"/>
        <v>7.63</v>
      </c>
      <c r="G4314" s="656">
        <f t="shared" si="1638"/>
        <v>8.0299999999999994</v>
      </c>
      <c r="H4314" s="656">
        <f t="shared" si="1639"/>
        <v>6.42</v>
      </c>
      <c r="I4314" s="701"/>
      <c r="J4314" s="669">
        <v>42705</v>
      </c>
      <c r="N4314" s="661" t="s">
        <v>5942</v>
      </c>
      <c r="O4314" s="568">
        <v>0</v>
      </c>
      <c r="P4314" s="327">
        <f t="shared" si="1640"/>
        <v>7.6769485062505955</v>
      </c>
      <c r="Q4314" s="327">
        <f t="shared" si="1641"/>
        <v>4.2690429640963927</v>
      </c>
      <c r="T4314" s="327">
        <f t="shared" si="1642"/>
        <v>7.2769485062505952</v>
      </c>
      <c r="U4314" s="327">
        <f t="shared" si="1643"/>
        <v>3.8690429640963928</v>
      </c>
    </row>
    <row r="4315" spans="1:21" x14ac:dyDescent="0.25">
      <c r="A4315" s="644" t="s">
        <v>5964</v>
      </c>
      <c r="B4315" s="645" t="s">
        <v>3374</v>
      </c>
      <c r="C4315" s="643" t="s">
        <v>5932</v>
      </c>
      <c r="D4315" s="643" t="s">
        <v>4387</v>
      </c>
      <c r="E4315" s="645"/>
      <c r="F4315" s="657">
        <f t="shared" si="1637"/>
        <v>4.07</v>
      </c>
      <c r="G4315" s="656">
        <f t="shared" si="1638"/>
        <v>4.47</v>
      </c>
      <c r="H4315" s="656">
        <f t="shared" si="1639"/>
        <v>3.58</v>
      </c>
      <c r="I4315" s="701"/>
      <c r="J4315" s="669">
        <v>42705</v>
      </c>
      <c r="N4315" s="660" t="s">
        <v>5943</v>
      </c>
      <c r="O4315" s="568">
        <v>0</v>
      </c>
      <c r="P4315" s="327">
        <f t="shared" si="1640"/>
        <v>7.6769485062505955</v>
      </c>
      <c r="Q4315" s="327">
        <f t="shared" si="1641"/>
        <v>4.2690429640963927</v>
      </c>
      <c r="T4315" s="327">
        <f t="shared" si="1642"/>
        <v>7.2769485062505952</v>
      </c>
      <c r="U4315" s="327">
        <f t="shared" si="1643"/>
        <v>3.8690429640963928</v>
      </c>
    </row>
    <row r="4316" spans="1:21" x14ac:dyDescent="0.25">
      <c r="A4316" s="644" t="s">
        <v>5965</v>
      </c>
      <c r="B4316" s="645" t="s">
        <v>3374</v>
      </c>
      <c r="C4316" s="643" t="s">
        <v>5945</v>
      </c>
      <c r="D4316" s="643" t="s">
        <v>4385</v>
      </c>
      <c r="E4316" s="645"/>
      <c r="F4316" s="657">
        <f t="shared" si="1637"/>
        <v>7.55</v>
      </c>
      <c r="G4316" s="656">
        <f t="shared" si="1638"/>
        <v>7.95</v>
      </c>
      <c r="H4316" s="656">
        <f t="shared" si="1639"/>
        <v>6.36</v>
      </c>
      <c r="I4316" s="701"/>
      <c r="J4316" s="669">
        <v>42705</v>
      </c>
      <c r="N4316" s="659"/>
    </row>
    <row r="4317" spans="1:21" x14ac:dyDescent="0.25">
      <c r="A4317" s="644" t="s">
        <v>5966</v>
      </c>
      <c r="B4317" s="645" t="s">
        <v>3374</v>
      </c>
      <c r="C4317" s="643" t="s">
        <v>5945</v>
      </c>
      <c r="D4317" s="643" t="s">
        <v>4387</v>
      </c>
      <c r="E4317" s="645"/>
      <c r="F4317" s="657">
        <f t="shared" si="1637"/>
        <v>4.0199999999999996</v>
      </c>
      <c r="G4317" s="656">
        <f t="shared" si="1638"/>
        <v>4.42</v>
      </c>
      <c r="H4317" s="656">
        <f t="shared" si="1639"/>
        <v>3.54</v>
      </c>
      <c r="I4317" s="701"/>
      <c r="J4317" s="669">
        <v>42705</v>
      </c>
      <c r="N4317" s="659"/>
    </row>
    <row r="4318" spans="1:21" x14ac:dyDescent="0.25">
      <c r="A4318" s="644" t="s">
        <v>5967</v>
      </c>
      <c r="B4318" s="645" t="s">
        <v>3374</v>
      </c>
      <c r="C4318" s="643" t="s">
        <v>5946</v>
      </c>
      <c r="D4318" s="643" t="s">
        <v>4385</v>
      </c>
      <c r="E4318" s="645"/>
      <c r="F4318" s="657">
        <f t="shared" si="1637"/>
        <v>7.47</v>
      </c>
      <c r="G4318" s="656">
        <f t="shared" si="1638"/>
        <v>7.87</v>
      </c>
      <c r="H4318" s="656">
        <f t="shared" si="1639"/>
        <v>6.3</v>
      </c>
      <c r="I4318" s="701"/>
      <c r="J4318" s="669">
        <v>42705</v>
      </c>
      <c r="N4318" s="659"/>
    </row>
    <row r="4319" spans="1:21" x14ac:dyDescent="0.25">
      <c r="A4319" s="644" t="s">
        <v>5968</v>
      </c>
      <c r="B4319" s="645" t="s">
        <v>3374</v>
      </c>
      <c r="C4319" s="643" t="s">
        <v>5946</v>
      </c>
      <c r="D4319" s="643" t="s">
        <v>4387</v>
      </c>
      <c r="E4319" s="645"/>
      <c r="F4319" s="657">
        <f t="shared" si="1637"/>
        <v>3.97</v>
      </c>
      <c r="G4319" s="656">
        <f t="shared" si="1638"/>
        <v>4.37</v>
      </c>
      <c r="H4319" s="656">
        <f t="shared" si="1639"/>
        <v>3.5</v>
      </c>
      <c r="I4319" s="701"/>
      <c r="J4319" s="669">
        <v>42705</v>
      </c>
      <c r="N4319" s="659"/>
    </row>
    <row r="4320" spans="1:21" x14ac:dyDescent="0.25">
      <c r="A4320" s="644" t="s">
        <v>5969</v>
      </c>
      <c r="B4320" s="645" t="s">
        <v>3374</v>
      </c>
      <c r="C4320" s="643" t="s">
        <v>5947</v>
      </c>
      <c r="D4320" s="643" t="s">
        <v>4385</v>
      </c>
      <c r="E4320" s="645"/>
      <c r="F4320" s="657">
        <f t="shared" si="1637"/>
        <v>7.47</v>
      </c>
      <c r="G4320" s="656">
        <f t="shared" si="1638"/>
        <v>7.87</v>
      </c>
      <c r="H4320" s="656">
        <f t="shared" si="1639"/>
        <v>6.3</v>
      </c>
      <c r="I4320" s="701"/>
      <c r="J4320" s="669">
        <v>42705</v>
      </c>
      <c r="N4320" s="659"/>
    </row>
    <row r="4321" spans="1:21" x14ac:dyDescent="0.25">
      <c r="A4321" s="644" t="s">
        <v>5970</v>
      </c>
      <c r="B4321" s="645" t="s">
        <v>3374</v>
      </c>
      <c r="C4321" s="643" t="s">
        <v>5947</v>
      </c>
      <c r="D4321" s="643" t="s">
        <v>4387</v>
      </c>
      <c r="E4321" s="645"/>
      <c r="F4321" s="657">
        <f t="shared" si="1637"/>
        <v>3.97</v>
      </c>
      <c r="G4321" s="656">
        <f t="shared" si="1638"/>
        <v>4.37</v>
      </c>
      <c r="H4321" s="656">
        <f t="shared" si="1639"/>
        <v>3.5</v>
      </c>
      <c r="I4321" s="701"/>
      <c r="J4321" s="669">
        <v>42705</v>
      </c>
      <c r="N4321" s="659"/>
    </row>
    <row r="4322" spans="1:21" x14ac:dyDescent="0.25">
      <c r="A4322" s="644" t="s">
        <v>5971</v>
      </c>
      <c r="B4322" s="645" t="s">
        <v>3374</v>
      </c>
      <c r="C4322" s="643" t="s">
        <v>5948</v>
      </c>
      <c r="D4322" s="643" t="s">
        <v>4385</v>
      </c>
      <c r="E4322" s="645"/>
      <c r="F4322" s="657">
        <f t="shared" si="1637"/>
        <v>7.28</v>
      </c>
      <c r="G4322" s="656">
        <f t="shared" si="1638"/>
        <v>7.68</v>
      </c>
      <c r="H4322" s="656">
        <f t="shared" si="1639"/>
        <v>6.14</v>
      </c>
      <c r="I4322" s="701"/>
      <c r="J4322" s="669">
        <v>42919</v>
      </c>
      <c r="N4322" s="659"/>
    </row>
    <row r="4323" spans="1:21" x14ac:dyDescent="0.25">
      <c r="A4323" s="644" t="s">
        <v>5972</v>
      </c>
      <c r="B4323" s="645" t="s">
        <v>3374</v>
      </c>
      <c r="C4323" s="643" t="s">
        <v>5948</v>
      </c>
      <c r="D4323" s="643" t="s">
        <v>4387</v>
      </c>
      <c r="E4323" s="645"/>
      <c r="F4323" s="657">
        <f t="shared" si="1637"/>
        <v>3.87</v>
      </c>
      <c r="G4323" s="656">
        <f t="shared" si="1638"/>
        <v>4.2699999999999996</v>
      </c>
      <c r="H4323" s="656">
        <f t="shared" si="1639"/>
        <v>3.42</v>
      </c>
      <c r="I4323" s="701"/>
      <c r="J4323" s="669">
        <v>42919</v>
      </c>
      <c r="N4323" s="659"/>
    </row>
    <row r="4324" spans="1:21" x14ac:dyDescent="0.25">
      <c r="A4324" s="644" t="s">
        <v>5973</v>
      </c>
      <c r="B4324" s="645" t="s">
        <v>3374</v>
      </c>
      <c r="C4324" s="643" t="s">
        <v>5949</v>
      </c>
      <c r="D4324" s="643" t="s">
        <v>4385</v>
      </c>
      <c r="E4324" s="645"/>
      <c r="F4324" s="657">
        <f t="shared" si="1637"/>
        <v>7.28</v>
      </c>
      <c r="G4324" s="656">
        <f t="shared" si="1638"/>
        <v>7.68</v>
      </c>
      <c r="H4324" s="656">
        <f t="shared" si="1639"/>
        <v>6.14</v>
      </c>
      <c r="I4324" s="701"/>
      <c r="J4324" s="669">
        <v>42919</v>
      </c>
      <c r="N4324" s="659"/>
    </row>
    <row r="4325" spans="1:21" x14ac:dyDescent="0.25">
      <c r="A4325" s="644" t="s">
        <v>5974</v>
      </c>
      <c r="B4325" s="645" t="s">
        <v>3374</v>
      </c>
      <c r="C4325" s="643" t="s">
        <v>5949</v>
      </c>
      <c r="D4325" s="643" t="s">
        <v>4387</v>
      </c>
      <c r="E4325" s="645"/>
      <c r="F4325" s="657">
        <f t="shared" si="1637"/>
        <v>3.87</v>
      </c>
      <c r="G4325" s="656">
        <f t="shared" si="1638"/>
        <v>4.2699999999999996</v>
      </c>
      <c r="H4325" s="656">
        <f t="shared" si="1639"/>
        <v>3.42</v>
      </c>
      <c r="I4325" s="701"/>
      <c r="J4325" s="669">
        <v>42919</v>
      </c>
      <c r="N4325" s="659"/>
    </row>
    <row r="4326" spans="1:21" x14ac:dyDescent="0.25">
      <c r="A4326" s="644" t="s">
        <v>5975</v>
      </c>
      <c r="B4326" s="645" t="s">
        <v>3374</v>
      </c>
      <c r="C4326" s="643" t="s">
        <v>5950</v>
      </c>
      <c r="D4326" s="643" t="s">
        <v>4385</v>
      </c>
      <c r="E4326" s="645"/>
      <c r="F4326" s="657">
        <f t="shared" si="1637"/>
        <v>7.28</v>
      </c>
      <c r="G4326" s="656">
        <f t="shared" si="1638"/>
        <v>7.68</v>
      </c>
      <c r="H4326" s="656">
        <f t="shared" si="1639"/>
        <v>6.14</v>
      </c>
      <c r="I4326" s="701"/>
      <c r="J4326" s="669">
        <v>42919</v>
      </c>
      <c r="N4326" s="659"/>
    </row>
    <row r="4327" spans="1:21" x14ac:dyDescent="0.25">
      <c r="A4327" s="644" t="s">
        <v>5976</v>
      </c>
      <c r="B4327" s="645" t="s">
        <v>3374</v>
      </c>
      <c r="C4327" s="643" t="s">
        <v>5950</v>
      </c>
      <c r="D4327" s="643" t="s">
        <v>4387</v>
      </c>
      <c r="E4327" s="645"/>
      <c r="F4327" s="657">
        <f t="shared" si="1637"/>
        <v>3.87</v>
      </c>
      <c r="G4327" s="656">
        <f t="shared" si="1638"/>
        <v>4.2699999999999996</v>
      </c>
      <c r="H4327" s="656">
        <f t="shared" si="1639"/>
        <v>3.42</v>
      </c>
      <c r="I4327" s="701"/>
      <c r="J4327" s="669">
        <v>42919</v>
      </c>
      <c r="N4327" s="659"/>
    </row>
    <row r="4328" spans="1:21" x14ac:dyDescent="0.25">
      <c r="A4328" s="16"/>
      <c r="B4328" s="28"/>
      <c r="C4328" s="34"/>
      <c r="D4328" s="34"/>
      <c r="E4328" s="2"/>
      <c r="F4328" s="445"/>
      <c r="G4328" s="14"/>
      <c r="H4328" s="14"/>
      <c r="I4328" s="695"/>
      <c r="J4328" s="669"/>
      <c r="N4328" s="270" t="s">
        <v>5490</v>
      </c>
      <c r="P4328" t="s">
        <v>4385</v>
      </c>
      <c r="Q4328" t="s">
        <v>4387</v>
      </c>
      <c r="R4328" t="s">
        <v>49</v>
      </c>
      <c r="S4328" s="127" t="s">
        <v>2884</v>
      </c>
      <c r="T4328" t="s">
        <v>4385</v>
      </c>
      <c r="U4328" t="s">
        <v>4387</v>
      </c>
    </row>
    <row r="4329" spans="1:21" x14ac:dyDescent="0.25">
      <c r="A4329" s="644" t="s">
        <v>6230</v>
      </c>
      <c r="B4329" s="645" t="s">
        <v>3374</v>
      </c>
      <c r="C4329" s="643" t="str">
        <f t="shared" ref="C4329:C4352" si="1644">"Inbetriebnahme "&amp;TEXT(DATEVALUE(RIGHT(A4329,5)),"MM/JJJJ")</f>
        <v>Inbetriebnahme 01/2018</v>
      </c>
      <c r="D4329" s="643" t="s">
        <v>4385</v>
      </c>
      <c r="E4329" s="645"/>
      <c r="F4329" s="657">
        <f t="shared" ref="F4329:F4352" si="1645">IF(HLOOKUP($D4329,$T$4328:$U$4340,MATCH(MID($A4329,10,3),$N$4328:$N$4340,0),FALSE)&lt;&gt;"",ROUND(HLOOKUP($D4329,$T$4328:$U$4340,MATCH(MID($A4329,10,3),$N$4328:$N$4340,0),FALSE),2),"")</f>
        <v>7.09</v>
      </c>
      <c r="G4329" s="656">
        <f t="shared" ref="G4329:G4352" si="1646">IF(HLOOKUP($D4329,$P$4328:$Q$4340,MATCH(MID($A4329,10,3),$N$4328:$N$4340,0),FALSE)&lt;&gt;"",ROUND(HLOOKUP($D4329,$P$4328:$Q$4340,MATCH(MID($A4329,10,3),$N$4328:$N$4340,0),FALSE),2),"")</f>
        <v>7.49</v>
      </c>
      <c r="H4329" s="656">
        <f t="shared" ref="H4329:H4352" si="1647">IF(ISNUMBER(G4329),ROUND(0.8*G4329,2),"")</f>
        <v>5.99</v>
      </c>
      <c r="I4329" s="701"/>
      <c r="J4329" s="669">
        <v>43077</v>
      </c>
      <c r="M4329" s="127">
        <v>2018</v>
      </c>
      <c r="N4329" s="660" t="s">
        <v>5951</v>
      </c>
      <c r="O4329" s="568">
        <v>2.4E-2</v>
      </c>
      <c r="P4329" s="327">
        <f>IF($O4329&lt;&gt;"",(1-$O4329)*P4315,"")</f>
        <v>7.4927017421005813</v>
      </c>
      <c r="Q4329" s="327">
        <f>IF($O4329&lt;&gt;"",(1-$O4329)*Q4315,"")</f>
        <v>4.1665859329580792</v>
      </c>
      <c r="T4329" s="327">
        <f>P4329-0.4</f>
        <v>7.0927017421005809</v>
      </c>
      <c r="U4329" s="327">
        <f>Q4329-0.4</f>
        <v>3.7665859329580793</v>
      </c>
    </row>
    <row r="4330" spans="1:21" x14ac:dyDescent="0.25">
      <c r="A4330" s="644" t="s">
        <v>6231</v>
      </c>
      <c r="B4330" s="645" t="s">
        <v>3374</v>
      </c>
      <c r="C4330" s="643" t="str">
        <f t="shared" si="1644"/>
        <v>Inbetriebnahme 01/2018</v>
      </c>
      <c r="D4330" s="643" t="s">
        <v>4387</v>
      </c>
      <c r="E4330" s="645"/>
      <c r="F4330" s="657">
        <f t="shared" si="1645"/>
        <v>3.77</v>
      </c>
      <c r="G4330" s="656">
        <f t="shared" si="1646"/>
        <v>4.17</v>
      </c>
      <c r="H4330" s="656">
        <f t="shared" si="1647"/>
        <v>3.34</v>
      </c>
      <c r="I4330" s="701"/>
      <c r="J4330" s="669">
        <v>43077</v>
      </c>
      <c r="M4330" s="49"/>
      <c r="N4330" s="660" t="s">
        <v>5933</v>
      </c>
      <c r="O4330" s="568">
        <v>0</v>
      </c>
      <c r="P4330" s="327">
        <f t="shared" ref="P4330:P4340" si="1648">IF($O4330&lt;&gt;"",(1-$O4330)*P4329,"")</f>
        <v>7.4927017421005813</v>
      </c>
      <c r="Q4330" s="327">
        <f t="shared" ref="Q4330:Q4340" si="1649">IF($O4330&lt;&gt;"",(1-$O4330)*Q4329,"")</f>
        <v>4.1665859329580792</v>
      </c>
      <c r="T4330" s="327">
        <f t="shared" ref="T4330:T4340" si="1650">IF($O4330&lt;&gt;"",P4330-0.4,"")</f>
        <v>7.0927017421005809</v>
      </c>
      <c r="U4330" s="327">
        <f t="shared" ref="U4330:U4340" si="1651">IF($O4330&lt;&gt;"",Q4330-0.4,"")</f>
        <v>3.7665859329580793</v>
      </c>
    </row>
    <row r="4331" spans="1:21" x14ac:dyDescent="0.25">
      <c r="A4331" s="644" t="s">
        <v>6232</v>
      </c>
      <c r="B4331" s="645" t="s">
        <v>3374</v>
      </c>
      <c r="C4331" s="643" t="str">
        <f t="shared" si="1644"/>
        <v>Inbetriebnahme 02/2018</v>
      </c>
      <c r="D4331" s="643" t="s">
        <v>4385</v>
      </c>
      <c r="E4331" s="645"/>
      <c r="F4331" s="657">
        <f t="shared" si="1645"/>
        <v>7.09</v>
      </c>
      <c r="G4331" s="656">
        <f t="shared" si="1646"/>
        <v>7.49</v>
      </c>
      <c r="H4331" s="656">
        <f t="shared" si="1647"/>
        <v>5.99</v>
      </c>
      <c r="I4331" s="701"/>
      <c r="J4331" s="669">
        <v>43077</v>
      </c>
      <c r="M4331" s="49"/>
      <c r="N4331" s="660" t="s">
        <v>6308</v>
      </c>
      <c r="O4331" s="568">
        <v>0</v>
      </c>
      <c r="P4331" s="327">
        <f t="shared" si="1648"/>
        <v>7.4927017421005813</v>
      </c>
      <c r="Q4331" s="327">
        <f t="shared" si="1649"/>
        <v>4.1665859329580792</v>
      </c>
      <c r="T4331" s="327">
        <f t="shared" si="1650"/>
        <v>7.0927017421005809</v>
      </c>
      <c r="U4331" s="327">
        <f t="shared" si="1651"/>
        <v>3.7665859329580793</v>
      </c>
    </row>
    <row r="4332" spans="1:21" x14ac:dyDescent="0.25">
      <c r="A4332" s="644" t="s">
        <v>6233</v>
      </c>
      <c r="B4332" s="645" t="s">
        <v>3374</v>
      </c>
      <c r="C4332" s="643" t="str">
        <f t="shared" si="1644"/>
        <v>Inbetriebnahme 02/2018</v>
      </c>
      <c r="D4332" s="643" t="s">
        <v>4387</v>
      </c>
      <c r="E4332" s="645"/>
      <c r="F4332" s="657">
        <f t="shared" si="1645"/>
        <v>3.77</v>
      </c>
      <c r="G4332" s="656">
        <f t="shared" si="1646"/>
        <v>4.17</v>
      </c>
      <c r="H4332" s="656">
        <f t="shared" si="1647"/>
        <v>3.34</v>
      </c>
      <c r="I4332" s="701"/>
      <c r="J4332" s="669">
        <v>43077</v>
      </c>
      <c r="M4332" s="49"/>
      <c r="N4332" s="660" t="s">
        <v>5935</v>
      </c>
      <c r="O4332" s="568">
        <v>2.4E-2</v>
      </c>
      <c r="P4332" s="327">
        <f t="shared" si="1648"/>
        <v>7.312876900290167</v>
      </c>
      <c r="Q4332" s="327">
        <f t="shared" si="1649"/>
        <v>4.0665878705670853</v>
      </c>
      <c r="T4332" s="327">
        <f t="shared" si="1650"/>
        <v>6.9128769002901667</v>
      </c>
      <c r="U4332" s="327">
        <f t="shared" si="1651"/>
        <v>3.6665878705670853</v>
      </c>
    </row>
    <row r="4333" spans="1:21" x14ac:dyDescent="0.25">
      <c r="A4333" s="644" t="s">
        <v>6292</v>
      </c>
      <c r="B4333" s="645" t="s">
        <v>3374</v>
      </c>
      <c r="C4333" s="643" t="str">
        <f t="shared" si="1644"/>
        <v>Inbetriebnahme 03/2018</v>
      </c>
      <c r="D4333" s="643" t="s">
        <v>4385</v>
      </c>
      <c r="E4333" s="645"/>
      <c r="F4333" s="657">
        <f t="shared" si="1645"/>
        <v>7.09</v>
      </c>
      <c r="G4333" s="656">
        <f t="shared" si="1646"/>
        <v>7.49</v>
      </c>
      <c r="H4333" s="656">
        <f t="shared" si="1647"/>
        <v>5.99</v>
      </c>
      <c r="I4333" s="701"/>
      <c r="J4333" s="669">
        <v>43077</v>
      </c>
      <c r="N4333" s="661" t="s">
        <v>5936</v>
      </c>
      <c r="O4333" s="568">
        <v>0</v>
      </c>
      <c r="P4333" s="327">
        <f t="shared" si="1648"/>
        <v>7.312876900290167</v>
      </c>
      <c r="Q4333" s="327">
        <f t="shared" si="1649"/>
        <v>4.0665878705670853</v>
      </c>
      <c r="T4333" s="327">
        <f t="shared" si="1650"/>
        <v>6.9128769002901667</v>
      </c>
      <c r="U4333" s="327">
        <f t="shared" si="1651"/>
        <v>3.6665878705670853</v>
      </c>
    </row>
    <row r="4334" spans="1:21" x14ac:dyDescent="0.25">
      <c r="A4334" s="644" t="s">
        <v>6293</v>
      </c>
      <c r="B4334" s="645" t="s">
        <v>3374</v>
      </c>
      <c r="C4334" s="643" t="str">
        <f t="shared" si="1644"/>
        <v>Inbetriebnahme 03/2018</v>
      </c>
      <c r="D4334" s="643" t="s">
        <v>4387</v>
      </c>
      <c r="E4334" s="645"/>
      <c r="F4334" s="657">
        <f t="shared" si="1645"/>
        <v>3.77</v>
      </c>
      <c r="G4334" s="656">
        <f t="shared" si="1646"/>
        <v>4.17</v>
      </c>
      <c r="H4334" s="656">
        <f t="shared" si="1647"/>
        <v>3.34</v>
      </c>
      <c r="I4334" s="701"/>
      <c r="J4334" s="669">
        <v>43077</v>
      </c>
      <c r="N4334" s="660" t="s">
        <v>5937</v>
      </c>
      <c r="O4334" s="568">
        <v>0</v>
      </c>
      <c r="P4334" s="327">
        <f t="shared" si="1648"/>
        <v>7.312876900290167</v>
      </c>
      <c r="Q4334" s="327">
        <f t="shared" si="1649"/>
        <v>4.0665878705670853</v>
      </c>
      <c r="T4334" s="327">
        <f t="shared" si="1650"/>
        <v>6.9128769002901667</v>
      </c>
      <c r="U4334" s="327">
        <f t="shared" si="1651"/>
        <v>3.6665878705670853</v>
      </c>
    </row>
    <row r="4335" spans="1:21" x14ac:dyDescent="0.25">
      <c r="A4335" s="644" t="s">
        <v>6234</v>
      </c>
      <c r="B4335" s="645" t="s">
        <v>3374</v>
      </c>
      <c r="C4335" s="643" t="str">
        <f t="shared" si="1644"/>
        <v>Inbetriebnahme 04/2018</v>
      </c>
      <c r="D4335" s="643" t="s">
        <v>4385</v>
      </c>
      <c r="E4335" s="645"/>
      <c r="F4335" s="657">
        <f t="shared" si="1645"/>
        <v>6.91</v>
      </c>
      <c r="G4335" s="656">
        <f t="shared" si="1646"/>
        <v>7.31</v>
      </c>
      <c r="H4335" s="656">
        <f t="shared" si="1647"/>
        <v>5.85</v>
      </c>
      <c r="I4335" s="701"/>
      <c r="J4335" s="669">
        <v>43077</v>
      </c>
      <c r="N4335" s="661" t="s">
        <v>5938</v>
      </c>
      <c r="O4335" s="568">
        <v>2.4E-2</v>
      </c>
      <c r="P4335" s="327">
        <f t="shared" si="1648"/>
        <v>7.1373678546832027</v>
      </c>
      <c r="Q4335" s="327">
        <f t="shared" si="1649"/>
        <v>3.9689897616734751</v>
      </c>
      <c r="T4335" s="327">
        <f t="shared" si="1650"/>
        <v>6.7373678546832023</v>
      </c>
      <c r="U4335" s="327">
        <f t="shared" si="1651"/>
        <v>3.5689897616734751</v>
      </c>
    </row>
    <row r="4336" spans="1:21" x14ac:dyDescent="0.25">
      <c r="A4336" s="644" t="s">
        <v>6235</v>
      </c>
      <c r="B4336" s="645" t="s">
        <v>3374</v>
      </c>
      <c r="C4336" s="643" t="str">
        <f t="shared" si="1644"/>
        <v>Inbetriebnahme 04/2018</v>
      </c>
      <c r="D4336" s="643" t="s">
        <v>4387</v>
      </c>
      <c r="E4336" s="645"/>
      <c r="F4336" s="657">
        <f t="shared" si="1645"/>
        <v>3.67</v>
      </c>
      <c r="G4336" s="656">
        <f t="shared" si="1646"/>
        <v>4.07</v>
      </c>
      <c r="H4336" s="656">
        <f t="shared" si="1647"/>
        <v>3.26</v>
      </c>
      <c r="I4336" s="701"/>
      <c r="J4336" s="669">
        <v>43077</v>
      </c>
      <c r="N4336" s="660" t="s">
        <v>5939</v>
      </c>
      <c r="O4336" s="568">
        <v>0</v>
      </c>
      <c r="P4336" s="327">
        <f t="shared" si="1648"/>
        <v>7.1373678546832027</v>
      </c>
      <c r="Q4336" s="327">
        <f t="shared" si="1649"/>
        <v>3.9689897616734751</v>
      </c>
      <c r="T4336" s="327">
        <f t="shared" si="1650"/>
        <v>6.7373678546832023</v>
      </c>
      <c r="U4336" s="327">
        <f t="shared" si="1651"/>
        <v>3.5689897616734751</v>
      </c>
    </row>
    <row r="4337" spans="1:21" x14ac:dyDescent="0.25">
      <c r="A4337" s="644" t="s">
        <v>6236</v>
      </c>
      <c r="B4337" s="645" t="s">
        <v>3374</v>
      </c>
      <c r="C4337" s="643" t="str">
        <f t="shared" si="1644"/>
        <v>Inbetriebnahme 05/2018</v>
      </c>
      <c r="D4337" s="643" t="s">
        <v>4385</v>
      </c>
      <c r="E4337" s="645"/>
      <c r="F4337" s="657">
        <f t="shared" si="1645"/>
        <v>6.91</v>
      </c>
      <c r="G4337" s="656">
        <f t="shared" si="1646"/>
        <v>7.31</v>
      </c>
      <c r="H4337" s="656">
        <f t="shared" si="1647"/>
        <v>5.85</v>
      </c>
      <c r="I4337" s="701"/>
      <c r="J4337" s="669">
        <v>43077</v>
      </c>
      <c r="N4337" s="661" t="s">
        <v>5940</v>
      </c>
      <c r="O4337" s="568">
        <v>0</v>
      </c>
      <c r="P4337" s="327">
        <f t="shared" si="1648"/>
        <v>7.1373678546832027</v>
      </c>
      <c r="Q4337" s="327">
        <f t="shared" si="1649"/>
        <v>3.9689897616734751</v>
      </c>
      <c r="T4337" s="327">
        <f t="shared" si="1650"/>
        <v>6.7373678546832023</v>
      </c>
      <c r="U4337" s="327">
        <f t="shared" si="1651"/>
        <v>3.5689897616734751</v>
      </c>
    </row>
    <row r="4338" spans="1:21" x14ac:dyDescent="0.25">
      <c r="A4338" s="644" t="s">
        <v>6237</v>
      </c>
      <c r="B4338" s="645" t="s">
        <v>3374</v>
      </c>
      <c r="C4338" s="643" t="str">
        <f t="shared" si="1644"/>
        <v>Inbetriebnahme 05/2018</v>
      </c>
      <c r="D4338" s="643" t="s">
        <v>4387</v>
      </c>
      <c r="E4338" s="645"/>
      <c r="F4338" s="657">
        <f t="shared" si="1645"/>
        <v>3.67</v>
      </c>
      <c r="G4338" s="656">
        <f t="shared" si="1646"/>
        <v>4.07</v>
      </c>
      <c r="H4338" s="656">
        <f t="shared" si="1647"/>
        <v>3.26</v>
      </c>
      <c r="I4338" s="701"/>
      <c r="J4338" s="669">
        <v>43077</v>
      </c>
      <c r="N4338" s="660" t="s">
        <v>5941</v>
      </c>
      <c r="O4338" s="568">
        <v>2.4E-2</v>
      </c>
      <c r="P4338" s="327">
        <f t="shared" si="1648"/>
        <v>6.9660710261708054</v>
      </c>
      <c r="Q4338" s="327">
        <f t="shared" si="1649"/>
        <v>3.8737340073933115</v>
      </c>
      <c r="T4338" s="327">
        <f t="shared" si="1650"/>
        <v>6.5660710261708051</v>
      </c>
      <c r="U4338" s="327">
        <f t="shared" si="1651"/>
        <v>3.4737340073933116</v>
      </c>
    </row>
    <row r="4339" spans="1:21" x14ac:dyDescent="0.25">
      <c r="A4339" s="644" t="s">
        <v>6238</v>
      </c>
      <c r="B4339" s="645" t="s">
        <v>3374</v>
      </c>
      <c r="C4339" s="643" t="str">
        <f t="shared" si="1644"/>
        <v>Inbetriebnahme 06/2018</v>
      </c>
      <c r="D4339" s="643" t="s">
        <v>4385</v>
      </c>
      <c r="E4339" s="645"/>
      <c r="F4339" s="657">
        <f t="shared" si="1645"/>
        <v>6.91</v>
      </c>
      <c r="G4339" s="656">
        <f t="shared" si="1646"/>
        <v>7.31</v>
      </c>
      <c r="H4339" s="656">
        <f t="shared" si="1647"/>
        <v>5.85</v>
      </c>
      <c r="I4339" s="701"/>
      <c r="J4339" s="669">
        <v>43077</v>
      </c>
      <c r="N4339" s="661" t="s">
        <v>5942</v>
      </c>
      <c r="O4339" s="568">
        <v>0</v>
      </c>
      <c r="P4339" s="327">
        <f t="shared" si="1648"/>
        <v>6.9660710261708054</v>
      </c>
      <c r="Q4339" s="327">
        <f t="shared" si="1649"/>
        <v>3.8737340073933115</v>
      </c>
      <c r="T4339" s="327">
        <f t="shared" si="1650"/>
        <v>6.5660710261708051</v>
      </c>
      <c r="U4339" s="327">
        <f t="shared" si="1651"/>
        <v>3.4737340073933116</v>
      </c>
    </row>
    <row r="4340" spans="1:21" x14ac:dyDescent="0.25">
      <c r="A4340" s="644" t="s">
        <v>6239</v>
      </c>
      <c r="B4340" s="645" t="s">
        <v>3374</v>
      </c>
      <c r="C4340" s="643" t="str">
        <f t="shared" si="1644"/>
        <v>Inbetriebnahme 06/2018</v>
      </c>
      <c r="D4340" s="643" t="s">
        <v>4387</v>
      </c>
      <c r="E4340" s="645"/>
      <c r="F4340" s="657">
        <f t="shared" si="1645"/>
        <v>3.67</v>
      </c>
      <c r="G4340" s="656">
        <f t="shared" si="1646"/>
        <v>4.07</v>
      </c>
      <c r="H4340" s="656">
        <f t="shared" si="1647"/>
        <v>3.26</v>
      </c>
      <c r="I4340" s="701"/>
      <c r="J4340" s="669">
        <v>43077</v>
      </c>
      <c r="N4340" s="660" t="s">
        <v>5943</v>
      </c>
      <c r="O4340" s="568">
        <v>0</v>
      </c>
      <c r="P4340" s="327">
        <f t="shared" si="1648"/>
        <v>6.9660710261708054</v>
      </c>
      <c r="Q4340" s="327">
        <f t="shared" si="1649"/>
        <v>3.8737340073933115</v>
      </c>
      <c r="T4340" s="327">
        <f t="shared" si="1650"/>
        <v>6.5660710261708051</v>
      </c>
      <c r="U4340" s="327">
        <f t="shared" si="1651"/>
        <v>3.4737340073933116</v>
      </c>
    </row>
    <row r="4341" spans="1:21" x14ac:dyDescent="0.25">
      <c r="A4341" s="644" t="s">
        <v>6240</v>
      </c>
      <c r="B4341" s="645" t="s">
        <v>3374</v>
      </c>
      <c r="C4341" s="643" t="str">
        <f t="shared" si="1644"/>
        <v>Inbetriebnahme 07/2018</v>
      </c>
      <c r="D4341" s="643" t="s">
        <v>4385</v>
      </c>
      <c r="E4341" s="645"/>
      <c r="F4341" s="657">
        <f t="shared" si="1645"/>
        <v>6.74</v>
      </c>
      <c r="G4341" s="656">
        <f t="shared" si="1646"/>
        <v>7.14</v>
      </c>
      <c r="H4341" s="656">
        <f t="shared" si="1647"/>
        <v>5.71</v>
      </c>
      <c r="I4341" s="701"/>
      <c r="J4341" s="669">
        <v>43168</v>
      </c>
      <c r="N4341" s="659"/>
    </row>
    <row r="4342" spans="1:21" x14ac:dyDescent="0.25">
      <c r="A4342" s="644" t="s">
        <v>6241</v>
      </c>
      <c r="B4342" s="645" t="s">
        <v>3374</v>
      </c>
      <c r="C4342" s="643" t="str">
        <f t="shared" si="1644"/>
        <v>Inbetriebnahme 07/2018</v>
      </c>
      <c r="D4342" s="643" t="s">
        <v>4387</v>
      </c>
      <c r="E4342" s="645"/>
      <c r="F4342" s="657">
        <f t="shared" si="1645"/>
        <v>3.57</v>
      </c>
      <c r="G4342" s="656">
        <f t="shared" si="1646"/>
        <v>3.97</v>
      </c>
      <c r="H4342" s="656">
        <f t="shared" si="1647"/>
        <v>3.18</v>
      </c>
      <c r="I4342" s="701"/>
      <c r="J4342" s="669">
        <v>43168</v>
      </c>
      <c r="N4342" s="659"/>
    </row>
    <row r="4343" spans="1:21" x14ac:dyDescent="0.25">
      <c r="A4343" s="644" t="s">
        <v>6242</v>
      </c>
      <c r="B4343" s="645" t="s">
        <v>3374</v>
      </c>
      <c r="C4343" s="643" t="str">
        <f t="shared" si="1644"/>
        <v>Inbetriebnahme 08/2018</v>
      </c>
      <c r="D4343" s="643" t="s">
        <v>4385</v>
      </c>
      <c r="E4343" s="645"/>
      <c r="F4343" s="657">
        <f t="shared" si="1645"/>
        <v>6.74</v>
      </c>
      <c r="G4343" s="656">
        <f t="shared" si="1646"/>
        <v>7.14</v>
      </c>
      <c r="H4343" s="656">
        <f t="shared" si="1647"/>
        <v>5.71</v>
      </c>
      <c r="I4343" s="701"/>
      <c r="J4343" s="669">
        <v>43168</v>
      </c>
      <c r="N4343" s="659"/>
    </row>
    <row r="4344" spans="1:21" x14ac:dyDescent="0.25">
      <c r="A4344" s="644" t="s">
        <v>6243</v>
      </c>
      <c r="B4344" s="645" t="s">
        <v>3374</v>
      </c>
      <c r="C4344" s="643" t="str">
        <f t="shared" si="1644"/>
        <v>Inbetriebnahme 08/2018</v>
      </c>
      <c r="D4344" s="643" t="s">
        <v>4387</v>
      </c>
      <c r="E4344" s="645"/>
      <c r="F4344" s="657">
        <f t="shared" si="1645"/>
        <v>3.57</v>
      </c>
      <c r="G4344" s="656">
        <f t="shared" si="1646"/>
        <v>3.97</v>
      </c>
      <c r="H4344" s="656">
        <f t="shared" si="1647"/>
        <v>3.18</v>
      </c>
      <c r="I4344" s="701"/>
      <c r="J4344" s="669">
        <v>43168</v>
      </c>
      <c r="N4344" s="659"/>
    </row>
    <row r="4345" spans="1:21" x14ac:dyDescent="0.25">
      <c r="A4345" s="644" t="s">
        <v>6244</v>
      </c>
      <c r="B4345" s="645" t="s">
        <v>3374</v>
      </c>
      <c r="C4345" s="643" t="str">
        <f t="shared" si="1644"/>
        <v>Inbetriebnahme 09/2018</v>
      </c>
      <c r="D4345" s="643" t="s">
        <v>4385</v>
      </c>
      <c r="E4345" s="645"/>
      <c r="F4345" s="657">
        <f t="shared" si="1645"/>
        <v>6.74</v>
      </c>
      <c r="G4345" s="656">
        <f t="shared" si="1646"/>
        <v>7.14</v>
      </c>
      <c r="H4345" s="656">
        <f t="shared" si="1647"/>
        <v>5.71</v>
      </c>
      <c r="I4345" s="701"/>
      <c r="J4345" s="669">
        <v>43168</v>
      </c>
      <c r="N4345" s="659"/>
    </row>
    <row r="4346" spans="1:21" x14ac:dyDescent="0.25">
      <c r="A4346" s="644" t="s">
        <v>6245</v>
      </c>
      <c r="B4346" s="645" t="s">
        <v>3374</v>
      </c>
      <c r="C4346" s="643" t="str">
        <f t="shared" si="1644"/>
        <v>Inbetriebnahme 09/2018</v>
      </c>
      <c r="D4346" s="643" t="s">
        <v>4387</v>
      </c>
      <c r="E4346" s="645"/>
      <c r="F4346" s="657">
        <f t="shared" si="1645"/>
        <v>3.57</v>
      </c>
      <c r="G4346" s="656">
        <f t="shared" si="1646"/>
        <v>3.97</v>
      </c>
      <c r="H4346" s="656">
        <f t="shared" si="1647"/>
        <v>3.18</v>
      </c>
      <c r="I4346" s="701"/>
      <c r="J4346" s="669">
        <v>43168</v>
      </c>
      <c r="N4346" s="659"/>
    </row>
    <row r="4347" spans="1:21" x14ac:dyDescent="0.25">
      <c r="A4347" s="644" t="s">
        <v>6246</v>
      </c>
      <c r="B4347" s="645" t="s">
        <v>3374</v>
      </c>
      <c r="C4347" s="643" t="str">
        <f t="shared" si="1644"/>
        <v>Inbetriebnahme 10/2018</v>
      </c>
      <c r="D4347" s="643" t="s">
        <v>4385</v>
      </c>
      <c r="E4347" s="645"/>
      <c r="F4347" s="657">
        <f t="shared" si="1645"/>
        <v>6.57</v>
      </c>
      <c r="G4347" s="656">
        <f t="shared" si="1646"/>
        <v>6.97</v>
      </c>
      <c r="H4347" s="656">
        <f t="shared" si="1647"/>
        <v>5.58</v>
      </c>
      <c r="I4347" s="701"/>
      <c r="J4347" s="669">
        <v>43318</v>
      </c>
      <c r="N4347" s="659"/>
    </row>
    <row r="4348" spans="1:21" x14ac:dyDescent="0.25">
      <c r="A4348" s="644" t="s">
        <v>6247</v>
      </c>
      <c r="B4348" s="645" t="s">
        <v>3374</v>
      </c>
      <c r="C4348" s="643" t="str">
        <f t="shared" si="1644"/>
        <v>Inbetriebnahme 10/2018</v>
      </c>
      <c r="D4348" s="643" t="s">
        <v>4387</v>
      </c>
      <c r="E4348" s="645"/>
      <c r="F4348" s="657">
        <f t="shared" si="1645"/>
        <v>3.47</v>
      </c>
      <c r="G4348" s="656">
        <f t="shared" si="1646"/>
        <v>3.87</v>
      </c>
      <c r="H4348" s="656">
        <f t="shared" si="1647"/>
        <v>3.1</v>
      </c>
      <c r="I4348" s="701"/>
      <c r="J4348" s="669">
        <v>43318</v>
      </c>
      <c r="N4348" s="659" t="s">
        <v>7399</v>
      </c>
    </row>
    <row r="4349" spans="1:21" x14ac:dyDescent="0.25">
      <c r="A4349" s="644" t="s">
        <v>6248</v>
      </c>
      <c r="B4349" s="645" t="s">
        <v>3374</v>
      </c>
      <c r="C4349" s="643" t="str">
        <f t="shared" si="1644"/>
        <v>Inbetriebnahme 11/2018</v>
      </c>
      <c r="D4349" s="643" t="s">
        <v>4385</v>
      </c>
      <c r="E4349" s="645"/>
      <c r="F4349" s="657">
        <f t="shared" si="1645"/>
        <v>6.57</v>
      </c>
      <c r="G4349" s="656">
        <f t="shared" si="1646"/>
        <v>6.97</v>
      </c>
      <c r="H4349" s="656">
        <f t="shared" si="1647"/>
        <v>5.58</v>
      </c>
      <c r="I4349" s="701"/>
      <c r="J4349" s="669">
        <v>43318</v>
      </c>
      <c r="N4349" s="659"/>
    </row>
    <row r="4350" spans="1:21" x14ac:dyDescent="0.25">
      <c r="A4350" s="644" t="s">
        <v>6249</v>
      </c>
      <c r="B4350" s="645" t="s">
        <v>3374</v>
      </c>
      <c r="C4350" s="643" t="str">
        <f t="shared" si="1644"/>
        <v>Inbetriebnahme 11/2018</v>
      </c>
      <c r="D4350" s="643" t="s">
        <v>4387</v>
      </c>
      <c r="E4350" s="645"/>
      <c r="F4350" s="657">
        <f t="shared" si="1645"/>
        <v>3.47</v>
      </c>
      <c r="G4350" s="656">
        <f t="shared" si="1646"/>
        <v>3.87</v>
      </c>
      <c r="H4350" s="656">
        <f t="shared" si="1647"/>
        <v>3.1</v>
      </c>
      <c r="I4350" s="701"/>
      <c r="J4350" s="669">
        <v>43318</v>
      </c>
      <c r="N4350" s="659"/>
    </row>
    <row r="4351" spans="1:21" x14ac:dyDescent="0.25">
      <c r="A4351" s="644" t="s">
        <v>6250</v>
      </c>
      <c r="B4351" s="645" t="s">
        <v>3374</v>
      </c>
      <c r="C4351" s="643" t="str">
        <f t="shared" si="1644"/>
        <v>Inbetriebnahme 12/2018</v>
      </c>
      <c r="D4351" s="643" t="s">
        <v>4385</v>
      </c>
      <c r="E4351" s="645"/>
      <c r="F4351" s="657">
        <f t="shared" si="1645"/>
        <v>6.57</v>
      </c>
      <c r="G4351" s="656">
        <f t="shared" si="1646"/>
        <v>6.97</v>
      </c>
      <c r="H4351" s="656">
        <f t="shared" si="1647"/>
        <v>5.58</v>
      </c>
      <c r="I4351" s="701"/>
      <c r="J4351" s="669">
        <v>43318</v>
      </c>
      <c r="N4351" s="659"/>
    </row>
    <row r="4352" spans="1:21" x14ac:dyDescent="0.25">
      <c r="A4352" s="644" t="s">
        <v>6251</v>
      </c>
      <c r="B4352" s="645" t="s">
        <v>3374</v>
      </c>
      <c r="C4352" s="643" t="str">
        <f t="shared" si="1644"/>
        <v>Inbetriebnahme 12/2018</v>
      </c>
      <c r="D4352" s="643" t="s">
        <v>4387</v>
      </c>
      <c r="E4352" s="645"/>
      <c r="F4352" s="657">
        <f t="shared" si="1645"/>
        <v>3.47</v>
      </c>
      <c r="G4352" s="656">
        <f t="shared" si="1646"/>
        <v>3.87</v>
      </c>
      <c r="H4352" s="656">
        <f t="shared" si="1647"/>
        <v>3.1</v>
      </c>
      <c r="I4352" s="701"/>
      <c r="J4352" s="669">
        <v>43318</v>
      </c>
      <c r="N4352" s="659"/>
    </row>
    <row r="4353" spans="1:33" s="774" customFormat="1" x14ac:dyDescent="0.25">
      <c r="A4353" s="16"/>
      <c r="B4353" s="28"/>
      <c r="C4353" s="34"/>
      <c r="D4353" s="34"/>
      <c r="E4353" s="2"/>
      <c r="F4353" s="445"/>
      <c r="G4353" s="14"/>
      <c r="H4353" s="14"/>
      <c r="I4353" s="695"/>
      <c r="J4353" s="669"/>
      <c r="N4353" s="270"/>
      <c r="S4353" s="127"/>
    </row>
    <row r="4354" spans="1:33" s="774" customFormat="1" ht="96.6" customHeight="1" x14ac:dyDescent="0.25">
      <c r="A4354" s="1150" t="s">
        <v>7953</v>
      </c>
      <c r="B4354" s="1150"/>
      <c r="C4354" s="1150"/>
      <c r="D4354" s="1150"/>
      <c r="E4354" s="1150"/>
      <c r="F4354" s="1150"/>
      <c r="G4354" s="665"/>
      <c r="H4354" s="666"/>
      <c r="I4354" s="730"/>
      <c r="J4354" s="669">
        <v>43419</v>
      </c>
      <c r="N4354" s="270"/>
      <c r="S4354" s="127"/>
    </row>
    <row r="4355" spans="1:33" s="774" customFormat="1" x14ac:dyDescent="0.25">
      <c r="A4355" s="16"/>
      <c r="B4355" s="28"/>
      <c r="C4355" s="34"/>
      <c r="D4355" s="34"/>
      <c r="E4355" s="2"/>
      <c r="F4355" s="445"/>
      <c r="G4355" s="14"/>
      <c r="H4355" s="14"/>
      <c r="I4355" s="695"/>
      <c r="J4355" s="669"/>
      <c r="N4355" s="270"/>
      <c r="S4355" s="127"/>
    </row>
    <row r="4356" spans="1:33" x14ac:dyDescent="0.25">
      <c r="A4356" s="644" t="s">
        <v>6422</v>
      </c>
      <c r="B4356" s="645" t="s">
        <v>3374</v>
      </c>
      <c r="C4356" s="643" t="s">
        <v>6409</v>
      </c>
      <c r="D4356" s="643" t="s">
        <v>6421</v>
      </c>
      <c r="E4356" s="645"/>
      <c r="F4356" s="657"/>
      <c r="G4356" s="656">
        <v>4.63</v>
      </c>
      <c r="H4356" s="657"/>
      <c r="I4356" s="701"/>
      <c r="J4356" s="669">
        <v>43419</v>
      </c>
      <c r="N4356" s="395"/>
    </row>
    <row r="4357" spans="1:33" s="774" customFormat="1" x14ac:dyDescent="0.25">
      <c r="A4357" s="16"/>
      <c r="B4357" s="28"/>
      <c r="C4357" s="34"/>
      <c r="D4357" s="34"/>
      <c r="E4357" s="2"/>
      <c r="F4357" s="445"/>
      <c r="G4357" s="14"/>
      <c r="H4357" s="14"/>
      <c r="I4357" s="695"/>
      <c r="J4357" s="669"/>
      <c r="N4357" s="270"/>
      <c r="S4357" s="127"/>
    </row>
    <row r="4358" spans="1:33" s="774" customFormat="1" x14ac:dyDescent="0.25">
      <c r="A4358" s="644" t="s">
        <v>6559</v>
      </c>
      <c r="B4358" s="645" t="s">
        <v>3374</v>
      </c>
      <c r="C4358" s="643" t="s">
        <v>6510</v>
      </c>
      <c r="D4358" s="643" t="s">
        <v>6421</v>
      </c>
      <c r="E4358" s="645"/>
      <c r="F4358" s="657"/>
      <c r="G4358" s="656">
        <v>6.04</v>
      </c>
      <c r="H4358" s="657"/>
      <c r="I4358" s="701"/>
      <c r="J4358" s="669">
        <v>43796</v>
      </c>
      <c r="N4358" s="785"/>
    </row>
    <row r="4359" spans="1:33" s="774" customFormat="1" x14ac:dyDescent="0.25">
      <c r="A4359" s="16"/>
      <c r="B4359" s="28"/>
      <c r="C4359" s="34"/>
      <c r="D4359" s="808"/>
      <c r="E4359" s="2"/>
      <c r="F4359" s="445"/>
      <c r="G4359" s="14"/>
      <c r="H4359" s="14"/>
      <c r="I4359" s="695"/>
      <c r="J4359" s="669"/>
      <c r="S4359" s="127"/>
    </row>
    <row r="4360" spans="1:33" s="774" customFormat="1" x14ac:dyDescent="0.25">
      <c r="A4360" s="644" t="s">
        <v>7405</v>
      </c>
      <c r="B4360" s="645" t="s">
        <v>3374</v>
      </c>
      <c r="C4360" s="643" t="s">
        <v>6629</v>
      </c>
      <c r="D4360" s="643" t="s">
        <v>6687</v>
      </c>
      <c r="E4360" s="645"/>
      <c r="F4360" s="657"/>
      <c r="G4360" s="656">
        <v>6.2</v>
      </c>
      <c r="H4360" s="657"/>
      <c r="I4360" s="701"/>
      <c r="J4360" s="669">
        <v>44196</v>
      </c>
      <c r="N4360" s="785"/>
    </row>
    <row r="4361" spans="1:33" s="774" customFormat="1" x14ac:dyDescent="0.25">
      <c r="A4361" s="16"/>
      <c r="B4361" s="28"/>
      <c r="C4361" s="34"/>
      <c r="D4361" s="808"/>
      <c r="E4361" s="2"/>
      <c r="F4361" s="445"/>
      <c r="G4361" s="14"/>
      <c r="H4361" s="14"/>
      <c r="I4361" s="695"/>
      <c r="J4361" s="669"/>
      <c r="N4361" s="270"/>
      <c r="S4361" s="127"/>
    </row>
    <row r="4362" spans="1:33" s="774" customFormat="1" x14ac:dyDescent="0.25">
      <c r="A4362" s="644" t="s">
        <v>7668</v>
      </c>
      <c r="B4362" s="645" t="s">
        <v>3374</v>
      </c>
      <c r="C4362" s="643" t="s">
        <v>7669</v>
      </c>
      <c r="D4362" s="643" t="s">
        <v>6687</v>
      </c>
      <c r="E4362" s="645"/>
      <c r="F4362" s="657"/>
      <c r="G4362" s="656">
        <v>6.18</v>
      </c>
      <c r="H4362" s="657"/>
      <c r="I4362" s="701"/>
      <c r="J4362" s="669">
        <v>44536</v>
      </c>
      <c r="N4362" s="887"/>
    </row>
    <row r="4363" spans="1:33" s="774" customFormat="1" x14ac:dyDescent="0.25">
      <c r="A4363" s="16"/>
      <c r="B4363" s="28"/>
      <c r="C4363" s="34"/>
      <c r="D4363" s="808"/>
      <c r="E4363" s="2"/>
      <c r="F4363" s="445"/>
      <c r="G4363" s="14"/>
      <c r="H4363" s="14"/>
      <c r="I4363" s="695"/>
      <c r="J4363" s="669"/>
      <c r="N4363" s="270"/>
      <c r="S4363" s="127"/>
    </row>
    <row r="4364" spans="1:33" s="774" customFormat="1" x14ac:dyDescent="0.25">
      <c r="A4364" s="644" t="s">
        <v>7921</v>
      </c>
      <c r="B4364" s="645" t="s">
        <v>3374</v>
      </c>
      <c r="C4364" s="643" t="s">
        <v>7913</v>
      </c>
      <c r="D4364" s="643" t="s">
        <v>7922</v>
      </c>
      <c r="E4364" s="645"/>
      <c r="F4364" s="657"/>
      <c r="G4364" s="656">
        <v>5.97</v>
      </c>
      <c r="H4364" s="657"/>
      <c r="I4364" s="701"/>
      <c r="J4364" s="669">
        <f>J$31</f>
        <v>44896</v>
      </c>
      <c r="N4364" s="887" t="s">
        <v>7670</v>
      </c>
    </row>
    <row r="4365" spans="1:33" x14ac:dyDescent="0.25">
      <c r="A4365" s="16"/>
      <c r="B4365" s="28"/>
      <c r="C4365" s="11"/>
      <c r="D4365" s="28"/>
      <c r="E4365" s="11"/>
      <c r="F4365" s="470"/>
      <c r="G4365" s="189"/>
      <c r="H4365" s="189"/>
      <c r="I4365" s="726"/>
      <c r="J4365" s="669"/>
    </row>
    <row r="4366" spans="1:33" ht="23.25" x14ac:dyDescent="0.35">
      <c r="A4366" s="110" t="s">
        <v>2846</v>
      </c>
      <c r="B4366" s="65"/>
      <c r="C4366" s="65"/>
      <c r="D4366" s="65"/>
      <c r="E4366" s="65"/>
      <c r="F4366" s="443"/>
      <c r="G4366" s="65"/>
      <c r="H4366" s="74"/>
      <c r="I4366" s="693"/>
      <c r="J4366" s="669" t="s">
        <v>5805</v>
      </c>
      <c r="K4366" s="29"/>
      <c r="M4366" s="68" t="s">
        <v>861</v>
      </c>
      <c r="N4366" s="39"/>
      <c r="O4366" s="29"/>
      <c r="P4366" s="106"/>
    </row>
    <row r="4367" spans="1:33" x14ac:dyDescent="0.25">
      <c r="A4367" s="609"/>
      <c r="B4367" s="1"/>
      <c r="C4367" s="1"/>
      <c r="D4367" s="2"/>
      <c r="E4367" s="1"/>
      <c r="F4367" s="442"/>
      <c r="G4367" s="13"/>
      <c r="H4367" s="13"/>
      <c r="I4367" s="692"/>
      <c r="J4367" s="669"/>
      <c r="K4367" s="29"/>
      <c r="L4367" s="29"/>
      <c r="M4367" s="29"/>
      <c r="N4367" s="106"/>
      <c r="O4367" s="107" t="s">
        <v>1205</v>
      </c>
      <c r="P4367" s="106"/>
      <c r="Q4367" s="92"/>
      <c r="R4367" s="92"/>
      <c r="S4367" s="35"/>
      <c r="T4367" s="92"/>
      <c r="U4367" s="92"/>
      <c r="V4367" s="92"/>
      <c r="W4367" s="92"/>
      <c r="X4367" s="92"/>
      <c r="Y4367" s="92"/>
      <c r="Z4367" s="92"/>
      <c r="AA4367" s="92"/>
      <c r="AB4367" s="105"/>
      <c r="AC4367" s="92"/>
      <c r="AD4367" s="92"/>
      <c r="AE4367" s="12"/>
      <c r="AF4367" s="12"/>
      <c r="AG4367" s="12"/>
    </row>
    <row r="4368" spans="1:33" ht="34.5" x14ac:dyDescent="0.25">
      <c r="A4368" s="608"/>
      <c r="B4368" s="2"/>
      <c r="C4368" s="22"/>
      <c r="D4368" s="22"/>
      <c r="E4368" s="34"/>
      <c r="F4368" s="445"/>
      <c r="G4368" s="14"/>
      <c r="H4368" s="14"/>
      <c r="I4368" s="695"/>
      <c r="J4368" s="669"/>
      <c r="K4368" s="29"/>
      <c r="L4368" s="29"/>
      <c r="M4368" s="48" t="s">
        <v>2914</v>
      </c>
      <c r="N4368" s="51" t="s">
        <v>5499</v>
      </c>
      <c r="O4368" s="42" t="s">
        <v>558</v>
      </c>
      <c r="P4368" s="51" t="s">
        <v>560</v>
      </c>
      <c r="Q4368" s="118" t="s">
        <v>5490</v>
      </c>
      <c r="R4368" s="118"/>
      <c r="S4368" s="42"/>
      <c r="T4368" s="42"/>
      <c r="U4368" s="42"/>
      <c r="V4368" s="79"/>
      <c r="W4368" s="79"/>
      <c r="X4368" s="79"/>
      <c r="Y4368" s="79"/>
      <c r="Z4368" s="79"/>
      <c r="AA4368" s="79"/>
      <c r="AB4368" s="42"/>
      <c r="AC4368" s="42"/>
      <c r="AD4368" s="42"/>
      <c r="AE4368" s="12"/>
      <c r="AF4368" s="12"/>
      <c r="AG4368" s="12"/>
    </row>
    <row r="4369" spans="1:33" x14ac:dyDescent="0.25">
      <c r="A4369" s="608"/>
      <c r="B4369" s="2"/>
      <c r="C4369" s="22"/>
      <c r="D4369" s="22"/>
      <c r="E4369" s="34"/>
      <c r="F4369" s="445"/>
      <c r="G4369" s="14"/>
      <c r="H4369" s="14"/>
      <c r="I4369" s="695"/>
      <c r="J4369" s="669"/>
      <c r="K4369" s="29"/>
      <c r="L4369" s="29"/>
      <c r="M4369" s="274"/>
      <c r="N4369" s="51"/>
      <c r="O4369" s="42" t="s">
        <v>559</v>
      </c>
      <c r="P4369" s="51"/>
      <c r="Q4369" s="363">
        <v>0.01</v>
      </c>
      <c r="R4369" s="119"/>
      <c r="S4369" s="42"/>
      <c r="T4369" s="42"/>
      <c r="U4369" s="42"/>
      <c r="V4369" s="42"/>
      <c r="W4369" s="42"/>
      <c r="X4369" s="42"/>
      <c r="Y4369" s="42"/>
      <c r="Z4369" s="42"/>
      <c r="AA4369" s="42"/>
      <c r="AB4369" s="42"/>
      <c r="AC4369" s="42"/>
      <c r="AD4369" s="42"/>
      <c r="AE4369" s="12"/>
      <c r="AF4369" s="12"/>
      <c r="AG4369" s="12"/>
    </row>
    <row r="4370" spans="1:33" x14ac:dyDescent="0.25">
      <c r="A4370" s="608"/>
      <c r="B4370" s="2"/>
      <c r="C4370" s="22"/>
      <c r="D4370" s="22"/>
      <c r="E4370" s="34"/>
      <c r="F4370" s="445"/>
      <c r="G4370" s="14"/>
      <c r="H4370" s="14"/>
      <c r="I4370" s="695"/>
      <c r="J4370" s="669"/>
      <c r="L4370" s="116"/>
      <c r="M4370" s="47">
        <v>2009</v>
      </c>
      <c r="N4370" s="40"/>
      <c r="O4370" s="45">
        <v>0.5</v>
      </c>
      <c r="P4370" s="52">
        <v>0.5</v>
      </c>
      <c r="Q4370" s="93"/>
      <c r="R4370" s="41" t="str">
        <f>"Bonushöhe bei Inbetriebnahme in "&amp;M4370</f>
        <v>Bonushöhe bei Inbetriebnahme in 2009</v>
      </c>
      <c r="S4370" s="41"/>
      <c r="T4370" s="41"/>
      <c r="U4370" s="41"/>
      <c r="V4370" s="41"/>
      <c r="W4370" s="41"/>
      <c r="X4370" s="41"/>
      <c r="Y4370" s="41"/>
      <c r="Z4370" s="41"/>
      <c r="AA4370" s="41"/>
      <c r="AB4370" s="41"/>
      <c r="AC4370" s="41"/>
      <c r="AD4370" s="41"/>
    </row>
    <row r="4371" spans="1:33" x14ac:dyDescent="0.25">
      <c r="A4371" s="609"/>
      <c r="B4371" s="1"/>
      <c r="C4371" s="1"/>
      <c r="D4371" s="2"/>
      <c r="E4371" s="1"/>
      <c r="F4371" s="442"/>
      <c r="G4371" s="13"/>
      <c r="H4371" s="13"/>
      <c r="I4371" s="692"/>
      <c r="J4371" s="669"/>
      <c r="L4371" s="70" t="str">
        <f>IF(F4372=M4371,"",FALSE)</f>
        <v/>
      </c>
      <c r="M4371" s="49">
        <f>N4371+SUMIF(O4371:Q4371,"x",O$4370:Q$4370)</f>
        <v>9.6999999999999993</v>
      </c>
      <c r="N4371" s="112">
        <v>9.1999999999999993</v>
      </c>
      <c r="O4371" s="113"/>
      <c r="P4371" s="112" t="s">
        <v>1017</v>
      </c>
    </row>
    <row r="4372" spans="1:33" x14ac:dyDescent="0.25">
      <c r="A4372" s="610" t="s">
        <v>4758</v>
      </c>
      <c r="B4372" s="17" t="s">
        <v>3382</v>
      </c>
      <c r="C4372" s="17" t="s">
        <v>5405</v>
      </c>
      <c r="D4372" s="17" t="s">
        <v>5431</v>
      </c>
      <c r="E4372" s="17"/>
      <c r="F4372" s="444">
        <v>9.6999999999999993</v>
      </c>
      <c r="G4372" s="519">
        <v>9.6999999999999993</v>
      </c>
      <c r="H4372" s="18">
        <f t="shared" ref="H4372:H4400" si="1652">IF(ISNUMBER(G4372),ROUND(0.8*G4372,2),"")</f>
        <v>7.76</v>
      </c>
      <c r="I4372" s="694"/>
      <c r="J4372" s="669" t="s">
        <v>5805</v>
      </c>
      <c r="L4372" s="70" t="str">
        <f>IF(F4373=M4372,"",FALSE)</f>
        <v/>
      </c>
      <c r="M4372" s="49">
        <f>N4372+SUMIF(O4372:Q4372,"x",O$4370:Q$4370)</f>
        <v>10.199999999999999</v>
      </c>
      <c r="N4372" s="112">
        <v>9.1999999999999993</v>
      </c>
      <c r="O4372" s="113" t="s">
        <v>1017</v>
      </c>
      <c r="P4372" s="112" t="s">
        <v>1017</v>
      </c>
    </row>
    <row r="4373" spans="1:33" x14ac:dyDescent="0.25">
      <c r="A4373" s="610" t="s">
        <v>4759</v>
      </c>
      <c r="B4373" s="17" t="s">
        <v>3382</v>
      </c>
      <c r="C4373" s="17" t="s">
        <v>5405</v>
      </c>
      <c r="D4373" s="17" t="s">
        <v>5432</v>
      </c>
      <c r="E4373" s="17"/>
      <c r="F4373" s="444">
        <v>10.199999999999999</v>
      </c>
      <c r="G4373" s="519">
        <v>10.199999999999999</v>
      </c>
      <c r="H4373" s="18">
        <f t="shared" si="1652"/>
        <v>8.16</v>
      </c>
      <c r="I4373" s="694"/>
      <c r="J4373" s="669" t="s">
        <v>5805</v>
      </c>
      <c r="L4373" s="70" t="str">
        <f>IF(F4374=M4373,"",FALSE)</f>
        <v/>
      </c>
      <c r="M4373" s="59">
        <f>N4373+SUMIF(O4373:Q4373,"x",O$4370:Q$4370)</f>
        <v>5.0199999999999996</v>
      </c>
      <c r="N4373" s="114">
        <v>5.0199999999999996</v>
      </c>
      <c r="O4373" s="113"/>
      <c r="P4373" s="112"/>
      <c r="Q4373" s="124"/>
    </row>
    <row r="4374" spans="1:33" x14ac:dyDescent="0.25">
      <c r="A4374" s="610" t="s">
        <v>4761</v>
      </c>
      <c r="B4374" s="17" t="s">
        <v>3382</v>
      </c>
      <c r="C4374" s="17" t="s">
        <v>5405</v>
      </c>
      <c r="D4374" s="17" t="s">
        <v>4760</v>
      </c>
      <c r="E4374" s="17"/>
      <c r="F4374" s="444">
        <v>5.0199999999999996</v>
      </c>
      <c r="G4374" s="519">
        <v>5.0199999999999996</v>
      </c>
      <c r="H4374" s="18">
        <f t="shared" si="1652"/>
        <v>4.0199999999999996</v>
      </c>
      <c r="I4374" s="694"/>
      <c r="J4374" s="669" t="s">
        <v>5805</v>
      </c>
      <c r="L4374" s="116"/>
      <c r="M4374" s="358">
        <v>2010</v>
      </c>
      <c r="N4374" s="358"/>
      <c r="O4374" s="352">
        <f>ROUND(O$4370*(1-$Q$4369)^($M4374-$M$4370),2)</f>
        <v>0.5</v>
      </c>
      <c r="P4374" s="353">
        <f>ROUND(P$4370*(1-$Q$4369)^($M4374-$M$4370),2)</f>
        <v>0.5</v>
      </c>
      <c r="Q4374" s="93"/>
      <c r="R4374" s="41" t="str">
        <f>"Bonushöhe bei Inbetriebnahme in "&amp;M4374</f>
        <v>Bonushöhe bei Inbetriebnahme in 2010</v>
      </c>
      <c r="S4374" s="41"/>
      <c r="T4374" s="41"/>
      <c r="U4374" s="41"/>
      <c r="V4374" s="41"/>
      <c r="W4374" s="41"/>
      <c r="X4374" s="41"/>
      <c r="Y4374" s="41"/>
      <c r="Z4374" s="41"/>
      <c r="AA4374" s="41"/>
      <c r="AB4374" s="41"/>
      <c r="AC4374" s="41"/>
      <c r="AD4374" s="41"/>
    </row>
    <row r="4375" spans="1:33" x14ac:dyDescent="0.25">
      <c r="A4375" s="609"/>
      <c r="B4375" s="1"/>
      <c r="C4375" s="1"/>
      <c r="D4375" s="2"/>
      <c r="E4375" s="1"/>
      <c r="F4375" s="442"/>
      <c r="G4375" s="520"/>
      <c r="H4375" s="13" t="str">
        <f t="shared" si="1652"/>
        <v/>
      </c>
      <c r="I4375" s="692"/>
      <c r="J4375" s="669" t="s">
        <v>4180</v>
      </c>
      <c r="L4375" s="70" t="str">
        <f>IF(F4376=M4375,"",FALSE)</f>
        <v/>
      </c>
      <c r="M4375" s="49">
        <f>N4375+SUMIF(O4375:Q4375,"x",$O$4374:$Q$4374)</f>
        <v>9.61</v>
      </c>
      <c r="N4375" s="112">
        <f>ROUND(N4371*(1-$Q$4369)^($M$4374-$M$4370),2)</f>
        <v>9.11</v>
      </c>
      <c r="O4375" s="113"/>
      <c r="P4375" s="112" t="s">
        <v>1017</v>
      </c>
    </row>
    <row r="4376" spans="1:33" x14ac:dyDescent="0.25">
      <c r="A4376" s="610" t="s">
        <v>862</v>
      </c>
      <c r="B4376" s="17" t="s">
        <v>3382</v>
      </c>
      <c r="C4376" s="30" t="s">
        <v>2385</v>
      </c>
      <c r="D4376" s="17" t="s">
        <v>5431</v>
      </c>
      <c r="E4376" s="17"/>
      <c r="F4376" s="444">
        <v>9.61</v>
      </c>
      <c r="G4376" s="519">
        <v>9.61</v>
      </c>
      <c r="H4376" s="18">
        <f t="shared" si="1652"/>
        <v>7.69</v>
      </c>
      <c r="I4376" s="694"/>
      <c r="J4376" s="669" t="s">
        <v>5805</v>
      </c>
      <c r="L4376" s="70" t="str">
        <f>IF(F4377=M4376,"",FALSE)</f>
        <v/>
      </c>
      <c r="M4376" s="49">
        <f>N4376+SUMIF(O4376:Q4376,"x",O$4255:Q$4255)</f>
        <v>10.11</v>
      </c>
      <c r="N4376" s="112">
        <f>ROUND(N4372*(1-$Q$4369)^($M$4374-$M$4370),2)</f>
        <v>9.11</v>
      </c>
      <c r="O4376" s="113" t="s">
        <v>1017</v>
      </c>
      <c r="P4376" s="112" t="s">
        <v>1017</v>
      </c>
    </row>
    <row r="4377" spans="1:33" x14ac:dyDescent="0.25">
      <c r="A4377" s="610" t="s">
        <v>863</v>
      </c>
      <c r="B4377" s="17" t="s">
        <v>3382</v>
      </c>
      <c r="C4377" s="30" t="s">
        <v>2385</v>
      </c>
      <c r="D4377" s="17" t="s">
        <v>5432</v>
      </c>
      <c r="E4377" s="17"/>
      <c r="F4377" s="444">
        <v>10.11</v>
      </c>
      <c r="G4377" s="519">
        <v>10.11</v>
      </c>
      <c r="H4377" s="18">
        <f t="shared" si="1652"/>
        <v>8.09</v>
      </c>
      <c r="I4377" s="694"/>
      <c r="J4377" s="669" t="s">
        <v>5805</v>
      </c>
      <c r="L4377" s="70" t="str">
        <f>IF(F4378=M4377,"",FALSE)</f>
        <v/>
      </c>
      <c r="M4377" s="59">
        <f>N4377+SUMIF(O4377:Q4377,"x",O$4255:Q$4255)</f>
        <v>4.97</v>
      </c>
      <c r="N4377" s="114">
        <f>ROUND(N4373*(1-$Q$4369)^($M$4374-$M$4370),2)</f>
        <v>4.97</v>
      </c>
      <c r="O4377" s="115"/>
      <c r="P4377" s="112"/>
      <c r="Q4377" s="124"/>
      <c r="R4377" s="92"/>
    </row>
    <row r="4378" spans="1:33" x14ac:dyDescent="0.25">
      <c r="A4378" s="610" t="s">
        <v>864</v>
      </c>
      <c r="B4378" s="17" t="s">
        <v>3382</v>
      </c>
      <c r="C4378" s="30" t="s">
        <v>2385</v>
      </c>
      <c r="D4378" s="17" t="s">
        <v>4760</v>
      </c>
      <c r="E4378" s="17"/>
      <c r="F4378" s="444">
        <v>4.97</v>
      </c>
      <c r="G4378" s="519">
        <v>4.97</v>
      </c>
      <c r="H4378" s="18">
        <f t="shared" si="1652"/>
        <v>3.98</v>
      </c>
      <c r="I4378" s="694"/>
      <c r="J4378" s="669" t="s">
        <v>5805</v>
      </c>
      <c r="M4378" s="358">
        <v>2011</v>
      </c>
      <c r="N4378" s="358"/>
      <c r="O4378" s="352">
        <f>ROUND(O$4370*(1-$Q$4369)^($M4378-$M$4370),2)</f>
        <v>0.49</v>
      </c>
      <c r="P4378" s="353">
        <f>ROUND(P$4370*(1-$Q$4369)^($M4378-$M$4370),2)</f>
        <v>0.49</v>
      </c>
      <c r="R4378" s="41" t="str">
        <f>"Bonushöhe bei Inbetriebnahme in "&amp;M4378</f>
        <v>Bonushöhe bei Inbetriebnahme in 2011</v>
      </c>
    </row>
    <row r="4379" spans="1:33" x14ac:dyDescent="0.25">
      <c r="A4379" s="608"/>
      <c r="B4379" s="2"/>
      <c r="C4379" s="1"/>
      <c r="D4379" s="2"/>
      <c r="E4379" s="1"/>
      <c r="F4379" s="442"/>
      <c r="G4379" s="520"/>
      <c r="H4379" s="13" t="str">
        <f t="shared" si="1652"/>
        <v/>
      </c>
      <c r="I4379" s="692"/>
      <c r="J4379" s="669" t="s">
        <v>4180</v>
      </c>
      <c r="L4379" s="70" t="str">
        <f>IF(F4380=M4379,"",FALSE)</f>
        <v/>
      </c>
      <c r="M4379" s="49">
        <f>N4379+SUMIF(O4379:Q4379,"x",$O$4378:$Q$4378)</f>
        <v>9.51</v>
      </c>
      <c r="N4379" s="112">
        <f>ROUND(N4371*(1-$Q$4369)^($M$4378-$M$4370),2)</f>
        <v>9.02</v>
      </c>
      <c r="O4379" s="113"/>
      <c r="P4379" s="112" t="s">
        <v>1017</v>
      </c>
      <c r="Q4379" s="124"/>
    </row>
    <row r="4380" spans="1:33" x14ac:dyDescent="0.25">
      <c r="A4380" s="610" t="str">
        <f>LEFT(A4376,12)&amp;($M$4378-2000)</f>
        <v>WrK300------11</v>
      </c>
      <c r="B4380" s="17" t="s">
        <v>3382</v>
      </c>
      <c r="C4380" s="30" t="str">
        <f>"Inbetriebnahme "&amp;$M$4378</f>
        <v>Inbetriebnahme 2011</v>
      </c>
      <c r="D4380" s="17" t="s">
        <v>5431</v>
      </c>
      <c r="E4380" s="17"/>
      <c r="F4380" s="444">
        <f>M4379</f>
        <v>9.51</v>
      </c>
      <c r="G4380" s="519">
        <v>9.51</v>
      </c>
      <c r="H4380" s="18">
        <f t="shared" si="1652"/>
        <v>7.61</v>
      </c>
      <c r="I4380" s="694"/>
      <c r="J4380" s="669" t="s">
        <v>5805</v>
      </c>
      <c r="L4380" s="70" t="str">
        <f>IF(F4381=M4380,"",FALSE)</f>
        <v/>
      </c>
      <c r="M4380" s="49">
        <f>N4380+SUMIF(O4380:Q4380,"x",$O$4378:$Q$4378)</f>
        <v>10</v>
      </c>
      <c r="N4380" s="112">
        <f>ROUND(N4372*(1-$Q$4369)^($M$4378-$M$4370),2)</f>
        <v>9.02</v>
      </c>
      <c r="O4380" s="113" t="s">
        <v>1017</v>
      </c>
      <c r="P4380" s="112" t="s">
        <v>1017</v>
      </c>
    </row>
    <row r="4381" spans="1:33" x14ac:dyDescent="0.25">
      <c r="A4381" s="610" t="str">
        <f>LEFT(A4377,12)&amp;($M$4378-2000)</f>
        <v>WrK300S-----11</v>
      </c>
      <c r="B4381" s="17" t="s">
        <v>3382</v>
      </c>
      <c r="C4381" s="30" t="str">
        <f>"Inbetriebnahme "&amp;$M$4378</f>
        <v>Inbetriebnahme 2011</v>
      </c>
      <c r="D4381" s="17" t="s">
        <v>5432</v>
      </c>
      <c r="E4381" s="17"/>
      <c r="F4381" s="444">
        <f>M4380</f>
        <v>10</v>
      </c>
      <c r="G4381" s="519">
        <v>10</v>
      </c>
      <c r="H4381" s="18">
        <f t="shared" si="1652"/>
        <v>8</v>
      </c>
      <c r="I4381" s="694"/>
      <c r="J4381" s="669" t="s">
        <v>5805</v>
      </c>
      <c r="L4381" s="70" t="str">
        <f>IF(F4382=M4381,"",FALSE)</f>
        <v/>
      </c>
      <c r="M4381" s="59">
        <f>N4381+SUMIF(O4381:Q4381,"x",$O$4378:$Q$4378)</f>
        <v>4.92</v>
      </c>
      <c r="N4381" s="114">
        <f>ROUND(N4373*(1-$Q$4369)^($M$4378-$M$4370),2)</f>
        <v>4.92</v>
      </c>
      <c r="O4381" s="115"/>
      <c r="P4381" s="114"/>
    </row>
    <row r="4382" spans="1:33" x14ac:dyDescent="0.25">
      <c r="A4382" s="610" t="str">
        <f>LEFT(A4378,12)&amp;($M$4378-2000)</f>
        <v>WrK301------11</v>
      </c>
      <c r="B4382" s="17" t="s">
        <v>3382</v>
      </c>
      <c r="C4382" s="30" t="str">
        <f>"Inbetriebnahme "&amp;$M$4378</f>
        <v>Inbetriebnahme 2011</v>
      </c>
      <c r="D4382" s="17" t="s">
        <v>4760</v>
      </c>
      <c r="E4382" s="17"/>
      <c r="F4382" s="444">
        <f>M4381</f>
        <v>4.92</v>
      </c>
      <c r="G4382" s="519">
        <v>4.92</v>
      </c>
      <c r="H4382" s="18">
        <f t="shared" si="1652"/>
        <v>3.94</v>
      </c>
      <c r="I4382" s="694"/>
      <c r="J4382" s="669" t="s">
        <v>5805</v>
      </c>
    </row>
    <row r="4383" spans="1:33" ht="15.75" x14ac:dyDescent="0.25">
      <c r="A4383" s="608"/>
      <c r="B4383" s="2"/>
      <c r="C4383" s="1"/>
      <c r="D4383" s="2"/>
      <c r="E4383" s="1"/>
      <c r="F4383" s="442"/>
      <c r="G4383" s="520"/>
      <c r="H4383" s="13" t="str">
        <f t="shared" si="1652"/>
        <v/>
      </c>
      <c r="I4383" s="692"/>
      <c r="J4383" s="669" t="s">
        <v>4180</v>
      </c>
      <c r="K4383" s="29"/>
      <c r="M4383" s="68" t="s">
        <v>4239</v>
      </c>
      <c r="N4383" s="39"/>
      <c r="O4383" s="29"/>
      <c r="P4383" s="29"/>
    </row>
    <row r="4384" spans="1:33" x14ac:dyDescent="0.25">
      <c r="A4384" s="609"/>
      <c r="B4384" s="1"/>
      <c r="C4384" s="1"/>
      <c r="D4384" s="2"/>
      <c r="E4384" s="1"/>
      <c r="F4384" s="442"/>
      <c r="G4384" s="520"/>
      <c r="H4384" s="13" t="str">
        <f t="shared" si="1652"/>
        <v/>
      </c>
      <c r="I4384" s="692"/>
      <c r="J4384" s="669" t="s">
        <v>4180</v>
      </c>
      <c r="K4384" s="29"/>
      <c r="L4384" s="29"/>
      <c r="M4384" s="29"/>
      <c r="N4384" s="106"/>
      <c r="O4384" s="107" t="s">
        <v>1205</v>
      </c>
      <c r="P4384" s="106"/>
      <c r="Q4384" s="92"/>
      <c r="R4384" s="92"/>
      <c r="S4384" s="35"/>
      <c r="T4384" s="92"/>
      <c r="U4384" s="92"/>
      <c r="V4384" s="92"/>
      <c r="W4384" s="92"/>
      <c r="X4384" s="92"/>
      <c r="Y4384" s="92"/>
      <c r="Z4384" s="92"/>
      <c r="AA4384" s="92"/>
      <c r="AB4384" s="105"/>
      <c r="AC4384" s="92"/>
      <c r="AD4384" s="92"/>
      <c r="AE4384" s="12"/>
      <c r="AF4384" s="12"/>
      <c r="AG4384" s="12"/>
    </row>
    <row r="4385" spans="1:33" ht="34.5" x14ac:dyDescent="0.25">
      <c r="A4385" s="608"/>
      <c r="B4385" s="2"/>
      <c r="C4385" s="22"/>
      <c r="D4385" s="22"/>
      <c r="E4385" s="34"/>
      <c r="F4385" s="445"/>
      <c r="G4385" s="521"/>
      <c r="H4385" s="14" t="str">
        <f t="shared" si="1652"/>
        <v/>
      </c>
      <c r="I4385" s="695"/>
      <c r="J4385" s="669" t="s">
        <v>4180</v>
      </c>
      <c r="K4385" s="29"/>
      <c r="L4385" s="29"/>
      <c r="M4385" s="48" t="s">
        <v>2914</v>
      </c>
      <c r="N4385" s="51" t="s">
        <v>507</v>
      </c>
      <c r="O4385" s="42" t="s">
        <v>558</v>
      </c>
      <c r="P4385" s="51" t="s">
        <v>560</v>
      </c>
      <c r="Q4385" s="118" t="s">
        <v>505</v>
      </c>
      <c r="R4385" s="118"/>
      <c r="S4385" s="42"/>
      <c r="T4385" s="42"/>
      <c r="U4385" s="42"/>
      <c r="V4385" s="79"/>
      <c r="W4385" s="79"/>
      <c r="X4385" s="79"/>
      <c r="Y4385" s="79"/>
      <c r="Z4385" s="79"/>
      <c r="AA4385" s="79"/>
      <c r="AB4385" s="42"/>
      <c r="AC4385" s="42"/>
      <c r="AD4385" s="42"/>
      <c r="AE4385" s="12"/>
      <c r="AF4385" s="12"/>
      <c r="AG4385" s="12"/>
    </row>
    <row r="4386" spans="1:33" x14ac:dyDescent="0.25">
      <c r="A4386" s="608"/>
      <c r="B4386" s="2"/>
      <c r="C4386" s="22"/>
      <c r="D4386" s="22"/>
      <c r="E4386" s="34"/>
      <c r="F4386" s="445"/>
      <c r="G4386" s="521"/>
      <c r="H4386" s="14" t="str">
        <f t="shared" si="1652"/>
        <v/>
      </c>
      <c r="I4386" s="695"/>
      <c r="J4386" s="669" t="s">
        <v>4180</v>
      </c>
      <c r="K4386" s="29"/>
      <c r="L4386" s="29"/>
      <c r="M4386" s="274"/>
      <c r="N4386" s="51"/>
      <c r="O4386" s="42" t="s">
        <v>559</v>
      </c>
      <c r="P4386" s="51"/>
      <c r="Q4386" s="363">
        <v>1.4999999999999999E-2</v>
      </c>
      <c r="R4386" s="119"/>
      <c r="S4386" s="42"/>
      <c r="T4386" s="42"/>
      <c r="U4386" s="42"/>
      <c r="V4386" s="42"/>
      <c r="W4386" s="42"/>
      <c r="X4386" s="42"/>
      <c r="Y4386" s="42"/>
      <c r="Z4386" s="42"/>
      <c r="AA4386" s="42"/>
      <c r="AB4386" s="42"/>
      <c r="AC4386" s="42"/>
      <c r="AD4386" s="42"/>
      <c r="AE4386" s="12"/>
      <c r="AF4386" s="12"/>
      <c r="AG4386" s="12"/>
    </row>
    <row r="4387" spans="1:33" x14ac:dyDescent="0.25">
      <c r="A4387" s="608"/>
      <c r="B4387" s="2"/>
      <c r="C4387" s="22"/>
      <c r="D4387" s="22"/>
      <c r="E4387" s="34"/>
      <c r="F4387" s="445"/>
      <c r="G4387" s="521"/>
      <c r="H4387" s="14" t="str">
        <f t="shared" si="1652"/>
        <v/>
      </c>
      <c r="I4387" s="695"/>
      <c r="J4387" s="669" t="s">
        <v>4180</v>
      </c>
      <c r="L4387" s="116"/>
      <c r="M4387" s="47">
        <v>2012</v>
      </c>
      <c r="N4387" s="40"/>
      <c r="O4387" s="45">
        <v>0.48</v>
      </c>
      <c r="P4387" s="52">
        <v>0.5</v>
      </c>
      <c r="Q4387" s="93"/>
      <c r="R4387" s="41" t="str">
        <f>"Bonushöhe bei Inbetriebnahme in "&amp;M4387</f>
        <v>Bonushöhe bei Inbetriebnahme in 2012</v>
      </c>
      <c r="S4387" s="41"/>
      <c r="T4387" s="41"/>
      <c r="U4387" s="41"/>
      <c r="V4387" s="41"/>
      <c r="W4387" s="41"/>
      <c r="X4387" s="41"/>
      <c r="Y4387" s="41"/>
      <c r="Z4387" s="41"/>
      <c r="AA4387" s="41"/>
      <c r="AB4387" s="41"/>
      <c r="AC4387" s="41"/>
      <c r="AD4387" s="41"/>
    </row>
    <row r="4388" spans="1:33" x14ac:dyDescent="0.25">
      <c r="A4388" s="609"/>
      <c r="B4388" s="1"/>
      <c r="C4388" s="1"/>
      <c r="D4388" s="2"/>
      <c r="E4388" s="1"/>
      <c r="F4388" s="442"/>
      <c r="G4388" s="520"/>
      <c r="H4388" s="13" t="str">
        <f t="shared" si="1652"/>
        <v/>
      </c>
      <c r="I4388" s="692"/>
      <c r="J4388" s="669" t="s">
        <v>4180</v>
      </c>
      <c r="L4388" s="70" t="str">
        <f>IF(F4389=M4388,"",FALSE)</f>
        <v/>
      </c>
      <c r="M4388" s="49">
        <f>N4388+SUMIF(O4388:Q4388,"x",O$4387:Q$4387)</f>
        <v>9.43</v>
      </c>
      <c r="N4388" s="112">
        <v>8.93</v>
      </c>
      <c r="O4388" s="113"/>
      <c r="P4388" s="112" t="s">
        <v>1017</v>
      </c>
      <c r="Q4388" s="124"/>
    </row>
    <row r="4389" spans="1:33" x14ac:dyDescent="0.25">
      <c r="A4389" s="619" t="s">
        <v>2557</v>
      </c>
      <c r="B4389" s="283" t="s">
        <v>3382</v>
      </c>
      <c r="C4389" s="283" t="str">
        <f>"Inbetriebnahme "&amp;$M$4272</f>
        <v>Inbetriebnahme 2012</v>
      </c>
      <c r="D4389" s="283" t="s">
        <v>5431</v>
      </c>
      <c r="E4389" s="283"/>
      <c r="F4389" s="447">
        <f>M4388</f>
        <v>9.43</v>
      </c>
      <c r="G4389" s="523">
        <v>9.43</v>
      </c>
      <c r="H4389" s="286">
        <f t="shared" si="1652"/>
        <v>7.54</v>
      </c>
      <c r="I4389" s="697"/>
      <c r="J4389" s="669" t="s">
        <v>5805</v>
      </c>
      <c r="L4389" s="70" t="str">
        <f>IF(F4390=M4389,"",FALSE)</f>
        <v/>
      </c>
      <c r="M4389" s="49">
        <f>N4389+SUMIF(O4389:Q4389,"x",O$4387:Q$4387)</f>
        <v>9.91</v>
      </c>
      <c r="N4389" s="112">
        <v>8.93</v>
      </c>
      <c r="O4389" s="113" t="s">
        <v>1017</v>
      </c>
      <c r="P4389" s="112" t="s">
        <v>1017</v>
      </c>
    </row>
    <row r="4390" spans="1:33" x14ac:dyDescent="0.25">
      <c r="A4390" s="619" t="s">
        <v>2558</v>
      </c>
      <c r="B4390" s="283" t="s">
        <v>3382</v>
      </c>
      <c r="C4390" s="283" t="str">
        <f>"Inbetriebnahme "&amp;$M$4272</f>
        <v>Inbetriebnahme 2012</v>
      </c>
      <c r="D4390" s="283" t="s">
        <v>5432</v>
      </c>
      <c r="E4390" s="283"/>
      <c r="F4390" s="447">
        <f>M4389</f>
        <v>9.91</v>
      </c>
      <c r="G4390" s="523">
        <v>9.91</v>
      </c>
      <c r="H4390" s="286">
        <f t="shared" si="1652"/>
        <v>7.93</v>
      </c>
      <c r="I4390" s="697"/>
      <c r="J4390" s="669" t="s">
        <v>5805</v>
      </c>
      <c r="L4390" s="70" t="str">
        <f>IF(F4391=M4390,"",FALSE)</f>
        <v/>
      </c>
      <c r="M4390" s="49">
        <f>N4390+SUMIF(O4390:Q4390,"x",O$4387:Q$4387)</f>
        <v>4.87</v>
      </c>
      <c r="N4390" s="112">
        <v>4.87</v>
      </c>
      <c r="O4390" s="113"/>
      <c r="P4390" s="112"/>
      <c r="Q4390" s="124"/>
    </row>
    <row r="4391" spans="1:33" x14ac:dyDescent="0.25">
      <c r="A4391" s="619" t="s">
        <v>2559</v>
      </c>
      <c r="B4391" s="283" t="s">
        <v>3382</v>
      </c>
      <c r="C4391" s="283" t="str">
        <f>"Inbetriebnahme "&amp;$M$4272</f>
        <v>Inbetriebnahme 2012</v>
      </c>
      <c r="D4391" s="283" t="s">
        <v>4760</v>
      </c>
      <c r="E4391" s="283"/>
      <c r="F4391" s="447">
        <f>M4390</f>
        <v>4.87</v>
      </c>
      <c r="G4391" s="523">
        <v>4.87</v>
      </c>
      <c r="H4391" s="286">
        <f t="shared" si="1652"/>
        <v>3.9</v>
      </c>
      <c r="I4391" s="697"/>
      <c r="J4391" s="669" t="s">
        <v>5805</v>
      </c>
      <c r="L4391" s="116"/>
      <c r="M4391" s="358">
        <v>2013</v>
      </c>
      <c r="N4391" s="351"/>
      <c r="O4391" s="352">
        <f>ROUND(R4391,2)</f>
        <v>0.47</v>
      </c>
      <c r="P4391" s="353">
        <f>ROUND(S4391,2)</f>
        <v>0.49</v>
      </c>
      <c r="Q4391" s="93"/>
      <c r="R4391" s="415">
        <f>O4387*(1-$Q$4386)</f>
        <v>0.4728</v>
      </c>
      <c r="S4391" s="415">
        <f>P4387*(1-$Q$4386)</f>
        <v>0.49249999999999999</v>
      </c>
      <c r="T4391" s="41" t="str">
        <f>"Bonushöhe bei Inbetriebnahme in "&amp;M4391</f>
        <v>Bonushöhe bei Inbetriebnahme in 2013</v>
      </c>
      <c r="U4391" s="41"/>
      <c r="V4391" s="41"/>
      <c r="W4391" s="41"/>
      <c r="X4391" s="41"/>
      <c r="Y4391" s="41"/>
      <c r="Z4391" s="41"/>
      <c r="AA4391" s="41"/>
      <c r="AB4391" s="41"/>
      <c r="AC4391" s="41"/>
      <c r="AD4391" s="41"/>
    </row>
    <row r="4392" spans="1:33" x14ac:dyDescent="0.25">
      <c r="A4392" s="609"/>
      <c r="B4392" s="1"/>
      <c r="C4392" s="1"/>
      <c r="D4392" s="2"/>
      <c r="E4392" s="1"/>
      <c r="F4392" s="442"/>
      <c r="G4392" s="520"/>
      <c r="H4392" s="13" t="str">
        <f t="shared" si="1652"/>
        <v/>
      </c>
      <c r="I4392" s="692"/>
      <c r="J4392" s="669" t="s">
        <v>4180</v>
      </c>
      <c r="L4392" s="70" t="str">
        <f>IF(F4393=M4392,"",FALSE)</f>
        <v/>
      </c>
      <c r="M4392" s="49">
        <f>ROUND(N4392,2)+SUMIF(O4392:Q4392,"x",O$4391:Q$4391)</f>
        <v>9.2900000000000009</v>
      </c>
      <c r="N4392" s="349">
        <f>N4388*(1-$Q$4386)</f>
        <v>8.7960499999999993</v>
      </c>
      <c r="O4392" s="113"/>
      <c r="P4392" s="112" t="s">
        <v>1017</v>
      </c>
      <c r="Q4392" s="124"/>
    </row>
    <row r="4393" spans="1:33" x14ac:dyDescent="0.25">
      <c r="A4393" s="620" t="s">
        <v>2190</v>
      </c>
      <c r="B4393" s="372" t="s">
        <v>3382</v>
      </c>
      <c r="C4393" s="372" t="str">
        <f>"Inbetriebnahme "&amp;$M$4276</f>
        <v>Inbetriebnahme 2013</v>
      </c>
      <c r="D4393" s="372" t="s">
        <v>5431</v>
      </c>
      <c r="E4393" s="372"/>
      <c r="F4393" s="449">
        <f>M4392</f>
        <v>9.2900000000000009</v>
      </c>
      <c r="G4393" s="525">
        <v>9.2900000000000009</v>
      </c>
      <c r="H4393" s="374">
        <f t="shared" si="1652"/>
        <v>7.43</v>
      </c>
      <c r="I4393" s="699"/>
      <c r="J4393" s="669" t="s">
        <v>5805</v>
      </c>
      <c r="L4393" s="70" t="str">
        <f>IF(F4394=M4393,"",FALSE)</f>
        <v/>
      </c>
      <c r="M4393" s="49">
        <f>ROUND(N4393,2)+SUMIF(O4393:Q4393,"x",O$4391:Q$4391)</f>
        <v>9.7600000000000016</v>
      </c>
      <c r="N4393" s="349">
        <f>N4389*(1-$Q$4386)</f>
        <v>8.7960499999999993</v>
      </c>
      <c r="O4393" s="113" t="s">
        <v>1017</v>
      </c>
      <c r="P4393" s="112" t="s">
        <v>1017</v>
      </c>
    </row>
    <row r="4394" spans="1:33" x14ac:dyDescent="0.25">
      <c r="A4394" s="620" t="s">
        <v>2191</v>
      </c>
      <c r="B4394" s="372" t="s">
        <v>3382</v>
      </c>
      <c r="C4394" s="372" t="str">
        <f>"Inbetriebnahme "&amp;$M$4276</f>
        <v>Inbetriebnahme 2013</v>
      </c>
      <c r="D4394" s="372" t="s">
        <v>5432</v>
      </c>
      <c r="E4394" s="372"/>
      <c r="F4394" s="449">
        <f>M4393</f>
        <v>9.7600000000000016</v>
      </c>
      <c r="G4394" s="525">
        <v>9.7600000000000016</v>
      </c>
      <c r="H4394" s="374">
        <f t="shared" si="1652"/>
        <v>7.81</v>
      </c>
      <c r="I4394" s="699"/>
      <c r="J4394" s="669" t="s">
        <v>5805</v>
      </c>
      <c r="L4394" s="70" t="str">
        <f>IF(F4395=M4394,"",FALSE)</f>
        <v/>
      </c>
      <c r="M4394" s="59">
        <f>ROUND(N4394,2)+SUMIF(O4394:Q4394,"x",O$4391:Q$4391)</f>
        <v>4.8</v>
      </c>
      <c r="N4394" s="368">
        <f>N4390*(1-$Q$4386)</f>
        <v>4.7969499999999998</v>
      </c>
      <c r="O4394" s="115"/>
      <c r="P4394" s="114"/>
    </row>
    <row r="4395" spans="1:33" x14ac:dyDescent="0.25">
      <c r="A4395" s="620" t="s">
        <v>2192</v>
      </c>
      <c r="B4395" s="372" t="s">
        <v>3382</v>
      </c>
      <c r="C4395" s="372" t="str">
        <f>"Inbetriebnahme "&amp;$M$4276</f>
        <v>Inbetriebnahme 2013</v>
      </c>
      <c r="D4395" s="372" t="s">
        <v>4760</v>
      </c>
      <c r="E4395" s="372"/>
      <c r="F4395" s="449">
        <f>M4394</f>
        <v>4.8</v>
      </c>
      <c r="G4395" s="525">
        <v>4.8</v>
      </c>
      <c r="H4395" s="374">
        <f t="shared" si="1652"/>
        <v>3.84</v>
      </c>
      <c r="I4395" s="699"/>
      <c r="J4395" s="669" t="s">
        <v>5805</v>
      </c>
      <c r="L4395" s="116"/>
      <c r="M4395" s="358">
        <v>2014</v>
      </c>
      <c r="N4395" s="351"/>
      <c r="O4395" s="352">
        <f>ROUND(R4395,2)</f>
        <v>0.47</v>
      </c>
      <c r="P4395" s="353">
        <f>ROUND(S4395,2)</f>
        <v>0.49</v>
      </c>
      <c r="Q4395" s="93"/>
      <c r="R4395" s="415">
        <f>R4391*(1-$Q$4386)</f>
        <v>0.46570800000000001</v>
      </c>
      <c r="S4395" s="415">
        <f>S4391*(1-$Q$4386)</f>
        <v>0.4851125</v>
      </c>
      <c r="T4395" s="41" t="str">
        <f>"Bonushöhe bei Inbetriebnahme in "&amp;M4395</f>
        <v>Bonushöhe bei Inbetriebnahme in 2014</v>
      </c>
      <c r="U4395" s="41"/>
      <c r="V4395" s="41"/>
      <c r="W4395" s="41"/>
      <c r="X4395" s="41"/>
      <c r="Y4395" s="41"/>
      <c r="Z4395" s="41"/>
      <c r="AA4395" s="41"/>
      <c r="AB4395" s="41"/>
      <c r="AC4395" s="41"/>
      <c r="AD4395" s="41"/>
    </row>
    <row r="4396" spans="1:33" x14ac:dyDescent="0.25">
      <c r="A4396" s="609"/>
      <c r="B4396" s="1"/>
      <c r="C4396" s="1"/>
      <c r="D4396" s="2"/>
      <c r="E4396" s="1"/>
      <c r="F4396" s="442"/>
      <c r="G4396" s="520"/>
      <c r="H4396" s="13" t="str">
        <f t="shared" si="1652"/>
        <v/>
      </c>
      <c r="I4396" s="692"/>
      <c r="J4396" s="669" t="s">
        <v>4180</v>
      </c>
      <c r="L4396" s="70" t="str">
        <f>IF(F4397=M4396,"",FALSE)</f>
        <v/>
      </c>
      <c r="M4396" s="49">
        <f>ROUND(N4396,2)+SUMIF(O4396:Q4396,"x",O$4391:Q$4391)</f>
        <v>9.15</v>
      </c>
      <c r="N4396" s="349">
        <f>N4392*(1-$Q$4386)</f>
        <v>8.6641092499999992</v>
      </c>
      <c r="O4396" s="113"/>
      <c r="P4396" s="112" t="s">
        <v>1017</v>
      </c>
      <c r="Q4396" s="124"/>
    </row>
    <row r="4397" spans="1:33" x14ac:dyDescent="0.25">
      <c r="A4397" s="620" t="s">
        <v>1675</v>
      </c>
      <c r="B4397" s="372" t="s">
        <v>3382</v>
      </c>
      <c r="C4397" s="372" t="str">
        <f>"Inbetriebnahme "&amp;$M$4280</f>
        <v>Inbetriebnahme 2014</v>
      </c>
      <c r="D4397" s="372" t="s">
        <v>5431</v>
      </c>
      <c r="E4397" s="372"/>
      <c r="F4397" s="449">
        <f>M4396</f>
        <v>9.15</v>
      </c>
      <c r="G4397" s="525">
        <v>9.15</v>
      </c>
      <c r="H4397" s="374">
        <f t="shared" si="1652"/>
        <v>7.32</v>
      </c>
      <c r="I4397" s="699"/>
      <c r="J4397" s="669" t="s">
        <v>5805</v>
      </c>
      <c r="L4397" s="70" t="str">
        <f>IF(F4398=M4397,"",FALSE)</f>
        <v/>
      </c>
      <c r="M4397" s="49">
        <f>ROUND(N4397,2)+SUMIF(O4397:Q4397,"x",O$4391:Q$4391)</f>
        <v>9.620000000000001</v>
      </c>
      <c r="N4397" s="349">
        <f>N4393*(1-$Q$4386)</f>
        <v>8.6641092499999992</v>
      </c>
      <c r="O4397" s="113" t="s">
        <v>1017</v>
      </c>
      <c r="P4397" s="112" t="s">
        <v>1017</v>
      </c>
    </row>
    <row r="4398" spans="1:33" x14ac:dyDescent="0.25">
      <c r="A4398" s="620" t="s">
        <v>1676</v>
      </c>
      <c r="B4398" s="372" t="s">
        <v>3382</v>
      </c>
      <c r="C4398" s="372" t="str">
        <f>"Inbetriebnahme "&amp;$M$4280</f>
        <v>Inbetriebnahme 2014</v>
      </c>
      <c r="D4398" s="372" t="s">
        <v>5432</v>
      </c>
      <c r="E4398" s="372"/>
      <c r="F4398" s="449">
        <f>M4397</f>
        <v>9.620000000000001</v>
      </c>
      <c r="G4398" s="525">
        <v>9.620000000000001</v>
      </c>
      <c r="H4398" s="374">
        <f t="shared" si="1652"/>
        <v>7.7</v>
      </c>
      <c r="I4398" s="699"/>
      <c r="J4398" s="669" t="s">
        <v>5805</v>
      </c>
      <c r="L4398" s="70" t="str">
        <f>IF(F4399=M4398,"",FALSE)</f>
        <v/>
      </c>
      <c r="M4398" s="59">
        <f>ROUND(N4398,2)+SUMIF(O4398:Q4398,"x",O$4391:Q$4391)</f>
        <v>4.72</v>
      </c>
      <c r="N4398" s="368">
        <f>N4394*(1-$Q$4386)</f>
        <v>4.7249957499999997</v>
      </c>
      <c r="O4398" s="115"/>
      <c r="P4398" s="114"/>
    </row>
    <row r="4399" spans="1:33" x14ac:dyDescent="0.25">
      <c r="A4399" s="620" t="s">
        <v>1677</v>
      </c>
      <c r="B4399" s="372" t="s">
        <v>3382</v>
      </c>
      <c r="C4399" s="372" t="str">
        <f>"Inbetriebnahme "&amp;$M$4280</f>
        <v>Inbetriebnahme 2014</v>
      </c>
      <c r="D4399" s="372" t="s">
        <v>4760</v>
      </c>
      <c r="E4399" s="372"/>
      <c r="F4399" s="449">
        <f>M4398</f>
        <v>4.72</v>
      </c>
      <c r="G4399" s="525">
        <v>4.72</v>
      </c>
      <c r="H4399" s="374">
        <f t="shared" si="1652"/>
        <v>3.78</v>
      </c>
      <c r="I4399" s="699"/>
      <c r="J4399" s="669" t="s">
        <v>5805</v>
      </c>
    </row>
    <row r="4400" spans="1:33" x14ac:dyDescent="0.25">
      <c r="A4400" s="16"/>
      <c r="B4400" s="28"/>
      <c r="C4400" s="11"/>
      <c r="D4400" s="28"/>
      <c r="E4400" s="11"/>
      <c r="F4400" s="470"/>
      <c r="G4400" s="547"/>
      <c r="H4400" s="189" t="str">
        <f t="shared" si="1652"/>
        <v/>
      </c>
      <c r="I4400" s="726"/>
      <c r="J4400" s="669" t="s">
        <v>4180</v>
      </c>
    </row>
    <row r="4401" spans="1:10" ht="23.25" x14ac:dyDescent="0.35">
      <c r="A4401" s="110" t="s">
        <v>105</v>
      </c>
      <c r="B4401" s="65"/>
      <c r="C4401" s="65"/>
      <c r="D4401" s="65"/>
      <c r="E4401" s="65"/>
      <c r="F4401" s="443"/>
      <c r="G4401" s="548"/>
      <c r="H4401" s="74"/>
      <c r="I4401" s="693"/>
      <c r="J4401" s="669" t="s">
        <v>4180</v>
      </c>
    </row>
    <row r="4402" spans="1:10" x14ac:dyDescent="0.25">
      <c r="A4402" s="618" t="s">
        <v>2079</v>
      </c>
      <c r="B4402" s="31" t="s">
        <v>2067</v>
      </c>
      <c r="C4402" s="31" t="s">
        <v>1275</v>
      </c>
      <c r="D4402" s="33" t="s">
        <v>5433</v>
      </c>
      <c r="E4402" s="31"/>
      <c r="F4402" s="469">
        <v>15</v>
      </c>
      <c r="G4402" s="546">
        <v>15</v>
      </c>
      <c r="H4402" s="108">
        <f t="shared" ref="H4402:H4433" si="1653">IF(ISNUMBER(G4402),ROUND(0.8*G4402,2),"")</f>
        <v>12</v>
      </c>
      <c r="I4402" s="725"/>
      <c r="J4402" s="669" t="s">
        <v>5805</v>
      </c>
    </row>
    <row r="4403" spans="1:10" x14ac:dyDescent="0.25">
      <c r="A4403" s="618" t="s">
        <v>2080</v>
      </c>
      <c r="B4403" s="31" t="s">
        <v>2067</v>
      </c>
      <c r="C4403" s="31" t="s">
        <v>1275</v>
      </c>
      <c r="D4403" s="33" t="s">
        <v>5434</v>
      </c>
      <c r="E4403" s="31"/>
      <c r="F4403" s="469">
        <v>3.5</v>
      </c>
      <c r="G4403" s="546">
        <v>3.5</v>
      </c>
      <c r="H4403" s="108">
        <f t="shared" si="1653"/>
        <v>2.8</v>
      </c>
      <c r="I4403" s="725"/>
      <c r="J4403" s="669" t="s">
        <v>5805</v>
      </c>
    </row>
    <row r="4404" spans="1:10" x14ac:dyDescent="0.25">
      <c r="A4404" s="609"/>
      <c r="B4404" s="1"/>
      <c r="C4404" s="1"/>
      <c r="D4404" s="36"/>
      <c r="E4404" s="1"/>
      <c r="F4404" s="442"/>
      <c r="G4404" s="520"/>
      <c r="H4404" s="13" t="str">
        <f t="shared" si="1653"/>
        <v/>
      </c>
      <c r="I4404" s="692"/>
      <c r="J4404" s="669" t="s">
        <v>4180</v>
      </c>
    </row>
    <row r="4405" spans="1:10" x14ac:dyDescent="0.25">
      <c r="A4405" s="618" t="s">
        <v>2083</v>
      </c>
      <c r="B4405" s="31" t="s">
        <v>2067</v>
      </c>
      <c r="C4405" s="31" t="s">
        <v>1288</v>
      </c>
      <c r="D4405" s="33" t="s">
        <v>5433</v>
      </c>
      <c r="E4405" s="31"/>
      <c r="F4405" s="469">
        <v>15</v>
      </c>
      <c r="G4405" s="546">
        <v>15</v>
      </c>
      <c r="H4405" s="108">
        <f t="shared" si="1653"/>
        <v>12</v>
      </c>
      <c r="I4405" s="725"/>
      <c r="J4405" s="669" t="s">
        <v>5805</v>
      </c>
    </row>
    <row r="4406" spans="1:10" x14ac:dyDescent="0.25">
      <c r="A4406" s="618" t="s">
        <v>2084</v>
      </c>
      <c r="B4406" s="31" t="s">
        <v>2067</v>
      </c>
      <c r="C4406" s="31" t="s">
        <v>1288</v>
      </c>
      <c r="D4406" s="33" t="s">
        <v>5434</v>
      </c>
      <c r="E4406" s="31"/>
      <c r="F4406" s="469">
        <v>3.5</v>
      </c>
      <c r="G4406" s="546">
        <v>3.5</v>
      </c>
      <c r="H4406" s="108">
        <f t="shared" si="1653"/>
        <v>2.8</v>
      </c>
      <c r="I4406" s="725"/>
      <c r="J4406" s="669" t="s">
        <v>5805</v>
      </c>
    </row>
    <row r="4407" spans="1:10" x14ac:dyDescent="0.25">
      <c r="A4407" s="608"/>
      <c r="B4407" s="1"/>
      <c r="C4407" s="1"/>
      <c r="D4407" s="36"/>
      <c r="E4407" s="1"/>
      <c r="F4407" s="442"/>
      <c r="G4407" s="520"/>
      <c r="H4407" s="13" t="str">
        <f t="shared" si="1653"/>
        <v/>
      </c>
      <c r="I4407" s="692"/>
      <c r="J4407" s="669" t="s">
        <v>4180</v>
      </c>
    </row>
    <row r="4408" spans="1:10" x14ac:dyDescent="0.25">
      <c r="A4408" s="618" t="s">
        <v>4588</v>
      </c>
      <c r="B4408" s="31" t="s">
        <v>2067</v>
      </c>
      <c r="C4408" s="31" t="s">
        <v>1296</v>
      </c>
      <c r="D4408" s="33" t="s">
        <v>5433</v>
      </c>
      <c r="E4408" s="31"/>
      <c r="F4408" s="469">
        <v>15</v>
      </c>
      <c r="G4408" s="546">
        <v>15</v>
      </c>
      <c r="H4408" s="108">
        <f t="shared" si="1653"/>
        <v>12</v>
      </c>
      <c r="I4408" s="725"/>
      <c r="J4408" s="669" t="s">
        <v>5805</v>
      </c>
    </row>
    <row r="4409" spans="1:10" x14ac:dyDescent="0.25">
      <c r="A4409" s="618" t="s">
        <v>4589</v>
      </c>
      <c r="B4409" s="31" t="s">
        <v>2067</v>
      </c>
      <c r="C4409" s="31" t="s">
        <v>1296</v>
      </c>
      <c r="D4409" s="33" t="s">
        <v>5434</v>
      </c>
      <c r="E4409" s="31"/>
      <c r="F4409" s="469">
        <v>3.5</v>
      </c>
      <c r="G4409" s="546">
        <v>3.5</v>
      </c>
      <c r="H4409" s="108">
        <f t="shared" si="1653"/>
        <v>2.8</v>
      </c>
      <c r="I4409" s="725"/>
      <c r="J4409" s="669" t="s">
        <v>5805</v>
      </c>
    </row>
    <row r="4410" spans="1:10" x14ac:dyDescent="0.25">
      <c r="A4410" s="609"/>
      <c r="B4410" s="1"/>
      <c r="C4410" s="1"/>
      <c r="D4410" s="1"/>
      <c r="E4410" s="1"/>
      <c r="F4410" s="442"/>
      <c r="G4410" s="520"/>
      <c r="H4410" s="13" t="str">
        <f t="shared" si="1653"/>
        <v/>
      </c>
      <c r="I4410" s="692"/>
      <c r="J4410" s="669" t="s">
        <v>4180</v>
      </c>
    </row>
    <row r="4411" spans="1:10" x14ac:dyDescent="0.25">
      <c r="A4411" s="618" t="s">
        <v>927</v>
      </c>
      <c r="B4411" s="31" t="s">
        <v>2067</v>
      </c>
      <c r="C4411" s="31" t="s">
        <v>1304</v>
      </c>
      <c r="D4411" s="33" t="s">
        <v>5433</v>
      </c>
      <c r="E4411" s="31"/>
      <c r="F4411" s="469">
        <v>15</v>
      </c>
      <c r="G4411" s="546">
        <v>15</v>
      </c>
      <c r="H4411" s="108">
        <f t="shared" si="1653"/>
        <v>12</v>
      </c>
      <c r="I4411" s="725"/>
      <c r="J4411" s="669" t="s">
        <v>5805</v>
      </c>
    </row>
    <row r="4412" spans="1:10" x14ac:dyDescent="0.25">
      <c r="A4412" s="618" t="s">
        <v>928</v>
      </c>
      <c r="B4412" s="31" t="s">
        <v>2067</v>
      </c>
      <c r="C4412" s="31" t="s">
        <v>1304</v>
      </c>
      <c r="D4412" s="33" t="s">
        <v>5434</v>
      </c>
      <c r="E4412" s="31"/>
      <c r="F4412" s="469">
        <v>3.5</v>
      </c>
      <c r="G4412" s="546">
        <v>3.5</v>
      </c>
      <c r="H4412" s="108">
        <f t="shared" si="1653"/>
        <v>2.8</v>
      </c>
      <c r="I4412" s="725"/>
      <c r="J4412" s="669" t="s">
        <v>5805</v>
      </c>
    </row>
    <row r="4413" spans="1:10" x14ac:dyDescent="0.25">
      <c r="A4413" s="609"/>
      <c r="B4413" s="1"/>
      <c r="C4413" s="1"/>
      <c r="D4413" s="1"/>
      <c r="E4413" s="1"/>
      <c r="F4413" s="442"/>
      <c r="G4413" s="520"/>
      <c r="H4413" s="13" t="str">
        <f t="shared" si="1653"/>
        <v/>
      </c>
      <c r="I4413" s="692"/>
      <c r="J4413" s="669" t="s">
        <v>4180</v>
      </c>
    </row>
    <row r="4414" spans="1:10" x14ac:dyDescent="0.25">
      <c r="A4414" s="618" t="s">
        <v>737</v>
      </c>
      <c r="B4414" s="31" t="s">
        <v>2067</v>
      </c>
      <c r="C4414" s="31" t="s">
        <v>5540</v>
      </c>
      <c r="D4414" s="33" t="s">
        <v>5433</v>
      </c>
      <c r="E4414" s="31"/>
      <c r="F4414" s="469">
        <v>15</v>
      </c>
      <c r="G4414" s="546">
        <v>15</v>
      </c>
      <c r="H4414" s="108">
        <f t="shared" si="1653"/>
        <v>12</v>
      </c>
      <c r="I4414" s="725"/>
      <c r="J4414" s="669" t="s">
        <v>5805</v>
      </c>
    </row>
    <row r="4415" spans="1:10" x14ac:dyDescent="0.25">
      <c r="A4415" s="618" t="s">
        <v>738</v>
      </c>
      <c r="B4415" s="31" t="s">
        <v>2067</v>
      </c>
      <c r="C4415" s="31" t="s">
        <v>5540</v>
      </c>
      <c r="D4415" s="33" t="s">
        <v>5434</v>
      </c>
      <c r="E4415" s="31"/>
      <c r="F4415" s="469">
        <v>3.5</v>
      </c>
      <c r="G4415" s="546">
        <v>3.5</v>
      </c>
      <c r="H4415" s="108">
        <f t="shared" si="1653"/>
        <v>2.8</v>
      </c>
      <c r="I4415" s="725"/>
      <c r="J4415" s="669" t="s">
        <v>5805</v>
      </c>
    </row>
    <row r="4416" spans="1:10" x14ac:dyDescent="0.25">
      <c r="A4416" s="609"/>
      <c r="B4416" s="1"/>
      <c r="C4416" s="1"/>
      <c r="D4416" s="1"/>
      <c r="E4416" s="1"/>
      <c r="F4416" s="442"/>
      <c r="G4416" s="520"/>
      <c r="H4416" s="13" t="str">
        <f t="shared" si="1653"/>
        <v/>
      </c>
      <c r="I4416" s="692"/>
      <c r="J4416" s="669" t="s">
        <v>4180</v>
      </c>
    </row>
    <row r="4417" spans="1:16" x14ac:dyDescent="0.25">
      <c r="A4417" s="610" t="s">
        <v>4762</v>
      </c>
      <c r="B4417" s="17" t="s">
        <v>3390</v>
      </c>
      <c r="C4417" s="17" t="s">
        <v>5405</v>
      </c>
      <c r="D4417" s="17" t="s">
        <v>5433</v>
      </c>
      <c r="E4417" s="17"/>
      <c r="F4417" s="444">
        <v>15</v>
      </c>
      <c r="G4417" s="519">
        <v>15</v>
      </c>
      <c r="H4417" s="18">
        <f t="shared" si="1653"/>
        <v>12</v>
      </c>
      <c r="I4417" s="694"/>
      <c r="J4417" s="669" t="s">
        <v>5805</v>
      </c>
    </row>
    <row r="4418" spans="1:16" x14ac:dyDescent="0.25">
      <c r="A4418" s="610" t="s">
        <v>3295</v>
      </c>
      <c r="B4418" s="30" t="s">
        <v>3390</v>
      </c>
      <c r="C4418" s="17" t="s">
        <v>5405</v>
      </c>
      <c r="D4418" s="17" t="s">
        <v>5434</v>
      </c>
      <c r="E4418" s="17"/>
      <c r="F4418" s="444">
        <v>3.5</v>
      </c>
      <c r="G4418" s="519">
        <v>3.5</v>
      </c>
      <c r="H4418" s="18">
        <f t="shared" si="1653"/>
        <v>2.8</v>
      </c>
      <c r="I4418" s="694"/>
      <c r="J4418" s="669" t="s">
        <v>5805</v>
      </c>
    </row>
    <row r="4419" spans="1:16" x14ac:dyDescent="0.25">
      <c r="A4419" s="609"/>
      <c r="B4419" s="1"/>
      <c r="C4419" s="1"/>
      <c r="D4419" s="1"/>
      <c r="E4419" s="1"/>
      <c r="F4419" s="442"/>
      <c r="G4419" s="520"/>
      <c r="H4419" s="13" t="str">
        <f t="shared" si="1653"/>
        <v/>
      </c>
      <c r="I4419" s="692"/>
      <c r="J4419" s="669" t="s">
        <v>4180</v>
      </c>
    </row>
    <row r="4420" spans="1:16" x14ac:dyDescent="0.25">
      <c r="A4420" s="610" t="s">
        <v>865</v>
      </c>
      <c r="B4420" s="17" t="s">
        <v>3390</v>
      </c>
      <c r="C4420" s="30" t="s">
        <v>2385</v>
      </c>
      <c r="D4420" s="17" t="s">
        <v>5433</v>
      </c>
      <c r="E4420" s="17"/>
      <c r="F4420" s="444">
        <v>15</v>
      </c>
      <c r="G4420" s="519">
        <v>15</v>
      </c>
      <c r="H4420" s="18">
        <f t="shared" si="1653"/>
        <v>12</v>
      </c>
      <c r="I4420" s="694"/>
      <c r="J4420" s="669" t="s">
        <v>5805</v>
      </c>
    </row>
    <row r="4421" spans="1:16" x14ac:dyDescent="0.25">
      <c r="A4421" s="610" t="s">
        <v>4275</v>
      </c>
      <c r="B4421" s="30" t="s">
        <v>3390</v>
      </c>
      <c r="C4421" s="30" t="s">
        <v>2385</v>
      </c>
      <c r="D4421" s="17" t="s">
        <v>5434</v>
      </c>
      <c r="E4421" s="17"/>
      <c r="F4421" s="444">
        <v>3.5</v>
      </c>
      <c r="G4421" s="519">
        <v>3.5</v>
      </c>
      <c r="H4421" s="18">
        <f t="shared" si="1653"/>
        <v>2.8</v>
      </c>
      <c r="I4421" s="694"/>
      <c r="J4421" s="669" t="s">
        <v>5805</v>
      </c>
      <c r="M4421" s="48" t="s">
        <v>5640</v>
      </c>
      <c r="N4421" s="633" t="s">
        <v>5643</v>
      </c>
    </row>
    <row r="4422" spans="1:16" ht="15" customHeight="1" x14ac:dyDescent="0.25">
      <c r="A4422" s="608"/>
      <c r="B4422" s="2"/>
      <c r="C4422" s="1"/>
      <c r="D4422" s="2"/>
      <c r="E4422" s="1"/>
      <c r="F4422" s="442"/>
      <c r="G4422" s="520"/>
      <c r="H4422" s="13" t="str">
        <f t="shared" si="1653"/>
        <v/>
      </c>
      <c r="I4422" s="692"/>
      <c r="J4422" s="669" t="s">
        <v>4180</v>
      </c>
      <c r="M4422" s="48" t="s">
        <v>5641</v>
      </c>
      <c r="N4422" s="633" t="s">
        <v>5642</v>
      </c>
      <c r="O4422" s="634" t="s">
        <v>5490</v>
      </c>
    </row>
    <row r="4423" spans="1:16" x14ac:dyDescent="0.25">
      <c r="A4423" s="610" t="s">
        <v>1477</v>
      </c>
      <c r="B4423" s="17" t="s">
        <v>3390</v>
      </c>
      <c r="C4423" s="30" t="s">
        <v>1467</v>
      </c>
      <c r="D4423" s="17" t="s">
        <v>5433</v>
      </c>
      <c r="E4423" s="17"/>
      <c r="F4423" s="444">
        <v>15</v>
      </c>
      <c r="G4423" s="519">
        <v>15</v>
      </c>
      <c r="H4423" s="18">
        <f t="shared" si="1653"/>
        <v>12</v>
      </c>
      <c r="I4423" s="694"/>
      <c r="J4423" s="669" t="s">
        <v>5805</v>
      </c>
      <c r="M4423" s="274"/>
      <c r="N4423" s="51"/>
      <c r="O4423" s="119">
        <v>0</v>
      </c>
      <c r="P4423" s="270" t="s">
        <v>2195</v>
      </c>
    </row>
    <row r="4424" spans="1:16" x14ac:dyDescent="0.25">
      <c r="A4424" s="610" t="s">
        <v>1478</v>
      </c>
      <c r="B4424" s="30" t="s">
        <v>3390</v>
      </c>
      <c r="C4424" s="30" t="s">
        <v>1467</v>
      </c>
      <c r="D4424" s="17" t="s">
        <v>5434</v>
      </c>
      <c r="E4424" s="17"/>
      <c r="F4424" s="444">
        <v>3.5</v>
      </c>
      <c r="G4424" s="519">
        <v>3.5</v>
      </c>
      <c r="H4424" s="18">
        <f t="shared" si="1653"/>
        <v>2.8</v>
      </c>
      <c r="I4424" s="694"/>
      <c r="J4424" s="669" t="s">
        <v>5805</v>
      </c>
      <c r="M4424" s="47">
        <v>2012</v>
      </c>
      <c r="N4424" s="52"/>
      <c r="O4424" s="41"/>
    </row>
    <row r="4425" spans="1:16" x14ac:dyDescent="0.25">
      <c r="A4425" s="608"/>
      <c r="B4425" s="2"/>
      <c r="C4425" s="1"/>
      <c r="D4425" s="2"/>
      <c r="E4425" s="1"/>
      <c r="F4425" s="442"/>
      <c r="G4425" s="520"/>
      <c r="H4425" s="13" t="str">
        <f t="shared" si="1653"/>
        <v/>
      </c>
      <c r="I4425" s="692"/>
      <c r="J4425" s="669" t="s">
        <v>4180</v>
      </c>
      <c r="M4425" s="49">
        <f>N4425</f>
        <v>15</v>
      </c>
      <c r="N4425" s="90">
        <v>15</v>
      </c>
    </row>
    <row r="4426" spans="1:16" x14ac:dyDescent="0.25">
      <c r="A4426" s="613" t="s">
        <v>4240</v>
      </c>
      <c r="B4426" s="283" t="s">
        <v>3390</v>
      </c>
      <c r="C4426" s="285" t="s">
        <v>1984</v>
      </c>
      <c r="D4426" s="283" t="s">
        <v>5433</v>
      </c>
      <c r="E4426" s="283"/>
      <c r="F4426" s="447">
        <f>M4425</f>
        <v>15</v>
      </c>
      <c r="G4426" s="523">
        <v>15</v>
      </c>
      <c r="H4426" s="286">
        <f t="shared" si="1653"/>
        <v>12</v>
      </c>
      <c r="I4426" s="697"/>
      <c r="J4426" s="669" t="s">
        <v>5805</v>
      </c>
      <c r="M4426" s="49">
        <f>N4426</f>
        <v>19</v>
      </c>
      <c r="N4426" s="90">
        <v>19</v>
      </c>
    </row>
    <row r="4427" spans="1:16" x14ac:dyDescent="0.25">
      <c r="A4427" s="613" t="s">
        <v>4241</v>
      </c>
      <c r="B4427" s="283" t="s">
        <v>3390</v>
      </c>
      <c r="C4427" s="285" t="s">
        <v>1984</v>
      </c>
      <c r="D4427" s="283" t="s">
        <v>4243</v>
      </c>
      <c r="E4427" s="283"/>
      <c r="F4427" s="447">
        <f>M4426</f>
        <v>19</v>
      </c>
      <c r="G4427" s="523">
        <v>19</v>
      </c>
      <c r="H4427" s="286">
        <f t="shared" si="1653"/>
        <v>15.2</v>
      </c>
      <c r="I4427" s="697"/>
      <c r="J4427" s="669" t="s">
        <v>5805</v>
      </c>
      <c r="M4427" s="59">
        <f>N4427</f>
        <v>3.5</v>
      </c>
      <c r="N4427" s="241">
        <v>3.5</v>
      </c>
      <c r="O4427" s="41"/>
    </row>
    <row r="4428" spans="1:16" x14ac:dyDescent="0.25">
      <c r="A4428" s="613" t="s">
        <v>4242</v>
      </c>
      <c r="B4428" s="285" t="s">
        <v>3390</v>
      </c>
      <c r="C4428" s="285" t="s">
        <v>1984</v>
      </c>
      <c r="D4428" s="283" t="s">
        <v>5434</v>
      </c>
      <c r="E4428" s="283"/>
      <c r="F4428" s="447">
        <f>M4427</f>
        <v>3.5</v>
      </c>
      <c r="G4428" s="523">
        <v>3.5</v>
      </c>
      <c r="H4428" s="286">
        <f t="shared" si="1653"/>
        <v>2.8</v>
      </c>
      <c r="I4428" s="697"/>
      <c r="J4428" s="669" t="s">
        <v>5805</v>
      </c>
      <c r="M4428" s="47">
        <v>2013</v>
      </c>
      <c r="N4428" s="52"/>
    </row>
    <row r="4429" spans="1:16" x14ac:dyDescent="0.25">
      <c r="A4429" s="608"/>
      <c r="B4429" s="2"/>
      <c r="C4429" s="1"/>
      <c r="D4429" s="2"/>
      <c r="E4429" s="1"/>
      <c r="F4429" s="442"/>
      <c r="G4429" s="520"/>
      <c r="H4429" s="13" t="str">
        <f t="shared" si="1653"/>
        <v/>
      </c>
      <c r="I4429" s="692"/>
      <c r="J4429" s="669" t="s">
        <v>4180</v>
      </c>
      <c r="M4429" s="49">
        <f>ROUND(N4429,2)</f>
        <v>15</v>
      </c>
      <c r="N4429" s="90">
        <f>N4425*(1-$O$4423)</f>
        <v>15</v>
      </c>
    </row>
    <row r="4430" spans="1:16" x14ac:dyDescent="0.25">
      <c r="A4430" s="615" t="s">
        <v>2193</v>
      </c>
      <c r="B4430" s="372" t="s">
        <v>3390</v>
      </c>
      <c r="C4430" s="373" t="s">
        <v>4676</v>
      </c>
      <c r="D4430" s="372" t="s">
        <v>5433</v>
      </c>
      <c r="E4430" s="372"/>
      <c r="F4430" s="449">
        <f>M4429</f>
        <v>15</v>
      </c>
      <c r="G4430" s="525">
        <v>15</v>
      </c>
      <c r="H4430" s="374">
        <f t="shared" si="1653"/>
        <v>12</v>
      </c>
      <c r="I4430" s="699"/>
      <c r="J4430" s="669" t="s">
        <v>5805</v>
      </c>
      <c r="M4430" s="49">
        <f>ROUND(N4430,2)</f>
        <v>19</v>
      </c>
      <c r="N4430" s="90">
        <f>N4426*(1-$O$4423)</f>
        <v>19</v>
      </c>
    </row>
    <row r="4431" spans="1:16" x14ac:dyDescent="0.25">
      <c r="A4431" s="615" t="s">
        <v>2194</v>
      </c>
      <c r="B4431" s="372" t="s">
        <v>3390</v>
      </c>
      <c r="C4431" s="373" t="s">
        <v>4676</v>
      </c>
      <c r="D4431" s="372" t="s">
        <v>4243</v>
      </c>
      <c r="E4431" s="372"/>
      <c r="F4431" s="449">
        <f>M4430</f>
        <v>19</v>
      </c>
      <c r="G4431" s="525">
        <v>19</v>
      </c>
      <c r="H4431" s="374">
        <f t="shared" si="1653"/>
        <v>15.2</v>
      </c>
      <c r="I4431" s="699"/>
      <c r="J4431" s="669" t="s">
        <v>5805</v>
      </c>
      <c r="M4431" s="59">
        <f>ROUND(N4431,2)</f>
        <v>3.5</v>
      </c>
      <c r="N4431" s="52">
        <f>N4427*(1-$O$4423)</f>
        <v>3.5</v>
      </c>
    </row>
    <row r="4432" spans="1:16" x14ac:dyDescent="0.25">
      <c r="A4432" s="615" t="s">
        <v>1680</v>
      </c>
      <c r="B4432" s="373" t="s">
        <v>3390</v>
      </c>
      <c r="C4432" s="373" t="s">
        <v>4676</v>
      </c>
      <c r="D4432" s="372" t="s">
        <v>5434</v>
      </c>
      <c r="E4432" s="372"/>
      <c r="F4432" s="449">
        <f>M4431</f>
        <v>3.5</v>
      </c>
      <c r="G4432" s="525">
        <v>3.5</v>
      </c>
      <c r="H4432" s="374">
        <f t="shared" si="1653"/>
        <v>2.8</v>
      </c>
      <c r="I4432" s="699"/>
      <c r="J4432" s="669" t="s">
        <v>5805</v>
      </c>
      <c r="M4432" s="47">
        <v>2014</v>
      </c>
      <c r="N4432" s="52"/>
    </row>
    <row r="4433" spans="1:33" x14ac:dyDescent="0.25">
      <c r="A4433" s="608"/>
      <c r="B4433" s="2"/>
      <c r="C4433" s="1"/>
      <c r="D4433" s="2"/>
      <c r="E4433" s="1"/>
      <c r="F4433" s="442"/>
      <c r="G4433" s="520"/>
      <c r="H4433" s="13" t="str">
        <f t="shared" si="1653"/>
        <v/>
      </c>
      <c r="I4433" s="692"/>
      <c r="J4433" s="669" t="s">
        <v>4180</v>
      </c>
      <c r="M4433" s="49">
        <f>ROUND(N4433,2)</f>
        <v>15</v>
      </c>
      <c r="N4433" s="90">
        <f>N4429*(1-$O$4423)</f>
        <v>15</v>
      </c>
    </row>
    <row r="4434" spans="1:33" x14ac:dyDescent="0.25">
      <c r="A4434" s="615" t="s">
        <v>1678</v>
      </c>
      <c r="B4434" s="372" t="s">
        <v>3390</v>
      </c>
      <c r="C4434" s="373" t="s">
        <v>1647</v>
      </c>
      <c r="D4434" s="372" t="s">
        <v>5433</v>
      </c>
      <c r="E4434" s="372"/>
      <c r="F4434" s="449">
        <f>M4433</f>
        <v>15</v>
      </c>
      <c r="G4434" s="525">
        <v>15</v>
      </c>
      <c r="H4434" s="374">
        <f t="shared" ref="H4434:H4465" si="1654">IF(ISNUMBER(G4434),ROUND(0.8*G4434,2),"")</f>
        <v>12</v>
      </c>
      <c r="I4434" s="699"/>
      <c r="J4434" s="669" t="s">
        <v>5805</v>
      </c>
      <c r="M4434" s="49">
        <f>ROUND(N4434,2)</f>
        <v>19</v>
      </c>
      <c r="N4434" s="90">
        <f>N4430*(1-$O$4423)</f>
        <v>19</v>
      </c>
    </row>
    <row r="4435" spans="1:33" x14ac:dyDescent="0.25">
      <c r="A4435" s="615" t="s">
        <v>1679</v>
      </c>
      <c r="B4435" s="372" t="s">
        <v>3390</v>
      </c>
      <c r="C4435" s="373" t="s">
        <v>1647</v>
      </c>
      <c r="D4435" s="372" t="s">
        <v>4243</v>
      </c>
      <c r="E4435" s="372"/>
      <c r="F4435" s="449">
        <f>M4434</f>
        <v>19</v>
      </c>
      <c r="G4435" s="525">
        <v>19</v>
      </c>
      <c r="H4435" s="374">
        <f t="shared" si="1654"/>
        <v>15.2</v>
      </c>
      <c r="I4435" s="699"/>
      <c r="J4435" s="669" t="s">
        <v>5805</v>
      </c>
      <c r="M4435" s="59">
        <f>ROUND(N4435,2)</f>
        <v>3.5</v>
      </c>
      <c r="N4435" s="52">
        <f>N4431*(1-$O$4423)</f>
        <v>3.5</v>
      </c>
    </row>
    <row r="4436" spans="1:33" s="12" customFormat="1" x14ac:dyDescent="0.25">
      <c r="A4436" s="615" t="s">
        <v>1681</v>
      </c>
      <c r="B4436" s="373" t="s">
        <v>3390</v>
      </c>
      <c r="C4436" s="373" t="s">
        <v>1647</v>
      </c>
      <c r="D4436" s="372" t="s">
        <v>5434</v>
      </c>
      <c r="E4436" s="372"/>
      <c r="F4436" s="449">
        <f>M4435</f>
        <v>3.5</v>
      </c>
      <c r="G4436" s="525">
        <v>3.5</v>
      </c>
      <c r="H4436" s="374">
        <f t="shared" si="1654"/>
        <v>2.8</v>
      </c>
      <c r="I4436" s="699"/>
      <c r="J4436" s="669" t="s">
        <v>5805</v>
      </c>
      <c r="L4436" s="269"/>
      <c r="M4436" s="49"/>
      <c r="N4436" s="41"/>
      <c r="O4436" s="188"/>
      <c r="P4436" s="188"/>
      <c r="Q4436" s="188"/>
      <c r="R4436" s="27"/>
      <c r="S4436" s="27"/>
      <c r="T4436" s="27"/>
      <c r="U4436" s="27"/>
    </row>
    <row r="4437" spans="1:33" s="259" customFormat="1" ht="20.25" customHeight="1" x14ac:dyDescent="0.25">
      <c r="A4437" s="616"/>
      <c r="B4437" s="2"/>
      <c r="C4437" s="1"/>
      <c r="D4437" s="2"/>
      <c r="E4437" s="1"/>
      <c r="F4437" s="442"/>
      <c r="G4437" s="13"/>
      <c r="H4437" s="13" t="str">
        <f t="shared" si="1654"/>
        <v/>
      </c>
      <c r="I4437" s="692"/>
      <c r="J4437" s="669" t="s">
        <v>4180</v>
      </c>
      <c r="K4437" s="258"/>
      <c r="L4437" s="362"/>
      <c r="M4437" s="260" t="s">
        <v>104</v>
      </c>
      <c r="N4437" s="261"/>
      <c r="O4437" s="261"/>
      <c r="AG4437" s="262"/>
    </row>
    <row r="4438" spans="1:33" ht="15.75" x14ac:dyDescent="0.25">
      <c r="A4438" s="617"/>
      <c r="B4438" s="255"/>
      <c r="C4438" s="256"/>
      <c r="D4438" s="255"/>
      <c r="E4438" s="256"/>
      <c r="F4438" s="463"/>
      <c r="G4438" s="257"/>
      <c r="H4438" s="257" t="str">
        <f t="shared" si="1654"/>
        <v/>
      </c>
      <c r="I4438" s="717"/>
      <c r="J4438" s="669" t="s">
        <v>4180</v>
      </c>
      <c r="N4438" s="270" t="s">
        <v>5490</v>
      </c>
      <c r="O4438" t="s">
        <v>5433</v>
      </c>
      <c r="P4438" t="s">
        <v>102</v>
      </c>
      <c r="Q4438" t="s">
        <v>5434</v>
      </c>
    </row>
    <row r="4439" spans="1:33" x14ac:dyDescent="0.25">
      <c r="A4439" s="608"/>
      <c r="B4439" s="2"/>
      <c r="C4439" s="34"/>
      <c r="D4439" s="34"/>
      <c r="E4439" s="2"/>
      <c r="F4439" s="445"/>
      <c r="G4439" s="14"/>
      <c r="H4439" s="14" t="str">
        <f t="shared" si="1654"/>
        <v/>
      </c>
      <c r="I4439" s="695"/>
      <c r="J4439" s="669" t="s">
        <v>4180</v>
      </c>
      <c r="M4439" s="127">
        <v>2014</v>
      </c>
      <c r="N4439" s="395" t="s">
        <v>103</v>
      </c>
      <c r="O4439" s="327">
        <v>15.4</v>
      </c>
      <c r="P4439" s="327">
        <v>19.399999999999999</v>
      </c>
      <c r="Q4439" s="327">
        <v>3.9</v>
      </c>
      <c r="S4439" t="s">
        <v>49</v>
      </c>
    </row>
    <row r="4440" spans="1:33" x14ac:dyDescent="0.25">
      <c r="A4440" s="607" t="s">
        <v>99</v>
      </c>
      <c r="B4440" s="435" t="s">
        <v>3390</v>
      </c>
      <c r="C4440" s="436" t="s">
        <v>39</v>
      </c>
      <c r="D4440" s="436" t="s">
        <v>5433</v>
      </c>
      <c r="E4440" s="435"/>
      <c r="F4440" s="450">
        <f>ROUND(HLOOKUP(D4440,O4438:Q4440,3,FALSE),2)</f>
        <v>15</v>
      </c>
      <c r="G4440" s="437">
        <f>ROUND(HLOOKUP(D4440,O4438:Q4440,2,FALSE),2)</f>
        <v>15.4</v>
      </c>
      <c r="H4440" s="437">
        <f t="shared" si="1654"/>
        <v>12.32</v>
      </c>
      <c r="I4440" s="700"/>
      <c r="J4440" s="669" t="s">
        <v>5805</v>
      </c>
      <c r="N4440" s="395" t="s">
        <v>85</v>
      </c>
      <c r="O4440" s="327">
        <f>O4439-0.4</f>
        <v>15</v>
      </c>
      <c r="P4440" s="327">
        <f>P4439-0.4</f>
        <v>19</v>
      </c>
      <c r="Q4440" s="327">
        <f>Q4439-0.4</f>
        <v>3.5</v>
      </c>
      <c r="S4440" t="s">
        <v>50</v>
      </c>
    </row>
    <row r="4441" spans="1:33" x14ac:dyDescent="0.25">
      <c r="A4441" s="607" t="s">
        <v>100</v>
      </c>
      <c r="B4441" s="435" t="s">
        <v>3390</v>
      </c>
      <c r="C4441" s="436" t="s">
        <v>39</v>
      </c>
      <c r="D4441" s="436" t="s">
        <v>102</v>
      </c>
      <c r="E4441" s="435"/>
      <c r="F4441" s="450">
        <f>ROUND(HLOOKUP(D4441,O4438:Q4440,3,FALSE),2)</f>
        <v>19</v>
      </c>
      <c r="G4441" s="437">
        <f>ROUND(HLOOKUP(D4441,O4438:Q4440,2,FALSE),2)</f>
        <v>19.399999999999999</v>
      </c>
      <c r="H4441" s="437">
        <f t="shared" si="1654"/>
        <v>15.52</v>
      </c>
      <c r="I4441" s="700"/>
      <c r="J4441" s="669" t="s">
        <v>5805</v>
      </c>
      <c r="N4441" s="395"/>
      <c r="O4441" s="327"/>
      <c r="P4441" s="327"/>
      <c r="Q4441" s="327"/>
    </row>
    <row r="4442" spans="1:33" x14ac:dyDescent="0.25">
      <c r="A4442" s="607" t="s">
        <v>101</v>
      </c>
      <c r="B4442" s="435" t="s">
        <v>3390</v>
      </c>
      <c r="C4442" s="436" t="s">
        <v>39</v>
      </c>
      <c r="D4442" s="436" t="s">
        <v>5434</v>
      </c>
      <c r="E4442" s="435"/>
      <c r="F4442" s="450">
        <f>ROUND(HLOOKUP(D4442,O4438:Q4440,3,FALSE),2)</f>
        <v>3.5</v>
      </c>
      <c r="G4442" s="437">
        <f>ROUND(HLOOKUP(D4442,O4438:Q4440,2,FALSE),2)</f>
        <v>3.9</v>
      </c>
      <c r="H4442" s="437">
        <f t="shared" si="1654"/>
        <v>3.12</v>
      </c>
      <c r="I4442" s="700"/>
      <c r="J4442" s="669" t="s">
        <v>5805</v>
      </c>
      <c r="N4442" s="270" t="s">
        <v>5490</v>
      </c>
      <c r="O4442" t="s">
        <v>5433</v>
      </c>
      <c r="P4442" t="s">
        <v>102</v>
      </c>
      <c r="Q4442" t="s">
        <v>5434</v>
      </c>
    </row>
    <row r="4443" spans="1:33" x14ac:dyDescent="0.25">
      <c r="A4443" s="608"/>
      <c r="B4443" s="2"/>
      <c r="C4443" s="34"/>
      <c r="D4443" s="34"/>
      <c r="E4443" s="2"/>
      <c r="F4443" s="445"/>
      <c r="G4443" s="14"/>
      <c r="H4443" s="14" t="str">
        <f t="shared" si="1654"/>
        <v/>
      </c>
      <c r="I4443" s="695"/>
      <c r="J4443" s="669" t="s">
        <v>4180</v>
      </c>
      <c r="M4443" s="127">
        <v>2015</v>
      </c>
      <c r="N4443" s="395" t="s">
        <v>103</v>
      </c>
      <c r="O4443" s="327">
        <v>15.4</v>
      </c>
      <c r="P4443" s="327">
        <v>19.399999999999999</v>
      </c>
      <c r="Q4443" s="327">
        <v>3.9</v>
      </c>
      <c r="S4443" t="s">
        <v>49</v>
      </c>
    </row>
    <row r="4444" spans="1:33" x14ac:dyDescent="0.25">
      <c r="A4444" s="607" t="s">
        <v>381</v>
      </c>
      <c r="B4444" s="435" t="s">
        <v>3390</v>
      </c>
      <c r="C4444" s="436" t="s">
        <v>380</v>
      </c>
      <c r="D4444" s="436" t="s">
        <v>5433</v>
      </c>
      <c r="E4444" s="435"/>
      <c r="F4444" s="450">
        <f>ROUND(HLOOKUP(D4444,O4442:Q4444,3,FALSE),2)</f>
        <v>15</v>
      </c>
      <c r="G4444" s="437">
        <f>ROUND(HLOOKUP(D4444,O4442:Q4444,2,FALSE),2)</f>
        <v>15.4</v>
      </c>
      <c r="H4444" s="437">
        <f t="shared" si="1654"/>
        <v>12.32</v>
      </c>
      <c r="I4444" s="700"/>
      <c r="J4444" s="669" t="s">
        <v>5805</v>
      </c>
      <c r="N4444" s="395" t="s">
        <v>85</v>
      </c>
      <c r="O4444" s="327">
        <f>O4443-0.4</f>
        <v>15</v>
      </c>
      <c r="P4444" s="327">
        <f>P4443-0.4</f>
        <v>19</v>
      </c>
      <c r="Q4444" s="327">
        <f>Q4443-0.4</f>
        <v>3.5</v>
      </c>
      <c r="S4444" t="s">
        <v>50</v>
      </c>
    </row>
    <row r="4445" spans="1:33" x14ac:dyDescent="0.25">
      <c r="A4445" s="607" t="s">
        <v>382</v>
      </c>
      <c r="B4445" s="435" t="s">
        <v>3390</v>
      </c>
      <c r="C4445" s="436" t="s">
        <v>380</v>
      </c>
      <c r="D4445" s="436" t="s">
        <v>102</v>
      </c>
      <c r="E4445" s="435"/>
      <c r="F4445" s="450">
        <f>ROUND(HLOOKUP(D4445,O4442:Q4444,3,FALSE),2)</f>
        <v>19</v>
      </c>
      <c r="G4445" s="437">
        <f>ROUND(HLOOKUP(D4445,O4442:Q4444,2,FALSE),2)</f>
        <v>19.399999999999999</v>
      </c>
      <c r="H4445" s="437">
        <f t="shared" si="1654"/>
        <v>15.52</v>
      </c>
      <c r="I4445" s="700"/>
      <c r="J4445" s="669" t="s">
        <v>5805</v>
      </c>
      <c r="N4445" s="395"/>
      <c r="O4445" s="327"/>
      <c r="P4445" s="327"/>
      <c r="Q4445" s="327"/>
    </row>
    <row r="4446" spans="1:33" x14ac:dyDescent="0.25">
      <c r="A4446" s="607" t="s">
        <v>383</v>
      </c>
      <c r="B4446" s="435" t="s">
        <v>3390</v>
      </c>
      <c r="C4446" s="436" t="s">
        <v>380</v>
      </c>
      <c r="D4446" s="436" t="s">
        <v>5434</v>
      </c>
      <c r="E4446" s="435"/>
      <c r="F4446" s="450">
        <f>ROUND(HLOOKUP(D4446,O4442:Q4444,3,FALSE),2)</f>
        <v>3.5</v>
      </c>
      <c r="G4446" s="437">
        <f>ROUND(HLOOKUP(D4446,O4442:Q4444,2,FALSE),2)</f>
        <v>3.9</v>
      </c>
      <c r="H4446" s="437">
        <f t="shared" si="1654"/>
        <v>3.12</v>
      </c>
      <c r="I4446" s="700"/>
      <c r="J4446" s="669" t="s">
        <v>5805</v>
      </c>
      <c r="N4446" s="270" t="s">
        <v>5490</v>
      </c>
      <c r="O4446" t="s">
        <v>5433</v>
      </c>
      <c r="P4446" t="s">
        <v>102</v>
      </c>
      <c r="Q4446" t="s">
        <v>5434</v>
      </c>
    </row>
    <row r="4447" spans="1:33" x14ac:dyDescent="0.25">
      <c r="A4447" s="608"/>
      <c r="B4447" s="2"/>
      <c r="C4447" s="34"/>
      <c r="D4447" s="34"/>
      <c r="E4447" s="2"/>
      <c r="F4447" s="445"/>
      <c r="G4447" s="14"/>
      <c r="H4447" s="14" t="str">
        <f t="shared" si="1654"/>
        <v/>
      </c>
      <c r="I4447" s="695"/>
      <c r="J4447" s="669" t="s">
        <v>4180</v>
      </c>
      <c r="M4447" s="127">
        <v>2016</v>
      </c>
      <c r="N4447" s="395" t="s">
        <v>103</v>
      </c>
      <c r="O4447" s="327">
        <v>15.4</v>
      </c>
      <c r="P4447" s="327">
        <v>19.399999999999999</v>
      </c>
      <c r="Q4447" s="327">
        <v>3.9</v>
      </c>
      <c r="S4447" t="s">
        <v>49</v>
      </c>
    </row>
    <row r="4448" spans="1:33" x14ac:dyDescent="0.25">
      <c r="A4448" s="607" t="s">
        <v>5710</v>
      </c>
      <c r="B4448" s="435" t="s">
        <v>3390</v>
      </c>
      <c r="C4448" s="436" t="s">
        <v>5648</v>
      </c>
      <c r="D4448" s="436" t="s">
        <v>5433</v>
      </c>
      <c r="E4448" s="435"/>
      <c r="F4448" s="450">
        <f>ROUND(HLOOKUP(D4448,O4446:Q4448,3,FALSE),2)</f>
        <v>15</v>
      </c>
      <c r="G4448" s="437">
        <f>ROUND(HLOOKUP(D4448,O4446:Q4448,2,FALSE),2)</f>
        <v>15.4</v>
      </c>
      <c r="H4448" s="437">
        <f t="shared" si="1654"/>
        <v>12.32</v>
      </c>
      <c r="I4448" s="700"/>
      <c r="J4448" s="669" t="s">
        <v>5805</v>
      </c>
      <c r="N4448" s="395" t="s">
        <v>85</v>
      </c>
      <c r="O4448" s="327">
        <f>O4447-0.4</f>
        <v>15</v>
      </c>
      <c r="P4448" s="327">
        <f>P4447-0.4</f>
        <v>19</v>
      </c>
      <c r="Q4448" s="327">
        <f>Q4447-0.4</f>
        <v>3.5</v>
      </c>
      <c r="S4448" t="s">
        <v>50</v>
      </c>
    </row>
    <row r="4449" spans="1:20" x14ac:dyDescent="0.25">
      <c r="A4449" s="607" t="s">
        <v>5711</v>
      </c>
      <c r="B4449" s="435" t="s">
        <v>3390</v>
      </c>
      <c r="C4449" s="436" t="s">
        <v>5648</v>
      </c>
      <c r="D4449" s="436" t="s">
        <v>102</v>
      </c>
      <c r="E4449" s="435"/>
      <c r="F4449" s="450">
        <f>ROUND(HLOOKUP(D4449,O4446:Q4448,3,FALSE),2)</f>
        <v>19</v>
      </c>
      <c r="G4449" s="437">
        <f>ROUND(HLOOKUP(D4449,O4446:Q4448,2,FALSE),2)</f>
        <v>19.399999999999999</v>
      </c>
      <c r="H4449" s="437">
        <f t="shared" si="1654"/>
        <v>15.52</v>
      </c>
      <c r="I4449" s="700"/>
      <c r="J4449" s="669" t="s">
        <v>5805</v>
      </c>
      <c r="N4449" s="395" t="s">
        <v>384</v>
      </c>
      <c r="O4449" s="327"/>
      <c r="P4449" s="327"/>
      <c r="Q4449" s="327"/>
    </row>
    <row r="4450" spans="1:20" x14ac:dyDescent="0.25">
      <c r="A4450" s="607" t="s">
        <v>5712</v>
      </c>
      <c r="B4450" s="435" t="s">
        <v>3390</v>
      </c>
      <c r="C4450" s="436" t="s">
        <v>5648</v>
      </c>
      <c r="D4450" s="436" t="s">
        <v>5434</v>
      </c>
      <c r="E4450" s="435"/>
      <c r="F4450" s="450">
        <f>ROUND(HLOOKUP(D4450,O4446:Q4448,3,FALSE),2)</f>
        <v>3.5</v>
      </c>
      <c r="G4450" s="437">
        <f>ROUND(HLOOKUP(D4450,O4446:Q4448,2,FALSE),2)</f>
        <v>3.9</v>
      </c>
      <c r="H4450" s="437">
        <f t="shared" si="1654"/>
        <v>3.12</v>
      </c>
      <c r="I4450" s="700"/>
      <c r="J4450" s="669" t="s">
        <v>5805</v>
      </c>
      <c r="K4450" s="12"/>
      <c r="L4450" s="269"/>
      <c r="M4450" s="49"/>
      <c r="N4450" s="41"/>
      <c r="O4450" s="188"/>
      <c r="P4450" s="327"/>
      <c r="Q4450" s="327"/>
    </row>
    <row r="4451" spans="1:20" ht="15.75" x14ac:dyDescent="0.25">
      <c r="A4451" s="616"/>
      <c r="B4451" s="2"/>
      <c r="C4451" s="1"/>
      <c r="D4451" s="2"/>
      <c r="E4451" s="1"/>
      <c r="F4451" s="442"/>
      <c r="G4451" s="13"/>
      <c r="H4451" s="13" t="str">
        <f t="shared" si="1654"/>
        <v/>
      </c>
      <c r="I4451" s="692"/>
      <c r="J4451" s="669" t="s">
        <v>4180</v>
      </c>
      <c r="K4451" s="258"/>
      <c r="L4451" s="362"/>
      <c r="M4451" s="260" t="s">
        <v>5977</v>
      </c>
      <c r="N4451" s="261"/>
      <c r="O4451" s="261"/>
      <c r="P4451" s="327"/>
      <c r="Q4451" s="327"/>
    </row>
    <row r="4452" spans="1:20" ht="15.75" x14ac:dyDescent="0.25">
      <c r="A4452" s="617"/>
      <c r="B4452" s="255"/>
      <c r="C4452" s="256"/>
      <c r="D4452" s="255"/>
      <c r="E4452" s="256"/>
      <c r="F4452" s="463"/>
      <c r="G4452" s="257"/>
      <c r="H4452" s="257" t="str">
        <f t="shared" si="1654"/>
        <v/>
      </c>
      <c r="I4452" s="717"/>
      <c r="J4452" s="669" t="s">
        <v>4180</v>
      </c>
    </row>
    <row r="4453" spans="1:20" x14ac:dyDescent="0.25">
      <c r="A4453" s="608"/>
      <c r="B4453" s="2"/>
      <c r="C4453" s="34"/>
      <c r="D4453" s="34"/>
      <c r="E4453" s="2"/>
      <c r="F4453" s="445"/>
      <c r="G4453" s="14"/>
      <c r="H4453" s="14" t="str">
        <f t="shared" si="1654"/>
        <v/>
      </c>
      <c r="I4453" s="695"/>
      <c r="J4453" s="669" t="s">
        <v>4180</v>
      </c>
      <c r="N4453" s="270" t="s">
        <v>5490</v>
      </c>
      <c r="O4453" t="s">
        <v>5433</v>
      </c>
      <c r="P4453" t="s">
        <v>6077</v>
      </c>
      <c r="Q4453" t="s">
        <v>5434</v>
      </c>
    </row>
    <row r="4454" spans="1:20" x14ac:dyDescent="0.25">
      <c r="A4454" s="644" t="s">
        <v>5979</v>
      </c>
      <c r="B4454" s="645" t="s">
        <v>3390</v>
      </c>
      <c r="C4454" s="643" t="s">
        <v>5867</v>
      </c>
      <c r="D4454" s="643" t="s">
        <v>5433</v>
      </c>
      <c r="E4454" s="645"/>
      <c r="F4454" s="657">
        <f>ROUND(HLOOKUP(D4454,O4453:Q4455,3,FALSE),2)</f>
        <v>15</v>
      </c>
      <c r="G4454" s="656">
        <f>ROUND(HLOOKUP(D4454,O4453:Q4455,2,FALSE),2)</f>
        <v>15.4</v>
      </c>
      <c r="H4454" s="656">
        <f t="shared" si="1654"/>
        <v>12.32</v>
      </c>
      <c r="I4454" s="701"/>
      <c r="J4454" s="669">
        <v>42705</v>
      </c>
      <c r="M4454" s="127">
        <v>2017</v>
      </c>
      <c r="N4454" s="395" t="s">
        <v>5978</v>
      </c>
      <c r="O4454" s="327">
        <v>15.4</v>
      </c>
      <c r="P4454" s="327">
        <v>19.399999999999999</v>
      </c>
      <c r="Q4454" s="327">
        <v>3.9</v>
      </c>
      <c r="S4454" t="s">
        <v>49</v>
      </c>
    </row>
    <row r="4455" spans="1:20" x14ac:dyDescent="0.25">
      <c r="A4455" s="644" t="s">
        <v>5980</v>
      </c>
      <c r="B4455" s="645" t="s">
        <v>3390</v>
      </c>
      <c r="C4455" s="643" t="s">
        <v>5867</v>
      </c>
      <c r="D4455" s="643" t="s">
        <v>6077</v>
      </c>
      <c r="E4455" s="645"/>
      <c r="F4455" s="657">
        <f>ROUND(HLOOKUP(D4455,O4453:Q4455,3,FALSE),2)</f>
        <v>19</v>
      </c>
      <c r="G4455" s="656">
        <f>ROUND(HLOOKUP(D4455,O4453:Q4455,2,FALSE),2)</f>
        <v>19.399999999999999</v>
      </c>
      <c r="H4455" s="656">
        <f t="shared" si="1654"/>
        <v>15.52</v>
      </c>
      <c r="I4455" s="701"/>
      <c r="J4455" s="669">
        <v>42705</v>
      </c>
      <c r="N4455" s="395" t="s">
        <v>5882</v>
      </c>
      <c r="O4455" s="327">
        <f>O4454-0.4</f>
        <v>15</v>
      </c>
      <c r="P4455" s="327">
        <f>P4454-0.4</f>
        <v>19</v>
      </c>
      <c r="Q4455" s="327">
        <f>Q4454-0.4</f>
        <v>3.5</v>
      </c>
      <c r="S4455" t="s">
        <v>50</v>
      </c>
    </row>
    <row r="4456" spans="1:20" x14ac:dyDescent="0.25">
      <c r="A4456" s="644" t="s">
        <v>5981</v>
      </c>
      <c r="B4456" s="645" t="s">
        <v>3390</v>
      </c>
      <c r="C4456" s="643" t="s">
        <v>5867</v>
      </c>
      <c r="D4456" s="643" t="s">
        <v>5434</v>
      </c>
      <c r="E4456" s="645"/>
      <c r="F4456" s="657">
        <f>ROUND(HLOOKUP(D4456,O4453:Q4455,3,FALSE),2)</f>
        <v>3.5</v>
      </c>
      <c r="G4456" s="656">
        <f>ROUND(HLOOKUP(D4456,O4453:Q4455,2,FALSE),2)</f>
        <v>3.9</v>
      </c>
      <c r="H4456" s="656">
        <f t="shared" si="1654"/>
        <v>3.12</v>
      </c>
      <c r="I4456" s="701"/>
      <c r="J4456" s="669">
        <v>42705</v>
      </c>
      <c r="N4456" s="395"/>
      <c r="O4456" s="327"/>
      <c r="P4456" s="327"/>
      <c r="Q4456" s="327"/>
    </row>
    <row r="4457" spans="1:20" x14ac:dyDescent="0.25">
      <c r="A4457" s="608"/>
      <c r="B4457" s="2"/>
      <c r="C4457" s="34"/>
      <c r="D4457" s="34"/>
      <c r="E4457" s="2"/>
      <c r="F4457" s="445"/>
      <c r="G4457" s="14"/>
      <c r="H4457" s="14" t="str">
        <f t="shared" si="1654"/>
        <v/>
      </c>
      <c r="I4457" s="695"/>
      <c r="J4457" s="669" t="s">
        <v>4180</v>
      </c>
      <c r="N4457" s="270"/>
      <c r="O4457" t="s">
        <v>5433</v>
      </c>
      <c r="P4457" t="s">
        <v>6077</v>
      </c>
      <c r="Q4457" t="s">
        <v>5434</v>
      </c>
    </row>
    <row r="4458" spans="1:20" x14ac:dyDescent="0.25">
      <c r="A4458" s="644" t="s">
        <v>6266</v>
      </c>
      <c r="B4458" s="645" t="s">
        <v>3390</v>
      </c>
      <c r="C4458" s="643" t="s">
        <v>6189</v>
      </c>
      <c r="D4458" s="643" t="s">
        <v>5433</v>
      </c>
      <c r="E4458" s="645"/>
      <c r="F4458" s="657">
        <f>ROUND(HLOOKUP(D4458,O4457:Q4459,3,FALSE),2)</f>
        <v>14.5</v>
      </c>
      <c r="G4458" s="656">
        <f>ROUND(HLOOKUP(D4458,O4457:Q4459,2,FALSE),2)</f>
        <v>14.9</v>
      </c>
      <c r="H4458" s="656">
        <f t="shared" si="1654"/>
        <v>11.92</v>
      </c>
      <c r="I4458" s="701"/>
      <c r="J4458" s="669">
        <v>43077</v>
      </c>
      <c r="M4458" s="127">
        <v>2018</v>
      </c>
      <c r="N4458" s="687"/>
      <c r="O4458" s="327">
        <f>O4454-O4460</f>
        <v>14.9</v>
      </c>
      <c r="P4458" s="327">
        <f>P4454-P4460</f>
        <v>18.399999999999999</v>
      </c>
      <c r="Q4458" s="327">
        <f>Q4454-Q4460</f>
        <v>3.9</v>
      </c>
      <c r="S4458" t="s">
        <v>49</v>
      </c>
    </row>
    <row r="4459" spans="1:20" x14ac:dyDescent="0.25">
      <c r="A4459" s="644" t="s">
        <v>6264</v>
      </c>
      <c r="B4459" s="645" t="s">
        <v>3390</v>
      </c>
      <c r="C4459" s="643" t="s">
        <v>6189</v>
      </c>
      <c r="D4459" s="643" t="s">
        <v>6077</v>
      </c>
      <c r="E4459" s="645"/>
      <c r="F4459" s="657">
        <f>ROUND(HLOOKUP(D4459,O4457:Q4459,3,FALSE),2)</f>
        <v>18</v>
      </c>
      <c r="G4459" s="656">
        <f>ROUND(HLOOKUP(D4459,O4457:Q4459,2,FALSE),2)</f>
        <v>18.399999999999999</v>
      </c>
      <c r="H4459" s="656">
        <f t="shared" si="1654"/>
        <v>14.72</v>
      </c>
      <c r="I4459" s="701"/>
      <c r="J4459" s="669">
        <v>43077</v>
      </c>
      <c r="N4459" s="687"/>
      <c r="O4459" s="327">
        <f>O4458-0.4</f>
        <v>14.5</v>
      </c>
      <c r="P4459" s="327">
        <f>P4458-0.4</f>
        <v>18</v>
      </c>
      <c r="Q4459" s="327">
        <f>Q4458-0.4</f>
        <v>3.5</v>
      </c>
      <c r="S4459" t="s">
        <v>50</v>
      </c>
    </row>
    <row r="4460" spans="1:20" s="774" customFormat="1" x14ac:dyDescent="0.25">
      <c r="A4460" s="644" t="s">
        <v>6265</v>
      </c>
      <c r="B4460" s="645" t="s">
        <v>3390</v>
      </c>
      <c r="C4460" s="643" t="s">
        <v>6189</v>
      </c>
      <c r="D4460" s="643" t="s">
        <v>5434</v>
      </c>
      <c r="E4460" s="645"/>
      <c r="F4460" s="657">
        <f>ROUND(HLOOKUP(D4460,O4457:Q4459,3,FALSE),2)</f>
        <v>3.5</v>
      </c>
      <c r="G4460" s="656">
        <f>ROUND(HLOOKUP(D4460,O4457:Q4459,2,FALSE),2)</f>
        <v>3.9</v>
      </c>
      <c r="H4460" s="656">
        <f t="shared" si="1654"/>
        <v>3.12</v>
      </c>
      <c r="I4460" s="701"/>
      <c r="J4460" s="669">
        <v>43077</v>
      </c>
      <c r="M4460"/>
      <c r="N4460" s="270" t="s">
        <v>5490</v>
      </c>
      <c r="O4460" s="270">
        <v>0.5</v>
      </c>
      <c r="P4460" s="270">
        <v>1</v>
      </c>
      <c r="Q4460" s="270">
        <v>0</v>
      </c>
      <c r="R4460"/>
      <c r="S4460"/>
    </row>
    <row r="4461" spans="1:20" s="774" customFormat="1" x14ac:dyDescent="0.25">
      <c r="A4461" s="608"/>
      <c r="B4461" s="2"/>
      <c r="C4461" s="34"/>
      <c r="D4461" s="34"/>
      <c r="E4461" s="2"/>
      <c r="F4461" s="445"/>
      <c r="G4461" s="14"/>
      <c r="H4461" s="14" t="str">
        <f t="shared" si="1654"/>
        <v/>
      </c>
      <c r="I4461" s="695"/>
      <c r="J4461" s="669" t="s">
        <v>4180</v>
      </c>
      <c r="N4461" s="270"/>
      <c r="O4461" s="774" t="s">
        <v>5433</v>
      </c>
      <c r="P4461" s="774" t="s">
        <v>6077</v>
      </c>
      <c r="Q4461" s="774" t="s">
        <v>5434</v>
      </c>
    </row>
    <row r="4462" spans="1:20" s="774" customFormat="1" x14ac:dyDescent="0.25">
      <c r="A4462" s="644" t="s">
        <v>6418</v>
      </c>
      <c r="B4462" s="645" t="s">
        <v>3390</v>
      </c>
      <c r="C4462" s="643" t="s">
        <v>6409</v>
      </c>
      <c r="D4462" s="643" t="s">
        <v>5433</v>
      </c>
      <c r="E4462" s="645"/>
      <c r="F4462" s="657">
        <f>ROUND(HLOOKUP(D4462,O4461:Q4463,3,FALSE),2)</f>
        <v>14.5</v>
      </c>
      <c r="G4462" s="656">
        <f>ROUND(HLOOKUP(D4462,O4461:Q4463,2,FALSE),2)</f>
        <v>14.9</v>
      </c>
      <c r="H4462" s="656">
        <f t="shared" si="1654"/>
        <v>11.92</v>
      </c>
      <c r="I4462" s="701"/>
      <c r="J4462" s="669">
        <v>43419</v>
      </c>
      <c r="M4462" s="127">
        <v>2019</v>
      </c>
      <c r="N4462" s="687"/>
      <c r="O4462" s="327">
        <f>O4458-O4464</f>
        <v>14.9</v>
      </c>
      <c r="P4462" s="327">
        <f>P4458-P4464</f>
        <v>18.399999999999999</v>
      </c>
      <c r="Q4462" s="327">
        <f>Q4458-Q4464</f>
        <v>3.9</v>
      </c>
      <c r="S4462" s="774" t="s">
        <v>49</v>
      </c>
    </row>
    <row r="4463" spans="1:20" s="774" customFormat="1" x14ac:dyDescent="0.25">
      <c r="A4463" s="644" t="s">
        <v>6420</v>
      </c>
      <c r="B4463" s="645" t="s">
        <v>3390</v>
      </c>
      <c r="C4463" s="643" t="s">
        <v>6409</v>
      </c>
      <c r="D4463" s="643" t="s">
        <v>6077</v>
      </c>
      <c r="E4463" s="645"/>
      <c r="F4463" s="657">
        <f>ROUND(HLOOKUP(D4463,O4461:Q4463,3,FALSE),2)</f>
        <v>18</v>
      </c>
      <c r="G4463" s="656">
        <f>ROUND(HLOOKUP(D4463,O4461:Q4463,2,FALSE),2)</f>
        <v>18.399999999999999</v>
      </c>
      <c r="H4463" s="656">
        <f t="shared" si="1654"/>
        <v>14.72</v>
      </c>
      <c r="I4463" s="701"/>
      <c r="J4463" s="669">
        <v>43419</v>
      </c>
      <c r="N4463" s="687"/>
      <c r="O4463" s="327">
        <f>O4462-0.4</f>
        <v>14.5</v>
      </c>
      <c r="P4463" s="327">
        <f>P4462-0.4</f>
        <v>18</v>
      </c>
      <c r="Q4463" s="327">
        <f>Q4462-0.4</f>
        <v>3.5</v>
      </c>
      <c r="S4463" s="774" t="s">
        <v>50</v>
      </c>
    </row>
    <row r="4464" spans="1:20" x14ac:dyDescent="0.25">
      <c r="A4464" s="644" t="s">
        <v>6419</v>
      </c>
      <c r="B4464" s="645" t="s">
        <v>3390</v>
      </c>
      <c r="C4464" s="643" t="s">
        <v>6409</v>
      </c>
      <c r="D4464" s="643" t="s">
        <v>5434</v>
      </c>
      <c r="E4464" s="645"/>
      <c r="F4464" s="657">
        <f>ROUND(HLOOKUP(D4464,O4461:Q4463,3,FALSE),2)</f>
        <v>3.5</v>
      </c>
      <c r="G4464" s="656">
        <f>ROUND(HLOOKUP(D4464,O4461:Q4463,2,FALSE),2)</f>
        <v>3.9</v>
      </c>
      <c r="H4464" s="656">
        <f t="shared" si="1654"/>
        <v>3.12</v>
      </c>
      <c r="I4464" s="701"/>
      <c r="J4464" s="669">
        <v>43419</v>
      </c>
      <c r="M4464" s="774"/>
      <c r="N4464" s="270" t="s">
        <v>5490</v>
      </c>
      <c r="O4464" s="270">
        <v>0</v>
      </c>
      <c r="P4464" s="270">
        <v>0</v>
      </c>
      <c r="Q4464" s="270">
        <v>0</v>
      </c>
      <c r="R4464" s="774" t="s">
        <v>6599</v>
      </c>
      <c r="S4464" s="774"/>
      <c r="T4464" s="774"/>
    </row>
    <row r="4465" spans="1:19" s="774" customFormat="1" x14ac:dyDescent="0.25">
      <c r="A4465" s="608"/>
      <c r="B4465" s="2"/>
      <c r="C4465" s="34"/>
      <c r="D4465" s="34"/>
      <c r="E4465" s="2"/>
      <c r="F4465" s="445"/>
      <c r="G4465" s="14"/>
      <c r="H4465" s="14" t="str">
        <f t="shared" si="1654"/>
        <v/>
      </c>
      <c r="I4465" s="695"/>
      <c r="J4465" s="669" t="s">
        <v>4180</v>
      </c>
      <c r="N4465" s="270"/>
      <c r="O4465" s="774" t="s">
        <v>5433</v>
      </c>
      <c r="Q4465" s="774" t="s">
        <v>5434</v>
      </c>
    </row>
    <row r="4466" spans="1:19" s="774" customFormat="1" x14ac:dyDescent="0.25">
      <c r="A4466" s="644" t="s">
        <v>6560</v>
      </c>
      <c r="B4466" s="645" t="s">
        <v>3390</v>
      </c>
      <c r="C4466" s="643" t="s">
        <v>6510</v>
      </c>
      <c r="D4466" s="643" t="s">
        <v>5433</v>
      </c>
      <c r="E4466" s="645"/>
      <c r="F4466" s="657">
        <f>ROUND(HLOOKUP(D4466,O4465:Q4467,3,FALSE),2)</f>
        <v>13.5</v>
      </c>
      <c r="G4466" s="656">
        <f>ROUND(HLOOKUP(D4466,O4465:Q4467,2,FALSE),2)</f>
        <v>13.9</v>
      </c>
      <c r="H4466" s="656">
        <f t="shared" ref="H4466:H4467" si="1655">IF(ISNUMBER(G4466),ROUND(0.8*G4466,2),"")</f>
        <v>11.12</v>
      </c>
      <c r="I4466" s="701"/>
      <c r="J4466" s="669">
        <v>43796</v>
      </c>
      <c r="M4466" s="127">
        <v>2020</v>
      </c>
      <c r="N4466" s="687"/>
      <c r="O4466" s="327">
        <f>O4462-O4468</f>
        <v>13.9</v>
      </c>
      <c r="P4466" s="327"/>
      <c r="Q4466" s="327">
        <f>Q4462-Q4468</f>
        <v>3.9</v>
      </c>
      <c r="S4466" s="774" t="s">
        <v>49</v>
      </c>
    </row>
    <row r="4467" spans="1:19" s="774" customFormat="1" x14ac:dyDescent="0.25">
      <c r="A4467" s="644" t="s">
        <v>6561</v>
      </c>
      <c r="B4467" s="645" t="s">
        <v>3390</v>
      </c>
      <c r="C4467" s="643" t="s">
        <v>6510</v>
      </c>
      <c r="D4467" s="643" t="s">
        <v>5434</v>
      </c>
      <c r="E4467" s="645"/>
      <c r="F4467" s="657">
        <f>ROUND(HLOOKUP(D4467,O4465:Q4467,3,FALSE),2)</f>
        <v>3.5</v>
      </c>
      <c r="G4467" s="656">
        <f>ROUND(HLOOKUP(D4467,O4465:Q4467,2,FALSE),2)</f>
        <v>3.9</v>
      </c>
      <c r="H4467" s="656">
        <f t="shared" si="1655"/>
        <v>3.12</v>
      </c>
      <c r="I4467" s="701"/>
      <c r="J4467" s="669">
        <v>43796</v>
      </c>
      <c r="N4467" s="687"/>
      <c r="O4467" s="327">
        <f>O4466-0.4</f>
        <v>13.5</v>
      </c>
      <c r="P4467" s="327"/>
      <c r="Q4467" s="327">
        <f>Q4466-0.4</f>
        <v>3.5</v>
      </c>
      <c r="S4467" s="774" t="s">
        <v>50</v>
      </c>
    </row>
    <row r="4468" spans="1:19" s="774" customFormat="1" x14ac:dyDescent="0.25">
      <c r="A4468" s="4"/>
      <c r="B4468" s="2"/>
      <c r="C4468" s="1"/>
      <c r="D4468" s="2"/>
      <c r="E4468" s="1"/>
      <c r="F4468" s="442"/>
      <c r="G4468" s="13"/>
      <c r="H4468" s="13"/>
      <c r="I4468" s="692"/>
      <c r="J4468" s="669"/>
      <c r="N4468" s="270" t="s">
        <v>5490</v>
      </c>
      <c r="O4468" s="270">
        <v>1</v>
      </c>
      <c r="P4468" s="270"/>
      <c r="Q4468" s="270">
        <v>0</v>
      </c>
    </row>
    <row r="4469" spans="1:19" ht="23.25" x14ac:dyDescent="0.35">
      <c r="A4469" s="110" t="s">
        <v>2847</v>
      </c>
      <c r="B4469" s="65"/>
      <c r="C4469" s="65"/>
      <c r="D4469" s="65"/>
      <c r="E4469" s="65"/>
      <c r="F4469" s="443"/>
      <c r="G4469" s="65"/>
      <c r="H4469" s="74" t="str">
        <f t="shared" ref="H4469:H4532" si="1656">IF(ISNUMBER(G4469),ROUND(0.8*G4469,2),"")</f>
        <v/>
      </c>
      <c r="I4469" s="693"/>
      <c r="J4469" s="669" t="s">
        <v>5805</v>
      </c>
    </row>
    <row r="4470" spans="1:19" x14ac:dyDescent="0.25">
      <c r="A4470" s="608" t="s">
        <v>742</v>
      </c>
      <c r="B4470" s="2" t="s">
        <v>740</v>
      </c>
      <c r="C4470" s="1" t="s">
        <v>3727</v>
      </c>
      <c r="D4470" s="2"/>
      <c r="E4470" s="1"/>
      <c r="F4470" s="442">
        <v>45.7</v>
      </c>
      <c r="G4470" s="520">
        <v>45.7</v>
      </c>
      <c r="H4470" s="13">
        <f t="shared" si="1656"/>
        <v>36.56</v>
      </c>
      <c r="I4470" s="692"/>
      <c r="J4470" s="669" t="s">
        <v>5805</v>
      </c>
    </row>
    <row r="4471" spans="1:19" x14ac:dyDescent="0.25">
      <c r="A4471" s="608"/>
      <c r="B4471" s="2"/>
      <c r="C4471" s="1"/>
      <c r="D4471" s="2"/>
      <c r="E4471" s="1"/>
      <c r="F4471" s="442"/>
      <c r="G4471" s="520"/>
      <c r="H4471" s="13" t="str">
        <f t="shared" si="1656"/>
        <v/>
      </c>
      <c r="I4471" s="692"/>
      <c r="J4471" s="669" t="s">
        <v>4180</v>
      </c>
    </row>
    <row r="4472" spans="1:19" x14ac:dyDescent="0.25">
      <c r="A4472" s="608" t="s">
        <v>743</v>
      </c>
      <c r="B4472" s="2" t="s">
        <v>740</v>
      </c>
      <c r="C4472" s="1" t="s">
        <v>4809</v>
      </c>
      <c r="D4472" s="2" t="s">
        <v>5380</v>
      </c>
      <c r="E4472" s="1"/>
      <c r="F4472" s="442">
        <v>57.4</v>
      </c>
      <c r="G4472" s="520">
        <v>57.4</v>
      </c>
      <c r="H4472" s="13">
        <f t="shared" si="1656"/>
        <v>45.92</v>
      </c>
      <c r="I4472" s="692"/>
      <c r="J4472" s="669" t="s">
        <v>5805</v>
      </c>
    </row>
    <row r="4473" spans="1:19" x14ac:dyDescent="0.25">
      <c r="A4473" s="608" t="s">
        <v>745</v>
      </c>
      <c r="B4473" s="2" t="s">
        <v>740</v>
      </c>
      <c r="C4473" s="1" t="s">
        <v>4809</v>
      </c>
      <c r="D4473" s="2" t="s">
        <v>5381</v>
      </c>
      <c r="E4473" s="1"/>
      <c r="F4473" s="442">
        <v>54.6</v>
      </c>
      <c r="G4473" s="520">
        <v>54.6</v>
      </c>
      <c r="H4473" s="13">
        <f t="shared" si="1656"/>
        <v>43.68</v>
      </c>
      <c r="I4473" s="692"/>
      <c r="J4473" s="669" t="s">
        <v>5805</v>
      </c>
    </row>
    <row r="4474" spans="1:19" x14ac:dyDescent="0.25">
      <c r="A4474" s="608" t="s">
        <v>747</v>
      </c>
      <c r="B4474" s="2" t="s">
        <v>740</v>
      </c>
      <c r="C4474" s="1" t="s">
        <v>4809</v>
      </c>
      <c r="D4474" s="2" t="s">
        <v>7401</v>
      </c>
      <c r="E4474" s="1"/>
      <c r="F4474" s="442">
        <v>54</v>
      </c>
      <c r="G4474" s="520">
        <v>54</v>
      </c>
      <c r="H4474" s="13">
        <f t="shared" si="1656"/>
        <v>43.2</v>
      </c>
      <c r="I4474" s="692"/>
      <c r="J4474" s="669" t="s">
        <v>5805</v>
      </c>
    </row>
    <row r="4475" spans="1:19" x14ac:dyDescent="0.25">
      <c r="A4475" s="608" t="s">
        <v>748</v>
      </c>
      <c r="B4475" s="2" t="s">
        <v>740</v>
      </c>
      <c r="C4475" s="1" t="s">
        <v>4809</v>
      </c>
      <c r="D4475" s="2" t="s">
        <v>5393</v>
      </c>
      <c r="E4475" s="1"/>
      <c r="F4475" s="442">
        <v>62.4</v>
      </c>
      <c r="G4475" s="520">
        <v>62.4</v>
      </c>
      <c r="H4475" s="13">
        <f t="shared" si="1656"/>
        <v>49.92</v>
      </c>
      <c r="I4475" s="692"/>
      <c r="J4475" s="669" t="s">
        <v>5805</v>
      </c>
    </row>
    <row r="4476" spans="1:19" x14ac:dyDescent="0.25">
      <c r="A4476" s="608" t="s">
        <v>749</v>
      </c>
      <c r="B4476" s="2" t="s">
        <v>740</v>
      </c>
      <c r="C4476" s="1" t="s">
        <v>4809</v>
      </c>
      <c r="D4476" s="2" t="s">
        <v>5394</v>
      </c>
      <c r="E4476" s="1"/>
      <c r="F4476" s="442">
        <v>59.6</v>
      </c>
      <c r="G4476" s="520">
        <v>59.6</v>
      </c>
      <c r="H4476" s="13">
        <f t="shared" si="1656"/>
        <v>47.68</v>
      </c>
      <c r="I4476" s="692"/>
      <c r="J4476" s="669" t="s">
        <v>5805</v>
      </c>
    </row>
    <row r="4477" spans="1:19" x14ac:dyDescent="0.25">
      <c r="A4477" s="608" t="s">
        <v>750</v>
      </c>
      <c r="B4477" s="2" t="s">
        <v>740</v>
      </c>
      <c r="C4477" s="1" t="s">
        <v>4809</v>
      </c>
      <c r="D4477" s="2" t="s">
        <v>7402</v>
      </c>
      <c r="E4477" s="1"/>
      <c r="F4477" s="442">
        <v>59</v>
      </c>
      <c r="G4477" s="520">
        <v>59</v>
      </c>
      <c r="H4477" s="13">
        <f t="shared" si="1656"/>
        <v>47.2</v>
      </c>
      <c r="I4477" s="692"/>
      <c r="J4477" s="669" t="s">
        <v>5805</v>
      </c>
    </row>
    <row r="4478" spans="1:19" x14ac:dyDescent="0.25">
      <c r="A4478" s="608" t="s">
        <v>751</v>
      </c>
      <c r="B4478" s="2" t="s">
        <v>740</v>
      </c>
      <c r="C4478" s="1" t="s">
        <v>4809</v>
      </c>
      <c r="D4478" s="2" t="s">
        <v>5395</v>
      </c>
      <c r="E4478" s="1"/>
      <c r="F4478" s="442">
        <v>45.7</v>
      </c>
      <c r="G4478" s="520">
        <v>45.7</v>
      </c>
      <c r="H4478" s="13">
        <f t="shared" si="1656"/>
        <v>36.56</v>
      </c>
      <c r="I4478" s="692"/>
      <c r="J4478" s="669" t="s">
        <v>5805</v>
      </c>
    </row>
    <row r="4479" spans="1:19" x14ac:dyDescent="0.25">
      <c r="A4479" s="608"/>
      <c r="B4479" s="2"/>
      <c r="C4479" s="1"/>
      <c r="D4479" s="2"/>
      <c r="E4479" s="1"/>
      <c r="F4479" s="442"/>
      <c r="G4479" s="520"/>
      <c r="H4479" s="13" t="str">
        <f t="shared" si="1656"/>
        <v/>
      </c>
      <c r="I4479" s="692"/>
      <c r="J4479" s="669" t="s">
        <v>4180</v>
      </c>
    </row>
    <row r="4480" spans="1:19" x14ac:dyDescent="0.25">
      <c r="A4480" s="608" t="s">
        <v>752</v>
      </c>
      <c r="B4480" s="2" t="s">
        <v>740</v>
      </c>
      <c r="C4480" s="1" t="s">
        <v>1288</v>
      </c>
      <c r="D4480" s="2" t="s">
        <v>5380</v>
      </c>
      <c r="E4480" s="1"/>
      <c r="F4480" s="442">
        <v>54.53</v>
      </c>
      <c r="G4480" s="520">
        <v>54.53</v>
      </c>
      <c r="H4480" s="13">
        <f t="shared" si="1656"/>
        <v>43.62</v>
      </c>
      <c r="I4480" s="692"/>
      <c r="J4480" s="669" t="s">
        <v>5805</v>
      </c>
    </row>
    <row r="4481" spans="1:10" x14ac:dyDescent="0.25">
      <c r="A4481" s="608" t="s">
        <v>753</v>
      </c>
      <c r="B4481" s="2" t="s">
        <v>740</v>
      </c>
      <c r="C4481" s="1" t="s">
        <v>1288</v>
      </c>
      <c r="D4481" s="2" t="s">
        <v>5381</v>
      </c>
      <c r="E4481" s="1"/>
      <c r="F4481" s="442">
        <v>51.87</v>
      </c>
      <c r="G4481" s="520">
        <v>51.87</v>
      </c>
      <c r="H4481" s="13">
        <f t="shared" si="1656"/>
        <v>41.5</v>
      </c>
      <c r="I4481" s="692"/>
      <c r="J4481" s="669" t="s">
        <v>5805</v>
      </c>
    </row>
    <row r="4482" spans="1:10" x14ac:dyDescent="0.25">
      <c r="A4482" s="608" t="s">
        <v>754</v>
      </c>
      <c r="B4482" s="2" t="s">
        <v>740</v>
      </c>
      <c r="C4482" s="1" t="s">
        <v>1288</v>
      </c>
      <c r="D4482" s="2" t="s">
        <v>7401</v>
      </c>
      <c r="E4482" s="1"/>
      <c r="F4482" s="442">
        <v>51.3</v>
      </c>
      <c r="G4482" s="520">
        <v>51.3</v>
      </c>
      <c r="H4482" s="13">
        <f t="shared" si="1656"/>
        <v>41.04</v>
      </c>
      <c r="I4482" s="692"/>
      <c r="J4482" s="669" t="s">
        <v>5805</v>
      </c>
    </row>
    <row r="4483" spans="1:10" x14ac:dyDescent="0.25">
      <c r="A4483" s="608" t="s">
        <v>755</v>
      </c>
      <c r="B4483" s="2" t="s">
        <v>740</v>
      </c>
      <c r="C4483" s="1" t="s">
        <v>1288</v>
      </c>
      <c r="D4483" s="2" t="s">
        <v>5393</v>
      </c>
      <c r="E4483" s="1"/>
      <c r="F4483" s="442">
        <v>59.53</v>
      </c>
      <c r="G4483" s="520">
        <v>59.53</v>
      </c>
      <c r="H4483" s="13">
        <f t="shared" si="1656"/>
        <v>47.62</v>
      </c>
      <c r="I4483" s="692"/>
      <c r="J4483" s="669" t="s">
        <v>5805</v>
      </c>
    </row>
    <row r="4484" spans="1:10" x14ac:dyDescent="0.25">
      <c r="A4484" s="608" t="s">
        <v>756</v>
      </c>
      <c r="B4484" s="2" t="s">
        <v>740</v>
      </c>
      <c r="C4484" s="1" t="s">
        <v>1288</v>
      </c>
      <c r="D4484" s="2" t="s">
        <v>5394</v>
      </c>
      <c r="E4484" s="1"/>
      <c r="F4484" s="442">
        <v>56.87</v>
      </c>
      <c r="G4484" s="520">
        <v>56.87</v>
      </c>
      <c r="H4484" s="13">
        <f t="shared" si="1656"/>
        <v>45.5</v>
      </c>
      <c r="I4484" s="692"/>
      <c r="J4484" s="669" t="s">
        <v>5805</v>
      </c>
    </row>
    <row r="4485" spans="1:10" x14ac:dyDescent="0.25">
      <c r="A4485" s="608" t="s">
        <v>757</v>
      </c>
      <c r="B4485" s="2" t="s">
        <v>740</v>
      </c>
      <c r="C4485" s="1" t="s">
        <v>1288</v>
      </c>
      <c r="D4485" s="2" t="s">
        <v>7402</v>
      </c>
      <c r="E4485" s="1"/>
      <c r="F4485" s="442">
        <v>56.3</v>
      </c>
      <c r="G4485" s="520">
        <v>56.3</v>
      </c>
      <c r="H4485" s="13">
        <f t="shared" si="1656"/>
        <v>45.04</v>
      </c>
      <c r="I4485" s="692"/>
      <c r="J4485" s="669" t="s">
        <v>5805</v>
      </c>
    </row>
    <row r="4486" spans="1:10" x14ac:dyDescent="0.25">
      <c r="A4486" s="608" t="s">
        <v>758</v>
      </c>
      <c r="B4486" s="2" t="s">
        <v>740</v>
      </c>
      <c r="C4486" s="1" t="s">
        <v>1288</v>
      </c>
      <c r="D4486" s="2" t="s">
        <v>5395</v>
      </c>
      <c r="E4486" s="1"/>
      <c r="F4486" s="442">
        <v>43.42</v>
      </c>
      <c r="G4486" s="520">
        <v>43.42</v>
      </c>
      <c r="H4486" s="13">
        <f t="shared" si="1656"/>
        <v>34.74</v>
      </c>
      <c r="I4486" s="692"/>
      <c r="J4486" s="669" t="s">
        <v>5805</v>
      </c>
    </row>
    <row r="4487" spans="1:10" x14ac:dyDescent="0.25">
      <c r="A4487" s="608"/>
      <c r="B4487" s="2"/>
      <c r="C4487" s="1"/>
      <c r="D4487" s="2"/>
      <c r="E4487" s="1"/>
      <c r="F4487" s="442"/>
      <c r="G4487" s="520"/>
      <c r="H4487" s="13" t="str">
        <f t="shared" si="1656"/>
        <v/>
      </c>
      <c r="I4487" s="692"/>
      <c r="J4487" s="669" t="s">
        <v>4180</v>
      </c>
    </row>
    <row r="4488" spans="1:10" x14ac:dyDescent="0.25">
      <c r="A4488" s="608" t="s">
        <v>759</v>
      </c>
      <c r="B4488" s="2" t="s">
        <v>740</v>
      </c>
      <c r="C4488" s="1" t="s">
        <v>1296</v>
      </c>
      <c r="D4488" s="2" t="s">
        <v>5380</v>
      </c>
      <c r="E4488" s="1"/>
      <c r="F4488" s="442">
        <v>51.8</v>
      </c>
      <c r="G4488" s="520">
        <v>51.8</v>
      </c>
      <c r="H4488" s="13">
        <f t="shared" si="1656"/>
        <v>41.44</v>
      </c>
      <c r="I4488" s="692"/>
      <c r="J4488" s="669" t="s">
        <v>5805</v>
      </c>
    </row>
    <row r="4489" spans="1:10" x14ac:dyDescent="0.25">
      <c r="A4489" s="608" t="s">
        <v>760</v>
      </c>
      <c r="B4489" s="2" t="s">
        <v>740</v>
      </c>
      <c r="C4489" s="1" t="s">
        <v>1296</v>
      </c>
      <c r="D4489" s="2" t="s">
        <v>5381</v>
      </c>
      <c r="E4489" s="1"/>
      <c r="F4489" s="442">
        <v>49.28</v>
      </c>
      <c r="G4489" s="520">
        <v>49.28</v>
      </c>
      <c r="H4489" s="13">
        <f t="shared" si="1656"/>
        <v>39.42</v>
      </c>
      <c r="I4489" s="692"/>
      <c r="J4489" s="669" t="s">
        <v>5805</v>
      </c>
    </row>
    <row r="4490" spans="1:10" x14ac:dyDescent="0.25">
      <c r="A4490" s="608" t="s">
        <v>761</v>
      </c>
      <c r="B4490" s="2" t="s">
        <v>740</v>
      </c>
      <c r="C4490" s="1" t="s">
        <v>1296</v>
      </c>
      <c r="D4490" s="2" t="s">
        <v>7401</v>
      </c>
      <c r="E4490" s="1"/>
      <c r="F4490" s="442">
        <v>48.74</v>
      </c>
      <c r="G4490" s="520">
        <v>48.74</v>
      </c>
      <c r="H4490" s="13">
        <f t="shared" si="1656"/>
        <v>38.99</v>
      </c>
      <c r="I4490" s="692"/>
      <c r="J4490" s="669" t="s">
        <v>5805</v>
      </c>
    </row>
    <row r="4491" spans="1:10" x14ac:dyDescent="0.25">
      <c r="A4491" s="608" t="s">
        <v>762</v>
      </c>
      <c r="B4491" s="2" t="s">
        <v>740</v>
      </c>
      <c r="C4491" s="1" t="s">
        <v>1296</v>
      </c>
      <c r="D4491" s="2" t="s">
        <v>5393</v>
      </c>
      <c r="E4491" s="1"/>
      <c r="F4491" s="442">
        <v>56.8</v>
      </c>
      <c r="G4491" s="520">
        <v>56.8</v>
      </c>
      <c r="H4491" s="13">
        <f t="shared" si="1656"/>
        <v>45.44</v>
      </c>
      <c r="I4491" s="692"/>
      <c r="J4491" s="669" t="s">
        <v>5805</v>
      </c>
    </row>
    <row r="4492" spans="1:10" x14ac:dyDescent="0.25">
      <c r="A4492" s="608" t="s">
        <v>763</v>
      </c>
      <c r="B4492" s="2" t="s">
        <v>740</v>
      </c>
      <c r="C4492" s="1" t="s">
        <v>1296</v>
      </c>
      <c r="D4492" s="2" t="s">
        <v>5394</v>
      </c>
      <c r="E4492" s="1"/>
      <c r="F4492" s="442">
        <v>54.28</v>
      </c>
      <c r="G4492" s="520">
        <v>54.28</v>
      </c>
      <c r="H4492" s="13">
        <f t="shared" si="1656"/>
        <v>43.42</v>
      </c>
      <c r="I4492" s="692"/>
      <c r="J4492" s="669" t="s">
        <v>5805</v>
      </c>
    </row>
    <row r="4493" spans="1:10" x14ac:dyDescent="0.25">
      <c r="A4493" s="608" t="s">
        <v>764</v>
      </c>
      <c r="B4493" s="2" t="s">
        <v>740</v>
      </c>
      <c r="C4493" s="1" t="s">
        <v>1296</v>
      </c>
      <c r="D4493" s="2" t="s">
        <v>7402</v>
      </c>
      <c r="E4493" s="1"/>
      <c r="F4493" s="442">
        <v>53.74</v>
      </c>
      <c r="G4493" s="520">
        <v>53.74</v>
      </c>
      <c r="H4493" s="13">
        <f t="shared" si="1656"/>
        <v>42.99</v>
      </c>
      <c r="I4493" s="692"/>
      <c r="J4493" s="669" t="s">
        <v>5805</v>
      </c>
    </row>
    <row r="4494" spans="1:10" x14ac:dyDescent="0.25">
      <c r="A4494" s="608" t="s">
        <v>765</v>
      </c>
      <c r="B4494" s="2" t="s">
        <v>740</v>
      </c>
      <c r="C4494" s="1" t="s">
        <v>1296</v>
      </c>
      <c r="D4494" s="2" t="s">
        <v>5395</v>
      </c>
      <c r="E4494" s="1"/>
      <c r="F4494" s="442">
        <v>40.6</v>
      </c>
      <c r="G4494" s="520">
        <v>40.6</v>
      </c>
      <c r="H4494" s="13">
        <f t="shared" si="1656"/>
        <v>32.479999999999997</v>
      </c>
      <c r="I4494" s="692"/>
      <c r="J4494" s="669" t="s">
        <v>5805</v>
      </c>
    </row>
    <row r="4495" spans="1:10" x14ac:dyDescent="0.25">
      <c r="A4495" s="608"/>
      <c r="B4495" s="2"/>
      <c r="C4495" s="1"/>
      <c r="D4495" s="2"/>
      <c r="E4495" s="1"/>
      <c r="F4495" s="442"/>
      <c r="G4495" s="520"/>
      <c r="H4495" s="13" t="str">
        <f t="shared" si="1656"/>
        <v/>
      </c>
      <c r="I4495" s="692"/>
      <c r="J4495" s="669" t="s">
        <v>4180</v>
      </c>
    </row>
    <row r="4496" spans="1:10" x14ac:dyDescent="0.25">
      <c r="A4496" s="608" t="s">
        <v>766</v>
      </c>
      <c r="B4496" s="2" t="s">
        <v>740</v>
      </c>
      <c r="C4496" s="1" t="s">
        <v>1304</v>
      </c>
      <c r="D4496" s="2" t="s">
        <v>5380</v>
      </c>
      <c r="E4496" s="1"/>
      <c r="F4496" s="442">
        <v>49.21</v>
      </c>
      <c r="G4496" s="520">
        <v>49.21</v>
      </c>
      <c r="H4496" s="13">
        <f t="shared" si="1656"/>
        <v>39.369999999999997</v>
      </c>
      <c r="I4496" s="692"/>
      <c r="J4496" s="669" t="s">
        <v>5805</v>
      </c>
    </row>
    <row r="4497" spans="1:10" x14ac:dyDescent="0.25">
      <c r="A4497" s="608" t="s">
        <v>767</v>
      </c>
      <c r="B4497" s="2" t="s">
        <v>740</v>
      </c>
      <c r="C4497" s="1" t="s">
        <v>1304</v>
      </c>
      <c r="D4497" s="2" t="s">
        <v>5381</v>
      </c>
      <c r="E4497" s="1"/>
      <c r="F4497" s="442">
        <v>46.82</v>
      </c>
      <c r="G4497" s="520">
        <v>46.82</v>
      </c>
      <c r="H4497" s="13">
        <f t="shared" si="1656"/>
        <v>37.46</v>
      </c>
      <c r="I4497" s="692"/>
      <c r="J4497" s="669" t="s">
        <v>5805</v>
      </c>
    </row>
    <row r="4498" spans="1:10" x14ac:dyDescent="0.25">
      <c r="A4498" s="608" t="s">
        <v>768</v>
      </c>
      <c r="B4498" s="2" t="s">
        <v>740</v>
      </c>
      <c r="C4498" s="1" t="s">
        <v>1304</v>
      </c>
      <c r="D4498" s="2" t="s">
        <v>7401</v>
      </c>
      <c r="E4498" s="1"/>
      <c r="F4498" s="442">
        <v>46.3</v>
      </c>
      <c r="G4498" s="520">
        <v>46.3</v>
      </c>
      <c r="H4498" s="13">
        <f t="shared" si="1656"/>
        <v>37.04</v>
      </c>
      <c r="I4498" s="692"/>
      <c r="J4498" s="669" t="s">
        <v>5805</v>
      </c>
    </row>
    <row r="4499" spans="1:10" x14ac:dyDescent="0.25">
      <c r="A4499" s="608" t="s">
        <v>769</v>
      </c>
      <c r="B4499" s="2" t="s">
        <v>740</v>
      </c>
      <c r="C4499" s="1" t="s">
        <v>1304</v>
      </c>
      <c r="D4499" s="2" t="s">
        <v>5393</v>
      </c>
      <c r="E4499" s="1"/>
      <c r="F4499" s="442">
        <v>54.21</v>
      </c>
      <c r="G4499" s="520">
        <v>54.21</v>
      </c>
      <c r="H4499" s="13">
        <f t="shared" si="1656"/>
        <v>43.37</v>
      </c>
      <c r="I4499" s="692"/>
      <c r="J4499" s="669" t="s">
        <v>5805</v>
      </c>
    </row>
    <row r="4500" spans="1:10" x14ac:dyDescent="0.25">
      <c r="A4500" s="608" t="s">
        <v>810</v>
      </c>
      <c r="B4500" s="2" t="s">
        <v>740</v>
      </c>
      <c r="C4500" s="1" t="s">
        <v>1304</v>
      </c>
      <c r="D4500" s="2" t="s">
        <v>5394</v>
      </c>
      <c r="E4500" s="1"/>
      <c r="F4500" s="442">
        <v>51.82</v>
      </c>
      <c r="G4500" s="520">
        <v>51.82</v>
      </c>
      <c r="H4500" s="13">
        <f t="shared" si="1656"/>
        <v>41.46</v>
      </c>
      <c r="I4500" s="692"/>
      <c r="J4500" s="669" t="s">
        <v>5805</v>
      </c>
    </row>
    <row r="4501" spans="1:10" x14ac:dyDescent="0.25">
      <c r="A4501" s="608" t="s">
        <v>811</v>
      </c>
      <c r="B4501" s="2" t="s">
        <v>740</v>
      </c>
      <c r="C4501" s="1" t="s">
        <v>1304</v>
      </c>
      <c r="D4501" s="2" t="s">
        <v>7402</v>
      </c>
      <c r="E4501" s="1"/>
      <c r="F4501" s="442">
        <v>51.3</v>
      </c>
      <c r="G4501" s="520">
        <v>51.3</v>
      </c>
      <c r="H4501" s="13">
        <f t="shared" si="1656"/>
        <v>41.04</v>
      </c>
      <c r="I4501" s="692"/>
      <c r="J4501" s="669" t="s">
        <v>5805</v>
      </c>
    </row>
    <row r="4502" spans="1:10" x14ac:dyDescent="0.25">
      <c r="A4502" s="608" t="s">
        <v>812</v>
      </c>
      <c r="B4502" s="2" t="s">
        <v>740</v>
      </c>
      <c r="C4502" s="1" t="s">
        <v>1304</v>
      </c>
      <c r="D4502" s="2" t="s">
        <v>5395</v>
      </c>
      <c r="E4502" s="1"/>
      <c r="F4502" s="442">
        <v>37.96</v>
      </c>
      <c r="G4502" s="520">
        <v>37.96</v>
      </c>
      <c r="H4502" s="13">
        <f t="shared" si="1656"/>
        <v>30.37</v>
      </c>
      <c r="I4502" s="692"/>
      <c r="J4502" s="669" t="s">
        <v>5805</v>
      </c>
    </row>
    <row r="4503" spans="1:10" x14ac:dyDescent="0.25">
      <c r="A4503" s="608"/>
      <c r="B4503" s="2"/>
      <c r="C4503" s="1"/>
      <c r="D4503" s="2"/>
      <c r="E4503" s="1"/>
      <c r="F4503" s="442"/>
      <c r="G4503" s="520"/>
      <c r="H4503" s="13" t="str">
        <f t="shared" si="1656"/>
        <v/>
      </c>
      <c r="I4503" s="692"/>
      <c r="J4503" s="669" t="s">
        <v>4180</v>
      </c>
    </row>
    <row r="4504" spans="1:10" x14ac:dyDescent="0.25">
      <c r="A4504" s="608" t="s">
        <v>813</v>
      </c>
      <c r="B4504" s="2" t="s">
        <v>740</v>
      </c>
      <c r="C4504" s="1" t="s">
        <v>5540</v>
      </c>
      <c r="D4504" s="2" t="s">
        <v>5380</v>
      </c>
      <c r="E4504" s="1"/>
      <c r="F4504" s="442">
        <v>46.75</v>
      </c>
      <c r="G4504" s="520">
        <v>46.75</v>
      </c>
      <c r="H4504" s="13">
        <f t="shared" si="1656"/>
        <v>37.4</v>
      </c>
      <c r="I4504" s="692"/>
      <c r="J4504" s="669" t="s">
        <v>5805</v>
      </c>
    </row>
    <row r="4505" spans="1:10" x14ac:dyDescent="0.25">
      <c r="A4505" s="608" t="s">
        <v>814</v>
      </c>
      <c r="B4505" s="2" t="s">
        <v>740</v>
      </c>
      <c r="C4505" s="1" t="s">
        <v>5540</v>
      </c>
      <c r="D4505" s="2" t="s">
        <v>5381</v>
      </c>
      <c r="E4505" s="1"/>
      <c r="F4505" s="442">
        <v>44.48</v>
      </c>
      <c r="G4505" s="520">
        <v>44.48</v>
      </c>
      <c r="H4505" s="13">
        <f t="shared" si="1656"/>
        <v>35.58</v>
      </c>
      <c r="I4505" s="692"/>
      <c r="J4505" s="669" t="s">
        <v>5805</v>
      </c>
    </row>
    <row r="4506" spans="1:10" x14ac:dyDescent="0.25">
      <c r="A4506" s="608" t="s">
        <v>815</v>
      </c>
      <c r="B4506" s="2" t="s">
        <v>740</v>
      </c>
      <c r="C4506" s="1" t="s">
        <v>5540</v>
      </c>
      <c r="D4506" s="2" t="s">
        <v>7401</v>
      </c>
      <c r="E4506" s="1"/>
      <c r="F4506" s="442">
        <v>43.99</v>
      </c>
      <c r="G4506" s="520">
        <v>43.99</v>
      </c>
      <c r="H4506" s="13">
        <f t="shared" si="1656"/>
        <v>35.19</v>
      </c>
      <c r="I4506" s="692"/>
      <c r="J4506" s="669" t="s">
        <v>5805</v>
      </c>
    </row>
    <row r="4507" spans="1:10" x14ac:dyDescent="0.25">
      <c r="A4507" s="608" t="s">
        <v>816</v>
      </c>
      <c r="B4507" s="2" t="s">
        <v>740</v>
      </c>
      <c r="C4507" s="1" t="s">
        <v>5540</v>
      </c>
      <c r="D4507" s="2" t="s">
        <v>5393</v>
      </c>
      <c r="E4507" s="1"/>
      <c r="F4507" s="442">
        <v>51.75</v>
      </c>
      <c r="G4507" s="520">
        <v>51.75</v>
      </c>
      <c r="H4507" s="13">
        <f t="shared" si="1656"/>
        <v>41.4</v>
      </c>
      <c r="I4507" s="692"/>
      <c r="J4507" s="669" t="s">
        <v>5805</v>
      </c>
    </row>
    <row r="4508" spans="1:10" x14ac:dyDescent="0.25">
      <c r="A4508" s="608" t="s">
        <v>817</v>
      </c>
      <c r="B4508" s="2" t="s">
        <v>740</v>
      </c>
      <c r="C4508" s="1" t="s">
        <v>5540</v>
      </c>
      <c r="D4508" s="2" t="s">
        <v>5394</v>
      </c>
      <c r="E4508" s="1"/>
      <c r="F4508" s="442">
        <v>49.48</v>
      </c>
      <c r="G4508" s="520">
        <v>49.48</v>
      </c>
      <c r="H4508" s="13">
        <f t="shared" si="1656"/>
        <v>39.58</v>
      </c>
      <c r="I4508" s="692"/>
      <c r="J4508" s="669" t="s">
        <v>5805</v>
      </c>
    </row>
    <row r="4509" spans="1:10" x14ac:dyDescent="0.25">
      <c r="A4509" s="608" t="s">
        <v>818</v>
      </c>
      <c r="B4509" s="2" t="s">
        <v>740</v>
      </c>
      <c r="C4509" s="1" t="s">
        <v>5540</v>
      </c>
      <c r="D4509" s="2" t="s">
        <v>7402</v>
      </c>
      <c r="E4509" s="1"/>
      <c r="F4509" s="442">
        <v>48.99</v>
      </c>
      <c r="G4509" s="520">
        <v>48.99</v>
      </c>
      <c r="H4509" s="13">
        <f t="shared" si="1656"/>
        <v>39.19</v>
      </c>
      <c r="I4509" s="692"/>
      <c r="J4509" s="669" t="s">
        <v>5805</v>
      </c>
    </row>
    <row r="4510" spans="1:10" x14ac:dyDescent="0.25">
      <c r="A4510" s="608" t="s">
        <v>819</v>
      </c>
      <c r="B4510" s="2" t="s">
        <v>740</v>
      </c>
      <c r="C4510" s="1" t="s">
        <v>5540</v>
      </c>
      <c r="D4510" s="2" t="s">
        <v>5395</v>
      </c>
      <c r="E4510" s="1"/>
      <c r="F4510" s="442">
        <v>35.49</v>
      </c>
      <c r="G4510" s="520">
        <v>35.49</v>
      </c>
      <c r="H4510" s="13">
        <f t="shared" si="1656"/>
        <v>28.39</v>
      </c>
      <c r="I4510" s="692"/>
      <c r="J4510" s="669" t="s">
        <v>5805</v>
      </c>
    </row>
    <row r="4511" spans="1:10" x14ac:dyDescent="0.25">
      <c r="A4511" s="608"/>
      <c r="B4511" s="2"/>
      <c r="C4511" s="1"/>
      <c r="D4511" s="2"/>
      <c r="E4511" s="1"/>
      <c r="F4511" s="442"/>
      <c r="G4511" s="520"/>
      <c r="H4511" s="13" t="str">
        <f t="shared" si="1656"/>
        <v/>
      </c>
      <c r="I4511" s="692"/>
      <c r="J4511" s="669" t="s">
        <v>4180</v>
      </c>
    </row>
    <row r="4512" spans="1:10" x14ac:dyDescent="0.25">
      <c r="A4512" s="610" t="s">
        <v>4279</v>
      </c>
      <c r="B4512" s="17" t="s">
        <v>740</v>
      </c>
      <c r="C4512" s="17" t="s">
        <v>5405</v>
      </c>
      <c r="D4512" s="17"/>
      <c r="E4512" s="17"/>
      <c r="F4512" s="444">
        <v>31.94</v>
      </c>
      <c r="G4512" s="519">
        <v>31.94</v>
      </c>
      <c r="H4512" s="18">
        <f t="shared" si="1656"/>
        <v>25.55</v>
      </c>
      <c r="I4512" s="694"/>
      <c r="J4512" s="669" t="s">
        <v>5805</v>
      </c>
    </row>
    <row r="4513" spans="1:27" x14ac:dyDescent="0.25">
      <c r="A4513" s="608"/>
      <c r="B4513" s="2"/>
      <c r="C4513" s="1"/>
      <c r="D4513" s="2"/>
      <c r="E4513" s="1"/>
      <c r="F4513" s="442"/>
      <c r="G4513" s="520"/>
      <c r="H4513" s="13" t="str">
        <f t="shared" si="1656"/>
        <v/>
      </c>
      <c r="I4513" s="692"/>
      <c r="J4513" s="669" t="s">
        <v>4180</v>
      </c>
      <c r="M4513" s="133" t="s">
        <v>4548</v>
      </c>
      <c r="N4513" s="133" t="s">
        <v>5490</v>
      </c>
      <c r="O4513" s="131"/>
      <c r="P4513" s="134"/>
      <c r="Q4513" s="132"/>
      <c r="R4513" s="132"/>
    </row>
    <row r="4514" spans="1:27" x14ac:dyDescent="0.25">
      <c r="A4514" s="610" t="s">
        <v>2378</v>
      </c>
      <c r="B4514" s="17" t="s">
        <v>740</v>
      </c>
      <c r="C4514" s="30" t="s">
        <v>4551</v>
      </c>
      <c r="D4514" s="17"/>
      <c r="E4514" s="17"/>
      <c r="F4514" s="444">
        <f>ROUND(M4514,2)</f>
        <v>28.43</v>
      </c>
      <c r="G4514" s="519">
        <v>28.43</v>
      </c>
      <c r="H4514" s="18">
        <f t="shared" si="1656"/>
        <v>22.74</v>
      </c>
      <c r="I4514" s="694"/>
      <c r="J4514" s="669" t="s">
        <v>5805</v>
      </c>
      <c r="M4514" s="135">
        <f>F4512*(1-N4514)</f>
        <v>28.426600000000001</v>
      </c>
      <c r="N4514" s="136">
        <v>0.11</v>
      </c>
      <c r="O4514" s="113" t="s">
        <v>2386</v>
      </c>
      <c r="P4514" s="132"/>
      <c r="Q4514" s="132"/>
      <c r="R4514" s="132"/>
    </row>
    <row r="4515" spans="1:27" x14ac:dyDescent="0.25">
      <c r="A4515" s="608"/>
      <c r="B4515" s="2"/>
      <c r="C4515" s="1"/>
      <c r="D4515" s="2"/>
      <c r="E4515" s="1"/>
      <c r="F4515" s="442"/>
      <c r="G4515" s="520"/>
      <c r="H4515" s="13" t="str">
        <f t="shared" si="1656"/>
        <v/>
      </c>
      <c r="I4515" s="692"/>
      <c r="J4515" s="669" t="s">
        <v>4180</v>
      </c>
      <c r="M4515" s="113"/>
      <c r="N4515" s="113"/>
      <c r="O4515" s="113"/>
      <c r="P4515" s="132"/>
      <c r="Q4515" s="132"/>
      <c r="R4515" s="132"/>
    </row>
    <row r="4516" spans="1:27" x14ac:dyDescent="0.25">
      <c r="A4516" s="610" t="s">
        <v>4138</v>
      </c>
      <c r="B4516" s="17" t="s">
        <v>740</v>
      </c>
      <c r="C4516" s="30" t="s">
        <v>4550</v>
      </c>
      <c r="D4516" s="30" t="s">
        <v>4549</v>
      </c>
      <c r="E4516" s="17"/>
      <c r="F4516" s="444">
        <f>ROUND(M4516,2)</f>
        <v>28.43</v>
      </c>
      <c r="G4516" s="519">
        <v>28.43</v>
      </c>
      <c r="H4516" s="18">
        <f t="shared" si="1656"/>
        <v>22.74</v>
      </c>
      <c r="I4516" s="694"/>
      <c r="J4516" s="669" t="s">
        <v>5805</v>
      </c>
      <c r="M4516" s="135">
        <f>M4514*(1-N4516)</f>
        <v>28.426600000000001</v>
      </c>
      <c r="N4516" s="136">
        <v>0</v>
      </c>
      <c r="O4516" s="137" t="s">
        <v>4139</v>
      </c>
      <c r="P4516" s="132"/>
      <c r="Q4516" s="132"/>
      <c r="R4516" s="132"/>
    </row>
    <row r="4517" spans="1:27" x14ac:dyDescent="0.25">
      <c r="A4517" s="610" t="s">
        <v>4140</v>
      </c>
      <c r="B4517" s="17" t="s">
        <v>740</v>
      </c>
      <c r="C4517" s="30" t="s">
        <v>4550</v>
      </c>
      <c r="D4517" s="30" t="s">
        <v>5379</v>
      </c>
      <c r="E4517" s="17"/>
      <c r="F4517" s="444">
        <f>ROUND(M4517,2)</f>
        <v>25.02</v>
      </c>
      <c r="G4517" s="519">
        <v>25.02</v>
      </c>
      <c r="H4517" s="18">
        <f t="shared" si="1656"/>
        <v>20.02</v>
      </c>
      <c r="I4517" s="694"/>
      <c r="J4517" s="669" t="s">
        <v>5805</v>
      </c>
      <c r="M4517" s="113">
        <f>M4514*(1-N4517)</f>
        <v>25.015408000000001</v>
      </c>
      <c r="N4517" s="136">
        <v>0.12</v>
      </c>
      <c r="O4517" s="137" t="s">
        <v>4141</v>
      </c>
      <c r="P4517" s="132"/>
      <c r="Q4517" s="132"/>
      <c r="R4517" s="132"/>
    </row>
    <row r="4518" spans="1:27" x14ac:dyDescent="0.25">
      <c r="A4518" s="610" t="s">
        <v>4142</v>
      </c>
      <c r="B4518" s="17" t="s">
        <v>740</v>
      </c>
      <c r="C4518" s="30" t="s">
        <v>4550</v>
      </c>
      <c r="D4518" s="30" t="s">
        <v>4552</v>
      </c>
      <c r="E4518" s="17"/>
      <c r="F4518" s="444">
        <f>ROUND(M4518,2)</f>
        <v>26.15</v>
      </c>
      <c r="G4518" s="519">
        <v>26.15</v>
      </c>
      <c r="H4518" s="18">
        <f t="shared" si="1656"/>
        <v>20.92</v>
      </c>
      <c r="I4518" s="694"/>
      <c r="J4518" s="669" t="s">
        <v>5805</v>
      </c>
      <c r="K4518" s="15"/>
      <c r="M4518" s="113">
        <f>M4514*(1-N4518)</f>
        <v>26.152472000000003</v>
      </c>
      <c r="N4518" s="136">
        <v>0.08</v>
      </c>
      <c r="O4518" s="137" t="s">
        <v>4143</v>
      </c>
      <c r="P4518" s="132"/>
      <c r="Q4518" s="132"/>
      <c r="R4518" s="132"/>
    </row>
    <row r="4519" spans="1:27" x14ac:dyDescent="0.25">
      <c r="A4519" s="254"/>
      <c r="G4519" s="537"/>
      <c r="H4519" s="15" t="str">
        <f t="shared" si="1656"/>
        <v/>
      </c>
      <c r="J4519" s="669" t="s">
        <v>4180</v>
      </c>
      <c r="K4519" s="15"/>
      <c r="Y4519" s="12"/>
      <c r="Z4519" s="12"/>
      <c r="AA4519" s="12"/>
    </row>
    <row r="4520" spans="1:27" x14ac:dyDescent="0.25">
      <c r="A4520" s="610" t="s">
        <v>617</v>
      </c>
      <c r="B4520" s="17" t="s">
        <v>740</v>
      </c>
      <c r="C4520" s="30" t="s">
        <v>4444</v>
      </c>
      <c r="D4520" s="30" t="s">
        <v>4549</v>
      </c>
      <c r="E4520" s="17"/>
      <c r="F4520" s="444">
        <f>ROUND(M4520,2)</f>
        <v>28.43</v>
      </c>
      <c r="G4520" s="519">
        <v>28.43</v>
      </c>
      <c r="H4520" s="18">
        <f t="shared" si="1656"/>
        <v>22.74</v>
      </c>
      <c r="I4520" s="694"/>
      <c r="J4520" s="669" t="s">
        <v>5805</v>
      </c>
      <c r="K4520" s="15"/>
      <c r="M4520" s="135">
        <f>M4514*(1-N4520)</f>
        <v>28.426600000000001</v>
      </c>
      <c r="N4520" s="136">
        <v>0</v>
      </c>
      <c r="O4520" s="137" t="s">
        <v>618</v>
      </c>
      <c r="P4520" s="12"/>
      <c r="Q4520" s="12"/>
      <c r="R4520" s="12"/>
      <c r="S4520" s="12"/>
      <c r="T4520" s="12"/>
      <c r="U4520" s="12"/>
      <c r="V4520" s="12"/>
      <c r="W4520" s="12"/>
      <c r="X4520" s="12"/>
      <c r="Y4520" s="12"/>
      <c r="Z4520" s="12"/>
      <c r="AA4520" s="12"/>
    </row>
    <row r="4521" spans="1:27" x14ac:dyDescent="0.25">
      <c r="A4521" s="610" t="s">
        <v>619</v>
      </c>
      <c r="B4521" s="17" t="s">
        <v>740</v>
      </c>
      <c r="C4521" s="30" t="s">
        <v>4444</v>
      </c>
      <c r="D4521" s="30" t="s">
        <v>5379</v>
      </c>
      <c r="E4521" s="17"/>
      <c r="F4521" s="444">
        <f>ROUND(M4521,2)</f>
        <v>24.26</v>
      </c>
      <c r="G4521" s="519">
        <v>24.26</v>
      </c>
      <c r="H4521" s="18">
        <f t="shared" si="1656"/>
        <v>19.41</v>
      </c>
      <c r="I4521" s="694"/>
      <c r="J4521" s="669" t="s">
        <v>5805</v>
      </c>
      <c r="K4521" s="15"/>
      <c r="M4521" s="135">
        <f>M4517*(1-N4521)</f>
        <v>24.26494576</v>
      </c>
      <c r="N4521" s="136">
        <v>0.03</v>
      </c>
      <c r="O4521" s="137" t="s">
        <v>4446</v>
      </c>
      <c r="P4521" s="12"/>
      <c r="Q4521" s="12"/>
      <c r="R4521" s="12"/>
      <c r="S4521" s="12"/>
      <c r="T4521" s="12"/>
      <c r="U4521" s="12"/>
      <c r="V4521" s="12"/>
      <c r="W4521" s="12"/>
      <c r="X4521" s="12"/>
      <c r="Y4521" s="12"/>
      <c r="Z4521" s="12"/>
      <c r="AA4521" s="12"/>
    </row>
    <row r="4522" spans="1:27" x14ac:dyDescent="0.25">
      <c r="A4522" s="610" t="s">
        <v>620</v>
      </c>
      <c r="B4522" s="17" t="s">
        <v>740</v>
      </c>
      <c r="C4522" s="30" t="s">
        <v>4445</v>
      </c>
      <c r="D4522" s="30" t="s">
        <v>4552</v>
      </c>
      <c r="E4522" s="17"/>
      <c r="F4522" s="444">
        <f>ROUND(M4522,2)</f>
        <v>25.37</v>
      </c>
      <c r="G4522" s="519">
        <v>25.37</v>
      </c>
      <c r="H4522" s="18">
        <f t="shared" si="1656"/>
        <v>20.3</v>
      </c>
      <c r="I4522" s="694"/>
      <c r="J4522" s="669" t="s">
        <v>5805</v>
      </c>
      <c r="K4522" s="15"/>
      <c r="M4522" s="135">
        <f>M4518*(1-N4522)</f>
        <v>25.367897840000001</v>
      </c>
      <c r="N4522" s="136">
        <v>0.03</v>
      </c>
      <c r="O4522" s="137" t="s">
        <v>4447</v>
      </c>
      <c r="P4522" s="12"/>
      <c r="Q4522" s="12"/>
      <c r="R4522" s="12"/>
      <c r="S4522" s="12"/>
      <c r="T4522" s="12"/>
      <c r="U4522" s="12"/>
      <c r="V4522" s="12"/>
      <c r="W4522" s="12"/>
      <c r="X4522" s="12"/>
    </row>
    <row r="4523" spans="1:27" x14ac:dyDescent="0.25">
      <c r="A4523" s="254"/>
      <c r="G4523" s="537"/>
      <c r="H4523" s="15" t="str">
        <f t="shared" si="1656"/>
        <v/>
      </c>
      <c r="J4523" s="669" t="s">
        <v>4180</v>
      </c>
      <c r="K4523" s="15"/>
      <c r="M4523">
        <v>2011</v>
      </c>
      <c r="Y4523" s="12"/>
      <c r="Z4523" s="12"/>
      <c r="AA4523" s="12"/>
    </row>
    <row r="4524" spans="1:27" x14ac:dyDescent="0.25">
      <c r="A4524" s="610" t="str">
        <f>LEFT(A4521,9)&amp;"---"&amp;($M$4523-2000)</f>
        <v>SoK320------11</v>
      </c>
      <c r="B4524" s="17" t="s">
        <v>740</v>
      </c>
      <c r="C4524" s="30" t="s">
        <v>1467</v>
      </c>
      <c r="D4524" s="30" t="s">
        <v>1216</v>
      </c>
      <c r="E4524" s="17"/>
      <c r="F4524" s="444">
        <f>ROUND(M4524,2)</f>
        <v>21.11</v>
      </c>
      <c r="G4524" s="519">
        <v>21.11</v>
      </c>
      <c r="H4524" s="18">
        <f t="shared" si="1656"/>
        <v>16.89</v>
      </c>
      <c r="I4524" s="694"/>
      <c r="J4524" s="669" t="s">
        <v>5805</v>
      </c>
      <c r="K4524" s="15"/>
      <c r="M4524" s="135">
        <f>M4521*(1-N4524)</f>
        <v>21.1105028112</v>
      </c>
      <c r="N4524" s="136">
        <v>0.13</v>
      </c>
      <c r="O4524" s="137" t="s">
        <v>5506</v>
      </c>
      <c r="P4524" s="12"/>
      <c r="Q4524" s="12"/>
      <c r="R4524" s="12"/>
      <c r="S4524" s="12"/>
      <c r="T4524" s="12"/>
      <c r="U4524" s="12"/>
      <c r="V4524" s="12"/>
      <c r="W4524" s="12"/>
      <c r="X4524" s="12"/>
      <c r="Y4524" s="12"/>
      <c r="Z4524" s="12"/>
      <c r="AA4524" s="12"/>
    </row>
    <row r="4525" spans="1:27" x14ac:dyDescent="0.25">
      <c r="A4525" s="610" t="str">
        <f>LEFT(A4522,9)&amp;"---"&amp;($M$4523-2000)</f>
        <v>SoK321------11</v>
      </c>
      <c r="B4525" s="17" t="s">
        <v>740</v>
      </c>
      <c r="C4525" s="30" t="s">
        <v>1467</v>
      </c>
      <c r="D4525" s="30" t="s">
        <v>4552</v>
      </c>
      <c r="E4525" s="17"/>
      <c r="F4525" s="444">
        <f>ROUND(M4525,2)</f>
        <v>22.07</v>
      </c>
      <c r="G4525" s="519">
        <v>22.07</v>
      </c>
      <c r="H4525" s="18">
        <f t="shared" si="1656"/>
        <v>17.66</v>
      </c>
      <c r="I4525" s="694"/>
      <c r="J4525" s="669" t="s">
        <v>5805</v>
      </c>
      <c r="K4525" s="15"/>
      <c r="M4525" s="135">
        <f>M4522*(1-N4525)</f>
        <v>22.070071120800002</v>
      </c>
      <c r="N4525" s="136">
        <v>0.13</v>
      </c>
      <c r="O4525" s="137" t="s">
        <v>5507</v>
      </c>
      <c r="P4525" s="12"/>
      <c r="Q4525" s="12"/>
      <c r="R4525" s="12"/>
      <c r="S4525" s="12"/>
      <c r="T4525" s="12"/>
      <c r="U4525" s="12"/>
      <c r="V4525" s="12"/>
      <c r="W4525" s="12"/>
      <c r="X4525" s="12"/>
    </row>
    <row r="4526" spans="1:27" x14ac:dyDescent="0.25">
      <c r="A4526" s="254"/>
      <c r="G4526" s="537"/>
      <c r="H4526" s="15" t="str">
        <f t="shared" si="1656"/>
        <v/>
      </c>
      <c r="J4526" s="669" t="s">
        <v>4180</v>
      </c>
      <c r="K4526" s="15"/>
      <c r="Y4526" s="12"/>
      <c r="Z4526" s="12"/>
      <c r="AA4526" s="12"/>
    </row>
    <row r="4527" spans="1:27" x14ac:dyDescent="0.25">
      <c r="A4527" s="613" t="s">
        <v>4244</v>
      </c>
      <c r="B4527" s="283" t="s">
        <v>740</v>
      </c>
      <c r="C4527" s="322" t="s">
        <v>3917</v>
      </c>
      <c r="D4527" s="322" t="s">
        <v>3914</v>
      </c>
      <c r="E4527" s="322"/>
      <c r="F4527" s="447">
        <f>ROUND(M4527,2)</f>
        <v>17.940000000000001</v>
      </c>
      <c r="G4527" s="523">
        <v>17.940000000000001</v>
      </c>
      <c r="H4527" s="286">
        <f t="shared" si="1656"/>
        <v>14.35</v>
      </c>
      <c r="I4527" s="697"/>
      <c r="J4527" s="669" t="s">
        <v>5805</v>
      </c>
      <c r="K4527" s="15"/>
      <c r="M4527" s="135">
        <f>21.11*(1-N4527)</f>
        <v>17.9435</v>
      </c>
      <c r="N4527" s="281">
        <v>0.15</v>
      </c>
      <c r="O4527" s="137" t="s">
        <v>4245</v>
      </c>
      <c r="P4527" s="12"/>
      <c r="Q4527" s="12"/>
      <c r="R4527" s="12"/>
      <c r="S4527" s="12"/>
      <c r="T4527" s="12"/>
      <c r="U4527" s="12"/>
      <c r="V4527" s="12"/>
      <c r="W4527" s="12"/>
      <c r="X4527" s="12"/>
      <c r="Y4527" s="12"/>
      <c r="Z4527" s="12"/>
      <c r="AA4527" s="12"/>
    </row>
    <row r="4528" spans="1:27" x14ac:dyDescent="0.25">
      <c r="A4528" s="613" t="s">
        <v>4247</v>
      </c>
      <c r="B4528" s="283" t="s">
        <v>740</v>
      </c>
      <c r="C4528" s="322" t="s">
        <v>3917</v>
      </c>
      <c r="D4528" s="322" t="s">
        <v>3915</v>
      </c>
      <c r="E4528" s="322"/>
      <c r="F4528" s="447">
        <f>ROUND(M4528,2)</f>
        <v>18.760000000000002</v>
      </c>
      <c r="G4528" s="523">
        <v>18.760000000000002</v>
      </c>
      <c r="H4528" s="286">
        <f t="shared" si="1656"/>
        <v>15.01</v>
      </c>
      <c r="I4528" s="697"/>
      <c r="J4528" s="669" t="s">
        <v>5805</v>
      </c>
      <c r="K4528" s="15"/>
      <c r="M4528" s="135">
        <f>22.07*(1-N4528)</f>
        <v>18.759499999999999</v>
      </c>
      <c r="N4528" s="281">
        <v>0.15</v>
      </c>
      <c r="O4528" s="137" t="s">
        <v>4246</v>
      </c>
      <c r="P4528" s="12"/>
      <c r="Q4528" s="12"/>
      <c r="R4528" s="12"/>
      <c r="S4528" s="12"/>
      <c r="T4528" s="12"/>
      <c r="U4528" s="12"/>
      <c r="V4528" s="12"/>
      <c r="W4528" s="12"/>
      <c r="X4528" s="12"/>
    </row>
    <row r="4529" spans="1:27" x14ac:dyDescent="0.25">
      <c r="A4529" s="254"/>
      <c r="G4529" s="537"/>
      <c r="H4529" s="15" t="str">
        <f t="shared" si="1656"/>
        <v/>
      </c>
      <c r="J4529" s="669" t="s">
        <v>4180</v>
      </c>
      <c r="K4529" s="15"/>
      <c r="Y4529" s="12"/>
      <c r="Z4529" s="12"/>
      <c r="AA4529" s="12"/>
    </row>
    <row r="4530" spans="1:27" x14ac:dyDescent="0.25">
      <c r="A4530" s="614" t="s">
        <v>3893</v>
      </c>
      <c r="B4530" s="321" t="s">
        <v>740</v>
      </c>
      <c r="C4530" s="322" t="s">
        <v>3918</v>
      </c>
      <c r="D4530" s="322" t="s">
        <v>3894</v>
      </c>
      <c r="E4530" s="321"/>
      <c r="F4530" s="472">
        <f>ROUND(M4530,2)</f>
        <v>17.940000000000001</v>
      </c>
      <c r="G4530" s="549">
        <v>17.940000000000001</v>
      </c>
      <c r="H4530" s="323">
        <f t="shared" si="1656"/>
        <v>14.35</v>
      </c>
      <c r="I4530" s="727"/>
      <c r="J4530" s="669" t="s">
        <v>5805</v>
      </c>
      <c r="K4530" s="15"/>
      <c r="M4530" s="135">
        <f>21.11*(1-N4530)</f>
        <v>17.9435</v>
      </c>
      <c r="N4530" s="281">
        <v>0.15</v>
      </c>
      <c r="O4530" s="137" t="s">
        <v>3895</v>
      </c>
      <c r="P4530" s="12"/>
      <c r="Q4530" s="12"/>
      <c r="R4530" s="12"/>
      <c r="S4530" s="12"/>
      <c r="T4530" s="12"/>
      <c r="U4530" s="12"/>
      <c r="V4530" s="12"/>
      <c r="W4530" s="12"/>
      <c r="X4530" s="12"/>
      <c r="Y4530" s="12"/>
      <c r="Z4530" s="12"/>
      <c r="AA4530" s="12"/>
    </row>
    <row r="4531" spans="1:27" x14ac:dyDescent="0.25">
      <c r="A4531" s="614" t="s">
        <v>3896</v>
      </c>
      <c r="B4531" s="321" t="s">
        <v>740</v>
      </c>
      <c r="C4531" s="322" t="s">
        <v>3918</v>
      </c>
      <c r="D4531" s="322" t="s">
        <v>3897</v>
      </c>
      <c r="E4531" s="321"/>
      <c r="F4531" s="472">
        <f>ROUND(M4531,2)</f>
        <v>18.760000000000002</v>
      </c>
      <c r="G4531" s="549">
        <v>18.760000000000002</v>
      </c>
      <c r="H4531" s="323">
        <f t="shared" si="1656"/>
        <v>15.01</v>
      </c>
      <c r="I4531" s="727"/>
      <c r="J4531" s="669" t="s">
        <v>5805</v>
      </c>
      <c r="K4531" s="15"/>
      <c r="M4531" s="135">
        <f>22.07*(1-N4531)</f>
        <v>18.759499999999999</v>
      </c>
      <c r="N4531" s="281">
        <v>0.15</v>
      </c>
      <c r="O4531" s="137" t="s">
        <v>3898</v>
      </c>
      <c r="P4531" s="12"/>
      <c r="Q4531" s="12"/>
      <c r="R4531" s="12"/>
      <c r="S4531" s="12"/>
      <c r="T4531" s="12"/>
      <c r="U4531" s="12"/>
      <c r="V4531" s="12"/>
      <c r="W4531" s="12"/>
      <c r="X4531" s="12"/>
      <c r="Y4531" s="12"/>
      <c r="Z4531" s="12"/>
      <c r="AA4531" s="12"/>
    </row>
    <row r="4532" spans="1:27" x14ac:dyDescent="0.25">
      <c r="A4532" s="614" t="s">
        <v>3899</v>
      </c>
      <c r="B4532" s="321" t="s">
        <v>740</v>
      </c>
      <c r="C4532" s="322" t="s">
        <v>30</v>
      </c>
      <c r="D4532" s="322" t="s">
        <v>3900</v>
      </c>
      <c r="E4532" s="321"/>
      <c r="F4532" s="472">
        <f>ROUND(M4532,2)</f>
        <v>15.95</v>
      </c>
      <c r="G4532" s="549">
        <v>15.95</v>
      </c>
      <c r="H4532" s="323">
        <f t="shared" si="1656"/>
        <v>12.76</v>
      </c>
      <c r="I4532" s="727"/>
      <c r="J4532" s="669" t="s">
        <v>5805</v>
      </c>
      <c r="K4532" s="15"/>
      <c r="M4532" s="135">
        <v>15.95</v>
      </c>
      <c r="N4532" s="281">
        <v>0</v>
      </c>
      <c r="O4532" s="137" t="s">
        <v>3901</v>
      </c>
      <c r="P4532" s="12"/>
      <c r="Q4532" s="12"/>
      <c r="R4532" s="12"/>
      <c r="S4532" s="12"/>
      <c r="T4532" s="12"/>
      <c r="U4532" s="12"/>
      <c r="V4532" s="12"/>
      <c r="W4532" s="12"/>
      <c r="X4532" s="12"/>
      <c r="Y4532" s="12"/>
      <c r="Z4532" s="12"/>
      <c r="AA4532" s="12"/>
    </row>
    <row r="4533" spans="1:27" x14ac:dyDescent="0.25">
      <c r="A4533" s="254"/>
      <c r="G4533" s="537"/>
      <c r="H4533" s="15" t="str">
        <f t="shared" ref="H4533:H4596" si="1657">IF(ISNUMBER(G4533),ROUND(0.8*G4533,2),"")</f>
        <v/>
      </c>
      <c r="J4533" s="669" t="s">
        <v>4180</v>
      </c>
      <c r="K4533" s="15"/>
      <c r="M4533">
        <v>2012</v>
      </c>
      <c r="N4533" s="281"/>
      <c r="O4533" s="137" t="s">
        <v>3902</v>
      </c>
      <c r="P4533" s="12" t="s">
        <v>3903</v>
      </c>
      <c r="Q4533" s="12" t="s">
        <v>3904</v>
      </c>
      <c r="R4533" s="12"/>
      <c r="S4533" s="12"/>
      <c r="T4533" s="12"/>
      <c r="U4533" s="12"/>
      <c r="V4533" s="12"/>
      <c r="W4533" s="12"/>
      <c r="X4533" s="12"/>
      <c r="Y4533" s="12"/>
      <c r="Z4533" s="12"/>
      <c r="AA4533" s="12"/>
    </row>
    <row r="4534" spans="1:27" x14ac:dyDescent="0.25">
      <c r="A4534" s="614" t="s">
        <v>3905</v>
      </c>
      <c r="B4534" s="321" t="s">
        <v>740</v>
      </c>
      <c r="C4534" s="322" t="str">
        <f t="shared" ref="C4534:C4542" si="1658">"Inbetriebnahme "&amp;TEXT(DATEVALUE(RIGHT(A4534,5)),"MM/JJJJ")</f>
        <v>Inbetriebnahme 04/2012</v>
      </c>
      <c r="D4534" s="322" t="str">
        <f>$Q$4533</f>
        <v>Freiflächenanlage 0 - 10 MW</v>
      </c>
      <c r="E4534" s="321"/>
      <c r="F4534" s="472">
        <f t="shared" ref="F4534:F4542" si="1659">ROUND(HLOOKUP(D4534,$Q$4533:$Q$4678,MATCH(RIGHT($A4534,5),$O$4533:$O$4678,0),FALSE),2)</f>
        <v>13.5</v>
      </c>
      <c r="G4534" s="549">
        <v>13.5</v>
      </c>
      <c r="H4534" s="323">
        <f t="shared" si="1657"/>
        <v>10.8</v>
      </c>
      <c r="I4534" s="727"/>
      <c r="J4534" s="669" t="s">
        <v>5805</v>
      </c>
      <c r="K4534" s="15"/>
      <c r="M4534" s="324"/>
      <c r="N4534" s="281"/>
      <c r="O4534" s="325" t="s">
        <v>3916</v>
      </c>
      <c r="P4534" s="326"/>
      <c r="Q4534" s="327">
        <v>13.5</v>
      </c>
      <c r="R4534" s="12"/>
      <c r="S4534" s="12"/>
      <c r="T4534" s="12"/>
      <c r="U4534" s="12"/>
      <c r="V4534" s="12"/>
      <c r="W4534" s="12"/>
      <c r="X4534" s="12"/>
      <c r="Y4534" s="12"/>
      <c r="Z4534" s="12"/>
      <c r="AA4534" s="12"/>
    </row>
    <row r="4535" spans="1:27" x14ac:dyDescent="0.25">
      <c r="A4535" s="614" t="s">
        <v>3906</v>
      </c>
      <c r="B4535" s="321" t="str">
        <f t="shared" ref="B4535:B4542" si="1660">B4534</f>
        <v>Solar</v>
      </c>
      <c r="C4535" s="322" t="str">
        <f t="shared" si="1658"/>
        <v>Inbetriebnahme 05/2012</v>
      </c>
      <c r="D4535" s="321" t="str">
        <f t="shared" ref="D4535:D4542" si="1661">D4534</f>
        <v>Freiflächenanlage 0 - 10 MW</v>
      </c>
      <c r="E4535" s="321"/>
      <c r="F4535" s="472">
        <f t="shared" si="1659"/>
        <v>13.37</v>
      </c>
      <c r="G4535" s="549">
        <v>13.37</v>
      </c>
      <c r="H4535" s="323">
        <f t="shared" si="1657"/>
        <v>10.7</v>
      </c>
      <c r="I4535" s="727"/>
      <c r="J4535" s="669" t="s">
        <v>5805</v>
      </c>
      <c r="K4535" s="15"/>
      <c r="M4535" s="324"/>
      <c r="N4535" s="281"/>
      <c r="O4535" s="333" t="str">
        <f t="shared" ref="O4535:O4542" si="1662">TEXT(DATE(YEAR(DATEVALUE(O4534)),MONTH(DATEVALUE(O4534))+1,1),"MMMJJ")</f>
        <v>Mai12</v>
      </c>
      <c r="P4535" s="344">
        <v>0.01</v>
      </c>
      <c r="Q4535" s="327">
        <f t="shared" ref="Q4535:Q4542" si="1663">IF(P4535&lt;&gt;"",Q4534*(100%-$P4535),"")</f>
        <v>13.365</v>
      </c>
      <c r="R4535" s="12"/>
      <c r="S4535" s="12"/>
      <c r="T4535" s="12"/>
      <c r="U4535" s="12"/>
      <c r="V4535" s="12"/>
      <c r="W4535" s="12"/>
      <c r="X4535" s="12"/>
      <c r="Y4535" s="12"/>
      <c r="Z4535" s="12"/>
      <c r="AA4535" s="12"/>
    </row>
    <row r="4536" spans="1:27" x14ac:dyDescent="0.25">
      <c r="A4536" s="614" t="s">
        <v>3907</v>
      </c>
      <c r="B4536" s="321" t="str">
        <f t="shared" si="1660"/>
        <v>Solar</v>
      </c>
      <c r="C4536" s="322" t="str">
        <f t="shared" si="1658"/>
        <v>Inbetriebnahme 06/2012</v>
      </c>
      <c r="D4536" s="321" t="str">
        <f t="shared" si="1661"/>
        <v>Freiflächenanlage 0 - 10 MW</v>
      </c>
      <c r="E4536" s="321"/>
      <c r="F4536" s="472">
        <f t="shared" si="1659"/>
        <v>13.23</v>
      </c>
      <c r="G4536" s="549">
        <v>13.23</v>
      </c>
      <c r="H4536" s="323">
        <f t="shared" si="1657"/>
        <v>10.58</v>
      </c>
      <c r="I4536" s="727"/>
      <c r="J4536" s="669" t="s">
        <v>5805</v>
      </c>
      <c r="K4536" s="15"/>
      <c r="M4536" s="324"/>
      <c r="N4536" s="281"/>
      <c r="O4536" s="333" t="str">
        <f t="shared" si="1662"/>
        <v>Jun12</v>
      </c>
      <c r="P4536" s="344">
        <v>0.01</v>
      </c>
      <c r="Q4536" s="327">
        <f t="shared" si="1663"/>
        <v>13.231350000000001</v>
      </c>
      <c r="R4536" s="12"/>
      <c r="S4536" s="12"/>
      <c r="T4536" s="12"/>
      <c r="U4536" s="12"/>
      <c r="V4536" s="12"/>
      <c r="W4536" s="12"/>
      <c r="X4536" s="12"/>
      <c r="Y4536" s="12"/>
      <c r="Z4536" s="12"/>
      <c r="AA4536" s="12"/>
    </row>
    <row r="4537" spans="1:27" x14ac:dyDescent="0.25">
      <c r="A4537" s="614" t="s">
        <v>3908</v>
      </c>
      <c r="B4537" s="321" t="str">
        <f t="shared" si="1660"/>
        <v>Solar</v>
      </c>
      <c r="C4537" s="322" t="str">
        <f t="shared" si="1658"/>
        <v>Inbetriebnahme 07/2012</v>
      </c>
      <c r="D4537" s="321" t="str">
        <f t="shared" si="1661"/>
        <v>Freiflächenanlage 0 - 10 MW</v>
      </c>
      <c r="E4537" s="321"/>
      <c r="F4537" s="472">
        <f t="shared" si="1659"/>
        <v>13.1</v>
      </c>
      <c r="G4537" s="549">
        <v>13.1</v>
      </c>
      <c r="H4537" s="323">
        <f t="shared" si="1657"/>
        <v>10.48</v>
      </c>
      <c r="I4537" s="727"/>
      <c r="J4537" s="669" t="s">
        <v>5805</v>
      </c>
      <c r="K4537" s="15"/>
      <c r="M4537" s="324"/>
      <c r="N4537" s="281"/>
      <c r="O4537" s="333" t="str">
        <f t="shared" si="1662"/>
        <v>Jul12</v>
      </c>
      <c r="P4537" s="344">
        <v>0.01</v>
      </c>
      <c r="Q4537" s="327">
        <f t="shared" si="1663"/>
        <v>13.0990365</v>
      </c>
      <c r="R4537" s="12"/>
      <c r="S4537" s="12"/>
      <c r="T4537" s="12"/>
      <c r="U4537" s="12"/>
      <c r="V4537" s="12"/>
      <c r="W4537" s="12"/>
      <c r="X4537" s="12"/>
      <c r="Y4537" s="12"/>
      <c r="Z4537" s="12"/>
      <c r="AA4537" s="12"/>
    </row>
    <row r="4538" spans="1:27" x14ac:dyDescent="0.25">
      <c r="A4538" s="614" t="s">
        <v>3909</v>
      </c>
      <c r="B4538" s="321" t="str">
        <f t="shared" si="1660"/>
        <v>Solar</v>
      </c>
      <c r="C4538" s="322" t="str">
        <f t="shared" si="1658"/>
        <v>Inbetriebnahme 08/2012</v>
      </c>
      <c r="D4538" s="321" t="str">
        <f t="shared" si="1661"/>
        <v>Freiflächenanlage 0 - 10 MW</v>
      </c>
      <c r="E4538" s="321"/>
      <c r="F4538" s="472">
        <f t="shared" si="1659"/>
        <v>12.97</v>
      </c>
      <c r="G4538" s="549">
        <v>12.97</v>
      </c>
      <c r="H4538" s="323">
        <f t="shared" si="1657"/>
        <v>10.38</v>
      </c>
      <c r="I4538" s="727"/>
      <c r="J4538" s="669" t="s">
        <v>5805</v>
      </c>
      <c r="K4538" s="15"/>
      <c r="M4538" s="324"/>
      <c r="N4538" s="281"/>
      <c r="O4538" s="333" t="str">
        <f t="shared" si="1662"/>
        <v>Aug12</v>
      </c>
      <c r="P4538" s="344">
        <v>0.01</v>
      </c>
      <c r="Q4538" s="327">
        <f t="shared" si="1663"/>
        <v>12.968046135</v>
      </c>
      <c r="R4538" s="12"/>
      <c r="S4538" s="12"/>
      <c r="T4538" s="12"/>
      <c r="U4538" s="12"/>
      <c r="V4538" s="12"/>
      <c r="W4538" s="12"/>
      <c r="X4538" s="12"/>
      <c r="Y4538" s="12"/>
      <c r="Z4538" s="12"/>
      <c r="AA4538" s="12"/>
    </row>
    <row r="4539" spans="1:27" x14ac:dyDescent="0.25">
      <c r="A4539" s="614" t="s">
        <v>3910</v>
      </c>
      <c r="B4539" s="321" t="str">
        <f t="shared" si="1660"/>
        <v>Solar</v>
      </c>
      <c r="C4539" s="322" t="str">
        <f t="shared" si="1658"/>
        <v>Inbetriebnahme 09/2012</v>
      </c>
      <c r="D4539" s="321" t="str">
        <f t="shared" si="1661"/>
        <v>Freiflächenanlage 0 - 10 MW</v>
      </c>
      <c r="E4539" s="321"/>
      <c r="F4539" s="472">
        <f t="shared" si="1659"/>
        <v>12.84</v>
      </c>
      <c r="G4539" s="549">
        <v>12.84</v>
      </c>
      <c r="H4539" s="323">
        <f t="shared" si="1657"/>
        <v>10.27</v>
      </c>
      <c r="I4539" s="727"/>
      <c r="J4539" s="669" t="s">
        <v>5805</v>
      </c>
      <c r="K4539" s="15"/>
      <c r="M4539" s="324"/>
      <c r="N4539" s="281"/>
      <c r="O4539" s="333" t="str">
        <f t="shared" si="1662"/>
        <v>Sep12</v>
      </c>
      <c r="P4539" s="344">
        <v>0.01</v>
      </c>
      <c r="Q4539" s="327">
        <f t="shared" si="1663"/>
        <v>12.838365673649999</v>
      </c>
      <c r="R4539" s="12"/>
      <c r="S4539" s="12"/>
      <c r="T4539" s="12"/>
      <c r="U4539" s="12"/>
      <c r="V4539" s="12"/>
      <c r="W4539" s="12"/>
      <c r="X4539" s="12"/>
      <c r="Y4539" s="12"/>
      <c r="Z4539" s="12"/>
      <c r="AA4539" s="12"/>
    </row>
    <row r="4540" spans="1:27" x14ac:dyDescent="0.25">
      <c r="A4540" s="614" t="s">
        <v>3911</v>
      </c>
      <c r="B4540" s="321" t="str">
        <f t="shared" si="1660"/>
        <v>Solar</v>
      </c>
      <c r="C4540" s="322" t="str">
        <f t="shared" si="1658"/>
        <v>Inbetriebnahme 10/2012</v>
      </c>
      <c r="D4540" s="321" t="str">
        <f t="shared" si="1661"/>
        <v>Freiflächenanlage 0 - 10 MW</v>
      </c>
      <c r="E4540" s="321"/>
      <c r="F4540" s="472">
        <f t="shared" si="1659"/>
        <v>12.71</v>
      </c>
      <c r="G4540" s="549">
        <v>12.71</v>
      </c>
      <c r="H4540" s="323">
        <f t="shared" si="1657"/>
        <v>10.17</v>
      </c>
      <c r="I4540" s="727"/>
      <c r="J4540" s="669" t="s">
        <v>5805</v>
      </c>
      <c r="K4540" s="15"/>
      <c r="M4540" s="324"/>
      <c r="N4540" s="281"/>
      <c r="O4540" s="333" t="str">
        <f t="shared" si="1662"/>
        <v>Okt12</v>
      </c>
      <c r="P4540" s="344">
        <v>0.01</v>
      </c>
      <c r="Q4540" s="327">
        <f t="shared" si="1663"/>
        <v>12.7099820169135</v>
      </c>
      <c r="R4540" s="12"/>
      <c r="S4540" s="12"/>
      <c r="T4540" s="12"/>
      <c r="U4540" s="12"/>
      <c r="V4540" s="12"/>
      <c r="W4540" s="12"/>
      <c r="X4540" s="12"/>
      <c r="Y4540" s="12"/>
      <c r="Z4540" s="12"/>
      <c r="AA4540" s="12"/>
    </row>
    <row r="4541" spans="1:27" x14ac:dyDescent="0.25">
      <c r="A4541" s="614" t="s">
        <v>3912</v>
      </c>
      <c r="B4541" s="321" t="str">
        <f t="shared" si="1660"/>
        <v>Solar</v>
      </c>
      <c r="C4541" s="322" t="str">
        <f t="shared" si="1658"/>
        <v>Inbetriebnahme 11/2012</v>
      </c>
      <c r="D4541" s="321" t="str">
        <f t="shared" si="1661"/>
        <v>Freiflächenanlage 0 - 10 MW</v>
      </c>
      <c r="E4541" s="321"/>
      <c r="F4541" s="472">
        <f t="shared" si="1659"/>
        <v>12.39</v>
      </c>
      <c r="G4541" s="549">
        <v>12.39</v>
      </c>
      <c r="H4541" s="323">
        <f t="shared" si="1657"/>
        <v>9.91</v>
      </c>
      <c r="I4541" s="727"/>
      <c r="J4541" s="669" t="s">
        <v>5805</v>
      </c>
      <c r="K4541" s="15"/>
      <c r="M4541" s="324"/>
      <c r="N4541" s="281"/>
      <c r="O4541" s="333" t="str">
        <f t="shared" si="1662"/>
        <v>Nov12</v>
      </c>
      <c r="P4541" s="344">
        <v>2.5000000000000001E-2</v>
      </c>
      <c r="Q4541" s="327">
        <f t="shared" si="1663"/>
        <v>12.392232466490663</v>
      </c>
      <c r="R4541" s="328"/>
      <c r="S4541" s="12"/>
      <c r="T4541" s="12"/>
      <c r="U4541" s="12"/>
      <c r="V4541" s="12"/>
      <c r="W4541" s="12"/>
      <c r="X4541" s="12"/>
    </row>
    <row r="4542" spans="1:27" x14ac:dyDescent="0.25">
      <c r="A4542" s="614" t="s">
        <v>3913</v>
      </c>
      <c r="B4542" s="321" t="str">
        <f t="shared" si="1660"/>
        <v>Solar</v>
      </c>
      <c r="C4542" s="322" t="str">
        <f t="shared" si="1658"/>
        <v>Inbetriebnahme 12/2012</v>
      </c>
      <c r="D4542" s="321" t="str">
        <f t="shared" si="1661"/>
        <v>Freiflächenanlage 0 - 10 MW</v>
      </c>
      <c r="E4542" s="321"/>
      <c r="F4542" s="472">
        <f t="shared" si="1659"/>
        <v>12.08</v>
      </c>
      <c r="G4542" s="549">
        <v>12.08</v>
      </c>
      <c r="H4542" s="323">
        <f t="shared" si="1657"/>
        <v>9.66</v>
      </c>
      <c r="I4542" s="727"/>
      <c r="J4542" s="669" t="s">
        <v>5805</v>
      </c>
      <c r="K4542" s="15"/>
      <c r="M4542" s="324"/>
      <c r="N4542" s="281"/>
      <c r="O4542" s="333" t="str">
        <f t="shared" si="1662"/>
        <v>Dez12</v>
      </c>
      <c r="P4542" s="344">
        <v>2.5000000000000001E-2</v>
      </c>
      <c r="Q4542" s="327">
        <f t="shared" si="1663"/>
        <v>12.082426654828396</v>
      </c>
      <c r="R4542" s="328"/>
      <c r="S4542" s="12"/>
      <c r="Y4542" s="12"/>
      <c r="Z4542" s="12"/>
      <c r="AA4542" s="12"/>
    </row>
    <row r="4543" spans="1:27" x14ac:dyDescent="0.25">
      <c r="A4543" s="254"/>
      <c r="G4543" s="537"/>
      <c r="H4543" s="15" t="str">
        <f t="shared" si="1657"/>
        <v/>
      </c>
      <c r="J4543" s="669" t="s">
        <v>4180</v>
      </c>
      <c r="K4543" s="15"/>
      <c r="M4543">
        <v>2013</v>
      </c>
      <c r="N4543" s="281"/>
      <c r="O4543" s="137" t="s">
        <v>3902</v>
      </c>
      <c r="P4543" s="12" t="s">
        <v>3903</v>
      </c>
      <c r="Q4543" s="12" t="s">
        <v>3904</v>
      </c>
      <c r="R4543" s="12"/>
      <c r="S4543" s="12"/>
      <c r="T4543" s="12"/>
      <c r="U4543" s="12"/>
      <c r="V4543" s="12"/>
      <c r="W4543" s="12"/>
      <c r="X4543" s="12"/>
      <c r="Y4543" s="12"/>
      <c r="Z4543" s="12"/>
      <c r="AA4543" s="12"/>
    </row>
    <row r="4544" spans="1:27" x14ac:dyDescent="0.25">
      <c r="A4544" s="615" t="s">
        <v>4672</v>
      </c>
      <c r="B4544" s="372" t="s">
        <v>740</v>
      </c>
      <c r="C4544" s="375" t="str">
        <f t="shared" ref="C4544:C4555" si="1664">"Inbetriebnahme "&amp;TEXT(DATEVALUE(RIGHT(A4544,5)),"MM/JJJJ")</f>
        <v>Inbetriebnahme 01/2013</v>
      </c>
      <c r="D4544" s="375" t="str">
        <f>$Q$4533</f>
        <v>Freiflächenanlage 0 - 10 MW</v>
      </c>
      <c r="E4544" s="372"/>
      <c r="F4544" s="449">
        <f t="shared" ref="F4544:F4555" si="1665">IF(P4544&lt;&gt;"",ROUND(HLOOKUP(D4544,$Q$4533:$Q$4678,MATCH(RIGHT($A4544,5),$O$4533:$O$4678,0),FALSE),2),"")</f>
        <v>11.78</v>
      </c>
      <c r="G4544" s="525">
        <v>11.78</v>
      </c>
      <c r="H4544" s="374">
        <f t="shared" si="1657"/>
        <v>9.42</v>
      </c>
      <c r="I4544" s="699"/>
      <c r="J4544" s="669" t="s">
        <v>5805</v>
      </c>
      <c r="K4544" s="15"/>
      <c r="N4544" s="281"/>
      <c r="O4544" s="325" t="s">
        <v>4662</v>
      </c>
      <c r="P4544" s="344">
        <v>2.5000000000000001E-2</v>
      </c>
      <c r="Q4544" s="327">
        <f>IF(P4544&lt;&gt;"",Q4542*(100%-$P4544),"")</f>
        <v>11.780365988457685</v>
      </c>
      <c r="R4544" s="12"/>
      <c r="S4544" s="12"/>
      <c r="T4544" s="12"/>
      <c r="U4544" s="12"/>
      <c r="V4544" s="12"/>
      <c r="W4544" s="12"/>
      <c r="X4544" s="12"/>
      <c r="Y4544" s="12"/>
      <c r="Z4544" s="12"/>
      <c r="AA4544" s="12"/>
    </row>
    <row r="4545" spans="1:27" x14ac:dyDescent="0.25">
      <c r="A4545" s="615" t="s">
        <v>4673</v>
      </c>
      <c r="B4545" s="372" t="str">
        <f>B4544</f>
        <v>Solar</v>
      </c>
      <c r="C4545" s="375" t="str">
        <f t="shared" si="1664"/>
        <v>Inbetriebnahme 02/2013</v>
      </c>
      <c r="D4545" s="372" t="str">
        <f>D4544</f>
        <v>Freiflächenanlage 0 - 10 MW</v>
      </c>
      <c r="E4545" s="372"/>
      <c r="F4545" s="449">
        <f t="shared" si="1665"/>
        <v>11.52</v>
      </c>
      <c r="G4545" s="525">
        <v>11.52</v>
      </c>
      <c r="H4545" s="374">
        <f t="shared" si="1657"/>
        <v>9.2200000000000006</v>
      </c>
      <c r="I4545" s="699"/>
      <c r="J4545" s="669" t="s">
        <v>5805</v>
      </c>
      <c r="K4545" s="15"/>
      <c r="N4545" s="281"/>
      <c r="O4545" s="333" t="str">
        <f t="shared" ref="O4545:O4555" si="1666">TEXT(DATE(YEAR(DATEVALUE(O4544)),MONTH(DATEVALUE(O4544))+1,1),"MMMJJ")</f>
        <v>Feb13</v>
      </c>
      <c r="P4545" s="344">
        <v>2.1999999999999999E-2</v>
      </c>
      <c r="Q4545" s="327">
        <f t="shared" ref="Q4545:Q4555" si="1667">IF(P4545&lt;&gt;"",Q4544*(100%-$P4545),"")</f>
        <v>11.521197936711616</v>
      </c>
      <c r="R4545" s="12"/>
      <c r="S4545" s="12"/>
      <c r="T4545" s="12"/>
      <c r="U4545" s="12"/>
      <c r="V4545" s="12"/>
      <c r="W4545" s="12"/>
      <c r="X4545" s="12"/>
      <c r="Y4545" s="12"/>
      <c r="Z4545" s="12"/>
      <c r="AA4545" s="12"/>
    </row>
    <row r="4546" spans="1:27" x14ac:dyDescent="0.25">
      <c r="A4546" s="615" t="s">
        <v>4674</v>
      </c>
      <c r="B4546" s="372" t="str">
        <f>B4545</f>
        <v>Solar</v>
      </c>
      <c r="C4546" s="375" t="str">
        <f t="shared" si="1664"/>
        <v>Inbetriebnahme 03/2013</v>
      </c>
      <c r="D4546" s="372" t="str">
        <f>D4545</f>
        <v>Freiflächenanlage 0 - 10 MW</v>
      </c>
      <c r="E4546" s="372"/>
      <c r="F4546" s="449">
        <f t="shared" si="1665"/>
        <v>11.27</v>
      </c>
      <c r="G4546" s="525">
        <v>11.27</v>
      </c>
      <c r="H4546" s="374">
        <f t="shared" si="1657"/>
        <v>9.02</v>
      </c>
      <c r="I4546" s="699"/>
      <c r="J4546" s="669" t="s">
        <v>5805</v>
      </c>
      <c r="K4546" s="15"/>
      <c r="N4546" s="281"/>
      <c r="O4546" s="333" t="str">
        <f t="shared" si="1666"/>
        <v>Mrz13</v>
      </c>
      <c r="P4546" s="344">
        <v>2.1999999999999999E-2</v>
      </c>
      <c r="Q4546" s="327">
        <f t="shared" si="1667"/>
        <v>11.267731582103959</v>
      </c>
      <c r="R4546" s="12"/>
      <c r="S4546" s="12"/>
      <c r="T4546" s="12"/>
      <c r="U4546" s="12"/>
      <c r="V4546" s="12"/>
      <c r="W4546" s="12"/>
      <c r="X4546" s="12"/>
      <c r="Y4546" s="12"/>
      <c r="Z4546" s="12"/>
      <c r="AA4546" s="12"/>
    </row>
    <row r="4547" spans="1:27" x14ac:dyDescent="0.25">
      <c r="A4547" s="615" t="s">
        <v>4663</v>
      </c>
      <c r="B4547" s="372" t="s">
        <v>740</v>
      </c>
      <c r="C4547" s="375" t="str">
        <f t="shared" si="1664"/>
        <v>Inbetriebnahme 04/2013</v>
      </c>
      <c r="D4547" s="375" t="str">
        <f>$Q$4533</f>
        <v>Freiflächenanlage 0 - 10 MW</v>
      </c>
      <c r="E4547" s="372"/>
      <c r="F4547" s="449">
        <f t="shared" si="1665"/>
        <v>11.02</v>
      </c>
      <c r="G4547" s="525">
        <v>11.02</v>
      </c>
      <c r="H4547" s="374">
        <f t="shared" si="1657"/>
        <v>8.82</v>
      </c>
      <c r="I4547" s="699"/>
      <c r="J4547" s="669" t="s">
        <v>5805</v>
      </c>
      <c r="K4547" s="15"/>
      <c r="M4547" s="324"/>
      <c r="N4547" s="281"/>
      <c r="O4547" s="333" t="str">
        <f t="shared" si="1666"/>
        <v>Apr13</v>
      </c>
      <c r="P4547" s="344">
        <v>2.1999999999999999E-2</v>
      </c>
      <c r="Q4547" s="327">
        <f t="shared" si="1667"/>
        <v>11.019841487297672</v>
      </c>
      <c r="R4547" s="12"/>
      <c r="S4547" s="12"/>
      <c r="T4547" s="12"/>
      <c r="U4547" s="12"/>
      <c r="V4547" s="12"/>
      <c r="W4547" s="12"/>
      <c r="X4547" s="12"/>
      <c r="Y4547" s="12"/>
      <c r="Z4547" s="12"/>
      <c r="AA4547" s="12"/>
    </row>
    <row r="4548" spans="1:27" x14ac:dyDescent="0.25">
      <c r="A4548" s="615" t="s">
        <v>4664</v>
      </c>
      <c r="B4548" s="372" t="str">
        <f t="shared" ref="B4548:B4555" si="1668">B4547</f>
        <v>Solar</v>
      </c>
      <c r="C4548" s="375" t="str">
        <f t="shared" si="1664"/>
        <v>Inbetriebnahme 05/2013</v>
      </c>
      <c r="D4548" s="372" t="str">
        <f t="shared" ref="D4548:D4555" si="1669">D4547</f>
        <v>Freiflächenanlage 0 - 10 MW</v>
      </c>
      <c r="E4548" s="372"/>
      <c r="F4548" s="449">
        <f t="shared" si="1665"/>
        <v>10.82</v>
      </c>
      <c r="G4548" s="525">
        <v>10.82</v>
      </c>
      <c r="H4548" s="374">
        <f t="shared" si="1657"/>
        <v>8.66</v>
      </c>
      <c r="I4548" s="699"/>
      <c r="J4548" s="669" t="s">
        <v>5805</v>
      </c>
      <c r="K4548" s="15"/>
      <c r="M4548" s="324"/>
      <c r="N4548" s="281"/>
      <c r="O4548" s="333" t="str">
        <f t="shared" si="1666"/>
        <v>Mai13</v>
      </c>
      <c r="P4548" s="344">
        <v>1.7999999999999999E-2</v>
      </c>
      <c r="Q4548" s="327">
        <f t="shared" si="1667"/>
        <v>10.821484340526315</v>
      </c>
      <c r="R4548" s="12"/>
      <c r="S4548" s="12"/>
      <c r="T4548" s="12"/>
      <c r="U4548" s="12"/>
      <c r="V4548" s="12"/>
      <c r="W4548" s="12"/>
      <c r="X4548" s="12"/>
      <c r="Y4548" s="12"/>
      <c r="Z4548" s="12"/>
      <c r="AA4548" s="12"/>
    </row>
    <row r="4549" spans="1:27" x14ac:dyDescent="0.25">
      <c r="A4549" s="615" t="s">
        <v>4665</v>
      </c>
      <c r="B4549" s="372" t="str">
        <f t="shared" si="1668"/>
        <v>Solar</v>
      </c>
      <c r="C4549" s="375" t="str">
        <f t="shared" si="1664"/>
        <v>Inbetriebnahme 06/2013</v>
      </c>
      <c r="D4549" s="372" t="str">
        <f t="shared" si="1669"/>
        <v>Freiflächenanlage 0 - 10 MW</v>
      </c>
      <c r="E4549" s="372"/>
      <c r="F4549" s="449">
        <f t="shared" si="1665"/>
        <v>10.63</v>
      </c>
      <c r="G4549" s="525">
        <v>10.63</v>
      </c>
      <c r="H4549" s="374">
        <f t="shared" si="1657"/>
        <v>8.5</v>
      </c>
      <c r="I4549" s="699"/>
      <c r="J4549" s="669" t="s">
        <v>5805</v>
      </c>
      <c r="K4549" s="15"/>
      <c r="M4549" s="324"/>
      <c r="N4549" s="281"/>
      <c r="O4549" s="333" t="str">
        <f t="shared" si="1666"/>
        <v>Jun13</v>
      </c>
      <c r="P4549" s="344">
        <v>1.7999999999999999E-2</v>
      </c>
      <c r="Q4549" s="327">
        <f t="shared" si="1667"/>
        <v>10.62669762239684</v>
      </c>
      <c r="R4549" s="12"/>
      <c r="S4549" s="12"/>
      <c r="T4549" s="12"/>
      <c r="U4549" s="12"/>
      <c r="V4549" s="12"/>
      <c r="W4549" s="12"/>
      <c r="X4549" s="12"/>
      <c r="Y4549" s="12"/>
      <c r="Z4549" s="12"/>
      <c r="AA4549" s="12"/>
    </row>
    <row r="4550" spans="1:27" x14ac:dyDescent="0.25">
      <c r="A4550" s="615" t="s">
        <v>4666</v>
      </c>
      <c r="B4550" s="372" t="str">
        <f t="shared" si="1668"/>
        <v>Solar</v>
      </c>
      <c r="C4550" s="375" t="str">
        <f t="shared" si="1664"/>
        <v>Inbetriebnahme 07/2013</v>
      </c>
      <c r="D4550" s="372" t="str">
        <f t="shared" si="1669"/>
        <v>Freiflächenanlage 0 - 10 MW</v>
      </c>
      <c r="E4550" s="372"/>
      <c r="F4550" s="449">
        <f t="shared" si="1665"/>
        <v>10.44</v>
      </c>
      <c r="G4550" s="525">
        <v>10.44</v>
      </c>
      <c r="H4550" s="374">
        <f t="shared" si="1657"/>
        <v>8.35</v>
      </c>
      <c r="I4550" s="699"/>
      <c r="J4550" s="669" t="s">
        <v>5805</v>
      </c>
      <c r="K4550" s="15"/>
      <c r="M4550" s="324"/>
      <c r="N4550" s="281"/>
      <c r="O4550" s="333" t="str">
        <f t="shared" si="1666"/>
        <v>Jul13</v>
      </c>
      <c r="P4550" s="344">
        <v>1.7999999999999999E-2</v>
      </c>
      <c r="Q4550" s="327">
        <f t="shared" si="1667"/>
        <v>10.435417065193697</v>
      </c>
      <c r="R4550" s="12"/>
      <c r="S4550" s="12"/>
      <c r="T4550" s="12"/>
      <c r="U4550" s="12"/>
      <c r="V4550" s="12"/>
      <c r="W4550" s="12"/>
      <c r="X4550" s="12"/>
      <c r="Y4550" s="12"/>
      <c r="Z4550" s="12"/>
      <c r="AA4550" s="12"/>
    </row>
    <row r="4551" spans="1:27" x14ac:dyDescent="0.25">
      <c r="A4551" s="615" t="s">
        <v>4667</v>
      </c>
      <c r="B4551" s="372" t="str">
        <f t="shared" si="1668"/>
        <v>Solar</v>
      </c>
      <c r="C4551" s="375" t="str">
        <f t="shared" si="1664"/>
        <v>Inbetriebnahme 08/2013</v>
      </c>
      <c r="D4551" s="372" t="str">
        <f t="shared" si="1669"/>
        <v>Freiflächenanlage 0 - 10 MW</v>
      </c>
      <c r="E4551" s="372"/>
      <c r="F4551" s="449">
        <f t="shared" si="1665"/>
        <v>10.25</v>
      </c>
      <c r="G4551" s="525">
        <v>10.25</v>
      </c>
      <c r="H4551" s="374">
        <f t="shared" si="1657"/>
        <v>8.1999999999999993</v>
      </c>
      <c r="I4551" s="699"/>
      <c r="J4551" s="669" t="s">
        <v>5805</v>
      </c>
      <c r="K4551" s="15"/>
      <c r="M4551" s="324"/>
      <c r="N4551" s="281"/>
      <c r="O4551" s="333" t="str">
        <f t="shared" si="1666"/>
        <v>Aug13</v>
      </c>
      <c r="P4551" s="344">
        <v>1.7999999999999999E-2</v>
      </c>
      <c r="Q4551" s="327">
        <f t="shared" si="1667"/>
        <v>10.24757955802021</v>
      </c>
      <c r="R4551" s="12"/>
      <c r="S4551" s="12"/>
      <c r="T4551" s="12"/>
      <c r="U4551" s="12"/>
      <c r="V4551" s="12"/>
      <c r="W4551" s="12"/>
      <c r="X4551" s="12"/>
      <c r="Y4551" s="12"/>
      <c r="Z4551" s="12"/>
      <c r="AA4551" s="12"/>
    </row>
    <row r="4552" spans="1:27" x14ac:dyDescent="0.25">
      <c r="A4552" s="615" t="s">
        <v>4668</v>
      </c>
      <c r="B4552" s="372" t="str">
        <f t="shared" si="1668"/>
        <v>Solar</v>
      </c>
      <c r="C4552" s="375" t="str">
        <f t="shared" si="1664"/>
        <v>Inbetriebnahme 09/2013</v>
      </c>
      <c r="D4552" s="372" t="str">
        <f t="shared" si="1669"/>
        <v>Freiflächenanlage 0 - 10 MW</v>
      </c>
      <c r="E4552" s="372"/>
      <c r="F4552" s="449">
        <f t="shared" si="1665"/>
        <v>10.06</v>
      </c>
      <c r="G4552" s="525">
        <v>10.06</v>
      </c>
      <c r="H4552" s="374">
        <f t="shared" si="1657"/>
        <v>8.0500000000000007</v>
      </c>
      <c r="I4552" s="699"/>
      <c r="J4552" s="669" t="s">
        <v>5805</v>
      </c>
      <c r="K4552" s="15"/>
      <c r="M4552" s="324"/>
      <c r="N4552" s="281"/>
      <c r="O4552" s="333" t="str">
        <f t="shared" si="1666"/>
        <v>Sep13</v>
      </c>
      <c r="P4552" s="344">
        <v>1.7999999999999999E-2</v>
      </c>
      <c r="Q4552" s="327">
        <f t="shared" si="1667"/>
        <v>10.063123125975846</v>
      </c>
      <c r="R4552" s="12"/>
      <c r="S4552" s="12"/>
      <c r="T4552" s="12"/>
      <c r="U4552" s="12"/>
      <c r="V4552" s="12"/>
      <c r="W4552" s="12"/>
      <c r="X4552" s="12"/>
      <c r="Y4552" s="12"/>
      <c r="Z4552" s="12"/>
      <c r="AA4552" s="12"/>
    </row>
    <row r="4553" spans="1:27" x14ac:dyDescent="0.25">
      <c r="A4553" s="615" t="s">
        <v>4669</v>
      </c>
      <c r="B4553" s="372" t="str">
        <f t="shared" si="1668"/>
        <v>Solar</v>
      </c>
      <c r="C4553" s="375" t="str">
        <f t="shared" si="1664"/>
        <v>Inbetriebnahme 10/2013</v>
      </c>
      <c r="D4553" s="372" t="str">
        <f t="shared" si="1669"/>
        <v>Freiflächenanlage 0 - 10 MW</v>
      </c>
      <c r="E4553" s="372"/>
      <c r="F4553" s="449">
        <f t="shared" si="1665"/>
        <v>9.8800000000000008</v>
      </c>
      <c r="G4553" s="525">
        <v>9.8800000000000008</v>
      </c>
      <c r="H4553" s="374">
        <f t="shared" si="1657"/>
        <v>7.9</v>
      </c>
      <c r="I4553" s="699"/>
      <c r="J4553" s="669" t="s">
        <v>5805</v>
      </c>
      <c r="K4553" s="15"/>
      <c r="M4553" s="324"/>
      <c r="N4553" s="281"/>
      <c r="O4553" s="333" t="str">
        <f t="shared" si="1666"/>
        <v>Okt13</v>
      </c>
      <c r="P4553" s="344">
        <v>1.7999999999999999E-2</v>
      </c>
      <c r="Q4553" s="327">
        <f t="shared" si="1667"/>
        <v>9.8819869097082798</v>
      </c>
      <c r="R4553" s="12"/>
      <c r="S4553" s="12"/>
      <c r="T4553" s="12"/>
      <c r="U4553" s="12"/>
      <c r="V4553" s="12"/>
      <c r="W4553" s="12"/>
      <c r="X4553" s="12"/>
      <c r="Y4553" s="12"/>
      <c r="Z4553" s="12"/>
      <c r="AA4553" s="12"/>
    </row>
    <row r="4554" spans="1:27" x14ac:dyDescent="0.25">
      <c r="A4554" s="615" t="s">
        <v>4670</v>
      </c>
      <c r="B4554" s="372" t="str">
        <f t="shared" si="1668"/>
        <v>Solar</v>
      </c>
      <c r="C4554" s="375" t="str">
        <f t="shared" si="1664"/>
        <v>Inbetriebnahme 11/2013</v>
      </c>
      <c r="D4554" s="372" t="str">
        <f t="shared" si="1669"/>
        <v>Freiflächenanlage 0 - 10 MW</v>
      </c>
      <c r="E4554" s="372"/>
      <c r="F4554" s="449">
        <f t="shared" si="1665"/>
        <v>9.74</v>
      </c>
      <c r="G4554" s="525">
        <v>9.74</v>
      </c>
      <c r="H4554" s="374">
        <f t="shared" si="1657"/>
        <v>7.79</v>
      </c>
      <c r="I4554" s="699"/>
      <c r="J4554" s="669" t="s">
        <v>5805</v>
      </c>
      <c r="K4554" s="15"/>
      <c r="M4554" s="324"/>
      <c r="N4554" s="281"/>
      <c r="O4554" s="333" t="str">
        <f t="shared" si="1666"/>
        <v>Nov13</v>
      </c>
      <c r="P4554" s="344">
        <v>1.4E-2</v>
      </c>
      <c r="Q4554" s="327">
        <f t="shared" si="1667"/>
        <v>9.743639092972364</v>
      </c>
      <c r="R4554" s="328"/>
      <c r="S4554" s="12"/>
      <c r="T4554" s="12"/>
      <c r="U4554" s="12"/>
      <c r="V4554" s="12"/>
      <c r="W4554" s="12"/>
      <c r="X4554" s="12"/>
    </row>
    <row r="4555" spans="1:27" x14ac:dyDescent="0.25">
      <c r="A4555" s="615" t="s">
        <v>4671</v>
      </c>
      <c r="B4555" s="372" t="str">
        <f t="shared" si="1668"/>
        <v>Solar</v>
      </c>
      <c r="C4555" s="375" t="str">
        <f t="shared" si="1664"/>
        <v>Inbetriebnahme 12/2013</v>
      </c>
      <c r="D4555" s="372" t="str">
        <f t="shared" si="1669"/>
        <v>Freiflächenanlage 0 - 10 MW</v>
      </c>
      <c r="E4555" s="372"/>
      <c r="F4555" s="449">
        <f t="shared" si="1665"/>
        <v>9.61</v>
      </c>
      <c r="G4555" s="525">
        <v>9.61</v>
      </c>
      <c r="H4555" s="374">
        <f t="shared" si="1657"/>
        <v>7.69</v>
      </c>
      <c r="I4555" s="699"/>
      <c r="J4555" s="669" t="s">
        <v>5805</v>
      </c>
      <c r="K4555" s="15"/>
      <c r="M4555" s="324"/>
      <c r="N4555" s="281"/>
      <c r="O4555" s="333" t="str">
        <f t="shared" si="1666"/>
        <v>Dez13</v>
      </c>
      <c r="P4555" s="344">
        <v>1.4E-2</v>
      </c>
      <c r="Q4555" s="327">
        <f t="shared" si="1667"/>
        <v>9.6072281456707511</v>
      </c>
      <c r="R4555" s="328"/>
      <c r="S4555" s="12"/>
    </row>
    <row r="4556" spans="1:27" x14ac:dyDescent="0.25">
      <c r="A4556" s="254"/>
      <c r="G4556" s="537"/>
      <c r="H4556" s="15" t="str">
        <f t="shared" si="1657"/>
        <v/>
      </c>
      <c r="J4556" s="669" t="s">
        <v>4180</v>
      </c>
      <c r="K4556" s="15"/>
      <c r="M4556">
        <v>2014</v>
      </c>
      <c r="N4556" s="281"/>
      <c r="O4556" s="137" t="s">
        <v>3902</v>
      </c>
      <c r="P4556" s="12" t="s">
        <v>3903</v>
      </c>
      <c r="Q4556" s="12" t="s">
        <v>3904</v>
      </c>
    </row>
    <row r="4557" spans="1:27" x14ac:dyDescent="0.25">
      <c r="A4557" s="615" t="s">
        <v>1682</v>
      </c>
      <c r="B4557" s="372" t="s">
        <v>740</v>
      </c>
      <c r="C4557" s="375" t="str">
        <f t="shared" ref="C4557:C4563" si="1670">"Inbetriebnahme "&amp;TEXT(DATEVALUE(RIGHT(A4557,5)),"MM/JJJJ")</f>
        <v>Inbetriebnahme 01/2014</v>
      </c>
      <c r="D4557" s="372" t="str">
        <f>$Q$4556</f>
        <v>Freiflächenanlage 0 - 10 MW</v>
      </c>
      <c r="E4557" s="372"/>
      <c r="F4557" s="449">
        <f t="shared" ref="F4557:F4563" si="1671">IF(P4557&lt;&gt;"",ROUND(HLOOKUP(D4557,$Q$4533:$Q$4678,MATCH(RIGHT($A4557,5),$O$4533:$O$4678,0),FALSE),2),"")</f>
        <v>9.4700000000000006</v>
      </c>
      <c r="G4557" s="525">
        <v>9.4700000000000006</v>
      </c>
      <c r="H4557" s="374">
        <f t="shared" si="1657"/>
        <v>7.58</v>
      </c>
      <c r="I4557" s="699"/>
      <c r="J4557" s="669" t="s">
        <v>5805</v>
      </c>
      <c r="K4557" s="15"/>
      <c r="N4557" s="281"/>
      <c r="O4557" s="325" t="s">
        <v>1683</v>
      </c>
      <c r="P4557" s="344">
        <v>1.4E-2</v>
      </c>
      <c r="Q4557" s="327">
        <f>IF(P4557&lt;&gt;"",Q4555*(100%-$P4557),"")</f>
        <v>9.4727269516313601</v>
      </c>
    </row>
    <row r="4558" spans="1:27" x14ac:dyDescent="0.25">
      <c r="A4558" s="615" t="s">
        <v>1684</v>
      </c>
      <c r="B4558" s="372" t="str">
        <f>B4557</f>
        <v>Solar</v>
      </c>
      <c r="C4558" s="375" t="str">
        <f t="shared" si="1670"/>
        <v>Inbetriebnahme 02/2014</v>
      </c>
      <c r="D4558" s="372" t="str">
        <f t="shared" ref="D4558:D4563" si="1672">D4557</f>
        <v>Freiflächenanlage 0 - 10 MW</v>
      </c>
      <c r="E4558" s="372"/>
      <c r="F4558" s="449">
        <f t="shared" si="1671"/>
        <v>9.3800000000000008</v>
      </c>
      <c r="G4558" s="525">
        <v>9.3800000000000008</v>
      </c>
      <c r="H4558" s="374">
        <f t="shared" si="1657"/>
        <v>7.5</v>
      </c>
      <c r="I4558" s="699"/>
      <c r="J4558" s="669" t="s">
        <v>5805</v>
      </c>
      <c r="K4558" s="15"/>
      <c r="N4558" s="281"/>
      <c r="O4558" s="333" t="str">
        <f t="shared" ref="O4558:O4563" si="1673">TEXT(DATE(YEAR(DATEVALUE(O4557)),MONTH(DATEVALUE(O4557))+1,1),"MMMJJ")</f>
        <v>Feb14</v>
      </c>
      <c r="P4558" s="344">
        <v>0.01</v>
      </c>
      <c r="Q4558" s="327">
        <f t="shared" ref="Q4558:Q4563" si="1674">IF(P4558&lt;&gt;"",Q4557*(100%-$P4558),"")</f>
        <v>9.3779996821150462</v>
      </c>
    </row>
    <row r="4559" spans="1:27" x14ac:dyDescent="0.25">
      <c r="A4559" s="615" t="s">
        <v>1685</v>
      </c>
      <c r="B4559" s="372" t="str">
        <f>B4558</f>
        <v>Solar</v>
      </c>
      <c r="C4559" s="375" t="str">
        <f t="shared" si="1670"/>
        <v>Inbetriebnahme 03/2014</v>
      </c>
      <c r="D4559" s="372" t="str">
        <f t="shared" si="1672"/>
        <v>Freiflächenanlage 0 - 10 MW</v>
      </c>
      <c r="E4559" s="372"/>
      <c r="F4559" s="449">
        <f t="shared" si="1671"/>
        <v>9.2799999999999994</v>
      </c>
      <c r="G4559" s="525">
        <v>9.2799999999999994</v>
      </c>
      <c r="H4559" s="374">
        <f t="shared" si="1657"/>
        <v>7.42</v>
      </c>
      <c r="I4559" s="699"/>
      <c r="J4559" s="669" t="s">
        <v>5805</v>
      </c>
      <c r="K4559" s="15"/>
      <c r="N4559" s="281"/>
      <c r="O4559" s="333" t="str">
        <f t="shared" si="1673"/>
        <v>Mrz14</v>
      </c>
      <c r="P4559" s="344">
        <v>0.01</v>
      </c>
      <c r="Q4559" s="327">
        <f t="shared" si="1674"/>
        <v>9.2842196852938965</v>
      </c>
    </row>
    <row r="4560" spans="1:27" x14ac:dyDescent="0.25">
      <c r="A4560" s="615" t="s">
        <v>1686</v>
      </c>
      <c r="B4560" s="372" t="s">
        <v>740</v>
      </c>
      <c r="C4560" s="375" t="str">
        <f t="shared" si="1670"/>
        <v>Inbetriebnahme 04/2014</v>
      </c>
      <c r="D4560" s="372" t="str">
        <f t="shared" si="1672"/>
        <v>Freiflächenanlage 0 - 10 MW</v>
      </c>
      <c r="E4560" s="372"/>
      <c r="F4560" s="449">
        <f t="shared" si="1671"/>
        <v>9.19</v>
      </c>
      <c r="G4560" s="525">
        <v>9.19</v>
      </c>
      <c r="H4560" s="374">
        <f t="shared" si="1657"/>
        <v>7.35</v>
      </c>
      <c r="I4560" s="699"/>
      <c r="J4560" s="669" t="s">
        <v>5805</v>
      </c>
      <c r="K4560" s="15"/>
      <c r="M4560" s="324"/>
      <c r="N4560" s="281"/>
      <c r="O4560" s="333" t="str">
        <f t="shared" si="1673"/>
        <v>Apr14</v>
      </c>
      <c r="P4560" s="344">
        <v>0.01</v>
      </c>
      <c r="Q4560" s="327">
        <f t="shared" si="1674"/>
        <v>9.191377488440958</v>
      </c>
    </row>
    <row r="4561" spans="1:33" x14ac:dyDescent="0.25">
      <c r="A4561" s="615" t="s">
        <v>1687</v>
      </c>
      <c r="B4561" s="372" t="str">
        <f>B4560</f>
        <v>Solar</v>
      </c>
      <c r="C4561" s="375" t="str">
        <f t="shared" si="1670"/>
        <v>Inbetriebnahme 05/2014</v>
      </c>
      <c r="D4561" s="372" t="str">
        <f t="shared" si="1672"/>
        <v>Freiflächenanlage 0 - 10 MW</v>
      </c>
      <c r="E4561" s="372"/>
      <c r="F4561" s="449">
        <f t="shared" si="1671"/>
        <v>9.1</v>
      </c>
      <c r="G4561" s="525">
        <v>9.1</v>
      </c>
      <c r="H4561" s="374">
        <f t="shared" si="1657"/>
        <v>7.28</v>
      </c>
      <c r="I4561" s="699"/>
      <c r="J4561" s="669" t="s">
        <v>5805</v>
      </c>
      <c r="K4561" s="15"/>
      <c r="M4561" s="324"/>
      <c r="N4561" s="281"/>
      <c r="O4561" s="333" t="str">
        <f t="shared" si="1673"/>
        <v>Mai14</v>
      </c>
      <c r="P4561" s="344">
        <v>0.01</v>
      </c>
      <c r="Q4561" s="327">
        <f t="shared" si="1674"/>
        <v>9.099463713556549</v>
      </c>
    </row>
    <row r="4562" spans="1:33" x14ac:dyDescent="0.25">
      <c r="A4562" s="615" t="s">
        <v>1688</v>
      </c>
      <c r="B4562" s="372" t="str">
        <f>B4561</f>
        <v>Solar</v>
      </c>
      <c r="C4562" s="375" t="str">
        <f t="shared" si="1670"/>
        <v>Inbetriebnahme 06/2014</v>
      </c>
      <c r="D4562" s="372" t="str">
        <f t="shared" si="1672"/>
        <v>Freiflächenanlage 0 - 10 MW</v>
      </c>
      <c r="E4562" s="372"/>
      <c r="F4562" s="449">
        <f t="shared" si="1671"/>
        <v>9.01</v>
      </c>
      <c r="G4562" s="525">
        <v>9.01</v>
      </c>
      <c r="H4562" s="374">
        <f t="shared" si="1657"/>
        <v>7.21</v>
      </c>
      <c r="I4562" s="699"/>
      <c r="J4562" s="669" t="s">
        <v>5805</v>
      </c>
      <c r="K4562" s="15"/>
      <c r="M4562" s="324"/>
      <c r="N4562" s="281"/>
      <c r="O4562" s="333" t="str">
        <f t="shared" si="1673"/>
        <v>Jun14</v>
      </c>
      <c r="P4562" s="344">
        <v>0.01</v>
      </c>
      <c r="Q4562" s="327">
        <f t="shared" si="1674"/>
        <v>9.0084690764209832</v>
      </c>
    </row>
    <row r="4563" spans="1:33" s="12" customFormat="1" x14ac:dyDescent="0.25">
      <c r="A4563" s="615" t="s">
        <v>1689</v>
      </c>
      <c r="B4563" s="372" t="str">
        <f>B4562</f>
        <v>Solar</v>
      </c>
      <c r="C4563" s="375" t="str">
        <f t="shared" si="1670"/>
        <v>Inbetriebnahme 07/2014</v>
      </c>
      <c r="D4563" s="372" t="str">
        <f t="shared" si="1672"/>
        <v>Freiflächenanlage 0 - 10 MW</v>
      </c>
      <c r="E4563" s="372"/>
      <c r="F4563" s="449">
        <f t="shared" si="1671"/>
        <v>8.92</v>
      </c>
      <c r="G4563" s="525">
        <v>8.92</v>
      </c>
      <c r="H4563" s="374">
        <f t="shared" si="1657"/>
        <v>7.14</v>
      </c>
      <c r="I4563" s="699"/>
      <c r="J4563" s="669" t="s">
        <v>5805</v>
      </c>
      <c r="L4563" s="269"/>
      <c r="M4563" s="324"/>
      <c r="N4563" s="281"/>
      <c r="O4563" s="333" t="str">
        <f t="shared" si="1673"/>
        <v>Jul14</v>
      </c>
      <c r="P4563" s="344">
        <v>0.01</v>
      </c>
      <c r="Q4563" s="327">
        <f t="shared" si="1674"/>
        <v>8.9183843856567737</v>
      </c>
      <c r="R4563"/>
      <c r="S4563"/>
      <c r="T4563"/>
      <c r="U4563"/>
      <c r="V4563"/>
      <c r="W4563"/>
      <c r="X4563"/>
    </row>
    <row r="4564" spans="1:33" s="259" customFormat="1" ht="20.25" customHeight="1" x14ac:dyDescent="0.25">
      <c r="A4564" s="616"/>
      <c r="B4564" s="2"/>
      <c r="C4564" s="1"/>
      <c r="D4564" s="2"/>
      <c r="E4564" s="1"/>
      <c r="F4564" s="442"/>
      <c r="G4564" s="13"/>
      <c r="H4564" s="13" t="str">
        <f t="shared" si="1657"/>
        <v/>
      </c>
      <c r="I4564" s="692"/>
      <c r="J4564" s="669" t="s">
        <v>4180</v>
      </c>
      <c r="K4564" s="258"/>
      <c r="L4564" s="362"/>
      <c r="M4564" s="49"/>
      <c r="N4564" s="41"/>
      <c r="O4564" s="188"/>
      <c r="P4564" s="188"/>
      <c r="Q4564" s="188"/>
      <c r="R4564" s="27"/>
      <c r="S4564" s="27"/>
      <c r="T4564" s="27"/>
      <c r="U4564" s="27"/>
      <c r="V4564" s="12"/>
      <c r="W4564" s="12"/>
      <c r="X4564" s="12"/>
      <c r="AG4564" s="262"/>
    </row>
    <row r="4565" spans="1:33" ht="15.75" x14ac:dyDescent="0.25">
      <c r="A4565" s="617"/>
      <c r="B4565" s="255"/>
      <c r="C4565" s="256"/>
      <c r="D4565" s="255"/>
      <c r="E4565" s="256"/>
      <c r="F4565" s="463"/>
      <c r="G4565" s="257"/>
      <c r="H4565" s="257" t="str">
        <f t="shared" si="1657"/>
        <v/>
      </c>
      <c r="I4565" s="717"/>
      <c r="J4565" s="669" t="s">
        <v>4180</v>
      </c>
      <c r="M4565" s="260" t="s">
        <v>107</v>
      </c>
      <c r="N4565" s="261"/>
      <c r="O4565" s="261"/>
      <c r="P4565" s="259"/>
      <c r="Q4565" s="259"/>
      <c r="R4565" s="259"/>
      <c r="S4565" s="259"/>
      <c r="T4565" s="259"/>
      <c r="U4565" s="259"/>
      <c r="V4565" s="259"/>
      <c r="W4565" s="259"/>
      <c r="X4565" s="259"/>
    </row>
    <row r="4566" spans="1:33" x14ac:dyDescent="0.25">
      <c r="A4566" s="608"/>
      <c r="B4566" s="2"/>
      <c r="C4566" s="34"/>
      <c r="D4566" s="34"/>
      <c r="E4566" s="2"/>
      <c r="F4566" s="445"/>
      <c r="G4566" s="14"/>
      <c r="H4566" s="14" t="str">
        <f t="shared" si="1657"/>
        <v/>
      </c>
      <c r="I4566" s="695"/>
      <c r="J4566" s="669" t="s">
        <v>4180</v>
      </c>
      <c r="N4566" s="137" t="s">
        <v>3902</v>
      </c>
      <c r="O4566" s="270" t="s">
        <v>5490</v>
      </c>
      <c r="P4566" t="s">
        <v>49</v>
      </c>
      <c r="Q4566" t="s">
        <v>50</v>
      </c>
    </row>
    <row r="4567" spans="1:33" x14ac:dyDescent="0.25">
      <c r="A4567" s="607" t="s">
        <v>111</v>
      </c>
      <c r="B4567" s="435" t="s">
        <v>740</v>
      </c>
      <c r="C4567" s="436" t="s">
        <v>108</v>
      </c>
      <c r="D4567" s="436" t="s">
        <v>3904</v>
      </c>
      <c r="E4567" s="437"/>
      <c r="F4567" s="450">
        <f>IF($O4567&lt;&gt;"",ROUND(Q4567,2),"")</f>
        <v>8.83</v>
      </c>
      <c r="G4567" s="450">
        <f>IF($O4567&lt;&gt;"",ROUND(P4567,2),"")</f>
        <v>9.23</v>
      </c>
      <c r="H4567" s="437">
        <f t="shared" si="1657"/>
        <v>7.38</v>
      </c>
      <c r="I4567" s="700"/>
      <c r="J4567" s="669" t="s">
        <v>5805</v>
      </c>
      <c r="M4567" s="127">
        <v>2014</v>
      </c>
      <c r="N4567" s="127" t="s">
        <v>114</v>
      </c>
      <c r="O4567" s="395" t="s">
        <v>123</v>
      </c>
      <c r="P4567" s="327">
        <v>9.23</v>
      </c>
      <c r="Q4567" s="327">
        <f>P4567-0.4</f>
        <v>8.83</v>
      </c>
      <c r="R4567" s="327"/>
    </row>
    <row r="4568" spans="1:33" x14ac:dyDescent="0.25">
      <c r="A4568" s="607" t="s">
        <v>112</v>
      </c>
      <c r="B4568" s="435" t="s">
        <v>740</v>
      </c>
      <c r="C4568" s="436" t="s">
        <v>109</v>
      </c>
      <c r="D4568" s="436" t="s">
        <v>3904</v>
      </c>
      <c r="E4568" s="437"/>
      <c r="F4568" s="450">
        <f>IF($O4568&lt;&gt;"",ROUND(Q4568,2),"")</f>
        <v>8.7899999999999991</v>
      </c>
      <c r="G4568" s="450">
        <f>IF($O4568&lt;&gt;"",ROUND(P4568,2),"")</f>
        <v>9.18</v>
      </c>
      <c r="H4568" s="437">
        <f t="shared" si="1657"/>
        <v>7.34</v>
      </c>
      <c r="I4568" s="700"/>
      <c r="J4568" s="669" t="s">
        <v>5805</v>
      </c>
      <c r="N4568" t="s">
        <v>115</v>
      </c>
      <c r="O4568" s="568">
        <v>5.0000000000000001E-3</v>
      </c>
      <c r="P4568" s="327">
        <f t="shared" ref="P4568:Q4571" si="1675">IF($O4568&lt;&gt;"",(1-$O4568)*P4567,"")</f>
        <v>9.1838499999999996</v>
      </c>
      <c r="Q4568" s="327">
        <f t="shared" si="1675"/>
        <v>8.7858499999999999</v>
      </c>
      <c r="R4568" s="327"/>
    </row>
    <row r="4569" spans="1:33" x14ac:dyDescent="0.25">
      <c r="A4569" s="607" t="s">
        <v>113</v>
      </c>
      <c r="B4569" s="435" t="s">
        <v>740</v>
      </c>
      <c r="C4569" s="436" t="s">
        <v>110</v>
      </c>
      <c r="D4569" s="436" t="s">
        <v>3904</v>
      </c>
      <c r="E4569" s="437"/>
      <c r="F4569" s="450">
        <f>IF($O4569&lt;&gt;"",ROUND(Q4569,2),"")</f>
        <v>8.76</v>
      </c>
      <c r="G4569" s="450">
        <f>IF($O4569&lt;&gt;"",ROUND(P4569,2),"")</f>
        <v>9.16</v>
      </c>
      <c r="H4569" s="437">
        <f t="shared" si="1657"/>
        <v>7.33</v>
      </c>
      <c r="I4569" s="700"/>
      <c r="J4569" s="669" t="s">
        <v>5805</v>
      </c>
      <c r="N4569" t="s">
        <v>116</v>
      </c>
      <c r="O4569" s="568">
        <v>2.5000000000000001E-3</v>
      </c>
      <c r="P4569" s="327">
        <f t="shared" si="1675"/>
        <v>9.1608903749999993</v>
      </c>
      <c r="Q4569" s="327">
        <f t="shared" si="1675"/>
        <v>8.763885375000001</v>
      </c>
      <c r="R4569" s="327"/>
    </row>
    <row r="4570" spans="1:33" x14ac:dyDescent="0.25">
      <c r="A4570" s="607" t="s">
        <v>119</v>
      </c>
      <c r="B4570" s="435" t="s">
        <v>740</v>
      </c>
      <c r="C4570" s="436" t="s">
        <v>117</v>
      </c>
      <c r="D4570" s="436" t="s">
        <v>3904</v>
      </c>
      <c r="E4570" s="437"/>
      <c r="F4570" s="450">
        <f>IF($O4570&lt;&gt;"",ROUND(Q4570,2),"")</f>
        <v>8.74</v>
      </c>
      <c r="G4570" s="450">
        <f>IF($O4570&lt;&gt;"",ROUND(P4570,2),"")</f>
        <v>9.14</v>
      </c>
      <c r="H4570" s="437">
        <f t="shared" si="1657"/>
        <v>7.31</v>
      </c>
      <c r="I4570" s="700"/>
      <c r="J4570" s="669" t="s">
        <v>5805</v>
      </c>
      <c r="N4570" t="s">
        <v>121</v>
      </c>
      <c r="O4570" s="568">
        <v>2.5000000000000001E-3</v>
      </c>
      <c r="P4570" s="327">
        <f t="shared" si="1675"/>
        <v>9.1379881490624992</v>
      </c>
      <c r="Q4570" s="327">
        <f t="shared" si="1675"/>
        <v>8.7419756615625008</v>
      </c>
      <c r="R4570" s="327"/>
    </row>
    <row r="4571" spans="1:33" x14ac:dyDescent="0.25">
      <c r="A4571" s="607" t="s">
        <v>120</v>
      </c>
      <c r="B4571" s="435" t="s">
        <v>740</v>
      </c>
      <c r="C4571" s="436" t="s">
        <v>118</v>
      </c>
      <c r="D4571" s="436" t="s">
        <v>3904</v>
      </c>
      <c r="E4571" s="437"/>
      <c r="F4571" s="450">
        <f>IF($O4571&lt;&gt;"",ROUND(Q4571,2),"")</f>
        <v>8.7200000000000006</v>
      </c>
      <c r="G4571" s="450">
        <f>IF($O4571&lt;&gt;"",ROUND(P4571,2),"")</f>
        <v>9.1199999999999992</v>
      </c>
      <c r="H4571" s="437">
        <f t="shared" si="1657"/>
        <v>7.3</v>
      </c>
      <c r="I4571" s="700"/>
      <c r="J4571" s="669" t="s">
        <v>5805</v>
      </c>
      <c r="N4571" t="s">
        <v>122</v>
      </c>
      <c r="O4571" s="568">
        <v>2.5000000000000001E-3</v>
      </c>
      <c r="P4571" s="327">
        <f t="shared" si="1675"/>
        <v>9.1151431786898431</v>
      </c>
      <c r="Q4571" s="327">
        <f t="shared" si="1675"/>
        <v>8.7201207224085948</v>
      </c>
      <c r="R4571" s="327"/>
    </row>
    <row r="4572" spans="1:33" x14ac:dyDescent="0.25">
      <c r="A4572" s="608"/>
      <c r="B4572" s="2"/>
      <c r="C4572" s="34"/>
      <c r="D4572" s="34"/>
      <c r="E4572" s="2"/>
      <c r="F4572" s="445"/>
      <c r="G4572" s="14"/>
      <c r="H4572" s="14" t="str">
        <f t="shared" si="1657"/>
        <v/>
      </c>
      <c r="I4572" s="695"/>
      <c r="J4572" s="669" t="s">
        <v>4180</v>
      </c>
      <c r="N4572" s="137" t="s">
        <v>3902</v>
      </c>
      <c r="O4572" s="270" t="s">
        <v>5490</v>
      </c>
      <c r="P4572" t="s">
        <v>49</v>
      </c>
      <c r="Q4572" t="s">
        <v>50</v>
      </c>
    </row>
    <row r="4573" spans="1:33" x14ac:dyDescent="0.25">
      <c r="A4573" s="607" t="s">
        <v>361</v>
      </c>
      <c r="B4573" s="435" t="s">
        <v>740</v>
      </c>
      <c r="C4573" s="436" t="s">
        <v>363</v>
      </c>
      <c r="D4573" s="436" t="s">
        <v>3904</v>
      </c>
      <c r="E4573" s="437"/>
      <c r="F4573" s="450">
        <f t="shared" ref="F4573:F4584" si="1676">IF($O4573&lt;&gt;"",ROUND(Q4573,2),"")</f>
        <v>8.6999999999999993</v>
      </c>
      <c r="G4573" s="450">
        <f t="shared" ref="G4573:G4584" si="1677">IF($O4573&lt;&gt;"",ROUND(P4573,2),"")</f>
        <v>9.09</v>
      </c>
      <c r="H4573" s="437">
        <f t="shared" si="1657"/>
        <v>7.27</v>
      </c>
      <c r="I4573" s="700"/>
      <c r="J4573" s="669" t="s">
        <v>5805</v>
      </c>
      <c r="M4573" s="127">
        <v>2015</v>
      </c>
      <c r="N4573" s="570" t="s">
        <v>353</v>
      </c>
      <c r="O4573" s="568">
        <v>2.5000000000000001E-3</v>
      </c>
      <c r="P4573" s="23">
        <f>IF($O4573&lt;&gt;"",P4571*(100%-$O4573),"")</f>
        <v>9.0923553207431187</v>
      </c>
      <c r="Q4573" s="327">
        <f>IF($O4573&lt;&gt;"",(1-$O4573)*Q4571,"")</f>
        <v>8.6983204206025739</v>
      </c>
      <c r="R4573" s="327"/>
    </row>
    <row r="4574" spans="1:33" x14ac:dyDescent="0.25">
      <c r="A4574" s="607" t="s">
        <v>362</v>
      </c>
      <c r="B4574" s="435" t="s">
        <v>740</v>
      </c>
      <c r="C4574" s="436" t="s">
        <v>364</v>
      </c>
      <c r="D4574" s="436" t="s">
        <v>3904</v>
      </c>
      <c r="E4574" s="437"/>
      <c r="F4574" s="450">
        <f t="shared" si="1676"/>
        <v>8.68</v>
      </c>
      <c r="G4574" s="450">
        <f t="shared" si="1677"/>
        <v>9.07</v>
      </c>
      <c r="H4574" s="437">
        <f t="shared" si="1657"/>
        <v>7.26</v>
      </c>
      <c r="I4574" s="700"/>
      <c r="J4574" s="669" t="s">
        <v>5805</v>
      </c>
      <c r="M4574" s="413"/>
      <c r="N4574" s="333" t="str">
        <f t="shared" ref="N4574:N4584" si="1678">TEXT(DATE(YEAR(DATEVALUE(N4573)),MONTH(DATEVALUE(N4573))+1,1),"MMMJJ")</f>
        <v>Feb15</v>
      </c>
      <c r="O4574" s="568">
        <v>2.5000000000000001E-3</v>
      </c>
      <c r="P4574" s="23">
        <f t="shared" ref="P4574:P4584" si="1679">IF($O4574&lt;&gt;"",P4573*(100%-$O4574),"")</f>
        <v>9.0696244324412607</v>
      </c>
      <c r="Q4574" s="327">
        <f t="shared" ref="Q4574:Q4584" si="1680">IF($O4574&lt;&gt;"",(1-$O4574)*Q4573,"")</f>
        <v>8.6765746195510687</v>
      </c>
      <c r="R4574" s="327"/>
    </row>
    <row r="4575" spans="1:33" x14ac:dyDescent="0.25">
      <c r="A4575" s="607" t="s">
        <v>370</v>
      </c>
      <c r="B4575" s="435" t="s">
        <v>740</v>
      </c>
      <c r="C4575" s="436" t="s">
        <v>365</v>
      </c>
      <c r="D4575" s="436" t="s">
        <v>3904</v>
      </c>
      <c r="E4575" s="437"/>
      <c r="F4575" s="450">
        <f t="shared" si="1676"/>
        <v>8.65</v>
      </c>
      <c r="G4575" s="450">
        <f t="shared" si="1677"/>
        <v>9.0500000000000007</v>
      </c>
      <c r="H4575" s="437">
        <f t="shared" si="1657"/>
        <v>7.24</v>
      </c>
      <c r="I4575" s="700"/>
      <c r="J4575" s="669" t="s">
        <v>5805</v>
      </c>
      <c r="M4575" s="413"/>
      <c r="N4575" s="333" t="str">
        <f t="shared" si="1678"/>
        <v>Mrz15</v>
      </c>
      <c r="O4575" s="568">
        <v>2.5000000000000001E-3</v>
      </c>
      <c r="P4575" s="23">
        <f t="shared" si="1679"/>
        <v>9.0469503713601576</v>
      </c>
      <c r="Q4575" s="327">
        <f t="shared" si="1680"/>
        <v>8.6548831830021911</v>
      </c>
      <c r="R4575" s="327"/>
    </row>
    <row r="4576" spans="1:33" x14ac:dyDescent="0.25">
      <c r="A4576" s="607" t="s">
        <v>371</v>
      </c>
      <c r="B4576" s="435" t="s">
        <v>740</v>
      </c>
      <c r="C4576" s="436" t="s">
        <v>366</v>
      </c>
      <c r="D4576" s="436" t="s">
        <v>3904</v>
      </c>
      <c r="E4576" s="437"/>
      <c r="F4576" s="450">
        <f t="shared" si="1676"/>
        <v>8.6300000000000008</v>
      </c>
      <c r="G4576" s="450">
        <f t="shared" si="1677"/>
        <v>9.02</v>
      </c>
      <c r="H4576" s="437">
        <f t="shared" si="1657"/>
        <v>7.22</v>
      </c>
      <c r="I4576" s="700"/>
      <c r="J4576" s="669" t="s">
        <v>5805</v>
      </c>
      <c r="M4576" s="413"/>
      <c r="N4576" s="333" t="str">
        <f t="shared" si="1678"/>
        <v>Apr15</v>
      </c>
      <c r="O4576" s="568">
        <v>2.5000000000000001E-3</v>
      </c>
      <c r="P4576" s="23">
        <f t="shared" si="1679"/>
        <v>9.0243329954317577</v>
      </c>
      <c r="Q4576" s="327">
        <f t="shared" si="1680"/>
        <v>8.6332459750446855</v>
      </c>
      <c r="R4576" s="327"/>
    </row>
    <row r="4577" spans="1:18" x14ac:dyDescent="0.25">
      <c r="A4577" s="607" t="s">
        <v>372</v>
      </c>
      <c r="B4577" s="435" t="s">
        <v>740</v>
      </c>
      <c r="C4577" s="436" t="s">
        <v>367</v>
      </c>
      <c r="D4577" s="436" t="s">
        <v>3904</v>
      </c>
      <c r="E4577" s="437"/>
      <c r="F4577" s="450">
        <f t="shared" si="1676"/>
        <v>8.61</v>
      </c>
      <c r="G4577" s="450">
        <f t="shared" si="1677"/>
        <v>9</v>
      </c>
      <c r="H4577" s="437">
        <f t="shared" si="1657"/>
        <v>7.2</v>
      </c>
      <c r="I4577" s="700"/>
      <c r="J4577" s="669" t="s">
        <v>5805</v>
      </c>
      <c r="M4577" s="413"/>
      <c r="N4577" s="333" t="str">
        <f t="shared" si="1678"/>
        <v>Mai15</v>
      </c>
      <c r="O4577" s="568">
        <v>2.5000000000000001E-3</v>
      </c>
      <c r="P4577" s="23">
        <f t="shared" si="1679"/>
        <v>9.0017721629431779</v>
      </c>
      <c r="Q4577" s="327">
        <f t="shared" si="1680"/>
        <v>8.6116628601070744</v>
      </c>
      <c r="R4577" s="327"/>
    </row>
    <row r="4578" spans="1:18" x14ac:dyDescent="0.25">
      <c r="A4578" s="607" t="s">
        <v>373</v>
      </c>
      <c r="B4578" s="435" t="s">
        <v>740</v>
      </c>
      <c r="C4578" s="436" t="s">
        <v>368</v>
      </c>
      <c r="D4578" s="436" t="s">
        <v>3904</v>
      </c>
      <c r="E4578" s="437"/>
      <c r="F4578" s="450">
        <f t="shared" si="1676"/>
        <v>8.59</v>
      </c>
      <c r="G4578" s="450">
        <f t="shared" si="1677"/>
        <v>8.98</v>
      </c>
      <c r="H4578" s="437">
        <f t="shared" si="1657"/>
        <v>7.18</v>
      </c>
      <c r="I4578" s="700"/>
      <c r="J4578" s="669" t="s">
        <v>5805</v>
      </c>
      <c r="M4578" s="413"/>
      <c r="N4578" s="333" t="str">
        <f t="shared" si="1678"/>
        <v>Jun15</v>
      </c>
      <c r="O4578" s="568">
        <v>2.5000000000000001E-3</v>
      </c>
      <c r="P4578" s="23">
        <f t="shared" si="1679"/>
        <v>8.9792677325358206</v>
      </c>
      <c r="Q4578" s="327">
        <f t="shared" si="1680"/>
        <v>8.5901337029568072</v>
      </c>
      <c r="R4578" s="327"/>
    </row>
    <row r="4579" spans="1:18" x14ac:dyDescent="0.25">
      <c r="A4579" s="607" t="s">
        <v>374</v>
      </c>
      <c r="B4579" s="435" t="s">
        <v>740</v>
      </c>
      <c r="C4579" s="436" t="s">
        <v>369</v>
      </c>
      <c r="D4579" s="436" t="s">
        <v>3904</v>
      </c>
      <c r="E4579" s="437"/>
      <c r="F4579" s="450">
        <f t="shared" si="1676"/>
        <v>8.57</v>
      </c>
      <c r="G4579" s="450">
        <f t="shared" si="1677"/>
        <v>8.9600000000000009</v>
      </c>
      <c r="H4579" s="437">
        <f t="shared" si="1657"/>
        <v>7.17</v>
      </c>
      <c r="I4579" s="700"/>
      <c r="J4579" s="669" t="s">
        <v>5805</v>
      </c>
      <c r="M4579" s="413"/>
      <c r="N4579" s="333" t="str">
        <f t="shared" si="1678"/>
        <v>Jul15</v>
      </c>
      <c r="O4579" s="568">
        <v>2.5000000000000001E-3</v>
      </c>
      <c r="P4579" s="23">
        <f t="shared" si="1679"/>
        <v>8.9568195632044816</v>
      </c>
      <c r="Q4579" s="327">
        <f t="shared" si="1680"/>
        <v>8.5686583686994151</v>
      </c>
      <c r="R4579" s="327"/>
    </row>
    <row r="4580" spans="1:18" x14ac:dyDescent="0.25">
      <c r="A4580" s="607" t="s">
        <v>375</v>
      </c>
      <c r="B4580" s="435" t="s">
        <v>740</v>
      </c>
      <c r="C4580" s="436" t="s">
        <v>344</v>
      </c>
      <c r="D4580" s="436" t="s">
        <v>3904</v>
      </c>
      <c r="E4580" s="437"/>
      <c r="F4580" s="450">
        <f t="shared" si="1676"/>
        <v>8.5500000000000007</v>
      </c>
      <c r="G4580" s="450">
        <f t="shared" si="1677"/>
        <v>8.93</v>
      </c>
      <c r="H4580" s="437">
        <f t="shared" si="1657"/>
        <v>7.14</v>
      </c>
      <c r="I4580" s="700"/>
      <c r="J4580" s="669" t="s">
        <v>5805</v>
      </c>
      <c r="M4580" s="127"/>
      <c r="N4580" s="333" t="str">
        <f t="shared" si="1678"/>
        <v>Aug15</v>
      </c>
      <c r="O4580" s="568">
        <v>2.5000000000000001E-3</v>
      </c>
      <c r="P4580" s="23">
        <f t="shared" si="1679"/>
        <v>8.9344275142964715</v>
      </c>
      <c r="Q4580" s="327">
        <f t="shared" si="1680"/>
        <v>8.5472367227776669</v>
      </c>
      <c r="R4580" s="327"/>
    </row>
    <row r="4581" spans="1:18" x14ac:dyDescent="0.25">
      <c r="A4581" s="607" t="s">
        <v>376</v>
      </c>
      <c r="B4581" s="435" t="s">
        <v>740</v>
      </c>
      <c r="C4581" s="436" t="s">
        <v>346</v>
      </c>
      <c r="D4581" s="436" t="s">
        <v>5626</v>
      </c>
      <c r="E4581" s="437"/>
      <c r="F4581" s="450">
        <f t="shared" si="1676"/>
        <v>8.5299999999999994</v>
      </c>
      <c r="G4581" s="450">
        <f t="shared" si="1677"/>
        <v>8.91</v>
      </c>
      <c r="H4581" s="437">
        <f t="shared" si="1657"/>
        <v>7.13</v>
      </c>
      <c r="I4581" s="700"/>
      <c r="J4581" s="669" t="s">
        <v>5805</v>
      </c>
      <c r="N4581" s="333" t="str">
        <f t="shared" si="1678"/>
        <v>Sep15</v>
      </c>
      <c r="O4581" s="568">
        <v>2.5000000000000001E-3</v>
      </c>
      <c r="P4581" s="23">
        <f t="shared" si="1679"/>
        <v>8.9120914455107307</v>
      </c>
      <c r="Q4581" s="327">
        <f t="shared" si="1680"/>
        <v>8.5258686309707237</v>
      </c>
      <c r="R4581" s="327"/>
    </row>
    <row r="4582" spans="1:18" x14ac:dyDescent="0.25">
      <c r="A4582" s="607" t="s">
        <v>377</v>
      </c>
      <c r="B4582" s="435" t="s">
        <v>740</v>
      </c>
      <c r="C4582" s="436" t="s">
        <v>348</v>
      </c>
      <c r="D4582" s="436" t="s">
        <v>5626</v>
      </c>
      <c r="E4582" s="437"/>
      <c r="F4582" s="450">
        <f t="shared" si="1676"/>
        <v>8.5299999999999994</v>
      </c>
      <c r="G4582" s="450">
        <f t="shared" si="1677"/>
        <v>8.91</v>
      </c>
      <c r="H4582" s="437">
        <f t="shared" si="1657"/>
        <v>7.13</v>
      </c>
      <c r="I4582" s="700"/>
      <c r="J4582" s="669" t="s">
        <v>5805</v>
      </c>
      <c r="N4582" s="333" t="str">
        <f t="shared" si="1678"/>
        <v>Okt15</v>
      </c>
      <c r="O4582" s="568">
        <v>0</v>
      </c>
      <c r="P4582" s="23">
        <f t="shared" si="1679"/>
        <v>8.9120914455107307</v>
      </c>
      <c r="Q4582" s="327">
        <f t="shared" si="1680"/>
        <v>8.5258686309707237</v>
      </c>
      <c r="R4582" s="327"/>
    </row>
    <row r="4583" spans="1:18" x14ac:dyDescent="0.25">
      <c r="A4583" s="607" t="s">
        <v>378</v>
      </c>
      <c r="B4583" s="435" t="s">
        <v>740</v>
      </c>
      <c r="C4583" s="436" t="s">
        <v>350</v>
      </c>
      <c r="D4583" s="436" t="s">
        <v>5626</v>
      </c>
      <c r="E4583" s="437"/>
      <c r="F4583" s="450">
        <f t="shared" si="1676"/>
        <v>8.5299999999999994</v>
      </c>
      <c r="G4583" s="450">
        <f t="shared" si="1677"/>
        <v>8.91</v>
      </c>
      <c r="H4583" s="437">
        <f t="shared" si="1657"/>
        <v>7.13</v>
      </c>
      <c r="I4583" s="700"/>
      <c r="J4583" s="669" t="s">
        <v>5805</v>
      </c>
      <c r="N4583" s="333" t="str">
        <f t="shared" si="1678"/>
        <v>Nov15</v>
      </c>
      <c r="O4583" s="568">
        <v>0</v>
      </c>
      <c r="P4583" s="23">
        <f t="shared" si="1679"/>
        <v>8.9120914455107307</v>
      </c>
      <c r="Q4583" s="327">
        <f t="shared" si="1680"/>
        <v>8.5258686309707237</v>
      </c>
      <c r="R4583" s="327"/>
    </row>
    <row r="4584" spans="1:18" x14ac:dyDescent="0.25">
      <c r="A4584" s="607" t="s">
        <v>379</v>
      </c>
      <c r="B4584" s="435" t="s">
        <v>740</v>
      </c>
      <c r="C4584" s="436" t="s">
        <v>352</v>
      </c>
      <c r="D4584" s="436" t="s">
        <v>5626</v>
      </c>
      <c r="E4584" s="437"/>
      <c r="F4584" s="450">
        <f t="shared" si="1676"/>
        <v>8.5299999999999994</v>
      </c>
      <c r="G4584" s="450">
        <f t="shared" si="1677"/>
        <v>8.91</v>
      </c>
      <c r="H4584" s="437">
        <f t="shared" si="1657"/>
        <v>7.13</v>
      </c>
      <c r="I4584" s="700"/>
      <c r="J4584" s="669" t="s">
        <v>5805</v>
      </c>
      <c r="N4584" s="333" t="str">
        <f t="shared" si="1678"/>
        <v>Dez15</v>
      </c>
      <c r="O4584" s="568">
        <v>0</v>
      </c>
      <c r="P4584" s="23">
        <f t="shared" si="1679"/>
        <v>8.9120914455107307</v>
      </c>
      <c r="Q4584" s="327">
        <f t="shared" si="1680"/>
        <v>8.5258686309707237</v>
      </c>
      <c r="R4584" s="327"/>
    </row>
    <row r="4585" spans="1:18" x14ac:dyDescent="0.25">
      <c r="A4585" s="608"/>
      <c r="B4585" s="2"/>
      <c r="C4585" s="34"/>
      <c r="D4585" s="34"/>
      <c r="E4585" s="2"/>
      <c r="F4585" s="445"/>
      <c r="G4585" s="14"/>
      <c r="H4585" s="14" t="str">
        <f t="shared" si="1657"/>
        <v/>
      </c>
      <c r="I4585" s="695"/>
      <c r="J4585" s="669" t="s">
        <v>4180</v>
      </c>
      <c r="N4585" s="137" t="s">
        <v>3902</v>
      </c>
      <c r="O4585" s="270" t="s">
        <v>5490</v>
      </c>
      <c r="P4585" s="15" t="s">
        <v>49</v>
      </c>
      <c r="Q4585" t="s">
        <v>50</v>
      </c>
    </row>
    <row r="4586" spans="1:18" x14ac:dyDescent="0.25">
      <c r="A4586" s="607" t="s">
        <v>5734</v>
      </c>
      <c r="B4586" s="435" t="s">
        <v>740</v>
      </c>
      <c r="C4586" s="436" t="s">
        <v>5735</v>
      </c>
      <c r="D4586" s="436" t="s">
        <v>5626</v>
      </c>
      <c r="E4586" s="437"/>
      <c r="F4586" s="450">
        <f t="shared" ref="F4586:F4597" si="1681">IF($O4586&lt;&gt;"",ROUND(Q4586,2),"")</f>
        <v>8.5299999999999994</v>
      </c>
      <c r="G4586" s="450">
        <f t="shared" ref="G4586:G4597" si="1682">IF($O4586&lt;&gt;"",ROUND(P4586,2),"")</f>
        <v>8.91</v>
      </c>
      <c r="H4586" s="437">
        <f t="shared" si="1657"/>
        <v>7.13</v>
      </c>
      <c r="I4586" s="700"/>
      <c r="J4586" s="669" t="s">
        <v>5805</v>
      </c>
      <c r="M4586" s="127">
        <v>2016</v>
      </c>
      <c r="N4586" s="570" t="s">
        <v>5721</v>
      </c>
      <c r="O4586" s="568">
        <v>0</v>
      </c>
      <c r="P4586" s="23">
        <f>IF($O4586&lt;&gt;"",P4584*(100%-$O4586),"")</f>
        <v>8.9120914455107307</v>
      </c>
      <c r="Q4586" s="327">
        <f>IF($O4586&lt;&gt;"",(1-$O4586)*Q4584,"")</f>
        <v>8.5258686309707237</v>
      </c>
      <c r="R4586" s="327"/>
    </row>
    <row r="4587" spans="1:18" x14ac:dyDescent="0.25">
      <c r="A4587" s="607" t="s">
        <v>5736</v>
      </c>
      <c r="B4587" s="435" t="s">
        <v>740</v>
      </c>
      <c r="C4587" s="436" t="s">
        <v>5737</v>
      </c>
      <c r="D4587" s="436" t="s">
        <v>5626</v>
      </c>
      <c r="E4587" s="437"/>
      <c r="F4587" s="450">
        <f t="shared" si="1681"/>
        <v>8.5299999999999994</v>
      </c>
      <c r="G4587" s="450">
        <f t="shared" si="1682"/>
        <v>8.91</v>
      </c>
      <c r="H4587" s="437">
        <f t="shared" si="1657"/>
        <v>7.13</v>
      </c>
      <c r="I4587" s="700"/>
      <c r="J4587" s="669" t="s">
        <v>5805</v>
      </c>
      <c r="M4587" s="413"/>
      <c r="N4587" s="333" t="str">
        <f t="shared" ref="N4587:N4597" si="1683">TEXT(DATE(YEAR(DATEVALUE(N4586)),MONTH(DATEVALUE(N4586))+1,1),"MMMJJ")</f>
        <v>Feb16</v>
      </c>
      <c r="O4587" s="568">
        <v>0</v>
      </c>
      <c r="P4587" s="23">
        <f t="shared" ref="P4587:P4597" si="1684">IF($O4587&lt;&gt;"",P4586*(100%-$O4587),"")</f>
        <v>8.9120914455107307</v>
      </c>
      <c r="Q4587" s="327">
        <f t="shared" ref="Q4587:Q4597" si="1685">IF($O4587&lt;&gt;"",(1-$O4587)*Q4586,"")</f>
        <v>8.5258686309707237</v>
      </c>
      <c r="R4587" s="327"/>
    </row>
    <row r="4588" spans="1:18" x14ac:dyDescent="0.25">
      <c r="A4588" s="607" t="s">
        <v>5738</v>
      </c>
      <c r="B4588" s="435" t="s">
        <v>740</v>
      </c>
      <c r="C4588" s="436" t="s">
        <v>5739</v>
      </c>
      <c r="D4588" s="436" t="s">
        <v>5626</v>
      </c>
      <c r="E4588" s="437"/>
      <c r="F4588" s="450">
        <f t="shared" si="1681"/>
        <v>8.5299999999999994</v>
      </c>
      <c r="G4588" s="450">
        <f t="shared" si="1682"/>
        <v>8.91</v>
      </c>
      <c r="H4588" s="437">
        <f t="shared" si="1657"/>
        <v>7.13</v>
      </c>
      <c r="I4588" s="700"/>
      <c r="J4588" s="669" t="s">
        <v>5805</v>
      </c>
      <c r="M4588" s="413"/>
      <c r="N4588" s="333" t="str">
        <f t="shared" si="1683"/>
        <v>Mrz16</v>
      </c>
      <c r="O4588" s="568">
        <v>0</v>
      </c>
      <c r="P4588" s="23">
        <f t="shared" si="1684"/>
        <v>8.9120914455107307</v>
      </c>
      <c r="Q4588" s="327">
        <f t="shared" si="1685"/>
        <v>8.5258686309707237</v>
      </c>
      <c r="R4588" s="327"/>
    </row>
    <row r="4589" spans="1:18" x14ac:dyDescent="0.25">
      <c r="A4589" s="607" t="s">
        <v>5740</v>
      </c>
      <c r="B4589" s="435" t="s">
        <v>740</v>
      </c>
      <c r="C4589" s="436" t="s">
        <v>5741</v>
      </c>
      <c r="D4589" s="436" t="s">
        <v>5626</v>
      </c>
      <c r="E4589" s="437"/>
      <c r="F4589" s="450">
        <f t="shared" si="1681"/>
        <v>8.5299999999999994</v>
      </c>
      <c r="G4589" s="450">
        <f t="shared" si="1682"/>
        <v>8.91</v>
      </c>
      <c r="H4589" s="437">
        <f t="shared" si="1657"/>
        <v>7.13</v>
      </c>
      <c r="I4589" s="700"/>
      <c r="J4589" s="669" t="s">
        <v>5805</v>
      </c>
      <c r="M4589" s="413"/>
      <c r="N4589" s="333" t="str">
        <f t="shared" si="1683"/>
        <v>Apr16</v>
      </c>
      <c r="O4589" s="568">
        <v>0</v>
      </c>
      <c r="P4589" s="23">
        <f t="shared" si="1684"/>
        <v>8.9120914455107307</v>
      </c>
      <c r="Q4589" s="327">
        <f t="shared" si="1685"/>
        <v>8.5258686309707237</v>
      </c>
      <c r="R4589" s="327"/>
    </row>
    <row r="4590" spans="1:18" x14ac:dyDescent="0.25">
      <c r="A4590" s="607" t="s">
        <v>5742</v>
      </c>
      <c r="B4590" s="435" t="s">
        <v>740</v>
      </c>
      <c r="C4590" s="436" t="s">
        <v>5743</v>
      </c>
      <c r="D4590" s="436" t="s">
        <v>5626</v>
      </c>
      <c r="E4590" s="437"/>
      <c r="F4590" s="450">
        <f t="shared" si="1681"/>
        <v>8.5299999999999994</v>
      </c>
      <c r="G4590" s="450">
        <f t="shared" si="1682"/>
        <v>8.91</v>
      </c>
      <c r="H4590" s="437">
        <f t="shared" si="1657"/>
        <v>7.13</v>
      </c>
      <c r="I4590" s="700"/>
      <c r="J4590" s="669" t="s">
        <v>5805</v>
      </c>
      <c r="M4590" s="413"/>
      <c r="N4590" s="333" t="str">
        <f t="shared" si="1683"/>
        <v>Mai16</v>
      </c>
      <c r="O4590" s="568">
        <v>0</v>
      </c>
      <c r="P4590" s="23">
        <f t="shared" si="1684"/>
        <v>8.9120914455107307</v>
      </c>
      <c r="Q4590" s="327">
        <f t="shared" si="1685"/>
        <v>8.5258686309707237</v>
      </c>
      <c r="R4590" s="327"/>
    </row>
    <row r="4591" spans="1:18" x14ac:dyDescent="0.25">
      <c r="A4591" s="607" t="s">
        <v>5744</v>
      </c>
      <c r="B4591" s="435" t="s">
        <v>740</v>
      </c>
      <c r="C4591" s="436" t="s">
        <v>5745</v>
      </c>
      <c r="D4591" s="436" t="s">
        <v>5626</v>
      </c>
      <c r="E4591" s="437"/>
      <c r="F4591" s="450">
        <f t="shared" si="1681"/>
        <v>8.5299999999999994</v>
      </c>
      <c r="G4591" s="450">
        <f t="shared" si="1682"/>
        <v>8.91</v>
      </c>
      <c r="H4591" s="437">
        <f t="shared" si="1657"/>
        <v>7.13</v>
      </c>
      <c r="I4591" s="700"/>
      <c r="J4591" s="669" t="s">
        <v>5805</v>
      </c>
      <c r="M4591" s="413"/>
      <c r="N4591" s="333" t="str">
        <f t="shared" si="1683"/>
        <v>Jun16</v>
      </c>
      <c r="O4591" s="568">
        <v>0</v>
      </c>
      <c r="P4591" s="23">
        <f t="shared" si="1684"/>
        <v>8.9120914455107307</v>
      </c>
      <c r="Q4591" s="327">
        <f t="shared" si="1685"/>
        <v>8.5258686309707237</v>
      </c>
      <c r="R4591" s="327"/>
    </row>
    <row r="4592" spans="1:18" x14ac:dyDescent="0.25">
      <c r="A4592" s="607" t="s">
        <v>5746</v>
      </c>
      <c r="B4592" s="435" t="s">
        <v>740</v>
      </c>
      <c r="C4592" s="436" t="s">
        <v>5747</v>
      </c>
      <c r="D4592" s="436" t="s">
        <v>5626</v>
      </c>
      <c r="E4592" s="437"/>
      <c r="F4592" s="450">
        <f t="shared" si="1681"/>
        <v>8.5299999999999994</v>
      </c>
      <c r="G4592" s="450">
        <f t="shared" si="1682"/>
        <v>8.91</v>
      </c>
      <c r="H4592" s="437">
        <f t="shared" si="1657"/>
        <v>7.13</v>
      </c>
      <c r="I4592" s="700"/>
      <c r="J4592" s="669" t="s">
        <v>5805</v>
      </c>
      <c r="M4592" s="413"/>
      <c r="N4592" s="333" t="str">
        <f t="shared" si="1683"/>
        <v>Jul16</v>
      </c>
      <c r="O4592" s="568">
        <v>0</v>
      </c>
      <c r="P4592" s="23">
        <f t="shared" si="1684"/>
        <v>8.9120914455107307</v>
      </c>
      <c r="Q4592" s="327">
        <f t="shared" si="1685"/>
        <v>8.5258686309707237</v>
      </c>
      <c r="R4592" s="327"/>
    </row>
    <row r="4593" spans="1:24" x14ac:dyDescent="0.25">
      <c r="A4593" s="607" t="s">
        <v>5748</v>
      </c>
      <c r="B4593" s="435" t="s">
        <v>740</v>
      </c>
      <c r="C4593" s="436" t="s">
        <v>5749</v>
      </c>
      <c r="D4593" s="436" t="s">
        <v>5626</v>
      </c>
      <c r="E4593" s="437"/>
      <c r="F4593" s="450">
        <f t="shared" si="1681"/>
        <v>8.5299999999999994</v>
      </c>
      <c r="G4593" s="450">
        <f t="shared" si="1682"/>
        <v>8.91</v>
      </c>
      <c r="H4593" s="437">
        <f t="shared" si="1657"/>
        <v>7.13</v>
      </c>
      <c r="I4593" s="700"/>
      <c r="J4593" s="669" t="s">
        <v>5805</v>
      </c>
      <c r="M4593" s="127"/>
      <c r="N4593" s="333" t="str">
        <f t="shared" si="1683"/>
        <v>Aug16</v>
      </c>
      <c r="O4593" s="568">
        <v>0</v>
      </c>
      <c r="P4593" s="23">
        <f t="shared" si="1684"/>
        <v>8.9120914455107307</v>
      </c>
      <c r="Q4593" s="327">
        <f t="shared" si="1685"/>
        <v>8.5258686309707237</v>
      </c>
      <c r="R4593" s="327"/>
    </row>
    <row r="4594" spans="1:24" x14ac:dyDescent="0.25">
      <c r="A4594" s="607" t="s">
        <v>5750</v>
      </c>
      <c r="B4594" s="435" t="s">
        <v>740</v>
      </c>
      <c r="C4594" s="436" t="s">
        <v>5751</v>
      </c>
      <c r="D4594" s="436" t="s">
        <v>5626</v>
      </c>
      <c r="E4594" s="437"/>
      <c r="F4594" s="450">
        <f t="shared" si="1681"/>
        <v>8.5299999999999994</v>
      </c>
      <c r="G4594" s="450">
        <f t="shared" si="1682"/>
        <v>8.91</v>
      </c>
      <c r="H4594" s="437">
        <f t="shared" si="1657"/>
        <v>7.13</v>
      </c>
      <c r="I4594" s="700"/>
      <c r="J4594" s="669" t="s">
        <v>5805</v>
      </c>
      <c r="N4594" s="333" t="str">
        <f t="shared" si="1683"/>
        <v>Sep16</v>
      </c>
      <c r="O4594" s="568">
        <v>0</v>
      </c>
      <c r="P4594" s="23">
        <f t="shared" si="1684"/>
        <v>8.9120914455107307</v>
      </c>
      <c r="Q4594" s="327">
        <f t="shared" si="1685"/>
        <v>8.5258686309707237</v>
      </c>
      <c r="R4594" s="327"/>
    </row>
    <row r="4595" spans="1:24" x14ac:dyDescent="0.25">
      <c r="A4595" s="607" t="s">
        <v>5752</v>
      </c>
      <c r="B4595" s="435" t="s">
        <v>740</v>
      </c>
      <c r="C4595" s="436" t="s">
        <v>5753</v>
      </c>
      <c r="D4595" s="436" t="s">
        <v>5626</v>
      </c>
      <c r="E4595" s="437"/>
      <c r="F4595" s="450">
        <f t="shared" si="1681"/>
        <v>8.5299999999999994</v>
      </c>
      <c r="G4595" s="450">
        <f t="shared" si="1682"/>
        <v>8.91</v>
      </c>
      <c r="H4595" s="437">
        <f t="shared" si="1657"/>
        <v>7.13</v>
      </c>
      <c r="I4595" s="700"/>
      <c r="J4595" s="669">
        <v>42644</v>
      </c>
      <c r="N4595" s="333" t="str">
        <f t="shared" si="1683"/>
        <v>Okt16</v>
      </c>
      <c r="O4595" s="568">
        <v>0</v>
      </c>
      <c r="P4595" s="23">
        <f t="shared" si="1684"/>
        <v>8.9120914455107307</v>
      </c>
      <c r="Q4595" s="327">
        <f t="shared" si="1685"/>
        <v>8.5258686309707237</v>
      </c>
      <c r="R4595" s="327"/>
    </row>
    <row r="4596" spans="1:24" x14ac:dyDescent="0.25">
      <c r="A4596" s="607" t="s">
        <v>5754</v>
      </c>
      <c r="B4596" s="435" t="s">
        <v>740</v>
      </c>
      <c r="C4596" s="436" t="s">
        <v>5755</v>
      </c>
      <c r="D4596" s="436" t="s">
        <v>5626</v>
      </c>
      <c r="E4596" s="437"/>
      <c r="F4596" s="450">
        <f t="shared" si="1681"/>
        <v>8.5299999999999994</v>
      </c>
      <c r="G4596" s="450">
        <f t="shared" si="1682"/>
        <v>8.91</v>
      </c>
      <c r="H4596" s="437">
        <f t="shared" si="1657"/>
        <v>7.13</v>
      </c>
      <c r="I4596" s="700"/>
      <c r="J4596" s="669">
        <v>42644</v>
      </c>
      <c r="N4596" s="333" t="str">
        <f t="shared" si="1683"/>
        <v>Nov16</v>
      </c>
      <c r="O4596" s="568">
        <v>0</v>
      </c>
      <c r="P4596" s="23">
        <f t="shared" si="1684"/>
        <v>8.9120914455107307</v>
      </c>
      <c r="Q4596" s="327">
        <f t="shared" si="1685"/>
        <v>8.5258686309707237</v>
      </c>
      <c r="R4596" s="327"/>
    </row>
    <row r="4597" spans="1:24" x14ac:dyDescent="0.25">
      <c r="A4597" s="607" t="s">
        <v>5756</v>
      </c>
      <c r="B4597" s="435" t="s">
        <v>740</v>
      </c>
      <c r="C4597" s="436" t="s">
        <v>5757</v>
      </c>
      <c r="D4597" s="436" t="s">
        <v>5626</v>
      </c>
      <c r="E4597" s="437"/>
      <c r="F4597" s="450">
        <f t="shared" si="1681"/>
        <v>8.5299999999999994</v>
      </c>
      <c r="G4597" s="450">
        <f t="shared" si="1682"/>
        <v>8.91</v>
      </c>
      <c r="H4597" s="437">
        <f t="shared" ref="H4597:H4660" si="1686">IF(ISNUMBER(G4597),ROUND(0.8*G4597,2),"")</f>
        <v>7.13</v>
      </c>
      <c r="I4597" s="700"/>
      <c r="J4597" s="669">
        <v>42644</v>
      </c>
      <c r="N4597" s="333" t="str">
        <f t="shared" si="1683"/>
        <v>Dez16</v>
      </c>
      <c r="O4597" s="568">
        <v>0</v>
      </c>
      <c r="P4597" s="23">
        <f t="shared" si="1684"/>
        <v>8.9120914455107307</v>
      </c>
      <c r="Q4597" s="327">
        <f t="shared" si="1685"/>
        <v>8.5258686309707237</v>
      </c>
      <c r="R4597" s="327"/>
    </row>
    <row r="4598" spans="1:24" x14ac:dyDescent="0.25">
      <c r="A4598" s="608"/>
      <c r="B4598" s="2"/>
      <c r="C4598" s="34"/>
      <c r="D4598" s="34"/>
      <c r="E4598" s="2"/>
      <c r="F4598" s="445"/>
      <c r="G4598" s="14"/>
      <c r="H4598" s="14" t="str">
        <f t="shared" si="1686"/>
        <v/>
      </c>
      <c r="I4598" s="695"/>
      <c r="J4598" s="669" t="s">
        <v>4180</v>
      </c>
      <c r="N4598" s="137" t="s">
        <v>3902</v>
      </c>
      <c r="O4598" s="270" t="s">
        <v>5490</v>
      </c>
      <c r="P4598" s="15" t="s">
        <v>49</v>
      </c>
      <c r="Q4598" t="s">
        <v>50</v>
      </c>
      <c r="R4598" s="327"/>
    </row>
    <row r="4599" spans="1:24" x14ac:dyDescent="0.25">
      <c r="A4599" s="644" t="s">
        <v>5984</v>
      </c>
      <c r="B4599" s="645" t="s">
        <v>740</v>
      </c>
      <c r="C4599" s="643" t="s">
        <v>5955</v>
      </c>
      <c r="D4599" s="643" t="s">
        <v>6115</v>
      </c>
      <c r="E4599" s="656"/>
      <c r="F4599" s="657">
        <f t="shared" ref="F4599:F4610" si="1687">IF($O4599&lt;&gt;"",ROUND(Q4599,2),"")</f>
        <v>8.51</v>
      </c>
      <c r="G4599" s="657">
        <f t="shared" ref="G4599:G4610" si="1688">IF($O4599&lt;&gt;"",ROUND(P4599,2),"")</f>
        <v>8.91</v>
      </c>
      <c r="H4599" s="656">
        <f t="shared" si="1686"/>
        <v>7.13</v>
      </c>
      <c r="I4599" s="701"/>
      <c r="J4599" s="669">
        <v>42705</v>
      </c>
      <c r="M4599" s="127">
        <v>2017</v>
      </c>
      <c r="N4599" s="570" t="s">
        <v>5983</v>
      </c>
      <c r="O4599" s="568" t="s">
        <v>5982</v>
      </c>
      <c r="P4599" s="23">
        <v>8.91</v>
      </c>
      <c r="Q4599" s="23">
        <f>P4599-0.4</f>
        <v>8.51</v>
      </c>
      <c r="R4599" s="569"/>
    </row>
    <row r="4600" spans="1:24" x14ac:dyDescent="0.25">
      <c r="A4600" s="644" t="s">
        <v>5985</v>
      </c>
      <c r="B4600" s="645" t="s">
        <v>740</v>
      </c>
      <c r="C4600" s="643" t="s">
        <v>5954</v>
      </c>
      <c r="D4600" s="643" t="s">
        <v>6115</v>
      </c>
      <c r="E4600" s="656"/>
      <c r="F4600" s="657">
        <f t="shared" si="1687"/>
        <v>8.51</v>
      </c>
      <c r="G4600" s="657">
        <f t="shared" si="1688"/>
        <v>8.91</v>
      </c>
      <c r="H4600" s="656">
        <f t="shared" si="1686"/>
        <v>7.13</v>
      </c>
      <c r="I4600" s="701"/>
      <c r="J4600" s="669">
        <v>42766</v>
      </c>
      <c r="M4600" s="413"/>
      <c r="N4600" s="333" t="str">
        <f t="shared" ref="N4600:N4610" si="1689">TEXT(DATE(YEAR(DATEVALUE(N4599)),MONTH(DATEVALUE(N4599))+1,1),"MMMJJ")</f>
        <v>Feb17</v>
      </c>
      <c r="O4600" s="568">
        <v>0</v>
      </c>
      <c r="P4600" s="23">
        <f t="shared" ref="P4600:P4610" si="1690">IF($O4600&lt;&gt;"",P4599*(100%-$O4600),"")</f>
        <v>8.91</v>
      </c>
      <c r="Q4600" s="23">
        <f t="shared" ref="Q4600:Q4610" si="1691">IF($O4600&lt;&gt;"",P4600-0.4,"")</f>
        <v>8.51</v>
      </c>
      <c r="R4600" s="569"/>
    </row>
    <row r="4601" spans="1:24" x14ac:dyDescent="0.25">
      <c r="A4601" s="644" t="s">
        <v>5986</v>
      </c>
      <c r="B4601" s="645" t="s">
        <v>740</v>
      </c>
      <c r="C4601" s="643" t="s">
        <v>5944</v>
      </c>
      <c r="D4601" s="643" t="s">
        <v>6115</v>
      </c>
      <c r="E4601" s="656"/>
      <c r="F4601" s="657">
        <f t="shared" si="1687"/>
        <v>8.51</v>
      </c>
      <c r="G4601" s="657">
        <f t="shared" si="1688"/>
        <v>8.91</v>
      </c>
      <c r="H4601" s="656">
        <f t="shared" si="1686"/>
        <v>7.13</v>
      </c>
      <c r="I4601" s="701"/>
      <c r="J4601" s="669">
        <v>42766</v>
      </c>
      <c r="M4601" s="413"/>
      <c r="N4601" s="333" t="str">
        <f t="shared" si="1689"/>
        <v>Mrz17</v>
      </c>
      <c r="O4601" s="568">
        <v>0</v>
      </c>
      <c r="P4601" s="23">
        <f t="shared" si="1690"/>
        <v>8.91</v>
      </c>
      <c r="Q4601" s="23">
        <f t="shared" si="1691"/>
        <v>8.51</v>
      </c>
      <c r="R4601" s="569"/>
    </row>
    <row r="4602" spans="1:24" s="12" customFormat="1" x14ac:dyDescent="0.25">
      <c r="A4602" s="644" t="s">
        <v>5987</v>
      </c>
      <c r="B4602" s="645" t="s">
        <v>740</v>
      </c>
      <c r="C4602" s="643" t="s">
        <v>5930</v>
      </c>
      <c r="D4602" s="643" t="s">
        <v>6115</v>
      </c>
      <c r="E4602" s="656"/>
      <c r="F4602" s="657">
        <f t="shared" si="1687"/>
        <v>8.51</v>
      </c>
      <c r="G4602" s="657">
        <f t="shared" si="1688"/>
        <v>8.91</v>
      </c>
      <c r="H4602" s="656">
        <f t="shared" si="1686"/>
        <v>7.13</v>
      </c>
      <c r="I4602" s="701"/>
      <c r="J4602" s="669">
        <v>42766</v>
      </c>
      <c r="M4602" s="413"/>
      <c r="N4602" s="333" t="str">
        <f t="shared" si="1689"/>
        <v>Apr17</v>
      </c>
      <c r="O4602" s="568">
        <v>0</v>
      </c>
      <c r="P4602" s="23">
        <f t="shared" si="1690"/>
        <v>8.91</v>
      </c>
      <c r="Q4602" s="23">
        <f t="shared" si="1691"/>
        <v>8.51</v>
      </c>
      <c r="R4602" s="569"/>
      <c r="S4602"/>
      <c r="T4602"/>
      <c r="U4602"/>
      <c r="V4602"/>
      <c r="W4602"/>
      <c r="X4602"/>
    </row>
    <row r="4603" spans="1:24" s="12" customFormat="1" x14ac:dyDescent="0.25">
      <c r="A4603" s="644" t="s">
        <v>5988</v>
      </c>
      <c r="B4603" s="645" t="s">
        <v>740</v>
      </c>
      <c r="C4603" s="643" t="s">
        <v>5931</v>
      </c>
      <c r="D4603" s="643" t="s">
        <v>6115</v>
      </c>
      <c r="E4603" s="656"/>
      <c r="F4603" s="657">
        <f t="shared" si="1687"/>
        <v>8.49</v>
      </c>
      <c r="G4603" s="657">
        <f t="shared" si="1688"/>
        <v>8.89</v>
      </c>
      <c r="H4603" s="656">
        <f t="shared" si="1686"/>
        <v>7.11</v>
      </c>
      <c r="I4603" s="701"/>
      <c r="J4603" s="669">
        <v>42877</v>
      </c>
      <c r="M4603" s="413"/>
      <c r="N4603" s="680" t="str">
        <f t="shared" si="1689"/>
        <v>Mai17</v>
      </c>
      <c r="O4603" s="681">
        <v>2.5000000000000001E-3</v>
      </c>
      <c r="P4603" s="23">
        <f t="shared" si="1690"/>
        <v>8.8877250000000014</v>
      </c>
      <c r="Q4603" s="23">
        <f t="shared" si="1691"/>
        <v>8.4877250000000011</v>
      </c>
      <c r="R4603" s="569"/>
    </row>
    <row r="4604" spans="1:24" s="12" customFormat="1" x14ac:dyDescent="0.25">
      <c r="A4604" s="644" t="s">
        <v>5989</v>
      </c>
      <c r="B4604" s="645" t="s">
        <v>740</v>
      </c>
      <c r="C4604" s="643" t="s">
        <v>5932</v>
      </c>
      <c r="D4604" s="643" t="s">
        <v>6115</v>
      </c>
      <c r="E4604" s="656"/>
      <c r="F4604" s="657">
        <f t="shared" si="1687"/>
        <v>8.4700000000000006</v>
      </c>
      <c r="G4604" s="657">
        <f t="shared" si="1688"/>
        <v>8.8699999999999992</v>
      </c>
      <c r="H4604" s="656">
        <f t="shared" si="1686"/>
        <v>7.1</v>
      </c>
      <c r="I4604" s="701"/>
      <c r="J4604" s="669">
        <v>42877</v>
      </c>
      <c r="M4604" s="413"/>
      <c r="N4604" s="680" t="str">
        <f t="shared" si="1689"/>
        <v>Jun17</v>
      </c>
      <c r="O4604" s="681">
        <v>2.5000000000000001E-3</v>
      </c>
      <c r="P4604" s="23">
        <f t="shared" si="1690"/>
        <v>8.8655056875000025</v>
      </c>
      <c r="Q4604" s="23">
        <f t="shared" si="1691"/>
        <v>8.4655056875000021</v>
      </c>
      <c r="R4604" s="569"/>
    </row>
    <row r="4605" spans="1:24" x14ac:dyDescent="0.25">
      <c r="A4605" s="644" t="s">
        <v>5990</v>
      </c>
      <c r="B4605" s="645" t="s">
        <v>740</v>
      </c>
      <c r="C4605" s="643" t="s">
        <v>5945</v>
      </c>
      <c r="D4605" s="643" t="s">
        <v>6115</v>
      </c>
      <c r="E4605" s="656"/>
      <c r="F4605" s="657">
        <f t="shared" si="1687"/>
        <v>8.44</v>
      </c>
      <c r="G4605" s="657">
        <f t="shared" si="1688"/>
        <v>8.84</v>
      </c>
      <c r="H4605" s="656">
        <f t="shared" si="1686"/>
        <v>7.07</v>
      </c>
      <c r="I4605" s="701"/>
      <c r="J4605" s="669">
        <v>42919</v>
      </c>
      <c r="M4605" s="413"/>
      <c r="N4605" s="680" t="str">
        <f t="shared" si="1689"/>
        <v>Jul17</v>
      </c>
      <c r="O4605" s="681">
        <v>2.5000000000000001E-3</v>
      </c>
      <c r="P4605" s="23">
        <f t="shared" si="1690"/>
        <v>8.8433419232812529</v>
      </c>
      <c r="Q4605" s="23">
        <f t="shared" si="1691"/>
        <v>8.4433419232812525</v>
      </c>
      <c r="R4605" s="569"/>
      <c r="S4605" s="12"/>
      <c r="T4605" s="12"/>
      <c r="U4605" s="12"/>
      <c r="V4605" s="12"/>
      <c r="W4605" s="12"/>
      <c r="X4605" s="12"/>
    </row>
    <row r="4606" spans="1:24" x14ac:dyDescent="0.25">
      <c r="A4606" s="644" t="s">
        <v>5991</v>
      </c>
      <c r="B4606" s="645" t="s">
        <v>740</v>
      </c>
      <c r="C4606" s="643" t="s">
        <v>5946</v>
      </c>
      <c r="D4606" s="643" t="s">
        <v>6115</v>
      </c>
      <c r="E4606" s="656"/>
      <c r="F4606" s="657">
        <f t="shared" si="1687"/>
        <v>8.44</v>
      </c>
      <c r="G4606" s="657">
        <f t="shared" si="1688"/>
        <v>8.84</v>
      </c>
      <c r="H4606" s="656">
        <f t="shared" si="1686"/>
        <v>7.07</v>
      </c>
      <c r="I4606" s="701"/>
      <c r="J4606" s="669">
        <v>42947</v>
      </c>
      <c r="M4606" s="127"/>
      <c r="N4606" s="333" t="str">
        <f t="shared" si="1689"/>
        <v>Aug17</v>
      </c>
      <c r="O4606" s="568">
        <v>0</v>
      </c>
      <c r="P4606" s="23">
        <f t="shared" si="1690"/>
        <v>8.8433419232812529</v>
      </c>
      <c r="Q4606" s="23">
        <f t="shared" si="1691"/>
        <v>8.4433419232812525</v>
      </c>
      <c r="R4606" s="569"/>
    </row>
    <row r="4607" spans="1:24" x14ac:dyDescent="0.25">
      <c r="A4607" s="644" t="s">
        <v>5992</v>
      </c>
      <c r="B4607" s="645" t="s">
        <v>740</v>
      </c>
      <c r="C4607" s="643" t="s">
        <v>5947</v>
      </c>
      <c r="D4607" s="643" t="s">
        <v>6115</v>
      </c>
      <c r="E4607" s="656"/>
      <c r="F4607" s="657">
        <f t="shared" si="1687"/>
        <v>8.44</v>
      </c>
      <c r="G4607" s="657">
        <f t="shared" si="1688"/>
        <v>8.84</v>
      </c>
      <c r="H4607" s="656">
        <f t="shared" si="1686"/>
        <v>7.07</v>
      </c>
      <c r="I4607" s="701"/>
      <c r="J4607" s="669">
        <v>42947</v>
      </c>
      <c r="N4607" s="333" t="str">
        <f t="shared" si="1689"/>
        <v>Sep17</v>
      </c>
      <c r="O4607" s="568">
        <v>0</v>
      </c>
      <c r="P4607" s="23">
        <f t="shared" si="1690"/>
        <v>8.8433419232812529</v>
      </c>
      <c r="Q4607" s="23">
        <f t="shared" si="1691"/>
        <v>8.4433419232812525</v>
      </c>
      <c r="R4607" s="569"/>
    </row>
    <row r="4608" spans="1:24" x14ac:dyDescent="0.25">
      <c r="A4608" s="644" t="s">
        <v>5993</v>
      </c>
      <c r="B4608" s="645" t="s">
        <v>740</v>
      </c>
      <c r="C4608" s="643" t="s">
        <v>5948</v>
      </c>
      <c r="D4608" s="643" t="s">
        <v>6115</v>
      </c>
      <c r="E4608" s="656"/>
      <c r="F4608" s="657">
        <f t="shared" si="1687"/>
        <v>8.44</v>
      </c>
      <c r="G4608" s="657">
        <f t="shared" si="1688"/>
        <v>8.84</v>
      </c>
      <c r="H4608" s="656">
        <f t="shared" si="1686"/>
        <v>7.07</v>
      </c>
      <c r="I4608" s="701"/>
      <c r="J4608" s="669">
        <v>42947</v>
      </c>
      <c r="N4608" s="333" t="str">
        <f t="shared" si="1689"/>
        <v>Okt17</v>
      </c>
      <c r="O4608" s="568">
        <v>0</v>
      </c>
      <c r="P4608" s="23">
        <f t="shared" si="1690"/>
        <v>8.8433419232812529</v>
      </c>
      <c r="Q4608" s="23">
        <f t="shared" si="1691"/>
        <v>8.4433419232812525</v>
      </c>
      <c r="R4608" s="569"/>
    </row>
    <row r="4609" spans="1:24" x14ac:dyDescent="0.25">
      <c r="A4609" s="644" t="s">
        <v>5994</v>
      </c>
      <c r="B4609" s="645" t="s">
        <v>740</v>
      </c>
      <c r="C4609" s="643" t="s">
        <v>5949</v>
      </c>
      <c r="D4609" s="643" t="s">
        <v>6115</v>
      </c>
      <c r="E4609" s="656"/>
      <c r="F4609" s="657">
        <f t="shared" si="1687"/>
        <v>8.44</v>
      </c>
      <c r="G4609" s="657">
        <f t="shared" si="1688"/>
        <v>8.84</v>
      </c>
      <c r="H4609" s="656">
        <f t="shared" si="1686"/>
        <v>7.07</v>
      </c>
      <c r="I4609" s="701"/>
      <c r="J4609" s="669">
        <v>42705</v>
      </c>
      <c r="N4609" s="333" t="str">
        <f t="shared" si="1689"/>
        <v>Nov17</v>
      </c>
      <c r="O4609" s="568">
        <v>0</v>
      </c>
      <c r="P4609" s="23">
        <f t="shared" si="1690"/>
        <v>8.8433419232812529</v>
      </c>
      <c r="Q4609" s="23">
        <f t="shared" si="1691"/>
        <v>8.4433419232812525</v>
      </c>
      <c r="R4609" s="23"/>
    </row>
    <row r="4610" spans="1:24" x14ac:dyDescent="0.25">
      <c r="A4610" s="644" t="s">
        <v>5995</v>
      </c>
      <c r="B4610" s="645" t="s">
        <v>740</v>
      </c>
      <c r="C4610" s="643" t="s">
        <v>5950</v>
      </c>
      <c r="D4610" s="643" t="s">
        <v>6115</v>
      </c>
      <c r="E4610" s="656"/>
      <c r="F4610" s="657">
        <f t="shared" si="1687"/>
        <v>8.44</v>
      </c>
      <c r="G4610" s="657">
        <f t="shared" si="1688"/>
        <v>8.84</v>
      </c>
      <c r="H4610" s="656">
        <f t="shared" si="1686"/>
        <v>7.07</v>
      </c>
      <c r="I4610" s="701"/>
      <c r="J4610" s="669">
        <v>42705</v>
      </c>
      <c r="N4610" s="333" t="str">
        <f t="shared" si="1689"/>
        <v>Dez17</v>
      </c>
      <c r="O4610" s="568">
        <v>0</v>
      </c>
      <c r="P4610" s="23">
        <f t="shared" si="1690"/>
        <v>8.8433419232812529</v>
      </c>
      <c r="Q4610" s="23">
        <f t="shared" si="1691"/>
        <v>8.4433419232812525</v>
      </c>
      <c r="R4610" s="23"/>
    </row>
    <row r="4611" spans="1:24" x14ac:dyDescent="0.25">
      <c r="A4611" s="608"/>
      <c r="B4611" s="2"/>
      <c r="C4611" s="34"/>
      <c r="D4611" s="34"/>
      <c r="E4611" s="2"/>
      <c r="F4611" s="445"/>
      <c r="G4611" s="14"/>
      <c r="H4611" s="14" t="str">
        <f t="shared" si="1686"/>
        <v/>
      </c>
      <c r="I4611" s="695"/>
      <c r="J4611" s="669" t="s">
        <v>4180</v>
      </c>
      <c r="N4611" s="137" t="s">
        <v>3902</v>
      </c>
      <c r="O4611" s="270" t="s">
        <v>5490</v>
      </c>
      <c r="P4611" s="15" t="s">
        <v>49</v>
      </c>
      <c r="Q4611" s="15" t="s">
        <v>50</v>
      </c>
      <c r="R4611" s="23"/>
    </row>
    <row r="4612" spans="1:24" x14ac:dyDescent="0.25">
      <c r="A4612" s="644" t="s">
        <v>6267</v>
      </c>
      <c r="B4612" s="645" t="s">
        <v>740</v>
      </c>
      <c r="C4612" s="643" t="s">
        <v>6252</v>
      </c>
      <c r="D4612" s="643" t="s">
        <v>6115</v>
      </c>
      <c r="E4612" s="656"/>
      <c r="F4612" s="657">
        <f t="shared" ref="F4612:F4623" si="1692">IF($O4612&lt;&gt;"",ROUND(Q4612,2),"")</f>
        <v>8.44</v>
      </c>
      <c r="G4612" s="657">
        <f t="shared" ref="G4612:G4623" si="1693">IF($O4612&lt;&gt;"",ROUND(P4612,2),"")</f>
        <v>8.84</v>
      </c>
      <c r="H4612" s="656">
        <f t="shared" si="1686"/>
        <v>7.07</v>
      </c>
      <c r="I4612" s="701"/>
      <c r="J4612" s="669">
        <v>43077</v>
      </c>
      <c r="M4612" s="127">
        <v>2018</v>
      </c>
      <c r="N4612" s="570" t="s">
        <v>6279</v>
      </c>
      <c r="O4612" s="568">
        <v>0</v>
      </c>
      <c r="P4612" s="23">
        <f>IF($O4612&lt;&gt;"",P4610*(100%-$O4612),"")</f>
        <v>8.8433419232812529</v>
      </c>
      <c r="Q4612" s="23">
        <f t="shared" ref="Q4612:Q4623" si="1694">IF($O4612&lt;&gt;"",P4612-0.4,"")</f>
        <v>8.4433419232812525</v>
      </c>
      <c r="R4612" s="23"/>
    </row>
    <row r="4613" spans="1:24" x14ac:dyDescent="0.25">
      <c r="A4613" s="644" t="s">
        <v>6268</v>
      </c>
      <c r="B4613" s="645" t="s">
        <v>740</v>
      </c>
      <c r="C4613" s="643" t="s">
        <v>6253</v>
      </c>
      <c r="D4613" s="643" t="s">
        <v>6115</v>
      </c>
      <c r="E4613" s="656"/>
      <c r="F4613" s="657">
        <f t="shared" si="1692"/>
        <v>8.44</v>
      </c>
      <c r="G4613" s="657">
        <f t="shared" si="1693"/>
        <v>8.84</v>
      </c>
      <c r="H4613" s="656">
        <f t="shared" si="1686"/>
        <v>7.07</v>
      </c>
      <c r="I4613" s="701"/>
      <c r="J4613" s="669">
        <v>43131</v>
      </c>
      <c r="M4613" s="413"/>
      <c r="N4613" s="333" t="str">
        <f t="shared" ref="N4613:N4623" si="1695">TEXT(DATE(YEAR(DATEVALUE(N4612)),MONTH(DATEVALUE(N4612))+1,1),"MMMJJ")</f>
        <v>Feb18</v>
      </c>
      <c r="O4613" s="568">
        <v>0</v>
      </c>
      <c r="P4613" s="23">
        <f t="shared" ref="P4613:P4623" si="1696">IF($O4613&lt;&gt;"",P4612*(100%-$O4613),"")</f>
        <v>8.8433419232812529</v>
      </c>
      <c r="Q4613" s="23">
        <f t="shared" si="1694"/>
        <v>8.4433419232812525</v>
      </c>
      <c r="R4613" s="23"/>
    </row>
    <row r="4614" spans="1:24" x14ac:dyDescent="0.25">
      <c r="A4614" s="644" t="s">
        <v>6269</v>
      </c>
      <c r="B4614" s="645" t="s">
        <v>740</v>
      </c>
      <c r="C4614" s="643" t="s">
        <v>6254</v>
      </c>
      <c r="D4614" s="643" t="s">
        <v>6115</v>
      </c>
      <c r="E4614" s="656"/>
      <c r="F4614" s="657">
        <f t="shared" si="1692"/>
        <v>8.44</v>
      </c>
      <c r="G4614" s="657">
        <f t="shared" si="1693"/>
        <v>8.84</v>
      </c>
      <c r="H4614" s="656">
        <f t="shared" si="1686"/>
        <v>7.07</v>
      </c>
      <c r="I4614" s="701"/>
      <c r="J4614" s="669">
        <v>43131</v>
      </c>
      <c r="M4614" s="413"/>
      <c r="N4614" s="333" t="str">
        <f t="shared" si="1695"/>
        <v>Mrz18</v>
      </c>
      <c r="O4614" s="568">
        <v>0</v>
      </c>
      <c r="P4614" s="23">
        <f t="shared" si="1696"/>
        <v>8.8433419232812529</v>
      </c>
      <c r="Q4614" s="23">
        <f t="shared" si="1694"/>
        <v>8.4433419232812525</v>
      </c>
      <c r="R4614" s="23"/>
    </row>
    <row r="4615" spans="1:24" s="12" customFormat="1" x14ac:dyDescent="0.25">
      <c r="A4615" s="644" t="s">
        <v>6270</v>
      </c>
      <c r="B4615" s="645" t="s">
        <v>740</v>
      </c>
      <c r="C4615" s="643" t="s">
        <v>6255</v>
      </c>
      <c r="D4615" s="643" t="s">
        <v>6115</v>
      </c>
      <c r="E4615" s="656"/>
      <c r="F4615" s="657">
        <f t="shared" si="1692"/>
        <v>8.44</v>
      </c>
      <c r="G4615" s="657">
        <f t="shared" si="1693"/>
        <v>8.84</v>
      </c>
      <c r="H4615" s="656">
        <f t="shared" si="1686"/>
        <v>7.07</v>
      </c>
      <c r="I4615" s="701"/>
      <c r="J4615" s="669">
        <v>43131</v>
      </c>
      <c r="M4615" s="413"/>
      <c r="N4615" s="333" t="str">
        <f t="shared" si="1695"/>
        <v>Apr18</v>
      </c>
      <c r="O4615" s="568">
        <v>0</v>
      </c>
      <c r="P4615" s="23">
        <f t="shared" si="1696"/>
        <v>8.8433419232812529</v>
      </c>
      <c r="Q4615" s="23">
        <f t="shared" si="1694"/>
        <v>8.4433419232812525</v>
      </c>
      <c r="R4615" s="23"/>
      <c r="S4615"/>
      <c r="T4615"/>
      <c r="U4615"/>
      <c r="V4615"/>
      <c r="W4615"/>
      <c r="X4615"/>
    </row>
    <row r="4616" spans="1:24" s="12" customFormat="1" x14ac:dyDescent="0.25">
      <c r="A4616" s="644" t="s">
        <v>6271</v>
      </c>
      <c r="B4616" s="645" t="s">
        <v>740</v>
      </c>
      <c r="C4616" s="643" t="s">
        <v>6256</v>
      </c>
      <c r="D4616" s="643" t="s">
        <v>6115</v>
      </c>
      <c r="E4616" s="656"/>
      <c r="F4616" s="657">
        <f t="shared" si="1692"/>
        <v>8.44</v>
      </c>
      <c r="G4616" s="657">
        <f t="shared" si="1693"/>
        <v>8.84</v>
      </c>
      <c r="H4616" s="656">
        <f t="shared" si="1686"/>
        <v>7.07</v>
      </c>
      <c r="I4616" s="701"/>
      <c r="J4616" s="669">
        <v>43222</v>
      </c>
      <c r="M4616" s="413"/>
      <c r="N4616" s="680" t="str">
        <f t="shared" si="1695"/>
        <v>Mai18</v>
      </c>
      <c r="O4616" s="681">
        <v>0</v>
      </c>
      <c r="P4616" s="23">
        <f t="shared" si="1696"/>
        <v>8.8433419232812529</v>
      </c>
      <c r="Q4616" s="23">
        <f t="shared" si="1694"/>
        <v>8.4433419232812525</v>
      </c>
      <c r="R4616" s="23"/>
    </row>
    <row r="4617" spans="1:24" s="12" customFormat="1" x14ac:dyDescent="0.25">
      <c r="A4617" s="644" t="s">
        <v>6272</v>
      </c>
      <c r="B4617" s="645" t="s">
        <v>740</v>
      </c>
      <c r="C4617" s="643" t="s">
        <v>6257</v>
      </c>
      <c r="D4617" s="643" t="s">
        <v>6115</v>
      </c>
      <c r="E4617" s="656"/>
      <c r="F4617" s="657">
        <f t="shared" si="1692"/>
        <v>8.44</v>
      </c>
      <c r="G4617" s="657">
        <f t="shared" si="1693"/>
        <v>8.84</v>
      </c>
      <c r="H4617" s="656">
        <f t="shared" si="1686"/>
        <v>7.07</v>
      </c>
      <c r="I4617" s="701"/>
      <c r="J4617" s="669">
        <v>43222</v>
      </c>
      <c r="M4617" s="413"/>
      <c r="N4617" s="680" t="str">
        <f t="shared" si="1695"/>
        <v>Jun18</v>
      </c>
      <c r="O4617" s="681">
        <v>0</v>
      </c>
      <c r="P4617" s="23">
        <f t="shared" si="1696"/>
        <v>8.8433419232812529</v>
      </c>
      <c r="Q4617" s="23">
        <f t="shared" si="1694"/>
        <v>8.4433419232812525</v>
      </c>
      <c r="R4617" s="23"/>
    </row>
    <row r="4618" spans="1:24" x14ac:dyDescent="0.25">
      <c r="A4618" s="644" t="s">
        <v>6273</v>
      </c>
      <c r="B4618" s="645" t="s">
        <v>740</v>
      </c>
      <c r="C4618" s="643" t="s">
        <v>6258</v>
      </c>
      <c r="D4618" s="643" t="s">
        <v>6115</v>
      </c>
      <c r="E4618" s="656"/>
      <c r="F4618" s="657">
        <f t="shared" si="1692"/>
        <v>8.44</v>
      </c>
      <c r="G4618" s="657">
        <f t="shared" si="1693"/>
        <v>8.84</v>
      </c>
      <c r="H4618" s="656">
        <f t="shared" si="1686"/>
        <v>7.07</v>
      </c>
      <c r="I4618" s="701"/>
      <c r="J4618" s="669">
        <v>43222</v>
      </c>
      <c r="M4618" s="413"/>
      <c r="N4618" s="680" t="str">
        <f t="shared" si="1695"/>
        <v>Jul18</v>
      </c>
      <c r="O4618" s="681">
        <v>0</v>
      </c>
      <c r="P4618" s="23">
        <f t="shared" si="1696"/>
        <v>8.8433419232812529</v>
      </c>
      <c r="Q4618" s="23">
        <f t="shared" si="1694"/>
        <v>8.4433419232812525</v>
      </c>
      <c r="R4618" s="23"/>
      <c r="S4618" s="12"/>
      <c r="T4618" s="12"/>
      <c r="U4618" s="12"/>
      <c r="V4618" s="12"/>
      <c r="W4618" s="12"/>
      <c r="X4618" s="12"/>
    </row>
    <row r="4619" spans="1:24" x14ac:dyDescent="0.25">
      <c r="A4619" s="644" t="s">
        <v>6274</v>
      </c>
      <c r="B4619" s="645" t="s">
        <v>740</v>
      </c>
      <c r="C4619" s="643" t="s">
        <v>6259</v>
      </c>
      <c r="D4619" s="643" t="s">
        <v>6115</v>
      </c>
      <c r="E4619" s="656"/>
      <c r="F4619" s="657">
        <f t="shared" si="1692"/>
        <v>8.35</v>
      </c>
      <c r="G4619" s="657">
        <f t="shared" si="1693"/>
        <v>8.75</v>
      </c>
      <c r="H4619" s="656">
        <f t="shared" si="1686"/>
        <v>7</v>
      </c>
      <c r="I4619" s="701"/>
      <c r="J4619" s="669">
        <v>43318</v>
      </c>
      <c r="M4619" s="127"/>
      <c r="N4619" s="333" t="str">
        <f t="shared" si="1695"/>
        <v>Aug18</v>
      </c>
      <c r="O4619" s="568">
        <v>0.01</v>
      </c>
      <c r="P4619" s="23">
        <f t="shared" si="1696"/>
        <v>8.7549085040484407</v>
      </c>
      <c r="Q4619" s="23">
        <f t="shared" si="1694"/>
        <v>8.3549085040484403</v>
      </c>
      <c r="R4619" s="23"/>
    </row>
    <row r="4620" spans="1:24" x14ac:dyDescent="0.25">
      <c r="A4620" s="644" t="s">
        <v>6275</v>
      </c>
      <c r="B4620" s="645" t="s">
        <v>740</v>
      </c>
      <c r="C4620" s="643" t="s">
        <v>6260</v>
      </c>
      <c r="D4620" s="643" t="s">
        <v>6115</v>
      </c>
      <c r="E4620" s="656"/>
      <c r="F4620" s="657">
        <f t="shared" si="1692"/>
        <v>8.27</v>
      </c>
      <c r="G4620" s="657">
        <f t="shared" si="1693"/>
        <v>8.67</v>
      </c>
      <c r="H4620" s="656">
        <f t="shared" si="1686"/>
        <v>6.94</v>
      </c>
      <c r="I4620" s="701"/>
      <c r="J4620" s="669">
        <v>43318</v>
      </c>
      <c r="N4620" s="333" t="str">
        <f t="shared" si="1695"/>
        <v>Sep18</v>
      </c>
      <c r="O4620" s="568">
        <v>0.01</v>
      </c>
      <c r="P4620" s="23">
        <f t="shared" si="1696"/>
        <v>8.6673594190079566</v>
      </c>
      <c r="Q4620" s="23">
        <f t="shared" si="1694"/>
        <v>8.2673594190079562</v>
      </c>
      <c r="R4620" s="23"/>
    </row>
    <row r="4621" spans="1:24" x14ac:dyDescent="0.25">
      <c r="A4621" s="644" t="s">
        <v>6276</v>
      </c>
      <c r="B4621" s="645" t="s">
        <v>740</v>
      </c>
      <c r="C4621" s="643" t="s">
        <v>6261</v>
      </c>
      <c r="D4621" s="643" t="s">
        <v>6115</v>
      </c>
      <c r="E4621" s="656"/>
      <c r="F4621" s="657">
        <f t="shared" si="1692"/>
        <v>8.18</v>
      </c>
      <c r="G4621" s="657">
        <f t="shared" si="1693"/>
        <v>8.58</v>
      </c>
      <c r="H4621" s="656">
        <f t="shared" si="1686"/>
        <v>6.86</v>
      </c>
      <c r="I4621" s="701"/>
      <c r="J4621" s="669">
        <v>43318</v>
      </c>
      <c r="N4621" s="333" t="str">
        <f t="shared" si="1695"/>
        <v>Okt18</v>
      </c>
      <c r="O4621" s="568">
        <v>0.01</v>
      </c>
      <c r="P4621" s="23">
        <f t="shared" si="1696"/>
        <v>8.580685824817877</v>
      </c>
      <c r="Q4621" s="23">
        <f t="shared" si="1694"/>
        <v>8.1806858248178767</v>
      </c>
      <c r="R4621" s="23"/>
    </row>
    <row r="4622" spans="1:24" x14ac:dyDescent="0.25">
      <c r="A4622" s="644" t="s">
        <v>6277</v>
      </c>
      <c r="B4622" s="645" t="s">
        <v>740</v>
      </c>
      <c r="C4622" s="643" t="s">
        <v>6262</v>
      </c>
      <c r="D4622" s="643" t="s">
        <v>6115</v>
      </c>
      <c r="E4622" s="656"/>
      <c r="F4622" s="657">
        <f t="shared" si="1692"/>
        <v>8.09</v>
      </c>
      <c r="G4622" s="657">
        <f t="shared" si="1693"/>
        <v>8.49</v>
      </c>
      <c r="H4622" s="656">
        <f t="shared" si="1686"/>
        <v>6.79</v>
      </c>
      <c r="I4622" s="701"/>
      <c r="J4622" s="669">
        <v>43404</v>
      </c>
      <c r="N4622" s="333" t="str">
        <f t="shared" si="1695"/>
        <v>Nov18</v>
      </c>
      <c r="O4622" s="568">
        <v>0.01</v>
      </c>
      <c r="P4622" s="23">
        <f t="shared" si="1696"/>
        <v>8.4948789665696989</v>
      </c>
      <c r="Q4622" s="23">
        <f t="shared" si="1694"/>
        <v>8.0948789665696985</v>
      </c>
      <c r="R4622" s="23"/>
    </row>
    <row r="4623" spans="1:24" s="774" customFormat="1" x14ac:dyDescent="0.25">
      <c r="A4623" s="644" t="s">
        <v>6278</v>
      </c>
      <c r="B4623" s="645" t="s">
        <v>740</v>
      </c>
      <c r="C4623" s="643" t="s">
        <v>6263</v>
      </c>
      <c r="D4623" s="643" t="s">
        <v>6115</v>
      </c>
      <c r="E4623" s="656"/>
      <c r="F4623" s="657">
        <f t="shared" si="1692"/>
        <v>8.01</v>
      </c>
      <c r="G4623" s="657">
        <f t="shared" si="1693"/>
        <v>8.41</v>
      </c>
      <c r="H4623" s="656">
        <f t="shared" si="1686"/>
        <v>6.73</v>
      </c>
      <c r="I4623" s="701"/>
      <c r="J4623" s="669">
        <v>43404</v>
      </c>
      <c r="M4623"/>
      <c r="N4623" s="333" t="str">
        <f t="shared" si="1695"/>
        <v>Dez18</v>
      </c>
      <c r="O4623" s="568">
        <v>0.01</v>
      </c>
      <c r="P4623" s="23">
        <f t="shared" si="1696"/>
        <v>8.4099301769040018</v>
      </c>
      <c r="Q4623" s="23">
        <f t="shared" si="1694"/>
        <v>8.0099301769040014</v>
      </c>
      <c r="R4623" s="23"/>
      <c r="S4623"/>
      <c r="T4623"/>
      <c r="U4623"/>
      <c r="V4623"/>
      <c r="W4623"/>
      <c r="X4623"/>
    </row>
    <row r="4624" spans="1:24" s="774" customFormat="1" x14ac:dyDescent="0.25">
      <c r="A4624" s="608"/>
      <c r="B4624" s="2"/>
      <c r="C4624" s="34"/>
      <c r="D4624" s="34"/>
      <c r="E4624" s="2"/>
      <c r="F4624" s="445"/>
      <c r="G4624" s="14"/>
      <c r="H4624" s="14" t="str">
        <f t="shared" si="1686"/>
        <v/>
      </c>
      <c r="I4624" s="695"/>
      <c r="J4624" s="669" t="s">
        <v>4180</v>
      </c>
      <c r="N4624" s="137" t="s">
        <v>3902</v>
      </c>
      <c r="O4624" s="270" t="s">
        <v>5490</v>
      </c>
      <c r="P4624" s="769" t="s">
        <v>49</v>
      </c>
      <c r="Q4624" s="769" t="s">
        <v>50</v>
      </c>
      <c r="R4624" s="23"/>
    </row>
    <row r="4625" spans="1:24" s="774" customFormat="1" x14ac:dyDescent="0.25">
      <c r="A4625" s="644" t="s">
        <v>6423</v>
      </c>
      <c r="B4625" s="645" t="s">
        <v>740</v>
      </c>
      <c r="C4625" s="643" t="s">
        <v>6435</v>
      </c>
      <c r="D4625" s="643" t="s">
        <v>6115</v>
      </c>
      <c r="E4625" s="656"/>
      <c r="F4625" s="657">
        <f t="shared" ref="F4625:F4636" si="1697">IF($O4625&lt;&gt;"",ROUND(Q4625,2),"")</f>
        <v>7.93</v>
      </c>
      <c r="G4625" s="657">
        <f t="shared" ref="G4625:G4636" si="1698">IF($O4625&lt;&gt;"",ROUND(P4625,2),"")</f>
        <v>8.33</v>
      </c>
      <c r="H4625" s="656">
        <f t="shared" si="1686"/>
        <v>6.66</v>
      </c>
      <c r="I4625" s="701"/>
      <c r="J4625" s="669">
        <v>43419</v>
      </c>
      <c r="M4625" s="127">
        <v>2019</v>
      </c>
      <c r="N4625" s="570" t="s">
        <v>6447</v>
      </c>
      <c r="O4625" s="568">
        <v>0.01</v>
      </c>
      <c r="P4625" s="23">
        <f>IF($O4625&lt;&gt;"",P4623*(100%-$O4625),"")</f>
        <v>8.3258308751349617</v>
      </c>
      <c r="Q4625" s="23">
        <f t="shared" ref="Q4625:Q4636" si="1699">IF($O4625&lt;&gt;"",P4625-0.4,"")</f>
        <v>7.9258308751349613</v>
      </c>
      <c r="R4625" s="23"/>
    </row>
    <row r="4626" spans="1:24" s="774" customFormat="1" x14ac:dyDescent="0.25">
      <c r="A4626" s="644" t="s">
        <v>6424</v>
      </c>
      <c r="B4626" s="645" t="s">
        <v>740</v>
      </c>
      <c r="C4626" s="643" t="s">
        <v>6436</v>
      </c>
      <c r="D4626" s="643" t="s">
        <v>6115</v>
      </c>
      <c r="E4626" s="656"/>
      <c r="F4626" s="657">
        <f t="shared" si="1697"/>
        <v>7.84</v>
      </c>
      <c r="G4626" s="657">
        <f t="shared" si="1698"/>
        <v>8.24</v>
      </c>
      <c r="H4626" s="656">
        <f t="shared" si="1686"/>
        <v>6.59</v>
      </c>
      <c r="I4626" s="701"/>
      <c r="J4626" s="669">
        <v>43496</v>
      </c>
      <c r="M4626" s="413"/>
      <c r="N4626" s="333" t="str">
        <f t="shared" ref="N4626:N4636" si="1700">TEXT(DATE(YEAR(DATEVALUE(N4625)),MONTH(DATEVALUE(N4625))+1,1),"MMMJJ")</f>
        <v>Feb19</v>
      </c>
      <c r="O4626" s="568">
        <v>0.01</v>
      </c>
      <c r="P4626" s="23">
        <f t="shared" ref="P4626:P4636" si="1701">IF($O4626&lt;&gt;"",P4625*(100%-$O4626),"")</f>
        <v>8.2425725663836111</v>
      </c>
      <c r="Q4626" s="23">
        <f t="shared" si="1699"/>
        <v>7.8425725663836108</v>
      </c>
      <c r="R4626" s="23"/>
    </row>
    <row r="4627" spans="1:24" s="774" customFormat="1" x14ac:dyDescent="0.25">
      <c r="A4627" s="644" t="s">
        <v>6425</v>
      </c>
      <c r="B4627" s="645" t="s">
        <v>740</v>
      </c>
      <c r="C4627" s="643" t="s">
        <v>6437</v>
      </c>
      <c r="D4627" s="643" t="s">
        <v>6115</v>
      </c>
      <c r="E4627" s="656"/>
      <c r="F4627" s="657">
        <f t="shared" si="1697"/>
        <v>7.76</v>
      </c>
      <c r="G4627" s="657">
        <f t="shared" si="1698"/>
        <v>8.16</v>
      </c>
      <c r="H4627" s="656">
        <f t="shared" si="1686"/>
        <v>6.53</v>
      </c>
      <c r="I4627" s="701"/>
      <c r="J4627" s="669">
        <v>43496</v>
      </c>
      <c r="M4627" s="413"/>
      <c r="N4627" s="333" t="str">
        <f t="shared" si="1700"/>
        <v>Mrz19</v>
      </c>
      <c r="O4627" s="568">
        <v>0.01</v>
      </c>
      <c r="P4627" s="23">
        <f t="shared" si="1701"/>
        <v>8.1601468407197757</v>
      </c>
      <c r="Q4627" s="23">
        <f t="shared" si="1699"/>
        <v>7.7601468407197753</v>
      </c>
      <c r="R4627" s="23"/>
    </row>
    <row r="4628" spans="1:24" s="774" customFormat="1" x14ac:dyDescent="0.25">
      <c r="A4628" s="644" t="s">
        <v>6426</v>
      </c>
      <c r="B4628" s="645" t="s">
        <v>740</v>
      </c>
      <c r="C4628" s="643" t="s">
        <v>6438</v>
      </c>
      <c r="D4628" s="643" t="s">
        <v>6115</v>
      </c>
      <c r="E4628" s="656"/>
      <c r="F4628" s="657">
        <f t="shared" si="1697"/>
        <v>7.68</v>
      </c>
      <c r="G4628" s="657">
        <f t="shared" si="1698"/>
        <v>8.08</v>
      </c>
      <c r="H4628" s="656">
        <f t="shared" si="1686"/>
        <v>6.46</v>
      </c>
      <c r="I4628" s="701"/>
      <c r="J4628" s="669">
        <v>43496</v>
      </c>
      <c r="K4628" s="12"/>
      <c r="L4628" s="12"/>
      <c r="M4628" s="413"/>
      <c r="N4628" s="333" t="str">
        <f t="shared" si="1700"/>
        <v>Apr19</v>
      </c>
      <c r="O4628" s="568">
        <v>0.01</v>
      </c>
      <c r="P4628" s="23">
        <f t="shared" si="1701"/>
        <v>8.0785453723125773</v>
      </c>
      <c r="Q4628" s="23">
        <f t="shared" si="1699"/>
        <v>7.6785453723125769</v>
      </c>
      <c r="R4628" s="23"/>
    </row>
    <row r="4629" spans="1:24" s="774" customFormat="1" x14ac:dyDescent="0.25">
      <c r="A4629" s="644" t="s">
        <v>6427</v>
      </c>
      <c r="B4629" s="645" t="s">
        <v>740</v>
      </c>
      <c r="C4629" s="643" t="s">
        <v>6439</v>
      </c>
      <c r="D4629" s="643" t="s">
        <v>6115</v>
      </c>
      <c r="E4629" s="656"/>
      <c r="F4629" s="657">
        <f t="shared" si="1697"/>
        <v>7.57</v>
      </c>
      <c r="G4629" s="657">
        <f t="shared" si="1698"/>
        <v>7.97</v>
      </c>
      <c r="H4629" s="656">
        <f t="shared" si="1686"/>
        <v>6.38</v>
      </c>
      <c r="I4629" s="701"/>
      <c r="J4629" s="669">
        <v>43585</v>
      </c>
      <c r="K4629" s="12"/>
      <c r="L4629" s="12"/>
      <c r="M4629" s="413"/>
      <c r="N4629" s="680" t="str">
        <f t="shared" si="1700"/>
        <v>Mai19</v>
      </c>
      <c r="O4629" s="568">
        <v>1.4E-2</v>
      </c>
      <c r="P4629" s="23">
        <f t="shared" si="1701"/>
        <v>7.9654457371002012</v>
      </c>
      <c r="Q4629" s="23">
        <f t="shared" si="1699"/>
        <v>7.5654457371002009</v>
      </c>
      <c r="R4629" s="23"/>
    </row>
    <row r="4630" spans="1:24" s="774" customFormat="1" x14ac:dyDescent="0.25">
      <c r="A4630" s="644" t="s">
        <v>6428</v>
      </c>
      <c r="B4630" s="645" t="s">
        <v>740</v>
      </c>
      <c r="C4630" s="643" t="s">
        <v>6440</v>
      </c>
      <c r="D4630" s="643" t="s">
        <v>6115</v>
      </c>
      <c r="E4630" s="656"/>
      <c r="F4630" s="657">
        <f t="shared" si="1697"/>
        <v>7.45</v>
      </c>
      <c r="G4630" s="657">
        <f t="shared" si="1698"/>
        <v>7.85</v>
      </c>
      <c r="H4630" s="656">
        <f t="shared" si="1686"/>
        <v>6.28</v>
      </c>
      <c r="I4630" s="701"/>
      <c r="J4630" s="669">
        <v>43585</v>
      </c>
      <c r="K4630" s="12"/>
      <c r="L4630" s="12"/>
      <c r="M4630" s="413"/>
      <c r="N4630" s="680" t="str">
        <f t="shared" si="1700"/>
        <v>Jun19</v>
      </c>
      <c r="O4630" s="568">
        <v>1.4E-2</v>
      </c>
      <c r="P4630" s="23">
        <f t="shared" si="1701"/>
        <v>7.8539294967807987</v>
      </c>
      <c r="Q4630" s="23">
        <f t="shared" si="1699"/>
        <v>7.4539294967807983</v>
      </c>
      <c r="R4630" s="23"/>
    </row>
    <row r="4631" spans="1:24" s="774" customFormat="1" x14ac:dyDescent="0.25">
      <c r="A4631" s="644" t="s">
        <v>6429</v>
      </c>
      <c r="B4631" s="645" t="s">
        <v>740</v>
      </c>
      <c r="C4631" s="643" t="s">
        <v>6441</v>
      </c>
      <c r="D4631" s="643" t="s">
        <v>6115</v>
      </c>
      <c r="E4631" s="656"/>
      <c r="F4631" s="657">
        <f t="shared" si="1697"/>
        <v>7.34</v>
      </c>
      <c r="G4631" s="657">
        <f t="shared" si="1698"/>
        <v>7.74</v>
      </c>
      <c r="H4631" s="656">
        <f t="shared" si="1686"/>
        <v>6.19</v>
      </c>
      <c r="I4631" s="701"/>
      <c r="J4631" s="669">
        <v>43585</v>
      </c>
      <c r="M4631" s="413"/>
      <c r="N4631" s="680" t="str">
        <f t="shared" si="1700"/>
        <v>Jul19</v>
      </c>
      <c r="O4631" s="568">
        <v>1.4E-2</v>
      </c>
      <c r="P4631" s="23">
        <f t="shared" si="1701"/>
        <v>7.7439744838258671</v>
      </c>
      <c r="Q4631" s="23">
        <f t="shared" si="1699"/>
        <v>7.3439744838258667</v>
      </c>
      <c r="R4631" s="23"/>
    </row>
    <row r="4632" spans="1:24" s="774" customFormat="1" x14ac:dyDescent="0.25">
      <c r="A4632" s="644" t="s">
        <v>6430</v>
      </c>
      <c r="B4632" s="645" t="s">
        <v>740</v>
      </c>
      <c r="C4632" s="643" t="s">
        <v>6442</v>
      </c>
      <c r="D4632" s="643" t="s">
        <v>6115</v>
      </c>
      <c r="E4632" s="656"/>
      <c r="F4632" s="657">
        <f t="shared" si="1697"/>
        <v>7.24</v>
      </c>
      <c r="G4632" s="657">
        <f t="shared" si="1698"/>
        <v>7.64</v>
      </c>
      <c r="H4632" s="656">
        <f t="shared" si="1686"/>
        <v>6.11</v>
      </c>
      <c r="I4632" s="701"/>
      <c r="J4632" s="669">
        <v>43677</v>
      </c>
      <c r="M4632" s="127"/>
      <c r="N4632" s="333" t="str">
        <f t="shared" si="1700"/>
        <v>Aug19</v>
      </c>
      <c r="O4632" s="568">
        <v>1.4E-2</v>
      </c>
      <c r="P4632" s="23">
        <f t="shared" si="1701"/>
        <v>7.6355588410523048</v>
      </c>
      <c r="Q4632" s="23">
        <f t="shared" si="1699"/>
        <v>7.2355588410523044</v>
      </c>
      <c r="R4632" s="23"/>
    </row>
    <row r="4633" spans="1:24" s="774" customFormat="1" x14ac:dyDescent="0.25">
      <c r="A4633" s="644" t="s">
        <v>6431</v>
      </c>
      <c r="B4633" s="645" t="s">
        <v>740</v>
      </c>
      <c r="C4633" s="643" t="s">
        <v>6443</v>
      </c>
      <c r="D4633" s="643" t="s">
        <v>6115</v>
      </c>
      <c r="E4633" s="656"/>
      <c r="F4633" s="657">
        <f t="shared" si="1697"/>
        <v>7.13</v>
      </c>
      <c r="G4633" s="657">
        <f t="shared" si="1698"/>
        <v>7.53</v>
      </c>
      <c r="H4633" s="656">
        <f t="shared" si="1686"/>
        <v>6.02</v>
      </c>
      <c r="I4633" s="701"/>
      <c r="J4633" s="669">
        <v>43677</v>
      </c>
      <c r="N4633" s="333" t="str">
        <f t="shared" si="1700"/>
        <v>Sep19</v>
      </c>
      <c r="O4633" s="568">
        <v>1.4E-2</v>
      </c>
      <c r="P4633" s="23">
        <f t="shared" si="1701"/>
        <v>7.5286610172775728</v>
      </c>
      <c r="Q4633" s="23">
        <f t="shared" si="1699"/>
        <v>7.1286610172775724</v>
      </c>
      <c r="R4633" s="23"/>
    </row>
    <row r="4634" spans="1:24" s="774" customFormat="1" x14ac:dyDescent="0.25">
      <c r="A4634" s="644" t="s">
        <v>6432</v>
      </c>
      <c r="B4634" s="645" t="s">
        <v>740</v>
      </c>
      <c r="C4634" s="643" t="s">
        <v>6444</v>
      </c>
      <c r="D4634" s="643" t="s">
        <v>6115</v>
      </c>
      <c r="E4634" s="656"/>
      <c r="F4634" s="657">
        <f t="shared" si="1697"/>
        <v>7.02</v>
      </c>
      <c r="G4634" s="657">
        <f t="shared" si="1698"/>
        <v>7.42</v>
      </c>
      <c r="H4634" s="656">
        <f t="shared" si="1686"/>
        <v>5.94</v>
      </c>
      <c r="I4634" s="701"/>
      <c r="J4634" s="669">
        <v>43677</v>
      </c>
      <c r="N4634" s="333" t="str">
        <f t="shared" si="1700"/>
        <v>Okt19</v>
      </c>
      <c r="O4634" s="568">
        <v>1.4E-2</v>
      </c>
      <c r="P4634" s="23">
        <f t="shared" si="1701"/>
        <v>7.4232597630356869</v>
      </c>
      <c r="Q4634" s="23">
        <f t="shared" si="1699"/>
        <v>7.0232597630356866</v>
      </c>
      <c r="R4634" s="23"/>
    </row>
    <row r="4635" spans="1:24" s="774" customFormat="1" x14ac:dyDescent="0.25">
      <c r="A4635" s="644" t="s">
        <v>6433</v>
      </c>
      <c r="B4635" s="645" t="s">
        <v>740</v>
      </c>
      <c r="C4635" s="643" t="s">
        <v>6445</v>
      </c>
      <c r="D4635" s="643" t="s">
        <v>6115</v>
      </c>
      <c r="E4635" s="656"/>
      <c r="F4635" s="657">
        <f t="shared" si="1697"/>
        <v>6.95</v>
      </c>
      <c r="G4635" s="657">
        <f t="shared" si="1698"/>
        <v>7.35</v>
      </c>
      <c r="H4635" s="656">
        <f t="shared" si="1686"/>
        <v>5.88</v>
      </c>
      <c r="I4635" s="701"/>
      <c r="J4635" s="669">
        <v>43769</v>
      </c>
      <c r="N4635" s="333" t="str">
        <f t="shared" si="1700"/>
        <v>Nov19</v>
      </c>
      <c r="O4635" s="568">
        <v>0.01</v>
      </c>
      <c r="P4635" s="23">
        <f t="shared" si="1701"/>
        <v>7.3490271654053299</v>
      </c>
      <c r="Q4635" s="23">
        <f t="shared" si="1699"/>
        <v>6.9490271654053295</v>
      </c>
      <c r="R4635" s="23"/>
    </row>
    <row r="4636" spans="1:24" x14ac:dyDescent="0.25">
      <c r="A4636" s="644" t="s">
        <v>6434</v>
      </c>
      <c r="B4636" s="645" t="s">
        <v>740</v>
      </c>
      <c r="C4636" s="643" t="s">
        <v>6446</v>
      </c>
      <c r="D4636" s="643" t="s">
        <v>6115</v>
      </c>
      <c r="E4636" s="656"/>
      <c r="F4636" s="657">
        <f t="shared" si="1697"/>
        <v>6.88</v>
      </c>
      <c r="G4636" s="657">
        <f t="shared" si="1698"/>
        <v>7.28</v>
      </c>
      <c r="H4636" s="656">
        <f t="shared" si="1686"/>
        <v>5.82</v>
      </c>
      <c r="I4636" s="701"/>
      <c r="J4636" s="669">
        <v>43769</v>
      </c>
      <c r="M4636" s="774"/>
      <c r="N4636" s="333" t="str">
        <f t="shared" si="1700"/>
        <v>Dez19</v>
      </c>
      <c r="O4636" s="568">
        <v>0.01</v>
      </c>
      <c r="P4636" s="23">
        <f t="shared" si="1701"/>
        <v>7.2755368937512763</v>
      </c>
      <c r="Q4636" s="23">
        <f t="shared" si="1699"/>
        <v>6.875536893751276</v>
      </c>
      <c r="R4636" s="23"/>
      <c r="S4636" s="774"/>
      <c r="T4636" s="774"/>
      <c r="U4636" s="774"/>
      <c r="V4636" s="774"/>
      <c r="W4636" s="774"/>
      <c r="X4636" s="774"/>
    </row>
    <row r="4637" spans="1:24" s="774" customFormat="1" x14ac:dyDescent="0.25">
      <c r="A4637" s="608"/>
      <c r="B4637" s="2"/>
      <c r="C4637" s="34"/>
      <c r="D4637" s="34"/>
      <c r="E4637" s="2"/>
      <c r="F4637" s="445"/>
      <c r="G4637" s="14"/>
      <c r="H4637" s="14" t="str">
        <f t="shared" si="1686"/>
        <v/>
      </c>
      <c r="I4637" s="695"/>
      <c r="J4637" s="669" t="s">
        <v>4180</v>
      </c>
      <c r="N4637" s="137" t="s">
        <v>3902</v>
      </c>
      <c r="O4637" s="270" t="s">
        <v>5490</v>
      </c>
      <c r="P4637" s="769" t="s">
        <v>49</v>
      </c>
      <c r="Q4637" s="769" t="s">
        <v>50</v>
      </c>
      <c r="R4637" s="23"/>
    </row>
    <row r="4638" spans="1:24" s="774" customFormat="1" x14ac:dyDescent="0.25">
      <c r="A4638" s="644" t="s">
        <v>6562</v>
      </c>
      <c r="B4638" s="645" t="s">
        <v>740</v>
      </c>
      <c r="C4638" s="643" t="s">
        <v>6563</v>
      </c>
      <c r="D4638" s="643" t="s">
        <v>6115</v>
      </c>
      <c r="E4638" s="656"/>
      <c r="F4638" s="657">
        <f t="shared" ref="F4638:F4649" si="1702">IF($O4638&lt;&gt;"",ROUND(Q4638,2),"")</f>
        <v>6.8</v>
      </c>
      <c r="G4638" s="657">
        <f t="shared" ref="G4638:G4649" si="1703">IF($O4638&lt;&gt;"",ROUND(P4638,2),"")</f>
        <v>7.2</v>
      </c>
      <c r="H4638" s="656">
        <f t="shared" si="1686"/>
        <v>5.76</v>
      </c>
      <c r="I4638" s="701"/>
      <c r="J4638" s="669">
        <v>43796</v>
      </c>
      <c r="M4638" s="127">
        <v>2020</v>
      </c>
      <c r="N4638" s="570" t="s">
        <v>6586</v>
      </c>
      <c r="O4638" s="568">
        <v>0.01</v>
      </c>
      <c r="P4638" s="23">
        <f>IF($O4638&lt;&gt;"",P4636*(100%-$O4638),"")</f>
        <v>7.2027815248137639</v>
      </c>
      <c r="Q4638" s="23">
        <f t="shared" ref="Q4638:Q4649" si="1704">IF($O4638&lt;&gt;"",P4638-0.4,"")</f>
        <v>6.8027815248137635</v>
      </c>
      <c r="R4638" s="23"/>
    </row>
    <row r="4639" spans="1:24" s="774" customFormat="1" x14ac:dyDescent="0.25">
      <c r="A4639" s="644" t="s">
        <v>6564</v>
      </c>
      <c r="B4639" s="645" t="s">
        <v>740</v>
      </c>
      <c r="C4639" s="643" t="s">
        <v>6565</v>
      </c>
      <c r="D4639" s="643" t="s">
        <v>6115</v>
      </c>
      <c r="E4639" s="656"/>
      <c r="F4639" s="657">
        <f t="shared" si="1702"/>
        <v>6.7</v>
      </c>
      <c r="G4639" s="657">
        <f t="shared" si="1703"/>
        <v>7.1</v>
      </c>
      <c r="H4639" s="656">
        <f t="shared" si="1686"/>
        <v>5.68</v>
      </c>
      <c r="I4639" s="701"/>
      <c r="J4639" s="669">
        <v>43873</v>
      </c>
      <c r="M4639" s="413"/>
      <c r="N4639" s="333" t="str">
        <f t="shared" ref="N4639:N4649" si="1705">TEXT(DATE(YEAR(DATEVALUE(N4638)),MONTH(DATEVALUE(N4638))+1,1),"MMMJJ")</f>
        <v>Feb20</v>
      </c>
      <c r="O4639" s="568">
        <v>1.4E-2</v>
      </c>
      <c r="P4639" s="23">
        <f t="shared" ref="P4639:P4649" si="1706">IF($O4639&lt;&gt;"",P4638*(100%-$O4639),"")</f>
        <v>7.1019425834663714</v>
      </c>
      <c r="Q4639" s="23">
        <f t="shared" si="1704"/>
        <v>6.7019425834663711</v>
      </c>
      <c r="R4639" s="23"/>
    </row>
    <row r="4640" spans="1:24" s="774" customFormat="1" x14ac:dyDescent="0.25">
      <c r="A4640" s="644" t="s">
        <v>6566</v>
      </c>
      <c r="B4640" s="645" t="s">
        <v>740</v>
      </c>
      <c r="C4640" s="643" t="s">
        <v>6567</v>
      </c>
      <c r="D4640" s="643" t="s">
        <v>6115</v>
      </c>
      <c r="E4640" s="656"/>
      <c r="F4640" s="657">
        <f t="shared" si="1702"/>
        <v>6.6</v>
      </c>
      <c r="G4640" s="657">
        <f t="shared" si="1703"/>
        <v>7</v>
      </c>
      <c r="H4640" s="656">
        <f t="shared" si="1686"/>
        <v>5.6</v>
      </c>
      <c r="I4640" s="701"/>
      <c r="J4640" s="669">
        <v>43873</v>
      </c>
      <c r="M4640" s="413"/>
      <c r="N4640" s="333" t="str">
        <f t="shared" si="1705"/>
        <v>Mrz20</v>
      </c>
      <c r="O4640" s="568">
        <v>1.4E-2</v>
      </c>
      <c r="P4640" s="23">
        <f t="shared" si="1706"/>
        <v>7.0025153872978425</v>
      </c>
      <c r="Q4640" s="23">
        <f t="shared" si="1704"/>
        <v>6.6025153872978422</v>
      </c>
      <c r="R4640" s="23"/>
    </row>
    <row r="4641" spans="1:18" s="774" customFormat="1" x14ac:dyDescent="0.25">
      <c r="A4641" s="644" t="s">
        <v>6568</v>
      </c>
      <c r="B4641" s="645" t="s">
        <v>740</v>
      </c>
      <c r="C4641" s="643" t="s">
        <v>6569</v>
      </c>
      <c r="D4641" s="643" t="s">
        <v>6115</v>
      </c>
      <c r="E4641" s="656"/>
      <c r="F4641" s="657">
        <f t="shared" si="1702"/>
        <v>6.5</v>
      </c>
      <c r="G4641" s="657">
        <f t="shared" si="1703"/>
        <v>6.9</v>
      </c>
      <c r="H4641" s="656">
        <f t="shared" si="1686"/>
        <v>5.52</v>
      </c>
      <c r="I4641" s="701"/>
      <c r="J4641" s="669">
        <v>43873</v>
      </c>
      <c r="K4641" s="12"/>
      <c r="L4641" s="12"/>
      <c r="M4641" s="413"/>
      <c r="N4641" s="333" t="str">
        <f t="shared" si="1705"/>
        <v>Apr20</v>
      </c>
      <c r="O4641" s="568">
        <v>1.4E-2</v>
      </c>
      <c r="P4641" s="23">
        <f t="shared" si="1706"/>
        <v>6.9044801718756723</v>
      </c>
      <c r="Q4641" s="23">
        <f t="shared" si="1704"/>
        <v>6.504480171875672</v>
      </c>
      <c r="R4641" s="23"/>
    </row>
    <row r="4642" spans="1:18" s="774" customFormat="1" x14ac:dyDescent="0.25">
      <c r="A4642" s="644" t="s">
        <v>6570</v>
      </c>
      <c r="B4642" s="645" t="s">
        <v>740</v>
      </c>
      <c r="C4642" s="643" t="s">
        <v>6571</v>
      </c>
      <c r="D4642" s="643" t="s">
        <v>6115</v>
      </c>
      <c r="E4642" s="656"/>
      <c r="F4642" s="657">
        <f t="shared" si="1702"/>
        <v>6.41</v>
      </c>
      <c r="G4642" s="657">
        <f t="shared" si="1703"/>
        <v>6.81</v>
      </c>
      <c r="H4642" s="656">
        <f t="shared" si="1686"/>
        <v>5.45</v>
      </c>
      <c r="I4642" s="701"/>
      <c r="J4642" s="669">
        <v>43951</v>
      </c>
      <c r="K4642" s="12"/>
      <c r="L4642" s="12"/>
      <c r="M4642" s="413"/>
      <c r="N4642" s="680" t="str">
        <f t="shared" si="1705"/>
        <v>Mai20</v>
      </c>
      <c r="O4642" s="568">
        <v>1.4E-2</v>
      </c>
      <c r="P4642" s="23">
        <f t="shared" si="1706"/>
        <v>6.8078174494694128</v>
      </c>
      <c r="Q4642" s="23">
        <f t="shared" si="1704"/>
        <v>6.4078174494694125</v>
      </c>
      <c r="R4642" s="23"/>
    </row>
    <row r="4643" spans="1:18" s="774" customFormat="1" x14ac:dyDescent="0.25">
      <c r="A4643" s="644" t="s">
        <v>6572</v>
      </c>
      <c r="B4643" s="645" t="s">
        <v>740</v>
      </c>
      <c r="C4643" s="643" t="s">
        <v>6573</v>
      </c>
      <c r="D4643" s="643" t="s">
        <v>6115</v>
      </c>
      <c r="E4643" s="656"/>
      <c r="F4643" s="657">
        <f t="shared" si="1702"/>
        <v>6.31</v>
      </c>
      <c r="G4643" s="657">
        <f t="shared" si="1703"/>
        <v>6.71</v>
      </c>
      <c r="H4643" s="656">
        <f t="shared" si="1686"/>
        <v>5.37</v>
      </c>
      <c r="I4643" s="701"/>
      <c r="J4643" s="669">
        <v>43951</v>
      </c>
      <c r="K4643" s="12"/>
      <c r="L4643" s="12"/>
      <c r="M4643" s="413"/>
      <c r="N4643" s="680" t="str">
        <f t="shared" si="1705"/>
        <v>Jun20</v>
      </c>
      <c r="O4643" s="568">
        <v>1.4E-2</v>
      </c>
      <c r="P4643" s="23">
        <f t="shared" si="1706"/>
        <v>6.7125080051768409</v>
      </c>
      <c r="Q4643" s="23">
        <f t="shared" si="1704"/>
        <v>6.3125080051768405</v>
      </c>
      <c r="R4643" s="23"/>
    </row>
    <row r="4644" spans="1:18" s="774" customFormat="1" x14ac:dyDescent="0.25">
      <c r="A4644" s="644" t="s">
        <v>6574</v>
      </c>
      <c r="B4644" s="645" t="s">
        <v>740</v>
      </c>
      <c r="C4644" s="643" t="s">
        <v>6575</v>
      </c>
      <c r="D4644" s="643" t="s">
        <v>6115</v>
      </c>
      <c r="E4644" s="656"/>
      <c r="F4644" s="657">
        <f t="shared" si="1702"/>
        <v>6.22</v>
      </c>
      <c r="G4644" s="657">
        <f t="shared" si="1703"/>
        <v>6.62</v>
      </c>
      <c r="H4644" s="656">
        <f t="shared" si="1686"/>
        <v>5.3</v>
      </c>
      <c r="I4644" s="701"/>
      <c r="J4644" s="669">
        <v>43951</v>
      </c>
      <c r="M4644" s="413"/>
      <c r="N4644" s="680" t="str">
        <f t="shared" si="1705"/>
        <v>Jul20</v>
      </c>
      <c r="O4644" s="568">
        <v>1.4E-2</v>
      </c>
      <c r="P4644" s="23">
        <f t="shared" si="1706"/>
        <v>6.6185328931043648</v>
      </c>
      <c r="Q4644" s="23">
        <f t="shared" si="1704"/>
        <v>6.2185328931043644</v>
      </c>
      <c r="R4644" s="23"/>
    </row>
    <row r="4645" spans="1:18" s="774" customFormat="1" x14ac:dyDescent="0.25">
      <c r="A4645" s="644" t="s">
        <v>6576</v>
      </c>
      <c r="B4645" s="645" t="s">
        <v>740</v>
      </c>
      <c r="C4645" s="643" t="s">
        <v>6577</v>
      </c>
      <c r="D4645" s="643" t="s">
        <v>6115</v>
      </c>
      <c r="E4645" s="656"/>
      <c r="F4645" s="657">
        <f t="shared" si="1702"/>
        <v>6.13</v>
      </c>
      <c r="G4645" s="657">
        <f t="shared" si="1703"/>
        <v>6.53</v>
      </c>
      <c r="H4645" s="656">
        <f t="shared" si="1686"/>
        <v>5.22</v>
      </c>
      <c r="I4645" s="701"/>
      <c r="J4645" s="669">
        <v>44064</v>
      </c>
      <c r="M4645" s="127"/>
      <c r="N4645" s="333" t="str">
        <f t="shared" si="1705"/>
        <v>Aug20</v>
      </c>
      <c r="O4645" s="568">
        <v>1.4E-2</v>
      </c>
      <c r="P4645" s="23">
        <f t="shared" si="1706"/>
        <v>6.5258734326009034</v>
      </c>
      <c r="Q4645" s="23">
        <f t="shared" si="1704"/>
        <v>6.125873432600903</v>
      </c>
      <c r="R4645" s="23"/>
    </row>
    <row r="4646" spans="1:18" s="774" customFormat="1" x14ac:dyDescent="0.25">
      <c r="A4646" s="644" t="s">
        <v>6578</v>
      </c>
      <c r="B4646" s="645" t="s">
        <v>740</v>
      </c>
      <c r="C4646" s="643" t="s">
        <v>6579</v>
      </c>
      <c r="D4646" s="643" t="s">
        <v>6115</v>
      </c>
      <c r="E4646" s="656"/>
      <c r="F4646" s="657">
        <f t="shared" si="1702"/>
        <v>6.03</v>
      </c>
      <c r="G4646" s="657">
        <f t="shared" si="1703"/>
        <v>6.43</v>
      </c>
      <c r="H4646" s="656">
        <f t="shared" si="1686"/>
        <v>5.14</v>
      </c>
      <c r="I4646" s="701"/>
      <c r="J4646" s="669">
        <v>44064</v>
      </c>
      <c r="N4646" s="333" t="str">
        <f t="shared" si="1705"/>
        <v>Sep20</v>
      </c>
      <c r="O4646" s="568">
        <v>1.4E-2</v>
      </c>
      <c r="P4646" s="23">
        <f t="shared" si="1706"/>
        <v>6.4345112045444903</v>
      </c>
      <c r="Q4646" s="23">
        <f t="shared" si="1704"/>
        <v>6.03451120454449</v>
      </c>
      <c r="R4646" s="23"/>
    </row>
    <row r="4647" spans="1:18" s="774" customFormat="1" x14ac:dyDescent="0.25">
      <c r="A4647" s="644" t="s">
        <v>6580</v>
      </c>
      <c r="B4647" s="645" t="s">
        <v>740</v>
      </c>
      <c r="C4647" s="643" t="s">
        <v>6581</v>
      </c>
      <c r="D4647" s="643" t="s">
        <v>6115</v>
      </c>
      <c r="E4647" s="656"/>
      <c r="F4647" s="657">
        <f t="shared" si="1702"/>
        <v>5.94</v>
      </c>
      <c r="G4647" s="657">
        <f t="shared" si="1703"/>
        <v>6.34</v>
      </c>
      <c r="H4647" s="656">
        <f t="shared" si="1686"/>
        <v>5.07</v>
      </c>
      <c r="I4647" s="701"/>
      <c r="J4647" s="669">
        <v>44064</v>
      </c>
      <c r="N4647" s="333" t="str">
        <f t="shared" si="1705"/>
        <v>Okt20</v>
      </c>
      <c r="O4647" s="568">
        <v>1.4E-2</v>
      </c>
      <c r="P4647" s="23">
        <f t="shared" si="1706"/>
        <v>6.344428047680867</v>
      </c>
      <c r="Q4647" s="23">
        <f t="shared" si="1704"/>
        <v>5.9444280476808666</v>
      </c>
      <c r="R4647" s="23"/>
    </row>
    <row r="4648" spans="1:18" s="774" customFormat="1" x14ac:dyDescent="0.25">
      <c r="A4648" s="644" t="s">
        <v>6582</v>
      </c>
      <c r="B4648" s="645" t="s">
        <v>740</v>
      </c>
      <c r="C4648" s="643" t="s">
        <v>6583</v>
      </c>
      <c r="D4648" s="643" t="s">
        <v>6115</v>
      </c>
      <c r="E4648" s="656"/>
      <c r="F4648" s="657">
        <f t="shared" si="1702"/>
        <v>5.83</v>
      </c>
      <c r="G4648" s="657">
        <f t="shared" si="1703"/>
        <v>6.23</v>
      </c>
      <c r="H4648" s="656">
        <f t="shared" si="1686"/>
        <v>4.9800000000000004</v>
      </c>
      <c r="I4648" s="701"/>
      <c r="J4648" s="669">
        <v>44140</v>
      </c>
      <c r="N4648" s="333" t="str">
        <f t="shared" si="1705"/>
        <v>Nov20</v>
      </c>
      <c r="O4648" s="568">
        <v>1.7999999999999999E-2</v>
      </c>
      <c r="P4648" s="23">
        <f t="shared" si="1706"/>
        <v>6.2302283428226115</v>
      </c>
      <c r="Q4648" s="23">
        <f t="shared" si="1704"/>
        <v>5.8302283428226112</v>
      </c>
      <c r="R4648" s="23"/>
    </row>
    <row r="4649" spans="1:18" s="774" customFormat="1" x14ac:dyDescent="0.25">
      <c r="A4649" s="644" t="s">
        <v>6584</v>
      </c>
      <c r="B4649" s="645" t="s">
        <v>740</v>
      </c>
      <c r="C4649" s="643" t="s">
        <v>6585</v>
      </c>
      <c r="D4649" s="643" t="s">
        <v>6115</v>
      </c>
      <c r="E4649" s="656"/>
      <c r="F4649" s="657">
        <f t="shared" si="1702"/>
        <v>5.72</v>
      </c>
      <c r="G4649" s="657">
        <f t="shared" si="1703"/>
        <v>6.12</v>
      </c>
      <c r="H4649" s="656">
        <f t="shared" si="1686"/>
        <v>4.9000000000000004</v>
      </c>
      <c r="I4649" s="701"/>
      <c r="J4649" s="669">
        <v>44140</v>
      </c>
      <c r="N4649" s="333" t="str">
        <f t="shared" si="1705"/>
        <v>Dez20</v>
      </c>
      <c r="O4649" s="568">
        <v>1.7999999999999999E-2</v>
      </c>
      <c r="P4649" s="23">
        <f t="shared" si="1706"/>
        <v>6.1180842326518041</v>
      </c>
      <c r="Q4649" s="23">
        <f t="shared" si="1704"/>
        <v>5.7180842326518038</v>
      </c>
      <c r="R4649" s="23"/>
    </row>
    <row r="4650" spans="1:18" s="774" customFormat="1" x14ac:dyDescent="0.25">
      <c r="A4650" s="608"/>
      <c r="B4650" s="2"/>
      <c r="C4650" s="445"/>
      <c r="D4650" s="34"/>
      <c r="E4650" s="2"/>
      <c r="F4650" s="445"/>
      <c r="G4650" s="14"/>
      <c r="H4650" s="14" t="str">
        <f t="shared" si="1686"/>
        <v/>
      </c>
      <c r="I4650" s="695"/>
      <c r="J4650" s="669" t="s">
        <v>4180</v>
      </c>
      <c r="N4650" s="137" t="s">
        <v>3902</v>
      </c>
      <c r="O4650" s="270" t="s">
        <v>5490</v>
      </c>
      <c r="P4650" s="769" t="s">
        <v>49</v>
      </c>
      <c r="Q4650" s="769" t="s">
        <v>50</v>
      </c>
      <c r="R4650" s="23"/>
    </row>
    <row r="4651" spans="1:18" s="774" customFormat="1" x14ac:dyDescent="0.25">
      <c r="A4651" s="644" t="s">
        <v>6660</v>
      </c>
      <c r="B4651" s="645" t="s">
        <v>740</v>
      </c>
      <c r="C4651" s="643" t="s">
        <v>6672</v>
      </c>
      <c r="D4651" s="643" t="s">
        <v>6115</v>
      </c>
      <c r="E4651" s="656"/>
      <c r="F4651" s="793">
        <f t="shared" ref="F4651:F4662" si="1707">IF($O4651&lt;&gt;"",ROUND(Q4651,2),"")</f>
        <v>5.61</v>
      </c>
      <c r="G4651" s="793">
        <f t="shared" ref="G4651:G4662" si="1708">IF($O4651&lt;&gt;"",ROUND(P4651,2),"")</f>
        <v>6.01</v>
      </c>
      <c r="H4651" s="795">
        <f t="shared" si="1686"/>
        <v>4.8099999999999996</v>
      </c>
      <c r="I4651" s="701"/>
      <c r="J4651" s="669">
        <v>44424</v>
      </c>
      <c r="M4651" s="127">
        <v>2021</v>
      </c>
      <c r="N4651" s="570" t="s">
        <v>6684</v>
      </c>
      <c r="O4651" s="568" t="s">
        <v>7539</v>
      </c>
      <c r="P4651" s="23">
        <v>6.01</v>
      </c>
      <c r="Q4651" s="23">
        <v>5.61</v>
      </c>
      <c r="R4651" s="23"/>
    </row>
    <row r="4652" spans="1:18" s="774" customFormat="1" x14ac:dyDescent="0.25">
      <c r="A4652" s="644" t="s">
        <v>6661</v>
      </c>
      <c r="B4652" s="645" t="s">
        <v>740</v>
      </c>
      <c r="C4652" s="643" t="s">
        <v>6673</v>
      </c>
      <c r="D4652" s="643" t="s">
        <v>6115</v>
      </c>
      <c r="E4652" s="656"/>
      <c r="F4652" s="657">
        <f t="shared" si="1707"/>
        <v>5.53</v>
      </c>
      <c r="G4652" s="657">
        <f t="shared" si="1708"/>
        <v>5.93</v>
      </c>
      <c r="H4652" s="658">
        <f t="shared" si="1686"/>
        <v>4.74</v>
      </c>
      <c r="I4652" s="701"/>
      <c r="J4652" s="669">
        <v>44424</v>
      </c>
      <c r="M4652" s="413"/>
      <c r="N4652" s="333" t="str">
        <f t="shared" ref="N4652:N4662" si="1709">TEXT(DATE(YEAR(DATEVALUE(N4651)),MONTH(DATEVALUE(N4651))+1,1),"MMMJJ")</f>
        <v>Feb21</v>
      </c>
      <c r="O4652" s="568">
        <v>1.4E-2</v>
      </c>
      <c r="P4652" s="23">
        <f t="shared" ref="P4652:P4662" si="1710">IF($O4652&lt;&gt;"",P4651*(100%-$O4652),"")</f>
        <v>5.9258600000000001</v>
      </c>
      <c r="Q4652" s="23">
        <f t="shared" ref="Q4652:Q4662" si="1711">IF($O4652&lt;&gt;"",P4652-0.4,"")</f>
        <v>5.5258599999999998</v>
      </c>
      <c r="R4652" s="23"/>
    </row>
    <row r="4653" spans="1:18" s="774" customFormat="1" x14ac:dyDescent="0.25">
      <c r="A4653" s="644" t="s">
        <v>6662</v>
      </c>
      <c r="B4653" s="645" t="s">
        <v>740</v>
      </c>
      <c r="C4653" s="643" t="s">
        <v>6674</v>
      </c>
      <c r="D4653" s="643" t="s">
        <v>6115</v>
      </c>
      <c r="E4653" s="656"/>
      <c r="F4653" s="657">
        <f t="shared" si="1707"/>
        <v>5.44</v>
      </c>
      <c r="G4653" s="657">
        <f t="shared" si="1708"/>
        <v>5.84</v>
      </c>
      <c r="H4653" s="658">
        <f t="shared" si="1686"/>
        <v>4.67</v>
      </c>
      <c r="I4653" s="701"/>
      <c r="J4653" s="669">
        <v>44424</v>
      </c>
      <c r="M4653" s="413"/>
      <c r="N4653" s="333" t="str">
        <f t="shared" si="1709"/>
        <v>Mrz21</v>
      </c>
      <c r="O4653" s="568">
        <v>1.4E-2</v>
      </c>
      <c r="P4653" s="23">
        <f t="shared" si="1710"/>
        <v>5.8428979600000002</v>
      </c>
      <c r="Q4653" s="23">
        <f t="shared" si="1711"/>
        <v>5.4428979599999998</v>
      </c>
      <c r="R4653" s="23"/>
    </row>
    <row r="4654" spans="1:18" s="774" customFormat="1" x14ac:dyDescent="0.25">
      <c r="A4654" s="644" t="s">
        <v>6663</v>
      </c>
      <c r="B4654" s="645" t="s">
        <v>740</v>
      </c>
      <c r="C4654" s="643" t="s">
        <v>6675</v>
      </c>
      <c r="D4654" s="643" t="s">
        <v>6115</v>
      </c>
      <c r="E4654" s="656"/>
      <c r="F4654" s="657">
        <f t="shared" si="1707"/>
        <v>5.36</v>
      </c>
      <c r="G4654" s="657">
        <f t="shared" si="1708"/>
        <v>5.76</v>
      </c>
      <c r="H4654" s="658">
        <f t="shared" si="1686"/>
        <v>4.6100000000000003</v>
      </c>
      <c r="I4654" s="701"/>
      <c r="J4654" s="669">
        <v>44424</v>
      </c>
      <c r="K4654" s="12"/>
      <c r="L4654" s="12"/>
      <c r="M4654" s="413"/>
      <c r="N4654" s="333" t="str">
        <f t="shared" si="1709"/>
        <v>Apr21</v>
      </c>
      <c r="O4654" s="568">
        <v>1.4E-2</v>
      </c>
      <c r="P4654" s="23">
        <f t="shared" si="1710"/>
        <v>5.7610973885600005</v>
      </c>
      <c r="Q4654" s="23">
        <f t="shared" si="1711"/>
        <v>5.3610973885600002</v>
      </c>
      <c r="R4654" s="23"/>
    </row>
    <row r="4655" spans="1:18" s="774" customFormat="1" x14ac:dyDescent="0.25">
      <c r="A4655" s="644" t="s">
        <v>6664</v>
      </c>
      <c r="B4655" s="645" t="s">
        <v>740</v>
      </c>
      <c r="C4655" s="643" t="s">
        <v>6676</v>
      </c>
      <c r="D4655" s="643" t="s">
        <v>6115</v>
      </c>
      <c r="E4655" s="656"/>
      <c r="F4655" s="657">
        <f t="shared" si="1707"/>
        <v>5.28</v>
      </c>
      <c r="G4655" s="657">
        <f t="shared" si="1708"/>
        <v>5.68</v>
      </c>
      <c r="H4655" s="658">
        <f t="shared" si="1686"/>
        <v>4.54</v>
      </c>
      <c r="I4655" s="701"/>
      <c r="J4655" s="669">
        <v>44424</v>
      </c>
      <c r="K4655" s="12"/>
      <c r="L4655" s="12"/>
      <c r="M4655" s="413"/>
      <c r="N4655" s="680" t="str">
        <f t="shared" si="1709"/>
        <v>Mai21</v>
      </c>
      <c r="O4655" s="568">
        <v>1.4E-2</v>
      </c>
      <c r="P4655" s="23">
        <f t="shared" si="1710"/>
        <v>5.6804420251201604</v>
      </c>
      <c r="Q4655" s="23">
        <f t="shared" si="1711"/>
        <v>5.28044202512016</v>
      </c>
      <c r="R4655" s="23"/>
    </row>
    <row r="4656" spans="1:18" s="774" customFormat="1" x14ac:dyDescent="0.25">
      <c r="A4656" s="644" t="s">
        <v>6665</v>
      </c>
      <c r="B4656" s="645" t="s">
        <v>740</v>
      </c>
      <c r="C4656" s="643" t="s">
        <v>6677</v>
      </c>
      <c r="D4656" s="643" t="s">
        <v>6115</v>
      </c>
      <c r="E4656" s="656"/>
      <c r="F4656" s="657">
        <f t="shared" si="1707"/>
        <v>5.2</v>
      </c>
      <c r="G4656" s="657">
        <f t="shared" si="1708"/>
        <v>5.6</v>
      </c>
      <c r="H4656" s="658">
        <f t="shared" si="1686"/>
        <v>4.4800000000000004</v>
      </c>
      <c r="I4656" s="701"/>
      <c r="J4656" s="669">
        <v>44424</v>
      </c>
      <c r="K4656" s="12"/>
      <c r="L4656" s="12"/>
      <c r="M4656" s="413"/>
      <c r="N4656" s="680" t="str">
        <f t="shared" si="1709"/>
        <v>Jun21</v>
      </c>
      <c r="O4656" s="568">
        <v>1.4E-2</v>
      </c>
      <c r="P4656" s="23">
        <f t="shared" si="1710"/>
        <v>5.6009158367684782</v>
      </c>
      <c r="Q4656" s="23">
        <f t="shared" si="1711"/>
        <v>5.2009158367684778</v>
      </c>
      <c r="R4656" s="23"/>
    </row>
    <row r="4657" spans="1:19" s="774" customFormat="1" x14ac:dyDescent="0.25">
      <c r="A4657" s="644" t="s">
        <v>6666</v>
      </c>
      <c r="B4657" s="645" t="s">
        <v>740</v>
      </c>
      <c r="C4657" s="643" t="s">
        <v>6678</v>
      </c>
      <c r="D4657" s="643" t="s">
        <v>6115</v>
      </c>
      <c r="E4657" s="656"/>
      <c r="F4657" s="657">
        <f t="shared" si="1707"/>
        <v>5.12</v>
      </c>
      <c r="G4657" s="657">
        <f t="shared" si="1708"/>
        <v>5.52</v>
      </c>
      <c r="H4657" s="658">
        <f t="shared" si="1686"/>
        <v>4.42</v>
      </c>
      <c r="I4657" s="701"/>
      <c r="J4657" s="669">
        <v>44424</v>
      </c>
      <c r="M4657" s="413"/>
      <c r="N4657" s="680" t="str">
        <f t="shared" si="1709"/>
        <v>Jul21</v>
      </c>
      <c r="O4657" s="568">
        <v>1.4E-2</v>
      </c>
      <c r="P4657" s="23">
        <f t="shared" si="1710"/>
        <v>5.5225030150537195</v>
      </c>
      <c r="Q4657" s="23">
        <f t="shared" si="1711"/>
        <v>5.1225030150537192</v>
      </c>
      <c r="R4657" s="23"/>
    </row>
    <row r="4658" spans="1:19" s="774" customFormat="1" x14ac:dyDescent="0.25">
      <c r="A4658" s="644" t="s">
        <v>6667</v>
      </c>
      <c r="B4658" s="645" t="s">
        <v>740</v>
      </c>
      <c r="C4658" s="643" t="s">
        <v>6679</v>
      </c>
      <c r="D4658" s="643" t="s">
        <v>6115</v>
      </c>
      <c r="E4658" s="656"/>
      <c r="F4658" s="657">
        <f t="shared" si="1707"/>
        <v>5.05</v>
      </c>
      <c r="G4658" s="657">
        <f t="shared" si="1708"/>
        <v>5.45</v>
      </c>
      <c r="H4658" s="658">
        <f t="shared" si="1686"/>
        <v>4.3600000000000003</v>
      </c>
      <c r="I4658" s="701"/>
      <c r="J4658" s="669">
        <v>44424</v>
      </c>
      <c r="M4658" s="127"/>
      <c r="N4658" s="333" t="str">
        <f t="shared" si="1709"/>
        <v>Aug21</v>
      </c>
      <c r="O4658" s="568">
        <v>1.4E-2</v>
      </c>
      <c r="P4658" s="23">
        <f t="shared" si="1710"/>
        <v>5.4451879728429677</v>
      </c>
      <c r="Q4658" s="23">
        <f t="shared" si="1711"/>
        <v>5.0451879728429674</v>
      </c>
      <c r="R4658" s="23"/>
    </row>
    <row r="4659" spans="1:19" s="774" customFormat="1" x14ac:dyDescent="0.25">
      <c r="A4659" s="644" t="s">
        <v>6668</v>
      </c>
      <c r="B4659" s="645" t="s">
        <v>740</v>
      </c>
      <c r="C4659" s="643" t="s">
        <v>6680</v>
      </c>
      <c r="D4659" s="643" t="s">
        <v>6115</v>
      </c>
      <c r="E4659" s="656"/>
      <c r="F4659" s="657">
        <f t="shared" si="1707"/>
        <v>4.97</v>
      </c>
      <c r="G4659" s="657">
        <f t="shared" si="1708"/>
        <v>5.37</v>
      </c>
      <c r="H4659" s="658">
        <f t="shared" si="1686"/>
        <v>4.3</v>
      </c>
      <c r="I4659" s="701"/>
      <c r="J4659" s="669">
        <v>44424</v>
      </c>
      <c r="N4659" s="333" t="str">
        <f t="shared" si="1709"/>
        <v>Sep21</v>
      </c>
      <c r="O4659" s="568">
        <v>1.4E-2</v>
      </c>
      <c r="P4659" s="23">
        <f t="shared" si="1710"/>
        <v>5.3689553412231659</v>
      </c>
      <c r="Q4659" s="23">
        <f t="shared" si="1711"/>
        <v>4.9689553412231655</v>
      </c>
      <c r="R4659" s="23"/>
    </row>
    <row r="4660" spans="1:19" s="774" customFormat="1" x14ac:dyDescent="0.25">
      <c r="A4660" s="644" t="s">
        <v>6669</v>
      </c>
      <c r="B4660" s="645" t="s">
        <v>740</v>
      </c>
      <c r="C4660" s="643" t="s">
        <v>6681</v>
      </c>
      <c r="D4660" s="643" t="s">
        <v>6115</v>
      </c>
      <c r="E4660" s="656"/>
      <c r="F4660" s="657">
        <f t="shared" si="1707"/>
        <v>4.8899999999999997</v>
      </c>
      <c r="G4660" s="657">
        <f t="shared" si="1708"/>
        <v>5.29</v>
      </c>
      <c r="H4660" s="658">
        <f t="shared" si="1686"/>
        <v>4.2300000000000004</v>
      </c>
      <c r="I4660" s="701"/>
      <c r="J4660" s="669">
        <v>44424</v>
      </c>
      <c r="N4660" s="333" t="str">
        <f t="shared" si="1709"/>
        <v>Okt21</v>
      </c>
      <c r="O4660" s="568">
        <v>1.4E-2</v>
      </c>
      <c r="P4660" s="23">
        <f t="shared" si="1710"/>
        <v>5.2937899664460417</v>
      </c>
      <c r="Q4660" s="23">
        <f t="shared" si="1711"/>
        <v>4.8937899664460414</v>
      </c>
      <c r="R4660" s="23"/>
    </row>
    <row r="4661" spans="1:19" s="774" customFormat="1" x14ac:dyDescent="0.25">
      <c r="A4661" s="644" t="s">
        <v>6670</v>
      </c>
      <c r="B4661" s="645" t="s">
        <v>740</v>
      </c>
      <c r="C4661" s="643" t="s">
        <v>6682</v>
      </c>
      <c r="D4661" s="643" t="s">
        <v>6115</v>
      </c>
      <c r="E4661" s="656"/>
      <c r="F4661" s="657">
        <f t="shared" si="1707"/>
        <v>4.82</v>
      </c>
      <c r="G4661" s="657">
        <f t="shared" si="1708"/>
        <v>5.22</v>
      </c>
      <c r="H4661" s="658">
        <f t="shared" ref="H4661:H4682" si="1712">IF(ISNUMBER(G4661),ROUND(0.8*G4661,2),"")</f>
        <v>4.18</v>
      </c>
      <c r="I4661" s="701"/>
      <c r="J4661" s="669">
        <v>44511</v>
      </c>
      <c r="N4661" s="333" t="str">
        <f t="shared" si="1709"/>
        <v>Nov21</v>
      </c>
      <c r="O4661" s="568">
        <v>1.4E-2</v>
      </c>
      <c r="P4661" s="23">
        <f t="shared" si="1710"/>
        <v>5.2196769069157973</v>
      </c>
      <c r="Q4661" s="23">
        <f t="shared" si="1711"/>
        <v>4.819676906915797</v>
      </c>
      <c r="R4661" s="23"/>
    </row>
    <row r="4662" spans="1:19" s="774" customFormat="1" x14ac:dyDescent="0.25">
      <c r="A4662" s="644" t="s">
        <v>6671</v>
      </c>
      <c r="B4662" s="645" t="s">
        <v>740</v>
      </c>
      <c r="C4662" s="643" t="s">
        <v>6683</v>
      </c>
      <c r="D4662" s="643" t="s">
        <v>6115</v>
      </c>
      <c r="E4662" s="656"/>
      <c r="F4662" s="657">
        <f t="shared" si="1707"/>
        <v>4.75</v>
      </c>
      <c r="G4662" s="657">
        <f t="shared" si="1708"/>
        <v>5.15</v>
      </c>
      <c r="H4662" s="658">
        <f t="shared" si="1712"/>
        <v>4.12</v>
      </c>
      <c r="I4662" s="701"/>
      <c r="J4662" s="669">
        <v>44511</v>
      </c>
      <c r="N4662" s="333" t="str">
        <f t="shared" si="1709"/>
        <v>Dez21</v>
      </c>
      <c r="O4662" s="568">
        <v>1.4E-2</v>
      </c>
      <c r="P4662" s="23">
        <f t="shared" si="1710"/>
        <v>5.1466014302189764</v>
      </c>
      <c r="Q4662" s="23">
        <f t="shared" si="1711"/>
        <v>4.7466014302189761</v>
      </c>
      <c r="R4662" s="23"/>
    </row>
    <row r="4663" spans="1:19" s="774" customFormat="1" x14ac:dyDescent="0.25">
      <c r="A4663" s="609"/>
      <c r="B4663" s="1"/>
      <c r="C4663" s="442"/>
      <c r="D4663" s="1"/>
      <c r="E4663" s="1"/>
      <c r="F4663" s="442"/>
      <c r="G4663" s="13"/>
      <c r="H4663" s="13" t="str">
        <f t="shared" si="1712"/>
        <v/>
      </c>
      <c r="I4663" s="692"/>
      <c r="J4663" s="669" t="s">
        <v>4180</v>
      </c>
      <c r="N4663" s="137" t="s">
        <v>3902</v>
      </c>
      <c r="O4663" s="866" t="s">
        <v>5490</v>
      </c>
      <c r="P4663" s="769" t="s">
        <v>49</v>
      </c>
      <c r="Q4663" s="769" t="s">
        <v>50</v>
      </c>
      <c r="R4663" s="769"/>
    </row>
    <row r="4664" spans="1:19" s="774" customFormat="1" x14ac:dyDescent="0.25">
      <c r="A4664" s="644" t="str">
        <f t="shared" ref="A4664:A4675" si="1713">"SoK481---"&amp;RIGHT(N4664,5)</f>
        <v>SoK481---Jan22</v>
      </c>
      <c r="B4664" s="645" t="s">
        <v>740</v>
      </c>
      <c r="C4664" s="645" t="str">
        <f t="shared" ref="C4664:C4675" si="1714">"Inbetriebnahme "&amp;TEXT(DATEVALUE(RIGHT(A4664,5)),"MM/JJJJ")</f>
        <v>Inbetriebnahme 01/2022</v>
      </c>
      <c r="D4664" s="645" t="s">
        <v>6115</v>
      </c>
      <c r="E4664" s="656"/>
      <c r="F4664" s="793">
        <f t="shared" ref="F4664:F4675" si="1715">IF($O4664&lt;&gt;"",ROUND(Q4664,2),"")</f>
        <v>4.67</v>
      </c>
      <c r="G4664" s="793">
        <f t="shared" ref="G4664:G4675" si="1716">IF($O4664&lt;&gt;"",ROUND(P4664,2),"")</f>
        <v>5.07</v>
      </c>
      <c r="H4664" s="867">
        <f t="shared" si="1712"/>
        <v>4.0599999999999996</v>
      </c>
      <c r="I4664" s="701"/>
      <c r="J4664" s="669">
        <v>44536</v>
      </c>
      <c r="M4664" s="127">
        <v>2022</v>
      </c>
      <c r="N4664" s="570" t="s">
        <v>7661</v>
      </c>
      <c r="O4664" s="568">
        <v>1.4E-2</v>
      </c>
      <c r="P4664" s="769">
        <f>IF($O4664&lt;&gt;"",P4662*(100%-$O4664),"")</f>
        <v>5.074549010195911</v>
      </c>
      <c r="Q4664" s="769">
        <f t="shared" ref="Q4664:Q4675" si="1717">IF($O4664&lt;&gt;"",P4664-0.4,"")</f>
        <v>4.6745490101959106</v>
      </c>
      <c r="R4664" s="769"/>
    </row>
    <row r="4665" spans="1:19" s="774" customFormat="1" x14ac:dyDescent="0.25">
      <c r="A4665" s="644" t="str">
        <f t="shared" si="1713"/>
        <v>SoK481---Feb22</v>
      </c>
      <c r="B4665" s="645" t="s">
        <v>740</v>
      </c>
      <c r="C4665" s="645" t="str">
        <f t="shared" si="1714"/>
        <v>Inbetriebnahme 02/2022</v>
      </c>
      <c r="D4665" s="645" t="s">
        <v>6115</v>
      </c>
      <c r="E4665" s="656"/>
      <c r="F4665" s="657">
        <f t="shared" si="1715"/>
        <v>4.5999999999999996</v>
      </c>
      <c r="G4665" s="657">
        <f t="shared" si="1716"/>
        <v>5</v>
      </c>
      <c r="H4665" s="656">
        <f t="shared" si="1712"/>
        <v>4</v>
      </c>
      <c r="I4665" s="701"/>
      <c r="J4665" s="669">
        <v>44592</v>
      </c>
      <c r="M4665" s="868"/>
      <c r="N4665" s="333" t="str">
        <f t="shared" ref="N4665:N4675" si="1718">TEXT(DATE(YEAR(DATEVALUE(N4664)),MONTH(DATEVALUE(N4664))+1,1),"MMMJJ")</f>
        <v>Feb22</v>
      </c>
      <c r="O4665" s="568">
        <v>1.4E-2</v>
      </c>
      <c r="P4665" s="769">
        <f t="shared" ref="P4665:P4675" si="1719">IF($O4665&lt;&gt;"",P4664*(100%-$O4665),"")</f>
        <v>5.0035053240531679</v>
      </c>
      <c r="Q4665" s="769">
        <f t="shared" si="1717"/>
        <v>4.6035053240531676</v>
      </c>
      <c r="R4665" s="769"/>
      <c r="S4665" s="864"/>
    </row>
    <row r="4666" spans="1:19" s="774" customFormat="1" x14ac:dyDescent="0.25">
      <c r="A4666" s="644" t="str">
        <f t="shared" si="1713"/>
        <v>SoK481---Mrz22</v>
      </c>
      <c r="B4666" s="645" t="s">
        <v>740</v>
      </c>
      <c r="C4666" s="645" t="str">
        <f t="shared" si="1714"/>
        <v>Inbetriebnahme 03/2022</v>
      </c>
      <c r="D4666" s="645" t="s">
        <v>6115</v>
      </c>
      <c r="E4666" s="656"/>
      <c r="F4666" s="657">
        <f t="shared" si="1715"/>
        <v>4.53</v>
      </c>
      <c r="G4666" s="657">
        <f t="shared" si="1716"/>
        <v>4.93</v>
      </c>
      <c r="H4666" s="656">
        <f t="shared" si="1712"/>
        <v>3.94</v>
      </c>
      <c r="I4666" s="701"/>
      <c r="J4666" s="669">
        <v>44592</v>
      </c>
      <c r="M4666" s="868"/>
      <c r="N4666" s="333" t="str">
        <f t="shared" si="1718"/>
        <v>Mrz22</v>
      </c>
      <c r="O4666" s="568">
        <v>1.4E-2</v>
      </c>
      <c r="P4666" s="769">
        <f t="shared" si="1719"/>
        <v>4.9334562495164231</v>
      </c>
      <c r="Q4666" s="769">
        <f t="shared" si="1717"/>
        <v>4.5334562495164228</v>
      </c>
      <c r="R4666" s="769"/>
      <c r="S4666" s="864"/>
    </row>
    <row r="4667" spans="1:19" s="774" customFormat="1" x14ac:dyDescent="0.25">
      <c r="A4667" s="644" t="str">
        <f t="shared" si="1713"/>
        <v>SoK481---Apr22</v>
      </c>
      <c r="B4667" s="645" t="s">
        <v>740</v>
      </c>
      <c r="C4667" s="645" t="str">
        <f t="shared" si="1714"/>
        <v>Inbetriebnahme 04/2022</v>
      </c>
      <c r="D4667" s="645" t="s">
        <v>6115</v>
      </c>
      <c r="E4667" s="656"/>
      <c r="F4667" s="657">
        <f t="shared" si="1715"/>
        <v>4.46</v>
      </c>
      <c r="G4667" s="657">
        <f t="shared" si="1716"/>
        <v>4.8600000000000003</v>
      </c>
      <c r="H4667" s="656">
        <f t="shared" si="1712"/>
        <v>3.89</v>
      </c>
      <c r="I4667" s="701"/>
      <c r="J4667" s="669">
        <v>44592</v>
      </c>
      <c r="M4667" s="868"/>
      <c r="N4667" s="333" t="str">
        <f t="shared" si="1718"/>
        <v>Apr22</v>
      </c>
      <c r="O4667" s="568">
        <v>1.4E-2</v>
      </c>
      <c r="P4667" s="769">
        <f t="shared" si="1719"/>
        <v>4.8643878620231931</v>
      </c>
      <c r="Q4667" s="769">
        <f t="shared" si="1717"/>
        <v>4.4643878620231927</v>
      </c>
      <c r="R4667" s="769"/>
      <c r="S4667" s="864"/>
    </row>
    <row r="4668" spans="1:19" s="774" customFormat="1" x14ac:dyDescent="0.25">
      <c r="A4668" s="644" t="str">
        <f t="shared" si="1713"/>
        <v>SoK481---Mai22</v>
      </c>
      <c r="B4668" s="645" t="s">
        <v>740</v>
      </c>
      <c r="C4668" s="645" t="str">
        <f t="shared" si="1714"/>
        <v>Inbetriebnahme 05/2022</v>
      </c>
      <c r="D4668" s="645" t="s">
        <v>6115</v>
      </c>
      <c r="E4668" s="656"/>
      <c r="F4668" s="657">
        <f t="shared" si="1715"/>
        <v>4.4000000000000004</v>
      </c>
      <c r="G4668" s="657">
        <f t="shared" si="1716"/>
        <v>4.8</v>
      </c>
      <c r="H4668" s="656">
        <f t="shared" si="1712"/>
        <v>3.84</v>
      </c>
      <c r="I4668" s="701"/>
      <c r="J4668" s="669">
        <v>44681</v>
      </c>
      <c r="M4668" s="868"/>
      <c r="N4668" s="333" t="str">
        <f t="shared" si="1718"/>
        <v>Mai22</v>
      </c>
      <c r="O4668" s="568">
        <v>1.4E-2</v>
      </c>
      <c r="P4668" s="769">
        <f t="shared" si="1719"/>
        <v>4.7962864319548686</v>
      </c>
      <c r="Q4668" s="769">
        <f t="shared" si="1717"/>
        <v>4.3962864319548682</v>
      </c>
      <c r="R4668" s="769"/>
      <c r="S4668" s="864"/>
    </row>
    <row r="4669" spans="1:19" s="774" customFormat="1" x14ac:dyDescent="0.25">
      <c r="A4669" s="644" t="str">
        <f t="shared" si="1713"/>
        <v>SoK481---Jun22</v>
      </c>
      <c r="B4669" s="645" t="s">
        <v>740</v>
      </c>
      <c r="C4669" s="645" t="str">
        <f t="shared" si="1714"/>
        <v>Inbetriebnahme 06/2022</v>
      </c>
      <c r="D4669" s="645" t="s">
        <v>6115</v>
      </c>
      <c r="E4669" s="656"/>
      <c r="F4669" s="657">
        <f t="shared" si="1715"/>
        <v>4.33</v>
      </c>
      <c r="G4669" s="657">
        <f t="shared" si="1716"/>
        <v>4.7300000000000004</v>
      </c>
      <c r="H4669" s="656">
        <f t="shared" si="1712"/>
        <v>3.78</v>
      </c>
      <c r="I4669" s="701"/>
      <c r="J4669" s="669">
        <v>44681</v>
      </c>
      <c r="M4669" s="868"/>
      <c r="N4669" s="333" t="str">
        <f t="shared" si="1718"/>
        <v>Jun22</v>
      </c>
      <c r="O4669" s="568">
        <v>1.4E-2</v>
      </c>
      <c r="P4669" s="769">
        <f t="shared" si="1719"/>
        <v>4.7291384219075008</v>
      </c>
      <c r="Q4669" s="769">
        <f t="shared" si="1717"/>
        <v>4.3291384219075004</v>
      </c>
      <c r="R4669" s="769"/>
      <c r="S4669" s="864"/>
    </row>
    <row r="4670" spans="1:19" s="774" customFormat="1" x14ac:dyDescent="0.25">
      <c r="A4670" s="644" t="str">
        <f t="shared" si="1713"/>
        <v>SoK481---Jul22</v>
      </c>
      <c r="B4670" s="645" t="s">
        <v>740</v>
      </c>
      <c r="C4670" s="645" t="str">
        <f t="shared" si="1714"/>
        <v>Inbetriebnahme 07/2022</v>
      </c>
      <c r="D4670" s="645" t="s">
        <v>6115</v>
      </c>
      <c r="E4670" s="656"/>
      <c r="F4670" s="657">
        <f t="shared" si="1715"/>
        <v>4.26</v>
      </c>
      <c r="G4670" s="657">
        <f t="shared" si="1716"/>
        <v>4.66</v>
      </c>
      <c r="H4670" s="656">
        <f t="shared" si="1712"/>
        <v>3.73</v>
      </c>
      <c r="I4670" s="701"/>
      <c r="J4670" s="669">
        <v>44681</v>
      </c>
      <c r="M4670" s="868"/>
      <c r="N4670" s="333" t="str">
        <f t="shared" si="1718"/>
        <v>Jul22</v>
      </c>
      <c r="O4670" s="568">
        <v>1.4E-2</v>
      </c>
      <c r="P4670" s="769">
        <f t="shared" si="1719"/>
        <v>4.6629304840007961</v>
      </c>
      <c r="Q4670" s="769">
        <f t="shared" si="1717"/>
        <v>4.2629304840007958</v>
      </c>
      <c r="R4670" s="769"/>
      <c r="S4670" s="864"/>
    </row>
    <row r="4671" spans="1:19" s="774" customFormat="1" x14ac:dyDescent="0.25">
      <c r="A4671" s="644" t="str">
        <f t="shared" si="1713"/>
        <v>SoK481---Aug22</v>
      </c>
      <c r="B4671" s="645" t="s">
        <v>740</v>
      </c>
      <c r="C4671" s="645" t="str">
        <f t="shared" si="1714"/>
        <v>Inbetriebnahme 08/2022</v>
      </c>
      <c r="D4671" s="645" t="s">
        <v>6115</v>
      </c>
      <c r="E4671" s="656"/>
      <c r="F4671" s="657">
        <f t="shared" si="1715"/>
        <v>4.2</v>
      </c>
      <c r="G4671" s="657">
        <f t="shared" si="1716"/>
        <v>4.5999999999999996</v>
      </c>
      <c r="H4671" s="656">
        <f t="shared" si="1712"/>
        <v>3.68</v>
      </c>
      <c r="I4671" s="701"/>
      <c r="J4671" s="669">
        <v>44774</v>
      </c>
      <c r="M4671" s="127"/>
      <c r="N4671" s="333" t="str">
        <f t="shared" si="1718"/>
        <v>Aug22</v>
      </c>
      <c r="O4671" s="568">
        <v>1.4E-2</v>
      </c>
      <c r="P4671" s="769">
        <f t="shared" si="1719"/>
        <v>4.5976494572247848</v>
      </c>
      <c r="Q4671" s="769">
        <f t="shared" si="1717"/>
        <v>4.1976494572247844</v>
      </c>
      <c r="R4671" s="769"/>
    </row>
    <row r="4672" spans="1:19" s="774" customFormat="1" x14ac:dyDescent="0.25">
      <c r="A4672" s="644" t="str">
        <f t="shared" si="1713"/>
        <v>SoK481---Sep22</v>
      </c>
      <c r="B4672" s="645" t="s">
        <v>740</v>
      </c>
      <c r="C4672" s="645" t="str">
        <f t="shared" si="1714"/>
        <v>Inbetriebnahme 09/2022</v>
      </c>
      <c r="D4672" s="645" t="s">
        <v>6115</v>
      </c>
      <c r="E4672" s="656"/>
      <c r="F4672" s="657">
        <f t="shared" si="1715"/>
        <v>4.13</v>
      </c>
      <c r="G4672" s="657">
        <f t="shared" si="1716"/>
        <v>4.53</v>
      </c>
      <c r="H4672" s="656">
        <f t="shared" si="1712"/>
        <v>3.62</v>
      </c>
      <c r="I4672" s="701"/>
      <c r="J4672" s="669">
        <v>44774</v>
      </c>
      <c r="N4672" s="333" t="str">
        <f t="shared" si="1718"/>
        <v>Sep22</v>
      </c>
      <c r="O4672" s="568">
        <v>1.4E-2</v>
      </c>
      <c r="P4672" s="769">
        <f t="shared" si="1719"/>
        <v>4.5332823648236378</v>
      </c>
      <c r="Q4672" s="769">
        <f t="shared" si="1717"/>
        <v>4.1332823648236374</v>
      </c>
      <c r="R4672" s="769"/>
    </row>
    <row r="4673" spans="1:18" s="774" customFormat="1" x14ac:dyDescent="0.25">
      <c r="A4673" s="644" t="str">
        <f t="shared" si="1713"/>
        <v>SoK481---Okt22</v>
      </c>
      <c r="B4673" s="645" t="s">
        <v>740</v>
      </c>
      <c r="C4673" s="645" t="str">
        <f t="shared" si="1714"/>
        <v>Inbetriebnahme 10/2022</v>
      </c>
      <c r="D4673" s="645" t="s">
        <v>6115</v>
      </c>
      <c r="E4673" s="656"/>
      <c r="F4673" s="657">
        <f t="shared" si="1715"/>
        <v>4.07</v>
      </c>
      <c r="G4673" s="657">
        <f t="shared" si="1716"/>
        <v>4.47</v>
      </c>
      <c r="H4673" s="656">
        <f t="shared" si="1712"/>
        <v>3.58</v>
      </c>
      <c r="I4673" s="701"/>
      <c r="J4673" s="669">
        <v>44774</v>
      </c>
      <c r="N4673" s="333" t="str">
        <f t="shared" si="1718"/>
        <v>Okt22</v>
      </c>
      <c r="O4673" s="568">
        <v>1.4E-2</v>
      </c>
      <c r="P4673" s="769">
        <f t="shared" si="1719"/>
        <v>4.4698164117161072</v>
      </c>
      <c r="Q4673" s="769">
        <f t="shared" si="1717"/>
        <v>4.0698164117161069</v>
      </c>
      <c r="R4673" s="769"/>
    </row>
    <row r="4674" spans="1:18" s="774" customFormat="1" x14ac:dyDescent="0.25">
      <c r="A4674" s="644" t="str">
        <f t="shared" si="1713"/>
        <v>SoK481---Nov22</v>
      </c>
      <c r="B4674" s="645" t="s">
        <v>740</v>
      </c>
      <c r="C4674" s="645" t="str">
        <f t="shared" si="1714"/>
        <v>Inbetriebnahme 11/2022</v>
      </c>
      <c r="D4674" s="645" t="s">
        <v>6115</v>
      </c>
      <c r="E4674" s="656"/>
      <c r="F4674" s="657">
        <f t="shared" si="1715"/>
        <v>3.99</v>
      </c>
      <c r="G4674" s="657">
        <f t="shared" si="1716"/>
        <v>4.3899999999999997</v>
      </c>
      <c r="H4674" s="656">
        <f t="shared" si="1712"/>
        <v>3.51</v>
      </c>
      <c r="I4674" s="701"/>
      <c r="J4674" s="669">
        <v>44865</v>
      </c>
      <c r="N4674" s="333" t="str">
        <f t="shared" si="1718"/>
        <v>Nov22</v>
      </c>
      <c r="O4674" s="568">
        <v>1.7999999999999999E-2</v>
      </c>
      <c r="P4674" s="769">
        <f t="shared" si="1719"/>
        <v>4.3893597163052176</v>
      </c>
      <c r="Q4674" s="769">
        <f t="shared" si="1717"/>
        <v>3.9893597163052177</v>
      </c>
      <c r="R4674" s="769"/>
    </row>
    <row r="4675" spans="1:18" s="774" customFormat="1" x14ac:dyDescent="0.25">
      <c r="A4675" s="644" t="str">
        <f t="shared" si="1713"/>
        <v>SoK481---Dez22</v>
      </c>
      <c r="B4675" s="645" t="s">
        <v>740</v>
      </c>
      <c r="C4675" s="645" t="str">
        <f t="shared" si="1714"/>
        <v>Inbetriebnahme 12/2022</v>
      </c>
      <c r="D4675" s="645" t="s">
        <v>6115</v>
      </c>
      <c r="E4675" s="656"/>
      <c r="F4675" s="657">
        <f t="shared" si="1715"/>
        <v>3.91</v>
      </c>
      <c r="G4675" s="657">
        <f t="shared" si="1716"/>
        <v>4.3099999999999996</v>
      </c>
      <c r="H4675" s="656">
        <f t="shared" si="1712"/>
        <v>3.45</v>
      </c>
      <c r="I4675" s="701"/>
      <c r="J4675" s="669">
        <v>44865</v>
      </c>
      <c r="N4675" s="333" t="str">
        <f t="shared" si="1718"/>
        <v>Dez22</v>
      </c>
      <c r="O4675" s="568">
        <v>1.7999999999999999E-2</v>
      </c>
      <c r="P4675" s="769">
        <f t="shared" si="1719"/>
        <v>4.3103512414117233</v>
      </c>
      <c r="Q4675" s="769">
        <f t="shared" si="1717"/>
        <v>3.9103512414117234</v>
      </c>
      <c r="R4675" s="769"/>
    </row>
    <row r="4676" spans="1:18" s="774" customFormat="1" x14ac:dyDescent="0.25">
      <c r="A4676" s="609"/>
      <c r="B4676" s="1"/>
      <c r="C4676" s="442"/>
      <c r="D4676" s="1"/>
      <c r="E4676" s="1"/>
      <c r="F4676" s="442"/>
      <c r="G4676" s="13"/>
      <c r="H4676" s="13" t="str">
        <f t="shared" si="1712"/>
        <v/>
      </c>
      <c r="I4676" s="692"/>
      <c r="J4676" s="669" t="s">
        <v>4180</v>
      </c>
      <c r="N4676" s="137"/>
      <c r="O4676" s="866"/>
      <c r="P4676" s="769" t="s">
        <v>49</v>
      </c>
      <c r="Q4676" s="769" t="s">
        <v>50</v>
      </c>
      <c r="R4676" s="769"/>
    </row>
    <row r="4677" spans="1:18" s="774" customFormat="1" x14ac:dyDescent="0.25">
      <c r="A4677" s="644" t="str">
        <f>"SoK481------"&amp;RIGHT(M4677,2)</f>
        <v>SoK481------23</v>
      </c>
      <c r="B4677" s="645" t="s">
        <v>740</v>
      </c>
      <c r="C4677" s="645" t="str">
        <f>"Inbetriebnahme "&amp;M4677</f>
        <v>Inbetriebnahme 2023</v>
      </c>
      <c r="D4677" s="645" t="s">
        <v>7943</v>
      </c>
      <c r="E4677" s="656"/>
      <c r="F4677" s="793">
        <f>IF($O4677&lt;&gt;"",ROUND(Q4677,2),"")</f>
        <v>6.6</v>
      </c>
      <c r="G4677" s="793">
        <f>IF($O4677&lt;&gt;"",ROUND(P4677,2),"")</f>
        <v>7</v>
      </c>
      <c r="H4677" s="867">
        <f t="shared" si="1712"/>
        <v>5.6</v>
      </c>
      <c r="I4677" s="701"/>
      <c r="J4677" s="669">
        <f>J$31</f>
        <v>44896</v>
      </c>
      <c r="M4677" s="127">
        <v>2023</v>
      </c>
      <c r="N4677" s="570"/>
      <c r="O4677" s="568" t="s">
        <v>7923</v>
      </c>
      <c r="P4677" s="769">
        <v>7</v>
      </c>
      <c r="Q4677" s="769">
        <f>IF($O4677&lt;&gt;"",P4677-0.4,"")</f>
        <v>6.6</v>
      </c>
      <c r="R4677" s="769"/>
    </row>
    <row r="4678" spans="1:18" x14ac:dyDescent="0.25">
      <c r="A4678" s="254"/>
      <c r="H4678" s="15" t="str">
        <f t="shared" si="1712"/>
        <v/>
      </c>
      <c r="J4678" s="669" t="s">
        <v>4180</v>
      </c>
    </row>
    <row r="4679" spans="1:18" x14ac:dyDescent="0.25">
      <c r="A4679" s="610" t="s">
        <v>4280</v>
      </c>
      <c r="B4679" s="17" t="s">
        <v>5435</v>
      </c>
      <c r="C4679" s="17" t="s">
        <v>5405</v>
      </c>
      <c r="D4679" s="17" t="s">
        <v>5380</v>
      </c>
      <c r="E4679" s="17"/>
      <c r="F4679" s="444">
        <v>43.01</v>
      </c>
      <c r="G4679" s="519">
        <v>43.01</v>
      </c>
      <c r="H4679" s="18">
        <f t="shared" si="1712"/>
        <v>34.409999999999997</v>
      </c>
      <c r="I4679" s="694"/>
      <c r="J4679" s="669" t="s">
        <v>5805</v>
      </c>
    </row>
    <row r="4680" spans="1:18" x14ac:dyDescent="0.25">
      <c r="A4680" s="610" t="s">
        <v>4281</v>
      </c>
      <c r="B4680" s="17" t="s">
        <v>5435</v>
      </c>
      <c r="C4680" s="17" t="s">
        <v>5405</v>
      </c>
      <c r="D4680" s="17" t="s">
        <v>5381</v>
      </c>
      <c r="E4680" s="17"/>
      <c r="F4680" s="444">
        <v>40.909999999999997</v>
      </c>
      <c r="G4680" s="519">
        <v>40.909999999999997</v>
      </c>
      <c r="H4680" s="18">
        <f t="shared" si="1712"/>
        <v>32.729999999999997</v>
      </c>
      <c r="I4680" s="694"/>
      <c r="J4680" s="669" t="s">
        <v>5805</v>
      </c>
    </row>
    <row r="4681" spans="1:18" x14ac:dyDescent="0.25">
      <c r="A4681" s="610" t="s">
        <v>4282</v>
      </c>
      <c r="B4681" s="17" t="s">
        <v>5435</v>
      </c>
      <c r="C4681" s="17" t="s">
        <v>5405</v>
      </c>
      <c r="D4681" s="17" t="s">
        <v>5382</v>
      </c>
      <c r="E4681" s="17"/>
      <c r="F4681" s="444">
        <v>39.58</v>
      </c>
      <c r="G4681" s="519">
        <v>39.58</v>
      </c>
      <c r="H4681" s="18">
        <f t="shared" si="1712"/>
        <v>31.66</v>
      </c>
      <c r="I4681" s="694"/>
      <c r="J4681" s="669" t="s">
        <v>5805</v>
      </c>
    </row>
    <row r="4682" spans="1:18" x14ac:dyDescent="0.25">
      <c r="A4682" s="610" t="s">
        <v>4283</v>
      </c>
      <c r="B4682" s="17" t="s">
        <v>5435</v>
      </c>
      <c r="C4682" s="17" t="s">
        <v>5405</v>
      </c>
      <c r="D4682" s="17" t="s">
        <v>7400</v>
      </c>
      <c r="E4682" s="17"/>
      <c r="F4682" s="444">
        <v>33</v>
      </c>
      <c r="G4682" s="519">
        <v>33</v>
      </c>
      <c r="H4682" s="18">
        <f t="shared" si="1712"/>
        <v>26.4</v>
      </c>
      <c r="I4682" s="694"/>
      <c r="J4682" s="669" t="s">
        <v>5805</v>
      </c>
    </row>
    <row r="4683" spans="1:18" x14ac:dyDescent="0.25">
      <c r="A4683" s="610" t="s">
        <v>600</v>
      </c>
      <c r="B4683" s="17" t="s">
        <v>5435</v>
      </c>
      <c r="C4683" s="17" t="s">
        <v>5405</v>
      </c>
      <c r="D4683" s="30" t="s">
        <v>5383</v>
      </c>
      <c r="E4683" s="17"/>
      <c r="F4683" s="444">
        <v>43.01</v>
      </c>
      <c r="G4683" s="519">
        <v>43.01</v>
      </c>
      <c r="H4683" s="18"/>
      <c r="I4683" s="694"/>
      <c r="J4683" s="669" t="s">
        <v>5805</v>
      </c>
    </row>
    <row r="4684" spans="1:18" x14ac:dyDescent="0.25">
      <c r="A4684" s="610" t="s">
        <v>601</v>
      </c>
      <c r="B4684" s="17" t="s">
        <v>5435</v>
      </c>
      <c r="C4684" s="17" t="s">
        <v>5405</v>
      </c>
      <c r="D4684" s="30" t="s">
        <v>5384</v>
      </c>
      <c r="E4684" s="17"/>
      <c r="F4684" s="444">
        <f>F4683-25.01</f>
        <v>17.999999999999996</v>
      </c>
      <c r="G4684" s="519">
        <v>17.999999999999996</v>
      </c>
      <c r="H4684" s="18"/>
      <c r="I4684" s="694"/>
      <c r="J4684" s="669" t="s">
        <v>5805</v>
      </c>
    </row>
    <row r="4685" spans="1:18" x14ac:dyDescent="0.25">
      <c r="A4685" s="608"/>
      <c r="B4685" s="2"/>
      <c r="C4685" s="1"/>
      <c r="D4685" s="2"/>
      <c r="E4685" s="1"/>
      <c r="F4685" s="442"/>
      <c r="G4685" s="520"/>
      <c r="H4685" s="13" t="str">
        <f>IF(ISNUMBER(G4685),ROUND(0.8*G4685,2),"")</f>
        <v/>
      </c>
      <c r="I4685" s="692"/>
      <c r="J4685" s="669" t="s">
        <v>4180</v>
      </c>
      <c r="M4685">
        <v>2010</v>
      </c>
      <c r="N4685" s="113"/>
      <c r="O4685" s="113"/>
      <c r="P4685" s="132"/>
      <c r="Q4685" s="132"/>
      <c r="R4685" s="132"/>
    </row>
    <row r="4686" spans="1:18" x14ac:dyDescent="0.25">
      <c r="A4686" s="610" t="s">
        <v>2379</v>
      </c>
      <c r="B4686" s="17" t="s">
        <v>5435</v>
      </c>
      <c r="C4686" s="30" t="s">
        <v>4551</v>
      </c>
      <c r="D4686" s="17" t="s">
        <v>5380</v>
      </c>
      <c r="E4686" s="17"/>
      <c r="F4686" s="444">
        <f>ROUND(M4686,2)</f>
        <v>39.14</v>
      </c>
      <c r="G4686" s="519">
        <v>39.14</v>
      </c>
      <c r="H4686" s="18">
        <f>IF(ISNUMBER(G4686),ROUND(0.8*G4686,2),"")</f>
        <v>31.31</v>
      </c>
      <c r="I4686" s="694"/>
      <c r="J4686" s="669" t="s">
        <v>5805</v>
      </c>
      <c r="M4686" s="135">
        <f>F4679*(1-N4686)</f>
        <v>39.139099999999999</v>
      </c>
      <c r="N4686" s="136">
        <v>0.09</v>
      </c>
      <c r="O4686" s="113" t="s">
        <v>2387</v>
      </c>
      <c r="P4686" s="132"/>
      <c r="Q4686" s="132"/>
      <c r="R4686" s="132"/>
    </row>
    <row r="4687" spans="1:18" x14ac:dyDescent="0.25">
      <c r="A4687" s="610" t="s">
        <v>2380</v>
      </c>
      <c r="B4687" s="17" t="s">
        <v>5435</v>
      </c>
      <c r="C4687" s="30" t="s">
        <v>4551</v>
      </c>
      <c r="D4687" s="17" t="s">
        <v>5381</v>
      </c>
      <c r="E4687" s="17"/>
      <c r="F4687" s="444">
        <f>ROUND(M4687,2)</f>
        <v>37.229999999999997</v>
      </c>
      <c r="G4687" s="519">
        <v>37.229999999999997</v>
      </c>
      <c r="H4687" s="18">
        <f>IF(ISNUMBER(G4687),ROUND(0.8*G4687,2),"")</f>
        <v>29.78</v>
      </c>
      <c r="I4687" s="694"/>
      <c r="J4687" s="669" t="s">
        <v>5805</v>
      </c>
      <c r="M4687" s="135">
        <f>F4680*(1-N4687)</f>
        <v>37.228099999999998</v>
      </c>
      <c r="N4687" s="136">
        <v>0.09</v>
      </c>
      <c r="O4687" s="113" t="s">
        <v>2388</v>
      </c>
      <c r="P4687" s="132"/>
      <c r="Q4687" s="132"/>
      <c r="R4687" s="132"/>
    </row>
    <row r="4688" spans="1:18" x14ac:dyDescent="0.25">
      <c r="A4688" s="610" t="s">
        <v>2381</v>
      </c>
      <c r="B4688" s="17" t="s">
        <v>5435</v>
      </c>
      <c r="C4688" s="30" t="s">
        <v>4551</v>
      </c>
      <c r="D4688" s="17" t="s">
        <v>5382</v>
      </c>
      <c r="E4688" s="17"/>
      <c r="F4688" s="444">
        <f>ROUND(M4688,2)</f>
        <v>35.229999999999997</v>
      </c>
      <c r="G4688" s="519">
        <v>35.229999999999997</v>
      </c>
      <c r="H4688" s="18">
        <f>IF(ISNUMBER(G4688),ROUND(0.8*G4688,2),"")</f>
        <v>28.18</v>
      </c>
      <c r="I4688" s="694"/>
      <c r="J4688" s="669" t="s">
        <v>5805</v>
      </c>
      <c r="M4688" s="135">
        <f>F4681*(1-N4688)</f>
        <v>35.226199999999999</v>
      </c>
      <c r="N4688" s="136">
        <v>0.11</v>
      </c>
      <c r="O4688" s="113" t="s">
        <v>2389</v>
      </c>
      <c r="P4688" s="132"/>
      <c r="Q4688" s="132"/>
      <c r="R4688" s="132"/>
    </row>
    <row r="4689" spans="1:24" x14ac:dyDescent="0.25">
      <c r="A4689" s="610" t="s">
        <v>2382</v>
      </c>
      <c r="B4689" s="17" t="s">
        <v>5435</v>
      </c>
      <c r="C4689" s="30" t="s">
        <v>4551</v>
      </c>
      <c r="D4689" s="17" t="s">
        <v>7400</v>
      </c>
      <c r="E4689" s="17"/>
      <c r="F4689" s="444">
        <f>ROUND(M4689,2)</f>
        <v>29.37</v>
      </c>
      <c r="G4689" s="519">
        <v>29.37</v>
      </c>
      <c r="H4689" s="18">
        <f>IF(ISNUMBER(G4689),ROUND(0.8*G4689,2),"")</f>
        <v>23.5</v>
      </c>
      <c r="I4689" s="694"/>
      <c r="J4689" s="669" t="s">
        <v>5805</v>
      </c>
      <c r="M4689" s="135">
        <f>F4682*(1-N4689)</f>
        <v>29.37</v>
      </c>
      <c r="N4689" s="136">
        <v>0.11</v>
      </c>
      <c r="O4689" s="113" t="s">
        <v>2390</v>
      </c>
      <c r="P4689" s="132"/>
      <c r="Q4689" s="132"/>
      <c r="R4689" s="132"/>
    </row>
    <row r="4690" spans="1:24" x14ac:dyDescent="0.25">
      <c r="A4690" s="610" t="s">
        <v>2383</v>
      </c>
      <c r="B4690" s="17" t="s">
        <v>5435</v>
      </c>
      <c r="C4690" s="30" t="s">
        <v>4551</v>
      </c>
      <c r="D4690" s="30" t="s">
        <v>5383</v>
      </c>
      <c r="E4690" s="17"/>
      <c r="F4690" s="444">
        <f>ROUND((F4683-F4684)*(1-N4690),2)+ROUND(F4684*(1-N4690),2)</f>
        <v>39.14</v>
      </c>
      <c r="G4690" s="519">
        <v>39.14</v>
      </c>
      <c r="H4690" s="18"/>
      <c r="I4690" s="694"/>
      <c r="J4690" s="669" t="s">
        <v>5805</v>
      </c>
      <c r="M4690" s="113"/>
      <c r="N4690" s="136">
        <v>0.09</v>
      </c>
      <c r="O4690" s="113" t="s">
        <v>2391</v>
      </c>
      <c r="P4690" s="132"/>
      <c r="Q4690" s="132"/>
      <c r="R4690" s="132"/>
    </row>
    <row r="4691" spans="1:24" x14ac:dyDescent="0.25">
      <c r="A4691" s="610" t="s">
        <v>2384</v>
      </c>
      <c r="B4691" s="17" t="s">
        <v>5435</v>
      </c>
      <c r="C4691" s="30" t="s">
        <v>4551</v>
      </c>
      <c r="D4691" s="30" t="s">
        <v>5384</v>
      </c>
      <c r="E4691" s="17"/>
      <c r="F4691" s="444">
        <f>ROUND(F4683*(1-N4691),2)-ROUND((F4683-F4684)*(1-N4690),2)</f>
        <v>16.38</v>
      </c>
      <c r="G4691" s="519">
        <v>16.38</v>
      </c>
      <c r="H4691" s="18"/>
      <c r="I4691" s="694"/>
      <c r="J4691" s="669" t="s">
        <v>5805</v>
      </c>
      <c r="M4691" s="113"/>
      <c r="N4691" s="136">
        <v>0.09</v>
      </c>
      <c r="O4691" s="113" t="s">
        <v>2391</v>
      </c>
      <c r="P4691" s="132"/>
      <c r="Q4691" s="132"/>
      <c r="R4691" s="132"/>
    </row>
    <row r="4692" spans="1:24" x14ac:dyDescent="0.25">
      <c r="A4692" s="608"/>
      <c r="B4692" s="2"/>
      <c r="C4692" s="1"/>
      <c r="D4692" s="2"/>
      <c r="E4692" s="1"/>
      <c r="F4692" s="442"/>
      <c r="G4692" s="520"/>
      <c r="H4692" s="13" t="str">
        <f>IF(ISNUMBER(G4692),ROUND(0.8*G4692,2),"")</f>
        <v/>
      </c>
      <c r="I4692" s="692"/>
      <c r="J4692" s="669" t="s">
        <v>4180</v>
      </c>
      <c r="M4692" s="113"/>
      <c r="N4692" s="113"/>
      <c r="O4692" s="137"/>
      <c r="P4692" s="132"/>
      <c r="Q4692" s="132"/>
      <c r="R4692" s="132"/>
    </row>
    <row r="4693" spans="1:24" x14ac:dyDescent="0.25">
      <c r="A4693" s="610" t="s">
        <v>4144</v>
      </c>
      <c r="B4693" s="17" t="s">
        <v>5435</v>
      </c>
      <c r="C4693" s="30" t="s">
        <v>4550</v>
      </c>
      <c r="D4693" s="17" t="s">
        <v>5380</v>
      </c>
      <c r="E4693" s="17"/>
      <c r="F4693" s="444">
        <f>ROUND(M4693,2)</f>
        <v>34.049999999999997</v>
      </c>
      <c r="G4693" s="519">
        <v>34.049999999999997</v>
      </c>
      <c r="H4693" s="18">
        <f>IF(ISNUMBER(G4693),ROUND(0.8*G4693,2),"")</f>
        <v>27.24</v>
      </c>
      <c r="I4693" s="694"/>
      <c r="J4693" s="669" t="s">
        <v>5805</v>
      </c>
      <c r="M4693" s="113">
        <f>M4686*(1-N4693)</f>
        <v>34.051017000000002</v>
      </c>
      <c r="N4693" s="136">
        <v>0.13</v>
      </c>
      <c r="O4693" s="137" t="s">
        <v>4145</v>
      </c>
      <c r="P4693" s="132"/>
      <c r="Q4693" s="132"/>
      <c r="R4693" s="132"/>
    </row>
    <row r="4694" spans="1:24" x14ac:dyDescent="0.25">
      <c r="A4694" s="610" t="s">
        <v>4146</v>
      </c>
      <c r="B4694" s="17" t="s">
        <v>5435</v>
      </c>
      <c r="C4694" s="30" t="s">
        <v>4550</v>
      </c>
      <c r="D4694" s="17" t="s">
        <v>5381</v>
      </c>
      <c r="E4694" s="17"/>
      <c r="F4694" s="444">
        <f>ROUND(M4694,2)</f>
        <v>32.39</v>
      </c>
      <c r="G4694" s="519">
        <v>32.39</v>
      </c>
      <c r="H4694" s="18">
        <f>IF(ISNUMBER(G4694),ROUND(0.8*G4694,2),"")</f>
        <v>25.91</v>
      </c>
      <c r="I4694" s="694"/>
      <c r="J4694" s="669" t="s">
        <v>5805</v>
      </c>
      <c r="M4694" s="113">
        <f>M4687*(1-N4694)</f>
        <v>32.388446999999999</v>
      </c>
      <c r="N4694" s="136">
        <v>0.13</v>
      </c>
      <c r="O4694" s="137" t="s">
        <v>4147</v>
      </c>
      <c r="P4694" s="132"/>
      <c r="Q4694" s="132"/>
      <c r="R4694" s="132"/>
    </row>
    <row r="4695" spans="1:24" x14ac:dyDescent="0.25">
      <c r="A4695" s="610" t="s">
        <v>4148</v>
      </c>
      <c r="B4695" s="17" t="s">
        <v>5435</v>
      </c>
      <c r="C4695" s="30" t="s">
        <v>4550</v>
      </c>
      <c r="D4695" s="17" t="s">
        <v>5382</v>
      </c>
      <c r="E4695" s="17"/>
      <c r="F4695" s="444">
        <f>ROUND(M4695,2)</f>
        <v>30.65</v>
      </c>
      <c r="G4695" s="519">
        <v>30.65</v>
      </c>
      <c r="H4695" s="18">
        <f>IF(ISNUMBER(G4695),ROUND(0.8*G4695,2),"")</f>
        <v>24.52</v>
      </c>
      <c r="I4695" s="694"/>
      <c r="J4695" s="669" t="s">
        <v>5805</v>
      </c>
      <c r="M4695" s="113">
        <f>M4688*(1-N4695)</f>
        <v>30.646794</v>
      </c>
      <c r="N4695" s="136">
        <v>0.13</v>
      </c>
      <c r="O4695" s="137" t="s">
        <v>4149</v>
      </c>
      <c r="P4695" s="132"/>
      <c r="Q4695" s="132"/>
      <c r="R4695" s="132"/>
    </row>
    <row r="4696" spans="1:24" x14ac:dyDescent="0.25">
      <c r="A4696" s="610" t="s">
        <v>4150</v>
      </c>
      <c r="B4696" s="17" t="s">
        <v>5435</v>
      </c>
      <c r="C4696" s="30" t="s">
        <v>4550</v>
      </c>
      <c r="D4696" s="17" t="s">
        <v>7400</v>
      </c>
      <c r="E4696" s="17"/>
      <c r="F4696" s="444">
        <f>ROUND(M4696,2)</f>
        <v>25.55</v>
      </c>
      <c r="G4696" s="519">
        <v>25.55</v>
      </c>
      <c r="H4696" s="18">
        <f>IF(ISNUMBER(G4696),ROUND(0.8*G4696,2),"")</f>
        <v>20.440000000000001</v>
      </c>
      <c r="I4696" s="694"/>
      <c r="J4696" s="669" t="s">
        <v>5805</v>
      </c>
      <c r="M4696" s="135">
        <f>M4689*(1-N4696)</f>
        <v>25.5519</v>
      </c>
      <c r="N4696" s="136">
        <v>0.13</v>
      </c>
      <c r="O4696" s="137" t="s">
        <v>4151</v>
      </c>
      <c r="P4696" s="132"/>
      <c r="Q4696" s="132"/>
      <c r="R4696" s="132"/>
    </row>
    <row r="4697" spans="1:24" x14ac:dyDescent="0.25">
      <c r="A4697" s="610" t="s">
        <v>4152</v>
      </c>
      <c r="B4697" s="17" t="s">
        <v>5435</v>
      </c>
      <c r="C4697" s="30" t="s">
        <v>4550</v>
      </c>
      <c r="D4697" s="30" t="s">
        <v>5383</v>
      </c>
      <c r="E4697" s="17"/>
      <c r="F4697" s="444">
        <f>F4693</f>
        <v>34.049999999999997</v>
      </c>
      <c r="G4697" s="519">
        <v>34.049999999999997</v>
      </c>
      <c r="H4697" s="18"/>
      <c r="I4697" s="694"/>
      <c r="J4697" s="669" t="s">
        <v>5805</v>
      </c>
      <c r="M4697" s="135"/>
      <c r="N4697" s="137"/>
      <c r="O4697" s="137" t="s">
        <v>4153</v>
      </c>
      <c r="P4697" s="132"/>
      <c r="Q4697" s="132"/>
      <c r="R4697" s="132"/>
    </row>
    <row r="4698" spans="1:24" x14ac:dyDescent="0.25">
      <c r="A4698" s="610" t="s">
        <v>4154</v>
      </c>
      <c r="B4698" s="17" t="s">
        <v>5435</v>
      </c>
      <c r="C4698" s="30" t="s">
        <v>4550</v>
      </c>
      <c r="D4698" s="30" t="s">
        <v>5385</v>
      </c>
      <c r="E4698" s="17"/>
      <c r="F4698" s="473">
        <v>16.38</v>
      </c>
      <c r="G4698" s="550">
        <v>16.38</v>
      </c>
      <c r="H4698" s="18"/>
      <c r="I4698" s="694"/>
      <c r="J4698" s="669" t="s">
        <v>5805</v>
      </c>
      <c r="M4698" s="113"/>
      <c r="N4698" s="138"/>
      <c r="O4698" s="113" t="s">
        <v>1011</v>
      </c>
      <c r="P4698" s="113"/>
      <c r="Q4698" s="113"/>
      <c r="R4698" s="113"/>
      <c r="S4698" s="113"/>
      <c r="T4698" s="113"/>
      <c r="U4698" s="113"/>
      <c r="V4698" s="113"/>
      <c r="W4698" s="139">
        <f>F4697-F4698</f>
        <v>17.669999999999998</v>
      </c>
      <c r="X4698" s="113" t="s">
        <v>5596</v>
      </c>
    </row>
    <row r="4699" spans="1:24" x14ac:dyDescent="0.25">
      <c r="A4699" s="610" t="s">
        <v>4539</v>
      </c>
      <c r="B4699" s="17" t="s">
        <v>5435</v>
      </c>
      <c r="C4699" s="30" t="s">
        <v>4550</v>
      </c>
      <c r="D4699" s="30" t="s">
        <v>5386</v>
      </c>
      <c r="E4699" s="17"/>
      <c r="F4699" s="473">
        <v>12</v>
      </c>
      <c r="G4699" s="551">
        <v>12</v>
      </c>
      <c r="H4699" s="18"/>
      <c r="I4699" s="694"/>
      <c r="J4699" s="669" t="s">
        <v>5805</v>
      </c>
      <c r="M4699" s="113"/>
      <c r="N4699" s="138"/>
      <c r="O4699" s="113" t="s">
        <v>1012</v>
      </c>
      <c r="P4699" s="113"/>
      <c r="Q4699" s="113"/>
      <c r="R4699" s="113"/>
      <c r="S4699" s="113"/>
      <c r="T4699" s="113"/>
      <c r="U4699" s="113"/>
      <c r="V4699" s="113"/>
      <c r="W4699" s="139">
        <f>F4697-F4699</f>
        <v>22.049999999999997</v>
      </c>
      <c r="X4699" s="113" t="s">
        <v>5596</v>
      </c>
    </row>
    <row r="4700" spans="1:24" x14ac:dyDescent="0.25">
      <c r="A4700" s="610" t="s">
        <v>4540</v>
      </c>
      <c r="B4700" s="17" t="s">
        <v>5435</v>
      </c>
      <c r="C4700" s="30" t="s">
        <v>4550</v>
      </c>
      <c r="D4700" s="30" t="s">
        <v>5387</v>
      </c>
      <c r="E4700" s="17"/>
      <c r="F4700" s="473">
        <f>F4694</f>
        <v>32.39</v>
      </c>
      <c r="G4700" s="550">
        <v>32.39</v>
      </c>
      <c r="H4700" s="18"/>
      <c r="I4700" s="694"/>
      <c r="J4700" s="669" t="s">
        <v>5805</v>
      </c>
      <c r="M4700" s="113"/>
      <c r="N4700" s="137"/>
      <c r="O4700" s="137" t="s">
        <v>4541</v>
      </c>
      <c r="P4700" s="113"/>
      <c r="Q4700" s="113"/>
      <c r="R4700" s="113"/>
      <c r="S4700" s="113"/>
      <c r="T4700" s="113"/>
      <c r="U4700" s="113"/>
      <c r="V4700" s="113"/>
      <c r="W4700" s="113"/>
      <c r="X4700" s="113"/>
    </row>
    <row r="4701" spans="1:24" x14ac:dyDescent="0.25">
      <c r="A4701" s="610" t="s">
        <v>4542</v>
      </c>
      <c r="B4701" s="17" t="s">
        <v>5435</v>
      </c>
      <c r="C4701" s="30" t="s">
        <v>4550</v>
      </c>
      <c r="D4701" s="30" t="s">
        <v>5388</v>
      </c>
      <c r="E4701" s="17"/>
      <c r="F4701" s="473">
        <v>16.38</v>
      </c>
      <c r="G4701" s="550">
        <v>16.38</v>
      </c>
      <c r="H4701" s="18"/>
      <c r="I4701" s="694"/>
      <c r="J4701" s="669" t="s">
        <v>5805</v>
      </c>
      <c r="M4701" s="113"/>
      <c r="N4701" s="138"/>
      <c r="O4701" s="113" t="s">
        <v>1011</v>
      </c>
      <c r="P4701" s="113"/>
      <c r="Q4701" s="113"/>
      <c r="R4701" s="113"/>
      <c r="S4701" s="113"/>
      <c r="T4701" s="113"/>
      <c r="U4701" s="113"/>
      <c r="V4701" s="113"/>
      <c r="W4701" s="139">
        <f>F4700-F4701</f>
        <v>16.010000000000002</v>
      </c>
      <c r="X4701" s="113" t="s">
        <v>5596</v>
      </c>
    </row>
    <row r="4702" spans="1:24" x14ac:dyDescent="0.25">
      <c r="A4702" s="610" t="s">
        <v>4543</v>
      </c>
      <c r="B4702" s="17" t="s">
        <v>5435</v>
      </c>
      <c r="C4702" s="30" t="s">
        <v>4550</v>
      </c>
      <c r="D4702" s="30" t="s">
        <v>5389</v>
      </c>
      <c r="E4702" s="17"/>
      <c r="F4702" s="473">
        <v>12</v>
      </c>
      <c r="G4702" s="551">
        <v>12</v>
      </c>
      <c r="H4702" s="18"/>
      <c r="I4702" s="694"/>
      <c r="J4702" s="669" t="s">
        <v>5805</v>
      </c>
      <c r="M4702" s="113"/>
      <c r="N4702" s="138"/>
      <c r="O4702" s="113" t="s">
        <v>1012</v>
      </c>
      <c r="P4702" s="113"/>
      <c r="Q4702" s="113"/>
      <c r="R4702" s="113"/>
      <c r="S4702" s="113"/>
      <c r="T4702" s="113"/>
      <c r="U4702" s="113"/>
      <c r="V4702" s="113"/>
      <c r="W4702" s="139">
        <f>F4700-F4702</f>
        <v>20.39</v>
      </c>
      <c r="X4702" s="113" t="s">
        <v>5596</v>
      </c>
    </row>
    <row r="4703" spans="1:24" x14ac:dyDescent="0.25">
      <c r="A4703" s="610" t="s">
        <v>4544</v>
      </c>
      <c r="B4703" s="17" t="s">
        <v>5435</v>
      </c>
      <c r="C4703" s="30" t="s">
        <v>4550</v>
      </c>
      <c r="D4703" s="30" t="s">
        <v>5390</v>
      </c>
      <c r="E4703" s="17"/>
      <c r="F4703" s="473">
        <f>F4695</f>
        <v>30.65</v>
      </c>
      <c r="G4703" s="550">
        <v>30.65</v>
      </c>
      <c r="H4703" s="18"/>
      <c r="I4703" s="694"/>
      <c r="J4703" s="669" t="s">
        <v>5805</v>
      </c>
      <c r="M4703" s="113"/>
      <c r="N4703" s="137"/>
      <c r="O4703" s="137" t="s">
        <v>4545</v>
      </c>
      <c r="P4703" s="113"/>
      <c r="Q4703" s="113"/>
      <c r="R4703" s="113"/>
      <c r="S4703" s="113"/>
      <c r="T4703" s="113"/>
      <c r="U4703" s="113"/>
      <c r="V4703" s="113"/>
      <c r="W4703" s="113"/>
      <c r="X4703" s="113"/>
    </row>
    <row r="4704" spans="1:24" x14ac:dyDescent="0.25">
      <c r="A4704" s="610" t="s">
        <v>4546</v>
      </c>
      <c r="B4704" s="17" t="s">
        <v>5435</v>
      </c>
      <c r="C4704" s="30" t="s">
        <v>4550</v>
      </c>
      <c r="D4704" s="30" t="s">
        <v>5391</v>
      </c>
      <c r="E4704" s="17"/>
      <c r="F4704" s="473">
        <v>16.38</v>
      </c>
      <c r="G4704" s="550">
        <v>16.38</v>
      </c>
      <c r="H4704" s="18"/>
      <c r="I4704" s="694"/>
      <c r="J4704" s="669" t="s">
        <v>5805</v>
      </c>
      <c r="M4704" s="113"/>
      <c r="N4704" s="138"/>
      <c r="O4704" s="113" t="s">
        <v>1011</v>
      </c>
      <c r="P4704" s="113"/>
      <c r="Q4704" s="113"/>
      <c r="R4704" s="113"/>
      <c r="S4704" s="113"/>
      <c r="T4704" s="113"/>
      <c r="U4704" s="113"/>
      <c r="V4704" s="113"/>
      <c r="W4704" s="139">
        <f>F4703-F4704</f>
        <v>14.27</v>
      </c>
      <c r="X4704" s="113" t="s">
        <v>5596</v>
      </c>
    </row>
    <row r="4705" spans="1:27" x14ac:dyDescent="0.25">
      <c r="A4705" s="610" t="s">
        <v>4547</v>
      </c>
      <c r="B4705" s="17" t="s">
        <v>5435</v>
      </c>
      <c r="C4705" s="30" t="s">
        <v>4550</v>
      </c>
      <c r="D4705" s="30" t="s">
        <v>5392</v>
      </c>
      <c r="E4705" s="17"/>
      <c r="F4705" s="473">
        <v>12</v>
      </c>
      <c r="G4705" s="551">
        <v>12</v>
      </c>
      <c r="H4705" s="18"/>
      <c r="I4705" s="694"/>
      <c r="J4705" s="669" t="s">
        <v>5805</v>
      </c>
      <c r="K4705" s="15"/>
      <c r="M4705" s="113"/>
      <c r="N4705" s="138"/>
      <c r="O4705" s="113" t="s">
        <v>1012</v>
      </c>
      <c r="P4705" s="113"/>
      <c r="Q4705" s="113"/>
      <c r="R4705" s="113"/>
      <c r="S4705" s="113"/>
      <c r="T4705" s="113"/>
      <c r="U4705" s="113"/>
      <c r="V4705" s="113"/>
      <c r="W4705" s="139">
        <f>F4703-F4705</f>
        <v>18.649999999999999</v>
      </c>
      <c r="X4705" s="113" t="s">
        <v>5596</v>
      </c>
    </row>
    <row r="4706" spans="1:27" x14ac:dyDescent="0.25">
      <c r="A4706" s="254"/>
      <c r="G4706" s="537"/>
      <c r="H4706" s="15" t="str">
        <f>IF(ISNUMBER(G4706),ROUND(0.8*G4706,2),"")</f>
        <v/>
      </c>
      <c r="J4706" s="669" t="s">
        <v>4180</v>
      </c>
      <c r="K4706" s="15"/>
      <c r="Y4706" s="12"/>
      <c r="Z4706" s="12"/>
      <c r="AA4706" s="12"/>
    </row>
    <row r="4707" spans="1:27" x14ac:dyDescent="0.25">
      <c r="A4707" s="610" t="s">
        <v>621</v>
      </c>
      <c r="B4707" s="17" t="s">
        <v>5435</v>
      </c>
      <c r="C4707" s="30" t="s">
        <v>4445</v>
      </c>
      <c r="D4707" s="17" t="s">
        <v>5380</v>
      </c>
      <c r="E4707" s="17"/>
      <c r="F4707" s="444">
        <f>ROUND(M4707,2)</f>
        <v>33.03</v>
      </c>
      <c r="G4707" s="519">
        <v>33.03</v>
      </c>
      <c r="H4707" s="18">
        <f>IF(ISNUMBER(G4707),ROUND(0.8*G4707,2),"")</f>
        <v>26.42</v>
      </c>
      <c r="I4707" s="694"/>
      <c r="J4707" s="669" t="s">
        <v>5805</v>
      </c>
      <c r="K4707" s="15"/>
      <c r="M4707" s="135">
        <f>M4693*(1-N4707)</f>
        <v>33.029486490000004</v>
      </c>
      <c r="N4707" s="136">
        <v>0.03</v>
      </c>
      <c r="O4707" s="137" t="s">
        <v>4448</v>
      </c>
      <c r="P4707" s="12"/>
      <c r="Q4707" s="12"/>
      <c r="R4707" s="12"/>
      <c r="S4707" s="12"/>
      <c r="T4707" s="12"/>
      <c r="U4707" s="12"/>
      <c r="V4707" s="12"/>
      <c r="W4707" s="12"/>
      <c r="X4707" s="12"/>
      <c r="Y4707" s="12"/>
      <c r="Z4707" s="12"/>
      <c r="AA4707" s="12"/>
    </row>
    <row r="4708" spans="1:27" x14ac:dyDescent="0.25">
      <c r="A4708" s="610" t="s">
        <v>622</v>
      </c>
      <c r="B4708" s="17" t="s">
        <v>5435</v>
      </c>
      <c r="C4708" s="30" t="s">
        <v>4445</v>
      </c>
      <c r="D4708" s="17" t="s">
        <v>5381</v>
      </c>
      <c r="E4708" s="17"/>
      <c r="F4708" s="444">
        <f>ROUND(M4708,2)</f>
        <v>31.42</v>
      </c>
      <c r="G4708" s="519">
        <v>31.42</v>
      </c>
      <c r="H4708" s="18">
        <f>IF(ISNUMBER(G4708),ROUND(0.8*G4708,2),"")</f>
        <v>25.14</v>
      </c>
      <c r="I4708" s="694"/>
      <c r="J4708" s="669" t="s">
        <v>5805</v>
      </c>
      <c r="K4708" s="15"/>
      <c r="M4708" s="135">
        <f>M4694*(1-N4708)</f>
        <v>31.416793589999997</v>
      </c>
      <c r="N4708" s="136">
        <v>0.03</v>
      </c>
      <c r="O4708" s="137" t="s">
        <v>4449</v>
      </c>
      <c r="P4708" s="12"/>
      <c r="Q4708" s="12"/>
      <c r="R4708" s="12"/>
      <c r="S4708" s="12"/>
      <c r="T4708" s="12"/>
      <c r="U4708" s="12"/>
      <c r="V4708" s="12"/>
      <c r="W4708" s="12"/>
      <c r="X4708" s="12"/>
      <c r="Y4708" s="12"/>
      <c r="Z4708" s="12"/>
      <c r="AA4708" s="12"/>
    </row>
    <row r="4709" spans="1:27" x14ac:dyDescent="0.25">
      <c r="A4709" s="610" t="s">
        <v>623</v>
      </c>
      <c r="B4709" s="17" t="s">
        <v>5435</v>
      </c>
      <c r="C4709" s="30" t="s">
        <v>4445</v>
      </c>
      <c r="D4709" s="17" t="s">
        <v>5382</v>
      </c>
      <c r="E4709" s="17"/>
      <c r="F4709" s="444">
        <f>ROUND(M4709,2)</f>
        <v>29.73</v>
      </c>
      <c r="G4709" s="519">
        <v>29.73</v>
      </c>
      <c r="H4709" s="18">
        <f>IF(ISNUMBER(G4709),ROUND(0.8*G4709,2),"")</f>
        <v>23.78</v>
      </c>
      <c r="I4709" s="694"/>
      <c r="J4709" s="669" t="s">
        <v>5805</v>
      </c>
      <c r="K4709" s="15"/>
      <c r="M4709" s="135">
        <f>M4695*(1-N4709)</f>
        <v>29.72739018</v>
      </c>
      <c r="N4709" s="136">
        <v>0.03</v>
      </c>
      <c r="O4709" s="137" t="s">
        <v>4450</v>
      </c>
      <c r="P4709" s="12"/>
      <c r="Q4709" s="12"/>
      <c r="R4709" s="12"/>
      <c r="S4709" s="12"/>
      <c r="T4709" s="12"/>
      <c r="U4709" s="12"/>
      <c r="V4709" s="12"/>
      <c r="W4709" s="12"/>
      <c r="X4709" s="12"/>
      <c r="Y4709" s="12"/>
      <c r="Z4709" s="12"/>
      <c r="AA4709" s="12"/>
    </row>
    <row r="4710" spans="1:27" x14ac:dyDescent="0.25">
      <c r="A4710" s="610" t="s">
        <v>624</v>
      </c>
      <c r="B4710" s="17" t="s">
        <v>5435</v>
      </c>
      <c r="C4710" s="30" t="s">
        <v>4445</v>
      </c>
      <c r="D4710" s="17" t="s">
        <v>7400</v>
      </c>
      <c r="E4710" s="17"/>
      <c r="F4710" s="444">
        <f>ROUND(M4710,2)</f>
        <v>24.79</v>
      </c>
      <c r="G4710" s="519">
        <v>24.79</v>
      </c>
      <c r="H4710" s="18">
        <f>IF(ISNUMBER(G4710),ROUND(0.8*G4710,2),"")</f>
        <v>19.829999999999998</v>
      </c>
      <c r="I4710" s="694"/>
      <c r="J4710" s="669" t="s">
        <v>5805</v>
      </c>
      <c r="K4710" s="15"/>
      <c r="L4710" s="173"/>
      <c r="M4710" s="135">
        <f>M4696*(1-N4710)</f>
        <v>24.785342999999997</v>
      </c>
      <c r="N4710" s="136">
        <v>0.03</v>
      </c>
      <c r="O4710" s="137" t="s">
        <v>4451</v>
      </c>
      <c r="P4710" s="12"/>
      <c r="Q4710" s="12"/>
      <c r="R4710" s="12"/>
      <c r="S4710" s="12"/>
      <c r="T4710" s="12"/>
      <c r="U4710" s="12"/>
      <c r="V4710" s="12"/>
      <c r="W4710" s="12"/>
      <c r="X4710" s="12"/>
      <c r="Y4710" s="12"/>
      <c r="Z4710" s="12"/>
      <c r="AA4710" s="12"/>
    </row>
    <row r="4711" spans="1:27" x14ac:dyDescent="0.25">
      <c r="A4711" s="610" t="s">
        <v>625</v>
      </c>
      <c r="B4711" s="17" t="s">
        <v>5435</v>
      </c>
      <c r="C4711" s="30" t="s">
        <v>4445</v>
      </c>
      <c r="D4711" s="30" t="s">
        <v>5383</v>
      </c>
      <c r="E4711" s="17"/>
      <c r="F4711" s="473">
        <f>F4707</f>
        <v>33.03</v>
      </c>
      <c r="G4711" s="550">
        <v>33.03</v>
      </c>
      <c r="H4711" s="18"/>
      <c r="I4711" s="694"/>
      <c r="J4711" s="669" t="s">
        <v>5805</v>
      </c>
      <c r="K4711" s="15"/>
      <c r="L4711" s="173"/>
      <c r="M4711" s="173"/>
      <c r="N4711" s="12"/>
      <c r="O4711" s="137" t="s">
        <v>626</v>
      </c>
      <c r="P4711" s="12"/>
      <c r="Q4711" s="12"/>
      <c r="R4711" s="12"/>
      <c r="S4711" s="12"/>
      <c r="T4711" s="12"/>
      <c r="U4711" s="12"/>
      <c r="V4711" s="12"/>
      <c r="W4711" s="12"/>
      <c r="X4711" s="12"/>
      <c r="Y4711" s="12"/>
      <c r="Z4711" s="12"/>
      <c r="AA4711" s="12"/>
    </row>
    <row r="4712" spans="1:27" x14ac:dyDescent="0.25">
      <c r="A4712" s="610" t="s">
        <v>627</v>
      </c>
      <c r="B4712" s="17" t="s">
        <v>5435</v>
      </c>
      <c r="C4712" s="30" t="s">
        <v>4444</v>
      </c>
      <c r="D4712" s="30" t="s">
        <v>5385</v>
      </c>
      <c r="E4712" s="17"/>
      <c r="F4712" s="473">
        <v>16.38</v>
      </c>
      <c r="G4712" s="550">
        <v>16.38</v>
      </c>
      <c r="H4712" s="18"/>
      <c r="I4712" s="694"/>
      <c r="J4712" s="669" t="s">
        <v>5805</v>
      </c>
      <c r="K4712" s="15"/>
      <c r="L4712" s="129"/>
      <c r="M4712" s="129"/>
      <c r="O4712" s="137" t="s">
        <v>1011</v>
      </c>
      <c r="P4712" s="174"/>
      <c r="Q4712" s="174"/>
      <c r="R4712" s="174"/>
      <c r="S4712" s="174"/>
      <c r="T4712" s="174"/>
      <c r="U4712" s="174"/>
      <c r="V4712" s="174"/>
      <c r="W4712" s="175">
        <f>F4711-F4712</f>
        <v>16.650000000000002</v>
      </c>
      <c r="X4712" s="174" t="s">
        <v>5596</v>
      </c>
      <c r="Y4712" s="12"/>
      <c r="Z4712" s="12"/>
      <c r="AA4712" s="12"/>
    </row>
    <row r="4713" spans="1:27" x14ac:dyDescent="0.25">
      <c r="A4713" s="610" t="s">
        <v>628</v>
      </c>
      <c r="B4713" s="17" t="s">
        <v>5435</v>
      </c>
      <c r="C4713" s="30" t="s">
        <v>4444</v>
      </c>
      <c r="D4713" s="30" t="s">
        <v>5386</v>
      </c>
      <c r="E4713" s="17"/>
      <c r="F4713" s="473">
        <v>12</v>
      </c>
      <c r="G4713" s="551">
        <v>12</v>
      </c>
      <c r="H4713" s="18"/>
      <c r="I4713" s="694"/>
      <c r="J4713" s="669" t="s">
        <v>5805</v>
      </c>
      <c r="K4713" s="15"/>
      <c r="L4713" s="173"/>
      <c r="O4713" s="137" t="s">
        <v>1012</v>
      </c>
      <c r="P4713" s="174"/>
      <c r="Q4713" s="174"/>
      <c r="R4713" s="174"/>
      <c r="S4713" s="174"/>
      <c r="T4713" s="174"/>
      <c r="U4713" s="174"/>
      <c r="V4713" s="174"/>
      <c r="W4713" s="175">
        <f>F4711-F4713</f>
        <v>21.03</v>
      </c>
      <c r="X4713" s="174" t="s">
        <v>5596</v>
      </c>
      <c r="Y4713" s="12"/>
      <c r="Z4713" s="12"/>
      <c r="AA4713" s="12"/>
    </row>
    <row r="4714" spans="1:27" x14ac:dyDescent="0.25">
      <c r="A4714" s="610" t="s">
        <v>629</v>
      </c>
      <c r="B4714" s="17" t="s">
        <v>5435</v>
      </c>
      <c r="C4714" s="30" t="s">
        <v>4445</v>
      </c>
      <c r="D4714" s="30" t="s">
        <v>5387</v>
      </c>
      <c r="E4714" s="17"/>
      <c r="F4714" s="473">
        <f>F4708</f>
        <v>31.42</v>
      </c>
      <c r="G4714" s="550">
        <v>31.42</v>
      </c>
      <c r="H4714" s="18"/>
      <c r="I4714" s="694"/>
      <c r="J4714" s="669" t="s">
        <v>5805</v>
      </c>
      <c r="K4714" s="15"/>
      <c r="L4714" s="173"/>
      <c r="M4714" s="173"/>
      <c r="O4714" s="137" t="s">
        <v>630</v>
      </c>
      <c r="P4714" s="12"/>
      <c r="Q4714" s="12"/>
      <c r="R4714" s="12"/>
      <c r="S4714" s="12"/>
      <c r="T4714" s="12"/>
      <c r="U4714" s="12"/>
      <c r="V4714" s="12"/>
      <c r="W4714" s="12"/>
      <c r="X4714" s="12"/>
      <c r="Y4714" s="12"/>
      <c r="Z4714" s="12"/>
      <c r="AA4714" s="12"/>
    </row>
    <row r="4715" spans="1:27" x14ac:dyDescent="0.25">
      <c r="A4715" s="610" t="s">
        <v>631</v>
      </c>
      <c r="B4715" s="17" t="s">
        <v>5435</v>
      </c>
      <c r="C4715" s="30" t="s">
        <v>4444</v>
      </c>
      <c r="D4715" s="30" t="s">
        <v>5388</v>
      </c>
      <c r="E4715" s="17"/>
      <c r="F4715" s="473">
        <v>16.38</v>
      </c>
      <c r="G4715" s="550">
        <v>16.38</v>
      </c>
      <c r="H4715" s="18"/>
      <c r="I4715" s="694"/>
      <c r="J4715" s="669" t="s">
        <v>5805</v>
      </c>
      <c r="K4715" s="15"/>
      <c r="L4715" s="129"/>
      <c r="M4715" s="129"/>
      <c r="O4715" s="137" t="s">
        <v>1011</v>
      </c>
      <c r="P4715" s="174"/>
      <c r="Q4715" s="174"/>
      <c r="R4715" s="174"/>
      <c r="S4715" s="174"/>
      <c r="T4715" s="174"/>
      <c r="U4715" s="174"/>
      <c r="V4715" s="174"/>
      <c r="W4715" s="175">
        <f>F4714-F4715</f>
        <v>15.040000000000003</v>
      </c>
      <c r="X4715" s="174" t="s">
        <v>5596</v>
      </c>
      <c r="Y4715" s="12"/>
      <c r="Z4715" s="12"/>
      <c r="AA4715" s="12"/>
    </row>
    <row r="4716" spans="1:27" x14ac:dyDescent="0.25">
      <c r="A4716" s="610" t="s">
        <v>632</v>
      </c>
      <c r="B4716" s="17" t="s">
        <v>5435</v>
      </c>
      <c r="C4716" s="30" t="s">
        <v>4444</v>
      </c>
      <c r="D4716" s="30" t="s">
        <v>5389</v>
      </c>
      <c r="E4716" s="17"/>
      <c r="F4716" s="473">
        <v>12</v>
      </c>
      <c r="G4716" s="551">
        <v>12</v>
      </c>
      <c r="H4716" s="18"/>
      <c r="I4716" s="694"/>
      <c r="J4716" s="669" t="s">
        <v>5805</v>
      </c>
      <c r="K4716" s="15"/>
      <c r="L4716" s="173"/>
      <c r="O4716" s="137" t="s">
        <v>1012</v>
      </c>
      <c r="P4716" s="174"/>
      <c r="Q4716" s="174"/>
      <c r="R4716" s="174"/>
      <c r="S4716" s="174"/>
      <c r="T4716" s="174"/>
      <c r="U4716" s="174"/>
      <c r="V4716" s="174"/>
      <c r="W4716" s="175">
        <f>F4714-F4716</f>
        <v>19.420000000000002</v>
      </c>
      <c r="X4716" s="174" t="s">
        <v>5596</v>
      </c>
      <c r="Y4716" s="12"/>
      <c r="Z4716" s="12"/>
      <c r="AA4716" s="12"/>
    </row>
    <row r="4717" spans="1:27" x14ac:dyDescent="0.25">
      <c r="A4717" s="610" t="s">
        <v>633</v>
      </c>
      <c r="B4717" s="17" t="s">
        <v>5435</v>
      </c>
      <c r="C4717" s="30" t="s">
        <v>4445</v>
      </c>
      <c r="D4717" s="30" t="s">
        <v>5390</v>
      </c>
      <c r="E4717" s="17"/>
      <c r="F4717" s="473">
        <f>F4709</f>
        <v>29.73</v>
      </c>
      <c r="G4717" s="550">
        <v>29.73</v>
      </c>
      <c r="H4717" s="18"/>
      <c r="I4717" s="694"/>
      <c r="J4717" s="669" t="s">
        <v>5805</v>
      </c>
      <c r="K4717" s="15"/>
      <c r="L4717" s="173"/>
      <c r="M4717" s="173"/>
      <c r="O4717" s="137" t="s">
        <v>634</v>
      </c>
      <c r="P4717" s="12"/>
      <c r="Q4717" s="12"/>
      <c r="R4717" s="12"/>
      <c r="S4717" s="12"/>
      <c r="T4717" s="12"/>
      <c r="U4717" s="12"/>
      <c r="V4717" s="12"/>
      <c r="W4717" s="12"/>
      <c r="X4717" s="12"/>
      <c r="Y4717" s="12"/>
      <c r="Z4717" s="12"/>
      <c r="AA4717" s="12"/>
    </row>
    <row r="4718" spans="1:27" x14ac:dyDescent="0.25">
      <c r="A4718" s="610" t="s">
        <v>635</v>
      </c>
      <c r="B4718" s="17" t="s">
        <v>5435</v>
      </c>
      <c r="C4718" s="30" t="s">
        <v>4444</v>
      </c>
      <c r="D4718" s="30" t="s">
        <v>5391</v>
      </c>
      <c r="E4718" s="17"/>
      <c r="F4718" s="473">
        <v>16.38</v>
      </c>
      <c r="G4718" s="550">
        <v>16.38</v>
      </c>
      <c r="H4718" s="18"/>
      <c r="I4718" s="694"/>
      <c r="J4718" s="669" t="s">
        <v>5805</v>
      </c>
      <c r="K4718" s="15"/>
      <c r="L4718" s="129"/>
      <c r="M4718" s="129"/>
      <c r="O4718" s="137" t="s">
        <v>1011</v>
      </c>
      <c r="P4718" s="174"/>
      <c r="Q4718" s="174"/>
      <c r="R4718" s="174"/>
      <c r="S4718" s="174"/>
      <c r="T4718" s="174"/>
      <c r="U4718" s="174"/>
      <c r="V4718" s="174"/>
      <c r="W4718" s="175">
        <f>F4717-F4718</f>
        <v>13.350000000000001</v>
      </c>
      <c r="X4718" s="174" t="s">
        <v>5596</v>
      </c>
    </row>
    <row r="4719" spans="1:27" x14ac:dyDescent="0.25">
      <c r="A4719" s="610" t="s">
        <v>636</v>
      </c>
      <c r="B4719" s="17" t="s">
        <v>5435</v>
      </c>
      <c r="C4719" s="30" t="s">
        <v>4444</v>
      </c>
      <c r="D4719" s="30" t="s">
        <v>5392</v>
      </c>
      <c r="E4719" s="17"/>
      <c r="F4719" s="473">
        <v>12</v>
      </c>
      <c r="G4719" s="551">
        <v>12</v>
      </c>
      <c r="H4719" s="18"/>
      <c r="I4719" s="694"/>
      <c r="J4719" s="669" t="s">
        <v>5805</v>
      </c>
      <c r="K4719" s="15"/>
      <c r="O4719" s="137" t="s">
        <v>1012</v>
      </c>
      <c r="P4719" s="113"/>
      <c r="Q4719" s="113"/>
      <c r="R4719" s="113"/>
      <c r="S4719" s="113"/>
      <c r="T4719" s="113"/>
      <c r="U4719" s="113"/>
      <c r="V4719" s="113"/>
      <c r="W4719" s="139">
        <f>F4717-F4719</f>
        <v>17.73</v>
      </c>
      <c r="X4719" s="113" t="s">
        <v>5596</v>
      </c>
    </row>
    <row r="4720" spans="1:27" x14ac:dyDescent="0.25">
      <c r="A4720" s="254"/>
      <c r="G4720" s="537"/>
      <c r="H4720" s="15" t="str">
        <f>IF(ISNUMBER(G4720),ROUND(0.8*G4720,2),"")</f>
        <v/>
      </c>
      <c r="J4720" s="669" t="s">
        <v>4180</v>
      </c>
      <c r="K4720" s="15"/>
      <c r="M4720">
        <v>2011</v>
      </c>
      <c r="Y4720" s="12"/>
      <c r="Z4720" s="12"/>
      <c r="AA4720" s="12"/>
    </row>
    <row r="4721" spans="1:27" x14ac:dyDescent="0.25">
      <c r="A4721" s="610" t="str">
        <f t="shared" ref="A4721:A4733" si="1720">LEFT(A4707,9)&amp;"---"&amp;($M$4523-2000)</f>
        <v>SgK330------11</v>
      </c>
      <c r="B4721" s="17" t="s">
        <v>5435</v>
      </c>
      <c r="C4721" s="30" t="s">
        <v>1467</v>
      </c>
      <c r="D4721" s="17" t="s">
        <v>5380</v>
      </c>
      <c r="E4721" s="17"/>
      <c r="F4721" s="444">
        <f>ROUND(M4721,2)</f>
        <v>28.74</v>
      </c>
      <c r="G4721" s="519">
        <v>28.74</v>
      </c>
      <c r="H4721" s="18">
        <f>IF(ISNUMBER(G4721),ROUND(0.8*G4721,2),"")</f>
        <v>22.99</v>
      </c>
      <c r="I4721" s="694"/>
      <c r="J4721" s="669" t="s">
        <v>5805</v>
      </c>
      <c r="K4721" s="15"/>
      <c r="M4721" s="135">
        <f>M4707*(1-N4721)</f>
        <v>28.735653246300004</v>
      </c>
      <c r="N4721" s="136">
        <v>0.13</v>
      </c>
      <c r="O4721" s="137" t="s">
        <v>5508</v>
      </c>
      <c r="P4721" s="12"/>
      <c r="Q4721" s="12"/>
      <c r="R4721" s="12"/>
      <c r="S4721" s="12"/>
      <c r="T4721" s="12"/>
      <c r="U4721" s="12"/>
      <c r="V4721" s="12"/>
      <c r="W4721" s="12"/>
      <c r="X4721" s="12"/>
      <c r="Y4721" s="12"/>
      <c r="Z4721" s="12"/>
      <c r="AA4721" s="12"/>
    </row>
    <row r="4722" spans="1:27" x14ac:dyDescent="0.25">
      <c r="A4722" s="610" t="str">
        <f t="shared" si="1720"/>
        <v>SgK331------11</v>
      </c>
      <c r="B4722" s="17" t="s">
        <v>5435</v>
      </c>
      <c r="C4722" s="30" t="s">
        <v>1467</v>
      </c>
      <c r="D4722" s="17" t="s">
        <v>5381</v>
      </c>
      <c r="E4722" s="17"/>
      <c r="F4722" s="444">
        <f>ROUND(M4722,2)</f>
        <v>27.33</v>
      </c>
      <c r="G4722" s="519">
        <v>27.33</v>
      </c>
      <c r="H4722" s="18">
        <f>IF(ISNUMBER(G4722),ROUND(0.8*G4722,2),"")</f>
        <v>21.86</v>
      </c>
      <c r="I4722" s="694"/>
      <c r="J4722" s="669" t="s">
        <v>5805</v>
      </c>
      <c r="K4722" s="15"/>
      <c r="M4722" s="135">
        <f>M4708*(1-N4722)</f>
        <v>27.332610423299997</v>
      </c>
      <c r="N4722" s="136">
        <v>0.13</v>
      </c>
      <c r="O4722" s="137" t="s">
        <v>5509</v>
      </c>
      <c r="P4722" s="12"/>
      <c r="Q4722" s="12"/>
      <c r="R4722" s="12"/>
      <c r="S4722" s="12"/>
      <c r="T4722" s="12"/>
      <c r="U4722" s="12"/>
      <c r="V4722" s="12"/>
      <c r="W4722" s="12"/>
      <c r="X4722" s="12"/>
      <c r="Y4722" s="12"/>
      <c r="Z4722" s="12"/>
      <c r="AA4722" s="12"/>
    </row>
    <row r="4723" spans="1:27" x14ac:dyDescent="0.25">
      <c r="A4723" s="610" t="str">
        <f t="shared" si="1720"/>
        <v>SgK332------11</v>
      </c>
      <c r="B4723" s="17" t="s">
        <v>5435</v>
      </c>
      <c r="C4723" s="30" t="s">
        <v>1467</v>
      </c>
      <c r="D4723" s="17" t="s">
        <v>5382</v>
      </c>
      <c r="E4723" s="17"/>
      <c r="F4723" s="444">
        <f>ROUND(M4723,2)</f>
        <v>25.86</v>
      </c>
      <c r="G4723" s="519">
        <v>25.86</v>
      </c>
      <c r="H4723" s="18">
        <f>IF(ISNUMBER(G4723),ROUND(0.8*G4723,2),"")</f>
        <v>20.69</v>
      </c>
      <c r="I4723" s="694"/>
      <c r="J4723" s="669" t="s">
        <v>5805</v>
      </c>
      <c r="K4723" s="15"/>
      <c r="M4723" s="135">
        <f>M4709*(1-N4723)</f>
        <v>25.8628294566</v>
      </c>
      <c r="N4723" s="136">
        <v>0.13</v>
      </c>
      <c r="O4723" s="137" t="s">
        <v>5510</v>
      </c>
      <c r="P4723" s="12"/>
      <c r="Q4723" s="12"/>
      <c r="R4723" s="12"/>
      <c r="S4723" s="12"/>
      <c r="T4723" s="12"/>
      <c r="U4723" s="12"/>
      <c r="V4723" s="12"/>
      <c r="W4723" s="12"/>
      <c r="X4723" s="12"/>
      <c r="Y4723" s="12"/>
      <c r="Z4723" s="12"/>
      <c r="AA4723" s="12"/>
    </row>
    <row r="4724" spans="1:27" x14ac:dyDescent="0.25">
      <c r="A4724" s="610" t="str">
        <f t="shared" si="1720"/>
        <v>SgK333------11</v>
      </c>
      <c r="B4724" s="17" t="s">
        <v>5435</v>
      </c>
      <c r="C4724" s="30" t="s">
        <v>1467</v>
      </c>
      <c r="D4724" s="17" t="s">
        <v>7400</v>
      </c>
      <c r="E4724" s="17"/>
      <c r="F4724" s="444">
        <f>ROUND(M4724,2)</f>
        <v>21.56</v>
      </c>
      <c r="G4724" s="519">
        <v>21.56</v>
      </c>
      <c r="H4724" s="18">
        <f>IF(ISNUMBER(G4724),ROUND(0.8*G4724,2),"")</f>
        <v>17.25</v>
      </c>
      <c r="I4724" s="694"/>
      <c r="J4724" s="669" t="s">
        <v>5805</v>
      </c>
      <c r="K4724" s="15"/>
      <c r="L4724" s="173"/>
      <c r="M4724" s="135">
        <f>M4710*(1-N4724)</f>
        <v>21.563248409999996</v>
      </c>
      <c r="N4724" s="136">
        <v>0.13</v>
      </c>
      <c r="O4724" s="137" t="s">
        <v>5511</v>
      </c>
      <c r="P4724" s="12"/>
      <c r="Q4724" s="12"/>
      <c r="R4724" s="12"/>
      <c r="S4724" s="12"/>
      <c r="T4724" s="12"/>
      <c r="U4724" s="12"/>
      <c r="V4724" s="12"/>
      <c r="W4724" s="12"/>
      <c r="X4724" s="12"/>
      <c r="Y4724" s="12"/>
      <c r="Z4724" s="12"/>
      <c r="AA4724" s="12"/>
    </row>
    <row r="4725" spans="1:27" x14ac:dyDescent="0.25">
      <c r="A4725" s="610" t="str">
        <f t="shared" si="1720"/>
        <v>SgK33410----11</v>
      </c>
      <c r="B4725" s="17" t="s">
        <v>5435</v>
      </c>
      <c r="C4725" s="30" t="s">
        <v>1467</v>
      </c>
      <c r="D4725" s="30" t="s">
        <v>5383</v>
      </c>
      <c r="E4725" s="17"/>
      <c r="F4725" s="473">
        <f>F4721</f>
        <v>28.74</v>
      </c>
      <c r="G4725" s="550">
        <v>28.74</v>
      </c>
      <c r="H4725" s="18"/>
      <c r="I4725" s="694"/>
      <c r="J4725" s="669" t="s">
        <v>5805</v>
      </c>
      <c r="K4725" s="15"/>
      <c r="L4725" s="173"/>
      <c r="M4725" s="173"/>
      <c r="N4725" s="12"/>
      <c r="O4725" s="137" t="s">
        <v>1479</v>
      </c>
      <c r="P4725" s="12"/>
      <c r="Q4725" s="12"/>
      <c r="R4725" s="12"/>
      <c r="S4725" s="12"/>
      <c r="T4725" s="12"/>
      <c r="U4725" s="12"/>
      <c r="V4725" s="12"/>
      <c r="W4725" s="12"/>
      <c r="X4725" s="12"/>
      <c r="Y4725" s="12"/>
      <c r="Z4725" s="12"/>
      <c r="AA4725" s="12"/>
    </row>
    <row r="4726" spans="1:27" x14ac:dyDescent="0.25">
      <c r="A4726" s="610" t="str">
        <f t="shared" si="1720"/>
        <v>SgK33420----11</v>
      </c>
      <c r="B4726" s="17" t="s">
        <v>5435</v>
      </c>
      <c r="C4726" s="30" t="s">
        <v>1467</v>
      </c>
      <c r="D4726" s="30" t="s">
        <v>5385</v>
      </c>
      <c r="E4726" s="17"/>
      <c r="F4726" s="473">
        <v>16.38</v>
      </c>
      <c r="G4726" s="550">
        <v>16.38</v>
      </c>
      <c r="H4726" s="18"/>
      <c r="I4726" s="694"/>
      <c r="J4726" s="669" t="s">
        <v>5805</v>
      </c>
      <c r="K4726" s="15"/>
      <c r="L4726" s="129"/>
      <c r="M4726" s="129"/>
      <c r="O4726" s="137" t="s">
        <v>1011</v>
      </c>
      <c r="P4726" s="174"/>
      <c r="Q4726" s="174"/>
      <c r="R4726" s="174"/>
      <c r="S4726" s="174"/>
      <c r="T4726" s="174"/>
      <c r="U4726" s="174"/>
      <c r="V4726" s="174"/>
      <c r="W4726" s="175">
        <f>F4725-F4726</f>
        <v>12.36</v>
      </c>
      <c r="X4726" s="174" t="s">
        <v>5596</v>
      </c>
      <c r="Y4726" s="12"/>
      <c r="Z4726" s="12"/>
      <c r="AA4726" s="12"/>
    </row>
    <row r="4727" spans="1:27" x14ac:dyDescent="0.25">
      <c r="A4727" s="610" t="str">
        <f t="shared" si="1720"/>
        <v>SgK33430----11</v>
      </c>
      <c r="B4727" s="17" t="s">
        <v>5435</v>
      </c>
      <c r="C4727" s="30" t="s">
        <v>1467</v>
      </c>
      <c r="D4727" s="30" t="s">
        <v>5386</v>
      </c>
      <c r="E4727" s="17"/>
      <c r="F4727" s="473">
        <v>12</v>
      </c>
      <c r="G4727" s="551">
        <v>12</v>
      </c>
      <c r="H4727" s="18"/>
      <c r="I4727" s="694"/>
      <c r="J4727" s="669" t="s">
        <v>5805</v>
      </c>
      <c r="K4727" s="15"/>
      <c r="L4727" s="173"/>
      <c r="O4727" s="137" t="s">
        <v>1012</v>
      </c>
      <c r="P4727" s="174"/>
      <c r="Q4727" s="174"/>
      <c r="R4727" s="174"/>
      <c r="S4727" s="174"/>
      <c r="T4727" s="174"/>
      <c r="U4727" s="174"/>
      <c r="V4727" s="174"/>
      <c r="W4727" s="175">
        <f>F4725-F4727</f>
        <v>16.739999999999998</v>
      </c>
      <c r="X4727" s="174" t="s">
        <v>5596</v>
      </c>
      <c r="Y4727" s="12"/>
      <c r="Z4727" s="12"/>
      <c r="AA4727" s="12"/>
    </row>
    <row r="4728" spans="1:27" x14ac:dyDescent="0.25">
      <c r="A4728" s="610" t="str">
        <f t="shared" si="1720"/>
        <v>SgK33411----11</v>
      </c>
      <c r="B4728" s="17" t="s">
        <v>5435</v>
      </c>
      <c r="C4728" s="30" t="s">
        <v>1467</v>
      </c>
      <c r="D4728" s="30" t="s">
        <v>5387</v>
      </c>
      <c r="E4728" s="17"/>
      <c r="F4728" s="473">
        <f>F4722</f>
        <v>27.33</v>
      </c>
      <c r="G4728" s="550">
        <v>27.33</v>
      </c>
      <c r="H4728" s="18"/>
      <c r="I4728" s="694"/>
      <c r="J4728" s="669" t="s">
        <v>5805</v>
      </c>
      <c r="K4728" s="15"/>
      <c r="L4728" s="173"/>
      <c r="M4728" s="173"/>
      <c r="O4728" s="137" t="s">
        <v>1480</v>
      </c>
      <c r="P4728" s="12"/>
      <c r="Q4728" s="12"/>
      <c r="R4728" s="12"/>
      <c r="S4728" s="12"/>
      <c r="T4728" s="12"/>
      <c r="U4728" s="12"/>
      <c r="V4728" s="12"/>
      <c r="W4728" s="12"/>
      <c r="X4728" s="12"/>
      <c r="Y4728" s="12"/>
      <c r="Z4728" s="12"/>
      <c r="AA4728" s="12"/>
    </row>
    <row r="4729" spans="1:27" x14ac:dyDescent="0.25">
      <c r="A4729" s="610" t="str">
        <f t="shared" si="1720"/>
        <v>SgK33421----11</v>
      </c>
      <c r="B4729" s="17" t="s">
        <v>5435</v>
      </c>
      <c r="C4729" s="30" t="s">
        <v>1467</v>
      </c>
      <c r="D4729" s="30" t="s">
        <v>5388</v>
      </c>
      <c r="E4729" s="17"/>
      <c r="F4729" s="473">
        <v>16.38</v>
      </c>
      <c r="G4729" s="550">
        <v>16.38</v>
      </c>
      <c r="H4729" s="18"/>
      <c r="I4729" s="694"/>
      <c r="J4729" s="669" t="s">
        <v>5805</v>
      </c>
      <c r="K4729" s="15"/>
      <c r="L4729" s="129"/>
      <c r="M4729" s="129"/>
      <c r="O4729" s="137" t="s">
        <v>1011</v>
      </c>
      <c r="P4729" s="174"/>
      <c r="Q4729" s="174"/>
      <c r="R4729" s="174"/>
      <c r="S4729" s="174"/>
      <c r="T4729" s="174"/>
      <c r="U4729" s="174"/>
      <c r="V4729" s="174"/>
      <c r="W4729" s="175">
        <f>F4728-F4729</f>
        <v>10.95</v>
      </c>
      <c r="X4729" s="174" t="s">
        <v>5596</v>
      </c>
      <c r="Y4729" s="12"/>
      <c r="Z4729" s="12"/>
      <c r="AA4729" s="12"/>
    </row>
    <row r="4730" spans="1:27" x14ac:dyDescent="0.25">
      <c r="A4730" s="610" t="str">
        <f t="shared" si="1720"/>
        <v>SgK33431----11</v>
      </c>
      <c r="B4730" s="17" t="s">
        <v>5435</v>
      </c>
      <c r="C4730" s="30" t="s">
        <v>1467</v>
      </c>
      <c r="D4730" s="30" t="s">
        <v>5389</v>
      </c>
      <c r="E4730" s="17"/>
      <c r="F4730" s="473">
        <v>12</v>
      </c>
      <c r="G4730" s="551">
        <v>12</v>
      </c>
      <c r="H4730" s="18"/>
      <c r="I4730" s="694"/>
      <c r="J4730" s="669" t="s">
        <v>5805</v>
      </c>
      <c r="K4730" s="15"/>
      <c r="L4730" s="173"/>
      <c r="O4730" s="137" t="s">
        <v>1012</v>
      </c>
      <c r="P4730" s="174"/>
      <c r="Q4730" s="174"/>
      <c r="R4730" s="174"/>
      <c r="S4730" s="174"/>
      <c r="T4730" s="174"/>
      <c r="U4730" s="174"/>
      <c r="V4730" s="174"/>
      <c r="W4730" s="175">
        <f>F4728-F4730</f>
        <v>15.329999999999998</v>
      </c>
      <c r="X4730" s="174" t="s">
        <v>5596</v>
      </c>
      <c r="Y4730" s="12"/>
      <c r="Z4730" s="12"/>
      <c r="AA4730" s="12"/>
    </row>
    <row r="4731" spans="1:27" x14ac:dyDescent="0.25">
      <c r="A4731" s="610" t="str">
        <f t="shared" si="1720"/>
        <v>SgK33412----11</v>
      </c>
      <c r="B4731" s="17" t="s">
        <v>5435</v>
      </c>
      <c r="C4731" s="30" t="s">
        <v>1467</v>
      </c>
      <c r="D4731" s="30" t="s">
        <v>5390</v>
      </c>
      <c r="E4731" s="17"/>
      <c r="F4731" s="473">
        <f>F4723</f>
        <v>25.86</v>
      </c>
      <c r="G4731" s="550">
        <v>25.86</v>
      </c>
      <c r="H4731" s="18"/>
      <c r="I4731" s="694"/>
      <c r="J4731" s="669" t="s">
        <v>5805</v>
      </c>
      <c r="K4731" s="15"/>
      <c r="L4731" s="173"/>
      <c r="M4731" s="173"/>
      <c r="O4731" s="137" t="s">
        <v>1481</v>
      </c>
      <c r="P4731" s="12"/>
      <c r="Q4731" s="12"/>
      <c r="R4731" s="12"/>
      <c r="S4731" s="12"/>
      <c r="T4731" s="12"/>
      <c r="U4731" s="12"/>
      <c r="V4731" s="12"/>
      <c r="W4731" s="12"/>
      <c r="X4731" s="12"/>
      <c r="Y4731" s="12"/>
      <c r="Z4731" s="12"/>
      <c r="AA4731" s="12"/>
    </row>
    <row r="4732" spans="1:27" x14ac:dyDescent="0.25">
      <c r="A4732" s="610" t="str">
        <f t="shared" si="1720"/>
        <v>SgK33422----11</v>
      </c>
      <c r="B4732" s="17" t="s">
        <v>5435</v>
      </c>
      <c r="C4732" s="30" t="s">
        <v>1467</v>
      </c>
      <c r="D4732" s="30" t="s">
        <v>5391</v>
      </c>
      <c r="E4732" s="17"/>
      <c r="F4732" s="473">
        <v>16.38</v>
      </c>
      <c r="G4732" s="550">
        <v>16.38</v>
      </c>
      <c r="H4732" s="18"/>
      <c r="I4732" s="694"/>
      <c r="J4732" s="669" t="s">
        <v>5805</v>
      </c>
      <c r="K4732" s="15"/>
      <c r="L4732" s="129"/>
      <c r="M4732" s="129"/>
      <c r="O4732" s="137" t="s">
        <v>1011</v>
      </c>
      <c r="P4732" s="174"/>
      <c r="Q4732" s="174"/>
      <c r="R4732" s="174"/>
      <c r="S4732" s="174"/>
      <c r="T4732" s="174"/>
      <c r="U4732" s="174"/>
      <c r="V4732" s="174"/>
      <c r="W4732" s="175">
        <f>F4731-F4732</f>
        <v>9.48</v>
      </c>
      <c r="X4732" s="174" t="s">
        <v>5596</v>
      </c>
    </row>
    <row r="4733" spans="1:27" x14ac:dyDescent="0.25">
      <c r="A4733" s="610" t="str">
        <f t="shared" si="1720"/>
        <v>SgK33432----11</v>
      </c>
      <c r="B4733" s="17" t="s">
        <v>5435</v>
      </c>
      <c r="C4733" s="30" t="s">
        <v>1467</v>
      </c>
      <c r="D4733" s="30" t="s">
        <v>5392</v>
      </c>
      <c r="E4733" s="17"/>
      <c r="F4733" s="473">
        <v>12</v>
      </c>
      <c r="G4733" s="551">
        <v>12</v>
      </c>
      <c r="H4733" s="18"/>
      <c r="I4733" s="694"/>
      <c r="J4733" s="669" t="s">
        <v>5805</v>
      </c>
      <c r="K4733" s="15"/>
      <c r="O4733" s="137" t="s">
        <v>1012</v>
      </c>
      <c r="P4733" s="113"/>
      <c r="Q4733" s="113"/>
      <c r="R4733" s="113"/>
      <c r="S4733" s="113"/>
      <c r="T4733" s="113"/>
      <c r="U4733" s="113"/>
      <c r="V4733" s="113"/>
      <c r="W4733" s="139">
        <f>F4731-F4733</f>
        <v>13.86</v>
      </c>
      <c r="X4733" s="113" t="s">
        <v>5596</v>
      </c>
    </row>
    <row r="4734" spans="1:27" x14ac:dyDescent="0.25">
      <c r="A4734" s="254"/>
      <c r="D4734" s="130"/>
      <c r="G4734" s="537"/>
      <c r="H4734" s="15" t="str">
        <f>IF(ISNUMBER(G4734),ROUND(0.8*G4734,2),"")</f>
        <v/>
      </c>
      <c r="J4734" s="669" t="s">
        <v>4180</v>
      </c>
      <c r="K4734" s="15"/>
      <c r="M4734">
        <v>2012</v>
      </c>
      <c r="Y4734" s="12"/>
      <c r="Z4734" s="12"/>
      <c r="AA4734" s="12"/>
    </row>
    <row r="4735" spans="1:27" x14ac:dyDescent="0.25">
      <c r="A4735" s="613" t="str">
        <f t="shared" ref="A4735:A4747" si="1721">LEFT(A4721,9)&amp;"---"&amp;($M$4734-2000)</f>
        <v>SgK330------12</v>
      </c>
      <c r="B4735" s="283" t="s">
        <v>5435</v>
      </c>
      <c r="C4735" s="283" t="s">
        <v>3917</v>
      </c>
      <c r="D4735" s="283" t="s">
        <v>5380</v>
      </c>
      <c r="E4735" s="283"/>
      <c r="F4735" s="447">
        <f>ROUND(M4735,2)</f>
        <v>24.43</v>
      </c>
      <c r="G4735" s="523">
        <v>24.43</v>
      </c>
      <c r="H4735" s="286">
        <f>IF(ISNUMBER(G4735),ROUND(0.8*G4735,2),"")</f>
        <v>19.54</v>
      </c>
      <c r="I4735" s="697"/>
      <c r="J4735" s="669" t="s">
        <v>5805</v>
      </c>
      <c r="K4735" s="15"/>
      <c r="M4735" s="135">
        <f>28.74*(1-N4735)</f>
        <v>24.428999999999998</v>
      </c>
      <c r="N4735" s="281">
        <v>0.15</v>
      </c>
      <c r="O4735" s="137" t="s">
        <v>4248</v>
      </c>
      <c r="P4735" s="12"/>
      <c r="Q4735" s="12"/>
      <c r="R4735" s="12"/>
      <c r="S4735" s="12"/>
      <c r="T4735" s="12"/>
      <c r="U4735" s="12"/>
      <c r="V4735" s="12"/>
      <c r="W4735" s="12"/>
      <c r="X4735" s="12"/>
      <c r="Y4735" s="12"/>
      <c r="Z4735" s="12"/>
      <c r="AA4735" s="12"/>
    </row>
    <row r="4736" spans="1:27" x14ac:dyDescent="0.25">
      <c r="A4736" s="613" t="str">
        <f t="shared" si="1721"/>
        <v>SgK331------12</v>
      </c>
      <c r="B4736" s="283" t="s">
        <v>5435</v>
      </c>
      <c r="C4736" s="283" t="s">
        <v>3917</v>
      </c>
      <c r="D4736" s="283" t="s">
        <v>5381</v>
      </c>
      <c r="E4736" s="283"/>
      <c r="F4736" s="447">
        <f>ROUND(M4736,2)</f>
        <v>23.23</v>
      </c>
      <c r="G4736" s="523">
        <v>23.23</v>
      </c>
      <c r="H4736" s="286">
        <f>IF(ISNUMBER(G4736),ROUND(0.8*G4736,2),"")</f>
        <v>18.579999999999998</v>
      </c>
      <c r="I4736" s="697"/>
      <c r="J4736" s="669" t="s">
        <v>5805</v>
      </c>
      <c r="K4736" s="15"/>
      <c r="M4736" s="135">
        <f>27.33*(1-N4736)</f>
        <v>23.230499999999999</v>
      </c>
      <c r="N4736" s="281">
        <v>0.15</v>
      </c>
      <c r="O4736" s="137" t="s">
        <v>4249</v>
      </c>
      <c r="P4736" s="12"/>
      <c r="Q4736" s="12"/>
      <c r="R4736" s="12"/>
      <c r="S4736" s="12"/>
      <c r="T4736" s="12"/>
      <c r="U4736" s="12"/>
      <c r="V4736" s="12"/>
      <c r="W4736" s="12"/>
      <c r="X4736" s="12"/>
      <c r="Y4736" s="12"/>
      <c r="Z4736" s="12"/>
      <c r="AA4736" s="12"/>
    </row>
    <row r="4737" spans="1:27" x14ac:dyDescent="0.25">
      <c r="A4737" s="613" t="str">
        <f t="shared" si="1721"/>
        <v>SgK332------12</v>
      </c>
      <c r="B4737" s="283" t="s">
        <v>5435</v>
      </c>
      <c r="C4737" s="283" t="s">
        <v>3917</v>
      </c>
      <c r="D4737" s="283" t="s">
        <v>5382</v>
      </c>
      <c r="E4737" s="283"/>
      <c r="F4737" s="447">
        <f>ROUND(M4737,2)</f>
        <v>21.98</v>
      </c>
      <c r="G4737" s="523">
        <v>21.98</v>
      </c>
      <c r="H4737" s="286">
        <f>IF(ISNUMBER(G4737),ROUND(0.8*G4737,2),"")</f>
        <v>17.579999999999998</v>
      </c>
      <c r="I4737" s="697"/>
      <c r="J4737" s="669" t="s">
        <v>5805</v>
      </c>
      <c r="K4737" s="15"/>
      <c r="M4737" s="135">
        <f>25.86*(1-N4737)</f>
        <v>21.980999999999998</v>
      </c>
      <c r="N4737" s="281">
        <v>0.15</v>
      </c>
      <c r="O4737" s="137" t="s">
        <v>4250</v>
      </c>
      <c r="P4737" s="12"/>
      <c r="Q4737" s="12"/>
      <c r="R4737" s="12"/>
      <c r="S4737" s="12"/>
      <c r="T4737" s="12"/>
      <c r="U4737" s="12"/>
      <c r="V4737" s="12"/>
      <c r="W4737" s="12"/>
      <c r="X4737" s="12"/>
      <c r="Y4737" s="12"/>
      <c r="Z4737" s="12"/>
      <c r="AA4737" s="12"/>
    </row>
    <row r="4738" spans="1:27" x14ac:dyDescent="0.25">
      <c r="A4738" s="613" t="str">
        <f t="shared" si="1721"/>
        <v>SgK333------12</v>
      </c>
      <c r="B4738" s="283" t="s">
        <v>5435</v>
      </c>
      <c r="C4738" s="283" t="s">
        <v>3917</v>
      </c>
      <c r="D4738" s="283" t="s">
        <v>7400</v>
      </c>
      <c r="E4738" s="283"/>
      <c r="F4738" s="447">
        <f>ROUND(M4738,2)</f>
        <v>18.329999999999998</v>
      </c>
      <c r="G4738" s="523">
        <v>18.329999999999998</v>
      </c>
      <c r="H4738" s="286">
        <f>IF(ISNUMBER(G4738),ROUND(0.8*G4738,2),"")</f>
        <v>14.66</v>
      </c>
      <c r="I4738" s="697"/>
      <c r="J4738" s="669" t="s">
        <v>5805</v>
      </c>
      <c r="K4738" s="15"/>
      <c r="L4738" s="173"/>
      <c r="M4738" s="282">
        <f>21.56*(1-N4738)</f>
        <v>18.325999999999997</v>
      </c>
      <c r="N4738" s="281">
        <v>0.15</v>
      </c>
      <c r="O4738" s="137" t="s">
        <v>4251</v>
      </c>
      <c r="P4738" s="12"/>
      <c r="Q4738" s="12"/>
      <c r="R4738" s="12"/>
      <c r="S4738" s="12"/>
      <c r="T4738" s="12"/>
      <c r="U4738" s="12"/>
      <c r="V4738" s="12"/>
      <c r="W4738" s="12"/>
      <c r="X4738" s="12"/>
      <c r="Y4738" s="12"/>
      <c r="Z4738" s="12"/>
      <c r="AA4738" s="12"/>
    </row>
    <row r="4739" spans="1:27" x14ac:dyDescent="0.25">
      <c r="A4739" s="613" t="str">
        <f t="shared" si="1721"/>
        <v>SgK33410----12</v>
      </c>
      <c r="B4739" s="283" t="s">
        <v>5435</v>
      </c>
      <c r="C4739" s="283" t="s">
        <v>3917</v>
      </c>
      <c r="D4739" s="284" t="s">
        <v>5383</v>
      </c>
      <c r="E4739" s="283"/>
      <c r="F4739" s="474">
        <f>F4735</f>
        <v>24.43</v>
      </c>
      <c r="G4739" s="552">
        <v>24.43</v>
      </c>
      <c r="H4739" s="287"/>
      <c r="I4739" s="728"/>
      <c r="J4739" s="669" t="s">
        <v>5805</v>
      </c>
      <c r="K4739" s="15"/>
      <c r="L4739" s="173"/>
      <c r="M4739" s="173"/>
      <c r="N4739" s="12"/>
      <c r="O4739" s="137" t="s">
        <v>4252</v>
      </c>
      <c r="P4739" s="12"/>
      <c r="Q4739" s="12"/>
      <c r="R4739" s="12"/>
      <c r="S4739" s="12"/>
      <c r="T4739" s="12"/>
      <c r="U4739" s="12"/>
      <c r="V4739" s="12"/>
      <c r="W4739" s="12"/>
      <c r="X4739" s="12"/>
      <c r="Y4739" s="12"/>
      <c r="Z4739" s="12"/>
      <c r="AA4739" s="12"/>
    </row>
    <row r="4740" spans="1:27" x14ac:dyDescent="0.25">
      <c r="A4740" s="613" t="str">
        <f t="shared" si="1721"/>
        <v>SgK33420----12</v>
      </c>
      <c r="B4740" s="283" t="s">
        <v>5435</v>
      </c>
      <c r="C4740" s="283" t="s">
        <v>3917</v>
      </c>
      <c r="D4740" s="284" t="s">
        <v>5385</v>
      </c>
      <c r="E4740" s="283"/>
      <c r="F4740" s="474">
        <v>16.38</v>
      </c>
      <c r="G4740" s="552">
        <v>16.38</v>
      </c>
      <c r="H4740" s="287"/>
      <c r="I4740" s="728"/>
      <c r="J4740" s="669" t="s">
        <v>5805</v>
      </c>
      <c r="K4740" s="15"/>
      <c r="L4740" s="129"/>
      <c r="M4740" s="129"/>
      <c r="O4740" s="137" t="s">
        <v>1011</v>
      </c>
      <c r="P4740" s="174"/>
      <c r="Q4740" s="174"/>
      <c r="R4740" s="174"/>
      <c r="S4740" s="174"/>
      <c r="T4740" s="174"/>
      <c r="U4740" s="174"/>
      <c r="V4740" s="174"/>
      <c r="W4740" s="175">
        <f>F4739-F4740</f>
        <v>8.0500000000000007</v>
      </c>
      <c r="X4740" s="174" t="s">
        <v>5596</v>
      </c>
      <c r="Y4740" s="12"/>
      <c r="Z4740" s="12"/>
      <c r="AA4740" s="12"/>
    </row>
    <row r="4741" spans="1:27" x14ac:dyDescent="0.25">
      <c r="A4741" s="613" t="str">
        <f t="shared" si="1721"/>
        <v>SgK33430----12</v>
      </c>
      <c r="B4741" s="283" t="s">
        <v>5435</v>
      </c>
      <c r="C4741" s="283" t="s">
        <v>3917</v>
      </c>
      <c r="D4741" s="284" t="s">
        <v>5386</v>
      </c>
      <c r="E4741" s="283"/>
      <c r="F4741" s="474">
        <v>12</v>
      </c>
      <c r="G4741" s="553">
        <v>12</v>
      </c>
      <c r="H4741" s="288"/>
      <c r="I4741" s="697"/>
      <c r="J4741" s="669" t="s">
        <v>5805</v>
      </c>
      <c r="K4741" s="15"/>
      <c r="L4741" s="173"/>
      <c r="O4741" s="137" t="s">
        <v>1012</v>
      </c>
      <c r="P4741" s="174"/>
      <c r="Q4741" s="174"/>
      <c r="R4741" s="174"/>
      <c r="S4741" s="174"/>
      <c r="T4741" s="174"/>
      <c r="U4741" s="174"/>
      <c r="V4741" s="174"/>
      <c r="W4741" s="175">
        <f>F4739-F4741</f>
        <v>12.43</v>
      </c>
      <c r="X4741" s="174" t="s">
        <v>5596</v>
      </c>
      <c r="Y4741" s="12"/>
      <c r="Z4741" s="12"/>
      <c r="AA4741" s="12"/>
    </row>
    <row r="4742" spans="1:27" x14ac:dyDescent="0.25">
      <c r="A4742" s="613" t="str">
        <f t="shared" si="1721"/>
        <v>SgK33411----12</v>
      </c>
      <c r="B4742" s="283" t="s">
        <v>5435</v>
      </c>
      <c r="C4742" s="283" t="s">
        <v>3917</v>
      </c>
      <c r="D4742" s="284" t="s">
        <v>5387</v>
      </c>
      <c r="E4742" s="283"/>
      <c r="F4742" s="474">
        <f>F4736</f>
        <v>23.23</v>
      </c>
      <c r="G4742" s="552">
        <v>23.23</v>
      </c>
      <c r="H4742" s="287"/>
      <c r="I4742" s="728"/>
      <c r="J4742" s="669" t="s">
        <v>5805</v>
      </c>
      <c r="K4742" s="15"/>
      <c r="L4742" s="173"/>
      <c r="M4742" s="173"/>
      <c r="O4742" s="137" t="s">
        <v>4254</v>
      </c>
      <c r="P4742" s="12"/>
      <c r="Q4742" s="12"/>
      <c r="R4742" s="12"/>
      <c r="S4742" s="12"/>
      <c r="T4742" s="12"/>
      <c r="U4742" s="12"/>
      <c r="V4742" s="12"/>
      <c r="W4742" s="12"/>
      <c r="X4742" s="12"/>
      <c r="Y4742" s="12"/>
      <c r="Z4742" s="12"/>
      <c r="AA4742" s="12"/>
    </row>
    <row r="4743" spans="1:27" x14ac:dyDescent="0.25">
      <c r="A4743" s="613" t="str">
        <f t="shared" si="1721"/>
        <v>SgK33421----12</v>
      </c>
      <c r="B4743" s="283" t="s">
        <v>5435</v>
      </c>
      <c r="C4743" s="283" t="s">
        <v>3917</v>
      </c>
      <c r="D4743" s="284" t="s">
        <v>5388</v>
      </c>
      <c r="E4743" s="283"/>
      <c r="F4743" s="474">
        <v>16.38</v>
      </c>
      <c r="G4743" s="552">
        <v>16.38</v>
      </c>
      <c r="H4743" s="287"/>
      <c r="I4743" s="728"/>
      <c r="J4743" s="669" t="s">
        <v>5805</v>
      </c>
      <c r="K4743" s="15"/>
      <c r="L4743" s="129"/>
      <c r="M4743" s="129"/>
      <c r="O4743" s="137" t="s">
        <v>1011</v>
      </c>
      <c r="P4743" s="174"/>
      <c r="Q4743" s="174"/>
      <c r="R4743" s="174"/>
      <c r="S4743" s="174"/>
      <c r="T4743" s="174"/>
      <c r="U4743" s="174"/>
      <c r="V4743" s="174"/>
      <c r="W4743" s="175">
        <f>F4742-F4743</f>
        <v>6.8500000000000014</v>
      </c>
      <c r="X4743" s="174" t="s">
        <v>5596</v>
      </c>
      <c r="Y4743" s="12"/>
      <c r="Z4743" s="12"/>
      <c r="AA4743" s="12"/>
    </row>
    <row r="4744" spans="1:27" x14ac:dyDescent="0.25">
      <c r="A4744" s="613" t="str">
        <f t="shared" si="1721"/>
        <v>SgK33431----12</v>
      </c>
      <c r="B4744" s="283" t="s">
        <v>5435</v>
      </c>
      <c r="C4744" s="283" t="s">
        <v>3917</v>
      </c>
      <c r="D4744" s="284" t="s">
        <v>5389</v>
      </c>
      <c r="E4744" s="283"/>
      <c r="F4744" s="474">
        <v>12</v>
      </c>
      <c r="G4744" s="553">
        <v>12</v>
      </c>
      <c r="H4744" s="288"/>
      <c r="I4744" s="697"/>
      <c r="J4744" s="669" t="s">
        <v>5805</v>
      </c>
      <c r="K4744" s="15"/>
      <c r="L4744" s="173"/>
      <c r="O4744" s="137" t="s">
        <v>1012</v>
      </c>
      <c r="P4744" s="174"/>
      <c r="Q4744" s="174"/>
      <c r="R4744" s="174"/>
      <c r="S4744" s="174"/>
      <c r="T4744" s="174"/>
      <c r="U4744" s="174"/>
      <c r="V4744" s="174"/>
      <c r="W4744" s="175">
        <f>F4742-F4744</f>
        <v>11.23</v>
      </c>
      <c r="X4744" s="174" t="s">
        <v>5596</v>
      </c>
      <c r="Y4744" s="12"/>
      <c r="Z4744" s="12"/>
      <c r="AA4744" s="12"/>
    </row>
    <row r="4745" spans="1:27" x14ac:dyDescent="0.25">
      <c r="A4745" s="613" t="str">
        <f t="shared" si="1721"/>
        <v>SgK33412----12</v>
      </c>
      <c r="B4745" s="283" t="s">
        <v>5435</v>
      </c>
      <c r="C4745" s="283" t="s">
        <v>3917</v>
      </c>
      <c r="D4745" s="284" t="s">
        <v>5390</v>
      </c>
      <c r="E4745" s="283"/>
      <c r="F4745" s="474">
        <f>F4737</f>
        <v>21.98</v>
      </c>
      <c r="G4745" s="552">
        <v>21.98</v>
      </c>
      <c r="H4745" s="287"/>
      <c r="I4745" s="728"/>
      <c r="J4745" s="669" t="s">
        <v>5805</v>
      </c>
      <c r="K4745" s="15"/>
      <c r="L4745" s="173"/>
      <c r="M4745" s="173"/>
      <c r="O4745" s="137" t="s">
        <v>4253</v>
      </c>
      <c r="P4745" s="12"/>
      <c r="Q4745" s="12"/>
      <c r="R4745" s="12"/>
      <c r="S4745" s="12"/>
      <c r="T4745" s="12"/>
      <c r="U4745" s="12"/>
      <c r="V4745" s="12"/>
      <c r="W4745" s="12"/>
      <c r="X4745" s="12"/>
      <c r="Y4745" s="12"/>
      <c r="Z4745" s="12"/>
      <c r="AA4745" s="12"/>
    </row>
    <row r="4746" spans="1:27" x14ac:dyDescent="0.25">
      <c r="A4746" s="613" t="str">
        <f t="shared" si="1721"/>
        <v>SgK33422----12</v>
      </c>
      <c r="B4746" s="283" t="s">
        <v>5435</v>
      </c>
      <c r="C4746" s="283" t="s">
        <v>3917</v>
      </c>
      <c r="D4746" s="284" t="s">
        <v>5391</v>
      </c>
      <c r="E4746" s="283"/>
      <c r="F4746" s="474">
        <v>16.38</v>
      </c>
      <c r="G4746" s="552">
        <v>16.38</v>
      </c>
      <c r="H4746" s="287"/>
      <c r="I4746" s="728"/>
      <c r="J4746" s="669" t="s">
        <v>5805</v>
      </c>
      <c r="K4746" s="15"/>
      <c r="L4746" s="129"/>
      <c r="M4746" s="129"/>
      <c r="O4746" s="137" t="s">
        <v>1011</v>
      </c>
      <c r="P4746" s="174"/>
      <c r="Q4746" s="174"/>
      <c r="R4746" s="174"/>
      <c r="S4746" s="174"/>
      <c r="T4746" s="174"/>
      <c r="U4746" s="174"/>
      <c r="V4746" s="174"/>
      <c r="W4746" s="175">
        <f>F4745-F4746</f>
        <v>5.6000000000000014</v>
      </c>
      <c r="X4746" s="174" t="s">
        <v>5596</v>
      </c>
    </row>
    <row r="4747" spans="1:27" x14ac:dyDescent="0.25">
      <c r="A4747" s="613" t="str">
        <f t="shared" si="1721"/>
        <v>SgK33432----12</v>
      </c>
      <c r="B4747" s="283" t="s">
        <v>5435</v>
      </c>
      <c r="C4747" s="283" t="s">
        <v>3917</v>
      </c>
      <c r="D4747" s="284" t="s">
        <v>5392</v>
      </c>
      <c r="E4747" s="283"/>
      <c r="F4747" s="474">
        <v>12</v>
      </c>
      <c r="G4747" s="553">
        <v>12</v>
      </c>
      <c r="H4747" s="288"/>
      <c r="I4747" s="697"/>
      <c r="J4747" s="669" t="s">
        <v>5805</v>
      </c>
      <c r="K4747" s="15"/>
      <c r="O4747" s="137" t="s">
        <v>1012</v>
      </c>
      <c r="P4747" s="113"/>
      <c r="Q4747" s="113"/>
      <c r="R4747" s="113"/>
      <c r="S4747" s="113"/>
      <c r="T4747" s="113"/>
      <c r="U4747" s="113"/>
      <c r="V4747" s="113"/>
      <c r="W4747" s="139">
        <f>F4745-F4747</f>
        <v>9.98</v>
      </c>
      <c r="X4747" s="113" t="s">
        <v>5596</v>
      </c>
    </row>
    <row r="4748" spans="1:27" x14ac:dyDescent="0.25">
      <c r="A4748" s="254"/>
      <c r="D4748" s="130"/>
      <c r="G4748" s="537"/>
      <c r="H4748" s="15" t="str">
        <f>IF(ISNUMBER(G4748),ROUND(0.8*G4748,2),"")</f>
        <v/>
      </c>
      <c r="J4748" s="669" t="s">
        <v>4180</v>
      </c>
      <c r="K4748" s="15"/>
      <c r="Y4748" s="12"/>
      <c r="Z4748" s="12"/>
      <c r="AA4748" s="12"/>
    </row>
    <row r="4749" spans="1:27" x14ac:dyDescent="0.25">
      <c r="A4749" s="614" t="str">
        <f>LEFT(A4735,6)&amp;"BS----"&amp;($M$4734-2000)</f>
        <v>SgK330BS----12</v>
      </c>
      <c r="B4749" s="321" t="s">
        <v>5435</v>
      </c>
      <c r="C4749" s="322" t="s">
        <v>3918</v>
      </c>
      <c r="D4749" s="321" t="str">
        <f>"Bestandsschutz Netzanschlussbegehren vor 24.02.2012, " &amp; D4735</f>
        <v>Bestandsschutz Netzanschlussbegehren vor 24.02.2012, 0-30 kW</v>
      </c>
      <c r="E4749" s="321"/>
      <c r="F4749" s="472">
        <f t="shared" ref="F4749:F4761" si="1722">F4735</f>
        <v>24.43</v>
      </c>
      <c r="G4749" s="549">
        <v>24.43</v>
      </c>
      <c r="H4749" s="323">
        <f>IF(ISNUMBER(G4749),ROUND(0.8*G4749,2),"")</f>
        <v>19.54</v>
      </c>
      <c r="I4749" s="727"/>
      <c r="J4749" s="669" t="s">
        <v>5805</v>
      </c>
      <c r="K4749" s="15"/>
      <c r="M4749" s="135"/>
      <c r="N4749" s="281"/>
      <c r="O4749" s="137"/>
      <c r="P4749" s="12"/>
      <c r="Q4749" s="12"/>
      <c r="R4749" s="12"/>
      <c r="S4749" s="12"/>
      <c r="T4749" s="12"/>
      <c r="U4749" s="12"/>
      <c r="V4749" s="12"/>
      <c r="W4749" s="12"/>
      <c r="X4749" s="12"/>
      <c r="Y4749" s="12"/>
      <c r="Z4749" s="12"/>
      <c r="AA4749" s="12"/>
    </row>
    <row r="4750" spans="1:27" x14ac:dyDescent="0.25">
      <c r="A4750" s="614" t="str">
        <f>LEFT(A4736,6)&amp;"BS----"&amp;($M$4734-2000)</f>
        <v>SgK331BS----12</v>
      </c>
      <c r="B4750" s="321" t="s">
        <v>5435</v>
      </c>
      <c r="C4750" s="322" t="s">
        <v>3918</v>
      </c>
      <c r="D4750" s="321" t="str">
        <f>"Bestandsschutz Netzanschlussbegehren vor 24.02.2012, " &amp; D4736</f>
        <v>Bestandsschutz Netzanschlussbegehren vor 24.02.2012, 30-100 kW</v>
      </c>
      <c r="E4750" s="321"/>
      <c r="F4750" s="472">
        <f t="shared" si="1722"/>
        <v>23.23</v>
      </c>
      <c r="G4750" s="549">
        <v>23.23</v>
      </c>
      <c r="H4750" s="323">
        <f>IF(ISNUMBER(G4750),ROUND(0.8*G4750,2),"")</f>
        <v>18.579999999999998</v>
      </c>
      <c r="I4750" s="727"/>
      <c r="J4750" s="669" t="s">
        <v>5805</v>
      </c>
      <c r="K4750" s="15"/>
      <c r="M4750" s="135"/>
      <c r="N4750" s="281"/>
      <c r="O4750" s="137"/>
      <c r="P4750" s="12"/>
      <c r="Q4750" s="12"/>
      <c r="R4750" s="12"/>
      <c r="S4750" s="12"/>
      <c r="T4750" s="12"/>
      <c r="U4750" s="12"/>
      <c r="V4750" s="12"/>
      <c r="W4750" s="12"/>
      <c r="X4750" s="12"/>
      <c r="Y4750" s="12"/>
      <c r="Z4750" s="12"/>
      <c r="AA4750" s="12"/>
    </row>
    <row r="4751" spans="1:27" x14ac:dyDescent="0.25">
      <c r="A4751" s="614" t="str">
        <f>LEFT(A4737,6)&amp;"BS----"&amp;($M$4734-2000)</f>
        <v>SgK332BS----12</v>
      </c>
      <c r="B4751" s="321" t="s">
        <v>5435</v>
      </c>
      <c r="C4751" s="322" t="s">
        <v>3918</v>
      </c>
      <c r="D4751" s="321" t="str">
        <f>"Bestandsschutz Netzanschlussbegehren vor 24.02.2012, " &amp; D4737</f>
        <v>Bestandsschutz Netzanschlussbegehren vor 24.02.2012, 100 kW-1 MW</v>
      </c>
      <c r="E4751" s="321"/>
      <c r="F4751" s="472">
        <f t="shared" si="1722"/>
        <v>21.98</v>
      </c>
      <c r="G4751" s="549">
        <v>21.98</v>
      </c>
      <c r="H4751" s="323">
        <f>IF(ISNUMBER(G4751),ROUND(0.8*G4751,2),"")</f>
        <v>17.579999999999998</v>
      </c>
      <c r="I4751" s="727"/>
      <c r="J4751" s="669" t="s">
        <v>5805</v>
      </c>
      <c r="K4751" s="15"/>
      <c r="M4751" s="135"/>
      <c r="N4751" s="281"/>
      <c r="O4751" s="137"/>
      <c r="P4751" s="12"/>
      <c r="Q4751" s="12"/>
      <c r="R4751" s="12"/>
      <c r="S4751" s="12"/>
      <c r="T4751" s="12"/>
      <c r="U4751" s="12"/>
      <c r="V4751" s="12"/>
      <c r="W4751" s="12"/>
      <c r="X4751" s="12"/>
      <c r="Y4751" s="12"/>
      <c r="Z4751" s="12"/>
      <c r="AA4751" s="12"/>
    </row>
    <row r="4752" spans="1:27" x14ac:dyDescent="0.25">
      <c r="A4752" s="614" t="str">
        <f>LEFT(A4738,6)&amp;"BS----"&amp;($M$4734-2000)</f>
        <v>SgK333BS----12</v>
      </c>
      <c r="B4752" s="321" t="s">
        <v>5435</v>
      </c>
      <c r="C4752" s="322" t="s">
        <v>3918</v>
      </c>
      <c r="D4752" s="321" t="str">
        <f>"Bestandsschutz Netzanschlussbegehren vor 24.02.2012, " &amp; D4738</f>
        <v>Bestandsschutz Netzanschlussbegehren vor 24.02.2012, &gt; 1 MW</v>
      </c>
      <c r="E4752" s="321"/>
      <c r="F4752" s="472">
        <f t="shared" si="1722"/>
        <v>18.329999999999998</v>
      </c>
      <c r="G4752" s="549">
        <v>18.329999999999998</v>
      </c>
      <c r="H4752" s="323">
        <f>IF(ISNUMBER(G4752),ROUND(0.8*G4752,2),"")</f>
        <v>14.66</v>
      </c>
      <c r="I4752" s="727"/>
      <c r="J4752" s="669" t="s">
        <v>5805</v>
      </c>
      <c r="K4752" s="15"/>
      <c r="L4752" s="173"/>
      <c r="M4752" s="282"/>
      <c r="N4752" s="281"/>
      <c r="O4752" s="137"/>
      <c r="P4752" s="12"/>
      <c r="Q4752" s="12"/>
      <c r="R4752" s="12"/>
      <c r="S4752" s="12"/>
      <c r="T4752" s="12"/>
      <c r="U4752" s="12"/>
      <c r="V4752" s="12"/>
      <c r="W4752" s="12"/>
      <c r="X4752" s="12"/>
      <c r="Y4752" s="12"/>
      <c r="Z4752" s="12"/>
      <c r="AA4752" s="12"/>
    </row>
    <row r="4753" spans="1:27" x14ac:dyDescent="0.25">
      <c r="A4753" s="614" t="str">
        <f t="shared" ref="A4753:A4761" si="1723">LEFT(A4739,8)&amp;"BS--"&amp;($M$4734-2000)</f>
        <v>SgK33410BS--12</v>
      </c>
      <c r="B4753" s="321" t="s">
        <v>5435</v>
      </c>
      <c r="C4753" s="322" t="s">
        <v>3918</v>
      </c>
      <c r="D4753" s="321" t="s">
        <v>3923</v>
      </c>
      <c r="E4753" s="321"/>
      <c r="F4753" s="472">
        <f t="shared" si="1722"/>
        <v>24.43</v>
      </c>
      <c r="G4753" s="549">
        <v>24.43</v>
      </c>
      <c r="H4753" s="323"/>
      <c r="I4753" s="727"/>
      <c r="J4753" s="669" t="s">
        <v>5805</v>
      </c>
      <c r="K4753" s="15"/>
      <c r="L4753" s="173"/>
      <c r="M4753" s="173"/>
      <c r="N4753" s="12"/>
      <c r="O4753" s="137"/>
      <c r="P4753" s="12"/>
      <c r="Q4753" s="12"/>
      <c r="R4753" s="12"/>
      <c r="S4753" s="12"/>
      <c r="T4753" s="12"/>
      <c r="U4753" s="12"/>
      <c r="V4753" s="12"/>
      <c r="W4753" s="12"/>
      <c r="X4753" s="12"/>
      <c r="Y4753" s="12"/>
      <c r="Z4753" s="12"/>
      <c r="AA4753" s="12"/>
    </row>
    <row r="4754" spans="1:27" x14ac:dyDescent="0.25">
      <c r="A4754" s="614" t="str">
        <f t="shared" si="1723"/>
        <v>SgK33420BS--12</v>
      </c>
      <c r="B4754" s="321" t="s">
        <v>5435</v>
      </c>
      <c r="C4754" s="322" t="s">
        <v>3918</v>
      </c>
      <c r="D4754" s="321" t="s">
        <v>3926</v>
      </c>
      <c r="E4754" s="321"/>
      <c r="F4754" s="472">
        <f t="shared" si="1722"/>
        <v>16.38</v>
      </c>
      <c r="G4754" s="549">
        <v>16.38</v>
      </c>
      <c r="H4754" s="323"/>
      <c r="I4754" s="727"/>
      <c r="J4754" s="669" t="s">
        <v>5805</v>
      </c>
      <c r="K4754" s="15"/>
      <c r="L4754" s="129"/>
      <c r="M4754" s="129"/>
      <c r="O4754" s="137"/>
      <c r="P4754" s="174"/>
      <c r="Q4754" s="174"/>
      <c r="R4754" s="174"/>
      <c r="S4754" s="174"/>
      <c r="T4754" s="174"/>
      <c r="U4754" s="174"/>
      <c r="V4754" s="174"/>
      <c r="W4754" s="175"/>
      <c r="X4754" s="174"/>
      <c r="Y4754" s="12"/>
      <c r="Z4754" s="12"/>
      <c r="AA4754" s="12"/>
    </row>
    <row r="4755" spans="1:27" x14ac:dyDescent="0.25">
      <c r="A4755" s="614" t="str">
        <f t="shared" si="1723"/>
        <v>SgK33430BS--12</v>
      </c>
      <c r="B4755" s="321" t="s">
        <v>5435</v>
      </c>
      <c r="C4755" s="322" t="s">
        <v>3918</v>
      </c>
      <c r="D4755" s="321" t="s">
        <v>3927</v>
      </c>
      <c r="E4755" s="321"/>
      <c r="F4755" s="472">
        <f t="shared" si="1722"/>
        <v>12</v>
      </c>
      <c r="G4755" s="549">
        <v>12</v>
      </c>
      <c r="H4755" s="323"/>
      <c r="I4755" s="727"/>
      <c r="J4755" s="669" t="s">
        <v>5805</v>
      </c>
      <c r="K4755" s="15"/>
      <c r="L4755" s="173"/>
      <c r="O4755" s="137"/>
      <c r="P4755" s="174"/>
      <c r="Q4755" s="174"/>
      <c r="R4755" s="174"/>
      <c r="S4755" s="174"/>
      <c r="T4755" s="174"/>
      <c r="U4755" s="174"/>
      <c r="V4755" s="174"/>
      <c r="W4755" s="175"/>
      <c r="X4755" s="174"/>
      <c r="Y4755" s="12"/>
      <c r="Z4755" s="12"/>
      <c r="AA4755" s="12"/>
    </row>
    <row r="4756" spans="1:27" x14ac:dyDescent="0.25">
      <c r="A4756" s="614" t="str">
        <f t="shared" si="1723"/>
        <v>SgK33411BS--12</v>
      </c>
      <c r="B4756" s="321" t="s">
        <v>5435</v>
      </c>
      <c r="C4756" s="322" t="s">
        <v>3918</v>
      </c>
      <c r="D4756" s="321" t="s">
        <v>3924</v>
      </c>
      <c r="E4756" s="321"/>
      <c r="F4756" s="472">
        <f t="shared" si="1722"/>
        <v>23.23</v>
      </c>
      <c r="G4756" s="549">
        <v>23.23</v>
      </c>
      <c r="H4756" s="323"/>
      <c r="I4756" s="727"/>
      <c r="J4756" s="669" t="s">
        <v>5805</v>
      </c>
      <c r="K4756" s="15"/>
      <c r="L4756" s="173"/>
      <c r="M4756" s="173"/>
      <c r="O4756" s="137"/>
      <c r="P4756" s="12"/>
      <c r="Q4756" s="12"/>
      <c r="R4756" s="12"/>
      <c r="S4756" s="12"/>
      <c r="T4756" s="12"/>
      <c r="U4756" s="12"/>
      <c r="V4756" s="12"/>
      <c r="W4756" s="12"/>
      <c r="X4756" s="12"/>
      <c r="Y4756" s="12"/>
      <c r="Z4756" s="12"/>
      <c r="AA4756" s="12"/>
    </row>
    <row r="4757" spans="1:27" x14ac:dyDescent="0.25">
      <c r="A4757" s="614" t="str">
        <f t="shared" si="1723"/>
        <v>SgK33421BS--12</v>
      </c>
      <c r="B4757" s="321" t="s">
        <v>5435</v>
      </c>
      <c r="C4757" s="322" t="s">
        <v>3918</v>
      </c>
      <c r="D4757" s="321" t="s">
        <v>3928</v>
      </c>
      <c r="E4757" s="321"/>
      <c r="F4757" s="472">
        <f t="shared" si="1722"/>
        <v>16.38</v>
      </c>
      <c r="G4757" s="549">
        <v>16.38</v>
      </c>
      <c r="H4757" s="323"/>
      <c r="I4757" s="727"/>
      <c r="J4757" s="669" t="s">
        <v>5805</v>
      </c>
      <c r="K4757" s="15"/>
      <c r="L4757" s="129"/>
      <c r="M4757" s="129"/>
      <c r="O4757" s="137"/>
      <c r="P4757" s="174"/>
      <c r="Q4757" s="174"/>
      <c r="R4757" s="174"/>
      <c r="S4757" s="174"/>
      <c r="T4757" s="174"/>
      <c r="U4757" s="174"/>
      <c r="V4757" s="174"/>
      <c r="W4757" s="175"/>
      <c r="X4757" s="174"/>
      <c r="Y4757" s="12"/>
      <c r="Z4757" s="12"/>
      <c r="AA4757" s="12"/>
    </row>
    <row r="4758" spans="1:27" x14ac:dyDescent="0.25">
      <c r="A4758" s="614" t="str">
        <f t="shared" si="1723"/>
        <v>SgK33431BS--12</v>
      </c>
      <c r="B4758" s="321" t="s">
        <v>5435</v>
      </c>
      <c r="C4758" s="322" t="s">
        <v>3918</v>
      </c>
      <c r="D4758" s="321" t="s">
        <v>3929</v>
      </c>
      <c r="E4758" s="321"/>
      <c r="F4758" s="472">
        <f t="shared" si="1722"/>
        <v>12</v>
      </c>
      <c r="G4758" s="549">
        <v>12</v>
      </c>
      <c r="H4758" s="323"/>
      <c r="I4758" s="727"/>
      <c r="J4758" s="669" t="s">
        <v>5805</v>
      </c>
      <c r="K4758" s="15"/>
      <c r="L4758" s="173"/>
      <c r="O4758" s="137"/>
      <c r="P4758" s="174"/>
      <c r="Q4758" s="174"/>
      <c r="R4758" s="174"/>
      <c r="S4758" s="174"/>
      <c r="T4758" s="174"/>
      <c r="U4758" s="174"/>
      <c r="V4758" s="174"/>
      <c r="W4758" s="175"/>
      <c r="X4758" s="174"/>
      <c r="Y4758" s="12"/>
      <c r="Z4758" s="12"/>
      <c r="AA4758" s="12"/>
    </row>
    <row r="4759" spans="1:27" x14ac:dyDescent="0.25">
      <c r="A4759" s="614" t="str">
        <f t="shared" si="1723"/>
        <v>SgK33412BS--12</v>
      </c>
      <c r="B4759" s="321" t="s">
        <v>5435</v>
      </c>
      <c r="C4759" s="322" t="s">
        <v>3918</v>
      </c>
      <c r="D4759" s="321" t="s">
        <v>3925</v>
      </c>
      <c r="E4759" s="321"/>
      <c r="F4759" s="472">
        <f t="shared" si="1722"/>
        <v>21.98</v>
      </c>
      <c r="G4759" s="549">
        <v>21.98</v>
      </c>
      <c r="H4759" s="323"/>
      <c r="I4759" s="727"/>
      <c r="J4759" s="669" t="s">
        <v>5805</v>
      </c>
      <c r="K4759" s="15"/>
      <c r="L4759" s="173"/>
      <c r="M4759" s="173"/>
      <c r="O4759" s="137"/>
      <c r="P4759" s="12"/>
      <c r="Q4759" s="12"/>
      <c r="R4759" s="12"/>
      <c r="S4759" s="12"/>
      <c r="T4759" s="12"/>
      <c r="U4759" s="12"/>
      <c r="V4759" s="12"/>
      <c r="W4759" s="12"/>
      <c r="X4759" s="12"/>
      <c r="Y4759" s="12"/>
      <c r="Z4759" s="12"/>
      <c r="AA4759" s="12"/>
    </row>
    <row r="4760" spans="1:27" x14ac:dyDescent="0.25">
      <c r="A4760" s="614" t="str">
        <f t="shared" si="1723"/>
        <v>SgK33422BS--12</v>
      </c>
      <c r="B4760" s="321" t="s">
        <v>5435</v>
      </c>
      <c r="C4760" s="322" t="s">
        <v>3918</v>
      </c>
      <c r="D4760" s="321" t="s">
        <v>3930</v>
      </c>
      <c r="E4760" s="321"/>
      <c r="F4760" s="472">
        <f t="shared" si="1722"/>
        <v>16.38</v>
      </c>
      <c r="G4760" s="549">
        <v>16.38</v>
      </c>
      <c r="H4760" s="323"/>
      <c r="I4760" s="727"/>
      <c r="J4760" s="669" t="s">
        <v>5805</v>
      </c>
      <c r="K4760" s="15"/>
      <c r="L4760" s="129"/>
      <c r="M4760" s="129"/>
      <c r="U4760" s="174"/>
      <c r="V4760" s="174"/>
      <c r="W4760" s="175"/>
      <c r="X4760" s="174"/>
    </row>
    <row r="4761" spans="1:27" x14ac:dyDescent="0.25">
      <c r="A4761" s="614" t="str">
        <f t="shared" si="1723"/>
        <v>SgK33432BS--12</v>
      </c>
      <c r="B4761" s="321" t="s">
        <v>5435</v>
      </c>
      <c r="C4761" s="322" t="s">
        <v>3918</v>
      </c>
      <c r="D4761" s="321" t="s">
        <v>3931</v>
      </c>
      <c r="E4761" s="321"/>
      <c r="F4761" s="472">
        <f t="shared" si="1722"/>
        <v>12</v>
      </c>
      <c r="G4761" s="549">
        <v>12</v>
      </c>
      <c r="H4761" s="323"/>
      <c r="I4761" s="727"/>
      <c r="J4761" s="669" t="s">
        <v>5805</v>
      </c>
      <c r="K4761" s="15"/>
      <c r="Q4761" s="332"/>
      <c r="R4761" s="332"/>
      <c r="S4761" s="332"/>
      <c r="T4761" s="332"/>
      <c r="U4761" s="113"/>
      <c r="V4761" s="113"/>
      <c r="W4761" s="139"/>
      <c r="X4761" s="113"/>
    </row>
    <row r="4762" spans="1:27" x14ac:dyDescent="0.25">
      <c r="A4762" s="254"/>
      <c r="D4762" s="130"/>
      <c r="G4762" s="537"/>
      <c r="H4762" s="15" t="str">
        <f t="shared" ref="H4762:H4825" si="1724">IF(ISNUMBER(G4762),ROUND(0.8*G4762,2),"")</f>
        <v/>
      </c>
      <c r="J4762" s="669" t="s">
        <v>4180</v>
      </c>
      <c r="K4762" s="15"/>
      <c r="M4762">
        <v>2012</v>
      </c>
      <c r="O4762" s="137" t="s">
        <v>3902</v>
      </c>
      <c r="P4762" s="12" t="s">
        <v>3903</v>
      </c>
      <c r="Q4762" s="12" t="s">
        <v>3919</v>
      </c>
      <c r="R4762" s="12" t="s">
        <v>3920</v>
      </c>
      <c r="S4762" s="12" t="s">
        <v>3921</v>
      </c>
      <c r="T4762" s="12" t="s">
        <v>3922</v>
      </c>
      <c r="Y4762" s="12"/>
      <c r="Z4762" s="12"/>
      <c r="AA4762" s="12"/>
    </row>
    <row r="4763" spans="1:27" x14ac:dyDescent="0.25">
      <c r="A4763" s="614" t="s">
        <v>3932</v>
      </c>
      <c r="B4763" s="321" t="s">
        <v>5435</v>
      </c>
      <c r="C4763" s="322" t="str">
        <f t="shared" ref="C4763:C4798" si="1725">"Inbetriebnahme "&amp;TEXT(DATEVALUE(RIGHT(A4763,5)),"MM/JJJJ")</f>
        <v>Inbetriebnahme 04/2012</v>
      </c>
      <c r="D4763" s="321" t="str">
        <f>$Q$4762</f>
        <v>0 - 10 kW</v>
      </c>
      <c r="E4763" s="321"/>
      <c r="F4763" s="472">
        <f t="shared" ref="F4763:F4798" si="1726">ROUND(HLOOKUP(D4763,$Q$4762:$T$4798,MATCH(RIGHT($A4763,5),$O$4762:$O$4798,0),FALSE),2)</f>
        <v>19.5</v>
      </c>
      <c r="G4763" s="549">
        <v>19.5</v>
      </c>
      <c r="H4763" s="323">
        <f t="shared" si="1724"/>
        <v>15.6</v>
      </c>
      <c r="I4763" s="727"/>
      <c r="J4763" s="669" t="s">
        <v>5805</v>
      </c>
      <c r="K4763" s="15"/>
      <c r="M4763" s="329"/>
      <c r="N4763" s="281"/>
      <c r="O4763" s="325" t="s">
        <v>3916</v>
      </c>
      <c r="P4763" s="326"/>
      <c r="Q4763" s="327">
        <v>19.5</v>
      </c>
      <c r="R4763" s="327">
        <v>18.5</v>
      </c>
      <c r="S4763" s="327">
        <v>16.5</v>
      </c>
      <c r="T4763" s="327">
        <v>13.5</v>
      </c>
      <c r="U4763" s="332"/>
      <c r="V4763" s="12"/>
      <c r="X4763" s="12"/>
      <c r="Y4763" s="12"/>
      <c r="Z4763" s="12"/>
      <c r="AA4763" s="12"/>
    </row>
    <row r="4764" spans="1:27" x14ac:dyDescent="0.25">
      <c r="A4764" s="614" t="str">
        <f>"SgK3221--"&amp;RIGHT(A4763,5)</f>
        <v>SgK3221--Apr12</v>
      </c>
      <c r="B4764" s="321" t="s">
        <v>5435</v>
      </c>
      <c r="C4764" s="322" t="str">
        <f t="shared" si="1725"/>
        <v>Inbetriebnahme 04/2012</v>
      </c>
      <c r="D4764" s="321" t="str">
        <f>$R$4762</f>
        <v>10 - 40 kW</v>
      </c>
      <c r="E4764" s="321"/>
      <c r="F4764" s="472">
        <f t="shared" si="1726"/>
        <v>18.5</v>
      </c>
      <c r="G4764" s="549">
        <v>18.5</v>
      </c>
      <c r="H4764" s="323">
        <f t="shared" si="1724"/>
        <v>14.8</v>
      </c>
      <c r="I4764" s="727"/>
      <c r="J4764" s="669" t="s">
        <v>5805</v>
      </c>
      <c r="K4764" s="15"/>
      <c r="M4764" s="329"/>
      <c r="N4764" s="281"/>
      <c r="O4764" s="333" t="str">
        <f t="shared" ref="O4764:O4771" si="1727">TEXT(DATE(YEAR(DATEVALUE(O4763)),MONTH(DATEVALUE(O4763))+1,1),"MMMJJ")</f>
        <v>Mai12</v>
      </c>
      <c r="P4764" s="344">
        <v>0.01</v>
      </c>
      <c r="Q4764" s="327">
        <f t="shared" ref="Q4764:T4771" si="1728">IF($P4764&lt;&gt;"",Q4763*(100%-$P4764),"")</f>
        <v>19.305</v>
      </c>
      <c r="R4764" s="327">
        <f t="shared" si="1728"/>
        <v>18.315000000000001</v>
      </c>
      <c r="S4764" s="327">
        <f t="shared" si="1728"/>
        <v>16.335000000000001</v>
      </c>
      <c r="T4764" s="327">
        <f t="shared" si="1728"/>
        <v>13.365</v>
      </c>
      <c r="V4764" s="12"/>
      <c r="W4764" s="12"/>
      <c r="X4764" s="12"/>
      <c r="Y4764" s="12"/>
      <c r="Z4764" s="12"/>
      <c r="AA4764" s="12"/>
    </row>
    <row r="4765" spans="1:27" x14ac:dyDescent="0.25">
      <c r="A4765" s="614" t="str">
        <f>"SgK3222--"&amp;RIGHT(A4764,5)</f>
        <v>SgK3222--Apr12</v>
      </c>
      <c r="B4765" s="321" t="s">
        <v>5435</v>
      </c>
      <c r="C4765" s="322" t="str">
        <f t="shared" si="1725"/>
        <v>Inbetriebnahme 04/2012</v>
      </c>
      <c r="D4765" s="321" t="str">
        <f>$S$4762</f>
        <v>40 kW - 1 MW</v>
      </c>
      <c r="E4765" s="321"/>
      <c r="F4765" s="472">
        <f t="shared" si="1726"/>
        <v>16.5</v>
      </c>
      <c r="G4765" s="549">
        <v>16.5</v>
      </c>
      <c r="H4765" s="323">
        <f t="shared" si="1724"/>
        <v>13.2</v>
      </c>
      <c r="I4765" s="727"/>
      <c r="J4765" s="669" t="s">
        <v>5805</v>
      </c>
      <c r="K4765" s="15"/>
      <c r="M4765" s="329"/>
      <c r="N4765" s="281"/>
      <c r="O4765" s="333" t="str">
        <f t="shared" si="1727"/>
        <v>Jun12</v>
      </c>
      <c r="P4765" s="344">
        <v>0.01</v>
      </c>
      <c r="Q4765" s="327">
        <f t="shared" si="1728"/>
        <v>19.11195</v>
      </c>
      <c r="R4765" s="327">
        <f t="shared" si="1728"/>
        <v>18.13185</v>
      </c>
      <c r="S4765" s="327">
        <f t="shared" si="1728"/>
        <v>16.17165</v>
      </c>
      <c r="T4765" s="327">
        <f t="shared" si="1728"/>
        <v>13.231350000000001</v>
      </c>
      <c r="V4765" s="12"/>
      <c r="W4765" s="12"/>
      <c r="X4765" s="12"/>
      <c r="Y4765" s="12"/>
      <c r="Z4765" s="12"/>
      <c r="AA4765" s="12"/>
    </row>
    <row r="4766" spans="1:27" x14ac:dyDescent="0.25">
      <c r="A4766" s="614" t="str">
        <f>"SgK3223--"&amp;RIGHT(A4765,5)</f>
        <v>SgK3223--Apr12</v>
      </c>
      <c r="B4766" s="321" t="s">
        <v>5435</v>
      </c>
      <c r="C4766" s="322" t="str">
        <f t="shared" si="1725"/>
        <v>Inbetriebnahme 04/2012</v>
      </c>
      <c r="D4766" s="321" t="str">
        <f>$T$4762</f>
        <v>1 - 10 MW</v>
      </c>
      <c r="E4766" s="321"/>
      <c r="F4766" s="472">
        <f t="shared" si="1726"/>
        <v>13.5</v>
      </c>
      <c r="G4766" s="549">
        <v>13.5</v>
      </c>
      <c r="H4766" s="323">
        <f t="shared" si="1724"/>
        <v>10.8</v>
      </c>
      <c r="I4766" s="727"/>
      <c r="J4766" s="669" t="s">
        <v>5805</v>
      </c>
      <c r="K4766" s="15"/>
      <c r="L4766" s="173"/>
      <c r="M4766" s="330"/>
      <c r="N4766" s="281"/>
      <c r="O4766" s="333" t="str">
        <f t="shared" si="1727"/>
        <v>Jul12</v>
      </c>
      <c r="P4766" s="344">
        <v>0.01</v>
      </c>
      <c r="Q4766" s="327">
        <f t="shared" si="1728"/>
        <v>18.920830500000001</v>
      </c>
      <c r="R4766" s="327">
        <f t="shared" si="1728"/>
        <v>17.9505315</v>
      </c>
      <c r="S4766" s="327">
        <f t="shared" si="1728"/>
        <v>16.009933499999999</v>
      </c>
      <c r="T4766" s="327">
        <f t="shared" si="1728"/>
        <v>13.0990365</v>
      </c>
      <c r="V4766" s="12"/>
      <c r="W4766" s="12"/>
      <c r="X4766" s="12"/>
      <c r="Y4766" s="12"/>
      <c r="Z4766" s="12"/>
      <c r="AA4766" s="12"/>
    </row>
    <row r="4767" spans="1:27" x14ac:dyDescent="0.25">
      <c r="A4767" s="614" t="s">
        <v>3933</v>
      </c>
      <c r="B4767" s="321" t="s">
        <v>5435</v>
      </c>
      <c r="C4767" s="322" t="str">
        <f t="shared" si="1725"/>
        <v>Inbetriebnahme 05/2012</v>
      </c>
      <c r="D4767" s="321" t="str">
        <f t="shared" ref="D4767:D4798" si="1729">D4763</f>
        <v>0 - 10 kW</v>
      </c>
      <c r="E4767" s="321"/>
      <c r="F4767" s="472">
        <f t="shared" si="1726"/>
        <v>19.309999999999999</v>
      </c>
      <c r="G4767" s="549">
        <v>19.309999999999999</v>
      </c>
      <c r="H4767" s="323">
        <f t="shared" si="1724"/>
        <v>15.45</v>
      </c>
      <c r="I4767" s="727"/>
      <c r="J4767" s="669" t="s">
        <v>5805</v>
      </c>
      <c r="K4767" s="15"/>
      <c r="L4767" s="129"/>
      <c r="M4767" s="331"/>
      <c r="N4767" s="281"/>
      <c r="O4767" s="333" t="str">
        <f t="shared" si="1727"/>
        <v>Aug12</v>
      </c>
      <c r="P4767" s="344">
        <v>0.01</v>
      </c>
      <c r="Q4767" s="327">
        <f t="shared" si="1728"/>
        <v>18.731622195</v>
      </c>
      <c r="R4767" s="327">
        <f t="shared" si="1728"/>
        <v>17.771026185</v>
      </c>
      <c r="S4767" s="327">
        <f t="shared" si="1728"/>
        <v>15.849834164999999</v>
      </c>
      <c r="T4767" s="327">
        <f t="shared" si="1728"/>
        <v>12.968046135</v>
      </c>
      <c r="V4767" s="12"/>
      <c r="W4767" s="12"/>
      <c r="X4767" s="12"/>
      <c r="Y4767" s="12"/>
      <c r="Z4767" s="12"/>
      <c r="AA4767" s="12"/>
    </row>
    <row r="4768" spans="1:27" x14ac:dyDescent="0.25">
      <c r="A4768" s="614" t="str">
        <f>"SgK3221--"&amp;RIGHT(A4767,5)</f>
        <v>SgK3221--Mai12</v>
      </c>
      <c r="B4768" s="321" t="s">
        <v>5435</v>
      </c>
      <c r="C4768" s="322" t="str">
        <f t="shared" si="1725"/>
        <v>Inbetriebnahme 05/2012</v>
      </c>
      <c r="D4768" s="321" t="str">
        <f t="shared" si="1729"/>
        <v>10 - 40 kW</v>
      </c>
      <c r="E4768" s="321"/>
      <c r="F4768" s="472">
        <f t="shared" si="1726"/>
        <v>18.32</v>
      </c>
      <c r="G4768" s="549">
        <v>18.32</v>
      </c>
      <c r="H4768" s="323">
        <f t="shared" si="1724"/>
        <v>14.66</v>
      </c>
      <c r="I4768" s="727"/>
      <c r="J4768" s="669" t="s">
        <v>5805</v>
      </c>
      <c r="K4768" s="15"/>
      <c r="L4768" s="173"/>
      <c r="M4768" s="331"/>
      <c r="N4768" s="281"/>
      <c r="O4768" s="333" t="str">
        <f t="shared" si="1727"/>
        <v>Sep12</v>
      </c>
      <c r="P4768" s="344">
        <v>0.01</v>
      </c>
      <c r="Q4768" s="327">
        <f t="shared" si="1728"/>
        <v>18.544305973050001</v>
      </c>
      <c r="R4768" s="327">
        <f t="shared" si="1728"/>
        <v>17.593315923150001</v>
      </c>
      <c r="S4768" s="327">
        <f t="shared" si="1728"/>
        <v>15.691335823349998</v>
      </c>
      <c r="T4768" s="327">
        <f t="shared" si="1728"/>
        <v>12.838365673649999</v>
      </c>
      <c r="V4768" s="174"/>
      <c r="W4768" s="175"/>
      <c r="X4768" s="174"/>
      <c r="Y4768" s="12"/>
      <c r="Z4768" s="12"/>
      <c r="AA4768" s="12"/>
    </row>
    <row r="4769" spans="1:27" x14ac:dyDescent="0.25">
      <c r="A4769" s="614" t="str">
        <f>"SgK3222--"&amp;RIGHT(A4768,5)</f>
        <v>SgK3222--Mai12</v>
      </c>
      <c r="B4769" s="321" t="s">
        <v>5435</v>
      </c>
      <c r="C4769" s="322" t="str">
        <f t="shared" si="1725"/>
        <v>Inbetriebnahme 05/2012</v>
      </c>
      <c r="D4769" s="321" t="str">
        <f t="shared" si="1729"/>
        <v>40 kW - 1 MW</v>
      </c>
      <c r="E4769" s="321"/>
      <c r="F4769" s="472">
        <f t="shared" si="1726"/>
        <v>16.34</v>
      </c>
      <c r="G4769" s="549">
        <v>16.34</v>
      </c>
      <c r="H4769" s="323">
        <f t="shared" si="1724"/>
        <v>13.07</v>
      </c>
      <c r="I4769" s="727"/>
      <c r="J4769" s="669" t="s">
        <v>5805</v>
      </c>
      <c r="K4769" s="15"/>
      <c r="L4769" s="173"/>
      <c r="M4769" s="331"/>
      <c r="N4769" s="281"/>
      <c r="O4769" s="333" t="str">
        <f t="shared" si="1727"/>
        <v>Okt12</v>
      </c>
      <c r="P4769" s="344">
        <v>0.01</v>
      </c>
      <c r="Q4769" s="327">
        <f t="shared" si="1728"/>
        <v>18.358862913319502</v>
      </c>
      <c r="R4769" s="327">
        <f t="shared" si="1728"/>
        <v>17.4173827639185</v>
      </c>
      <c r="S4769" s="327">
        <f t="shared" si="1728"/>
        <v>15.534422465116497</v>
      </c>
      <c r="T4769" s="327">
        <f t="shared" si="1728"/>
        <v>12.7099820169135</v>
      </c>
      <c r="V4769" s="174"/>
      <c r="W4769" s="175"/>
      <c r="X4769" s="174"/>
      <c r="Y4769" s="12"/>
      <c r="Z4769" s="12"/>
      <c r="AA4769" s="12"/>
    </row>
    <row r="4770" spans="1:27" x14ac:dyDescent="0.25">
      <c r="A4770" s="614" t="str">
        <f>"SgK3223--"&amp;RIGHT(A4769,5)</f>
        <v>SgK3223--Mai12</v>
      </c>
      <c r="B4770" s="321" t="s">
        <v>5435</v>
      </c>
      <c r="C4770" s="322" t="str">
        <f t="shared" si="1725"/>
        <v>Inbetriebnahme 05/2012</v>
      </c>
      <c r="D4770" s="321" t="str">
        <f t="shared" si="1729"/>
        <v>1 - 10 MW</v>
      </c>
      <c r="E4770" s="321"/>
      <c r="F4770" s="472">
        <f t="shared" si="1726"/>
        <v>13.37</v>
      </c>
      <c r="G4770" s="549">
        <v>13.37</v>
      </c>
      <c r="H4770" s="323">
        <f t="shared" si="1724"/>
        <v>10.7</v>
      </c>
      <c r="I4770" s="727"/>
      <c r="J4770" s="669" t="s">
        <v>5805</v>
      </c>
      <c r="K4770" s="15"/>
      <c r="L4770" s="173"/>
      <c r="M4770" s="331"/>
      <c r="N4770" s="281"/>
      <c r="O4770" s="333" t="str">
        <f t="shared" si="1727"/>
        <v>Nov12</v>
      </c>
      <c r="P4770" s="344">
        <v>2.5000000000000001E-2</v>
      </c>
      <c r="Q4770" s="327">
        <f t="shared" si="1728"/>
        <v>17.899891340486516</v>
      </c>
      <c r="R4770" s="327">
        <f t="shared" si="1728"/>
        <v>16.981948194820536</v>
      </c>
      <c r="S4770" s="327">
        <f t="shared" si="1728"/>
        <v>15.146061903488585</v>
      </c>
      <c r="T4770" s="327">
        <f t="shared" si="1728"/>
        <v>12.392232466490663</v>
      </c>
      <c r="V4770" s="12"/>
      <c r="W4770" s="12"/>
      <c r="X4770" s="12"/>
      <c r="Y4770" s="12"/>
      <c r="Z4770" s="12"/>
      <c r="AA4770" s="12"/>
    </row>
    <row r="4771" spans="1:27" x14ac:dyDescent="0.25">
      <c r="A4771" s="614" t="s">
        <v>3934</v>
      </c>
      <c r="B4771" s="321" t="s">
        <v>5435</v>
      </c>
      <c r="C4771" s="322" t="str">
        <f t="shared" si="1725"/>
        <v>Inbetriebnahme 06/2012</v>
      </c>
      <c r="D4771" s="321" t="str">
        <f t="shared" si="1729"/>
        <v>0 - 10 kW</v>
      </c>
      <c r="E4771" s="321"/>
      <c r="F4771" s="472">
        <f t="shared" si="1726"/>
        <v>19.11</v>
      </c>
      <c r="G4771" s="549">
        <v>19.11</v>
      </c>
      <c r="H4771" s="323">
        <f t="shared" si="1724"/>
        <v>15.29</v>
      </c>
      <c r="I4771" s="727"/>
      <c r="J4771" s="669" t="s">
        <v>5805</v>
      </c>
      <c r="K4771" s="15"/>
      <c r="L4771" s="173"/>
      <c r="M4771" s="331"/>
      <c r="N4771" s="281"/>
      <c r="O4771" s="333" t="str">
        <f t="shared" si="1727"/>
        <v>Dez12</v>
      </c>
      <c r="P4771" s="344">
        <v>2.5000000000000001E-2</v>
      </c>
      <c r="Q4771" s="327">
        <f t="shared" si="1728"/>
        <v>17.452394056974352</v>
      </c>
      <c r="R4771" s="327">
        <f t="shared" si="1728"/>
        <v>16.557399489950022</v>
      </c>
      <c r="S4771" s="327">
        <f t="shared" si="1728"/>
        <v>14.767410355901371</v>
      </c>
      <c r="T4771" s="327">
        <f t="shared" si="1728"/>
        <v>12.082426654828396</v>
      </c>
      <c r="V4771" s="174"/>
      <c r="W4771" s="175"/>
      <c r="X4771" s="174"/>
      <c r="Y4771" s="12"/>
      <c r="Z4771" s="12"/>
      <c r="AA4771" s="12"/>
    </row>
    <row r="4772" spans="1:27" x14ac:dyDescent="0.25">
      <c r="A4772" s="614" t="str">
        <f>"SgK3221--"&amp;RIGHT(A4771,5)</f>
        <v>SgK3221--Jun12</v>
      </c>
      <c r="B4772" s="321" t="s">
        <v>5435</v>
      </c>
      <c r="C4772" s="322" t="str">
        <f t="shared" si="1725"/>
        <v>Inbetriebnahme 06/2012</v>
      </c>
      <c r="D4772" s="321" t="str">
        <f t="shared" si="1729"/>
        <v>10 - 40 kW</v>
      </c>
      <c r="E4772" s="321"/>
      <c r="F4772" s="472">
        <f t="shared" si="1726"/>
        <v>18.13</v>
      </c>
      <c r="G4772" s="549">
        <v>18.13</v>
      </c>
      <c r="H4772" s="323">
        <f t="shared" si="1724"/>
        <v>14.5</v>
      </c>
      <c r="I4772" s="727"/>
      <c r="J4772" s="669" t="s">
        <v>5805</v>
      </c>
      <c r="K4772" s="15"/>
      <c r="L4772" s="173"/>
      <c r="M4772" s="331"/>
      <c r="N4772" s="281"/>
      <c r="O4772" s="325"/>
      <c r="P4772" s="12"/>
      <c r="Q4772" s="12"/>
      <c r="R4772" s="12"/>
      <c r="S4772" s="12"/>
      <c r="T4772" s="12"/>
      <c r="V4772" s="174"/>
      <c r="W4772" s="175"/>
      <c r="X4772" s="174"/>
      <c r="Y4772" s="12"/>
      <c r="Z4772" s="12"/>
      <c r="AA4772" s="12"/>
    </row>
    <row r="4773" spans="1:27" x14ac:dyDescent="0.25">
      <c r="A4773" s="614" t="str">
        <f>"SgK3222--"&amp;RIGHT(A4772,5)</f>
        <v>SgK3222--Jun12</v>
      </c>
      <c r="B4773" s="321" t="s">
        <v>5435</v>
      </c>
      <c r="C4773" s="322" t="str">
        <f t="shared" si="1725"/>
        <v>Inbetriebnahme 06/2012</v>
      </c>
      <c r="D4773" s="321" t="str">
        <f t="shared" si="1729"/>
        <v>40 kW - 1 MW</v>
      </c>
      <c r="E4773" s="321"/>
      <c r="F4773" s="472">
        <f t="shared" si="1726"/>
        <v>16.170000000000002</v>
      </c>
      <c r="G4773" s="549">
        <v>16.170000000000002</v>
      </c>
      <c r="H4773" s="323">
        <f t="shared" si="1724"/>
        <v>12.94</v>
      </c>
      <c r="I4773" s="727"/>
      <c r="J4773" s="669" t="s">
        <v>5805</v>
      </c>
      <c r="K4773" s="15"/>
      <c r="L4773" s="173"/>
      <c r="M4773" s="331"/>
      <c r="O4773" s="325"/>
      <c r="P4773" s="12"/>
      <c r="Q4773" s="12"/>
      <c r="R4773" s="12"/>
      <c r="S4773" s="12"/>
      <c r="T4773" s="12"/>
      <c r="V4773" s="174"/>
      <c r="W4773" s="175"/>
      <c r="X4773" s="174"/>
      <c r="Y4773" s="12"/>
      <c r="Z4773" s="12"/>
      <c r="AA4773" s="12"/>
    </row>
    <row r="4774" spans="1:27" x14ac:dyDescent="0.25">
      <c r="A4774" s="614" t="str">
        <f>"SgK3223--"&amp;RIGHT(A4773,5)</f>
        <v>SgK3223--Jun12</v>
      </c>
      <c r="B4774" s="321" t="s">
        <v>5435</v>
      </c>
      <c r="C4774" s="322" t="str">
        <f t="shared" si="1725"/>
        <v>Inbetriebnahme 06/2012</v>
      </c>
      <c r="D4774" s="321" t="str">
        <f t="shared" si="1729"/>
        <v>1 - 10 MW</v>
      </c>
      <c r="E4774" s="321"/>
      <c r="F4774" s="472">
        <f t="shared" si="1726"/>
        <v>13.23</v>
      </c>
      <c r="G4774" s="549">
        <v>13.23</v>
      </c>
      <c r="H4774" s="323">
        <f t="shared" si="1724"/>
        <v>10.58</v>
      </c>
      <c r="I4774" s="727"/>
      <c r="J4774" s="669" t="s">
        <v>5805</v>
      </c>
      <c r="K4774" s="15"/>
      <c r="L4774" s="173"/>
      <c r="M4774" s="331"/>
      <c r="O4774" s="325"/>
      <c r="P4774" s="12"/>
      <c r="Q4774" s="12"/>
      <c r="R4774" s="12"/>
      <c r="S4774" s="12"/>
      <c r="T4774" s="12"/>
      <c r="U4774" s="12"/>
      <c r="V4774" s="174"/>
      <c r="W4774" s="175"/>
      <c r="X4774" s="174"/>
      <c r="Y4774" s="12"/>
      <c r="Z4774" s="12"/>
      <c r="AA4774" s="12"/>
    </row>
    <row r="4775" spans="1:27" x14ac:dyDescent="0.25">
      <c r="A4775" s="614" t="s">
        <v>3935</v>
      </c>
      <c r="B4775" s="321" t="s">
        <v>5435</v>
      </c>
      <c r="C4775" s="322" t="str">
        <f t="shared" si="1725"/>
        <v>Inbetriebnahme 07/2012</v>
      </c>
      <c r="D4775" s="321" t="str">
        <f t="shared" si="1729"/>
        <v>0 - 10 kW</v>
      </c>
      <c r="E4775" s="321"/>
      <c r="F4775" s="472">
        <f t="shared" si="1726"/>
        <v>18.920000000000002</v>
      </c>
      <c r="G4775" s="549">
        <v>18.920000000000002</v>
      </c>
      <c r="H4775" s="323">
        <f t="shared" si="1724"/>
        <v>15.14</v>
      </c>
      <c r="I4775" s="727"/>
      <c r="J4775" s="669" t="s">
        <v>5805</v>
      </c>
      <c r="K4775" s="15"/>
      <c r="L4775" s="173"/>
      <c r="M4775" s="331"/>
      <c r="O4775" s="325"/>
      <c r="P4775" s="12"/>
      <c r="Q4775" s="12"/>
      <c r="R4775" s="12"/>
      <c r="S4775" s="12"/>
      <c r="T4775" s="12"/>
      <c r="U4775" s="12"/>
      <c r="V4775" s="174"/>
      <c r="W4775" s="175"/>
      <c r="X4775" s="174"/>
      <c r="Y4775" s="12"/>
      <c r="Z4775" s="12"/>
      <c r="AA4775" s="12"/>
    </row>
    <row r="4776" spans="1:27" x14ac:dyDescent="0.25">
      <c r="A4776" s="614" t="str">
        <f>"SgK3221--"&amp;RIGHT(A4775,5)</f>
        <v>SgK3221--Jul12</v>
      </c>
      <c r="B4776" s="321" t="s">
        <v>5435</v>
      </c>
      <c r="C4776" s="322" t="str">
        <f t="shared" si="1725"/>
        <v>Inbetriebnahme 07/2012</v>
      </c>
      <c r="D4776" s="321" t="str">
        <f t="shared" si="1729"/>
        <v>10 - 40 kW</v>
      </c>
      <c r="E4776" s="321"/>
      <c r="F4776" s="472">
        <f t="shared" si="1726"/>
        <v>17.95</v>
      </c>
      <c r="G4776" s="549">
        <v>17.95</v>
      </c>
      <c r="H4776" s="323">
        <f t="shared" si="1724"/>
        <v>14.36</v>
      </c>
      <c r="I4776" s="727"/>
      <c r="J4776" s="669" t="s">
        <v>5805</v>
      </c>
      <c r="K4776" s="15"/>
      <c r="L4776" s="173"/>
      <c r="M4776" s="331"/>
      <c r="O4776" s="325"/>
      <c r="P4776" s="12"/>
      <c r="Q4776" s="12"/>
      <c r="R4776" s="12"/>
      <c r="S4776" s="12"/>
      <c r="T4776" s="12"/>
      <c r="U4776" s="12"/>
      <c r="V4776" s="174"/>
      <c r="W4776" s="175"/>
      <c r="X4776" s="174"/>
      <c r="Y4776" s="12"/>
      <c r="Z4776" s="12"/>
      <c r="AA4776" s="12"/>
    </row>
    <row r="4777" spans="1:27" x14ac:dyDescent="0.25">
      <c r="A4777" s="614" t="str">
        <f>"SgK3222--"&amp;RIGHT(A4776,5)</f>
        <v>SgK3222--Jul12</v>
      </c>
      <c r="B4777" s="321" t="s">
        <v>5435</v>
      </c>
      <c r="C4777" s="322" t="str">
        <f t="shared" si="1725"/>
        <v>Inbetriebnahme 07/2012</v>
      </c>
      <c r="D4777" s="321" t="str">
        <f t="shared" si="1729"/>
        <v>40 kW - 1 MW</v>
      </c>
      <c r="E4777" s="321"/>
      <c r="F4777" s="472">
        <f t="shared" si="1726"/>
        <v>16.010000000000002</v>
      </c>
      <c r="G4777" s="549">
        <v>16.010000000000002</v>
      </c>
      <c r="H4777" s="323">
        <f t="shared" si="1724"/>
        <v>12.81</v>
      </c>
      <c r="I4777" s="727"/>
      <c r="J4777" s="669" t="s">
        <v>5805</v>
      </c>
      <c r="K4777" s="15"/>
      <c r="L4777" s="173"/>
      <c r="M4777" s="331"/>
      <c r="O4777" s="325"/>
      <c r="P4777" s="12"/>
      <c r="Q4777" s="12"/>
      <c r="R4777" s="12"/>
      <c r="S4777" s="12"/>
      <c r="T4777" s="12"/>
      <c r="U4777" s="12"/>
      <c r="V4777" s="174"/>
      <c r="W4777" s="175"/>
      <c r="X4777" s="174"/>
      <c r="Y4777" s="12"/>
      <c r="Z4777" s="12"/>
      <c r="AA4777" s="12"/>
    </row>
    <row r="4778" spans="1:27" x14ac:dyDescent="0.25">
      <c r="A4778" s="614" t="str">
        <f>"SgK3223--"&amp;RIGHT(A4777,5)</f>
        <v>SgK3223--Jul12</v>
      </c>
      <c r="B4778" s="321" t="s">
        <v>5435</v>
      </c>
      <c r="C4778" s="322" t="str">
        <f t="shared" si="1725"/>
        <v>Inbetriebnahme 07/2012</v>
      </c>
      <c r="D4778" s="321" t="str">
        <f t="shared" si="1729"/>
        <v>1 - 10 MW</v>
      </c>
      <c r="E4778" s="321"/>
      <c r="F4778" s="472">
        <f t="shared" si="1726"/>
        <v>13.1</v>
      </c>
      <c r="G4778" s="549">
        <v>13.1</v>
      </c>
      <c r="H4778" s="323">
        <f t="shared" si="1724"/>
        <v>10.48</v>
      </c>
      <c r="I4778" s="727"/>
      <c r="J4778" s="669" t="s">
        <v>5805</v>
      </c>
      <c r="K4778" s="15"/>
      <c r="L4778" s="173"/>
      <c r="M4778" s="331"/>
      <c r="O4778" s="325"/>
      <c r="P4778" s="12"/>
      <c r="Q4778" s="12"/>
      <c r="R4778" s="12"/>
      <c r="S4778" s="12"/>
      <c r="T4778" s="12"/>
      <c r="U4778" s="12"/>
      <c r="V4778" s="174"/>
      <c r="W4778" s="175"/>
      <c r="X4778" s="174"/>
      <c r="Y4778" s="12"/>
      <c r="Z4778" s="12"/>
      <c r="AA4778" s="12"/>
    </row>
    <row r="4779" spans="1:27" x14ac:dyDescent="0.25">
      <c r="A4779" s="614" t="s">
        <v>3936</v>
      </c>
      <c r="B4779" s="321" t="s">
        <v>5435</v>
      </c>
      <c r="C4779" s="322" t="str">
        <f t="shared" si="1725"/>
        <v>Inbetriebnahme 08/2012</v>
      </c>
      <c r="D4779" s="321" t="str">
        <f t="shared" si="1729"/>
        <v>0 - 10 kW</v>
      </c>
      <c r="E4779" s="321"/>
      <c r="F4779" s="472">
        <f t="shared" si="1726"/>
        <v>18.73</v>
      </c>
      <c r="G4779" s="549">
        <v>18.73</v>
      </c>
      <c r="H4779" s="323">
        <f t="shared" si="1724"/>
        <v>14.98</v>
      </c>
      <c r="I4779" s="727"/>
      <c r="J4779" s="669" t="s">
        <v>5805</v>
      </c>
      <c r="K4779" s="15"/>
      <c r="L4779" s="173"/>
      <c r="M4779" s="331"/>
      <c r="O4779" s="325"/>
      <c r="P4779" s="12"/>
      <c r="Q4779" s="12"/>
      <c r="R4779" s="12"/>
      <c r="S4779" s="12"/>
      <c r="T4779" s="12"/>
      <c r="U4779" s="12"/>
      <c r="V4779" s="174"/>
      <c r="W4779" s="175"/>
      <c r="X4779" s="174"/>
      <c r="Y4779" s="12"/>
      <c r="Z4779" s="12"/>
      <c r="AA4779" s="12"/>
    </row>
    <row r="4780" spans="1:27" x14ac:dyDescent="0.25">
      <c r="A4780" s="614" t="str">
        <f>"SgK3221--"&amp;RIGHT(A4779,5)</f>
        <v>SgK3221--Aug12</v>
      </c>
      <c r="B4780" s="321" t="s">
        <v>5435</v>
      </c>
      <c r="C4780" s="322" t="str">
        <f t="shared" si="1725"/>
        <v>Inbetriebnahme 08/2012</v>
      </c>
      <c r="D4780" s="321" t="str">
        <f t="shared" si="1729"/>
        <v>10 - 40 kW</v>
      </c>
      <c r="E4780" s="321"/>
      <c r="F4780" s="472">
        <f t="shared" si="1726"/>
        <v>17.77</v>
      </c>
      <c r="G4780" s="549">
        <v>17.77</v>
      </c>
      <c r="H4780" s="323">
        <f t="shared" si="1724"/>
        <v>14.22</v>
      </c>
      <c r="I4780" s="727"/>
      <c r="J4780" s="669" t="s">
        <v>5805</v>
      </c>
      <c r="K4780" s="15"/>
      <c r="L4780" s="173"/>
      <c r="M4780" s="331"/>
      <c r="O4780" s="325"/>
      <c r="P4780" s="12"/>
      <c r="Q4780" s="12"/>
      <c r="R4780" s="12"/>
      <c r="S4780" s="12"/>
      <c r="T4780" s="12"/>
      <c r="U4780" s="12"/>
      <c r="V4780" s="174"/>
      <c r="W4780" s="175"/>
      <c r="X4780" s="174"/>
      <c r="Y4780" s="12"/>
      <c r="Z4780" s="12"/>
      <c r="AA4780" s="12"/>
    </row>
    <row r="4781" spans="1:27" x14ac:dyDescent="0.25">
      <c r="A4781" s="614" t="str">
        <f>"SgK3222--"&amp;RIGHT(A4780,5)</f>
        <v>SgK3222--Aug12</v>
      </c>
      <c r="B4781" s="321" t="s">
        <v>5435</v>
      </c>
      <c r="C4781" s="322" t="str">
        <f t="shared" si="1725"/>
        <v>Inbetriebnahme 08/2012</v>
      </c>
      <c r="D4781" s="321" t="str">
        <f t="shared" si="1729"/>
        <v>40 kW - 1 MW</v>
      </c>
      <c r="E4781" s="321"/>
      <c r="F4781" s="472">
        <f t="shared" si="1726"/>
        <v>15.85</v>
      </c>
      <c r="G4781" s="549">
        <v>15.85</v>
      </c>
      <c r="H4781" s="323">
        <f t="shared" si="1724"/>
        <v>12.68</v>
      </c>
      <c r="I4781" s="727"/>
      <c r="J4781" s="669" t="s">
        <v>5805</v>
      </c>
      <c r="K4781" s="15"/>
      <c r="L4781" s="173"/>
      <c r="M4781" s="334"/>
      <c r="O4781" s="333"/>
      <c r="P4781" s="12"/>
      <c r="Q4781" s="12"/>
      <c r="R4781" s="12"/>
      <c r="S4781" s="12"/>
      <c r="T4781" s="12"/>
      <c r="U4781" s="12"/>
      <c r="V4781" s="174"/>
      <c r="W4781" s="175"/>
      <c r="X4781" s="174"/>
      <c r="Y4781" s="12"/>
      <c r="Z4781" s="12"/>
      <c r="AA4781" s="12"/>
    </row>
    <row r="4782" spans="1:27" x14ac:dyDescent="0.25">
      <c r="A4782" s="614" t="str">
        <f>"SgK3223--"&amp;RIGHT(A4781,5)</f>
        <v>SgK3223--Aug12</v>
      </c>
      <c r="B4782" s="321" t="s">
        <v>5435</v>
      </c>
      <c r="C4782" s="322" t="str">
        <f t="shared" si="1725"/>
        <v>Inbetriebnahme 08/2012</v>
      </c>
      <c r="D4782" s="321" t="str">
        <f t="shared" si="1729"/>
        <v>1 - 10 MW</v>
      </c>
      <c r="E4782" s="321"/>
      <c r="F4782" s="472">
        <f t="shared" si="1726"/>
        <v>12.97</v>
      </c>
      <c r="G4782" s="549">
        <v>12.97</v>
      </c>
      <c r="H4782" s="323">
        <f t="shared" si="1724"/>
        <v>10.38</v>
      </c>
      <c r="I4782" s="727"/>
      <c r="J4782" s="669" t="s">
        <v>5805</v>
      </c>
      <c r="K4782" s="15"/>
      <c r="L4782" s="173"/>
      <c r="M4782" s="331"/>
      <c r="O4782" s="325"/>
      <c r="P4782" s="12"/>
      <c r="Q4782" s="12"/>
      <c r="R4782" s="12"/>
      <c r="S4782" s="12"/>
      <c r="T4782" s="12"/>
      <c r="U4782" s="12"/>
      <c r="V4782" s="174"/>
      <c r="W4782" s="175"/>
      <c r="X4782" s="174"/>
      <c r="Y4782" s="12"/>
      <c r="Z4782" s="12"/>
      <c r="AA4782" s="12"/>
    </row>
    <row r="4783" spans="1:27" x14ac:dyDescent="0.25">
      <c r="A4783" s="614" t="s">
        <v>3937</v>
      </c>
      <c r="B4783" s="321" t="s">
        <v>5435</v>
      </c>
      <c r="C4783" s="322" t="str">
        <f t="shared" si="1725"/>
        <v>Inbetriebnahme 09/2012</v>
      </c>
      <c r="D4783" s="321" t="str">
        <f t="shared" si="1729"/>
        <v>0 - 10 kW</v>
      </c>
      <c r="E4783" s="321"/>
      <c r="F4783" s="472">
        <f t="shared" si="1726"/>
        <v>18.54</v>
      </c>
      <c r="G4783" s="549">
        <v>18.54</v>
      </c>
      <c r="H4783" s="323">
        <f t="shared" si="1724"/>
        <v>14.83</v>
      </c>
      <c r="I4783" s="727"/>
      <c r="J4783" s="669" t="s">
        <v>5805</v>
      </c>
      <c r="K4783" s="15"/>
      <c r="L4783" s="173"/>
      <c r="M4783" s="331"/>
      <c r="O4783" s="325"/>
      <c r="P4783" s="12"/>
      <c r="Q4783" s="12"/>
      <c r="R4783" s="12"/>
      <c r="S4783" s="12"/>
      <c r="T4783" s="12"/>
      <c r="U4783" s="12"/>
      <c r="V4783" s="174"/>
      <c r="W4783" s="175"/>
      <c r="X4783" s="174"/>
      <c r="Y4783" s="12"/>
      <c r="Z4783" s="12"/>
      <c r="AA4783" s="12"/>
    </row>
    <row r="4784" spans="1:27" x14ac:dyDescent="0.25">
      <c r="A4784" s="614" t="str">
        <f>"SgK3221--"&amp;RIGHT(A4783,5)</f>
        <v>SgK3221--Sep12</v>
      </c>
      <c r="B4784" s="321" t="s">
        <v>5435</v>
      </c>
      <c r="C4784" s="322" t="str">
        <f t="shared" si="1725"/>
        <v>Inbetriebnahme 09/2012</v>
      </c>
      <c r="D4784" s="321" t="str">
        <f t="shared" si="1729"/>
        <v>10 - 40 kW</v>
      </c>
      <c r="E4784" s="321"/>
      <c r="F4784" s="472">
        <f t="shared" si="1726"/>
        <v>17.59</v>
      </c>
      <c r="G4784" s="549">
        <v>17.59</v>
      </c>
      <c r="H4784" s="323">
        <f t="shared" si="1724"/>
        <v>14.07</v>
      </c>
      <c r="I4784" s="727"/>
      <c r="J4784" s="669" t="s">
        <v>5805</v>
      </c>
      <c r="K4784" s="15"/>
      <c r="L4784" s="173"/>
      <c r="M4784" s="331"/>
      <c r="O4784" s="325"/>
      <c r="P4784" s="12"/>
      <c r="Q4784" s="12"/>
      <c r="R4784" s="12"/>
      <c r="S4784" s="12"/>
      <c r="T4784" s="12"/>
      <c r="U4784" s="12"/>
      <c r="V4784" s="174"/>
      <c r="W4784" s="175"/>
      <c r="X4784" s="174"/>
      <c r="Y4784" s="12"/>
      <c r="Z4784" s="12"/>
      <c r="AA4784" s="12"/>
    </row>
    <row r="4785" spans="1:27" x14ac:dyDescent="0.25">
      <c r="A4785" s="614" t="str">
        <f>"SgK3222--"&amp;RIGHT(A4784,5)</f>
        <v>SgK3222--Sep12</v>
      </c>
      <c r="B4785" s="321" t="s">
        <v>5435</v>
      </c>
      <c r="C4785" s="322" t="str">
        <f t="shared" si="1725"/>
        <v>Inbetriebnahme 09/2012</v>
      </c>
      <c r="D4785" s="321" t="str">
        <f t="shared" si="1729"/>
        <v>40 kW - 1 MW</v>
      </c>
      <c r="E4785" s="321"/>
      <c r="F4785" s="472">
        <f t="shared" si="1726"/>
        <v>15.69</v>
      </c>
      <c r="G4785" s="549">
        <v>15.69</v>
      </c>
      <c r="H4785" s="323">
        <f t="shared" si="1724"/>
        <v>12.55</v>
      </c>
      <c r="I4785" s="727"/>
      <c r="J4785" s="669" t="s">
        <v>5805</v>
      </c>
      <c r="K4785" s="15"/>
      <c r="L4785" s="129"/>
      <c r="M4785" s="331"/>
      <c r="O4785" s="325"/>
      <c r="P4785" s="12"/>
      <c r="Q4785" s="12"/>
      <c r="R4785" s="12"/>
      <c r="S4785" s="12"/>
      <c r="T4785" s="12"/>
      <c r="U4785" s="12"/>
      <c r="V4785" s="174"/>
      <c r="W4785" s="175"/>
      <c r="X4785" s="174"/>
      <c r="Y4785" s="12"/>
      <c r="Z4785" s="12"/>
      <c r="AA4785" s="12"/>
    </row>
    <row r="4786" spans="1:27" x14ac:dyDescent="0.25">
      <c r="A4786" s="614" t="str">
        <f>"SgK3223--"&amp;RIGHT(A4785,5)</f>
        <v>SgK3223--Sep12</v>
      </c>
      <c r="B4786" s="321" t="s">
        <v>5435</v>
      </c>
      <c r="C4786" s="322" t="str">
        <f t="shared" si="1725"/>
        <v>Inbetriebnahme 09/2012</v>
      </c>
      <c r="D4786" s="321" t="str">
        <f t="shared" si="1729"/>
        <v>1 - 10 MW</v>
      </c>
      <c r="E4786" s="321"/>
      <c r="F4786" s="472">
        <f t="shared" si="1726"/>
        <v>12.84</v>
      </c>
      <c r="G4786" s="549">
        <v>12.84</v>
      </c>
      <c r="H4786" s="323">
        <f t="shared" si="1724"/>
        <v>10.27</v>
      </c>
      <c r="I4786" s="727"/>
      <c r="J4786" s="669" t="s">
        <v>5805</v>
      </c>
      <c r="K4786" s="15"/>
      <c r="L4786" s="173"/>
      <c r="M4786" s="331"/>
      <c r="O4786" s="325"/>
      <c r="P4786" s="12"/>
      <c r="Q4786" s="12"/>
      <c r="R4786" s="12"/>
      <c r="S4786" s="12"/>
      <c r="T4786" s="12"/>
      <c r="U4786" s="12"/>
      <c r="V4786" s="174"/>
      <c r="W4786" s="175"/>
      <c r="X4786" s="174"/>
      <c r="Y4786" s="12"/>
      <c r="Z4786" s="12"/>
      <c r="AA4786" s="12"/>
    </row>
    <row r="4787" spans="1:27" x14ac:dyDescent="0.25">
      <c r="A4787" s="614" t="s">
        <v>3938</v>
      </c>
      <c r="B4787" s="321" t="s">
        <v>5435</v>
      </c>
      <c r="C4787" s="322" t="str">
        <f t="shared" si="1725"/>
        <v>Inbetriebnahme 10/2012</v>
      </c>
      <c r="D4787" s="321" t="str">
        <f t="shared" si="1729"/>
        <v>0 - 10 kW</v>
      </c>
      <c r="E4787" s="321"/>
      <c r="F4787" s="472">
        <f t="shared" si="1726"/>
        <v>18.36</v>
      </c>
      <c r="G4787" s="549">
        <v>18.36</v>
      </c>
      <c r="H4787" s="323">
        <f t="shared" si="1724"/>
        <v>14.69</v>
      </c>
      <c r="I4787" s="727"/>
      <c r="J4787" s="669" t="s">
        <v>5805</v>
      </c>
      <c r="K4787" s="15"/>
      <c r="L4787" s="129"/>
      <c r="M4787" s="331"/>
      <c r="O4787" s="325"/>
      <c r="P4787" s="12"/>
      <c r="Q4787" s="12"/>
      <c r="R4787" s="12"/>
      <c r="S4787" s="12"/>
      <c r="T4787" s="12"/>
      <c r="U4787" s="12"/>
      <c r="V4787" s="174"/>
      <c r="W4787" s="175"/>
      <c r="X4787" s="174"/>
      <c r="Y4787" s="12"/>
      <c r="Z4787" s="12"/>
      <c r="AA4787" s="12"/>
    </row>
    <row r="4788" spans="1:27" x14ac:dyDescent="0.25">
      <c r="A4788" s="614" t="str">
        <f>"SgK3221--"&amp;RIGHT(A4787,5)</f>
        <v>SgK3221--Okt12</v>
      </c>
      <c r="B4788" s="321" t="s">
        <v>5435</v>
      </c>
      <c r="C4788" s="322" t="str">
        <f t="shared" si="1725"/>
        <v>Inbetriebnahme 10/2012</v>
      </c>
      <c r="D4788" s="321" t="str">
        <f t="shared" si="1729"/>
        <v>10 - 40 kW</v>
      </c>
      <c r="E4788" s="321"/>
      <c r="F4788" s="472">
        <f t="shared" si="1726"/>
        <v>17.420000000000002</v>
      </c>
      <c r="G4788" s="549">
        <v>17.420000000000002</v>
      </c>
      <c r="H4788" s="323">
        <f t="shared" si="1724"/>
        <v>13.94</v>
      </c>
      <c r="I4788" s="727"/>
      <c r="J4788" s="669" t="s">
        <v>5805</v>
      </c>
      <c r="K4788" s="15"/>
      <c r="L4788" s="173"/>
      <c r="M4788" s="331"/>
      <c r="O4788" s="325"/>
      <c r="P4788" s="12"/>
      <c r="Q4788" s="12"/>
      <c r="R4788" s="12"/>
      <c r="S4788" s="12"/>
      <c r="T4788" s="12"/>
      <c r="U4788" s="12"/>
      <c r="V4788" s="174"/>
      <c r="W4788" s="175"/>
      <c r="X4788" s="174"/>
      <c r="Y4788" s="12"/>
      <c r="Z4788" s="12"/>
      <c r="AA4788" s="12"/>
    </row>
    <row r="4789" spans="1:27" x14ac:dyDescent="0.25">
      <c r="A4789" s="614" t="str">
        <f>"SgK3222--"&amp;RIGHT(A4788,5)</f>
        <v>SgK3222--Okt12</v>
      </c>
      <c r="B4789" s="321" t="s">
        <v>5435</v>
      </c>
      <c r="C4789" s="322" t="str">
        <f t="shared" si="1725"/>
        <v>Inbetriebnahme 10/2012</v>
      </c>
      <c r="D4789" s="321" t="str">
        <f t="shared" si="1729"/>
        <v>40 kW - 1 MW</v>
      </c>
      <c r="E4789" s="321"/>
      <c r="F4789" s="472">
        <f t="shared" si="1726"/>
        <v>15.53</v>
      </c>
      <c r="G4789" s="549">
        <v>15.53</v>
      </c>
      <c r="H4789" s="323">
        <f t="shared" si="1724"/>
        <v>12.42</v>
      </c>
      <c r="I4789" s="727"/>
      <c r="J4789" s="669" t="s">
        <v>5805</v>
      </c>
      <c r="K4789" s="15"/>
      <c r="L4789" s="173"/>
      <c r="M4789" s="331"/>
      <c r="O4789" s="325"/>
      <c r="P4789" s="174"/>
      <c r="Q4789" s="12"/>
      <c r="R4789" s="12"/>
      <c r="S4789" s="12"/>
      <c r="T4789" s="12"/>
      <c r="U4789" s="12"/>
      <c r="V4789" s="174"/>
      <c r="W4789" s="175"/>
      <c r="X4789" s="174"/>
      <c r="Y4789" s="12"/>
      <c r="Z4789" s="12"/>
      <c r="AA4789" s="12"/>
    </row>
    <row r="4790" spans="1:27" x14ac:dyDescent="0.25">
      <c r="A4790" s="614" t="str">
        <f>"SgK3223--"&amp;RIGHT(A4789,5)</f>
        <v>SgK3223--Okt12</v>
      </c>
      <c r="B4790" s="321" t="s">
        <v>5435</v>
      </c>
      <c r="C4790" s="322" t="str">
        <f t="shared" si="1725"/>
        <v>Inbetriebnahme 10/2012</v>
      </c>
      <c r="D4790" s="321" t="str">
        <f t="shared" si="1729"/>
        <v>1 - 10 MW</v>
      </c>
      <c r="E4790" s="321"/>
      <c r="F4790" s="472">
        <f t="shared" si="1726"/>
        <v>12.71</v>
      </c>
      <c r="G4790" s="549">
        <v>12.71</v>
      </c>
      <c r="H4790" s="323">
        <f t="shared" si="1724"/>
        <v>10.17</v>
      </c>
      <c r="I4790" s="727"/>
      <c r="J4790" s="669" t="s">
        <v>5805</v>
      </c>
      <c r="K4790" s="15"/>
      <c r="L4790" s="173"/>
      <c r="M4790" s="331"/>
      <c r="O4790" s="325"/>
      <c r="P4790" s="174"/>
      <c r="Q4790" s="12"/>
      <c r="R4790" s="12"/>
      <c r="S4790" s="12"/>
      <c r="T4790" s="12"/>
      <c r="U4790" s="12"/>
      <c r="V4790" s="174"/>
      <c r="W4790" s="175"/>
      <c r="X4790" s="174"/>
      <c r="Y4790" s="12"/>
      <c r="Z4790" s="12"/>
      <c r="AA4790" s="12"/>
    </row>
    <row r="4791" spans="1:27" x14ac:dyDescent="0.25">
      <c r="A4791" s="614" t="s">
        <v>3939</v>
      </c>
      <c r="B4791" s="321" t="s">
        <v>5435</v>
      </c>
      <c r="C4791" s="322" t="str">
        <f t="shared" si="1725"/>
        <v>Inbetriebnahme 11/2012</v>
      </c>
      <c r="D4791" s="321" t="str">
        <f t="shared" si="1729"/>
        <v>0 - 10 kW</v>
      </c>
      <c r="E4791" s="321"/>
      <c r="F4791" s="472">
        <f t="shared" si="1726"/>
        <v>17.899999999999999</v>
      </c>
      <c r="G4791" s="549">
        <v>17.899999999999999</v>
      </c>
      <c r="H4791" s="323">
        <f t="shared" si="1724"/>
        <v>14.32</v>
      </c>
      <c r="I4791" s="727"/>
      <c r="J4791" s="669" t="s">
        <v>5805</v>
      </c>
      <c r="K4791" s="15"/>
      <c r="L4791" s="173"/>
      <c r="M4791" s="331"/>
      <c r="N4791" s="328"/>
      <c r="O4791" s="137"/>
      <c r="P4791" s="174"/>
      <c r="Q4791" s="174"/>
      <c r="R4791" s="174"/>
      <c r="S4791" s="174"/>
      <c r="T4791" s="174"/>
      <c r="U4791" s="12"/>
      <c r="V4791" s="174"/>
      <c r="W4791" s="175"/>
      <c r="X4791" s="174"/>
      <c r="Y4791" s="12"/>
      <c r="Z4791" s="12"/>
      <c r="AA4791" s="12"/>
    </row>
    <row r="4792" spans="1:27" x14ac:dyDescent="0.25">
      <c r="A4792" s="614" t="str">
        <f>"SgK3221--"&amp;RIGHT(A4791,5)</f>
        <v>SgK3221--Nov12</v>
      </c>
      <c r="B4792" s="321" t="s">
        <v>5435</v>
      </c>
      <c r="C4792" s="322" t="str">
        <f t="shared" si="1725"/>
        <v>Inbetriebnahme 11/2012</v>
      </c>
      <c r="D4792" s="321" t="str">
        <f t="shared" si="1729"/>
        <v>10 - 40 kW</v>
      </c>
      <c r="E4792" s="321"/>
      <c r="F4792" s="472">
        <f t="shared" si="1726"/>
        <v>16.98</v>
      </c>
      <c r="G4792" s="549">
        <v>16.98</v>
      </c>
      <c r="H4792" s="323">
        <f t="shared" si="1724"/>
        <v>13.58</v>
      </c>
      <c r="I4792" s="727"/>
      <c r="J4792" s="669" t="s">
        <v>5805</v>
      </c>
      <c r="K4792" s="15"/>
      <c r="L4792" s="129"/>
      <c r="M4792" s="331"/>
      <c r="N4792" s="328"/>
      <c r="O4792" s="325"/>
      <c r="P4792" s="174"/>
      <c r="Q4792" s="12"/>
      <c r="R4792" s="12"/>
      <c r="S4792" s="12"/>
      <c r="T4792" s="12"/>
      <c r="U4792" s="12"/>
      <c r="V4792" s="12"/>
      <c r="W4792" s="12"/>
      <c r="X4792" s="12"/>
      <c r="Y4792" s="12"/>
      <c r="Z4792" s="12"/>
      <c r="AA4792" s="12"/>
    </row>
    <row r="4793" spans="1:27" x14ac:dyDescent="0.25">
      <c r="A4793" s="614" t="str">
        <f>"SgK3222--"&amp;RIGHT(A4792,5)</f>
        <v>SgK3222--Nov12</v>
      </c>
      <c r="B4793" s="321" t="s">
        <v>5435</v>
      </c>
      <c r="C4793" s="322" t="str">
        <f t="shared" si="1725"/>
        <v>Inbetriebnahme 11/2012</v>
      </c>
      <c r="D4793" s="321" t="str">
        <f t="shared" si="1729"/>
        <v>40 kW - 1 MW</v>
      </c>
      <c r="E4793" s="321"/>
      <c r="F4793" s="472">
        <f t="shared" si="1726"/>
        <v>15.15</v>
      </c>
      <c r="G4793" s="549">
        <v>15.15</v>
      </c>
      <c r="H4793" s="323">
        <f t="shared" si="1724"/>
        <v>12.12</v>
      </c>
      <c r="I4793" s="727"/>
      <c r="J4793" s="669" t="s">
        <v>5805</v>
      </c>
      <c r="K4793" s="15"/>
      <c r="L4793" s="173"/>
      <c r="M4793" s="331"/>
      <c r="N4793" s="328"/>
      <c r="O4793" s="325"/>
      <c r="P4793" s="174"/>
      <c r="Q4793" s="12"/>
      <c r="R4793" s="12"/>
      <c r="S4793" s="12"/>
      <c r="T4793" s="12"/>
      <c r="U4793" s="174"/>
      <c r="V4793" s="174"/>
      <c r="W4793" s="175"/>
      <c r="X4793" s="174"/>
      <c r="Y4793" s="12"/>
      <c r="Z4793" s="12"/>
      <c r="AA4793" s="12"/>
    </row>
    <row r="4794" spans="1:27" x14ac:dyDescent="0.25">
      <c r="A4794" s="614" t="str">
        <f>"SgK3223--"&amp;RIGHT(A4793,5)</f>
        <v>SgK3223--Nov12</v>
      </c>
      <c r="B4794" s="321" t="s">
        <v>5435</v>
      </c>
      <c r="C4794" s="322" t="str">
        <f t="shared" si="1725"/>
        <v>Inbetriebnahme 11/2012</v>
      </c>
      <c r="D4794" s="321" t="str">
        <f t="shared" si="1729"/>
        <v>1 - 10 MW</v>
      </c>
      <c r="E4794" s="321"/>
      <c r="F4794" s="472">
        <f t="shared" si="1726"/>
        <v>12.39</v>
      </c>
      <c r="G4794" s="549">
        <v>12.39</v>
      </c>
      <c r="H4794" s="323">
        <f t="shared" si="1724"/>
        <v>9.91</v>
      </c>
      <c r="I4794" s="727"/>
      <c r="J4794" s="669" t="s">
        <v>5805</v>
      </c>
      <c r="K4794" s="15"/>
      <c r="L4794" s="173"/>
      <c r="M4794" s="331"/>
      <c r="N4794" s="328"/>
      <c r="O4794" s="137"/>
      <c r="P4794" s="174"/>
      <c r="Q4794" s="174"/>
      <c r="R4794" s="174"/>
      <c r="S4794" s="174"/>
      <c r="T4794" s="174"/>
      <c r="U4794" s="12"/>
      <c r="V4794" s="174"/>
      <c r="W4794" s="175"/>
      <c r="X4794" s="174"/>
      <c r="Y4794" s="12"/>
      <c r="Z4794" s="12"/>
      <c r="AA4794" s="12"/>
    </row>
    <row r="4795" spans="1:27" x14ac:dyDescent="0.25">
      <c r="A4795" s="614" t="s">
        <v>3940</v>
      </c>
      <c r="B4795" s="321" t="s">
        <v>5435</v>
      </c>
      <c r="C4795" s="322" t="str">
        <f t="shared" si="1725"/>
        <v>Inbetriebnahme 12/2012</v>
      </c>
      <c r="D4795" s="321" t="str">
        <f t="shared" si="1729"/>
        <v>0 - 10 kW</v>
      </c>
      <c r="E4795" s="321"/>
      <c r="F4795" s="472">
        <f t="shared" si="1726"/>
        <v>17.45</v>
      </c>
      <c r="G4795" s="549">
        <v>17.45</v>
      </c>
      <c r="H4795" s="323">
        <f t="shared" si="1724"/>
        <v>13.96</v>
      </c>
      <c r="I4795" s="727"/>
      <c r="J4795" s="669" t="s">
        <v>5805</v>
      </c>
      <c r="K4795" s="15"/>
      <c r="L4795" s="173"/>
      <c r="M4795" s="331"/>
      <c r="N4795" s="328"/>
      <c r="O4795" s="137"/>
      <c r="P4795" s="113"/>
      <c r="Q4795" s="113"/>
      <c r="R4795" s="113"/>
      <c r="S4795" s="113"/>
      <c r="T4795" s="113"/>
      <c r="U4795" s="12"/>
      <c r="V4795" s="12"/>
      <c r="W4795" s="12"/>
      <c r="X4795" s="12"/>
      <c r="Y4795" s="12"/>
      <c r="Z4795" s="12"/>
      <c r="AA4795" s="12"/>
    </row>
    <row r="4796" spans="1:27" x14ac:dyDescent="0.25">
      <c r="A4796" s="614" t="str">
        <f>"SgK3221--"&amp;RIGHT(A4795,5)</f>
        <v>SgK3221--Dez12</v>
      </c>
      <c r="B4796" s="321" t="s">
        <v>5435</v>
      </c>
      <c r="C4796" s="322" t="str">
        <f t="shared" si="1725"/>
        <v>Inbetriebnahme 12/2012</v>
      </c>
      <c r="D4796" s="321" t="str">
        <f t="shared" si="1729"/>
        <v>10 - 40 kW</v>
      </c>
      <c r="E4796" s="321"/>
      <c r="F4796" s="472">
        <f t="shared" si="1726"/>
        <v>16.559999999999999</v>
      </c>
      <c r="G4796" s="549">
        <v>16.559999999999999</v>
      </c>
      <c r="H4796" s="323">
        <f t="shared" si="1724"/>
        <v>13.25</v>
      </c>
      <c r="I4796" s="727"/>
      <c r="J4796" s="669" t="s">
        <v>5805</v>
      </c>
      <c r="K4796" s="15"/>
      <c r="L4796" s="129"/>
      <c r="M4796" s="331"/>
      <c r="N4796" s="328"/>
      <c r="O4796" s="325"/>
      <c r="P4796" s="174"/>
      <c r="Q4796" s="12"/>
      <c r="R4796" s="12"/>
      <c r="S4796" s="12"/>
      <c r="T4796" s="12"/>
      <c r="U4796" s="174"/>
      <c r="V4796" s="174"/>
      <c r="W4796" s="175"/>
      <c r="X4796" s="174"/>
    </row>
    <row r="4797" spans="1:27" x14ac:dyDescent="0.25">
      <c r="A4797" s="614" t="str">
        <f>"SgK3222--"&amp;RIGHT(A4796,5)</f>
        <v>SgK3222--Dez12</v>
      </c>
      <c r="B4797" s="321" t="s">
        <v>5435</v>
      </c>
      <c r="C4797" s="322" t="str">
        <f t="shared" si="1725"/>
        <v>Inbetriebnahme 12/2012</v>
      </c>
      <c r="D4797" s="321" t="str">
        <f t="shared" si="1729"/>
        <v>40 kW - 1 MW</v>
      </c>
      <c r="E4797" s="321"/>
      <c r="F4797" s="472">
        <f t="shared" si="1726"/>
        <v>14.77</v>
      </c>
      <c r="G4797" s="549">
        <v>14.77</v>
      </c>
      <c r="H4797" s="323">
        <f t="shared" si="1724"/>
        <v>11.82</v>
      </c>
      <c r="I4797" s="727"/>
      <c r="J4797" s="669" t="s">
        <v>5805</v>
      </c>
      <c r="K4797" s="15"/>
      <c r="L4797" s="173"/>
      <c r="M4797" s="331"/>
      <c r="N4797" s="328"/>
      <c r="U4797" s="113"/>
      <c r="V4797" s="113"/>
      <c r="W4797" s="139"/>
      <c r="X4797" s="113"/>
      <c r="Y4797" s="12"/>
      <c r="Z4797" s="12"/>
      <c r="AA4797" s="12"/>
    </row>
    <row r="4798" spans="1:27" x14ac:dyDescent="0.25">
      <c r="A4798" s="614" t="str">
        <f>"SgK3223--"&amp;RIGHT(A4797,5)</f>
        <v>SgK3223--Dez12</v>
      </c>
      <c r="B4798" s="321" t="s">
        <v>5435</v>
      </c>
      <c r="C4798" s="322" t="str">
        <f t="shared" si="1725"/>
        <v>Inbetriebnahme 12/2012</v>
      </c>
      <c r="D4798" s="321" t="str">
        <f t="shared" si="1729"/>
        <v>1 - 10 MW</v>
      </c>
      <c r="E4798" s="321"/>
      <c r="F4798" s="472">
        <f t="shared" si="1726"/>
        <v>12.08</v>
      </c>
      <c r="G4798" s="549">
        <v>12.08</v>
      </c>
      <c r="H4798" s="323">
        <f t="shared" si="1724"/>
        <v>9.66</v>
      </c>
      <c r="I4798" s="727"/>
      <c r="J4798" s="669" t="s">
        <v>5805</v>
      </c>
      <c r="K4798" s="15"/>
      <c r="M4798" s="331"/>
      <c r="N4798" s="328"/>
      <c r="U4798" s="12"/>
      <c r="V4798" s="12"/>
      <c r="W4798" s="12"/>
      <c r="X4798" s="12"/>
    </row>
    <row r="4799" spans="1:27" x14ac:dyDescent="0.25">
      <c r="A4799" s="254"/>
      <c r="D4799" s="130"/>
      <c r="G4799" s="537"/>
      <c r="H4799" s="15" t="str">
        <f t="shared" si="1724"/>
        <v/>
      </c>
      <c r="J4799" s="669" t="s">
        <v>4180</v>
      </c>
      <c r="K4799" s="15"/>
      <c r="M4799">
        <v>2013</v>
      </c>
      <c r="O4799" s="137" t="s">
        <v>3902</v>
      </c>
      <c r="P4799" s="12" t="s">
        <v>3903</v>
      </c>
      <c r="Q4799" s="12" t="s">
        <v>3919</v>
      </c>
      <c r="R4799" s="12" t="s">
        <v>3920</v>
      </c>
      <c r="S4799" s="12" t="s">
        <v>3921</v>
      </c>
      <c r="T4799" s="12" t="s">
        <v>3922</v>
      </c>
    </row>
    <row r="4800" spans="1:27" x14ac:dyDescent="0.25">
      <c r="A4800" s="615" t="s">
        <v>4650</v>
      </c>
      <c r="B4800" s="372" t="s">
        <v>5435</v>
      </c>
      <c r="C4800" s="375" t="str">
        <f t="shared" ref="C4800:C4847" si="1730">"Inbetriebnahme "&amp;TEXT(DATEVALUE(RIGHT(A4800,5)),"MM/JJJJ")</f>
        <v>Inbetriebnahme 01/2013</v>
      </c>
      <c r="D4800" s="372" t="str">
        <f>$Q$4799</f>
        <v>0 - 10 kW</v>
      </c>
      <c r="E4800" s="372"/>
      <c r="F4800" s="449">
        <f t="shared" ref="F4800:F4847" si="1731">IF(HLOOKUP(D4800,$Q$4799:$T$4811,MATCH(RIGHT($A4800,5),$O$4799:$O$4811,0),FALSE)&lt;&gt;"",ROUND(HLOOKUP(D4800,$Q$4799:$T$4811,MATCH(RIGHT($A4800,5),$O$4799:$O$4811,0),FALSE),2),"")</f>
        <v>17.02</v>
      </c>
      <c r="G4800" s="525">
        <v>17.02</v>
      </c>
      <c r="H4800" s="374">
        <f t="shared" si="1724"/>
        <v>13.62</v>
      </c>
      <c r="I4800" s="699"/>
      <c r="J4800" s="669" t="s">
        <v>5805</v>
      </c>
      <c r="K4800" s="15"/>
      <c r="O4800" s="325" t="s">
        <v>4662</v>
      </c>
      <c r="P4800" s="344">
        <v>2.5000000000000001E-2</v>
      </c>
      <c r="Q4800" s="327">
        <f>IF($P4800&lt;&gt;"",Q4771*(100%-$P4800),"")</f>
        <v>17.016084205549994</v>
      </c>
      <c r="R4800" s="327">
        <f>IF($P4800&lt;&gt;"",R4771*(100%-$P4800),"")</f>
        <v>16.143464502701271</v>
      </c>
      <c r="S4800" s="327">
        <f>IF($P4800&lt;&gt;"",S4771*(100%-$P4800),"")</f>
        <v>14.398225097003836</v>
      </c>
      <c r="T4800" s="327">
        <f>IF($P4800&lt;&gt;"",T4771*(100%-$P4800),"")</f>
        <v>11.780365988457685</v>
      </c>
    </row>
    <row r="4801" spans="1:27" x14ac:dyDescent="0.25">
      <c r="A4801" s="615" t="str">
        <f>"SgK3221--"&amp;RIGHT(A4800,5)</f>
        <v>SgK3221--Jan13</v>
      </c>
      <c r="B4801" s="372" t="s">
        <v>5435</v>
      </c>
      <c r="C4801" s="375" t="str">
        <f t="shared" si="1730"/>
        <v>Inbetriebnahme 01/2013</v>
      </c>
      <c r="D4801" s="372" t="str">
        <f>$R$4799</f>
        <v>10 - 40 kW</v>
      </c>
      <c r="E4801" s="372"/>
      <c r="F4801" s="449">
        <f t="shared" si="1731"/>
        <v>16.14</v>
      </c>
      <c r="G4801" s="525">
        <v>16.14</v>
      </c>
      <c r="H4801" s="374">
        <f t="shared" si="1724"/>
        <v>12.91</v>
      </c>
      <c r="I4801" s="699"/>
      <c r="J4801" s="669" t="s">
        <v>5805</v>
      </c>
      <c r="K4801" s="15"/>
      <c r="O4801" s="333" t="str">
        <f t="shared" ref="O4801:O4811" si="1732">TEXT(DATE(YEAR(DATEVALUE(O4800)),MONTH(DATEVALUE(O4800))+1,1),"MMMJJ")</f>
        <v>Feb13</v>
      </c>
      <c r="P4801" s="344">
        <v>2.1999999999999999E-2</v>
      </c>
      <c r="Q4801" s="327">
        <f t="shared" ref="Q4801:Q4811" si="1733">IF($P4801&lt;&gt;"",Q4800*(100%-$P4801),"")</f>
        <v>16.641730353027892</v>
      </c>
      <c r="R4801" s="327">
        <f t="shared" ref="R4801:R4811" si="1734">IF($P4801&lt;&gt;"",R4800*(100%-$P4801),"")</f>
        <v>15.788308283641843</v>
      </c>
      <c r="S4801" s="327">
        <f t="shared" ref="S4801:S4811" si="1735">IF($P4801&lt;&gt;"",S4800*(100%-$P4801),"")</f>
        <v>14.081464144869752</v>
      </c>
      <c r="T4801" s="327">
        <f t="shared" ref="T4801:T4811" si="1736">IF($P4801&lt;&gt;"",T4800*(100%-$P4801),"")</f>
        <v>11.521197936711616</v>
      </c>
    </row>
    <row r="4802" spans="1:27" x14ac:dyDescent="0.25">
      <c r="A4802" s="615" t="str">
        <f>"SgK3222--"&amp;RIGHT(A4801,5)</f>
        <v>SgK3222--Jan13</v>
      </c>
      <c r="B4802" s="372" t="s">
        <v>5435</v>
      </c>
      <c r="C4802" s="375" t="str">
        <f t="shared" si="1730"/>
        <v>Inbetriebnahme 01/2013</v>
      </c>
      <c r="D4802" s="372" t="str">
        <f>$S$4799</f>
        <v>40 kW - 1 MW</v>
      </c>
      <c r="E4802" s="372"/>
      <c r="F4802" s="449">
        <f t="shared" si="1731"/>
        <v>14.4</v>
      </c>
      <c r="G4802" s="525">
        <v>14.4</v>
      </c>
      <c r="H4802" s="374">
        <f t="shared" si="1724"/>
        <v>11.52</v>
      </c>
      <c r="I4802" s="699"/>
      <c r="J4802" s="669" t="s">
        <v>5805</v>
      </c>
      <c r="K4802" s="15"/>
      <c r="O4802" s="333" t="str">
        <f t="shared" si="1732"/>
        <v>Mrz13</v>
      </c>
      <c r="P4802" s="344">
        <v>2.1999999999999999E-2</v>
      </c>
      <c r="Q4802" s="327">
        <f t="shared" si="1733"/>
        <v>16.275612285261278</v>
      </c>
      <c r="R4802" s="327">
        <f t="shared" si="1734"/>
        <v>15.440965501401722</v>
      </c>
      <c r="S4802" s="327">
        <f t="shared" si="1735"/>
        <v>13.771671933682617</v>
      </c>
      <c r="T4802" s="327">
        <f t="shared" si="1736"/>
        <v>11.267731582103959</v>
      </c>
    </row>
    <row r="4803" spans="1:27" x14ac:dyDescent="0.25">
      <c r="A4803" s="615" t="str">
        <f>"SgK3223--"&amp;RIGHT(A4802,5)</f>
        <v>SgK3223--Jan13</v>
      </c>
      <c r="B4803" s="372" t="s">
        <v>5435</v>
      </c>
      <c r="C4803" s="375" t="str">
        <f t="shared" si="1730"/>
        <v>Inbetriebnahme 01/2013</v>
      </c>
      <c r="D4803" s="372" t="str">
        <f>$T$4799</f>
        <v>1 - 10 MW</v>
      </c>
      <c r="E4803" s="372"/>
      <c r="F4803" s="449">
        <f t="shared" si="1731"/>
        <v>11.78</v>
      </c>
      <c r="G4803" s="525">
        <v>11.78</v>
      </c>
      <c r="H4803" s="374">
        <f t="shared" si="1724"/>
        <v>9.42</v>
      </c>
      <c r="I4803" s="699"/>
      <c r="J4803" s="669" t="s">
        <v>5805</v>
      </c>
      <c r="K4803" s="15"/>
      <c r="O4803" s="333" t="str">
        <f t="shared" si="1732"/>
        <v>Apr13</v>
      </c>
      <c r="P4803" s="344">
        <v>2.1999999999999999E-2</v>
      </c>
      <c r="Q4803" s="327">
        <f t="shared" si="1733"/>
        <v>15.91754881498553</v>
      </c>
      <c r="R4803" s="327">
        <f t="shared" si="1734"/>
        <v>15.101264260370884</v>
      </c>
      <c r="S4803" s="327">
        <f t="shared" si="1735"/>
        <v>13.468695151141599</v>
      </c>
      <c r="T4803" s="327">
        <f t="shared" si="1736"/>
        <v>11.019841487297672</v>
      </c>
    </row>
    <row r="4804" spans="1:27" x14ac:dyDescent="0.25">
      <c r="A4804" s="615" t="s">
        <v>4651</v>
      </c>
      <c r="B4804" s="372" t="s">
        <v>5435</v>
      </c>
      <c r="C4804" s="375" t="str">
        <f t="shared" si="1730"/>
        <v>Inbetriebnahme 02/2013</v>
      </c>
      <c r="D4804" s="372" t="str">
        <f>$Q$4799</f>
        <v>0 - 10 kW</v>
      </c>
      <c r="E4804" s="372"/>
      <c r="F4804" s="449">
        <f t="shared" si="1731"/>
        <v>16.64</v>
      </c>
      <c r="G4804" s="525">
        <v>16.64</v>
      </c>
      <c r="H4804" s="374">
        <f t="shared" si="1724"/>
        <v>13.31</v>
      </c>
      <c r="I4804" s="699"/>
      <c r="J4804" s="669" t="s">
        <v>5805</v>
      </c>
      <c r="K4804" s="15"/>
      <c r="O4804" s="333" t="str">
        <f t="shared" si="1732"/>
        <v>Mai13</v>
      </c>
      <c r="P4804" s="344">
        <v>1.7999999999999999E-2</v>
      </c>
      <c r="Q4804" s="327">
        <f t="shared" si="1733"/>
        <v>15.63103293631579</v>
      </c>
      <c r="R4804" s="327">
        <f t="shared" si="1734"/>
        <v>14.829441503684208</v>
      </c>
      <c r="S4804" s="327">
        <f t="shared" si="1735"/>
        <v>13.226258638421051</v>
      </c>
      <c r="T4804" s="327">
        <f t="shared" si="1736"/>
        <v>10.821484340526315</v>
      </c>
    </row>
    <row r="4805" spans="1:27" x14ac:dyDescent="0.25">
      <c r="A4805" s="615" t="str">
        <f>"SgK3221--"&amp;RIGHT(A4804,5)</f>
        <v>SgK3221--Feb13</v>
      </c>
      <c r="B4805" s="372" t="s">
        <v>5435</v>
      </c>
      <c r="C4805" s="375" t="str">
        <f t="shared" si="1730"/>
        <v>Inbetriebnahme 02/2013</v>
      </c>
      <c r="D4805" s="372" t="str">
        <f>$R$4799</f>
        <v>10 - 40 kW</v>
      </c>
      <c r="E4805" s="372"/>
      <c r="F4805" s="449">
        <f t="shared" si="1731"/>
        <v>15.79</v>
      </c>
      <c r="G4805" s="525">
        <v>15.79</v>
      </c>
      <c r="H4805" s="374">
        <f t="shared" si="1724"/>
        <v>12.63</v>
      </c>
      <c r="I4805" s="699"/>
      <c r="J4805" s="669" t="s">
        <v>5805</v>
      </c>
      <c r="K4805" s="15"/>
      <c r="O4805" s="333" t="str">
        <f t="shared" si="1732"/>
        <v>Jun13</v>
      </c>
      <c r="P4805" s="344">
        <v>1.7999999999999999E-2</v>
      </c>
      <c r="Q4805" s="327">
        <f t="shared" si="1733"/>
        <v>15.349674343462105</v>
      </c>
      <c r="R4805" s="327">
        <f t="shared" si="1734"/>
        <v>14.562511556617892</v>
      </c>
      <c r="S4805" s="327">
        <f t="shared" si="1735"/>
        <v>12.988185982929471</v>
      </c>
      <c r="T4805" s="327">
        <f t="shared" si="1736"/>
        <v>10.62669762239684</v>
      </c>
    </row>
    <row r="4806" spans="1:27" x14ac:dyDescent="0.25">
      <c r="A4806" s="615" t="str">
        <f>"SgK3222--"&amp;RIGHT(A4805,5)</f>
        <v>SgK3222--Feb13</v>
      </c>
      <c r="B4806" s="372" t="s">
        <v>5435</v>
      </c>
      <c r="C4806" s="375" t="str">
        <f t="shared" si="1730"/>
        <v>Inbetriebnahme 02/2013</v>
      </c>
      <c r="D4806" s="372" t="str">
        <f>$S$4799</f>
        <v>40 kW - 1 MW</v>
      </c>
      <c r="E4806" s="372"/>
      <c r="F4806" s="449">
        <f t="shared" si="1731"/>
        <v>14.08</v>
      </c>
      <c r="G4806" s="525">
        <v>14.08</v>
      </c>
      <c r="H4806" s="374">
        <f t="shared" si="1724"/>
        <v>11.26</v>
      </c>
      <c r="I4806" s="699"/>
      <c r="J4806" s="669" t="s">
        <v>5805</v>
      </c>
      <c r="K4806" s="15"/>
      <c r="O4806" s="333" t="str">
        <f t="shared" si="1732"/>
        <v>Jul13</v>
      </c>
      <c r="P4806" s="344">
        <v>1.7999999999999999E-2</v>
      </c>
      <c r="Q4806" s="327">
        <f t="shared" si="1733"/>
        <v>15.073380205279786</v>
      </c>
      <c r="R4806" s="327">
        <f t="shared" si="1734"/>
        <v>14.300386348598769</v>
      </c>
      <c r="S4806" s="327">
        <f t="shared" si="1735"/>
        <v>12.75439863523674</v>
      </c>
      <c r="T4806" s="327">
        <f t="shared" si="1736"/>
        <v>10.435417065193697</v>
      </c>
    </row>
    <row r="4807" spans="1:27" x14ac:dyDescent="0.25">
      <c r="A4807" s="615" t="str">
        <f>"SgK3223--"&amp;RIGHT(A4806,5)</f>
        <v>SgK3223--Feb13</v>
      </c>
      <c r="B4807" s="372" t="s">
        <v>5435</v>
      </c>
      <c r="C4807" s="375" t="str">
        <f t="shared" si="1730"/>
        <v>Inbetriebnahme 02/2013</v>
      </c>
      <c r="D4807" s="372" t="str">
        <f>$T$4799</f>
        <v>1 - 10 MW</v>
      </c>
      <c r="E4807" s="372"/>
      <c r="F4807" s="449">
        <f t="shared" si="1731"/>
        <v>11.52</v>
      </c>
      <c r="G4807" s="525">
        <v>11.52</v>
      </c>
      <c r="H4807" s="374">
        <f t="shared" si="1724"/>
        <v>9.2200000000000006</v>
      </c>
      <c r="I4807" s="699"/>
      <c r="J4807" s="669" t="s">
        <v>5805</v>
      </c>
      <c r="K4807" s="15"/>
      <c r="O4807" s="333" t="str">
        <f t="shared" si="1732"/>
        <v>Aug13</v>
      </c>
      <c r="P4807" s="344">
        <v>1.7999999999999999E-2</v>
      </c>
      <c r="Q4807" s="327">
        <f t="shared" si="1733"/>
        <v>14.80205936158475</v>
      </c>
      <c r="R4807" s="327">
        <f t="shared" si="1734"/>
        <v>14.042979394323991</v>
      </c>
      <c r="S4807" s="327">
        <f t="shared" si="1735"/>
        <v>12.524819459802478</v>
      </c>
      <c r="T4807" s="327">
        <f t="shared" si="1736"/>
        <v>10.24757955802021</v>
      </c>
    </row>
    <row r="4808" spans="1:27" x14ac:dyDescent="0.25">
      <c r="A4808" s="615" t="s">
        <v>4652</v>
      </c>
      <c r="B4808" s="372" t="s">
        <v>5435</v>
      </c>
      <c r="C4808" s="375" t="str">
        <f t="shared" si="1730"/>
        <v>Inbetriebnahme 03/2013</v>
      </c>
      <c r="D4808" s="372" t="str">
        <f>$Q$4799</f>
        <v>0 - 10 kW</v>
      </c>
      <c r="E4808" s="372"/>
      <c r="F4808" s="449">
        <f t="shared" si="1731"/>
        <v>16.28</v>
      </c>
      <c r="G4808" s="525">
        <v>16.28</v>
      </c>
      <c r="H4808" s="374">
        <f t="shared" si="1724"/>
        <v>13.02</v>
      </c>
      <c r="I4808" s="699"/>
      <c r="J4808" s="669" t="s">
        <v>5805</v>
      </c>
      <c r="K4808" s="15"/>
      <c r="O4808" s="333" t="str">
        <f t="shared" si="1732"/>
        <v>Sep13</v>
      </c>
      <c r="P4808" s="344">
        <v>1.7999999999999999E-2</v>
      </c>
      <c r="Q4808" s="327">
        <f t="shared" si="1733"/>
        <v>14.535622293076225</v>
      </c>
      <c r="R4808" s="327">
        <f t="shared" si="1734"/>
        <v>13.790205765226158</v>
      </c>
      <c r="S4808" s="327">
        <f t="shared" si="1735"/>
        <v>12.299372709526033</v>
      </c>
      <c r="T4808" s="327">
        <f t="shared" si="1736"/>
        <v>10.063123125975846</v>
      </c>
    </row>
    <row r="4809" spans="1:27" x14ac:dyDescent="0.25">
      <c r="A4809" s="615" t="str">
        <f>"SgK3221--"&amp;RIGHT(A4808,5)</f>
        <v>SgK3221--Mrz13</v>
      </c>
      <c r="B4809" s="372" t="s">
        <v>5435</v>
      </c>
      <c r="C4809" s="375" t="str">
        <f t="shared" si="1730"/>
        <v>Inbetriebnahme 03/2013</v>
      </c>
      <c r="D4809" s="372" t="str">
        <f>$R$4799</f>
        <v>10 - 40 kW</v>
      </c>
      <c r="E4809" s="372"/>
      <c r="F4809" s="449">
        <f t="shared" si="1731"/>
        <v>15.44</v>
      </c>
      <c r="G4809" s="525">
        <v>15.44</v>
      </c>
      <c r="H4809" s="374">
        <f t="shared" si="1724"/>
        <v>12.35</v>
      </c>
      <c r="I4809" s="699"/>
      <c r="J4809" s="669" t="s">
        <v>5805</v>
      </c>
      <c r="K4809" s="15"/>
      <c r="O4809" s="333" t="str">
        <f t="shared" si="1732"/>
        <v>Okt13</v>
      </c>
      <c r="P4809" s="344">
        <v>1.7999999999999999E-2</v>
      </c>
      <c r="Q4809" s="327">
        <f t="shared" si="1733"/>
        <v>14.273981091800852</v>
      </c>
      <c r="R4809" s="327">
        <f t="shared" si="1734"/>
        <v>13.541982061452087</v>
      </c>
      <c r="S4809" s="327">
        <f t="shared" si="1735"/>
        <v>12.077984000754563</v>
      </c>
      <c r="T4809" s="327">
        <f t="shared" si="1736"/>
        <v>9.8819869097082798</v>
      </c>
    </row>
    <row r="4810" spans="1:27" x14ac:dyDescent="0.25">
      <c r="A4810" s="615" t="str">
        <f>"SgK3222--"&amp;RIGHT(A4809,5)</f>
        <v>SgK3222--Mrz13</v>
      </c>
      <c r="B4810" s="372" t="s">
        <v>5435</v>
      </c>
      <c r="C4810" s="375" t="str">
        <f t="shared" si="1730"/>
        <v>Inbetriebnahme 03/2013</v>
      </c>
      <c r="D4810" s="372" t="str">
        <f>$S$4799</f>
        <v>40 kW - 1 MW</v>
      </c>
      <c r="E4810" s="372"/>
      <c r="F4810" s="449">
        <f t="shared" si="1731"/>
        <v>13.77</v>
      </c>
      <c r="G4810" s="525">
        <v>13.77</v>
      </c>
      <c r="H4810" s="374">
        <f t="shared" si="1724"/>
        <v>11.02</v>
      </c>
      <c r="I4810" s="699"/>
      <c r="J4810" s="669" t="s">
        <v>5805</v>
      </c>
      <c r="K4810" s="15"/>
      <c r="O4810" s="333" t="str">
        <f t="shared" si="1732"/>
        <v>Nov13</v>
      </c>
      <c r="P4810" s="344">
        <v>1.4E-2</v>
      </c>
      <c r="Q4810" s="327">
        <f t="shared" si="1733"/>
        <v>14.07414535651564</v>
      </c>
      <c r="R4810" s="327">
        <f t="shared" si="1734"/>
        <v>13.352394312591757</v>
      </c>
      <c r="S4810" s="327">
        <f t="shared" si="1735"/>
        <v>11.908892224743999</v>
      </c>
      <c r="T4810" s="327">
        <f t="shared" si="1736"/>
        <v>9.743639092972364</v>
      </c>
    </row>
    <row r="4811" spans="1:27" x14ac:dyDescent="0.25">
      <c r="A4811" s="615" t="str">
        <f>"SgK3223--"&amp;RIGHT(A4810,5)</f>
        <v>SgK3223--Mrz13</v>
      </c>
      <c r="B4811" s="372" t="s">
        <v>5435</v>
      </c>
      <c r="C4811" s="375" t="str">
        <f t="shared" si="1730"/>
        <v>Inbetriebnahme 03/2013</v>
      </c>
      <c r="D4811" s="372" t="str">
        <f>$T$4799</f>
        <v>1 - 10 MW</v>
      </c>
      <c r="E4811" s="372"/>
      <c r="F4811" s="449">
        <f t="shared" si="1731"/>
        <v>11.27</v>
      </c>
      <c r="G4811" s="525">
        <v>11.27</v>
      </c>
      <c r="H4811" s="374">
        <f t="shared" si="1724"/>
        <v>9.02</v>
      </c>
      <c r="I4811" s="699"/>
      <c r="J4811" s="669" t="s">
        <v>5805</v>
      </c>
      <c r="K4811" s="15"/>
      <c r="O4811" s="333" t="str">
        <f t="shared" si="1732"/>
        <v>Dez13</v>
      </c>
      <c r="P4811" s="344">
        <v>1.4E-2</v>
      </c>
      <c r="Q4811" s="327">
        <f t="shared" si="1733"/>
        <v>13.87710732152442</v>
      </c>
      <c r="R4811" s="327">
        <f t="shared" si="1734"/>
        <v>13.165460792215473</v>
      </c>
      <c r="S4811" s="327">
        <f t="shared" si="1735"/>
        <v>11.742167733597583</v>
      </c>
      <c r="T4811" s="327">
        <f t="shared" si="1736"/>
        <v>9.6072281456707511</v>
      </c>
      <c r="Y4811" s="12"/>
      <c r="Z4811" s="12"/>
      <c r="AA4811" s="12"/>
    </row>
    <row r="4812" spans="1:27" x14ac:dyDescent="0.25">
      <c r="A4812" s="615" t="s">
        <v>4653</v>
      </c>
      <c r="B4812" s="372" t="s">
        <v>5435</v>
      </c>
      <c r="C4812" s="375" t="str">
        <f t="shared" si="1730"/>
        <v>Inbetriebnahme 04/2013</v>
      </c>
      <c r="D4812" s="372" t="str">
        <f>$Q$4799</f>
        <v>0 - 10 kW</v>
      </c>
      <c r="E4812" s="372"/>
      <c r="F4812" s="449">
        <f t="shared" si="1731"/>
        <v>15.92</v>
      </c>
      <c r="G4812" s="525">
        <v>15.92</v>
      </c>
      <c r="H4812" s="374">
        <f t="shared" si="1724"/>
        <v>12.74</v>
      </c>
      <c r="I4812" s="699"/>
      <c r="J4812" s="669" t="s">
        <v>5805</v>
      </c>
      <c r="K4812" s="15"/>
      <c r="M4812" s="329"/>
      <c r="N4812" s="281"/>
      <c r="O4812" s="325"/>
      <c r="P4812" s="326"/>
      <c r="Q4812" s="327"/>
      <c r="R4812" s="327"/>
      <c r="S4812" s="327"/>
      <c r="T4812" s="327"/>
      <c r="U4812" s="332"/>
      <c r="V4812" s="12"/>
      <c r="X4812" s="12"/>
      <c r="Y4812" s="12"/>
      <c r="Z4812" s="12"/>
      <c r="AA4812" s="12"/>
    </row>
    <row r="4813" spans="1:27" x14ac:dyDescent="0.25">
      <c r="A4813" s="615" t="str">
        <f>"SgK3221--"&amp;RIGHT(A4812,5)</f>
        <v>SgK3221--Apr13</v>
      </c>
      <c r="B4813" s="372" t="s">
        <v>5435</v>
      </c>
      <c r="C4813" s="375" t="str">
        <f t="shared" si="1730"/>
        <v>Inbetriebnahme 04/2013</v>
      </c>
      <c r="D4813" s="372" t="str">
        <f>$R$4799</f>
        <v>10 - 40 kW</v>
      </c>
      <c r="E4813" s="372"/>
      <c r="F4813" s="449">
        <f t="shared" si="1731"/>
        <v>15.1</v>
      </c>
      <c r="G4813" s="525">
        <v>15.1</v>
      </c>
      <c r="H4813" s="374">
        <f t="shared" si="1724"/>
        <v>12.08</v>
      </c>
      <c r="I4813" s="699"/>
      <c r="J4813" s="669" t="s">
        <v>5805</v>
      </c>
      <c r="K4813" s="15"/>
      <c r="M4813" s="329"/>
      <c r="N4813" s="281"/>
      <c r="O4813" s="333"/>
      <c r="P4813" s="326"/>
      <c r="Q4813" s="327"/>
      <c r="R4813" s="327"/>
      <c r="S4813" s="327"/>
      <c r="T4813" s="327"/>
      <c r="V4813" s="12"/>
      <c r="W4813" s="12"/>
      <c r="X4813" s="12"/>
      <c r="Y4813" s="12"/>
      <c r="Z4813" s="12"/>
      <c r="AA4813" s="12"/>
    </row>
    <row r="4814" spans="1:27" x14ac:dyDescent="0.25">
      <c r="A4814" s="615" t="str">
        <f>"SgK3222--"&amp;RIGHT(A4813,5)</f>
        <v>SgK3222--Apr13</v>
      </c>
      <c r="B4814" s="372" t="s">
        <v>5435</v>
      </c>
      <c r="C4814" s="375" t="str">
        <f t="shared" si="1730"/>
        <v>Inbetriebnahme 04/2013</v>
      </c>
      <c r="D4814" s="372" t="str">
        <f>$S$4799</f>
        <v>40 kW - 1 MW</v>
      </c>
      <c r="E4814" s="372"/>
      <c r="F4814" s="449">
        <f t="shared" si="1731"/>
        <v>13.47</v>
      </c>
      <c r="G4814" s="525">
        <v>13.47</v>
      </c>
      <c r="H4814" s="374">
        <f t="shared" si="1724"/>
        <v>10.78</v>
      </c>
      <c r="I4814" s="699"/>
      <c r="J4814" s="669" t="s">
        <v>5805</v>
      </c>
      <c r="K4814" s="15"/>
      <c r="M4814" s="329"/>
      <c r="N4814" s="281"/>
      <c r="O4814" s="333"/>
      <c r="P4814" s="326"/>
      <c r="Q4814" s="327"/>
      <c r="R4814" s="327"/>
      <c r="S4814" s="327"/>
      <c r="T4814" s="327"/>
      <c r="V4814" s="12"/>
      <c r="W4814" s="12"/>
      <c r="X4814" s="12"/>
      <c r="Y4814" s="12"/>
      <c r="Z4814" s="12"/>
      <c r="AA4814" s="12"/>
    </row>
    <row r="4815" spans="1:27" x14ac:dyDescent="0.25">
      <c r="A4815" s="615" t="str">
        <f>"SgK3223--"&amp;RIGHT(A4814,5)</f>
        <v>SgK3223--Apr13</v>
      </c>
      <c r="B4815" s="372" t="s">
        <v>5435</v>
      </c>
      <c r="C4815" s="375" t="str">
        <f t="shared" si="1730"/>
        <v>Inbetriebnahme 04/2013</v>
      </c>
      <c r="D4815" s="372" t="str">
        <f>$T$4799</f>
        <v>1 - 10 MW</v>
      </c>
      <c r="E4815" s="372"/>
      <c r="F4815" s="449">
        <f t="shared" si="1731"/>
        <v>11.02</v>
      </c>
      <c r="G4815" s="525">
        <v>11.02</v>
      </c>
      <c r="H4815" s="374">
        <f t="shared" si="1724"/>
        <v>8.82</v>
      </c>
      <c r="I4815" s="699"/>
      <c r="J4815" s="669" t="s">
        <v>5805</v>
      </c>
      <c r="K4815" s="15"/>
      <c r="L4815" s="173"/>
      <c r="M4815" s="330"/>
      <c r="N4815" s="281"/>
      <c r="O4815" s="333"/>
      <c r="P4815" s="326"/>
      <c r="Q4815" s="327"/>
      <c r="R4815" s="327"/>
      <c r="S4815" s="327"/>
      <c r="T4815" s="327"/>
      <c r="V4815" s="12"/>
      <c r="W4815" s="12"/>
      <c r="X4815" s="12"/>
      <c r="Y4815" s="12"/>
      <c r="Z4815" s="12"/>
      <c r="AA4815" s="12"/>
    </row>
    <row r="4816" spans="1:27" x14ac:dyDescent="0.25">
      <c r="A4816" s="615" t="s">
        <v>4654</v>
      </c>
      <c r="B4816" s="372" t="s">
        <v>5435</v>
      </c>
      <c r="C4816" s="375" t="str">
        <f t="shared" si="1730"/>
        <v>Inbetriebnahme 05/2013</v>
      </c>
      <c r="D4816" s="372" t="str">
        <f>$Q$4799</f>
        <v>0 - 10 kW</v>
      </c>
      <c r="E4816" s="372"/>
      <c r="F4816" s="449">
        <f t="shared" si="1731"/>
        <v>15.63</v>
      </c>
      <c r="G4816" s="525">
        <v>15.63</v>
      </c>
      <c r="H4816" s="374">
        <f t="shared" si="1724"/>
        <v>12.5</v>
      </c>
      <c r="I4816" s="699"/>
      <c r="J4816" s="669" t="s">
        <v>5805</v>
      </c>
      <c r="K4816" s="15"/>
      <c r="L4816" s="129"/>
      <c r="M4816" s="331"/>
      <c r="N4816" s="281"/>
      <c r="O4816" s="333"/>
      <c r="P4816" s="326"/>
      <c r="Q4816" s="327"/>
      <c r="R4816" s="327"/>
      <c r="S4816" s="327"/>
      <c r="T4816" s="327"/>
      <c r="V4816" s="12"/>
      <c r="W4816" s="12"/>
      <c r="X4816" s="12"/>
      <c r="Y4816" s="12"/>
      <c r="Z4816" s="12"/>
      <c r="AA4816" s="12"/>
    </row>
    <row r="4817" spans="1:27" x14ac:dyDescent="0.25">
      <c r="A4817" s="615" t="str">
        <f>"SgK3221--"&amp;RIGHT(A4816,5)</f>
        <v>SgK3221--Mai13</v>
      </c>
      <c r="B4817" s="372" t="s">
        <v>5435</v>
      </c>
      <c r="C4817" s="375" t="str">
        <f t="shared" si="1730"/>
        <v>Inbetriebnahme 05/2013</v>
      </c>
      <c r="D4817" s="372" t="str">
        <f>$R$4799</f>
        <v>10 - 40 kW</v>
      </c>
      <c r="E4817" s="372"/>
      <c r="F4817" s="449">
        <f t="shared" si="1731"/>
        <v>14.83</v>
      </c>
      <c r="G4817" s="525">
        <v>14.83</v>
      </c>
      <c r="H4817" s="374">
        <f t="shared" si="1724"/>
        <v>11.86</v>
      </c>
      <c r="I4817" s="699"/>
      <c r="J4817" s="669" t="s">
        <v>5805</v>
      </c>
      <c r="K4817" s="15"/>
      <c r="L4817" s="173"/>
      <c r="M4817" s="331"/>
      <c r="N4817" s="281"/>
      <c r="O4817" s="333"/>
      <c r="P4817" s="326"/>
      <c r="Q4817" s="327"/>
      <c r="R4817" s="327"/>
      <c r="S4817" s="327"/>
      <c r="T4817" s="327"/>
      <c r="V4817" s="174"/>
      <c r="W4817" s="175"/>
      <c r="X4817" s="174"/>
      <c r="Y4817" s="12"/>
      <c r="Z4817" s="12"/>
      <c r="AA4817" s="12"/>
    </row>
    <row r="4818" spans="1:27" x14ac:dyDescent="0.25">
      <c r="A4818" s="615" t="str">
        <f>"SgK3222--"&amp;RIGHT(A4817,5)</f>
        <v>SgK3222--Mai13</v>
      </c>
      <c r="B4818" s="372" t="s">
        <v>5435</v>
      </c>
      <c r="C4818" s="375" t="str">
        <f t="shared" si="1730"/>
        <v>Inbetriebnahme 05/2013</v>
      </c>
      <c r="D4818" s="372" t="str">
        <f>$S$4799</f>
        <v>40 kW - 1 MW</v>
      </c>
      <c r="E4818" s="372"/>
      <c r="F4818" s="449">
        <f t="shared" si="1731"/>
        <v>13.23</v>
      </c>
      <c r="G4818" s="525">
        <v>13.23</v>
      </c>
      <c r="H4818" s="374">
        <f t="shared" si="1724"/>
        <v>10.58</v>
      </c>
      <c r="I4818" s="699"/>
      <c r="J4818" s="669" t="s">
        <v>5805</v>
      </c>
      <c r="K4818" s="15"/>
      <c r="L4818" s="173"/>
      <c r="M4818" s="331"/>
      <c r="N4818" s="281"/>
      <c r="O4818" s="333"/>
      <c r="P4818" s="326"/>
      <c r="Q4818" s="327"/>
      <c r="R4818" s="327"/>
      <c r="S4818" s="327"/>
      <c r="T4818" s="327"/>
      <c r="V4818" s="174"/>
      <c r="W4818" s="175"/>
      <c r="X4818" s="174"/>
      <c r="Y4818" s="12"/>
      <c r="Z4818" s="12"/>
      <c r="AA4818" s="12"/>
    </row>
    <row r="4819" spans="1:27" x14ac:dyDescent="0.25">
      <c r="A4819" s="615" t="str">
        <f>"SgK3223--"&amp;RIGHT(A4818,5)</f>
        <v>SgK3223--Mai13</v>
      </c>
      <c r="B4819" s="372" t="s">
        <v>5435</v>
      </c>
      <c r="C4819" s="375" t="str">
        <f t="shared" si="1730"/>
        <v>Inbetriebnahme 05/2013</v>
      </c>
      <c r="D4819" s="372" t="str">
        <f>$T$4799</f>
        <v>1 - 10 MW</v>
      </c>
      <c r="E4819" s="372"/>
      <c r="F4819" s="449">
        <f t="shared" si="1731"/>
        <v>10.82</v>
      </c>
      <c r="G4819" s="525">
        <v>10.82</v>
      </c>
      <c r="H4819" s="374">
        <f t="shared" si="1724"/>
        <v>8.66</v>
      </c>
      <c r="I4819" s="699"/>
      <c r="J4819" s="669" t="s">
        <v>5805</v>
      </c>
      <c r="K4819" s="15"/>
      <c r="L4819" s="173"/>
      <c r="M4819" s="331"/>
      <c r="N4819" s="281"/>
      <c r="O4819" s="333"/>
      <c r="P4819" s="344"/>
      <c r="Q4819" s="327"/>
      <c r="R4819" s="327"/>
      <c r="S4819" s="327"/>
      <c r="T4819" s="327"/>
      <c r="V4819" s="12"/>
      <c r="W4819" s="12"/>
      <c r="X4819" s="12"/>
      <c r="Y4819" s="12"/>
      <c r="Z4819" s="12"/>
      <c r="AA4819" s="12"/>
    </row>
    <row r="4820" spans="1:27" x14ac:dyDescent="0.25">
      <c r="A4820" s="615" t="s">
        <v>4655</v>
      </c>
      <c r="B4820" s="372" t="s">
        <v>5435</v>
      </c>
      <c r="C4820" s="375" t="str">
        <f t="shared" si="1730"/>
        <v>Inbetriebnahme 06/2013</v>
      </c>
      <c r="D4820" s="372" t="str">
        <f>$Q$4799</f>
        <v>0 - 10 kW</v>
      </c>
      <c r="E4820" s="372"/>
      <c r="F4820" s="449">
        <f t="shared" si="1731"/>
        <v>15.35</v>
      </c>
      <c r="G4820" s="525">
        <v>15.35</v>
      </c>
      <c r="H4820" s="374">
        <f t="shared" si="1724"/>
        <v>12.28</v>
      </c>
      <c r="I4820" s="699"/>
      <c r="J4820" s="669" t="s">
        <v>5805</v>
      </c>
      <c r="K4820" s="15"/>
      <c r="L4820" s="173"/>
      <c r="M4820" s="331"/>
      <c r="N4820" s="281"/>
      <c r="O4820" s="333"/>
      <c r="P4820" s="344"/>
      <c r="Q4820" s="327"/>
      <c r="R4820" s="327"/>
      <c r="S4820" s="327"/>
      <c r="T4820" s="327"/>
      <c r="V4820" s="174"/>
      <c r="W4820" s="175"/>
      <c r="X4820" s="174"/>
      <c r="Y4820" s="12"/>
      <c r="Z4820" s="12"/>
      <c r="AA4820" s="12"/>
    </row>
    <row r="4821" spans="1:27" x14ac:dyDescent="0.25">
      <c r="A4821" s="615" t="str">
        <f>"SgK3221--"&amp;RIGHT(A4820,5)</f>
        <v>SgK3221--Jun13</v>
      </c>
      <c r="B4821" s="372" t="s">
        <v>5435</v>
      </c>
      <c r="C4821" s="375" t="str">
        <f t="shared" si="1730"/>
        <v>Inbetriebnahme 06/2013</v>
      </c>
      <c r="D4821" s="372" t="str">
        <f>$R$4799</f>
        <v>10 - 40 kW</v>
      </c>
      <c r="E4821" s="372"/>
      <c r="F4821" s="449">
        <f t="shared" si="1731"/>
        <v>14.56</v>
      </c>
      <c r="G4821" s="525">
        <v>14.56</v>
      </c>
      <c r="H4821" s="374">
        <f t="shared" si="1724"/>
        <v>11.65</v>
      </c>
      <c r="I4821" s="699"/>
      <c r="J4821" s="669" t="s">
        <v>5805</v>
      </c>
      <c r="K4821" s="15"/>
      <c r="L4821" s="173"/>
      <c r="M4821" s="331"/>
      <c r="N4821" s="281"/>
      <c r="O4821" s="325"/>
      <c r="P4821" s="12"/>
      <c r="Q4821" s="12"/>
      <c r="R4821" s="12"/>
      <c r="S4821" s="12"/>
      <c r="T4821" s="12"/>
      <c r="V4821" s="174"/>
      <c r="W4821" s="175"/>
      <c r="X4821" s="174"/>
      <c r="Y4821" s="12"/>
      <c r="Z4821" s="12"/>
      <c r="AA4821" s="12"/>
    </row>
    <row r="4822" spans="1:27" x14ac:dyDescent="0.25">
      <c r="A4822" s="615" t="str">
        <f>"SgK3222--"&amp;RIGHT(A4821,5)</f>
        <v>SgK3222--Jun13</v>
      </c>
      <c r="B4822" s="372" t="s">
        <v>5435</v>
      </c>
      <c r="C4822" s="375" t="str">
        <f t="shared" si="1730"/>
        <v>Inbetriebnahme 06/2013</v>
      </c>
      <c r="D4822" s="372" t="str">
        <f>$S$4799</f>
        <v>40 kW - 1 MW</v>
      </c>
      <c r="E4822" s="372"/>
      <c r="F4822" s="449">
        <f t="shared" si="1731"/>
        <v>12.99</v>
      </c>
      <c r="G4822" s="525">
        <v>12.99</v>
      </c>
      <c r="H4822" s="374">
        <f t="shared" si="1724"/>
        <v>10.39</v>
      </c>
      <c r="I4822" s="699"/>
      <c r="J4822" s="669" t="s">
        <v>5805</v>
      </c>
      <c r="K4822" s="15"/>
      <c r="L4822" s="173"/>
      <c r="M4822" s="331"/>
      <c r="O4822" s="325"/>
      <c r="P4822" s="12"/>
      <c r="Q4822" s="12"/>
      <c r="R4822" s="12"/>
      <c r="S4822" s="12"/>
      <c r="T4822" s="12"/>
      <c r="V4822" s="174"/>
      <c r="W4822" s="175"/>
      <c r="X4822" s="174"/>
      <c r="Y4822" s="12"/>
      <c r="Z4822" s="12"/>
      <c r="AA4822" s="12"/>
    </row>
    <row r="4823" spans="1:27" x14ac:dyDescent="0.25">
      <c r="A4823" s="615" t="str">
        <f>"SgK3223--"&amp;RIGHT(A4822,5)</f>
        <v>SgK3223--Jun13</v>
      </c>
      <c r="B4823" s="372" t="s">
        <v>5435</v>
      </c>
      <c r="C4823" s="375" t="str">
        <f t="shared" si="1730"/>
        <v>Inbetriebnahme 06/2013</v>
      </c>
      <c r="D4823" s="372" t="str">
        <f>$T$4799</f>
        <v>1 - 10 MW</v>
      </c>
      <c r="E4823" s="372"/>
      <c r="F4823" s="449">
        <f t="shared" si="1731"/>
        <v>10.63</v>
      </c>
      <c r="G4823" s="525">
        <v>10.63</v>
      </c>
      <c r="H4823" s="374">
        <f t="shared" si="1724"/>
        <v>8.5</v>
      </c>
      <c r="I4823" s="699"/>
      <c r="J4823" s="669" t="s">
        <v>5805</v>
      </c>
      <c r="K4823" s="15"/>
      <c r="L4823" s="173"/>
      <c r="M4823" s="331"/>
      <c r="O4823" s="325"/>
      <c r="P4823" s="12"/>
      <c r="Q4823" s="12"/>
      <c r="R4823" s="12"/>
      <c r="S4823" s="12"/>
      <c r="T4823" s="12"/>
      <c r="U4823" s="12"/>
      <c r="V4823" s="174"/>
      <c r="W4823" s="175"/>
      <c r="X4823" s="174"/>
      <c r="Y4823" s="12"/>
      <c r="Z4823" s="12"/>
      <c r="AA4823" s="12"/>
    </row>
    <row r="4824" spans="1:27" x14ac:dyDescent="0.25">
      <c r="A4824" s="615" t="s">
        <v>4656</v>
      </c>
      <c r="B4824" s="372" t="s">
        <v>5435</v>
      </c>
      <c r="C4824" s="375" t="str">
        <f t="shared" si="1730"/>
        <v>Inbetriebnahme 07/2013</v>
      </c>
      <c r="D4824" s="372" t="str">
        <f>$Q$4799</f>
        <v>0 - 10 kW</v>
      </c>
      <c r="E4824" s="372"/>
      <c r="F4824" s="449">
        <f t="shared" si="1731"/>
        <v>15.07</v>
      </c>
      <c r="G4824" s="525">
        <v>15.07</v>
      </c>
      <c r="H4824" s="374">
        <f t="shared" si="1724"/>
        <v>12.06</v>
      </c>
      <c r="I4824" s="699"/>
      <c r="J4824" s="669" t="s">
        <v>5805</v>
      </c>
      <c r="K4824" s="15"/>
      <c r="L4824" s="173"/>
      <c r="M4824" s="331"/>
      <c r="O4824" s="325"/>
      <c r="P4824" s="12"/>
      <c r="Q4824" s="12"/>
      <c r="R4824" s="12"/>
      <c r="S4824" s="12"/>
      <c r="T4824" s="12"/>
      <c r="U4824" s="12"/>
      <c r="V4824" s="174"/>
      <c r="W4824" s="175"/>
      <c r="X4824" s="174"/>
      <c r="Y4824" s="12"/>
      <c r="Z4824" s="12"/>
      <c r="AA4824" s="12"/>
    </row>
    <row r="4825" spans="1:27" x14ac:dyDescent="0.25">
      <c r="A4825" s="615" t="str">
        <f>"SgK3221--"&amp;RIGHT(A4824,5)</f>
        <v>SgK3221--Jul13</v>
      </c>
      <c r="B4825" s="372" t="s">
        <v>5435</v>
      </c>
      <c r="C4825" s="375" t="str">
        <f t="shared" si="1730"/>
        <v>Inbetriebnahme 07/2013</v>
      </c>
      <c r="D4825" s="372" t="str">
        <f>$R$4799</f>
        <v>10 - 40 kW</v>
      </c>
      <c r="E4825" s="372"/>
      <c r="F4825" s="449">
        <f t="shared" si="1731"/>
        <v>14.3</v>
      </c>
      <c r="G4825" s="525">
        <v>14.3</v>
      </c>
      <c r="H4825" s="374">
        <f t="shared" si="1724"/>
        <v>11.44</v>
      </c>
      <c r="I4825" s="699"/>
      <c r="J4825" s="669" t="s">
        <v>5805</v>
      </c>
      <c r="K4825" s="15"/>
      <c r="L4825" s="173"/>
      <c r="M4825" s="331"/>
      <c r="O4825" s="325"/>
      <c r="P4825" s="12"/>
      <c r="Q4825" s="12"/>
      <c r="R4825" s="12"/>
      <c r="S4825" s="12"/>
      <c r="T4825" s="12"/>
      <c r="U4825" s="12"/>
      <c r="V4825" s="174"/>
      <c r="W4825" s="175"/>
      <c r="X4825" s="174"/>
      <c r="Y4825" s="12"/>
      <c r="Z4825" s="12"/>
      <c r="AA4825" s="12"/>
    </row>
    <row r="4826" spans="1:27" x14ac:dyDescent="0.25">
      <c r="A4826" s="615" t="str">
        <f>"SgK3222--"&amp;RIGHT(A4825,5)</f>
        <v>SgK3222--Jul13</v>
      </c>
      <c r="B4826" s="372" t="s">
        <v>5435</v>
      </c>
      <c r="C4826" s="375" t="str">
        <f t="shared" si="1730"/>
        <v>Inbetriebnahme 07/2013</v>
      </c>
      <c r="D4826" s="372" t="str">
        <f>$S$4799</f>
        <v>40 kW - 1 MW</v>
      </c>
      <c r="E4826" s="372"/>
      <c r="F4826" s="449">
        <f t="shared" si="1731"/>
        <v>12.75</v>
      </c>
      <c r="G4826" s="525">
        <v>12.75</v>
      </c>
      <c r="H4826" s="374">
        <f t="shared" ref="H4826:H4889" si="1737">IF(ISNUMBER(G4826),ROUND(0.8*G4826,2),"")</f>
        <v>10.199999999999999</v>
      </c>
      <c r="I4826" s="699"/>
      <c r="J4826" s="669" t="s">
        <v>5805</v>
      </c>
      <c r="K4826" s="15"/>
      <c r="L4826" s="173"/>
      <c r="M4826" s="331"/>
      <c r="O4826" s="325"/>
      <c r="P4826" s="12"/>
      <c r="Q4826" s="12"/>
      <c r="R4826" s="12"/>
      <c r="S4826" s="12"/>
      <c r="T4826" s="12"/>
      <c r="U4826" s="12"/>
      <c r="V4826" s="174"/>
      <c r="W4826" s="175"/>
      <c r="X4826" s="174"/>
      <c r="Y4826" s="12"/>
      <c r="Z4826" s="12"/>
      <c r="AA4826" s="12"/>
    </row>
    <row r="4827" spans="1:27" x14ac:dyDescent="0.25">
      <c r="A4827" s="615" t="str">
        <f>"SgK3223--"&amp;RIGHT(A4826,5)</f>
        <v>SgK3223--Jul13</v>
      </c>
      <c r="B4827" s="372" t="s">
        <v>5435</v>
      </c>
      <c r="C4827" s="375" t="str">
        <f t="shared" si="1730"/>
        <v>Inbetriebnahme 07/2013</v>
      </c>
      <c r="D4827" s="372" t="str">
        <f>$T$4799</f>
        <v>1 - 10 MW</v>
      </c>
      <c r="E4827" s="372"/>
      <c r="F4827" s="449">
        <f t="shared" si="1731"/>
        <v>10.44</v>
      </c>
      <c r="G4827" s="525">
        <v>10.44</v>
      </c>
      <c r="H4827" s="374">
        <f t="shared" si="1737"/>
        <v>8.35</v>
      </c>
      <c r="I4827" s="699"/>
      <c r="J4827" s="669" t="s">
        <v>5805</v>
      </c>
      <c r="K4827" s="15"/>
      <c r="L4827" s="173"/>
      <c r="M4827" s="331"/>
      <c r="O4827" s="325"/>
      <c r="P4827" s="12"/>
      <c r="Q4827" s="12"/>
      <c r="R4827" s="12"/>
      <c r="S4827" s="12"/>
      <c r="T4827" s="12"/>
      <c r="U4827" s="12"/>
      <c r="V4827" s="174"/>
      <c r="W4827" s="175"/>
      <c r="X4827" s="174"/>
      <c r="Y4827" s="12"/>
      <c r="Z4827" s="12"/>
      <c r="AA4827" s="12"/>
    </row>
    <row r="4828" spans="1:27" x14ac:dyDescent="0.25">
      <c r="A4828" s="615" t="s">
        <v>4657</v>
      </c>
      <c r="B4828" s="372" t="s">
        <v>5435</v>
      </c>
      <c r="C4828" s="375" t="str">
        <f t="shared" si="1730"/>
        <v>Inbetriebnahme 08/2013</v>
      </c>
      <c r="D4828" s="372" t="str">
        <f>$Q$4799</f>
        <v>0 - 10 kW</v>
      </c>
      <c r="E4828" s="372"/>
      <c r="F4828" s="449">
        <f t="shared" si="1731"/>
        <v>14.8</v>
      </c>
      <c r="G4828" s="525">
        <v>14.8</v>
      </c>
      <c r="H4828" s="374">
        <f t="shared" si="1737"/>
        <v>11.84</v>
      </c>
      <c r="I4828" s="699"/>
      <c r="J4828" s="669" t="s">
        <v>5805</v>
      </c>
      <c r="K4828" s="15"/>
      <c r="L4828" s="173"/>
      <c r="M4828" s="331"/>
      <c r="O4828" s="325"/>
      <c r="P4828" s="12"/>
      <c r="Q4828" s="12"/>
      <c r="R4828" s="12"/>
      <c r="S4828" s="12"/>
      <c r="T4828" s="12"/>
      <c r="U4828" s="12"/>
      <c r="V4828" s="174"/>
      <c r="W4828" s="175"/>
      <c r="X4828" s="174"/>
      <c r="Y4828" s="12"/>
      <c r="Z4828" s="12"/>
      <c r="AA4828" s="12"/>
    </row>
    <row r="4829" spans="1:27" x14ac:dyDescent="0.25">
      <c r="A4829" s="615" t="str">
        <f>"SgK3221--"&amp;RIGHT(A4828,5)</f>
        <v>SgK3221--Aug13</v>
      </c>
      <c r="B4829" s="372" t="s">
        <v>5435</v>
      </c>
      <c r="C4829" s="375" t="str">
        <f t="shared" si="1730"/>
        <v>Inbetriebnahme 08/2013</v>
      </c>
      <c r="D4829" s="372" t="str">
        <f>$R$4799</f>
        <v>10 - 40 kW</v>
      </c>
      <c r="E4829" s="372"/>
      <c r="F4829" s="449">
        <f t="shared" si="1731"/>
        <v>14.04</v>
      </c>
      <c r="G4829" s="525">
        <v>14.04</v>
      </c>
      <c r="H4829" s="374">
        <f t="shared" si="1737"/>
        <v>11.23</v>
      </c>
      <c r="I4829" s="699"/>
      <c r="J4829" s="669" t="s">
        <v>5805</v>
      </c>
      <c r="K4829" s="15"/>
      <c r="L4829" s="173"/>
      <c r="M4829" s="331"/>
      <c r="O4829" s="325"/>
      <c r="P4829" s="12"/>
      <c r="Q4829" s="12"/>
      <c r="R4829" s="12"/>
      <c r="S4829" s="12"/>
      <c r="T4829" s="12"/>
      <c r="U4829" s="12"/>
      <c r="V4829" s="174"/>
      <c r="W4829" s="175"/>
      <c r="X4829" s="174"/>
      <c r="Y4829" s="12"/>
      <c r="Z4829" s="12"/>
      <c r="AA4829" s="12"/>
    </row>
    <row r="4830" spans="1:27" x14ac:dyDescent="0.25">
      <c r="A4830" s="615" t="str">
        <f>"SgK3222--"&amp;RIGHT(A4829,5)</f>
        <v>SgK3222--Aug13</v>
      </c>
      <c r="B4830" s="372" t="s">
        <v>5435</v>
      </c>
      <c r="C4830" s="375" t="str">
        <f t="shared" si="1730"/>
        <v>Inbetriebnahme 08/2013</v>
      </c>
      <c r="D4830" s="372" t="str">
        <f>$S$4799</f>
        <v>40 kW - 1 MW</v>
      </c>
      <c r="E4830" s="372"/>
      <c r="F4830" s="449">
        <f t="shared" si="1731"/>
        <v>12.52</v>
      </c>
      <c r="G4830" s="525">
        <v>12.52</v>
      </c>
      <c r="H4830" s="374">
        <f t="shared" si="1737"/>
        <v>10.02</v>
      </c>
      <c r="I4830" s="699"/>
      <c r="J4830" s="669" t="s">
        <v>5805</v>
      </c>
      <c r="K4830" s="15"/>
      <c r="L4830" s="173"/>
      <c r="M4830" s="334"/>
      <c r="O4830" s="333"/>
      <c r="P4830" s="12"/>
      <c r="Q4830" s="12"/>
      <c r="R4830" s="12"/>
      <c r="S4830" s="12"/>
      <c r="T4830" s="12"/>
      <c r="U4830" s="12"/>
      <c r="V4830" s="174"/>
      <c r="W4830" s="175"/>
      <c r="X4830" s="174"/>
      <c r="Y4830" s="12"/>
      <c r="Z4830" s="12"/>
      <c r="AA4830" s="12"/>
    </row>
    <row r="4831" spans="1:27" x14ac:dyDescent="0.25">
      <c r="A4831" s="615" t="str">
        <f>"SgK3223--"&amp;RIGHT(A4830,5)</f>
        <v>SgK3223--Aug13</v>
      </c>
      <c r="B4831" s="372" t="s">
        <v>5435</v>
      </c>
      <c r="C4831" s="375" t="str">
        <f t="shared" si="1730"/>
        <v>Inbetriebnahme 08/2013</v>
      </c>
      <c r="D4831" s="372" t="str">
        <f>$T$4799</f>
        <v>1 - 10 MW</v>
      </c>
      <c r="E4831" s="372"/>
      <c r="F4831" s="449">
        <f t="shared" si="1731"/>
        <v>10.25</v>
      </c>
      <c r="G4831" s="525">
        <v>10.25</v>
      </c>
      <c r="H4831" s="374">
        <f t="shared" si="1737"/>
        <v>8.1999999999999993</v>
      </c>
      <c r="I4831" s="699"/>
      <c r="J4831" s="669" t="s">
        <v>5805</v>
      </c>
      <c r="K4831" s="15"/>
      <c r="L4831" s="173"/>
      <c r="M4831" s="331"/>
      <c r="O4831" s="325"/>
      <c r="P4831" s="12"/>
      <c r="Q4831" s="12"/>
      <c r="R4831" s="12"/>
      <c r="S4831" s="12"/>
      <c r="T4831" s="12"/>
      <c r="U4831" s="12"/>
      <c r="V4831" s="174"/>
      <c r="W4831" s="175"/>
      <c r="X4831" s="174"/>
      <c r="Y4831" s="12"/>
      <c r="Z4831" s="12"/>
      <c r="AA4831" s="12"/>
    </row>
    <row r="4832" spans="1:27" x14ac:dyDescent="0.25">
      <c r="A4832" s="615" t="s">
        <v>4658</v>
      </c>
      <c r="B4832" s="372" t="s">
        <v>5435</v>
      </c>
      <c r="C4832" s="375" t="str">
        <f t="shared" si="1730"/>
        <v>Inbetriebnahme 09/2013</v>
      </c>
      <c r="D4832" s="372" t="str">
        <f>$Q$4799</f>
        <v>0 - 10 kW</v>
      </c>
      <c r="E4832" s="372"/>
      <c r="F4832" s="449">
        <f t="shared" si="1731"/>
        <v>14.54</v>
      </c>
      <c r="G4832" s="525">
        <v>14.54</v>
      </c>
      <c r="H4832" s="374">
        <f t="shared" si="1737"/>
        <v>11.63</v>
      </c>
      <c r="I4832" s="699"/>
      <c r="J4832" s="669" t="s">
        <v>5805</v>
      </c>
      <c r="K4832" s="15"/>
      <c r="L4832" s="173"/>
      <c r="M4832" s="331"/>
      <c r="O4832" s="325"/>
      <c r="P4832" s="12"/>
      <c r="Q4832" s="12"/>
      <c r="R4832" s="12"/>
      <c r="S4832" s="12"/>
      <c r="T4832" s="12"/>
      <c r="U4832" s="12"/>
      <c r="V4832" s="174"/>
      <c r="W4832" s="175"/>
      <c r="X4832" s="174"/>
      <c r="Y4832" s="12"/>
      <c r="Z4832" s="12"/>
      <c r="AA4832" s="12"/>
    </row>
    <row r="4833" spans="1:27" x14ac:dyDescent="0.25">
      <c r="A4833" s="615" t="str">
        <f>"SgK3221--"&amp;RIGHT(A4832,5)</f>
        <v>SgK3221--Sep13</v>
      </c>
      <c r="B4833" s="372" t="s">
        <v>5435</v>
      </c>
      <c r="C4833" s="375" t="str">
        <f t="shared" si="1730"/>
        <v>Inbetriebnahme 09/2013</v>
      </c>
      <c r="D4833" s="372" t="str">
        <f>$R$4799</f>
        <v>10 - 40 kW</v>
      </c>
      <c r="E4833" s="372"/>
      <c r="F4833" s="449">
        <f t="shared" si="1731"/>
        <v>13.79</v>
      </c>
      <c r="G4833" s="525">
        <v>13.79</v>
      </c>
      <c r="H4833" s="374">
        <f t="shared" si="1737"/>
        <v>11.03</v>
      </c>
      <c r="I4833" s="699"/>
      <c r="J4833" s="669" t="s">
        <v>5805</v>
      </c>
      <c r="K4833" s="15"/>
      <c r="L4833" s="173"/>
      <c r="M4833" s="331"/>
      <c r="O4833" s="325"/>
      <c r="P4833" s="12"/>
      <c r="Q4833" s="12"/>
      <c r="R4833" s="12"/>
      <c r="S4833" s="12"/>
      <c r="T4833" s="12"/>
      <c r="U4833" s="12"/>
      <c r="V4833" s="174"/>
      <c r="W4833" s="175"/>
      <c r="X4833" s="174"/>
      <c r="Y4833" s="12"/>
      <c r="Z4833" s="12"/>
      <c r="AA4833" s="12"/>
    </row>
    <row r="4834" spans="1:27" x14ac:dyDescent="0.25">
      <c r="A4834" s="615" t="str">
        <f>"SgK3222--"&amp;RIGHT(A4833,5)</f>
        <v>SgK3222--Sep13</v>
      </c>
      <c r="B4834" s="372" t="s">
        <v>5435</v>
      </c>
      <c r="C4834" s="375" t="str">
        <f t="shared" si="1730"/>
        <v>Inbetriebnahme 09/2013</v>
      </c>
      <c r="D4834" s="372" t="str">
        <f>$S$4799</f>
        <v>40 kW - 1 MW</v>
      </c>
      <c r="E4834" s="372"/>
      <c r="F4834" s="449">
        <f t="shared" si="1731"/>
        <v>12.3</v>
      </c>
      <c r="G4834" s="525">
        <v>12.3</v>
      </c>
      <c r="H4834" s="374">
        <f t="shared" si="1737"/>
        <v>9.84</v>
      </c>
      <c r="I4834" s="699"/>
      <c r="J4834" s="669" t="s">
        <v>5805</v>
      </c>
      <c r="K4834" s="15"/>
      <c r="L4834" s="129"/>
      <c r="M4834" s="331"/>
      <c r="O4834" s="325"/>
      <c r="P4834" s="12"/>
      <c r="Q4834" s="12"/>
      <c r="R4834" s="12"/>
      <c r="S4834" s="12"/>
      <c r="T4834" s="12"/>
      <c r="U4834" s="12"/>
      <c r="V4834" s="174"/>
      <c r="W4834" s="175"/>
      <c r="X4834" s="174"/>
      <c r="Y4834" s="12"/>
      <c r="Z4834" s="12"/>
      <c r="AA4834" s="12"/>
    </row>
    <row r="4835" spans="1:27" x14ac:dyDescent="0.25">
      <c r="A4835" s="615" t="str">
        <f>"SgK3223--"&amp;RIGHT(A4834,5)</f>
        <v>SgK3223--Sep13</v>
      </c>
      <c r="B4835" s="372" t="s">
        <v>5435</v>
      </c>
      <c r="C4835" s="375" t="str">
        <f t="shared" si="1730"/>
        <v>Inbetriebnahme 09/2013</v>
      </c>
      <c r="D4835" s="372" t="str">
        <f>$T$4799</f>
        <v>1 - 10 MW</v>
      </c>
      <c r="E4835" s="372"/>
      <c r="F4835" s="449">
        <f t="shared" si="1731"/>
        <v>10.06</v>
      </c>
      <c r="G4835" s="525">
        <v>10.06</v>
      </c>
      <c r="H4835" s="374">
        <f t="shared" si="1737"/>
        <v>8.0500000000000007</v>
      </c>
      <c r="I4835" s="699"/>
      <c r="J4835" s="669" t="s">
        <v>5805</v>
      </c>
      <c r="K4835" s="15"/>
      <c r="L4835" s="173"/>
      <c r="M4835" s="331"/>
      <c r="O4835" s="325"/>
      <c r="P4835" s="12"/>
      <c r="Q4835" s="12"/>
      <c r="R4835" s="12"/>
      <c r="S4835" s="12"/>
      <c r="T4835" s="12"/>
      <c r="U4835" s="12"/>
      <c r="V4835" s="174"/>
      <c r="W4835" s="175"/>
      <c r="X4835" s="174"/>
      <c r="Y4835" s="12"/>
      <c r="Z4835" s="12"/>
      <c r="AA4835" s="12"/>
    </row>
    <row r="4836" spans="1:27" x14ac:dyDescent="0.25">
      <c r="A4836" s="615" t="s">
        <v>4659</v>
      </c>
      <c r="B4836" s="372" t="s">
        <v>5435</v>
      </c>
      <c r="C4836" s="375" t="str">
        <f t="shared" si="1730"/>
        <v>Inbetriebnahme 10/2013</v>
      </c>
      <c r="D4836" s="372" t="str">
        <f>$Q$4799</f>
        <v>0 - 10 kW</v>
      </c>
      <c r="E4836" s="372"/>
      <c r="F4836" s="449">
        <f t="shared" si="1731"/>
        <v>14.27</v>
      </c>
      <c r="G4836" s="525">
        <v>14.27</v>
      </c>
      <c r="H4836" s="374">
        <f t="shared" si="1737"/>
        <v>11.42</v>
      </c>
      <c r="I4836" s="699"/>
      <c r="J4836" s="669" t="s">
        <v>5805</v>
      </c>
      <c r="K4836" s="15"/>
      <c r="L4836" s="129"/>
      <c r="M4836" s="331"/>
      <c r="O4836" s="325"/>
      <c r="P4836" s="12"/>
      <c r="Q4836" s="12"/>
      <c r="R4836" s="12"/>
      <c r="S4836" s="12"/>
      <c r="T4836" s="12"/>
      <c r="U4836" s="12"/>
      <c r="V4836" s="174"/>
      <c r="W4836" s="175"/>
      <c r="X4836" s="174"/>
      <c r="Y4836" s="12"/>
      <c r="Z4836" s="12"/>
      <c r="AA4836" s="12"/>
    </row>
    <row r="4837" spans="1:27" x14ac:dyDescent="0.25">
      <c r="A4837" s="615" t="str">
        <f>"SgK3221--"&amp;RIGHT(A4836,5)</f>
        <v>SgK3221--Okt13</v>
      </c>
      <c r="B4837" s="372" t="s">
        <v>5435</v>
      </c>
      <c r="C4837" s="375" t="str">
        <f t="shared" si="1730"/>
        <v>Inbetriebnahme 10/2013</v>
      </c>
      <c r="D4837" s="372" t="str">
        <f>$R$4799</f>
        <v>10 - 40 kW</v>
      </c>
      <c r="E4837" s="372"/>
      <c r="F4837" s="449">
        <f t="shared" si="1731"/>
        <v>13.54</v>
      </c>
      <c r="G4837" s="525">
        <v>13.54</v>
      </c>
      <c r="H4837" s="374">
        <f t="shared" si="1737"/>
        <v>10.83</v>
      </c>
      <c r="I4837" s="699"/>
      <c r="J4837" s="669" t="s">
        <v>5805</v>
      </c>
      <c r="K4837" s="15"/>
      <c r="L4837" s="173"/>
      <c r="M4837" s="331"/>
      <c r="O4837" s="325"/>
      <c r="P4837" s="12"/>
      <c r="Q4837" s="12"/>
      <c r="R4837" s="12"/>
      <c r="S4837" s="12"/>
      <c r="T4837" s="12"/>
      <c r="U4837" s="12"/>
      <c r="V4837" s="174"/>
      <c r="W4837" s="175"/>
      <c r="X4837" s="174"/>
      <c r="Y4837" s="12"/>
      <c r="Z4837" s="12"/>
      <c r="AA4837" s="12"/>
    </row>
    <row r="4838" spans="1:27" x14ac:dyDescent="0.25">
      <c r="A4838" s="615" t="str">
        <f>"SgK3222--"&amp;RIGHT(A4837,5)</f>
        <v>SgK3222--Okt13</v>
      </c>
      <c r="B4838" s="372" t="s">
        <v>5435</v>
      </c>
      <c r="C4838" s="375" t="str">
        <f t="shared" si="1730"/>
        <v>Inbetriebnahme 10/2013</v>
      </c>
      <c r="D4838" s="372" t="str">
        <f>$S$4799</f>
        <v>40 kW - 1 MW</v>
      </c>
      <c r="E4838" s="372"/>
      <c r="F4838" s="449">
        <f t="shared" si="1731"/>
        <v>12.08</v>
      </c>
      <c r="G4838" s="525">
        <v>12.08</v>
      </c>
      <c r="H4838" s="374">
        <f t="shared" si="1737"/>
        <v>9.66</v>
      </c>
      <c r="I4838" s="699"/>
      <c r="J4838" s="669" t="s">
        <v>5805</v>
      </c>
      <c r="K4838" s="15"/>
      <c r="L4838" s="173"/>
      <c r="M4838" s="331"/>
      <c r="O4838" s="325"/>
      <c r="P4838" s="174"/>
      <c r="Q4838" s="12"/>
      <c r="R4838" s="12"/>
      <c r="S4838" s="12"/>
      <c r="T4838" s="12"/>
      <c r="U4838" s="12"/>
      <c r="V4838" s="174"/>
      <c r="W4838" s="175"/>
      <c r="X4838" s="174"/>
      <c r="Y4838" s="12"/>
      <c r="Z4838" s="12"/>
      <c r="AA4838" s="12"/>
    </row>
    <row r="4839" spans="1:27" x14ac:dyDescent="0.25">
      <c r="A4839" s="615" t="str">
        <f>"SgK3223--"&amp;RIGHT(A4838,5)</f>
        <v>SgK3223--Okt13</v>
      </c>
      <c r="B4839" s="372" t="s">
        <v>5435</v>
      </c>
      <c r="C4839" s="375" t="str">
        <f t="shared" si="1730"/>
        <v>Inbetriebnahme 10/2013</v>
      </c>
      <c r="D4839" s="372" t="str">
        <f>$T$4799</f>
        <v>1 - 10 MW</v>
      </c>
      <c r="E4839" s="372"/>
      <c r="F4839" s="449">
        <f t="shared" si="1731"/>
        <v>9.8800000000000008</v>
      </c>
      <c r="G4839" s="525">
        <v>9.8800000000000008</v>
      </c>
      <c r="H4839" s="374">
        <f t="shared" si="1737"/>
        <v>7.9</v>
      </c>
      <c r="I4839" s="699"/>
      <c r="J4839" s="669" t="s">
        <v>5805</v>
      </c>
      <c r="K4839" s="15"/>
      <c r="L4839" s="173"/>
      <c r="M4839" s="331"/>
      <c r="O4839" s="325"/>
      <c r="P4839" s="174"/>
      <c r="Q4839" s="12"/>
      <c r="R4839" s="12"/>
      <c r="S4839" s="12"/>
      <c r="T4839" s="12"/>
      <c r="U4839" s="12"/>
      <c r="V4839" s="174"/>
      <c r="W4839" s="175"/>
      <c r="X4839" s="174"/>
      <c r="Y4839" s="12"/>
      <c r="Z4839" s="12"/>
      <c r="AA4839" s="12"/>
    </row>
    <row r="4840" spans="1:27" x14ac:dyDescent="0.25">
      <c r="A4840" s="615" t="s">
        <v>4660</v>
      </c>
      <c r="B4840" s="372" t="s">
        <v>5435</v>
      </c>
      <c r="C4840" s="375" t="str">
        <f t="shared" si="1730"/>
        <v>Inbetriebnahme 11/2013</v>
      </c>
      <c r="D4840" s="372" t="str">
        <f>$Q$4799</f>
        <v>0 - 10 kW</v>
      </c>
      <c r="E4840" s="372"/>
      <c r="F4840" s="449">
        <f t="shared" si="1731"/>
        <v>14.07</v>
      </c>
      <c r="G4840" s="525">
        <v>14.07</v>
      </c>
      <c r="H4840" s="374">
        <f t="shared" si="1737"/>
        <v>11.26</v>
      </c>
      <c r="I4840" s="699"/>
      <c r="J4840" s="669" t="s">
        <v>5805</v>
      </c>
      <c r="K4840" s="15"/>
      <c r="L4840" s="173"/>
      <c r="M4840" s="413"/>
      <c r="N4840" s="328"/>
      <c r="O4840" s="137"/>
      <c r="P4840" s="174"/>
      <c r="Q4840" s="174"/>
      <c r="R4840" s="174"/>
      <c r="S4840" s="174"/>
      <c r="T4840" s="174"/>
      <c r="U4840" s="12"/>
      <c r="V4840" s="174"/>
      <c r="W4840" s="175"/>
      <c r="X4840" s="174"/>
      <c r="Y4840" s="12"/>
      <c r="Z4840" s="12"/>
      <c r="AA4840" s="12"/>
    </row>
    <row r="4841" spans="1:27" x14ac:dyDescent="0.25">
      <c r="A4841" s="615" t="str">
        <f>"SgK3221--"&amp;RIGHT(A4840,5)</f>
        <v>SgK3221--Nov13</v>
      </c>
      <c r="B4841" s="372" t="s">
        <v>5435</v>
      </c>
      <c r="C4841" s="375" t="str">
        <f t="shared" si="1730"/>
        <v>Inbetriebnahme 11/2013</v>
      </c>
      <c r="D4841" s="372" t="str">
        <f>$R$4799</f>
        <v>10 - 40 kW</v>
      </c>
      <c r="E4841" s="372"/>
      <c r="F4841" s="449">
        <f t="shared" si="1731"/>
        <v>13.35</v>
      </c>
      <c r="G4841" s="525">
        <v>13.35</v>
      </c>
      <c r="H4841" s="374">
        <f t="shared" si="1737"/>
        <v>10.68</v>
      </c>
      <c r="I4841" s="699"/>
      <c r="J4841" s="669" t="s">
        <v>5805</v>
      </c>
      <c r="K4841" s="15"/>
      <c r="L4841" s="129"/>
      <c r="M4841" s="413"/>
      <c r="N4841" s="328"/>
      <c r="O4841" s="325"/>
      <c r="P4841" s="174"/>
      <c r="Q4841" s="12"/>
      <c r="R4841" s="12"/>
      <c r="S4841" s="12"/>
      <c r="T4841" s="12"/>
      <c r="U4841" s="12"/>
      <c r="V4841" s="12"/>
      <c r="W4841" s="12"/>
      <c r="X4841" s="12"/>
      <c r="Y4841" s="12"/>
      <c r="Z4841" s="12"/>
      <c r="AA4841" s="12"/>
    </row>
    <row r="4842" spans="1:27" x14ac:dyDescent="0.25">
      <c r="A4842" s="615" t="str">
        <f>"SgK3222--"&amp;RIGHT(A4841,5)</f>
        <v>SgK3222--Nov13</v>
      </c>
      <c r="B4842" s="372" t="s">
        <v>5435</v>
      </c>
      <c r="C4842" s="375" t="str">
        <f t="shared" si="1730"/>
        <v>Inbetriebnahme 11/2013</v>
      </c>
      <c r="D4842" s="372" t="str">
        <f>$S$4799</f>
        <v>40 kW - 1 MW</v>
      </c>
      <c r="E4842" s="372"/>
      <c r="F4842" s="449">
        <f t="shared" si="1731"/>
        <v>11.91</v>
      </c>
      <c r="G4842" s="525">
        <v>11.91</v>
      </c>
      <c r="H4842" s="374">
        <f t="shared" si="1737"/>
        <v>9.5299999999999994</v>
      </c>
      <c r="I4842" s="699"/>
      <c r="J4842" s="669" t="s">
        <v>5805</v>
      </c>
      <c r="K4842" s="15"/>
      <c r="L4842" s="173"/>
      <c r="M4842" s="413"/>
      <c r="N4842" s="328"/>
      <c r="O4842" s="325"/>
      <c r="P4842" s="174"/>
      <c r="Q4842" s="12"/>
      <c r="R4842" s="12"/>
      <c r="S4842" s="12"/>
      <c r="T4842" s="12"/>
      <c r="U4842" s="174"/>
      <c r="V4842" s="174"/>
      <c r="W4842" s="175"/>
      <c r="X4842" s="174"/>
      <c r="Y4842" s="12"/>
      <c r="Z4842" s="12"/>
      <c r="AA4842" s="12"/>
    </row>
    <row r="4843" spans="1:27" x14ac:dyDescent="0.25">
      <c r="A4843" s="615" t="str">
        <f>"SgK3223--"&amp;RIGHT(A4842,5)</f>
        <v>SgK3223--Nov13</v>
      </c>
      <c r="B4843" s="372" t="s">
        <v>5435</v>
      </c>
      <c r="C4843" s="375" t="str">
        <f t="shared" si="1730"/>
        <v>Inbetriebnahme 11/2013</v>
      </c>
      <c r="D4843" s="372" t="str">
        <f>$T$4799</f>
        <v>1 - 10 MW</v>
      </c>
      <c r="E4843" s="372"/>
      <c r="F4843" s="449">
        <f t="shared" si="1731"/>
        <v>9.74</v>
      </c>
      <c r="G4843" s="525">
        <v>9.74</v>
      </c>
      <c r="H4843" s="374">
        <f t="shared" si="1737"/>
        <v>7.79</v>
      </c>
      <c r="I4843" s="699"/>
      <c r="J4843" s="669" t="s">
        <v>5805</v>
      </c>
      <c r="K4843" s="15"/>
      <c r="L4843" s="173"/>
      <c r="M4843" s="413"/>
      <c r="N4843" s="328"/>
      <c r="O4843" s="137"/>
      <c r="P4843" s="174"/>
      <c r="Q4843" s="174"/>
      <c r="R4843" s="174"/>
      <c r="S4843" s="174"/>
      <c r="T4843" s="174"/>
      <c r="U4843" s="12"/>
      <c r="V4843" s="174"/>
      <c r="W4843" s="175"/>
      <c r="X4843" s="174"/>
      <c r="Y4843" s="12"/>
      <c r="Z4843" s="12"/>
      <c r="AA4843" s="12"/>
    </row>
    <row r="4844" spans="1:27" x14ac:dyDescent="0.25">
      <c r="A4844" s="615" t="s">
        <v>4661</v>
      </c>
      <c r="B4844" s="372" t="s">
        <v>5435</v>
      </c>
      <c r="C4844" s="375" t="str">
        <f t="shared" si="1730"/>
        <v>Inbetriebnahme 12/2013</v>
      </c>
      <c r="D4844" s="372" t="str">
        <f>$Q$4799</f>
        <v>0 - 10 kW</v>
      </c>
      <c r="E4844" s="372"/>
      <c r="F4844" s="449">
        <f t="shared" si="1731"/>
        <v>13.88</v>
      </c>
      <c r="G4844" s="525">
        <v>13.88</v>
      </c>
      <c r="H4844" s="374">
        <f t="shared" si="1737"/>
        <v>11.1</v>
      </c>
      <c r="I4844" s="699"/>
      <c r="J4844" s="669" t="s">
        <v>5805</v>
      </c>
      <c r="K4844" s="15"/>
      <c r="L4844" s="173"/>
      <c r="M4844" s="413"/>
      <c r="N4844" s="328"/>
      <c r="O4844" s="137"/>
      <c r="P4844" s="113"/>
      <c r="Q4844" s="113"/>
      <c r="R4844" s="113"/>
      <c r="S4844" s="113"/>
      <c r="T4844" s="113"/>
      <c r="U4844" s="12"/>
      <c r="V4844" s="12"/>
      <c r="W4844" s="12"/>
      <c r="X4844" s="12"/>
      <c r="Y4844" s="12"/>
      <c r="Z4844" s="12"/>
      <c r="AA4844" s="12"/>
    </row>
    <row r="4845" spans="1:27" x14ac:dyDescent="0.25">
      <c r="A4845" s="615" t="str">
        <f>"SgK3221--"&amp;RIGHT(A4844,5)</f>
        <v>SgK3221--Dez13</v>
      </c>
      <c r="B4845" s="372" t="s">
        <v>5435</v>
      </c>
      <c r="C4845" s="375" t="str">
        <f t="shared" si="1730"/>
        <v>Inbetriebnahme 12/2013</v>
      </c>
      <c r="D4845" s="372" t="str">
        <f>$R$4799</f>
        <v>10 - 40 kW</v>
      </c>
      <c r="E4845" s="372"/>
      <c r="F4845" s="449">
        <f t="shared" si="1731"/>
        <v>13.17</v>
      </c>
      <c r="G4845" s="525">
        <v>13.17</v>
      </c>
      <c r="H4845" s="374">
        <f t="shared" si="1737"/>
        <v>10.54</v>
      </c>
      <c r="I4845" s="699"/>
      <c r="J4845" s="669" t="s">
        <v>5805</v>
      </c>
      <c r="K4845" s="15"/>
      <c r="L4845" s="129"/>
      <c r="M4845" s="413"/>
      <c r="N4845" s="328"/>
      <c r="O4845" s="325"/>
      <c r="P4845" s="174"/>
      <c r="Q4845" s="12"/>
      <c r="R4845" s="12"/>
      <c r="S4845" s="12"/>
      <c r="T4845" s="12"/>
      <c r="U4845" s="174"/>
      <c r="V4845" s="174"/>
      <c r="W4845" s="175"/>
      <c r="X4845" s="174"/>
    </row>
    <row r="4846" spans="1:27" x14ac:dyDescent="0.25">
      <c r="A4846" s="615" t="str">
        <f>"SgK3222--"&amp;RIGHT(A4845,5)</f>
        <v>SgK3222--Dez13</v>
      </c>
      <c r="B4846" s="372" t="s">
        <v>5435</v>
      </c>
      <c r="C4846" s="375" t="str">
        <f t="shared" si="1730"/>
        <v>Inbetriebnahme 12/2013</v>
      </c>
      <c r="D4846" s="372" t="str">
        <f>$S$4799</f>
        <v>40 kW - 1 MW</v>
      </c>
      <c r="E4846" s="372"/>
      <c r="F4846" s="449">
        <f t="shared" si="1731"/>
        <v>11.74</v>
      </c>
      <c r="G4846" s="525">
        <v>11.74</v>
      </c>
      <c r="H4846" s="374">
        <f t="shared" si="1737"/>
        <v>9.39</v>
      </c>
      <c r="I4846" s="699"/>
      <c r="J4846" s="669" t="s">
        <v>5805</v>
      </c>
      <c r="K4846" s="15"/>
      <c r="L4846" s="173"/>
      <c r="M4846" s="413"/>
      <c r="N4846" s="328"/>
      <c r="U4846" s="113"/>
      <c r="V4846" s="113"/>
      <c r="W4846" s="139"/>
      <c r="X4846" s="113"/>
      <c r="Y4846" s="12"/>
      <c r="Z4846" s="12"/>
      <c r="AA4846" s="12"/>
    </row>
    <row r="4847" spans="1:27" x14ac:dyDescent="0.25">
      <c r="A4847" s="615" t="str">
        <f>"SgK3223--"&amp;RIGHT(A4846,5)</f>
        <v>SgK3223--Dez13</v>
      </c>
      <c r="B4847" s="372" t="s">
        <v>5435</v>
      </c>
      <c r="C4847" s="375" t="str">
        <f t="shared" si="1730"/>
        <v>Inbetriebnahme 12/2013</v>
      </c>
      <c r="D4847" s="372" t="str">
        <f>$T$4799</f>
        <v>1 - 10 MW</v>
      </c>
      <c r="E4847" s="372"/>
      <c r="F4847" s="449">
        <f t="shared" si="1731"/>
        <v>9.61</v>
      </c>
      <c r="G4847" s="525">
        <v>9.61</v>
      </c>
      <c r="H4847" s="374">
        <f t="shared" si="1737"/>
        <v>7.69</v>
      </c>
      <c r="I4847" s="699"/>
      <c r="J4847" s="669" t="s">
        <v>5805</v>
      </c>
      <c r="K4847" s="15"/>
      <c r="M4847" s="413"/>
      <c r="N4847" s="328"/>
      <c r="U4847" s="12"/>
      <c r="V4847" s="12"/>
      <c r="W4847" s="12"/>
      <c r="X4847" s="12"/>
    </row>
    <row r="4848" spans="1:27" x14ac:dyDescent="0.25">
      <c r="A4848" s="254"/>
      <c r="D4848" s="130"/>
      <c r="G4848" s="537"/>
      <c r="H4848" s="15" t="str">
        <f t="shared" si="1737"/>
        <v/>
      </c>
      <c r="J4848" s="669" t="s">
        <v>4180</v>
      </c>
      <c r="K4848" s="15"/>
      <c r="M4848">
        <v>2014</v>
      </c>
      <c r="O4848" s="137" t="s">
        <v>3902</v>
      </c>
      <c r="P4848" s="12" t="s">
        <v>3903</v>
      </c>
      <c r="Q4848" s="12" t="s">
        <v>3919</v>
      </c>
      <c r="R4848" s="12" t="s">
        <v>3920</v>
      </c>
      <c r="S4848" s="12" t="s">
        <v>3921</v>
      </c>
      <c r="T4848" s="12" t="s">
        <v>3922</v>
      </c>
    </row>
    <row r="4849" spans="1:20" x14ac:dyDescent="0.25">
      <c r="A4849" s="615" t="s">
        <v>1695</v>
      </c>
      <c r="B4849" s="372" t="s">
        <v>5435</v>
      </c>
      <c r="C4849" s="375" t="str">
        <f t="shared" ref="C4849:C4876" si="1738">"Inbetriebnahme "&amp;TEXT(DATEVALUE(RIGHT(A4849,5)),"MM/JJJJ")</f>
        <v>Inbetriebnahme 01/2014</v>
      </c>
      <c r="D4849" s="372" t="str">
        <f>$Q$4848</f>
        <v>0 - 10 kW</v>
      </c>
      <c r="E4849" s="372"/>
      <c r="F4849" s="449">
        <f t="shared" ref="F4849:F4876" si="1739">IF(HLOOKUP(D4849,$Q$4799:$T$4876,MATCH(RIGHT($A4849,5),$O$4799:$O$4876,0),FALSE)&lt;&gt;"",ROUND(HLOOKUP(D4849,$Q$4799:$T$4876,MATCH(RIGHT($A4849,5),$O$4799:$O$4876,0),FALSE),2),"")</f>
        <v>13.68</v>
      </c>
      <c r="G4849" s="525">
        <v>13.68</v>
      </c>
      <c r="H4849" s="374">
        <f t="shared" si="1737"/>
        <v>10.94</v>
      </c>
      <c r="I4849" s="699"/>
      <c r="J4849" s="669" t="s">
        <v>5805</v>
      </c>
      <c r="K4849" s="15"/>
      <c r="M4849" s="413"/>
      <c r="O4849" s="325" t="s">
        <v>1683</v>
      </c>
      <c r="P4849" s="344">
        <v>1.4E-2</v>
      </c>
      <c r="Q4849" s="327">
        <f>IF($P4849&lt;&gt;"",Q4811*(100%-$P4849),"")</f>
        <v>13.682827819023078</v>
      </c>
      <c r="R4849" s="327">
        <f>IF($P4849&lt;&gt;"",R4811*(100%-$P4849),"")</f>
        <v>12.981144341124457</v>
      </c>
      <c r="S4849" s="327">
        <f>IF($P4849&lt;&gt;"",S4811*(100%-$P4849),"")</f>
        <v>11.577777385327217</v>
      </c>
      <c r="T4849" s="327">
        <f>IF($P4849&lt;&gt;"",T4811*(100%-$P4849),"")</f>
        <v>9.4727269516313601</v>
      </c>
    </row>
    <row r="4850" spans="1:20" x14ac:dyDescent="0.25">
      <c r="A4850" s="615" t="str">
        <f>"SgK3221--"&amp;RIGHT(A4849,5)</f>
        <v>SgK3221--Jan14</v>
      </c>
      <c r="B4850" s="372" t="s">
        <v>5435</v>
      </c>
      <c r="C4850" s="375" t="str">
        <f t="shared" si="1738"/>
        <v>Inbetriebnahme 01/2014</v>
      </c>
      <c r="D4850" s="372" t="str">
        <f>$R$4848</f>
        <v>10 - 40 kW</v>
      </c>
      <c r="E4850" s="372"/>
      <c r="F4850" s="449">
        <f t="shared" si="1739"/>
        <v>12.98</v>
      </c>
      <c r="G4850" s="525">
        <v>12.98</v>
      </c>
      <c r="H4850" s="374">
        <f t="shared" si="1737"/>
        <v>10.38</v>
      </c>
      <c r="I4850" s="699"/>
      <c r="J4850" s="669" t="s">
        <v>5805</v>
      </c>
      <c r="K4850" s="15"/>
      <c r="M4850" s="413"/>
      <c r="O4850" s="333" t="str">
        <f t="shared" ref="O4850:O4860" si="1740">TEXT(DATE(YEAR(DATEVALUE(O4849)),MONTH(DATEVALUE(O4849))+1,1),"MMMJJ")</f>
        <v>Feb14</v>
      </c>
      <c r="P4850" s="344">
        <v>0.01</v>
      </c>
      <c r="Q4850" s="327">
        <f t="shared" ref="Q4850:Q4860" si="1741">IF($P4850&lt;&gt;"",Q4849*(100%-$P4850),"")</f>
        <v>13.545999540832847</v>
      </c>
      <c r="R4850" s="327">
        <f t="shared" ref="R4850:R4860" si="1742">IF($P4850&lt;&gt;"",R4849*(100%-$P4850),"")</f>
        <v>12.851332897713213</v>
      </c>
      <c r="S4850" s="327">
        <f t="shared" ref="S4850:S4860" si="1743">IF($P4850&lt;&gt;"",S4849*(100%-$P4850),"")</f>
        <v>11.461999611473944</v>
      </c>
      <c r="T4850" s="327">
        <f t="shared" ref="T4850:T4860" si="1744">IF($P4850&lt;&gt;"",T4849*(100%-$P4850),"")</f>
        <v>9.3779996821150462</v>
      </c>
    </row>
    <row r="4851" spans="1:20" x14ac:dyDescent="0.25">
      <c r="A4851" s="615" t="str">
        <f>"SgK3222--"&amp;RIGHT(A4850,5)</f>
        <v>SgK3222--Jan14</v>
      </c>
      <c r="B4851" s="372" t="s">
        <v>5435</v>
      </c>
      <c r="C4851" s="375" t="str">
        <f t="shared" si="1738"/>
        <v>Inbetriebnahme 01/2014</v>
      </c>
      <c r="D4851" s="372" t="str">
        <f>$S$4848</f>
        <v>40 kW - 1 MW</v>
      </c>
      <c r="E4851" s="372"/>
      <c r="F4851" s="449">
        <f t="shared" si="1739"/>
        <v>11.58</v>
      </c>
      <c r="G4851" s="525">
        <v>11.58</v>
      </c>
      <c r="H4851" s="374">
        <f t="shared" si="1737"/>
        <v>9.26</v>
      </c>
      <c r="I4851" s="699"/>
      <c r="J4851" s="669" t="s">
        <v>5805</v>
      </c>
      <c r="K4851" s="15"/>
      <c r="M4851" s="413"/>
      <c r="O4851" s="333" t="str">
        <f t="shared" si="1740"/>
        <v>Mrz14</v>
      </c>
      <c r="P4851" s="344">
        <v>0.01</v>
      </c>
      <c r="Q4851" s="327">
        <f t="shared" si="1741"/>
        <v>13.410539545424518</v>
      </c>
      <c r="R4851" s="327">
        <f t="shared" si="1742"/>
        <v>12.722819568736082</v>
      </c>
      <c r="S4851" s="327">
        <f t="shared" si="1743"/>
        <v>11.347379615359204</v>
      </c>
      <c r="T4851" s="327">
        <f t="shared" si="1744"/>
        <v>9.2842196852938965</v>
      </c>
    </row>
    <row r="4852" spans="1:20" x14ac:dyDescent="0.25">
      <c r="A4852" s="615" t="str">
        <f>"SgK3223--"&amp;RIGHT(A4851,5)</f>
        <v>SgK3223--Jan14</v>
      </c>
      <c r="B4852" s="372" t="s">
        <v>5435</v>
      </c>
      <c r="C4852" s="375" t="str">
        <f t="shared" si="1738"/>
        <v>Inbetriebnahme 01/2014</v>
      </c>
      <c r="D4852" s="372" t="str">
        <f>$T$4848</f>
        <v>1 - 10 MW</v>
      </c>
      <c r="E4852" s="372"/>
      <c r="F4852" s="449">
        <f t="shared" si="1739"/>
        <v>9.4700000000000006</v>
      </c>
      <c r="G4852" s="525">
        <v>9.4700000000000006</v>
      </c>
      <c r="H4852" s="374">
        <f t="shared" si="1737"/>
        <v>7.58</v>
      </c>
      <c r="I4852" s="699"/>
      <c r="J4852" s="669" t="s">
        <v>5805</v>
      </c>
      <c r="K4852" s="15"/>
      <c r="M4852" s="413"/>
      <c r="O4852" s="333" t="str">
        <f t="shared" si="1740"/>
        <v>Apr14</v>
      </c>
      <c r="P4852" s="344">
        <v>0.01</v>
      </c>
      <c r="Q4852" s="327">
        <f t="shared" si="1741"/>
        <v>13.276434149970273</v>
      </c>
      <c r="R4852" s="327">
        <f t="shared" si="1742"/>
        <v>12.595591373048721</v>
      </c>
      <c r="S4852" s="327">
        <f t="shared" si="1743"/>
        <v>11.233905819205612</v>
      </c>
      <c r="T4852" s="327">
        <f t="shared" si="1744"/>
        <v>9.191377488440958</v>
      </c>
    </row>
    <row r="4853" spans="1:20" x14ac:dyDescent="0.25">
      <c r="A4853" s="615" t="s">
        <v>1696</v>
      </c>
      <c r="B4853" s="372" t="s">
        <v>5435</v>
      </c>
      <c r="C4853" s="375" t="str">
        <f t="shared" si="1738"/>
        <v>Inbetriebnahme 02/2014</v>
      </c>
      <c r="D4853" s="372" t="str">
        <f>$Q$4848</f>
        <v>0 - 10 kW</v>
      </c>
      <c r="E4853" s="372"/>
      <c r="F4853" s="449">
        <f t="shared" si="1739"/>
        <v>13.55</v>
      </c>
      <c r="G4853" s="525">
        <v>13.55</v>
      </c>
      <c r="H4853" s="374">
        <f t="shared" si="1737"/>
        <v>10.84</v>
      </c>
      <c r="I4853" s="699"/>
      <c r="J4853" s="669" t="s">
        <v>5805</v>
      </c>
      <c r="K4853" s="15"/>
      <c r="M4853" s="413"/>
      <c r="O4853" s="333" t="str">
        <f t="shared" si="1740"/>
        <v>Mai14</v>
      </c>
      <c r="P4853" s="326">
        <v>0.01</v>
      </c>
      <c r="Q4853" s="327">
        <f t="shared" si="1741"/>
        <v>13.14366980847057</v>
      </c>
      <c r="R4853" s="327">
        <f t="shared" si="1742"/>
        <v>12.469635459318233</v>
      </c>
      <c r="S4853" s="327">
        <f t="shared" si="1743"/>
        <v>11.121566761013556</v>
      </c>
      <c r="T4853" s="327">
        <f t="shared" si="1744"/>
        <v>9.099463713556549</v>
      </c>
    </row>
    <row r="4854" spans="1:20" x14ac:dyDescent="0.25">
      <c r="A4854" s="615" t="str">
        <f>"SgK3221--"&amp;RIGHT(A4853,5)</f>
        <v>SgK3221--Feb14</v>
      </c>
      <c r="B4854" s="372" t="s">
        <v>5435</v>
      </c>
      <c r="C4854" s="375" t="str">
        <f t="shared" si="1738"/>
        <v>Inbetriebnahme 02/2014</v>
      </c>
      <c r="D4854" s="372" t="str">
        <f>$R$4848</f>
        <v>10 - 40 kW</v>
      </c>
      <c r="E4854" s="372"/>
      <c r="F4854" s="449">
        <f t="shared" si="1739"/>
        <v>12.85</v>
      </c>
      <c r="G4854" s="525">
        <v>12.85</v>
      </c>
      <c r="H4854" s="374">
        <f t="shared" si="1737"/>
        <v>10.28</v>
      </c>
      <c r="I4854" s="699"/>
      <c r="J4854" s="669" t="s">
        <v>5805</v>
      </c>
      <c r="K4854" s="15"/>
      <c r="M4854" s="413"/>
      <c r="O4854" s="333" t="str">
        <f t="shared" si="1740"/>
        <v>Jun14</v>
      </c>
      <c r="P4854" s="326">
        <v>0.01</v>
      </c>
      <c r="Q4854" s="327">
        <f t="shared" si="1741"/>
        <v>13.012233110385864</v>
      </c>
      <c r="R4854" s="327">
        <f t="shared" si="1742"/>
        <v>12.344939104725052</v>
      </c>
      <c r="S4854" s="327">
        <f t="shared" si="1743"/>
        <v>11.01035109340342</v>
      </c>
      <c r="T4854" s="327">
        <f t="shared" si="1744"/>
        <v>9.0084690764209832</v>
      </c>
    </row>
    <row r="4855" spans="1:20" x14ac:dyDescent="0.25">
      <c r="A4855" s="615" t="str">
        <f>"SgK3222--"&amp;RIGHT(A4854,5)</f>
        <v>SgK3222--Feb14</v>
      </c>
      <c r="B4855" s="372" t="s">
        <v>5435</v>
      </c>
      <c r="C4855" s="375" t="str">
        <f t="shared" si="1738"/>
        <v>Inbetriebnahme 02/2014</v>
      </c>
      <c r="D4855" s="372" t="str">
        <f>$S$4848</f>
        <v>40 kW - 1 MW</v>
      </c>
      <c r="E4855" s="372"/>
      <c r="F4855" s="449">
        <f t="shared" si="1739"/>
        <v>11.46</v>
      </c>
      <c r="G4855" s="525">
        <v>11.46</v>
      </c>
      <c r="H4855" s="374">
        <f t="shared" si="1737"/>
        <v>9.17</v>
      </c>
      <c r="I4855" s="699"/>
      <c r="J4855" s="669" t="s">
        <v>5805</v>
      </c>
      <c r="K4855" s="15"/>
      <c r="M4855" s="413"/>
      <c r="O4855" s="333" t="str">
        <f t="shared" si="1740"/>
        <v>Jul14</v>
      </c>
      <c r="P4855" s="326">
        <v>0.01</v>
      </c>
      <c r="Q4855" s="327">
        <f t="shared" si="1741"/>
        <v>12.882110779282005</v>
      </c>
      <c r="R4855" s="327">
        <f t="shared" si="1742"/>
        <v>12.221489713677801</v>
      </c>
      <c r="S4855" s="327">
        <f t="shared" si="1743"/>
        <v>10.900247582469385</v>
      </c>
      <c r="T4855" s="327">
        <f t="shared" si="1744"/>
        <v>8.9183843856567737</v>
      </c>
    </row>
    <row r="4856" spans="1:20" x14ac:dyDescent="0.25">
      <c r="A4856" s="615" t="str">
        <f>"SgK3223--"&amp;RIGHT(A4855,5)</f>
        <v>SgK3223--Feb14</v>
      </c>
      <c r="B4856" s="372" t="s">
        <v>5435</v>
      </c>
      <c r="C4856" s="375" t="str">
        <f t="shared" si="1738"/>
        <v>Inbetriebnahme 02/2014</v>
      </c>
      <c r="D4856" s="372" t="str">
        <f>$T$4848</f>
        <v>1 - 10 MW</v>
      </c>
      <c r="E4856" s="372"/>
      <c r="F4856" s="449">
        <f t="shared" si="1739"/>
        <v>9.3800000000000008</v>
      </c>
      <c r="G4856" s="525">
        <v>9.3800000000000008</v>
      </c>
      <c r="H4856" s="374">
        <f t="shared" si="1737"/>
        <v>7.5</v>
      </c>
      <c r="I4856" s="699"/>
      <c r="J4856" s="669" t="s">
        <v>5805</v>
      </c>
      <c r="K4856" s="15"/>
      <c r="M4856" s="413"/>
      <c r="O4856" s="333" t="str">
        <f t="shared" si="1740"/>
        <v>Aug14</v>
      </c>
      <c r="P4856" s="326"/>
      <c r="Q4856" s="327" t="str">
        <f t="shared" si="1741"/>
        <v/>
      </c>
      <c r="R4856" s="327" t="str">
        <f t="shared" si="1742"/>
        <v/>
      </c>
      <c r="S4856" s="327" t="str">
        <f t="shared" si="1743"/>
        <v/>
      </c>
      <c r="T4856" s="327" t="str">
        <f t="shared" si="1744"/>
        <v/>
      </c>
    </row>
    <row r="4857" spans="1:20" x14ac:dyDescent="0.25">
      <c r="A4857" s="615" t="s">
        <v>1697</v>
      </c>
      <c r="B4857" s="372" t="s">
        <v>5435</v>
      </c>
      <c r="C4857" s="375" t="str">
        <f t="shared" si="1738"/>
        <v>Inbetriebnahme 03/2014</v>
      </c>
      <c r="D4857" s="372" t="str">
        <f>$Q$4848</f>
        <v>0 - 10 kW</v>
      </c>
      <c r="E4857" s="372"/>
      <c r="F4857" s="449">
        <f t="shared" si="1739"/>
        <v>13.41</v>
      </c>
      <c r="G4857" s="525">
        <v>13.41</v>
      </c>
      <c r="H4857" s="374">
        <f t="shared" si="1737"/>
        <v>10.73</v>
      </c>
      <c r="I4857" s="699"/>
      <c r="J4857" s="669" t="s">
        <v>5805</v>
      </c>
      <c r="K4857" s="15"/>
      <c r="M4857" s="413"/>
      <c r="O4857" s="333" t="str">
        <f t="shared" si="1740"/>
        <v>Sep14</v>
      </c>
      <c r="P4857" s="326"/>
      <c r="Q4857" s="327" t="str">
        <f t="shared" si="1741"/>
        <v/>
      </c>
      <c r="R4857" s="327" t="str">
        <f t="shared" si="1742"/>
        <v/>
      </c>
      <c r="S4857" s="327" t="str">
        <f t="shared" si="1743"/>
        <v/>
      </c>
      <c r="T4857" s="327" t="str">
        <f t="shared" si="1744"/>
        <v/>
      </c>
    </row>
    <row r="4858" spans="1:20" x14ac:dyDescent="0.25">
      <c r="A4858" s="615" t="str">
        <f>"SgK3221--"&amp;RIGHT(A4857,5)</f>
        <v>SgK3221--Mrz14</v>
      </c>
      <c r="B4858" s="372" t="s">
        <v>5435</v>
      </c>
      <c r="C4858" s="375" t="str">
        <f t="shared" si="1738"/>
        <v>Inbetriebnahme 03/2014</v>
      </c>
      <c r="D4858" s="372" t="str">
        <f>$R$4848</f>
        <v>10 - 40 kW</v>
      </c>
      <c r="E4858" s="372"/>
      <c r="F4858" s="449">
        <f t="shared" si="1739"/>
        <v>12.72</v>
      </c>
      <c r="G4858" s="525">
        <v>12.72</v>
      </c>
      <c r="H4858" s="374">
        <f t="shared" si="1737"/>
        <v>10.18</v>
      </c>
      <c r="I4858" s="699"/>
      <c r="J4858" s="669" t="s">
        <v>5805</v>
      </c>
      <c r="K4858" s="15"/>
      <c r="M4858" s="413"/>
      <c r="O4858" s="333" t="str">
        <f t="shared" si="1740"/>
        <v>Okt14</v>
      </c>
      <c r="P4858" s="326"/>
      <c r="Q4858" s="327" t="str">
        <f t="shared" si="1741"/>
        <v/>
      </c>
      <c r="R4858" s="327" t="str">
        <f t="shared" si="1742"/>
        <v/>
      </c>
      <c r="S4858" s="327" t="str">
        <f t="shared" si="1743"/>
        <v/>
      </c>
      <c r="T4858" s="327" t="str">
        <f t="shared" si="1744"/>
        <v/>
      </c>
    </row>
    <row r="4859" spans="1:20" x14ac:dyDescent="0.25">
      <c r="A4859" s="615" t="str">
        <f>"SgK3222--"&amp;RIGHT(A4858,5)</f>
        <v>SgK3222--Mrz14</v>
      </c>
      <c r="B4859" s="372" t="s">
        <v>5435</v>
      </c>
      <c r="C4859" s="375" t="str">
        <f t="shared" si="1738"/>
        <v>Inbetriebnahme 03/2014</v>
      </c>
      <c r="D4859" s="372" t="str">
        <f>$S$4848</f>
        <v>40 kW - 1 MW</v>
      </c>
      <c r="E4859" s="372"/>
      <c r="F4859" s="449">
        <f t="shared" si="1739"/>
        <v>11.35</v>
      </c>
      <c r="G4859" s="525">
        <v>11.35</v>
      </c>
      <c r="H4859" s="374">
        <f t="shared" si="1737"/>
        <v>9.08</v>
      </c>
      <c r="I4859" s="699"/>
      <c r="J4859" s="669" t="s">
        <v>5805</v>
      </c>
      <c r="K4859" s="15"/>
      <c r="M4859" s="413"/>
      <c r="O4859" s="333" t="str">
        <f t="shared" si="1740"/>
        <v>Nov14</v>
      </c>
      <c r="P4859" s="326"/>
      <c r="Q4859" s="327" t="str">
        <f t="shared" si="1741"/>
        <v/>
      </c>
      <c r="R4859" s="327" t="str">
        <f t="shared" si="1742"/>
        <v/>
      </c>
      <c r="S4859" s="327" t="str">
        <f t="shared" si="1743"/>
        <v/>
      </c>
      <c r="T4859" s="327" t="str">
        <f t="shared" si="1744"/>
        <v/>
      </c>
    </row>
    <row r="4860" spans="1:20" x14ac:dyDescent="0.25">
      <c r="A4860" s="615" t="str">
        <f>"SgK3223--"&amp;RIGHT(A4859,5)</f>
        <v>SgK3223--Mrz14</v>
      </c>
      <c r="B4860" s="372" t="s">
        <v>5435</v>
      </c>
      <c r="C4860" s="375" t="str">
        <f t="shared" si="1738"/>
        <v>Inbetriebnahme 03/2014</v>
      </c>
      <c r="D4860" s="372" t="str">
        <f>$T$4848</f>
        <v>1 - 10 MW</v>
      </c>
      <c r="E4860" s="372"/>
      <c r="F4860" s="449">
        <f t="shared" si="1739"/>
        <v>9.2799999999999994</v>
      </c>
      <c r="G4860" s="525">
        <v>9.2799999999999994</v>
      </c>
      <c r="H4860" s="374">
        <f t="shared" si="1737"/>
        <v>7.42</v>
      </c>
      <c r="I4860" s="699"/>
      <c r="J4860" s="669" t="s">
        <v>5805</v>
      </c>
      <c r="K4860" s="15"/>
      <c r="M4860" s="413"/>
      <c r="O4860" s="333" t="str">
        <f t="shared" si="1740"/>
        <v>Dez14</v>
      </c>
      <c r="P4860" s="326"/>
      <c r="Q4860" s="327" t="str">
        <f t="shared" si="1741"/>
        <v/>
      </c>
      <c r="R4860" s="327" t="str">
        <f t="shared" si="1742"/>
        <v/>
      </c>
      <c r="S4860" s="327" t="str">
        <f t="shared" si="1743"/>
        <v/>
      </c>
      <c r="T4860" s="327" t="str">
        <f t="shared" si="1744"/>
        <v/>
      </c>
    </row>
    <row r="4861" spans="1:20" x14ac:dyDescent="0.25">
      <c r="A4861" s="615" t="s">
        <v>1698</v>
      </c>
      <c r="B4861" s="372" t="s">
        <v>5435</v>
      </c>
      <c r="C4861" s="375" t="str">
        <f t="shared" si="1738"/>
        <v>Inbetriebnahme 04/2014</v>
      </c>
      <c r="D4861" s="372" t="str">
        <f>$Q$4848</f>
        <v>0 - 10 kW</v>
      </c>
      <c r="E4861" s="372"/>
      <c r="F4861" s="449">
        <f t="shared" si="1739"/>
        <v>13.28</v>
      </c>
      <c r="G4861" s="525">
        <v>13.28</v>
      </c>
      <c r="H4861" s="374">
        <f t="shared" si="1737"/>
        <v>10.62</v>
      </c>
      <c r="I4861" s="699"/>
      <c r="J4861" s="669" t="s">
        <v>5805</v>
      </c>
      <c r="K4861" s="15"/>
      <c r="M4861" s="413"/>
      <c r="N4861" s="281"/>
      <c r="O4861" s="325"/>
      <c r="P4861" s="326"/>
      <c r="Q4861" s="327"/>
      <c r="R4861" s="327"/>
      <c r="S4861" s="327"/>
      <c r="T4861" s="327"/>
    </row>
    <row r="4862" spans="1:20" x14ac:dyDescent="0.25">
      <c r="A4862" s="615" t="str">
        <f>"SgK3221--"&amp;RIGHT(A4861,5)</f>
        <v>SgK3221--Apr14</v>
      </c>
      <c r="B4862" s="372" t="s">
        <v>5435</v>
      </c>
      <c r="C4862" s="375" t="str">
        <f t="shared" si="1738"/>
        <v>Inbetriebnahme 04/2014</v>
      </c>
      <c r="D4862" s="372" t="str">
        <f>$R$4848</f>
        <v>10 - 40 kW</v>
      </c>
      <c r="E4862" s="372"/>
      <c r="F4862" s="449">
        <f t="shared" si="1739"/>
        <v>12.6</v>
      </c>
      <c r="G4862" s="525">
        <v>12.6</v>
      </c>
      <c r="H4862" s="374">
        <f t="shared" si="1737"/>
        <v>10.08</v>
      </c>
      <c r="I4862" s="699"/>
      <c r="J4862" s="669" t="s">
        <v>5805</v>
      </c>
      <c r="K4862" s="15"/>
      <c r="M4862" s="413"/>
      <c r="N4862" s="281"/>
      <c r="O4862" s="333"/>
      <c r="P4862" s="326"/>
      <c r="Q4862" s="327"/>
      <c r="R4862" s="327"/>
      <c r="S4862" s="327"/>
      <c r="T4862" s="327"/>
    </row>
    <row r="4863" spans="1:20" x14ac:dyDescent="0.25">
      <c r="A4863" s="615" t="str">
        <f>"SgK3222--"&amp;RIGHT(A4862,5)</f>
        <v>SgK3222--Apr14</v>
      </c>
      <c r="B4863" s="372" t="s">
        <v>5435</v>
      </c>
      <c r="C4863" s="375" t="str">
        <f t="shared" si="1738"/>
        <v>Inbetriebnahme 04/2014</v>
      </c>
      <c r="D4863" s="372" t="str">
        <f>$S$4848</f>
        <v>40 kW - 1 MW</v>
      </c>
      <c r="E4863" s="372"/>
      <c r="F4863" s="449">
        <f t="shared" si="1739"/>
        <v>11.23</v>
      </c>
      <c r="G4863" s="525">
        <v>11.23</v>
      </c>
      <c r="H4863" s="374">
        <f t="shared" si="1737"/>
        <v>8.98</v>
      </c>
      <c r="I4863" s="699"/>
      <c r="J4863" s="669" t="s">
        <v>5805</v>
      </c>
      <c r="K4863" s="15"/>
      <c r="M4863" s="413"/>
      <c r="N4863" s="281"/>
      <c r="O4863" s="333"/>
      <c r="P4863" s="326"/>
      <c r="Q4863" s="327"/>
      <c r="R4863" s="327"/>
      <c r="S4863" s="327"/>
      <c r="T4863" s="327"/>
    </row>
    <row r="4864" spans="1:20" x14ac:dyDescent="0.25">
      <c r="A4864" s="615" t="str">
        <f>"SgK3223--"&amp;RIGHT(A4863,5)</f>
        <v>SgK3223--Apr14</v>
      </c>
      <c r="B4864" s="372" t="s">
        <v>5435</v>
      </c>
      <c r="C4864" s="375" t="str">
        <f t="shared" si="1738"/>
        <v>Inbetriebnahme 04/2014</v>
      </c>
      <c r="D4864" s="372" t="str">
        <f>$T$4848</f>
        <v>1 - 10 MW</v>
      </c>
      <c r="E4864" s="372"/>
      <c r="F4864" s="449">
        <f t="shared" si="1739"/>
        <v>9.19</v>
      </c>
      <c r="G4864" s="525">
        <v>9.19</v>
      </c>
      <c r="H4864" s="374">
        <f t="shared" si="1737"/>
        <v>7.35</v>
      </c>
      <c r="I4864" s="699"/>
      <c r="J4864" s="669" t="s">
        <v>5805</v>
      </c>
      <c r="K4864" s="15"/>
      <c r="L4864" s="173"/>
      <c r="M4864" s="413"/>
      <c r="N4864" s="281"/>
      <c r="O4864" s="333"/>
      <c r="P4864" s="326"/>
      <c r="Q4864" s="327"/>
      <c r="R4864" s="327"/>
      <c r="S4864" s="327"/>
      <c r="T4864" s="327"/>
    </row>
    <row r="4865" spans="1:33" x14ac:dyDescent="0.25">
      <c r="A4865" s="615" t="s">
        <v>1699</v>
      </c>
      <c r="B4865" s="372" t="s">
        <v>5435</v>
      </c>
      <c r="C4865" s="375" t="str">
        <f t="shared" si="1738"/>
        <v>Inbetriebnahme 05/2014</v>
      </c>
      <c r="D4865" s="372" t="str">
        <f>$Q$4848</f>
        <v>0 - 10 kW</v>
      </c>
      <c r="E4865" s="372"/>
      <c r="F4865" s="449">
        <f t="shared" si="1739"/>
        <v>13.14</v>
      </c>
      <c r="G4865" s="525">
        <v>13.14</v>
      </c>
      <c r="H4865" s="374">
        <f t="shared" si="1737"/>
        <v>10.51</v>
      </c>
      <c r="I4865" s="699"/>
      <c r="J4865" s="669" t="s">
        <v>5805</v>
      </c>
      <c r="K4865" s="15"/>
      <c r="L4865" s="129"/>
      <c r="M4865" s="413"/>
      <c r="N4865" s="281"/>
      <c r="O4865" s="333"/>
      <c r="P4865" s="326"/>
      <c r="Q4865" s="327"/>
      <c r="R4865" s="327"/>
      <c r="S4865" s="327"/>
      <c r="T4865" s="327"/>
    </row>
    <row r="4866" spans="1:33" x14ac:dyDescent="0.25">
      <c r="A4866" s="615" t="str">
        <f>"SgK3221--"&amp;RIGHT(A4865,5)</f>
        <v>SgK3221--Mai14</v>
      </c>
      <c r="B4866" s="372" t="s">
        <v>5435</v>
      </c>
      <c r="C4866" s="375" t="str">
        <f t="shared" si="1738"/>
        <v>Inbetriebnahme 05/2014</v>
      </c>
      <c r="D4866" s="372" t="str">
        <f>$R$4848</f>
        <v>10 - 40 kW</v>
      </c>
      <c r="E4866" s="372"/>
      <c r="F4866" s="449">
        <f t="shared" si="1739"/>
        <v>12.47</v>
      </c>
      <c r="G4866" s="525">
        <v>12.47</v>
      </c>
      <c r="H4866" s="374">
        <f t="shared" si="1737"/>
        <v>9.98</v>
      </c>
      <c r="I4866" s="699"/>
      <c r="J4866" s="669" t="s">
        <v>5805</v>
      </c>
      <c r="K4866" s="15"/>
      <c r="L4866" s="173"/>
      <c r="M4866" s="413"/>
      <c r="N4866" s="281"/>
      <c r="O4866" s="333"/>
      <c r="P4866" s="326"/>
      <c r="Q4866" s="327"/>
      <c r="R4866" s="327"/>
      <c r="S4866" s="327"/>
      <c r="T4866" s="327"/>
    </row>
    <row r="4867" spans="1:33" x14ac:dyDescent="0.25">
      <c r="A4867" s="615" t="str">
        <f>"SgK3222--"&amp;RIGHT(A4866,5)</f>
        <v>SgK3222--Mai14</v>
      </c>
      <c r="B4867" s="372" t="s">
        <v>5435</v>
      </c>
      <c r="C4867" s="375" t="str">
        <f t="shared" si="1738"/>
        <v>Inbetriebnahme 05/2014</v>
      </c>
      <c r="D4867" s="372" t="str">
        <f>$S$4848</f>
        <v>40 kW - 1 MW</v>
      </c>
      <c r="E4867" s="372"/>
      <c r="F4867" s="449">
        <f t="shared" si="1739"/>
        <v>11.12</v>
      </c>
      <c r="G4867" s="525">
        <v>11.12</v>
      </c>
      <c r="H4867" s="374">
        <f t="shared" si="1737"/>
        <v>8.9</v>
      </c>
      <c r="I4867" s="699"/>
      <c r="J4867" s="669" t="s">
        <v>5805</v>
      </c>
      <c r="K4867" s="15"/>
      <c r="L4867" s="173"/>
      <c r="M4867" s="413"/>
      <c r="N4867" s="281"/>
      <c r="O4867" s="333"/>
      <c r="P4867" s="326"/>
      <c r="Q4867" s="327"/>
      <c r="R4867" s="327"/>
      <c r="S4867" s="327"/>
      <c r="T4867" s="327"/>
    </row>
    <row r="4868" spans="1:33" x14ac:dyDescent="0.25">
      <c r="A4868" s="615" t="str">
        <f>"SgK3223--"&amp;RIGHT(A4867,5)</f>
        <v>SgK3223--Mai14</v>
      </c>
      <c r="B4868" s="372" t="s">
        <v>5435</v>
      </c>
      <c r="C4868" s="375" t="str">
        <f t="shared" si="1738"/>
        <v>Inbetriebnahme 05/2014</v>
      </c>
      <c r="D4868" s="372" t="str">
        <f>$T$4848</f>
        <v>1 - 10 MW</v>
      </c>
      <c r="E4868" s="372"/>
      <c r="F4868" s="449">
        <f t="shared" si="1739"/>
        <v>9.1</v>
      </c>
      <c r="G4868" s="525">
        <v>9.1</v>
      </c>
      <c r="H4868" s="374">
        <f t="shared" si="1737"/>
        <v>7.28</v>
      </c>
      <c r="I4868" s="699"/>
      <c r="J4868" s="669" t="s">
        <v>5805</v>
      </c>
      <c r="K4868" s="15"/>
      <c r="L4868" s="173"/>
      <c r="M4868" s="413"/>
      <c r="N4868" s="281"/>
      <c r="O4868" s="333"/>
      <c r="P4868" s="344"/>
      <c r="Q4868" s="327"/>
      <c r="R4868" s="327"/>
      <c r="S4868" s="327"/>
      <c r="T4868" s="327"/>
    </row>
    <row r="4869" spans="1:33" x14ac:dyDescent="0.25">
      <c r="A4869" s="615" t="s">
        <v>1700</v>
      </c>
      <c r="B4869" s="372" t="s">
        <v>5435</v>
      </c>
      <c r="C4869" s="375" t="str">
        <f t="shared" si="1738"/>
        <v>Inbetriebnahme 06/2014</v>
      </c>
      <c r="D4869" s="372" t="str">
        <f>$Q$4848</f>
        <v>0 - 10 kW</v>
      </c>
      <c r="E4869" s="372"/>
      <c r="F4869" s="449">
        <f t="shared" si="1739"/>
        <v>13.01</v>
      </c>
      <c r="G4869" s="525">
        <v>13.01</v>
      </c>
      <c r="H4869" s="374">
        <f t="shared" si="1737"/>
        <v>10.41</v>
      </c>
      <c r="I4869" s="699"/>
      <c r="J4869" s="669" t="s">
        <v>5805</v>
      </c>
      <c r="K4869" s="15"/>
      <c r="L4869" s="173"/>
      <c r="M4869" s="413"/>
      <c r="N4869" s="281"/>
      <c r="O4869" s="333"/>
      <c r="P4869" s="344"/>
      <c r="Q4869" s="327"/>
      <c r="R4869" s="327"/>
      <c r="S4869" s="327"/>
      <c r="T4869" s="327"/>
    </row>
    <row r="4870" spans="1:33" x14ac:dyDescent="0.25">
      <c r="A4870" s="615" t="str">
        <f>"SgK3221--"&amp;RIGHT(A4869,5)</f>
        <v>SgK3221--Jun14</v>
      </c>
      <c r="B4870" s="372" t="s">
        <v>5435</v>
      </c>
      <c r="C4870" s="375" t="str">
        <f t="shared" si="1738"/>
        <v>Inbetriebnahme 06/2014</v>
      </c>
      <c r="D4870" s="372" t="str">
        <f>$R$4848</f>
        <v>10 - 40 kW</v>
      </c>
      <c r="E4870" s="372"/>
      <c r="F4870" s="449">
        <f t="shared" si="1739"/>
        <v>12.34</v>
      </c>
      <c r="G4870" s="525">
        <v>12.34</v>
      </c>
      <c r="H4870" s="374">
        <f t="shared" si="1737"/>
        <v>9.8699999999999992</v>
      </c>
      <c r="I4870" s="699"/>
      <c r="J4870" s="669" t="s">
        <v>5805</v>
      </c>
      <c r="K4870" s="15"/>
      <c r="L4870" s="173"/>
      <c r="M4870" s="413"/>
      <c r="N4870" s="281"/>
      <c r="O4870" s="325"/>
      <c r="P4870" s="12"/>
      <c r="Q4870" s="12"/>
      <c r="R4870" s="12"/>
      <c r="S4870" s="12"/>
      <c r="T4870" s="12"/>
    </row>
    <row r="4871" spans="1:33" x14ac:dyDescent="0.25">
      <c r="A4871" s="615" t="str">
        <f>"SgK3222--"&amp;RIGHT(A4870,5)</f>
        <v>SgK3222--Jun14</v>
      </c>
      <c r="B4871" s="372" t="s">
        <v>5435</v>
      </c>
      <c r="C4871" s="375" t="str">
        <f t="shared" si="1738"/>
        <v>Inbetriebnahme 06/2014</v>
      </c>
      <c r="D4871" s="372" t="str">
        <f>$S$4848</f>
        <v>40 kW - 1 MW</v>
      </c>
      <c r="E4871" s="372"/>
      <c r="F4871" s="449">
        <f t="shared" si="1739"/>
        <v>11.01</v>
      </c>
      <c r="G4871" s="525">
        <v>11.01</v>
      </c>
      <c r="H4871" s="374">
        <f t="shared" si="1737"/>
        <v>8.81</v>
      </c>
      <c r="I4871" s="699"/>
      <c r="J4871" s="669" t="s">
        <v>5805</v>
      </c>
      <c r="K4871" s="15"/>
      <c r="L4871" s="173"/>
      <c r="M4871" s="413"/>
      <c r="O4871" s="325"/>
      <c r="P4871" s="12"/>
      <c r="Q4871" s="12"/>
      <c r="R4871" s="12"/>
      <c r="S4871" s="12"/>
      <c r="T4871" s="12"/>
    </row>
    <row r="4872" spans="1:33" x14ac:dyDescent="0.25">
      <c r="A4872" s="615" t="str">
        <f>"SgK3223--"&amp;RIGHT(A4871,5)</f>
        <v>SgK3223--Jun14</v>
      </c>
      <c r="B4872" s="372" t="s">
        <v>5435</v>
      </c>
      <c r="C4872" s="375" t="str">
        <f t="shared" si="1738"/>
        <v>Inbetriebnahme 06/2014</v>
      </c>
      <c r="D4872" s="372" t="str">
        <f>$T$4848</f>
        <v>1 - 10 MW</v>
      </c>
      <c r="E4872" s="372"/>
      <c r="F4872" s="449">
        <f t="shared" si="1739"/>
        <v>9.01</v>
      </c>
      <c r="G4872" s="525">
        <v>9.01</v>
      </c>
      <c r="H4872" s="374">
        <f t="shared" si="1737"/>
        <v>7.21</v>
      </c>
      <c r="I4872" s="699"/>
      <c r="J4872" s="669" t="s">
        <v>5805</v>
      </c>
      <c r="K4872" s="15"/>
      <c r="L4872" s="173"/>
      <c r="M4872" s="413"/>
      <c r="O4872" s="325"/>
      <c r="P4872" s="12"/>
      <c r="Q4872" s="12"/>
      <c r="R4872" s="12"/>
      <c r="S4872" s="12"/>
      <c r="T4872" s="12"/>
    </row>
    <row r="4873" spans="1:33" x14ac:dyDescent="0.25">
      <c r="A4873" s="615" t="s">
        <v>1701</v>
      </c>
      <c r="B4873" s="372" t="s">
        <v>5435</v>
      </c>
      <c r="C4873" s="375" t="str">
        <f t="shared" si="1738"/>
        <v>Inbetriebnahme 07/2014</v>
      </c>
      <c r="D4873" s="372" t="str">
        <f>$Q$4848</f>
        <v>0 - 10 kW</v>
      </c>
      <c r="E4873" s="372"/>
      <c r="F4873" s="449">
        <f t="shared" si="1739"/>
        <v>12.88</v>
      </c>
      <c r="G4873" s="525">
        <v>12.88</v>
      </c>
      <c r="H4873" s="374">
        <f t="shared" si="1737"/>
        <v>10.3</v>
      </c>
      <c r="I4873" s="699"/>
      <c r="J4873" s="669" t="s">
        <v>5805</v>
      </c>
      <c r="K4873" s="15"/>
      <c r="L4873" s="173"/>
      <c r="M4873" s="413"/>
      <c r="O4873" s="325"/>
      <c r="P4873" s="12"/>
      <c r="Q4873" s="12"/>
      <c r="R4873" s="12"/>
      <c r="S4873" s="12"/>
      <c r="T4873" s="12"/>
    </row>
    <row r="4874" spans="1:33" x14ac:dyDescent="0.25">
      <c r="A4874" s="615" t="str">
        <f>"SgK3221--"&amp;RIGHT(A4873,5)</f>
        <v>SgK3221--Jul14</v>
      </c>
      <c r="B4874" s="372" t="s">
        <v>5435</v>
      </c>
      <c r="C4874" s="375" t="str">
        <f t="shared" si="1738"/>
        <v>Inbetriebnahme 07/2014</v>
      </c>
      <c r="D4874" s="372" t="str">
        <f>$R$4848</f>
        <v>10 - 40 kW</v>
      </c>
      <c r="E4874" s="372"/>
      <c r="F4874" s="449">
        <f t="shared" si="1739"/>
        <v>12.22</v>
      </c>
      <c r="G4874" s="525">
        <v>12.22</v>
      </c>
      <c r="H4874" s="374">
        <f t="shared" si="1737"/>
        <v>9.7799999999999994</v>
      </c>
      <c r="I4874" s="699"/>
      <c r="J4874" s="669" t="s">
        <v>5805</v>
      </c>
      <c r="K4874" s="15"/>
      <c r="L4874" s="173"/>
      <c r="M4874" s="413"/>
      <c r="O4874" s="325"/>
      <c r="P4874" s="12"/>
      <c r="Q4874" s="12"/>
      <c r="R4874" s="12"/>
      <c r="S4874" s="12"/>
      <c r="T4874" s="12"/>
    </row>
    <row r="4875" spans="1:33" x14ac:dyDescent="0.25">
      <c r="A4875" s="615" t="str">
        <f>"SgK3222--"&amp;RIGHT(A4874,5)</f>
        <v>SgK3222--Jul14</v>
      </c>
      <c r="B4875" s="372" t="s">
        <v>5435</v>
      </c>
      <c r="C4875" s="375" t="str">
        <f t="shared" si="1738"/>
        <v>Inbetriebnahme 07/2014</v>
      </c>
      <c r="D4875" s="372" t="str">
        <f>$S$4848</f>
        <v>40 kW - 1 MW</v>
      </c>
      <c r="E4875" s="372"/>
      <c r="F4875" s="449">
        <f t="shared" si="1739"/>
        <v>10.9</v>
      </c>
      <c r="G4875" s="525">
        <v>10.9</v>
      </c>
      <c r="H4875" s="374">
        <f t="shared" si="1737"/>
        <v>8.7200000000000006</v>
      </c>
      <c r="I4875" s="699"/>
      <c r="J4875" s="669" t="s">
        <v>5805</v>
      </c>
      <c r="K4875" s="15"/>
      <c r="L4875" s="173"/>
      <c r="M4875" s="413"/>
      <c r="O4875" s="325"/>
      <c r="P4875" s="12"/>
      <c r="Q4875" s="12"/>
      <c r="R4875" s="12"/>
      <c r="S4875" s="12"/>
      <c r="T4875" s="12"/>
      <c r="Y4875" s="774"/>
      <c r="Z4875" s="774"/>
      <c r="AA4875" s="774"/>
      <c r="AB4875" s="774"/>
      <c r="AC4875" s="774"/>
    </row>
    <row r="4876" spans="1:33" s="12" customFormat="1" x14ac:dyDescent="0.25">
      <c r="A4876" s="615" t="str">
        <f>"SgK3223--"&amp;RIGHT(A4875,5)</f>
        <v>SgK3223--Jul14</v>
      </c>
      <c r="B4876" s="372" t="s">
        <v>5435</v>
      </c>
      <c r="C4876" s="375" t="str">
        <f t="shared" si="1738"/>
        <v>Inbetriebnahme 07/2014</v>
      </c>
      <c r="D4876" s="372" t="str">
        <f>$T$4848</f>
        <v>1 - 10 MW</v>
      </c>
      <c r="E4876" s="372"/>
      <c r="F4876" s="449">
        <f t="shared" si="1739"/>
        <v>8.92</v>
      </c>
      <c r="G4876" s="525">
        <v>8.92</v>
      </c>
      <c r="H4876" s="374">
        <f t="shared" si="1737"/>
        <v>7.14</v>
      </c>
      <c r="I4876" s="699"/>
      <c r="J4876" s="669" t="s">
        <v>5805</v>
      </c>
      <c r="L4876" s="269"/>
      <c r="M4876" s="413"/>
      <c r="N4876"/>
      <c r="O4876" s="325"/>
      <c r="U4876"/>
      <c r="V4876"/>
      <c r="W4876"/>
      <c r="X4876"/>
      <c r="Y4876"/>
      <c r="Z4876"/>
      <c r="AA4876"/>
      <c r="AB4876"/>
      <c r="AC4876"/>
    </row>
    <row r="4877" spans="1:33" s="259" customFormat="1" ht="20.25" customHeight="1" x14ac:dyDescent="0.25">
      <c r="A4877" s="616"/>
      <c r="B4877" s="2"/>
      <c r="C4877" s="1"/>
      <c r="D4877" s="2"/>
      <c r="E4877" s="1"/>
      <c r="F4877" s="442"/>
      <c r="G4877" s="13"/>
      <c r="H4877" s="13" t="str">
        <f t="shared" si="1737"/>
        <v/>
      </c>
      <c r="I4877" s="692"/>
      <c r="J4877" s="669" t="s">
        <v>4180</v>
      </c>
      <c r="K4877" s="258"/>
      <c r="L4877" s="362"/>
      <c r="M4877" s="49"/>
      <c r="N4877" s="41"/>
      <c r="O4877" s="188"/>
      <c r="P4877" s="188"/>
      <c r="Q4877" s="188"/>
      <c r="R4877" s="27"/>
      <c r="S4877" s="27"/>
      <c r="T4877" s="27"/>
      <c r="U4877" s="27"/>
      <c r="V4877" s="12"/>
      <c r="W4877" s="12"/>
      <c r="X4877" s="12"/>
      <c r="Y4877" s="12"/>
      <c r="Z4877" s="12"/>
      <c r="AA4877" s="12"/>
      <c r="AB4877" s="12"/>
      <c r="AC4877" s="12"/>
      <c r="AG4877" s="262"/>
    </row>
    <row r="4878" spans="1:33" ht="15.75" x14ac:dyDescent="0.25">
      <c r="A4878" s="617"/>
      <c r="B4878" s="255"/>
      <c r="C4878" s="256"/>
      <c r="D4878" s="255"/>
      <c r="E4878" s="256"/>
      <c r="F4878" s="463"/>
      <c r="G4878" s="257"/>
      <c r="H4878" s="257" t="str">
        <f t="shared" si="1737"/>
        <v/>
      </c>
      <c r="I4878" s="717"/>
      <c r="J4878" s="669" t="s">
        <v>4180</v>
      </c>
      <c r="M4878" s="260" t="s">
        <v>124</v>
      </c>
      <c r="N4878" s="261"/>
      <c r="O4878" s="261"/>
      <c r="P4878" s="259"/>
      <c r="Q4878" s="259"/>
      <c r="R4878" s="259"/>
      <c r="S4878" s="259"/>
      <c r="T4878" s="259"/>
      <c r="U4878" s="259"/>
      <c r="V4878" s="259"/>
      <c r="W4878" s="259"/>
      <c r="X4878" s="259"/>
      <c r="Y4878" s="259"/>
      <c r="Z4878" s="259"/>
      <c r="AA4878" s="259"/>
      <c r="AB4878" s="259"/>
      <c r="AC4878" s="259"/>
    </row>
    <row r="4879" spans="1:33" x14ac:dyDescent="0.25">
      <c r="A4879" s="608"/>
      <c r="B4879" s="2"/>
      <c r="C4879" s="34"/>
      <c r="D4879" s="34"/>
      <c r="E4879" s="2"/>
      <c r="F4879" s="445"/>
      <c r="G4879" s="14"/>
      <c r="H4879" s="14" t="str">
        <f t="shared" si="1737"/>
        <v/>
      </c>
      <c r="I4879" s="695"/>
      <c r="J4879" s="669" t="s">
        <v>4180</v>
      </c>
      <c r="N4879" s="137" t="s">
        <v>3902</v>
      </c>
      <c r="O4879" s="270" t="s">
        <v>5490</v>
      </c>
      <c r="P4879" t="s">
        <v>3919</v>
      </c>
      <c r="Q4879" t="s">
        <v>3920</v>
      </c>
      <c r="R4879" t="s">
        <v>3921</v>
      </c>
      <c r="S4879" t="s">
        <v>3922</v>
      </c>
      <c r="T4879" t="s">
        <v>49</v>
      </c>
      <c r="U4879" t="s">
        <v>3919</v>
      </c>
      <c r="V4879" t="s">
        <v>3920</v>
      </c>
      <c r="W4879" t="s">
        <v>3921</v>
      </c>
      <c r="X4879" t="s">
        <v>3922</v>
      </c>
      <c r="Y4879" t="s">
        <v>50</v>
      </c>
    </row>
    <row r="4880" spans="1:33" x14ac:dyDescent="0.25">
      <c r="A4880" s="607" t="s">
        <v>125</v>
      </c>
      <c r="B4880" s="435" t="s">
        <v>5435</v>
      </c>
      <c r="C4880" s="436" t="s">
        <v>108</v>
      </c>
      <c r="D4880" s="436" t="s">
        <v>3919</v>
      </c>
      <c r="E4880" s="435"/>
      <c r="F4880" s="450">
        <f t="shared" ref="F4880:F4899" si="1745">IF(HLOOKUP(D4880,$U$4879:$X$5314,MATCH(RIGHT($A4880,5),$N$4879:$N$5314,0),FALSE)&lt;&gt;"",ROUND(HLOOKUP(D4880,$U$4879:$X$5314,MATCH(RIGHT($A4880,5),$N$4879:$N$5314,0),FALSE),2),"")</f>
        <v>12.75</v>
      </c>
      <c r="G4880" s="450">
        <f t="shared" ref="G4880:G4899" si="1746">IF(HLOOKUP(D4880,$P$4879:$S$5314,MATCH(RIGHT($A4880,5),$N$4879:$N$5314,0),FALSE)&lt;&gt;"",ROUND(HLOOKUP(D4880,$P$4879:$S$5314,MATCH(RIGHT($A4880,5),$N$4879:$N$5314,0),FALSE),2),"")</f>
        <v>13.15</v>
      </c>
      <c r="H4880" s="437">
        <f t="shared" si="1737"/>
        <v>10.52</v>
      </c>
      <c r="I4880" s="700"/>
      <c r="J4880" s="669" t="s">
        <v>5805</v>
      </c>
      <c r="M4880" s="127">
        <v>2014</v>
      </c>
      <c r="N4880" s="640" t="s">
        <v>114</v>
      </c>
      <c r="O4880" s="395" t="s">
        <v>123</v>
      </c>
      <c r="P4880" s="327">
        <v>13.15</v>
      </c>
      <c r="Q4880" s="327">
        <v>12.8</v>
      </c>
      <c r="R4880" s="327">
        <v>11.49</v>
      </c>
      <c r="S4880" s="327">
        <v>9.23</v>
      </c>
      <c r="T4880" s="327"/>
      <c r="U4880" s="327">
        <f>P4880-0.4</f>
        <v>12.75</v>
      </c>
      <c r="V4880" s="327">
        <f>Q4880-0.4</f>
        <v>12.4</v>
      </c>
      <c r="W4880" s="327">
        <f>R4880-0.4</f>
        <v>11.09</v>
      </c>
      <c r="X4880" s="327">
        <f>S4880-0.4</f>
        <v>8.83</v>
      </c>
    </row>
    <row r="4881" spans="1:24" x14ac:dyDescent="0.25">
      <c r="A4881" s="607" t="str">
        <f>"SgK5121--"&amp;RIGHT(A4880,5)</f>
        <v>SgK5121--Aug14</v>
      </c>
      <c r="B4881" s="435" t="s">
        <v>5435</v>
      </c>
      <c r="C4881" s="436" t="s">
        <v>108</v>
      </c>
      <c r="D4881" s="436" t="s">
        <v>3920</v>
      </c>
      <c r="E4881" s="435"/>
      <c r="F4881" s="450">
        <f t="shared" si="1745"/>
        <v>12.4</v>
      </c>
      <c r="G4881" s="450">
        <f t="shared" si="1746"/>
        <v>12.8</v>
      </c>
      <c r="H4881" s="437">
        <f t="shared" si="1737"/>
        <v>10.24</v>
      </c>
      <c r="I4881" s="700"/>
      <c r="J4881" s="669" t="s">
        <v>5805</v>
      </c>
      <c r="N4881" s="641" t="s">
        <v>115</v>
      </c>
      <c r="O4881" s="568">
        <v>5.0000000000000001E-3</v>
      </c>
      <c r="P4881" s="327">
        <f t="shared" ref="P4881:S4885" si="1747">IF($O4881&lt;&gt;"",(1-$O4881)*P4880,"")</f>
        <v>13.084250000000001</v>
      </c>
      <c r="Q4881" s="327">
        <f t="shared" si="1747"/>
        <v>12.736000000000001</v>
      </c>
      <c r="R4881" s="327">
        <f t="shared" si="1747"/>
        <v>11.432550000000001</v>
      </c>
      <c r="S4881" s="327">
        <f t="shared" si="1747"/>
        <v>9.1838499999999996</v>
      </c>
      <c r="U4881" s="327">
        <f t="shared" ref="U4881:X4885" si="1748">IF($O4881&lt;&gt;"",(1-$O4881)*U4880,"")</f>
        <v>12.686249999999999</v>
      </c>
      <c r="V4881" s="327">
        <f t="shared" si="1748"/>
        <v>12.338000000000001</v>
      </c>
      <c r="W4881" s="327">
        <f t="shared" si="1748"/>
        <v>11.034549999999999</v>
      </c>
      <c r="X4881" s="327">
        <f t="shared" si="1748"/>
        <v>8.7858499999999999</v>
      </c>
    </row>
    <row r="4882" spans="1:24" x14ac:dyDescent="0.25">
      <c r="A4882" s="607" t="str">
        <f>"SgK5122--"&amp;RIGHT(A4881,5)</f>
        <v>SgK5122--Aug14</v>
      </c>
      <c r="B4882" s="435" t="s">
        <v>5435</v>
      </c>
      <c r="C4882" s="436" t="s">
        <v>108</v>
      </c>
      <c r="D4882" s="436" t="s">
        <v>3921</v>
      </c>
      <c r="E4882" s="435"/>
      <c r="F4882" s="450">
        <f t="shared" si="1745"/>
        <v>11.09</v>
      </c>
      <c r="G4882" s="450">
        <f t="shared" si="1746"/>
        <v>11.49</v>
      </c>
      <c r="H4882" s="437">
        <f t="shared" si="1737"/>
        <v>9.19</v>
      </c>
      <c r="I4882" s="700"/>
      <c r="J4882" s="669" t="s">
        <v>5805</v>
      </c>
      <c r="N4882" s="641" t="s">
        <v>116</v>
      </c>
      <c r="O4882" s="568">
        <v>2.5000000000000001E-3</v>
      </c>
      <c r="P4882" s="327">
        <f t="shared" si="1747"/>
        <v>13.051539375000001</v>
      </c>
      <c r="Q4882" s="327">
        <f t="shared" si="1747"/>
        <v>12.704160000000002</v>
      </c>
      <c r="R4882" s="327">
        <f t="shared" si="1747"/>
        <v>11.403968625000001</v>
      </c>
      <c r="S4882" s="327">
        <f t="shared" si="1747"/>
        <v>9.1608903749999993</v>
      </c>
      <c r="U4882" s="327">
        <f t="shared" si="1748"/>
        <v>12.654534375000001</v>
      </c>
      <c r="V4882" s="327">
        <f t="shared" si="1748"/>
        <v>12.307155000000002</v>
      </c>
      <c r="W4882" s="327">
        <f t="shared" si="1748"/>
        <v>11.006963624999999</v>
      </c>
      <c r="X4882" s="327">
        <f t="shared" si="1748"/>
        <v>8.763885375000001</v>
      </c>
    </row>
    <row r="4883" spans="1:24" x14ac:dyDescent="0.25">
      <c r="A4883" s="607" t="str">
        <f>"SgK5123--"&amp;RIGHT(A4882,5)</f>
        <v>SgK5123--Aug14</v>
      </c>
      <c r="B4883" s="435" t="s">
        <v>5435</v>
      </c>
      <c r="C4883" s="436" t="s">
        <v>108</v>
      </c>
      <c r="D4883" s="436" t="s">
        <v>3922</v>
      </c>
      <c r="E4883" s="435"/>
      <c r="F4883" s="450">
        <f t="shared" si="1745"/>
        <v>8.83</v>
      </c>
      <c r="G4883" s="450">
        <f t="shared" si="1746"/>
        <v>9.23</v>
      </c>
      <c r="H4883" s="437">
        <f t="shared" si="1737"/>
        <v>7.38</v>
      </c>
      <c r="I4883" s="700"/>
      <c r="J4883" s="669" t="s">
        <v>5805</v>
      </c>
      <c r="N4883" s="641" t="s">
        <v>121</v>
      </c>
      <c r="O4883" s="568">
        <v>2.5000000000000001E-3</v>
      </c>
      <c r="P4883" s="327">
        <f t="shared" si="1747"/>
        <v>13.018910526562502</v>
      </c>
      <c r="Q4883" s="327">
        <f t="shared" si="1747"/>
        <v>12.672399600000002</v>
      </c>
      <c r="R4883" s="327">
        <f t="shared" si="1747"/>
        <v>11.375458703437502</v>
      </c>
      <c r="S4883" s="327">
        <f t="shared" si="1747"/>
        <v>9.1379881490624992</v>
      </c>
      <c r="U4883" s="327">
        <f t="shared" si="1748"/>
        <v>12.622898039062502</v>
      </c>
      <c r="V4883" s="327">
        <f t="shared" si="1748"/>
        <v>12.276387112500002</v>
      </c>
      <c r="W4883" s="327">
        <f t="shared" si="1748"/>
        <v>10.9794462159375</v>
      </c>
      <c r="X4883" s="327">
        <f t="shared" si="1748"/>
        <v>8.7419756615625008</v>
      </c>
    </row>
    <row r="4884" spans="1:24" x14ac:dyDescent="0.25">
      <c r="A4884" s="607" t="s">
        <v>126</v>
      </c>
      <c r="B4884" s="435" t="s">
        <v>5435</v>
      </c>
      <c r="C4884" s="436" t="s">
        <v>109</v>
      </c>
      <c r="D4884" s="436" t="s">
        <v>3919</v>
      </c>
      <c r="E4884" s="435"/>
      <c r="F4884" s="450">
        <f t="shared" si="1745"/>
        <v>12.69</v>
      </c>
      <c r="G4884" s="450">
        <f t="shared" si="1746"/>
        <v>13.08</v>
      </c>
      <c r="H4884" s="437">
        <f t="shared" si="1737"/>
        <v>10.46</v>
      </c>
      <c r="I4884" s="700"/>
      <c r="J4884" s="669" t="s">
        <v>5805</v>
      </c>
      <c r="N4884" s="641" t="s">
        <v>122</v>
      </c>
      <c r="O4884" s="568">
        <v>2.5000000000000001E-3</v>
      </c>
      <c r="P4884" s="327">
        <f t="shared" si="1747"/>
        <v>12.986363250246097</v>
      </c>
      <c r="Q4884" s="327">
        <f t="shared" si="1747"/>
        <v>12.640718601000003</v>
      </c>
      <c r="R4884" s="327">
        <f t="shared" si="1747"/>
        <v>11.347020056678909</v>
      </c>
      <c r="S4884" s="327">
        <f t="shared" si="1747"/>
        <v>9.1151431786898431</v>
      </c>
      <c r="U4884" s="327">
        <f t="shared" si="1748"/>
        <v>12.591340793964847</v>
      </c>
      <c r="V4884" s="327">
        <f t="shared" si="1748"/>
        <v>12.245696144718753</v>
      </c>
      <c r="W4884" s="327">
        <f t="shared" si="1748"/>
        <v>10.951997600397657</v>
      </c>
      <c r="X4884" s="327">
        <f t="shared" si="1748"/>
        <v>8.7201207224085948</v>
      </c>
    </row>
    <row r="4885" spans="1:24" x14ac:dyDescent="0.25">
      <c r="A4885" s="607" t="str">
        <f>"SgK5121--"&amp;RIGHT(A4884,5)</f>
        <v>SgK5121--Sep14</v>
      </c>
      <c r="B4885" s="435" t="s">
        <v>5435</v>
      </c>
      <c r="C4885" s="436" t="s">
        <v>109</v>
      </c>
      <c r="D4885" s="436" t="s">
        <v>3920</v>
      </c>
      <c r="E4885" s="435"/>
      <c r="F4885" s="450">
        <f t="shared" si="1745"/>
        <v>12.34</v>
      </c>
      <c r="G4885" s="450">
        <f t="shared" si="1746"/>
        <v>12.74</v>
      </c>
      <c r="H4885" s="437">
        <f t="shared" si="1737"/>
        <v>10.19</v>
      </c>
      <c r="I4885" s="700"/>
      <c r="J4885" s="669" t="s">
        <v>5805</v>
      </c>
      <c r="O4885" s="395"/>
      <c r="P4885" s="327" t="str">
        <f t="shared" si="1747"/>
        <v/>
      </c>
      <c r="Q4885" s="327" t="str">
        <f t="shared" si="1747"/>
        <v/>
      </c>
      <c r="R4885" s="327" t="str">
        <f t="shared" si="1747"/>
        <v/>
      </c>
      <c r="S4885" s="327" t="str">
        <f t="shared" si="1747"/>
        <v/>
      </c>
      <c r="U4885" s="327" t="str">
        <f t="shared" si="1748"/>
        <v/>
      </c>
      <c r="V4885" s="327" t="str">
        <f t="shared" si="1748"/>
        <v/>
      </c>
      <c r="W4885" s="327" t="str">
        <f t="shared" si="1748"/>
        <v/>
      </c>
      <c r="X4885" s="327" t="str">
        <f t="shared" si="1748"/>
        <v/>
      </c>
    </row>
    <row r="4886" spans="1:24" x14ac:dyDescent="0.25">
      <c r="A4886" s="607" t="str">
        <f>"SgK5122--"&amp;RIGHT(A4885,5)</f>
        <v>SgK5122--Sep14</v>
      </c>
      <c r="B4886" s="435" t="s">
        <v>5435</v>
      </c>
      <c r="C4886" s="436" t="s">
        <v>109</v>
      </c>
      <c r="D4886" s="436" t="s">
        <v>3921</v>
      </c>
      <c r="E4886" s="435"/>
      <c r="F4886" s="450">
        <f t="shared" si="1745"/>
        <v>11.03</v>
      </c>
      <c r="G4886" s="450">
        <f t="shared" si="1746"/>
        <v>11.43</v>
      </c>
      <c r="H4886" s="437">
        <f t="shared" si="1737"/>
        <v>9.14</v>
      </c>
      <c r="I4886" s="700"/>
      <c r="J4886" s="669" t="s">
        <v>5805</v>
      </c>
      <c r="O4886" s="395"/>
      <c r="P4886" s="327" t="str">
        <f t="shared" ref="P4886:S4887" si="1749">IF($O4886&lt;&gt;"",(1-$O4886)*P4884,"")</f>
        <v/>
      </c>
      <c r="Q4886" s="327" t="str">
        <f t="shared" si="1749"/>
        <v/>
      </c>
      <c r="R4886" s="327" t="str">
        <f t="shared" si="1749"/>
        <v/>
      </c>
      <c r="S4886" s="327" t="str">
        <f t="shared" si="1749"/>
        <v/>
      </c>
      <c r="U4886" s="327" t="str">
        <f t="shared" ref="U4886:X4887" si="1750">IF($O4886&lt;&gt;"",(1-$O4886)*U4884,"")</f>
        <v/>
      </c>
      <c r="V4886" s="327" t="str">
        <f t="shared" si="1750"/>
        <v/>
      </c>
      <c r="W4886" s="327" t="str">
        <f t="shared" si="1750"/>
        <v/>
      </c>
      <c r="X4886" s="327" t="str">
        <f t="shared" si="1750"/>
        <v/>
      </c>
    </row>
    <row r="4887" spans="1:24" x14ac:dyDescent="0.25">
      <c r="A4887" s="607" t="str">
        <f>"SgK5123--"&amp;RIGHT(A4886,5)</f>
        <v>SgK5123--Sep14</v>
      </c>
      <c r="B4887" s="435" t="s">
        <v>5435</v>
      </c>
      <c r="C4887" s="436" t="s">
        <v>109</v>
      </c>
      <c r="D4887" s="436" t="s">
        <v>3922</v>
      </c>
      <c r="E4887" s="435"/>
      <c r="F4887" s="450">
        <f t="shared" si="1745"/>
        <v>8.7899999999999991</v>
      </c>
      <c r="G4887" s="450">
        <f t="shared" si="1746"/>
        <v>9.18</v>
      </c>
      <c r="H4887" s="437">
        <f t="shared" si="1737"/>
        <v>7.34</v>
      </c>
      <c r="I4887" s="700"/>
      <c r="J4887" s="669" t="s">
        <v>5805</v>
      </c>
      <c r="O4887" s="395"/>
      <c r="P4887" s="327" t="str">
        <f t="shared" si="1749"/>
        <v/>
      </c>
      <c r="Q4887" s="327" t="str">
        <f t="shared" si="1749"/>
        <v/>
      </c>
      <c r="R4887" s="327" t="str">
        <f t="shared" si="1749"/>
        <v/>
      </c>
      <c r="S4887" s="327" t="str">
        <f t="shared" si="1749"/>
        <v/>
      </c>
      <c r="U4887" s="327" t="str">
        <f t="shared" si="1750"/>
        <v/>
      </c>
      <c r="V4887" s="327" t="str">
        <f t="shared" si="1750"/>
        <v/>
      </c>
      <c r="W4887" s="327" t="str">
        <f t="shared" si="1750"/>
        <v/>
      </c>
      <c r="X4887" s="327" t="str">
        <f t="shared" si="1750"/>
        <v/>
      </c>
    </row>
    <row r="4888" spans="1:24" x14ac:dyDescent="0.25">
      <c r="A4888" s="607" t="s">
        <v>127</v>
      </c>
      <c r="B4888" s="435" t="s">
        <v>5435</v>
      </c>
      <c r="C4888" s="436" t="s">
        <v>110</v>
      </c>
      <c r="D4888" s="436" t="s">
        <v>3919</v>
      </c>
      <c r="E4888" s="435"/>
      <c r="F4888" s="450">
        <f t="shared" si="1745"/>
        <v>12.65</v>
      </c>
      <c r="G4888" s="450">
        <f t="shared" si="1746"/>
        <v>13.05</v>
      </c>
      <c r="H4888" s="437">
        <f t="shared" si="1737"/>
        <v>10.44</v>
      </c>
      <c r="I4888" s="700"/>
      <c r="J4888" s="669" t="s">
        <v>5805</v>
      </c>
      <c r="O4888" s="395"/>
      <c r="P4888" s="327" t="str">
        <f t="shared" ref="P4888:S4889" si="1751">IF($O4888&lt;&gt;"",(1-$O4888)*P4887,"")</f>
        <v/>
      </c>
      <c r="Q4888" s="327" t="str">
        <f t="shared" si="1751"/>
        <v/>
      </c>
      <c r="R4888" s="327" t="str">
        <f t="shared" si="1751"/>
        <v/>
      </c>
      <c r="S4888" s="327" t="str">
        <f t="shared" si="1751"/>
        <v/>
      </c>
      <c r="U4888" s="327" t="str">
        <f t="shared" ref="U4888:X4889" si="1752">IF($O4888&lt;&gt;"",(1-$O4888)*U4887,"")</f>
        <v/>
      </c>
      <c r="V4888" s="327" t="str">
        <f t="shared" si="1752"/>
        <v/>
      </c>
      <c r="W4888" s="327" t="str">
        <f t="shared" si="1752"/>
        <v/>
      </c>
      <c r="X4888" s="327" t="str">
        <f t="shared" si="1752"/>
        <v/>
      </c>
    </row>
    <row r="4889" spans="1:24" x14ac:dyDescent="0.25">
      <c r="A4889" s="607" t="str">
        <f>"SgK5121--"&amp;RIGHT(A4888,5)</f>
        <v>SgK5121--Okt14</v>
      </c>
      <c r="B4889" s="435" t="s">
        <v>5435</v>
      </c>
      <c r="C4889" s="436" t="s">
        <v>110</v>
      </c>
      <c r="D4889" s="436" t="s">
        <v>3920</v>
      </c>
      <c r="E4889" s="435"/>
      <c r="F4889" s="450">
        <f t="shared" si="1745"/>
        <v>12.31</v>
      </c>
      <c r="G4889" s="450">
        <f t="shared" si="1746"/>
        <v>12.7</v>
      </c>
      <c r="H4889" s="437">
        <f t="shared" si="1737"/>
        <v>10.16</v>
      </c>
      <c r="I4889" s="700"/>
      <c r="J4889" s="669" t="s">
        <v>5805</v>
      </c>
      <c r="O4889" s="395"/>
      <c r="P4889" s="327" t="str">
        <f t="shared" si="1751"/>
        <v/>
      </c>
      <c r="Q4889" s="327" t="str">
        <f t="shared" si="1751"/>
        <v/>
      </c>
      <c r="R4889" s="327" t="str">
        <f t="shared" si="1751"/>
        <v/>
      </c>
      <c r="S4889" s="327" t="str">
        <f t="shared" si="1751"/>
        <v/>
      </c>
      <c r="U4889" s="327" t="str">
        <f t="shared" si="1752"/>
        <v/>
      </c>
      <c r="V4889" s="327" t="str">
        <f t="shared" si="1752"/>
        <v/>
      </c>
      <c r="W4889" s="327" t="str">
        <f t="shared" si="1752"/>
        <v/>
      </c>
      <c r="X4889" s="327" t="str">
        <f t="shared" si="1752"/>
        <v/>
      </c>
    </row>
    <row r="4890" spans="1:24" x14ac:dyDescent="0.25">
      <c r="A4890" s="607" t="str">
        <f>"SgK5122--"&amp;RIGHT(A4889,5)</f>
        <v>SgK5122--Okt14</v>
      </c>
      <c r="B4890" s="435" t="s">
        <v>5435</v>
      </c>
      <c r="C4890" s="436" t="s">
        <v>110</v>
      </c>
      <c r="D4890" s="436" t="s">
        <v>3921</v>
      </c>
      <c r="E4890" s="435"/>
      <c r="F4890" s="450">
        <f t="shared" si="1745"/>
        <v>11.01</v>
      </c>
      <c r="G4890" s="450">
        <f t="shared" si="1746"/>
        <v>11.4</v>
      </c>
      <c r="H4890" s="437">
        <f t="shared" ref="H4890:H4953" si="1753">IF(ISNUMBER(G4890),ROUND(0.8*G4890,2),"")</f>
        <v>9.1199999999999992</v>
      </c>
      <c r="I4890" s="700"/>
      <c r="J4890" s="669" t="s">
        <v>5805</v>
      </c>
      <c r="O4890" s="395"/>
      <c r="P4890" s="327" t="str">
        <f t="shared" ref="P4890:S4891" si="1754">IF($O4890&lt;&gt;"",(1-$O4890)*P4888,"")</f>
        <v/>
      </c>
      <c r="Q4890" s="327" t="str">
        <f t="shared" si="1754"/>
        <v/>
      </c>
      <c r="R4890" s="327" t="str">
        <f t="shared" si="1754"/>
        <v/>
      </c>
      <c r="S4890" s="327" t="str">
        <f t="shared" si="1754"/>
        <v/>
      </c>
      <c r="U4890" s="327" t="str">
        <f t="shared" ref="U4890:X4891" si="1755">IF($O4890&lt;&gt;"",(1-$O4890)*U4888,"")</f>
        <v/>
      </c>
      <c r="V4890" s="327" t="str">
        <f t="shared" si="1755"/>
        <v/>
      </c>
      <c r="W4890" s="327" t="str">
        <f t="shared" si="1755"/>
        <v/>
      </c>
      <c r="X4890" s="327" t="str">
        <f t="shared" si="1755"/>
        <v/>
      </c>
    </row>
    <row r="4891" spans="1:24" x14ac:dyDescent="0.25">
      <c r="A4891" s="607" t="str">
        <f>"SgK5123--"&amp;RIGHT(A4890,5)</f>
        <v>SgK5123--Okt14</v>
      </c>
      <c r="B4891" s="435" t="s">
        <v>5435</v>
      </c>
      <c r="C4891" s="436" t="s">
        <v>110</v>
      </c>
      <c r="D4891" s="436" t="s">
        <v>3922</v>
      </c>
      <c r="E4891" s="435"/>
      <c r="F4891" s="450">
        <f t="shared" si="1745"/>
        <v>8.76</v>
      </c>
      <c r="G4891" s="450">
        <f t="shared" si="1746"/>
        <v>9.16</v>
      </c>
      <c r="H4891" s="437">
        <f t="shared" si="1753"/>
        <v>7.33</v>
      </c>
      <c r="I4891" s="700"/>
      <c r="J4891" s="669" t="s">
        <v>5805</v>
      </c>
      <c r="O4891" s="395"/>
      <c r="P4891" s="327" t="str">
        <f t="shared" si="1754"/>
        <v/>
      </c>
      <c r="Q4891" s="327" t="str">
        <f t="shared" si="1754"/>
        <v/>
      </c>
      <c r="R4891" s="327" t="str">
        <f t="shared" si="1754"/>
        <v/>
      </c>
      <c r="S4891" s="327" t="str">
        <f t="shared" si="1754"/>
        <v/>
      </c>
      <c r="U4891" s="327" t="str">
        <f t="shared" si="1755"/>
        <v/>
      </c>
      <c r="V4891" s="327" t="str">
        <f t="shared" si="1755"/>
        <v/>
      </c>
      <c r="W4891" s="327" t="str">
        <f t="shared" si="1755"/>
        <v/>
      </c>
      <c r="X4891" s="327" t="str">
        <f t="shared" si="1755"/>
        <v/>
      </c>
    </row>
    <row r="4892" spans="1:24" x14ac:dyDescent="0.25">
      <c r="A4892" s="607" t="s">
        <v>128</v>
      </c>
      <c r="B4892" s="435" t="s">
        <v>5435</v>
      </c>
      <c r="C4892" s="436" t="s">
        <v>117</v>
      </c>
      <c r="D4892" s="436" t="s">
        <v>3919</v>
      </c>
      <c r="E4892" s="435"/>
      <c r="F4892" s="450">
        <f t="shared" si="1745"/>
        <v>12.62</v>
      </c>
      <c r="G4892" s="450">
        <f t="shared" si="1746"/>
        <v>13.02</v>
      </c>
      <c r="H4892" s="437">
        <f t="shared" si="1753"/>
        <v>10.42</v>
      </c>
      <c r="I4892" s="700"/>
      <c r="J4892" s="669" t="s">
        <v>5805</v>
      </c>
      <c r="O4892" s="395"/>
      <c r="P4892" s="327" t="str">
        <f t="shared" ref="P4892:S4893" si="1756">IF($O4892&lt;&gt;"",(1-$O4892)*P4891,"")</f>
        <v/>
      </c>
      <c r="Q4892" s="327" t="str">
        <f t="shared" si="1756"/>
        <v/>
      </c>
      <c r="R4892" s="327" t="str">
        <f t="shared" si="1756"/>
        <v/>
      </c>
      <c r="S4892" s="327" t="str">
        <f t="shared" si="1756"/>
        <v/>
      </c>
      <c r="U4892" s="327" t="str">
        <f t="shared" ref="U4892:X4893" si="1757">IF($O4892&lt;&gt;"",(1-$O4892)*U4891,"")</f>
        <v/>
      </c>
      <c r="V4892" s="327" t="str">
        <f t="shared" si="1757"/>
        <v/>
      </c>
      <c r="W4892" s="327" t="str">
        <f t="shared" si="1757"/>
        <v/>
      </c>
      <c r="X4892" s="327" t="str">
        <f t="shared" si="1757"/>
        <v/>
      </c>
    </row>
    <row r="4893" spans="1:24" x14ac:dyDescent="0.25">
      <c r="A4893" s="607" t="str">
        <f>"SgK5121--"&amp;RIGHT(A4892,5)</f>
        <v>SgK5121--Nov14</v>
      </c>
      <c r="B4893" s="435" t="s">
        <v>5435</v>
      </c>
      <c r="C4893" s="436" t="s">
        <v>117</v>
      </c>
      <c r="D4893" s="436" t="s">
        <v>3920</v>
      </c>
      <c r="E4893" s="435"/>
      <c r="F4893" s="450">
        <f t="shared" si="1745"/>
        <v>12.28</v>
      </c>
      <c r="G4893" s="450">
        <f t="shared" si="1746"/>
        <v>12.67</v>
      </c>
      <c r="H4893" s="437">
        <f t="shared" si="1753"/>
        <v>10.14</v>
      </c>
      <c r="I4893" s="700"/>
      <c r="J4893" s="669" t="s">
        <v>5805</v>
      </c>
      <c r="O4893" s="395"/>
      <c r="P4893" s="327" t="str">
        <f t="shared" si="1756"/>
        <v/>
      </c>
      <c r="Q4893" s="327" t="str">
        <f t="shared" si="1756"/>
        <v/>
      </c>
      <c r="R4893" s="327" t="str">
        <f t="shared" si="1756"/>
        <v/>
      </c>
      <c r="S4893" s="327" t="str">
        <f t="shared" si="1756"/>
        <v/>
      </c>
      <c r="U4893" s="327" t="str">
        <f t="shared" si="1757"/>
        <v/>
      </c>
      <c r="V4893" s="327" t="str">
        <f t="shared" si="1757"/>
        <v/>
      </c>
      <c r="W4893" s="327" t="str">
        <f t="shared" si="1757"/>
        <v/>
      </c>
      <c r="X4893" s="327" t="str">
        <f t="shared" si="1757"/>
        <v/>
      </c>
    </row>
    <row r="4894" spans="1:24" x14ac:dyDescent="0.25">
      <c r="A4894" s="607" t="str">
        <f>"SgK5122--"&amp;RIGHT(A4893,5)</f>
        <v>SgK5122--Nov14</v>
      </c>
      <c r="B4894" s="435" t="s">
        <v>5435</v>
      </c>
      <c r="C4894" s="436" t="s">
        <v>117</v>
      </c>
      <c r="D4894" s="436" t="s">
        <v>3921</v>
      </c>
      <c r="E4894" s="435"/>
      <c r="F4894" s="450">
        <f t="shared" si="1745"/>
        <v>10.98</v>
      </c>
      <c r="G4894" s="450">
        <f t="shared" si="1746"/>
        <v>11.38</v>
      </c>
      <c r="H4894" s="437">
        <f t="shared" si="1753"/>
        <v>9.1</v>
      </c>
      <c r="I4894" s="700"/>
      <c r="J4894" s="669" t="s">
        <v>5805</v>
      </c>
      <c r="O4894" s="395"/>
      <c r="P4894" s="327" t="str">
        <f t="shared" ref="P4894:S4895" si="1758">IF($O4894&lt;&gt;"",(1-$O4894)*P4892,"")</f>
        <v/>
      </c>
      <c r="Q4894" s="327" t="str">
        <f t="shared" si="1758"/>
        <v/>
      </c>
      <c r="R4894" s="327" t="str">
        <f t="shared" si="1758"/>
        <v/>
      </c>
      <c r="S4894" s="327" t="str">
        <f t="shared" si="1758"/>
        <v/>
      </c>
      <c r="U4894" s="327" t="str">
        <f t="shared" ref="U4894:X4895" si="1759">IF($O4894&lt;&gt;"",(1-$O4894)*U4892,"")</f>
        <v/>
      </c>
      <c r="V4894" s="327" t="str">
        <f t="shared" si="1759"/>
        <v/>
      </c>
      <c r="W4894" s="327" t="str">
        <f t="shared" si="1759"/>
        <v/>
      </c>
      <c r="X4894" s="327" t="str">
        <f t="shared" si="1759"/>
        <v/>
      </c>
    </row>
    <row r="4895" spans="1:24" x14ac:dyDescent="0.25">
      <c r="A4895" s="607" t="str">
        <f>"SgK5123--"&amp;RIGHT(A4894,5)</f>
        <v>SgK5123--Nov14</v>
      </c>
      <c r="B4895" s="435" t="s">
        <v>5435</v>
      </c>
      <c r="C4895" s="436" t="s">
        <v>117</v>
      </c>
      <c r="D4895" s="436" t="s">
        <v>3922</v>
      </c>
      <c r="E4895" s="435"/>
      <c r="F4895" s="450">
        <f t="shared" si="1745"/>
        <v>8.74</v>
      </c>
      <c r="G4895" s="450">
        <f t="shared" si="1746"/>
        <v>9.14</v>
      </c>
      <c r="H4895" s="437">
        <f t="shared" si="1753"/>
        <v>7.31</v>
      </c>
      <c r="I4895" s="700"/>
      <c r="J4895" s="669" t="s">
        <v>5805</v>
      </c>
      <c r="O4895" s="395"/>
      <c r="P4895" s="327" t="str">
        <f t="shared" si="1758"/>
        <v/>
      </c>
      <c r="Q4895" s="327" t="str">
        <f t="shared" si="1758"/>
        <v/>
      </c>
      <c r="R4895" s="327" t="str">
        <f t="shared" si="1758"/>
        <v/>
      </c>
      <c r="S4895" s="327" t="str">
        <f t="shared" si="1758"/>
        <v/>
      </c>
      <c r="U4895" s="327" t="str">
        <f t="shared" si="1759"/>
        <v/>
      </c>
      <c r="V4895" s="327" t="str">
        <f t="shared" si="1759"/>
        <v/>
      </c>
      <c r="W4895" s="327" t="str">
        <f t="shared" si="1759"/>
        <v/>
      </c>
      <c r="X4895" s="327" t="str">
        <f t="shared" si="1759"/>
        <v/>
      </c>
    </row>
    <row r="4896" spans="1:24" x14ac:dyDescent="0.25">
      <c r="A4896" s="607" t="s">
        <v>129</v>
      </c>
      <c r="B4896" s="435" t="s">
        <v>5435</v>
      </c>
      <c r="C4896" s="436" t="s">
        <v>118</v>
      </c>
      <c r="D4896" s="436" t="s">
        <v>3919</v>
      </c>
      <c r="E4896" s="435"/>
      <c r="F4896" s="450">
        <f t="shared" si="1745"/>
        <v>12.59</v>
      </c>
      <c r="G4896" s="450">
        <f t="shared" si="1746"/>
        <v>12.99</v>
      </c>
      <c r="H4896" s="437">
        <f t="shared" si="1753"/>
        <v>10.39</v>
      </c>
      <c r="I4896" s="700"/>
      <c r="J4896" s="669" t="s">
        <v>5805</v>
      </c>
      <c r="O4896" s="395"/>
      <c r="P4896" s="327" t="str">
        <f t="shared" ref="P4896:S4897" si="1760">IF($O4896&lt;&gt;"",(1-$O4896)*P4895,"")</f>
        <v/>
      </c>
      <c r="Q4896" s="327" t="str">
        <f t="shared" si="1760"/>
        <v/>
      </c>
      <c r="R4896" s="327" t="str">
        <f t="shared" si="1760"/>
        <v/>
      </c>
      <c r="S4896" s="327" t="str">
        <f t="shared" si="1760"/>
        <v/>
      </c>
      <c r="U4896" s="327" t="str">
        <f t="shared" ref="U4896:X4897" si="1761">IF($O4896&lt;&gt;"",(1-$O4896)*U4895,"")</f>
        <v/>
      </c>
      <c r="V4896" s="327" t="str">
        <f t="shared" si="1761"/>
        <v/>
      </c>
      <c r="W4896" s="327" t="str">
        <f t="shared" si="1761"/>
        <v/>
      </c>
      <c r="X4896" s="327" t="str">
        <f t="shared" si="1761"/>
        <v/>
      </c>
    </row>
    <row r="4897" spans="1:25" x14ac:dyDescent="0.25">
      <c r="A4897" s="607" t="str">
        <f>"SgK5121--"&amp;RIGHT(A4896,5)</f>
        <v>SgK5121--Dez14</v>
      </c>
      <c r="B4897" s="435" t="s">
        <v>5435</v>
      </c>
      <c r="C4897" s="436" t="s">
        <v>118</v>
      </c>
      <c r="D4897" s="436" t="s">
        <v>3920</v>
      </c>
      <c r="E4897" s="435"/>
      <c r="F4897" s="450">
        <f t="shared" si="1745"/>
        <v>12.25</v>
      </c>
      <c r="G4897" s="450">
        <f t="shared" si="1746"/>
        <v>12.64</v>
      </c>
      <c r="H4897" s="437">
        <f t="shared" si="1753"/>
        <v>10.11</v>
      </c>
      <c r="I4897" s="700"/>
      <c r="J4897" s="669" t="s">
        <v>5805</v>
      </c>
      <c r="O4897" s="395"/>
      <c r="P4897" s="327" t="str">
        <f t="shared" si="1760"/>
        <v/>
      </c>
      <c r="Q4897" s="327" t="str">
        <f t="shared" si="1760"/>
        <v/>
      </c>
      <c r="R4897" s="327" t="str">
        <f t="shared" si="1760"/>
        <v/>
      </c>
      <c r="S4897" s="327" t="str">
        <f t="shared" si="1760"/>
        <v/>
      </c>
      <c r="U4897" s="327" t="str">
        <f t="shared" si="1761"/>
        <v/>
      </c>
      <c r="V4897" s="327" t="str">
        <f t="shared" si="1761"/>
        <v/>
      </c>
      <c r="W4897" s="327" t="str">
        <f t="shared" si="1761"/>
        <v/>
      </c>
      <c r="X4897" s="327" t="str">
        <f t="shared" si="1761"/>
        <v/>
      </c>
    </row>
    <row r="4898" spans="1:25" x14ac:dyDescent="0.25">
      <c r="A4898" s="607" t="str">
        <f>"SgK5122--"&amp;RIGHT(A4897,5)</f>
        <v>SgK5122--Dez14</v>
      </c>
      <c r="B4898" s="435" t="s">
        <v>5435</v>
      </c>
      <c r="C4898" s="436" t="s">
        <v>118</v>
      </c>
      <c r="D4898" s="436" t="s">
        <v>3921</v>
      </c>
      <c r="E4898" s="435"/>
      <c r="F4898" s="450">
        <f t="shared" si="1745"/>
        <v>10.95</v>
      </c>
      <c r="G4898" s="450">
        <f t="shared" si="1746"/>
        <v>11.35</v>
      </c>
      <c r="H4898" s="437">
        <f t="shared" si="1753"/>
        <v>9.08</v>
      </c>
      <c r="I4898" s="700"/>
      <c r="J4898" s="669" t="s">
        <v>5805</v>
      </c>
      <c r="O4898" s="395"/>
      <c r="P4898" s="327" t="str">
        <f t="shared" ref="P4898:S4899" si="1762">IF($O4898&lt;&gt;"",(1-$O4898)*P4896,"")</f>
        <v/>
      </c>
      <c r="Q4898" s="327" t="str">
        <f t="shared" si="1762"/>
        <v/>
      </c>
      <c r="R4898" s="327" t="str">
        <f t="shared" si="1762"/>
        <v/>
      </c>
      <c r="S4898" s="327" t="str">
        <f t="shared" si="1762"/>
        <v/>
      </c>
      <c r="U4898" s="327" t="str">
        <f t="shared" ref="U4898:X4899" si="1763">IF($O4898&lt;&gt;"",(1-$O4898)*U4896,"")</f>
        <v/>
      </c>
      <c r="V4898" s="327" t="str">
        <f t="shared" si="1763"/>
        <v/>
      </c>
      <c r="W4898" s="327" t="str">
        <f t="shared" si="1763"/>
        <v/>
      </c>
      <c r="X4898" s="327" t="str">
        <f t="shared" si="1763"/>
        <v/>
      </c>
    </row>
    <row r="4899" spans="1:25" x14ac:dyDescent="0.25">
      <c r="A4899" s="607" t="str">
        <f>"SgK5123--"&amp;RIGHT(A4898,5)</f>
        <v>SgK5123--Dez14</v>
      </c>
      <c r="B4899" s="435" t="s">
        <v>5435</v>
      </c>
      <c r="C4899" s="436" t="s">
        <v>118</v>
      </c>
      <c r="D4899" s="436" t="s">
        <v>3922</v>
      </c>
      <c r="E4899" s="435"/>
      <c r="F4899" s="450">
        <f t="shared" si="1745"/>
        <v>8.7200000000000006</v>
      </c>
      <c r="G4899" s="450">
        <f t="shared" si="1746"/>
        <v>9.1199999999999992</v>
      </c>
      <c r="H4899" s="437">
        <f t="shared" si="1753"/>
        <v>7.3</v>
      </c>
      <c r="I4899" s="700"/>
      <c r="J4899" s="669" t="s">
        <v>5805</v>
      </c>
      <c r="O4899" s="395"/>
      <c r="P4899" s="327" t="str">
        <f t="shared" si="1762"/>
        <v/>
      </c>
      <c r="Q4899" s="327" t="str">
        <f t="shared" si="1762"/>
        <v/>
      </c>
      <c r="R4899" s="327" t="str">
        <f t="shared" si="1762"/>
        <v/>
      </c>
      <c r="S4899" s="327" t="str">
        <f t="shared" si="1762"/>
        <v/>
      </c>
      <c r="U4899" s="327" t="str">
        <f t="shared" si="1763"/>
        <v/>
      </c>
      <c r="V4899" s="327" t="str">
        <f t="shared" si="1763"/>
        <v/>
      </c>
      <c r="W4899" s="327" t="str">
        <f t="shared" si="1763"/>
        <v/>
      </c>
      <c r="X4899" s="327" t="str">
        <f t="shared" si="1763"/>
        <v/>
      </c>
    </row>
    <row r="4900" spans="1:25" x14ac:dyDescent="0.25">
      <c r="A4900" s="608"/>
      <c r="B4900" s="2"/>
      <c r="C4900" s="34"/>
      <c r="D4900" s="34"/>
      <c r="E4900" s="2"/>
      <c r="F4900" s="445"/>
      <c r="G4900" s="14"/>
      <c r="H4900" s="14" t="str">
        <f t="shared" si="1753"/>
        <v/>
      </c>
      <c r="I4900" s="695"/>
      <c r="J4900" s="669" t="s">
        <v>4180</v>
      </c>
      <c r="K4900" s="15"/>
      <c r="N4900" s="137" t="s">
        <v>3902</v>
      </c>
      <c r="O4900" s="270" t="s">
        <v>5490</v>
      </c>
      <c r="P4900" t="s">
        <v>3919</v>
      </c>
      <c r="Q4900" t="s">
        <v>3920</v>
      </c>
      <c r="R4900" t="s">
        <v>3921</v>
      </c>
      <c r="S4900" t="s">
        <v>3922</v>
      </c>
      <c r="T4900" t="s">
        <v>49</v>
      </c>
      <c r="U4900" t="s">
        <v>3919</v>
      </c>
      <c r="V4900" t="s">
        <v>3920</v>
      </c>
      <c r="W4900" t="s">
        <v>3921</v>
      </c>
      <c r="X4900" t="s">
        <v>3922</v>
      </c>
      <c r="Y4900" t="s">
        <v>50</v>
      </c>
    </row>
    <row r="4901" spans="1:25" x14ac:dyDescent="0.25">
      <c r="A4901" s="607" t="s">
        <v>354</v>
      </c>
      <c r="B4901" s="435" t="s">
        <v>5435</v>
      </c>
      <c r="C4901" s="436" t="str">
        <f t="shared" ref="C4901:C4928" si="1764">"Inbetriebnahme "&amp;TEXT(DATEVALUE(RIGHT(A4901,5)),"MM/JJJJ")</f>
        <v>Inbetriebnahme 01/2015</v>
      </c>
      <c r="D4901" s="436" t="str">
        <f>$Q$4848</f>
        <v>0 - 10 kW</v>
      </c>
      <c r="E4901" s="435"/>
      <c r="F4901" s="450">
        <f t="shared" ref="F4901:F4948" si="1765">IF(HLOOKUP($D4901,$U$4900:$X$5314,MATCH(RIGHT($A4901,5),$N$4900:$N$5314,0),FALSE)&lt;&gt;"",ROUND(HLOOKUP($D4901,$U$4900:$X$5314,MATCH(RIGHT($A4901,5),$N$4900:$N$5314,0),FALSE),2),"")</f>
        <v>12.56</v>
      </c>
      <c r="G4901" s="450">
        <f t="shared" ref="G4901:G4948" si="1766">IF(HLOOKUP($D4901,$P$4900:$X$5314,MATCH(RIGHT($A4901,5),$N$4900:$N$5314,0),FALSE)&lt;&gt;"",ROUND(HLOOKUP($D4901,$P$4900:$X$5314,MATCH(RIGHT($A4901,5),$N$4900:$N$5314,0),FALSE),2),"")</f>
        <v>12.95</v>
      </c>
      <c r="H4901" s="437">
        <f t="shared" si="1753"/>
        <v>10.36</v>
      </c>
      <c r="I4901" s="700"/>
      <c r="J4901" s="669" t="s">
        <v>5805</v>
      </c>
      <c r="K4901" s="15"/>
      <c r="M4901" s="127">
        <v>2015</v>
      </c>
      <c r="N4901" s="639" t="s">
        <v>353</v>
      </c>
      <c r="O4901" s="568">
        <v>2.5000000000000001E-3</v>
      </c>
      <c r="P4901" s="23">
        <f>IF($O4901&lt;&gt;"",P4884*(100%-$O4901),"")</f>
        <v>12.953897342120483</v>
      </c>
      <c r="Q4901" s="23">
        <f>IF($O4901&lt;&gt;"",Q4884*(100%-$O4901),"")</f>
        <v>12.609116804497503</v>
      </c>
      <c r="R4901" s="23">
        <f>IF($O4901&lt;&gt;"",R4884*(100%-$O4901),"")</f>
        <v>11.318652506537212</v>
      </c>
      <c r="S4901" s="23">
        <f>IF($O4901&lt;&gt;"",S4884*(100%-$O4901),"")</f>
        <v>9.0923553207431187</v>
      </c>
      <c r="T4901" s="23"/>
      <c r="U4901" s="23">
        <f>IF($O4901&lt;&gt;"",U4884*(100%-$O4901),"")</f>
        <v>12.559862441979934</v>
      </c>
      <c r="V4901" s="23">
        <f>IF($O4901&lt;&gt;"",V4884*(100%-$O4901),"")</f>
        <v>12.215081904356957</v>
      </c>
      <c r="W4901" s="23">
        <f>IF($O4901&lt;&gt;"",W4884*(100%-$O4901),"")</f>
        <v>10.924617606396664</v>
      </c>
      <c r="X4901" s="23">
        <f>IF($O4901&lt;&gt;"",X4884*(100%-$O4901),"")</f>
        <v>8.6983204206025739</v>
      </c>
    </row>
    <row r="4902" spans="1:25" x14ac:dyDescent="0.25">
      <c r="A4902" s="607" t="str">
        <f>"SgK5121--"&amp;RIGHT(A4901,5)</f>
        <v>SgK5121--Jan15</v>
      </c>
      <c r="B4902" s="435" t="s">
        <v>5435</v>
      </c>
      <c r="C4902" s="436" t="str">
        <f t="shared" si="1764"/>
        <v>Inbetriebnahme 01/2015</v>
      </c>
      <c r="D4902" s="436" t="str">
        <f>$R$4848</f>
        <v>10 - 40 kW</v>
      </c>
      <c r="E4902" s="435"/>
      <c r="F4902" s="450">
        <f t="shared" si="1765"/>
        <v>12.22</v>
      </c>
      <c r="G4902" s="450">
        <f t="shared" si="1766"/>
        <v>12.61</v>
      </c>
      <c r="H4902" s="437">
        <f t="shared" si="1753"/>
        <v>10.09</v>
      </c>
      <c r="I4902" s="700"/>
      <c r="J4902" s="669" t="s">
        <v>5805</v>
      </c>
      <c r="K4902" s="15"/>
      <c r="M4902" s="413"/>
      <c r="N4902" s="333" t="str">
        <f t="shared" ref="N4902:N4912" si="1767">TEXT(DATE(YEAR(DATEVALUE(N4901)),MONTH(DATEVALUE(N4901))+1,1),"MMMJJ")</f>
        <v>Feb15</v>
      </c>
      <c r="O4902" s="568">
        <v>2.5000000000000001E-3</v>
      </c>
      <c r="P4902" s="23">
        <f t="shared" ref="P4902:P4912" si="1768">IF($O4902&lt;&gt;"",P4901*(100%-$O4902),"")</f>
        <v>12.921512598765181</v>
      </c>
      <c r="Q4902" s="23">
        <f t="shared" ref="Q4902:Q4912" si="1769">IF($O4902&lt;&gt;"",Q4901*(100%-$O4902),"")</f>
        <v>12.57759401248626</v>
      </c>
      <c r="R4902" s="23">
        <f t="shared" ref="R4902:R4912" si="1770">IF($O4902&lt;&gt;"",R4901*(100%-$O4902),"")</f>
        <v>11.290355875270869</v>
      </c>
      <c r="S4902" s="23">
        <f t="shared" ref="S4902:S4912" si="1771">IF($O4902&lt;&gt;"",S4901*(100%-$O4902),"")</f>
        <v>9.0696244324412607</v>
      </c>
      <c r="T4902" s="23"/>
      <c r="U4902" s="23">
        <f t="shared" ref="U4902:U4912" si="1772">IF($O4902&lt;&gt;"",U4901*(100%-$O4902),"")</f>
        <v>12.528462785874986</v>
      </c>
      <c r="V4902" s="23">
        <f t="shared" ref="V4902:V4912" si="1773">IF($O4902&lt;&gt;"",V4901*(100%-$O4902),"")</f>
        <v>12.184544199596065</v>
      </c>
      <c r="W4902" s="23">
        <f t="shared" ref="W4902:W4912" si="1774">IF($O4902&lt;&gt;"",W4901*(100%-$O4902),"")</f>
        <v>10.897306062380673</v>
      </c>
      <c r="X4902" s="23">
        <f t="shared" ref="X4902:X4912" si="1775">IF($O4902&lt;&gt;"",X4901*(100%-$O4902),"")</f>
        <v>8.6765746195510687</v>
      </c>
    </row>
    <row r="4903" spans="1:25" x14ac:dyDescent="0.25">
      <c r="A4903" s="607" t="str">
        <f>"SgK5122--"&amp;RIGHT(A4902,5)</f>
        <v>SgK5122--Jan15</v>
      </c>
      <c r="B4903" s="435" t="s">
        <v>5435</v>
      </c>
      <c r="C4903" s="436" t="str">
        <f t="shared" si="1764"/>
        <v>Inbetriebnahme 01/2015</v>
      </c>
      <c r="D4903" s="436" t="str">
        <f>$S$4848</f>
        <v>40 kW - 1 MW</v>
      </c>
      <c r="E4903" s="435"/>
      <c r="F4903" s="450">
        <f t="shared" si="1765"/>
        <v>10.92</v>
      </c>
      <c r="G4903" s="450">
        <f t="shared" si="1766"/>
        <v>11.32</v>
      </c>
      <c r="H4903" s="437">
        <f t="shared" si="1753"/>
        <v>9.06</v>
      </c>
      <c r="I4903" s="700"/>
      <c r="J4903" s="669" t="s">
        <v>5805</v>
      </c>
      <c r="K4903" s="15"/>
      <c r="M4903" s="413"/>
      <c r="N4903" s="333" t="str">
        <f t="shared" si="1767"/>
        <v>Mrz15</v>
      </c>
      <c r="O4903" s="568">
        <v>2.5000000000000001E-3</v>
      </c>
      <c r="P4903" s="23">
        <f t="shared" si="1768"/>
        <v>12.889208817268269</v>
      </c>
      <c r="Q4903" s="23">
        <f t="shared" si="1769"/>
        <v>12.546150027455045</v>
      </c>
      <c r="R4903" s="23">
        <f t="shared" si="1770"/>
        <v>11.262129985582693</v>
      </c>
      <c r="S4903" s="23">
        <f t="shared" si="1771"/>
        <v>9.0469503713601576</v>
      </c>
      <c r="T4903" s="23"/>
      <c r="U4903" s="23">
        <f t="shared" si="1772"/>
        <v>12.497141628910299</v>
      </c>
      <c r="V4903" s="23">
        <f t="shared" si="1773"/>
        <v>12.154082839097075</v>
      </c>
      <c r="W4903" s="23">
        <f t="shared" si="1774"/>
        <v>10.870062797224723</v>
      </c>
      <c r="X4903" s="23">
        <f t="shared" si="1775"/>
        <v>8.6548831830021911</v>
      </c>
    </row>
    <row r="4904" spans="1:25" x14ac:dyDescent="0.25">
      <c r="A4904" s="607" t="str">
        <f>"SgK5123--"&amp;RIGHT(A4903,5)</f>
        <v>SgK5123--Jan15</v>
      </c>
      <c r="B4904" s="435" t="s">
        <v>5435</v>
      </c>
      <c r="C4904" s="436" t="str">
        <f t="shared" si="1764"/>
        <v>Inbetriebnahme 01/2015</v>
      </c>
      <c r="D4904" s="436" t="str">
        <f>$T$4848</f>
        <v>1 - 10 MW</v>
      </c>
      <c r="E4904" s="435"/>
      <c r="F4904" s="450">
        <f t="shared" si="1765"/>
        <v>8.6999999999999993</v>
      </c>
      <c r="G4904" s="450">
        <f t="shared" si="1766"/>
        <v>9.09</v>
      </c>
      <c r="H4904" s="437">
        <f t="shared" si="1753"/>
        <v>7.27</v>
      </c>
      <c r="I4904" s="700"/>
      <c r="J4904" s="669" t="s">
        <v>5805</v>
      </c>
      <c r="K4904" s="15"/>
      <c r="M4904" s="413"/>
      <c r="N4904" s="333" t="str">
        <f t="shared" si="1767"/>
        <v>Apr15</v>
      </c>
      <c r="O4904" s="568">
        <v>2.5000000000000001E-3</v>
      </c>
      <c r="P4904" s="23">
        <f t="shared" si="1768"/>
        <v>12.8569857952251</v>
      </c>
      <c r="Q4904" s="23">
        <f t="shared" si="1769"/>
        <v>12.514784652386409</v>
      </c>
      <c r="R4904" s="23">
        <f t="shared" si="1770"/>
        <v>11.233974660618737</v>
      </c>
      <c r="S4904" s="23">
        <f t="shared" si="1771"/>
        <v>9.0243329954317577</v>
      </c>
      <c r="T4904" s="23"/>
      <c r="U4904" s="23">
        <f t="shared" si="1772"/>
        <v>12.465898774838024</v>
      </c>
      <c r="V4904" s="23">
        <f t="shared" si="1773"/>
        <v>12.123697631999333</v>
      </c>
      <c r="W4904" s="23">
        <f t="shared" si="1774"/>
        <v>10.842887640231661</v>
      </c>
      <c r="X4904" s="23">
        <f t="shared" si="1775"/>
        <v>8.6332459750446855</v>
      </c>
    </row>
    <row r="4905" spans="1:25" x14ac:dyDescent="0.25">
      <c r="A4905" s="607" t="s">
        <v>355</v>
      </c>
      <c r="B4905" s="435" t="s">
        <v>5435</v>
      </c>
      <c r="C4905" s="436" t="str">
        <f t="shared" si="1764"/>
        <v>Inbetriebnahme 02/2015</v>
      </c>
      <c r="D4905" s="436" t="str">
        <f>$Q$4848</f>
        <v>0 - 10 kW</v>
      </c>
      <c r="E4905" s="435"/>
      <c r="F4905" s="450">
        <f t="shared" si="1765"/>
        <v>12.53</v>
      </c>
      <c r="G4905" s="450">
        <f t="shared" si="1766"/>
        <v>12.92</v>
      </c>
      <c r="H4905" s="437">
        <f t="shared" si="1753"/>
        <v>10.34</v>
      </c>
      <c r="I4905" s="700"/>
      <c r="J4905" s="669" t="s">
        <v>5805</v>
      </c>
      <c r="K4905" s="15"/>
      <c r="M4905" s="413"/>
      <c r="N4905" s="333" t="str">
        <f t="shared" si="1767"/>
        <v>Mai15</v>
      </c>
      <c r="O4905" s="568">
        <v>2.5000000000000001E-3</v>
      </c>
      <c r="P4905" s="23">
        <f t="shared" si="1768"/>
        <v>12.824843330737037</v>
      </c>
      <c r="Q4905" s="23">
        <f t="shared" si="1769"/>
        <v>12.483497690755444</v>
      </c>
      <c r="R4905" s="23">
        <f t="shared" si="1770"/>
        <v>11.205889723967191</v>
      </c>
      <c r="S4905" s="23">
        <f t="shared" si="1771"/>
        <v>9.0017721629431779</v>
      </c>
      <c r="T4905" s="23"/>
      <c r="U4905" s="23">
        <f t="shared" si="1772"/>
        <v>12.43473402790093</v>
      </c>
      <c r="V4905" s="23">
        <f t="shared" si="1773"/>
        <v>12.093388387919335</v>
      </c>
      <c r="W4905" s="23">
        <f t="shared" si="1774"/>
        <v>10.815780421131082</v>
      </c>
      <c r="X4905" s="23">
        <f t="shared" si="1775"/>
        <v>8.6116628601070744</v>
      </c>
    </row>
    <row r="4906" spans="1:25" x14ac:dyDescent="0.25">
      <c r="A4906" s="607" t="str">
        <f>"SgK5121--"&amp;RIGHT(A4905,5)</f>
        <v>SgK5121--Feb15</v>
      </c>
      <c r="B4906" s="435" t="s">
        <v>5435</v>
      </c>
      <c r="C4906" s="436" t="str">
        <f t="shared" si="1764"/>
        <v>Inbetriebnahme 02/2015</v>
      </c>
      <c r="D4906" s="436" t="str">
        <f>$R$4848</f>
        <v>10 - 40 kW</v>
      </c>
      <c r="E4906" s="435"/>
      <c r="F4906" s="450">
        <f t="shared" si="1765"/>
        <v>12.18</v>
      </c>
      <c r="G4906" s="450">
        <f t="shared" si="1766"/>
        <v>12.58</v>
      </c>
      <c r="H4906" s="437">
        <f t="shared" si="1753"/>
        <v>10.06</v>
      </c>
      <c r="I4906" s="700"/>
      <c r="J4906" s="669" t="s">
        <v>5805</v>
      </c>
      <c r="K4906" s="15"/>
      <c r="M4906" s="413"/>
      <c r="N4906" s="333" t="str">
        <f t="shared" si="1767"/>
        <v>Jun15</v>
      </c>
      <c r="O4906" s="568">
        <v>2.5000000000000001E-3</v>
      </c>
      <c r="P4906" s="23">
        <f t="shared" si="1768"/>
        <v>12.792781222410195</v>
      </c>
      <c r="Q4906" s="23">
        <f t="shared" si="1769"/>
        <v>12.452288946528556</v>
      </c>
      <c r="R4906" s="23">
        <f t="shared" si="1770"/>
        <v>11.177874999657273</v>
      </c>
      <c r="S4906" s="23">
        <f t="shared" si="1771"/>
        <v>8.9792677325358206</v>
      </c>
      <c r="T4906" s="23"/>
      <c r="U4906" s="23">
        <f t="shared" si="1772"/>
        <v>12.403647192831178</v>
      </c>
      <c r="V4906" s="23">
        <f t="shared" si="1773"/>
        <v>12.063154916949538</v>
      </c>
      <c r="W4906" s="23">
        <f t="shared" si="1774"/>
        <v>10.788740970078255</v>
      </c>
      <c r="X4906" s="23">
        <f t="shared" si="1775"/>
        <v>8.5901337029568072</v>
      </c>
    </row>
    <row r="4907" spans="1:25" x14ac:dyDescent="0.25">
      <c r="A4907" s="607" t="str">
        <f>"SgK5122--"&amp;RIGHT(A4906,5)</f>
        <v>SgK5122--Feb15</v>
      </c>
      <c r="B4907" s="435" t="s">
        <v>5435</v>
      </c>
      <c r="C4907" s="436" t="str">
        <f t="shared" si="1764"/>
        <v>Inbetriebnahme 02/2015</v>
      </c>
      <c r="D4907" s="436" t="str">
        <f>$S$4848</f>
        <v>40 kW - 1 MW</v>
      </c>
      <c r="E4907" s="435"/>
      <c r="F4907" s="450">
        <f t="shared" si="1765"/>
        <v>10.9</v>
      </c>
      <c r="G4907" s="450">
        <f t="shared" si="1766"/>
        <v>11.29</v>
      </c>
      <c r="H4907" s="437">
        <f t="shared" si="1753"/>
        <v>9.0299999999999994</v>
      </c>
      <c r="I4907" s="700"/>
      <c r="J4907" s="669" t="s">
        <v>5805</v>
      </c>
      <c r="K4907" s="15"/>
      <c r="M4907" s="413"/>
      <c r="N4907" s="333" t="str">
        <f t="shared" si="1767"/>
        <v>Jul15</v>
      </c>
      <c r="O4907" s="568">
        <v>2.5000000000000001E-3</v>
      </c>
      <c r="P4907" s="23">
        <f t="shared" si="1768"/>
        <v>12.76079926935417</v>
      </c>
      <c r="Q4907" s="23">
        <f t="shared" si="1769"/>
        <v>12.421158224162236</v>
      </c>
      <c r="R4907" s="23">
        <f t="shared" si="1770"/>
        <v>11.149930312158132</v>
      </c>
      <c r="S4907" s="23">
        <f t="shared" si="1771"/>
        <v>8.9568195632044816</v>
      </c>
      <c r="T4907" s="23"/>
      <c r="U4907" s="23">
        <f t="shared" si="1772"/>
        <v>12.372638074849101</v>
      </c>
      <c r="V4907" s="23">
        <f t="shared" si="1773"/>
        <v>12.032997029657164</v>
      </c>
      <c r="W4907" s="23">
        <f t="shared" si="1774"/>
        <v>10.76176911765306</v>
      </c>
      <c r="X4907" s="23">
        <f t="shared" si="1775"/>
        <v>8.5686583686994151</v>
      </c>
    </row>
    <row r="4908" spans="1:25" x14ac:dyDescent="0.25">
      <c r="A4908" s="607" t="str">
        <f>"SgK5123--"&amp;RIGHT(A4907,5)</f>
        <v>SgK5123--Feb15</v>
      </c>
      <c r="B4908" s="435" t="s">
        <v>5435</v>
      </c>
      <c r="C4908" s="436" t="str">
        <f t="shared" si="1764"/>
        <v>Inbetriebnahme 02/2015</v>
      </c>
      <c r="D4908" s="436" t="str">
        <f>$T$4848</f>
        <v>1 - 10 MW</v>
      </c>
      <c r="E4908" s="435"/>
      <c r="F4908" s="450">
        <f t="shared" si="1765"/>
        <v>8.68</v>
      </c>
      <c r="G4908" s="450">
        <f t="shared" si="1766"/>
        <v>9.07</v>
      </c>
      <c r="H4908" s="437">
        <f t="shared" si="1753"/>
        <v>7.26</v>
      </c>
      <c r="I4908" s="700"/>
      <c r="J4908" s="669" t="s">
        <v>5805</v>
      </c>
      <c r="K4908" s="15"/>
      <c r="M4908" s="127"/>
      <c r="N4908" s="333" t="str">
        <f t="shared" si="1767"/>
        <v>Aug15</v>
      </c>
      <c r="O4908" s="568">
        <v>2.5000000000000001E-3</v>
      </c>
      <c r="P4908" s="23">
        <f t="shared" si="1768"/>
        <v>12.728897271180784</v>
      </c>
      <c r="Q4908" s="23">
        <f t="shared" si="1769"/>
        <v>12.39010532860183</v>
      </c>
      <c r="R4908" s="23">
        <f t="shared" si="1770"/>
        <v>11.122055486377738</v>
      </c>
      <c r="S4908" s="23">
        <f t="shared" si="1771"/>
        <v>8.9344275142964715</v>
      </c>
      <c r="T4908" s="23"/>
      <c r="U4908" s="23">
        <f t="shared" si="1772"/>
        <v>12.34170647966198</v>
      </c>
      <c r="V4908" s="23">
        <f t="shared" si="1773"/>
        <v>12.002914537083022</v>
      </c>
      <c r="W4908" s="23">
        <f t="shared" si="1774"/>
        <v>10.734864694858928</v>
      </c>
      <c r="X4908" s="23">
        <f t="shared" si="1775"/>
        <v>8.5472367227776669</v>
      </c>
    </row>
    <row r="4909" spans="1:25" x14ac:dyDescent="0.25">
      <c r="A4909" s="607" t="s">
        <v>356</v>
      </c>
      <c r="B4909" s="435" t="s">
        <v>5435</v>
      </c>
      <c r="C4909" s="436" t="str">
        <f t="shared" si="1764"/>
        <v>Inbetriebnahme 03/2015</v>
      </c>
      <c r="D4909" s="436" t="str">
        <f>$Q$4848</f>
        <v>0 - 10 kW</v>
      </c>
      <c r="E4909" s="435"/>
      <c r="F4909" s="450">
        <f t="shared" si="1765"/>
        <v>12.5</v>
      </c>
      <c r="G4909" s="450">
        <f t="shared" si="1766"/>
        <v>12.89</v>
      </c>
      <c r="H4909" s="437">
        <f t="shared" si="1753"/>
        <v>10.31</v>
      </c>
      <c r="I4909" s="700"/>
      <c r="J4909" s="669" t="s">
        <v>5805</v>
      </c>
      <c r="K4909" s="15"/>
      <c r="N4909" s="333" t="str">
        <f t="shared" si="1767"/>
        <v>Sep15</v>
      </c>
      <c r="O4909" s="568">
        <v>2.5000000000000001E-3</v>
      </c>
      <c r="P4909" s="23">
        <f t="shared" si="1768"/>
        <v>12.697075028002834</v>
      </c>
      <c r="Q4909" s="23">
        <f t="shared" si="1769"/>
        <v>12.359130065280326</v>
      </c>
      <c r="R4909" s="23">
        <f t="shared" si="1770"/>
        <v>11.094250347661793</v>
      </c>
      <c r="S4909" s="23">
        <f t="shared" si="1771"/>
        <v>8.9120914455107307</v>
      </c>
      <c r="T4909" s="23"/>
      <c r="U4909" s="23">
        <f t="shared" si="1772"/>
        <v>12.310852213462825</v>
      </c>
      <c r="V4909" s="23">
        <f t="shared" si="1773"/>
        <v>11.972907250740315</v>
      </c>
      <c r="W4909" s="23">
        <f t="shared" si="1774"/>
        <v>10.708027533121781</v>
      </c>
      <c r="X4909" s="23">
        <f t="shared" si="1775"/>
        <v>8.5258686309707237</v>
      </c>
    </row>
    <row r="4910" spans="1:25" x14ac:dyDescent="0.25">
      <c r="A4910" s="607" t="str">
        <f>"SgK5121--"&amp;RIGHT(A4909,5)</f>
        <v>SgK5121--Mrz15</v>
      </c>
      <c r="B4910" s="435" t="s">
        <v>5435</v>
      </c>
      <c r="C4910" s="436" t="str">
        <f t="shared" si="1764"/>
        <v>Inbetriebnahme 03/2015</v>
      </c>
      <c r="D4910" s="436" t="str">
        <f>$R$4848</f>
        <v>10 - 40 kW</v>
      </c>
      <c r="E4910" s="435"/>
      <c r="F4910" s="450">
        <f t="shared" si="1765"/>
        <v>12.15</v>
      </c>
      <c r="G4910" s="450">
        <f t="shared" si="1766"/>
        <v>12.55</v>
      </c>
      <c r="H4910" s="437">
        <f t="shared" si="1753"/>
        <v>10.039999999999999</v>
      </c>
      <c r="I4910" s="700"/>
      <c r="J4910" s="669" t="s">
        <v>5805</v>
      </c>
      <c r="K4910" s="15"/>
      <c r="N4910" s="333" t="str">
        <f t="shared" si="1767"/>
        <v>Okt15</v>
      </c>
      <c r="O4910" s="568">
        <v>0</v>
      </c>
      <c r="P4910" s="23">
        <f t="shared" si="1768"/>
        <v>12.697075028002834</v>
      </c>
      <c r="Q4910" s="23">
        <f t="shared" si="1769"/>
        <v>12.359130065280326</v>
      </c>
      <c r="R4910" s="23">
        <f t="shared" si="1770"/>
        <v>11.094250347661793</v>
      </c>
      <c r="S4910" s="23">
        <f t="shared" si="1771"/>
        <v>8.9120914455107307</v>
      </c>
      <c r="T4910" s="23"/>
      <c r="U4910" s="23">
        <f t="shared" si="1772"/>
        <v>12.310852213462825</v>
      </c>
      <c r="V4910" s="23">
        <f t="shared" si="1773"/>
        <v>11.972907250740315</v>
      </c>
      <c r="W4910" s="23">
        <f t="shared" si="1774"/>
        <v>10.708027533121781</v>
      </c>
      <c r="X4910" s="23">
        <f t="shared" si="1775"/>
        <v>8.5258686309707237</v>
      </c>
    </row>
    <row r="4911" spans="1:25" x14ac:dyDescent="0.25">
      <c r="A4911" s="607" t="str">
        <f>"SgK5122--"&amp;RIGHT(A4910,5)</f>
        <v>SgK5122--Mrz15</v>
      </c>
      <c r="B4911" s="435" t="s">
        <v>5435</v>
      </c>
      <c r="C4911" s="436" t="str">
        <f t="shared" si="1764"/>
        <v>Inbetriebnahme 03/2015</v>
      </c>
      <c r="D4911" s="436" t="str">
        <f>$S$4848</f>
        <v>40 kW - 1 MW</v>
      </c>
      <c r="E4911" s="435"/>
      <c r="F4911" s="450">
        <f t="shared" si="1765"/>
        <v>10.87</v>
      </c>
      <c r="G4911" s="450">
        <f t="shared" si="1766"/>
        <v>11.26</v>
      </c>
      <c r="H4911" s="437">
        <f t="shared" si="1753"/>
        <v>9.01</v>
      </c>
      <c r="I4911" s="700"/>
      <c r="J4911" s="669" t="s">
        <v>5805</v>
      </c>
      <c r="K4911" s="15"/>
      <c r="N4911" s="333" t="str">
        <f t="shared" si="1767"/>
        <v>Nov15</v>
      </c>
      <c r="O4911" s="568">
        <v>0</v>
      </c>
      <c r="P4911" s="23">
        <f t="shared" si="1768"/>
        <v>12.697075028002834</v>
      </c>
      <c r="Q4911" s="23">
        <f t="shared" si="1769"/>
        <v>12.359130065280326</v>
      </c>
      <c r="R4911" s="23">
        <f t="shared" si="1770"/>
        <v>11.094250347661793</v>
      </c>
      <c r="S4911" s="23">
        <f t="shared" si="1771"/>
        <v>8.9120914455107307</v>
      </c>
      <c r="T4911" s="23"/>
      <c r="U4911" s="23">
        <f t="shared" si="1772"/>
        <v>12.310852213462825</v>
      </c>
      <c r="V4911" s="23">
        <f t="shared" si="1773"/>
        <v>11.972907250740315</v>
      </c>
      <c r="W4911" s="23">
        <f t="shared" si="1774"/>
        <v>10.708027533121781</v>
      </c>
      <c r="X4911" s="23">
        <f t="shared" si="1775"/>
        <v>8.5258686309707237</v>
      </c>
    </row>
    <row r="4912" spans="1:25" x14ac:dyDescent="0.25">
      <c r="A4912" s="607" t="str">
        <f>"SgK5123--"&amp;RIGHT(A4911,5)</f>
        <v>SgK5123--Mrz15</v>
      </c>
      <c r="B4912" s="435" t="s">
        <v>5435</v>
      </c>
      <c r="C4912" s="436" t="str">
        <f t="shared" si="1764"/>
        <v>Inbetriebnahme 03/2015</v>
      </c>
      <c r="D4912" s="436" t="str">
        <f>$T$4848</f>
        <v>1 - 10 MW</v>
      </c>
      <c r="E4912" s="435"/>
      <c r="F4912" s="450">
        <f t="shared" si="1765"/>
        <v>8.65</v>
      </c>
      <c r="G4912" s="450">
        <f t="shared" si="1766"/>
        <v>9.0500000000000007</v>
      </c>
      <c r="H4912" s="437">
        <f t="shared" si="1753"/>
        <v>7.24</v>
      </c>
      <c r="I4912" s="700"/>
      <c r="J4912" s="669" t="s">
        <v>5805</v>
      </c>
      <c r="K4912" s="15"/>
      <c r="N4912" s="333" t="str">
        <f t="shared" si="1767"/>
        <v>Dez15</v>
      </c>
      <c r="O4912" s="568">
        <v>0</v>
      </c>
      <c r="P4912" s="23">
        <f t="shared" si="1768"/>
        <v>12.697075028002834</v>
      </c>
      <c r="Q4912" s="23">
        <f t="shared" si="1769"/>
        <v>12.359130065280326</v>
      </c>
      <c r="R4912" s="23">
        <f t="shared" si="1770"/>
        <v>11.094250347661793</v>
      </c>
      <c r="S4912" s="23">
        <f t="shared" si="1771"/>
        <v>8.9120914455107307</v>
      </c>
      <c r="T4912" s="23"/>
      <c r="U4912" s="23">
        <f t="shared" si="1772"/>
        <v>12.310852213462825</v>
      </c>
      <c r="V4912" s="23">
        <f t="shared" si="1773"/>
        <v>11.972907250740315</v>
      </c>
      <c r="W4912" s="23">
        <f t="shared" si="1774"/>
        <v>10.708027533121781</v>
      </c>
      <c r="X4912" s="23">
        <f t="shared" si="1775"/>
        <v>8.5258686309707237</v>
      </c>
    </row>
    <row r="4913" spans="1:20" x14ac:dyDescent="0.25">
      <c r="A4913" s="607" t="s">
        <v>357</v>
      </c>
      <c r="B4913" s="435" t="s">
        <v>5435</v>
      </c>
      <c r="C4913" s="436" t="str">
        <f t="shared" si="1764"/>
        <v>Inbetriebnahme 04/2015</v>
      </c>
      <c r="D4913" s="436" t="str">
        <f>$Q$4848</f>
        <v>0 - 10 kW</v>
      </c>
      <c r="E4913" s="435"/>
      <c r="F4913" s="450">
        <f t="shared" si="1765"/>
        <v>12.47</v>
      </c>
      <c r="G4913" s="450">
        <f t="shared" si="1766"/>
        <v>12.86</v>
      </c>
      <c r="H4913" s="437">
        <f t="shared" si="1753"/>
        <v>10.29</v>
      </c>
      <c r="I4913" s="700"/>
      <c r="J4913" s="669" t="s">
        <v>5805</v>
      </c>
      <c r="K4913" s="15"/>
      <c r="M4913" s="413"/>
      <c r="N4913" s="281"/>
      <c r="O4913" s="325"/>
      <c r="P4913" s="326"/>
      <c r="Q4913" s="327"/>
      <c r="R4913" s="327"/>
      <c r="S4913" s="327"/>
      <c r="T4913" s="327"/>
    </row>
    <row r="4914" spans="1:20" x14ac:dyDescent="0.25">
      <c r="A4914" s="607" t="str">
        <f>"SgK5121--"&amp;RIGHT(A4913,5)</f>
        <v>SgK5121--Apr15</v>
      </c>
      <c r="B4914" s="435" t="s">
        <v>5435</v>
      </c>
      <c r="C4914" s="436" t="str">
        <f t="shared" si="1764"/>
        <v>Inbetriebnahme 04/2015</v>
      </c>
      <c r="D4914" s="436" t="str">
        <f>$R$4848</f>
        <v>10 - 40 kW</v>
      </c>
      <c r="E4914" s="435"/>
      <c r="F4914" s="450">
        <f t="shared" si="1765"/>
        <v>12.12</v>
      </c>
      <c r="G4914" s="450">
        <f t="shared" si="1766"/>
        <v>12.51</v>
      </c>
      <c r="H4914" s="437">
        <f t="shared" si="1753"/>
        <v>10.01</v>
      </c>
      <c r="I4914" s="700"/>
      <c r="J4914" s="669" t="s">
        <v>5805</v>
      </c>
      <c r="K4914" s="15"/>
      <c r="M4914" s="413"/>
      <c r="N4914" s="281"/>
      <c r="O4914" s="333"/>
      <c r="P4914" s="326"/>
      <c r="Q4914" s="327"/>
      <c r="R4914" s="327"/>
      <c r="S4914" s="327"/>
      <c r="T4914" s="327"/>
    </row>
    <row r="4915" spans="1:20" x14ac:dyDescent="0.25">
      <c r="A4915" s="607" t="str">
        <f>"SgK5122--"&amp;RIGHT(A4914,5)</f>
        <v>SgK5122--Apr15</v>
      </c>
      <c r="B4915" s="435" t="s">
        <v>5435</v>
      </c>
      <c r="C4915" s="436" t="str">
        <f t="shared" si="1764"/>
        <v>Inbetriebnahme 04/2015</v>
      </c>
      <c r="D4915" s="436" t="str">
        <f>$S$4848</f>
        <v>40 kW - 1 MW</v>
      </c>
      <c r="E4915" s="435"/>
      <c r="F4915" s="450">
        <f t="shared" si="1765"/>
        <v>10.84</v>
      </c>
      <c r="G4915" s="450">
        <f t="shared" si="1766"/>
        <v>11.23</v>
      </c>
      <c r="H4915" s="437">
        <f t="shared" si="1753"/>
        <v>8.98</v>
      </c>
      <c r="I4915" s="700"/>
      <c r="J4915" s="669" t="s">
        <v>5805</v>
      </c>
      <c r="K4915" s="15"/>
      <c r="M4915" s="413"/>
      <c r="N4915" s="281"/>
      <c r="O4915" s="333"/>
      <c r="P4915" s="326"/>
      <c r="Q4915" s="327"/>
      <c r="R4915" s="327"/>
      <c r="S4915" s="327"/>
      <c r="T4915" s="327"/>
    </row>
    <row r="4916" spans="1:20" x14ac:dyDescent="0.25">
      <c r="A4916" s="607" t="str">
        <f>"SgK5123--"&amp;RIGHT(A4915,5)</f>
        <v>SgK5123--Apr15</v>
      </c>
      <c r="B4916" s="435" t="s">
        <v>5435</v>
      </c>
      <c r="C4916" s="436" t="str">
        <f t="shared" si="1764"/>
        <v>Inbetriebnahme 04/2015</v>
      </c>
      <c r="D4916" s="436" t="str">
        <f>$T$4848</f>
        <v>1 - 10 MW</v>
      </c>
      <c r="E4916" s="435"/>
      <c r="F4916" s="450">
        <f t="shared" si="1765"/>
        <v>8.6300000000000008</v>
      </c>
      <c r="G4916" s="450">
        <f t="shared" si="1766"/>
        <v>9.02</v>
      </c>
      <c r="H4916" s="437">
        <f t="shared" si="1753"/>
        <v>7.22</v>
      </c>
      <c r="I4916" s="700"/>
      <c r="J4916" s="669" t="s">
        <v>5805</v>
      </c>
      <c r="K4916" s="15"/>
      <c r="L4916" s="173"/>
      <c r="M4916" s="413"/>
      <c r="N4916" s="281"/>
      <c r="O4916" s="333"/>
      <c r="P4916" s="326"/>
      <c r="Q4916" s="327"/>
      <c r="R4916" s="327"/>
      <c r="S4916" s="327"/>
      <c r="T4916" s="327"/>
    </row>
    <row r="4917" spans="1:20" x14ac:dyDescent="0.25">
      <c r="A4917" s="607" t="s">
        <v>358</v>
      </c>
      <c r="B4917" s="435" t="s">
        <v>5435</v>
      </c>
      <c r="C4917" s="436" t="str">
        <f t="shared" si="1764"/>
        <v>Inbetriebnahme 05/2015</v>
      </c>
      <c r="D4917" s="436" t="str">
        <f>$Q$4848</f>
        <v>0 - 10 kW</v>
      </c>
      <c r="E4917" s="435"/>
      <c r="F4917" s="450">
        <f t="shared" si="1765"/>
        <v>12.43</v>
      </c>
      <c r="G4917" s="450">
        <f t="shared" si="1766"/>
        <v>12.82</v>
      </c>
      <c r="H4917" s="437">
        <f t="shared" si="1753"/>
        <v>10.26</v>
      </c>
      <c r="I4917" s="700"/>
      <c r="J4917" s="669" t="s">
        <v>5805</v>
      </c>
      <c r="K4917" s="15"/>
      <c r="L4917" s="129"/>
      <c r="M4917" s="413"/>
      <c r="N4917" s="281"/>
      <c r="O4917" s="333"/>
      <c r="P4917" s="326"/>
      <c r="Q4917" s="327"/>
      <c r="R4917" s="327"/>
      <c r="S4917" s="327"/>
      <c r="T4917" s="327"/>
    </row>
    <row r="4918" spans="1:20" x14ac:dyDescent="0.25">
      <c r="A4918" s="607" t="str">
        <f>"SgK5121--"&amp;RIGHT(A4917,5)</f>
        <v>SgK5121--Mai15</v>
      </c>
      <c r="B4918" s="435" t="s">
        <v>5435</v>
      </c>
      <c r="C4918" s="436" t="str">
        <f t="shared" si="1764"/>
        <v>Inbetriebnahme 05/2015</v>
      </c>
      <c r="D4918" s="436" t="str">
        <f>$R$4848</f>
        <v>10 - 40 kW</v>
      </c>
      <c r="E4918" s="435"/>
      <c r="F4918" s="450">
        <f t="shared" si="1765"/>
        <v>12.09</v>
      </c>
      <c r="G4918" s="450">
        <f t="shared" si="1766"/>
        <v>12.48</v>
      </c>
      <c r="H4918" s="437">
        <f t="shared" si="1753"/>
        <v>9.98</v>
      </c>
      <c r="I4918" s="700"/>
      <c r="J4918" s="669" t="s">
        <v>5805</v>
      </c>
      <c r="K4918" s="15"/>
      <c r="L4918" s="173"/>
      <c r="M4918" s="413"/>
      <c r="N4918" s="281"/>
      <c r="O4918" s="333"/>
      <c r="P4918" s="326"/>
      <c r="Q4918" s="327"/>
      <c r="R4918" s="327"/>
      <c r="S4918" s="327"/>
      <c r="T4918" s="327"/>
    </row>
    <row r="4919" spans="1:20" x14ac:dyDescent="0.25">
      <c r="A4919" s="607" t="str">
        <f>"SgK5122--"&amp;RIGHT(A4918,5)</f>
        <v>SgK5122--Mai15</v>
      </c>
      <c r="B4919" s="435" t="s">
        <v>5435</v>
      </c>
      <c r="C4919" s="436" t="str">
        <f t="shared" si="1764"/>
        <v>Inbetriebnahme 05/2015</v>
      </c>
      <c r="D4919" s="436" t="str">
        <f>$S$4848</f>
        <v>40 kW - 1 MW</v>
      </c>
      <c r="E4919" s="435"/>
      <c r="F4919" s="450">
        <f t="shared" si="1765"/>
        <v>10.82</v>
      </c>
      <c r="G4919" s="450">
        <f t="shared" si="1766"/>
        <v>11.21</v>
      </c>
      <c r="H4919" s="437">
        <f t="shared" si="1753"/>
        <v>8.9700000000000006</v>
      </c>
      <c r="I4919" s="700"/>
      <c r="J4919" s="669" t="s">
        <v>5805</v>
      </c>
      <c r="K4919" s="15"/>
      <c r="L4919" s="173"/>
      <c r="M4919" s="413"/>
      <c r="N4919" s="281"/>
      <c r="O4919" s="333"/>
      <c r="P4919" s="326"/>
      <c r="Q4919" s="327"/>
      <c r="R4919" s="327"/>
      <c r="S4919" s="327"/>
      <c r="T4919" s="327"/>
    </row>
    <row r="4920" spans="1:20" x14ac:dyDescent="0.25">
      <c r="A4920" s="607" t="str">
        <f>"SgK5123--"&amp;RIGHT(A4919,5)</f>
        <v>SgK5123--Mai15</v>
      </c>
      <c r="B4920" s="435" t="s">
        <v>5435</v>
      </c>
      <c r="C4920" s="436" t="str">
        <f t="shared" si="1764"/>
        <v>Inbetriebnahme 05/2015</v>
      </c>
      <c r="D4920" s="436" t="str">
        <f>$T$4848</f>
        <v>1 - 10 MW</v>
      </c>
      <c r="E4920" s="435"/>
      <c r="F4920" s="450">
        <f t="shared" si="1765"/>
        <v>8.61</v>
      </c>
      <c r="G4920" s="450">
        <f t="shared" si="1766"/>
        <v>9</v>
      </c>
      <c r="H4920" s="437">
        <f t="shared" si="1753"/>
        <v>7.2</v>
      </c>
      <c r="I4920" s="700"/>
      <c r="J4920" s="669" t="s">
        <v>5805</v>
      </c>
      <c r="K4920" s="15"/>
      <c r="L4920" s="173"/>
      <c r="M4920" s="413"/>
      <c r="N4920" s="281"/>
      <c r="O4920" s="333"/>
      <c r="P4920" s="344"/>
      <c r="Q4920" s="327"/>
      <c r="R4920" s="327"/>
      <c r="S4920" s="327"/>
      <c r="T4920" s="327"/>
    </row>
    <row r="4921" spans="1:20" x14ac:dyDescent="0.25">
      <c r="A4921" s="607" t="s">
        <v>359</v>
      </c>
      <c r="B4921" s="435" t="s">
        <v>5435</v>
      </c>
      <c r="C4921" s="436" t="str">
        <f t="shared" si="1764"/>
        <v>Inbetriebnahme 06/2015</v>
      </c>
      <c r="D4921" s="436" t="str">
        <f>$Q$4848</f>
        <v>0 - 10 kW</v>
      </c>
      <c r="E4921" s="435"/>
      <c r="F4921" s="450">
        <f t="shared" si="1765"/>
        <v>12.4</v>
      </c>
      <c r="G4921" s="450">
        <f t="shared" si="1766"/>
        <v>12.79</v>
      </c>
      <c r="H4921" s="437">
        <f t="shared" si="1753"/>
        <v>10.23</v>
      </c>
      <c r="I4921" s="700"/>
      <c r="J4921" s="669" t="s">
        <v>5805</v>
      </c>
      <c r="K4921" s="15"/>
      <c r="L4921" s="173"/>
      <c r="M4921" s="413"/>
      <c r="N4921" s="281"/>
      <c r="O4921" s="333"/>
      <c r="P4921" s="344"/>
      <c r="Q4921" s="327"/>
      <c r="R4921" s="327"/>
      <c r="S4921" s="327"/>
      <c r="T4921" s="327"/>
    </row>
    <row r="4922" spans="1:20" x14ac:dyDescent="0.25">
      <c r="A4922" s="607" t="str">
        <f>"SgK5121--"&amp;RIGHT(A4921,5)</f>
        <v>SgK5121--Jun15</v>
      </c>
      <c r="B4922" s="435" t="s">
        <v>5435</v>
      </c>
      <c r="C4922" s="436" t="str">
        <f t="shared" si="1764"/>
        <v>Inbetriebnahme 06/2015</v>
      </c>
      <c r="D4922" s="436" t="str">
        <f>$R$4848</f>
        <v>10 - 40 kW</v>
      </c>
      <c r="E4922" s="435"/>
      <c r="F4922" s="450">
        <f t="shared" si="1765"/>
        <v>12.06</v>
      </c>
      <c r="G4922" s="450">
        <f t="shared" si="1766"/>
        <v>12.45</v>
      </c>
      <c r="H4922" s="437">
        <f t="shared" si="1753"/>
        <v>9.9600000000000009</v>
      </c>
      <c r="I4922" s="700"/>
      <c r="J4922" s="669" t="s">
        <v>5805</v>
      </c>
      <c r="K4922" s="15"/>
      <c r="L4922" s="173"/>
      <c r="M4922" s="413"/>
      <c r="N4922" s="281"/>
      <c r="O4922" s="325"/>
      <c r="P4922" s="12"/>
      <c r="Q4922" s="12"/>
      <c r="R4922" s="12"/>
      <c r="S4922" s="12"/>
      <c r="T4922" s="12"/>
    </row>
    <row r="4923" spans="1:20" x14ac:dyDescent="0.25">
      <c r="A4923" s="607" t="str">
        <f>"SgK5122--"&amp;RIGHT(A4922,5)</f>
        <v>SgK5122--Jun15</v>
      </c>
      <c r="B4923" s="435" t="s">
        <v>5435</v>
      </c>
      <c r="C4923" s="436" t="str">
        <f t="shared" si="1764"/>
        <v>Inbetriebnahme 06/2015</v>
      </c>
      <c r="D4923" s="436" t="str">
        <f>$S$4848</f>
        <v>40 kW - 1 MW</v>
      </c>
      <c r="E4923" s="435"/>
      <c r="F4923" s="450">
        <f t="shared" si="1765"/>
        <v>10.79</v>
      </c>
      <c r="G4923" s="450">
        <f t="shared" si="1766"/>
        <v>11.18</v>
      </c>
      <c r="H4923" s="437">
        <f t="shared" si="1753"/>
        <v>8.94</v>
      </c>
      <c r="I4923" s="700"/>
      <c r="J4923" s="669" t="s">
        <v>5805</v>
      </c>
      <c r="K4923" s="15"/>
      <c r="L4923" s="173"/>
      <c r="M4923" s="413"/>
      <c r="O4923" s="325"/>
      <c r="P4923" s="12"/>
      <c r="Q4923" s="12"/>
      <c r="R4923" s="12"/>
      <c r="S4923" s="12"/>
      <c r="T4923" s="12"/>
    </row>
    <row r="4924" spans="1:20" x14ac:dyDescent="0.25">
      <c r="A4924" s="607" t="str">
        <f>"SgK5123--"&amp;RIGHT(A4923,5)</f>
        <v>SgK5123--Jun15</v>
      </c>
      <c r="B4924" s="435" t="s">
        <v>5435</v>
      </c>
      <c r="C4924" s="436" t="str">
        <f t="shared" si="1764"/>
        <v>Inbetriebnahme 06/2015</v>
      </c>
      <c r="D4924" s="436" t="str">
        <f>$T$4848</f>
        <v>1 - 10 MW</v>
      </c>
      <c r="E4924" s="435"/>
      <c r="F4924" s="450">
        <f t="shared" si="1765"/>
        <v>8.59</v>
      </c>
      <c r="G4924" s="450">
        <f t="shared" si="1766"/>
        <v>8.98</v>
      </c>
      <c r="H4924" s="437">
        <f t="shared" si="1753"/>
        <v>7.18</v>
      </c>
      <c r="I4924" s="700"/>
      <c r="J4924" s="669" t="s">
        <v>5805</v>
      </c>
      <c r="K4924" s="15"/>
      <c r="L4924" s="173"/>
      <c r="M4924" s="413"/>
      <c r="O4924" s="325"/>
      <c r="P4924" s="12"/>
      <c r="Q4924" s="12"/>
      <c r="R4924" s="12"/>
      <c r="S4924" s="12"/>
      <c r="T4924" s="12"/>
    </row>
    <row r="4925" spans="1:20" x14ac:dyDescent="0.25">
      <c r="A4925" s="607" t="s">
        <v>360</v>
      </c>
      <c r="B4925" s="435" t="s">
        <v>5435</v>
      </c>
      <c r="C4925" s="436" t="str">
        <f t="shared" si="1764"/>
        <v>Inbetriebnahme 07/2015</v>
      </c>
      <c r="D4925" s="436" t="str">
        <f>$Q$4848</f>
        <v>0 - 10 kW</v>
      </c>
      <c r="E4925" s="435"/>
      <c r="F4925" s="450">
        <f t="shared" si="1765"/>
        <v>12.37</v>
      </c>
      <c r="G4925" s="450">
        <f t="shared" si="1766"/>
        <v>12.76</v>
      </c>
      <c r="H4925" s="437">
        <f t="shared" si="1753"/>
        <v>10.210000000000001</v>
      </c>
      <c r="I4925" s="700"/>
      <c r="J4925" s="669" t="s">
        <v>5805</v>
      </c>
      <c r="K4925" s="15"/>
      <c r="L4925" s="173"/>
      <c r="M4925" s="413"/>
      <c r="O4925" s="325"/>
      <c r="P4925" s="12"/>
      <c r="Q4925" s="12"/>
      <c r="R4925" s="12"/>
      <c r="S4925" s="12"/>
      <c r="T4925" s="12"/>
    </row>
    <row r="4926" spans="1:20" x14ac:dyDescent="0.25">
      <c r="A4926" s="607" t="str">
        <f>"SgK5121--"&amp;RIGHT(A4925,5)</f>
        <v>SgK5121--Jul15</v>
      </c>
      <c r="B4926" s="435" t="s">
        <v>5435</v>
      </c>
      <c r="C4926" s="436" t="str">
        <f t="shared" si="1764"/>
        <v>Inbetriebnahme 07/2015</v>
      </c>
      <c r="D4926" s="436" t="str">
        <f>$R$4848</f>
        <v>10 - 40 kW</v>
      </c>
      <c r="E4926" s="435"/>
      <c r="F4926" s="450">
        <f t="shared" si="1765"/>
        <v>12.03</v>
      </c>
      <c r="G4926" s="450">
        <f t="shared" si="1766"/>
        <v>12.42</v>
      </c>
      <c r="H4926" s="437">
        <f t="shared" si="1753"/>
        <v>9.94</v>
      </c>
      <c r="I4926" s="700"/>
      <c r="J4926" s="669" t="s">
        <v>5805</v>
      </c>
      <c r="K4926" s="15"/>
      <c r="L4926" s="173"/>
      <c r="M4926" s="413"/>
      <c r="O4926" s="325"/>
      <c r="P4926" s="12"/>
      <c r="Q4926" s="12"/>
      <c r="R4926" s="12"/>
      <c r="S4926" s="12"/>
      <c r="T4926" s="12"/>
    </row>
    <row r="4927" spans="1:20" x14ac:dyDescent="0.25">
      <c r="A4927" s="607" t="str">
        <f>"SgK5122--"&amp;RIGHT(A4926,5)</f>
        <v>SgK5122--Jul15</v>
      </c>
      <c r="B4927" s="435" t="s">
        <v>5435</v>
      </c>
      <c r="C4927" s="436" t="str">
        <f t="shared" si="1764"/>
        <v>Inbetriebnahme 07/2015</v>
      </c>
      <c r="D4927" s="436" t="str">
        <f>$S$4848</f>
        <v>40 kW - 1 MW</v>
      </c>
      <c r="E4927" s="435"/>
      <c r="F4927" s="450">
        <f t="shared" si="1765"/>
        <v>10.76</v>
      </c>
      <c r="G4927" s="450">
        <f t="shared" si="1766"/>
        <v>11.15</v>
      </c>
      <c r="H4927" s="437">
        <f t="shared" si="1753"/>
        <v>8.92</v>
      </c>
      <c r="I4927" s="700"/>
      <c r="J4927" s="669" t="s">
        <v>5805</v>
      </c>
      <c r="K4927" s="15"/>
      <c r="L4927" s="173"/>
      <c r="M4927" s="413"/>
      <c r="O4927" s="325"/>
      <c r="P4927" s="12"/>
      <c r="Q4927" s="12"/>
      <c r="R4927" s="12"/>
      <c r="S4927" s="12"/>
      <c r="T4927" s="12"/>
    </row>
    <row r="4928" spans="1:20" x14ac:dyDescent="0.25">
      <c r="A4928" s="607" t="str">
        <f>"SgK5123--"&amp;RIGHT(A4927,5)</f>
        <v>SgK5123--Jul15</v>
      </c>
      <c r="B4928" s="435" t="s">
        <v>5435</v>
      </c>
      <c r="C4928" s="436" t="str">
        <f t="shared" si="1764"/>
        <v>Inbetriebnahme 07/2015</v>
      </c>
      <c r="D4928" s="436" t="str">
        <f>$T$4848</f>
        <v>1 - 10 MW</v>
      </c>
      <c r="E4928" s="435"/>
      <c r="F4928" s="450">
        <f t="shared" si="1765"/>
        <v>8.57</v>
      </c>
      <c r="G4928" s="450">
        <f t="shared" si="1766"/>
        <v>8.9600000000000009</v>
      </c>
      <c r="H4928" s="437">
        <f t="shared" si="1753"/>
        <v>7.17</v>
      </c>
      <c r="I4928" s="700"/>
      <c r="J4928" s="669" t="s">
        <v>5805</v>
      </c>
      <c r="M4928" s="413"/>
      <c r="O4928" s="325"/>
      <c r="P4928" s="12"/>
      <c r="Q4928" s="12"/>
      <c r="R4928" s="12"/>
      <c r="S4928" s="12"/>
      <c r="T4928" s="12"/>
    </row>
    <row r="4929" spans="1:24" x14ac:dyDescent="0.25">
      <c r="A4929" s="607" t="s">
        <v>343</v>
      </c>
      <c r="B4929" s="435" t="s">
        <v>5435</v>
      </c>
      <c r="C4929" s="436" t="s">
        <v>344</v>
      </c>
      <c r="D4929" s="436" t="s">
        <v>3919</v>
      </c>
      <c r="E4929" s="435"/>
      <c r="F4929" s="450">
        <f t="shared" si="1765"/>
        <v>12.34</v>
      </c>
      <c r="G4929" s="450">
        <f t="shared" si="1766"/>
        <v>12.73</v>
      </c>
      <c r="H4929" s="437">
        <f t="shared" si="1753"/>
        <v>10.18</v>
      </c>
      <c r="I4929" s="700"/>
      <c r="J4929" s="669" t="s">
        <v>5805</v>
      </c>
    </row>
    <row r="4930" spans="1:24" x14ac:dyDescent="0.25">
      <c r="A4930" s="607" t="str">
        <f>"SgK5121--"&amp;RIGHT(A4929,5)</f>
        <v>SgK5121--Aug15</v>
      </c>
      <c r="B4930" s="435" t="s">
        <v>5435</v>
      </c>
      <c r="C4930" s="436" t="s">
        <v>344</v>
      </c>
      <c r="D4930" s="436" t="s">
        <v>3920</v>
      </c>
      <c r="E4930" s="435"/>
      <c r="F4930" s="450">
        <f t="shared" si="1765"/>
        <v>12</v>
      </c>
      <c r="G4930" s="450">
        <f t="shared" si="1766"/>
        <v>12.39</v>
      </c>
      <c r="H4930" s="437">
        <f t="shared" si="1753"/>
        <v>9.91</v>
      </c>
      <c r="I4930" s="700"/>
      <c r="J4930" s="669" t="s">
        <v>5805</v>
      </c>
    </row>
    <row r="4931" spans="1:24" x14ac:dyDescent="0.25">
      <c r="A4931" s="607" t="str">
        <f>"SgK5122--"&amp;RIGHT(A4930,5)</f>
        <v>SgK5122--Aug15</v>
      </c>
      <c r="B4931" s="435" t="s">
        <v>5435</v>
      </c>
      <c r="C4931" s="436" t="s">
        <v>344</v>
      </c>
      <c r="D4931" s="436" t="s">
        <v>3921</v>
      </c>
      <c r="E4931" s="435"/>
      <c r="F4931" s="450">
        <f t="shared" si="1765"/>
        <v>10.73</v>
      </c>
      <c r="G4931" s="450">
        <f t="shared" si="1766"/>
        <v>11.12</v>
      </c>
      <c r="H4931" s="437">
        <f t="shared" si="1753"/>
        <v>8.9</v>
      </c>
      <c r="I4931" s="700"/>
      <c r="J4931" s="669" t="s">
        <v>5805</v>
      </c>
    </row>
    <row r="4932" spans="1:24" x14ac:dyDescent="0.25">
      <c r="A4932" s="607" t="str">
        <f>"SgK5123--"&amp;RIGHT(A4931,5)</f>
        <v>SgK5123--Aug15</v>
      </c>
      <c r="B4932" s="435" t="s">
        <v>5435</v>
      </c>
      <c r="C4932" s="436" t="s">
        <v>344</v>
      </c>
      <c r="D4932" s="436" t="s">
        <v>3922</v>
      </c>
      <c r="E4932" s="435"/>
      <c r="F4932" s="450">
        <f t="shared" si="1765"/>
        <v>8.5500000000000007</v>
      </c>
      <c r="G4932" s="450">
        <f t="shared" si="1766"/>
        <v>8.93</v>
      </c>
      <c r="H4932" s="437">
        <f t="shared" si="1753"/>
        <v>7.14</v>
      </c>
      <c r="I4932" s="700"/>
      <c r="J4932" s="669" t="s">
        <v>5805</v>
      </c>
    </row>
    <row r="4933" spans="1:24" x14ac:dyDescent="0.25">
      <c r="A4933" s="607" t="s">
        <v>345</v>
      </c>
      <c r="B4933" s="435" t="s">
        <v>5435</v>
      </c>
      <c r="C4933" s="436" t="s">
        <v>346</v>
      </c>
      <c r="D4933" s="436" t="s">
        <v>3919</v>
      </c>
      <c r="E4933" s="435"/>
      <c r="F4933" s="450">
        <f t="shared" si="1765"/>
        <v>12.31</v>
      </c>
      <c r="G4933" s="450">
        <f t="shared" si="1766"/>
        <v>12.7</v>
      </c>
      <c r="H4933" s="437">
        <f t="shared" si="1753"/>
        <v>10.16</v>
      </c>
      <c r="I4933" s="700"/>
      <c r="J4933" s="669" t="s">
        <v>5805</v>
      </c>
    </row>
    <row r="4934" spans="1:24" x14ac:dyDescent="0.25">
      <c r="A4934" s="607" t="str">
        <f>"SgK5121--"&amp;RIGHT(A4933,5)</f>
        <v>SgK5121--Sep15</v>
      </c>
      <c r="B4934" s="435" t="s">
        <v>5435</v>
      </c>
      <c r="C4934" s="436" t="s">
        <v>346</v>
      </c>
      <c r="D4934" s="436" t="s">
        <v>3920</v>
      </c>
      <c r="E4934" s="435"/>
      <c r="F4934" s="450">
        <f t="shared" si="1765"/>
        <v>11.97</v>
      </c>
      <c r="G4934" s="450">
        <f t="shared" si="1766"/>
        <v>12.36</v>
      </c>
      <c r="H4934" s="437">
        <f t="shared" si="1753"/>
        <v>9.89</v>
      </c>
      <c r="I4934" s="700"/>
      <c r="J4934" s="669" t="s">
        <v>5805</v>
      </c>
      <c r="O4934" s="395"/>
      <c r="P4934" s="327" t="str">
        <f>IF($O4934&lt;&gt;"",(1-$O4934)*P4912,"")</f>
        <v/>
      </c>
      <c r="Q4934" s="327" t="str">
        <f>IF($O4934&lt;&gt;"",(1-$O4934)*Q4912,"")</f>
        <v/>
      </c>
      <c r="R4934" s="327" t="str">
        <f>IF($O4934&lt;&gt;"",(1-$O4934)*R4912,"")</f>
        <v/>
      </c>
      <c r="S4934" s="327" t="str">
        <f>IF($O4934&lt;&gt;"",(1-$O4934)*S4912,"")</f>
        <v/>
      </c>
      <c r="U4934" s="327" t="str">
        <f>IF($O4934&lt;&gt;"",(1-$O4934)*U4912,"")</f>
        <v/>
      </c>
      <c r="V4934" s="327" t="str">
        <f>IF($O4934&lt;&gt;"",(1-$O4934)*V4912,"")</f>
        <v/>
      </c>
      <c r="W4934" s="327" t="str">
        <f>IF($O4934&lt;&gt;"",(1-$O4934)*W4912,"")</f>
        <v/>
      </c>
      <c r="X4934" s="327" t="str">
        <f>IF($O4934&lt;&gt;"",(1-$O4934)*X4912,"")</f>
        <v/>
      </c>
    </row>
    <row r="4935" spans="1:24" x14ac:dyDescent="0.25">
      <c r="A4935" s="607" t="str">
        <f>"SgK5122--"&amp;RIGHT(A4934,5)</f>
        <v>SgK5122--Sep15</v>
      </c>
      <c r="B4935" s="435" t="s">
        <v>5435</v>
      </c>
      <c r="C4935" s="436" t="s">
        <v>346</v>
      </c>
      <c r="D4935" s="436" t="s">
        <v>3921</v>
      </c>
      <c r="E4935" s="435"/>
      <c r="F4935" s="450">
        <f t="shared" si="1765"/>
        <v>10.71</v>
      </c>
      <c r="G4935" s="450">
        <f t="shared" si="1766"/>
        <v>11.09</v>
      </c>
      <c r="H4935" s="437">
        <f t="shared" si="1753"/>
        <v>8.8699999999999992</v>
      </c>
      <c r="I4935" s="700"/>
      <c r="J4935" s="669" t="s">
        <v>5805</v>
      </c>
      <c r="O4935" s="395"/>
      <c r="P4935" s="327" t="str">
        <f>IF($O4935&lt;&gt;"",(1-$O4935)*P4912,"")</f>
        <v/>
      </c>
      <c r="Q4935" s="327" t="str">
        <f>IF($O4935&lt;&gt;"",(1-$O4935)*Q4912,"")</f>
        <v/>
      </c>
      <c r="R4935" s="327" t="str">
        <f>IF($O4935&lt;&gt;"",(1-$O4935)*R4912,"")</f>
        <v/>
      </c>
      <c r="S4935" s="327" t="str">
        <f>IF($O4935&lt;&gt;"",(1-$O4935)*S4912,"")</f>
        <v/>
      </c>
      <c r="U4935" s="327" t="str">
        <f>IF($O4935&lt;&gt;"",(1-$O4935)*U4912,"")</f>
        <v/>
      </c>
      <c r="V4935" s="327" t="str">
        <f>IF($O4935&lt;&gt;"",(1-$O4935)*V4912,"")</f>
        <v/>
      </c>
      <c r="W4935" s="327" t="str">
        <f>IF($O4935&lt;&gt;"",(1-$O4935)*W4912,"")</f>
        <v/>
      </c>
      <c r="X4935" s="327" t="str">
        <f>IF($O4935&lt;&gt;"",(1-$O4935)*X4912,"")</f>
        <v/>
      </c>
    </row>
    <row r="4936" spans="1:24" x14ac:dyDescent="0.25">
      <c r="A4936" s="607" t="str">
        <f>"SgK5123--"&amp;RIGHT(A4935,5)</f>
        <v>SgK5123--Sep15</v>
      </c>
      <c r="B4936" s="435" t="s">
        <v>5435</v>
      </c>
      <c r="C4936" s="436" t="s">
        <v>346</v>
      </c>
      <c r="D4936" s="436" t="s">
        <v>3922</v>
      </c>
      <c r="E4936" s="435"/>
      <c r="F4936" s="450">
        <f t="shared" si="1765"/>
        <v>8.5299999999999994</v>
      </c>
      <c r="G4936" s="450">
        <f t="shared" si="1766"/>
        <v>8.91</v>
      </c>
      <c r="H4936" s="437">
        <f t="shared" si="1753"/>
        <v>7.13</v>
      </c>
      <c r="I4936" s="700"/>
      <c r="J4936" s="669" t="s">
        <v>5805</v>
      </c>
      <c r="O4936" s="395"/>
      <c r="P4936" s="327" t="str">
        <f>IF($O4936&lt;&gt;"",(1-$O4936)*P4934,"")</f>
        <v/>
      </c>
      <c r="Q4936" s="327" t="str">
        <f>IF($O4936&lt;&gt;"",(1-$O4936)*Q4934,"")</f>
        <v/>
      </c>
      <c r="R4936" s="327" t="str">
        <f>IF($O4936&lt;&gt;"",(1-$O4936)*R4934,"")</f>
        <v/>
      </c>
      <c r="S4936" s="327" t="str">
        <f>IF($O4936&lt;&gt;"",(1-$O4936)*S4934,"")</f>
        <v/>
      </c>
      <c r="U4936" s="327" t="str">
        <f>IF($O4936&lt;&gt;"",(1-$O4936)*U4934,"")</f>
        <v/>
      </c>
      <c r="V4936" s="327" t="str">
        <f>IF($O4936&lt;&gt;"",(1-$O4936)*V4934,"")</f>
        <v/>
      </c>
      <c r="W4936" s="327" t="str">
        <f>IF($O4936&lt;&gt;"",(1-$O4936)*W4934,"")</f>
        <v/>
      </c>
      <c r="X4936" s="327" t="str">
        <f>IF($O4936&lt;&gt;"",(1-$O4936)*X4934,"")</f>
        <v/>
      </c>
    </row>
    <row r="4937" spans="1:24" x14ac:dyDescent="0.25">
      <c r="A4937" s="607" t="s">
        <v>347</v>
      </c>
      <c r="B4937" s="435" t="s">
        <v>5435</v>
      </c>
      <c r="C4937" s="436" t="s">
        <v>348</v>
      </c>
      <c r="D4937" s="436" t="s">
        <v>3919</v>
      </c>
      <c r="E4937" s="435"/>
      <c r="F4937" s="450">
        <f t="shared" si="1765"/>
        <v>12.31</v>
      </c>
      <c r="G4937" s="450">
        <f t="shared" si="1766"/>
        <v>12.7</v>
      </c>
      <c r="H4937" s="437">
        <f t="shared" si="1753"/>
        <v>10.16</v>
      </c>
      <c r="I4937" s="700"/>
      <c r="J4937" s="669" t="s">
        <v>5805</v>
      </c>
      <c r="O4937" s="395"/>
      <c r="P4937" s="327" t="str">
        <f t="shared" ref="P4937:S4938" si="1776">IF($O4937&lt;&gt;"",(1-$O4937)*P4936,"")</f>
        <v/>
      </c>
      <c r="Q4937" s="327" t="str">
        <f t="shared" si="1776"/>
        <v/>
      </c>
      <c r="R4937" s="327" t="str">
        <f t="shared" si="1776"/>
        <v/>
      </c>
      <c r="S4937" s="327" t="str">
        <f t="shared" si="1776"/>
        <v/>
      </c>
      <c r="U4937" s="327" t="str">
        <f t="shared" ref="U4937:X4938" si="1777">IF($O4937&lt;&gt;"",(1-$O4937)*U4936,"")</f>
        <v/>
      </c>
      <c r="V4937" s="327" t="str">
        <f t="shared" si="1777"/>
        <v/>
      </c>
      <c r="W4937" s="327" t="str">
        <f t="shared" si="1777"/>
        <v/>
      </c>
      <c r="X4937" s="327" t="str">
        <f t="shared" si="1777"/>
        <v/>
      </c>
    </row>
    <row r="4938" spans="1:24" x14ac:dyDescent="0.25">
      <c r="A4938" s="607" t="str">
        <f>"SgK5121--"&amp;RIGHT(A4937,5)</f>
        <v>SgK5121--Okt15</v>
      </c>
      <c r="B4938" s="435" t="s">
        <v>5435</v>
      </c>
      <c r="C4938" s="436" t="s">
        <v>348</v>
      </c>
      <c r="D4938" s="436" t="s">
        <v>3920</v>
      </c>
      <c r="E4938" s="435"/>
      <c r="F4938" s="450">
        <f t="shared" si="1765"/>
        <v>11.97</v>
      </c>
      <c r="G4938" s="450">
        <f t="shared" si="1766"/>
        <v>12.36</v>
      </c>
      <c r="H4938" s="437">
        <f t="shared" si="1753"/>
        <v>9.89</v>
      </c>
      <c r="I4938" s="700"/>
      <c r="J4938" s="669" t="s">
        <v>5805</v>
      </c>
      <c r="O4938" s="395"/>
      <c r="P4938" s="327" t="str">
        <f t="shared" si="1776"/>
        <v/>
      </c>
      <c r="Q4938" s="327" t="str">
        <f t="shared" si="1776"/>
        <v/>
      </c>
      <c r="R4938" s="327" t="str">
        <f t="shared" si="1776"/>
        <v/>
      </c>
      <c r="S4938" s="327" t="str">
        <f t="shared" si="1776"/>
        <v/>
      </c>
      <c r="U4938" s="327" t="str">
        <f t="shared" si="1777"/>
        <v/>
      </c>
      <c r="V4938" s="327" t="str">
        <f t="shared" si="1777"/>
        <v/>
      </c>
      <c r="W4938" s="327" t="str">
        <f t="shared" si="1777"/>
        <v/>
      </c>
      <c r="X4938" s="327" t="str">
        <f t="shared" si="1777"/>
        <v/>
      </c>
    </row>
    <row r="4939" spans="1:24" x14ac:dyDescent="0.25">
      <c r="A4939" s="607" t="str">
        <f>"SgK5122--"&amp;RIGHT(A4938,5)</f>
        <v>SgK5122--Okt15</v>
      </c>
      <c r="B4939" s="435" t="s">
        <v>5435</v>
      </c>
      <c r="C4939" s="436" t="s">
        <v>348</v>
      </c>
      <c r="D4939" s="436" t="s">
        <v>3921</v>
      </c>
      <c r="E4939" s="435"/>
      <c r="F4939" s="450">
        <f t="shared" si="1765"/>
        <v>10.71</v>
      </c>
      <c r="G4939" s="450">
        <f t="shared" si="1766"/>
        <v>11.09</v>
      </c>
      <c r="H4939" s="437">
        <f t="shared" si="1753"/>
        <v>8.8699999999999992</v>
      </c>
      <c r="I4939" s="700"/>
      <c r="J4939" s="669" t="s">
        <v>5805</v>
      </c>
      <c r="O4939" s="395"/>
      <c r="P4939" s="327" t="str">
        <f t="shared" ref="P4939:S4940" si="1778">IF($O4939&lt;&gt;"",(1-$O4939)*P4937,"")</f>
        <v/>
      </c>
      <c r="Q4939" s="327" t="str">
        <f t="shared" si="1778"/>
        <v/>
      </c>
      <c r="R4939" s="327" t="str">
        <f t="shared" si="1778"/>
        <v/>
      </c>
      <c r="S4939" s="327" t="str">
        <f t="shared" si="1778"/>
        <v/>
      </c>
      <c r="U4939" s="327" t="str">
        <f t="shared" ref="U4939:X4940" si="1779">IF($O4939&lt;&gt;"",(1-$O4939)*U4937,"")</f>
        <v/>
      </c>
      <c r="V4939" s="327" t="str">
        <f t="shared" si="1779"/>
        <v/>
      </c>
      <c r="W4939" s="327" t="str">
        <f t="shared" si="1779"/>
        <v/>
      </c>
      <c r="X4939" s="327" t="str">
        <f t="shared" si="1779"/>
        <v/>
      </c>
    </row>
    <row r="4940" spans="1:24" x14ac:dyDescent="0.25">
      <c r="A4940" s="607" t="str">
        <f>"SgK5123--"&amp;RIGHT(A4939,5)</f>
        <v>SgK5123--Okt15</v>
      </c>
      <c r="B4940" s="435" t="s">
        <v>5435</v>
      </c>
      <c r="C4940" s="436" t="s">
        <v>348</v>
      </c>
      <c r="D4940" s="436" t="s">
        <v>3922</v>
      </c>
      <c r="E4940" s="435"/>
      <c r="F4940" s="450">
        <f t="shared" si="1765"/>
        <v>8.5299999999999994</v>
      </c>
      <c r="G4940" s="450">
        <f t="shared" si="1766"/>
        <v>8.91</v>
      </c>
      <c r="H4940" s="437">
        <f t="shared" si="1753"/>
        <v>7.13</v>
      </c>
      <c r="I4940" s="700"/>
      <c r="J4940" s="669" t="s">
        <v>5805</v>
      </c>
      <c r="O4940" s="395"/>
      <c r="P4940" s="327" t="str">
        <f t="shared" si="1778"/>
        <v/>
      </c>
      <c r="Q4940" s="327" t="str">
        <f t="shared" si="1778"/>
        <v/>
      </c>
      <c r="R4940" s="327" t="str">
        <f t="shared" si="1778"/>
        <v/>
      </c>
      <c r="S4940" s="327" t="str">
        <f t="shared" si="1778"/>
        <v/>
      </c>
      <c r="U4940" s="327" t="str">
        <f t="shared" si="1779"/>
        <v/>
      </c>
      <c r="V4940" s="327" t="str">
        <f t="shared" si="1779"/>
        <v/>
      </c>
      <c r="W4940" s="327" t="str">
        <f t="shared" si="1779"/>
        <v/>
      </c>
      <c r="X4940" s="327" t="str">
        <f t="shared" si="1779"/>
        <v/>
      </c>
    </row>
    <row r="4941" spans="1:24" x14ac:dyDescent="0.25">
      <c r="A4941" s="607" t="s">
        <v>349</v>
      </c>
      <c r="B4941" s="435" t="s">
        <v>5435</v>
      </c>
      <c r="C4941" s="436" t="s">
        <v>350</v>
      </c>
      <c r="D4941" s="436" t="s">
        <v>3919</v>
      </c>
      <c r="E4941" s="435"/>
      <c r="F4941" s="450">
        <f t="shared" si="1765"/>
        <v>12.31</v>
      </c>
      <c r="G4941" s="450">
        <f t="shared" si="1766"/>
        <v>12.7</v>
      </c>
      <c r="H4941" s="437">
        <f t="shared" si="1753"/>
        <v>10.16</v>
      </c>
      <c r="I4941" s="700"/>
      <c r="J4941" s="669" t="s">
        <v>5805</v>
      </c>
      <c r="O4941" s="395"/>
      <c r="P4941" s="327" t="str">
        <f t="shared" ref="P4941:S4942" si="1780">IF($O4941&lt;&gt;"",(1-$O4941)*P4940,"")</f>
        <v/>
      </c>
      <c r="Q4941" s="327" t="str">
        <f t="shared" si="1780"/>
        <v/>
      </c>
      <c r="R4941" s="327" t="str">
        <f t="shared" si="1780"/>
        <v/>
      </c>
      <c r="S4941" s="327" t="str">
        <f t="shared" si="1780"/>
        <v/>
      </c>
      <c r="U4941" s="327" t="str">
        <f t="shared" ref="U4941:X4942" si="1781">IF($O4941&lt;&gt;"",(1-$O4941)*U4940,"")</f>
        <v/>
      </c>
      <c r="V4941" s="327" t="str">
        <f t="shared" si="1781"/>
        <v/>
      </c>
      <c r="W4941" s="327" t="str">
        <f t="shared" si="1781"/>
        <v/>
      </c>
      <c r="X4941" s="327" t="str">
        <f t="shared" si="1781"/>
        <v/>
      </c>
    </row>
    <row r="4942" spans="1:24" x14ac:dyDescent="0.25">
      <c r="A4942" s="607" t="str">
        <f>"SgK5121--"&amp;RIGHT(A4941,5)</f>
        <v>SgK5121--Nov15</v>
      </c>
      <c r="B4942" s="435" t="s">
        <v>5435</v>
      </c>
      <c r="C4942" s="436" t="s">
        <v>350</v>
      </c>
      <c r="D4942" s="436" t="s">
        <v>3920</v>
      </c>
      <c r="E4942" s="435"/>
      <c r="F4942" s="450">
        <f t="shared" si="1765"/>
        <v>11.97</v>
      </c>
      <c r="G4942" s="450">
        <f t="shared" si="1766"/>
        <v>12.36</v>
      </c>
      <c r="H4942" s="437">
        <f t="shared" si="1753"/>
        <v>9.89</v>
      </c>
      <c r="I4942" s="700"/>
      <c r="J4942" s="669" t="s">
        <v>5805</v>
      </c>
      <c r="O4942" s="395"/>
      <c r="P4942" s="327" t="str">
        <f t="shared" si="1780"/>
        <v/>
      </c>
      <c r="Q4942" s="327" t="str">
        <f t="shared" si="1780"/>
        <v/>
      </c>
      <c r="R4942" s="327" t="str">
        <f t="shared" si="1780"/>
        <v/>
      </c>
      <c r="S4942" s="327" t="str">
        <f t="shared" si="1780"/>
        <v/>
      </c>
      <c r="U4942" s="327" t="str">
        <f t="shared" si="1781"/>
        <v/>
      </c>
      <c r="V4942" s="327" t="str">
        <f t="shared" si="1781"/>
        <v/>
      </c>
      <c r="W4942" s="327" t="str">
        <f t="shared" si="1781"/>
        <v/>
      </c>
      <c r="X4942" s="327" t="str">
        <f t="shared" si="1781"/>
        <v/>
      </c>
    </row>
    <row r="4943" spans="1:24" x14ac:dyDescent="0.25">
      <c r="A4943" s="607" t="str">
        <f>"SgK5122--"&amp;RIGHT(A4942,5)</f>
        <v>SgK5122--Nov15</v>
      </c>
      <c r="B4943" s="435" t="s">
        <v>5435</v>
      </c>
      <c r="C4943" s="436" t="s">
        <v>350</v>
      </c>
      <c r="D4943" s="436" t="s">
        <v>3921</v>
      </c>
      <c r="E4943" s="435"/>
      <c r="F4943" s="450">
        <f t="shared" si="1765"/>
        <v>10.71</v>
      </c>
      <c r="G4943" s="450">
        <f t="shared" si="1766"/>
        <v>11.09</v>
      </c>
      <c r="H4943" s="437">
        <f t="shared" si="1753"/>
        <v>8.8699999999999992</v>
      </c>
      <c r="I4943" s="700"/>
      <c r="J4943" s="669" t="s">
        <v>5805</v>
      </c>
      <c r="O4943" s="395"/>
      <c r="P4943" s="327" t="str">
        <f t="shared" ref="P4943:S4944" si="1782">IF($O4943&lt;&gt;"",(1-$O4943)*P4941,"")</f>
        <v/>
      </c>
      <c r="Q4943" s="327" t="str">
        <f t="shared" si="1782"/>
        <v/>
      </c>
      <c r="R4943" s="327" t="str">
        <f t="shared" si="1782"/>
        <v/>
      </c>
      <c r="S4943" s="327" t="str">
        <f t="shared" si="1782"/>
        <v/>
      </c>
      <c r="U4943" s="327" t="str">
        <f t="shared" ref="U4943:X4944" si="1783">IF($O4943&lt;&gt;"",(1-$O4943)*U4941,"")</f>
        <v/>
      </c>
      <c r="V4943" s="327" t="str">
        <f t="shared" si="1783"/>
        <v/>
      </c>
      <c r="W4943" s="327" t="str">
        <f t="shared" si="1783"/>
        <v/>
      </c>
      <c r="X4943" s="327" t="str">
        <f t="shared" si="1783"/>
        <v/>
      </c>
    </row>
    <row r="4944" spans="1:24" x14ac:dyDescent="0.25">
      <c r="A4944" s="607" t="str">
        <f>"SgK5123--"&amp;RIGHT(A4943,5)</f>
        <v>SgK5123--Nov15</v>
      </c>
      <c r="B4944" s="435" t="s">
        <v>5435</v>
      </c>
      <c r="C4944" s="436" t="s">
        <v>350</v>
      </c>
      <c r="D4944" s="436" t="s">
        <v>3922</v>
      </c>
      <c r="E4944" s="435"/>
      <c r="F4944" s="450">
        <f t="shared" si="1765"/>
        <v>8.5299999999999994</v>
      </c>
      <c r="G4944" s="450">
        <f t="shared" si="1766"/>
        <v>8.91</v>
      </c>
      <c r="H4944" s="437">
        <f t="shared" si="1753"/>
        <v>7.13</v>
      </c>
      <c r="I4944" s="700"/>
      <c r="J4944" s="669" t="s">
        <v>5805</v>
      </c>
      <c r="O4944" s="395"/>
      <c r="P4944" s="327" t="str">
        <f t="shared" si="1782"/>
        <v/>
      </c>
      <c r="Q4944" s="327" t="str">
        <f t="shared" si="1782"/>
        <v/>
      </c>
      <c r="R4944" s="327" t="str">
        <f t="shared" si="1782"/>
        <v/>
      </c>
      <c r="S4944" s="327" t="str">
        <f t="shared" si="1782"/>
        <v/>
      </c>
      <c r="U4944" s="327" t="str">
        <f t="shared" si="1783"/>
        <v/>
      </c>
      <c r="V4944" s="327" t="str">
        <f t="shared" si="1783"/>
        <v/>
      </c>
      <c r="W4944" s="327" t="str">
        <f t="shared" si="1783"/>
        <v/>
      </c>
      <c r="X4944" s="327" t="str">
        <f t="shared" si="1783"/>
        <v/>
      </c>
    </row>
    <row r="4945" spans="1:25" x14ac:dyDescent="0.25">
      <c r="A4945" s="607" t="s">
        <v>351</v>
      </c>
      <c r="B4945" s="435" t="s">
        <v>5435</v>
      </c>
      <c r="C4945" s="436" t="s">
        <v>352</v>
      </c>
      <c r="D4945" s="436" t="s">
        <v>3919</v>
      </c>
      <c r="E4945" s="435"/>
      <c r="F4945" s="450">
        <f t="shared" si="1765"/>
        <v>12.31</v>
      </c>
      <c r="G4945" s="450">
        <f t="shared" si="1766"/>
        <v>12.7</v>
      </c>
      <c r="H4945" s="437">
        <f t="shared" si="1753"/>
        <v>10.16</v>
      </c>
      <c r="I4945" s="700"/>
      <c r="J4945" s="669" t="s">
        <v>5805</v>
      </c>
      <c r="O4945" s="395"/>
      <c r="P4945" s="327" t="str">
        <f t="shared" ref="P4945:S4946" si="1784">IF($O4945&lt;&gt;"",(1-$O4945)*P4944,"")</f>
        <v/>
      </c>
      <c r="Q4945" s="327" t="str">
        <f t="shared" si="1784"/>
        <v/>
      </c>
      <c r="R4945" s="327" t="str">
        <f t="shared" si="1784"/>
        <v/>
      </c>
      <c r="S4945" s="327" t="str">
        <f t="shared" si="1784"/>
        <v/>
      </c>
      <c r="U4945" s="327" t="str">
        <f t="shared" ref="U4945:X4946" si="1785">IF($O4945&lt;&gt;"",(1-$O4945)*U4944,"")</f>
        <v/>
      </c>
      <c r="V4945" s="327" t="str">
        <f t="shared" si="1785"/>
        <v/>
      </c>
      <c r="W4945" s="327" t="str">
        <f t="shared" si="1785"/>
        <v/>
      </c>
      <c r="X4945" s="327" t="str">
        <f t="shared" si="1785"/>
        <v/>
      </c>
    </row>
    <row r="4946" spans="1:25" x14ac:dyDescent="0.25">
      <c r="A4946" s="607" t="str">
        <f>"SgK5121--"&amp;RIGHT(A4945,5)</f>
        <v>SgK5121--Dez15</v>
      </c>
      <c r="B4946" s="435" t="s">
        <v>5435</v>
      </c>
      <c r="C4946" s="436" t="s">
        <v>352</v>
      </c>
      <c r="D4946" s="436" t="s">
        <v>3920</v>
      </c>
      <c r="E4946" s="435"/>
      <c r="F4946" s="450">
        <f t="shared" si="1765"/>
        <v>11.97</v>
      </c>
      <c r="G4946" s="450">
        <f t="shared" si="1766"/>
        <v>12.36</v>
      </c>
      <c r="H4946" s="437">
        <f t="shared" si="1753"/>
        <v>9.89</v>
      </c>
      <c r="I4946" s="700"/>
      <c r="J4946" s="669" t="s">
        <v>5805</v>
      </c>
      <c r="O4946" s="395"/>
      <c r="P4946" s="327" t="str">
        <f t="shared" si="1784"/>
        <v/>
      </c>
      <c r="Q4946" s="327" t="str">
        <f t="shared" si="1784"/>
        <v/>
      </c>
      <c r="R4946" s="327" t="str">
        <f t="shared" si="1784"/>
        <v/>
      </c>
      <c r="S4946" s="327" t="str">
        <f t="shared" si="1784"/>
        <v/>
      </c>
      <c r="U4946" s="327" t="str">
        <f t="shared" si="1785"/>
        <v/>
      </c>
      <c r="V4946" s="327" t="str">
        <f t="shared" si="1785"/>
        <v/>
      </c>
      <c r="W4946" s="327" t="str">
        <f t="shared" si="1785"/>
        <v/>
      </c>
      <c r="X4946" s="327" t="str">
        <f t="shared" si="1785"/>
        <v/>
      </c>
    </row>
    <row r="4947" spans="1:25" x14ac:dyDescent="0.25">
      <c r="A4947" s="607" t="str">
        <f>"SgK5122--"&amp;RIGHT(A4946,5)</f>
        <v>SgK5122--Dez15</v>
      </c>
      <c r="B4947" s="435" t="s">
        <v>5435</v>
      </c>
      <c r="C4947" s="436" t="s">
        <v>352</v>
      </c>
      <c r="D4947" s="436" t="s">
        <v>3921</v>
      </c>
      <c r="E4947" s="435"/>
      <c r="F4947" s="450">
        <f t="shared" si="1765"/>
        <v>10.71</v>
      </c>
      <c r="G4947" s="450">
        <f t="shared" si="1766"/>
        <v>11.09</v>
      </c>
      <c r="H4947" s="437">
        <f t="shared" si="1753"/>
        <v>8.8699999999999992</v>
      </c>
      <c r="I4947" s="700"/>
      <c r="J4947" s="669" t="s">
        <v>5805</v>
      </c>
      <c r="O4947" s="395"/>
      <c r="P4947" s="327" t="str">
        <f t="shared" ref="P4947:S4948" si="1786">IF($O4947&lt;&gt;"",(1-$O4947)*P4945,"")</f>
        <v/>
      </c>
      <c r="Q4947" s="327" t="str">
        <f t="shared" si="1786"/>
        <v/>
      </c>
      <c r="R4947" s="327" t="str">
        <f t="shared" si="1786"/>
        <v/>
      </c>
      <c r="S4947" s="327" t="str">
        <f t="shared" si="1786"/>
        <v/>
      </c>
      <c r="U4947" s="327" t="str">
        <f t="shared" ref="U4947:X4948" si="1787">IF($O4947&lt;&gt;"",(1-$O4947)*U4945,"")</f>
        <v/>
      </c>
      <c r="V4947" s="327" t="str">
        <f t="shared" si="1787"/>
        <v/>
      </c>
      <c r="W4947" s="327" t="str">
        <f t="shared" si="1787"/>
        <v/>
      </c>
      <c r="X4947" s="327" t="str">
        <f t="shared" si="1787"/>
        <v/>
      </c>
    </row>
    <row r="4948" spans="1:25" x14ac:dyDescent="0.25">
      <c r="A4948" s="607" t="str">
        <f>"SgK5123--"&amp;RIGHT(A4947,5)</f>
        <v>SgK5123--Dez15</v>
      </c>
      <c r="B4948" s="435" t="s">
        <v>5435</v>
      </c>
      <c r="C4948" s="436" t="s">
        <v>352</v>
      </c>
      <c r="D4948" s="436" t="s">
        <v>3922</v>
      </c>
      <c r="E4948" s="435"/>
      <c r="F4948" s="450">
        <f t="shared" si="1765"/>
        <v>8.5299999999999994</v>
      </c>
      <c r="G4948" s="450">
        <f t="shared" si="1766"/>
        <v>8.91</v>
      </c>
      <c r="H4948" s="437">
        <f t="shared" si="1753"/>
        <v>7.13</v>
      </c>
      <c r="I4948" s="700"/>
      <c r="J4948" s="669" t="s">
        <v>5805</v>
      </c>
      <c r="O4948" s="395"/>
      <c r="P4948" s="327" t="str">
        <f t="shared" si="1786"/>
        <v/>
      </c>
      <c r="Q4948" s="327" t="str">
        <f t="shared" si="1786"/>
        <v/>
      </c>
      <c r="R4948" s="327" t="str">
        <f t="shared" si="1786"/>
        <v/>
      </c>
      <c r="S4948" s="327" t="str">
        <f t="shared" si="1786"/>
        <v/>
      </c>
      <c r="U4948" s="327" t="str">
        <f t="shared" si="1787"/>
        <v/>
      </c>
      <c r="V4948" s="327" t="str">
        <f t="shared" si="1787"/>
        <v/>
      </c>
      <c r="W4948" s="327" t="str">
        <f t="shared" si="1787"/>
        <v/>
      </c>
      <c r="X4948" s="327" t="str">
        <f t="shared" si="1787"/>
        <v/>
      </c>
    </row>
    <row r="4949" spans="1:25" x14ac:dyDescent="0.25">
      <c r="A4949" s="608"/>
      <c r="B4949" s="2"/>
      <c r="C4949" s="34"/>
      <c r="D4949" s="34"/>
      <c r="E4949" s="2"/>
      <c r="F4949" s="445"/>
      <c r="G4949" s="14"/>
      <c r="H4949" s="14" t="str">
        <f t="shared" si="1753"/>
        <v/>
      </c>
      <c r="I4949" s="695"/>
      <c r="J4949" s="669" t="s">
        <v>4180</v>
      </c>
      <c r="K4949" s="15"/>
      <c r="N4949" s="137" t="s">
        <v>3902</v>
      </c>
      <c r="O4949" s="270" t="s">
        <v>5490</v>
      </c>
      <c r="P4949" t="s">
        <v>3919</v>
      </c>
      <c r="Q4949" t="s">
        <v>3920</v>
      </c>
      <c r="R4949" t="s">
        <v>3921</v>
      </c>
      <c r="S4949" t="s">
        <v>3922</v>
      </c>
      <c r="T4949" t="s">
        <v>49</v>
      </c>
      <c r="U4949" t="s">
        <v>3919</v>
      </c>
      <c r="V4949" t="s">
        <v>3920</v>
      </c>
      <c r="W4949" t="s">
        <v>3921</v>
      </c>
      <c r="X4949" t="s">
        <v>3922</v>
      </c>
      <c r="Y4949" t="s">
        <v>50</v>
      </c>
    </row>
    <row r="4950" spans="1:25" x14ac:dyDescent="0.25">
      <c r="A4950" s="607" t="s">
        <v>5722</v>
      </c>
      <c r="B4950" s="435" t="s">
        <v>5435</v>
      </c>
      <c r="C4950" s="436" t="str">
        <f t="shared" ref="C4950:C4977" si="1788">"Inbetriebnahme "&amp;TEXT(DATEVALUE(RIGHT(A4950,5)),"MM/JJJJ")</f>
        <v>Inbetriebnahme 01/2016</v>
      </c>
      <c r="D4950" s="436" t="str">
        <f>$Q$4848</f>
        <v>0 - 10 kW</v>
      </c>
      <c r="E4950" s="435"/>
      <c r="F4950" s="450">
        <f>IF(HLOOKUP($D4950,$U$4949:$X$5314,MATCH(RIGHT($A4950,5),$N$4949:$N$5314,0),FALSE)&lt;&gt;"",ROUND(HLOOKUP($D4950,$U$4949:$X$5314,MATCH(RIGHT($A4950,5),$N$4949:$N$5314,0),FALSE),2),"")</f>
        <v>12.31</v>
      </c>
      <c r="G4950" s="450">
        <f t="shared" ref="G4950:G4997" si="1789">IF(HLOOKUP($D4950,$P$4900:$X$5314,MATCH(RIGHT($A4950,5),$N$4900:$N$5314,0),FALSE)&lt;&gt;"",ROUND(HLOOKUP($D4950,$P$4900:$X$5314,MATCH(RIGHT($A4950,5),$N$4900:$N$5314,0),FALSE),2),"")</f>
        <v>12.7</v>
      </c>
      <c r="H4950" s="437">
        <f t="shared" si="1753"/>
        <v>10.16</v>
      </c>
      <c r="I4950" s="700"/>
      <c r="J4950" s="669" t="s">
        <v>5805</v>
      </c>
      <c r="K4950" s="15"/>
      <c r="M4950" s="127">
        <v>2016</v>
      </c>
      <c r="N4950" s="639" t="s">
        <v>5721</v>
      </c>
      <c r="O4950" s="568">
        <v>0</v>
      </c>
      <c r="P4950" s="23">
        <f>IF($O4950&lt;&gt;"",P4912*(100%-$O4950),"")</f>
        <v>12.697075028002834</v>
      </c>
      <c r="Q4950" s="23">
        <f>IF($O4950&lt;&gt;"",Q4912*(100%-$O4950),"")</f>
        <v>12.359130065280326</v>
      </c>
      <c r="R4950" s="23">
        <f>IF($O4950&lt;&gt;"",R4912*(100%-$O4950),"")</f>
        <v>11.094250347661793</v>
      </c>
      <c r="S4950" s="23">
        <f>IF($O4950&lt;&gt;"",S4912*(100%-$O4950),"")</f>
        <v>8.9120914455107307</v>
      </c>
      <c r="T4950" s="23"/>
      <c r="U4950" s="23">
        <f>IF($O4950&lt;&gt;"",U4912*(100%-$O4950),"")</f>
        <v>12.310852213462825</v>
      </c>
      <c r="V4950" s="23">
        <f>IF($O4950&lt;&gt;"",V4912*(100%-$O4950),"")</f>
        <v>11.972907250740315</v>
      </c>
      <c r="W4950" s="23">
        <f>IF($O4950&lt;&gt;"",W4912*(100%-$O4950),"")</f>
        <v>10.708027533121781</v>
      </c>
      <c r="X4950" s="23">
        <f>IF($O4950&lt;&gt;"",X4912*(100%-$O4950),"")</f>
        <v>8.5258686309707237</v>
      </c>
    </row>
    <row r="4951" spans="1:25" x14ac:dyDescent="0.25">
      <c r="A4951" s="607" t="str">
        <f>"SgK5121--"&amp;RIGHT(A4950,5)</f>
        <v>SgK5121--Jan16</v>
      </c>
      <c r="B4951" s="435" t="s">
        <v>5435</v>
      </c>
      <c r="C4951" s="436" t="str">
        <f t="shared" si="1788"/>
        <v>Inbetriebnahme 01/2016</v>
      </c>
      <c r="D4951" s="436" t="str">
        <f>$R$4848</f>
        <v>10 - 40 kW</v>
      </c>
      <c r="E4951" s="435"/>
      <c r="F4951" s="450">
        <f t="shared" ref="F4951:F4997" si="1790">IF(HLOOKUP($D4951,$U$4900:$X$5314,MATCH(RIGHT($A4951,5),$N$4900:$N$5314,0),FALSE)&lt;&gt;"",ROUND(HLOOKUP($D4951,$U$4900:$X$5314,MATCH(RIGHT($A4951,5),$N$4900:$N$5314,0),FALSE),2),"")</f>
        <v>11.97</v>
      </c>
      <c r="G4951" s="450">
        <f t="shared" si="1789"/>
        <v>12.36</v>
      </c>
      <c r="H4951" s="437">
        <f t="shared" si="1753"/>
        <v>9.89</v>
      </c>
      <c r="I4951" s="700"/>
      <c r="J4951" s="669" t="s">
        <v>5805</v>
      </c>
      <c r="K4951" s="15"/>
      <c r="M4951" s="413"/>
      <c r="N4951" s="333" t="str">
        <f t="shared" ref="N4951:N4961" si="1791">TEXT(DATE(YEAR(DATEVALUE(N4950)),MONTH(DATEVALUE(N4950))+1,1),"MMMJJ")</f>
        <v>Feb16</v>
      </c>
      <c r="O4951" s="568">
        <v>0</v>
      </c>
      <c r="P4951" s="23">
        <f t="shared" ref="P4951:P4961" si="1792">IF($O4951&lt;&gt;"",P4950*(100%-$O4951),"")</f>
        <v>12.697075028002834</v>
      </c>
      <c r="Q4951" s="23">
        <f t="shared" ref="Q4951:Q4961" si="1793">IF($O4951&lt;&gt;"",Q4950*(100%-$O4951),"")</f>
        <v>12.359130065280326</v>
      </c>
      <c r="R4951" s="23">
        <f t="shared" ref="R4951:R4961" si="1794">IF($O4951&lt;&gt;"",R4950*(100%-$O4951),"")</f>
        <v>11.094250347661793</v>
      </c>
      <c r="S4951" s="23">
        <f t="shared" ref="S4951:S4961" si="1795">IF($O4951&lt;&gt;"",S4950*(100%-$O4951),"")</f>
        <v>8.9120914455107307</v>
      </c>
      <c r="T4951" s="23"/>
      <c r="U4951" s="23">
        <f t="shared" ref="U4951:U4961" si="1796">IF($O4951&lt;&gt;"",U4950*(100%-$O4951),"")</f>
        <v>12.310852213462825</v>
      </c>
      <c r="V4951" s="23">
        <f t="shared" ref="V4951:V4961" si="1797">IF($O4951&lt;&gt;"",V4950*(100%-$O4951),"")</f>
        <v>11.972907250740315</v>
      </c>
      <c r="W4951" s="23">
        <f t="shared" ref="W4951:W4961" si="1798">IF($O4951&lt;&gt;"",W4950*(100%-$O4951),"")</f>
        <v>10.708027533121781</v>
      </c>
      <c r="X4951" s="23">
        <f t="shared" ref="X4951:X4961" si="1799">IF($O4951&lt;&gt;"",X4950*(100%-$O4951),"")</f>
        <v>8.5258686309707237</v>
      </c>
    </row>
    <row r="4952" spans="1:25" x14ac:dyDescent="0.25">
      <c r="A4952" s="607" t="str">
        <f>"SgK5122--"&amp;RIGHT(A4951,5)</f>
        <v>SgK5122--Jan16</v>
      </c>
      <c r="B4952" s="435" t="s">
        <v>5435</v>
      </c>
      <c r="C4952" s="436" t="str">
        <f t="shared" si="1788"/>
        <v>Inbetriebnahme 01/2016</v>
      </c>
      <c r="D4952" s="436" t="str">
        <f>$S$4848</f>
        <v>40 kW - 1 MW</v>
      </c>
      <c r="E4952" s="435"/>
      <c r="F4952" s="450">
        <f t="shared" si="1790"/>
        <v>10.71</v>
      </c>
      <c r="G4952" s="450">
        <f t="shared" si="1789"/>
        <v>11.09</v>
      </c>
      <c r="H4952" s="437">
        <f t="shared" si="1753"/>
        <v>8.8699999999999992</v>
      </c>
      <c r="I4952" s="700"/>
      <c r="J4952" s="669" t="s">
        <v>5805</v>
      </c>
      <c r="K4952" s="15"/>
      <c r="M4952" s="413"/>
      <c r="N4952" s="333" t="str">
        <f t="shared" si="1791"/>
        <v>Mrz16</v>
      </c>
      <c r="O4952" s="568">
        <v>0</v>
      </c>
      <c r="P4952" s="23">
        <f t="shared" si="1792"/>
        <v>12.697075028002834</v>
      </c>
      <c r="Q4952" s="23">
        <f t="shared" si="1793"/>
        <v>12.359130065280326</v>
      </c>
      <c r="R4952" s="23">
        <f t="shared" si="1794"/>
        <v>11.094250347661793</v>
      </c>
      <c r="S4952" s="23">
        <f t="shared" si="1795"/>
        <v>8.9120914455107307</v>
      </c>
      <c r="T4952" s="23"/>
      <c r="U4952" s="23">
        <f t="shared" si="1796"/>
        <v>12.310852213462825</v>
      </c>
      <c r="V4952" s="23">
        <f t="shared" si="1797"/>
        <v>11.972907250740315</v>
      </c>
      <c r="W4952" s="23">
        <f t="shared" si="1798"/>
        <v>10.708027533121781</v>
      </c>
      <c r="X4952" s="23">
        <f t="shared" si="1799"/>
        <v>8.5258686309707237</v>
      </c>
    </row>
    <row r="4953" spans="1:25" x14ac:dyDescent="0.25">
      <c r="A4953" s="607" t="str">
        <f>"SgK5123--"&amp;RIGHT(A4952,5)</f>
        <v>SgK5123--Jan16</v>
      </c>
      <c r="B4953" s="435" t="s">
        <v>5435</v>
      </c>
      <c r="C4953" s="436" t="str">
        <f t="shared" si="1788"/>
        <v>Inbetriebnahme 01/2016</v>
      </c>
      <c r="D4953" s="436" t="str">
        <f>$T$4848</f>
        <v>1 - 10 MW</v>
      </c>
      <c r="E4953" s="435"/>
      <c r="F4953" s="450">
        <f t="shared" si="1790"/>
        <v>8.5299999999999994</v>
      </c>
      <c r="G4953" s="450">
        <f t="shared" si="1789"/>
        <v>8.91</v>
      </c>
      <c r="H4953" s="437">
        <f t="shared" si="1753"/>
        <v>7.13</v>
      </c>
      <c r="I4953" s="700"/>
      <c r="J4953" s="669" t="s">
        <v>5805</v>
      </c>
      <c r="K4953" s="15"/>
      <c r="M4953" s="413"/>
      <c r="N4953" s="333" t="str">
        <f t="shared" si="1791"/>
        <v>Apr16</v>
      </c>
      <c r="O4953" s="568">
        <v>0</v>
      </c>
      <c r="P4953" s="23">
        <f t="shared" si="1792"/>
        <v>12.697075028002834</v>
      </c>
      <c r="Q4953" s="23">
        <f t="shared" si="1793"/>
        <v>12.359130065280326</v>
      </c>
      <c r="R4953" s="23">
        <f t="shared" si="1794"/>
        <v>11.094250347661793</v>
      </c>
      <c r="S4953" s="23">
        <f t="shared" si="1795"/>
        <v>8.9120914455107307</v>
      </c>
      <c r="T4953" s="23"/>
      <c r="U4953" s="23">
        <f t="shared" si="1796"/>
        <v>12.310852213462825</v>
      </c>
      <c r="V4953" s="23">
        <f t="shared" si="1797"/>
        <v>11.972907250740315</v>
      </c>
      <c r="W4953" s="23">
        <f t="shared" si="1798"/>
        <v>10.708027533121781</v>
      </c>
      <c r="X4953" s="23">
        <f t="shared" si="1799"/>
        <v>8.5258686309707237</v>
      </c>
    </row>
    <row r="4954" spans="1:25" x14ac:dyDescent="0.25">
      <c r="A4954" s="607" t="s">
        <v>5723</v>
      </c>
      <c r="B4954" s="435" t="s">
        <v>5435</v>
      </c>
      <c r="C4954" s="436" t="str">
        <f t="shared" si="1788"/>
        <v>Inbetriebnahme 02/2016</v>
      </c>
      <c r="D4954" s="436" t="str">
        <f>$Q$4848</f>
        <v>0 - 10 kW</v>
      </c>
      <c r="E4954" s="435"/>
      <c r="F4954" s="450">
        <f t="shared" si="1790"/>
        <v>12.31</v>
      </c>
      <c r="G4954" s="450">
        <f t="shared" si="1789"/>
        <v>12.7</v>
      </c>
      <c r="H4954" s="437">
        <f t="shared" ref="H4954:H5008" si="1800">IF(ISNUMBER(G4954),ROUND(0.8*G4954,2),"")</f>
        <v>10.16</v>
      </c>
      <c r="I4954" s="700"/>
      <c r="J4954" s="669" t="s">
        <v>5805</v>
      </c>
      <c r="K4954" s="15"/>
      <c r="M4954" s="413"/>
      <c r="N4954" s="333" t="str">
        <f t="shared" si="1791"/>
        <v>Mai16</v>
      </c>
      <c r="O4954" s="568">
        <v>0</v>
      </c>
      <c r="P4954" s="23">
        <f t="shared" si="1792"/>
        <v>12.697075028002834</v>
      </c>
      <c r="Q4954" s="23">
        <f t="shared" si="1793"/>
        <v>12.359130065280326</v>
      </c>
      <c r="R4954" s="23">
        <f t="shared" si="1794"/>
        <v>11.094250347661793</v>
      </c>
      <c r="S4954" s="23">
        <f t="shared" si="1795"/>
        <v>8.9120914455107307</v>
      </c>
      <c r="T4954" s="23"/>
      <c r="U4954" s="23">
        <f t="shared" si="1796"/>
        <v>12.310852213462825</v>
      </c>
      <c r="V4954" s="23">
        <f t="shared" si="1797"/>
        <v>11.972907250740315</v>
      </c>
      <c r="W4954" s="23">
        <f t="shared" si="1798"/>
        <v>10.708027533121781</v>
      </c>
      <c r="X4954" s="23">
        <f t="shared" si="1799"/>
        <v>8.5258686309707237</v>
      </c>
    </row>
    <row r="4955" spans="1:25" x14ac:dyDescent="0.25">
      <c r="A4955" s="607" t="str">
        <f>"SgK5121--"&amp;RIGHT(A4954,5)</f>
        <v>SgK5121--Feb16</v>
      </c>
      <c r="B4955" s="435" t="s">
        <v>5435</v>
      </c>
      <c r="C4955" s="436" t="str">
        <f t="shared" si="1788"/>
        <v>Inbetriebnahme 02/2016</v>
      </c>
      <c r="D4955" s="436" t="str">
        <f>$R$4848</f>
        <v>10 - 40 kW</v>
      </c>
      <c r="E4955" s="435"/>
      <c r="F4955" s="450">
        <f t="shared" si="1790"/>
        <v>11.97</v>
      </c>
      <c r="G4955" s="450">
        <f t="shared" si="1789"/>
        <v>12.36</v>
      </c>
      <c r="H4955" s="437">
        <f t="shared" si="1800"/>
        <v>9.89</v>
      </c>
      <c r="I4955" s="700"/>
      <c r="J4955" s="669" t="s">
        <v>5805</v>
      </c>
      <c r="K4955" s="15"/>
      <c r="M4955" s="413"/>
      <c r="N4955" s="333" t="str">
        <f t="shared" si="1791"/>
        <v>Jun16</v>
      </c>
      <c r="O4955" s="568">
        <v>0</v>
      </c>
      <c r="P4955" s="23">
        <f t="shared" si="1792"/>
        <v>12.697075028002834</v>
      </c>
      <c r="Q4955" s="23">
        <f t="shared" si="1793"/>
        <v>12.359130065280326</v>
      </c>
      <c r="R4955" s="23">
        <f t="shared" si="1794"/>
        <v>11.094250347661793</v>
      </c>
      <c r="S4955" s="23">
        <f t="shared" si="1795"/>
        <v>8.9120914455107307</v>
      </c>
      <c r="T4955" s="23"/>
      <c r="U4955" s="23">
        <f t="shared" si="1796"/>
        <v>12.310852213462825</v>
      </c>
      <c r="V4955" s="23">
        <f t="shared" si="1797"/>
        <v>11.972907250740315</v>
      </c>
      <c r="W4955" s="23">
        <f t="shared" si="1798"/>
        <v>10.708027533121781</v>
      </c>
      <c r="X4955" s="23">
        <f t="shared" si="1799"/>
        <v>8.5258686309707237</v>
      </c>
    </row>
    <row r="4956" spans="1:25" x14ac:dyDescent="0.25">
      <c r="A4956" s="607" t="str">
        <f>"SgK5122--"&amp;RIGHT(A4955,5)</f>
        <v>SgK5122--Feb16</v>
      </c>
      <c r="B4956" s="435" t="s">
        <v>5435</v>
      </c>
      <c r="C4956" s="436" t="str">
        <f t="shared" si="1788"/>
        <v>Inbetriebnahme 02/2016</v>
      </c>
      <c r="D4956" s="436" t="str">
        <f>$S$4848</f>
        <v>40 kW - 1 MW</v>
      </c>
      <c r="E4956" s="435"/>
      <c r="F4956" s="450">
        <f t="shared" si="1790"/>
        <v>10.71</v>
      </c>
      <c r="G4956" s="450">
        <f t="shared" si="1789"/>
        <v>11.09</v>
      </c>
      <c r="H4956" s="437">
        <f t="shared" si="1800"/>
        <v>8.8699999999999992</v>
      </c>
      <c r="I4956" s="700"/>
      <c r="J4956" s="669" t="s">
        <v>5805</v>
      </c>
      <c r="K4956" s="15"/>
      <c r="M4956" s="413"/>
      <c r="N4956" s="333" t="str">
        <f t="shared" si="1791"/>
        <v>Jul16</v>
      </c>
      <c r="O4956" s="568">
        <v>0</v>
      </c>
      <c r="P4956" s="23">
        <f t="shared" si="1792"/>
        <v>12.697075028002834</v>
      </c>
      <c r="Q4956" s="23">
        <f t="shared" si="1793"/>
        <v>12.359130065280326</v>
      </c>
      <c r="R4956" s="23">
        <f t="shared" si="1794"/>
        <v>11.094250347661793</v>
      </c>
      <c r="S4956" s="23">
        <f t="shared" si="1795"/>
        <v>8.9120914455107307</v>
      </c>
      <c r="T4956" s="23"/>
      <c r="U4956" s="23">
        <f t="shared" si="1796"/>
        <v>12.310852213462825</v>
      </c>
      <c r="V4956" s="23">
        <f t="shared" si="1797"/>
        <v>11.972907250740315</v>
      </c>
      <c r="W4956" s="23">
        <f t="shared" si="1798"/>
        <v>10.708027533121781</v>
      </c>
      <c r="X4956" s="23">
        <f t="shared" si="1799"/>
        <v>8.5258686309707237</v>
      </c>
    </row>
    <row r="4957" spans="1:25" x14ac:dyDescent="0.25">
      <c r="A4957" s="607" t="str">
        <f>"SgK5123--"&amp;RIGHT(A4956,5)</f>
        <v>SgK5123--Feb16</v>
      </c>
      <c r="B4957" s="435" t="s">
        <v>5435</v>
      </c>
      <c r="C4957" s="436" t="str">
        <f t="shared" si="1788"/>
        <v>Inbetriebnahme 02/2016</v>
      </c>
      <c r="D4957" s="436" t="str">
        <f>$T$4848</f>
        <v>1 - 10 MW</v>
      </c>
      <c r="E4957" s="435"/>
      <c r="F4957" s="450">
        <f t="shared" si="1790"/>
        <v>8.5299999999999994</v>
      </c>
      <c r="G4957" s="450">
        <f t="shared" si="1789"/>
        <v>8.91</v>
      </c>
      <c r="H4957" s="437">
        <f t="shared" si="1800"/>
        <v>7.13</v>
      </c>
      <c r="I4957" s="700"/>
      <c r="J4957" s="669" t="s">
        <v>5805</v>
      </c>
      <c r="K4957" s="15"/>
      <c r="M4957" s="127"/>
      <c r="N4957" s="333" t="str">
        <f t="shared" si="1791"/>
        <v>Aug16</v>
      </c>
      <c r="O4957" s="568">
        <v>0</v>
      </c>
      <c r="P4957" s="23">
        <f t="shared" si="1792"/>
        <v>12.697075028002834</v>
      </c>
      <c r="Q4957" s="23">
        <f t="shared" si="1793"/>
        <v>12.359130065280326</v>
      </c>
      <c r="R4957" s="23">
        <f t="shared" si="1794"/>
        <v>11.094250347661793</v>
      </c>
      <c r="S4957" s="23">
        <f t="shared" si="1795"/>
        <v>8.9120914455107307</v>
      </c>
      <c r="T4957" s="23"/>
      <c r="U4957" s="23">
        <f t="shared" si="1796"/>
        <v>12.310852213462825</v>
      </c>
      <c r="V4957" s="23">
        <f t="shared" si="1797"/>
        <v>11.972907250740315</v>
      </c>
      <c r="W4957" s="23">
        <f t="shared" si="1798"/>
        <v>10.708027533121781</v>
      </c>
      <c r="X4957" s="23">
        <f t="shared" si="1799"/>
        <v>8.5258686309707237</v>
      </c>
    </row>
    <row r="4958" spans="1:25" x14ac:dyDescent="0.25">
      <c r="A4958" s="607" t="s">
        <v>5724</v>
      </c>
      <c r="B4958" s="435" t="s">
        <v>5435</v>
      </c>
      <c r="C4958" s="436" t="str">
        <f t="shared" si="1788"/>
        <v>Inbetriebnahme 03/2016</v>
      </c>
      <c r="D4958" s="436" t="str">
        <f>$Q$4848</f>
        <v>0 - 10 kW</v>
      </c>
      <c r="E4958" s="435"/>
      <c r="F4958" s="450">
        <f t="shared" si="1790"/>
        <v>12.31</v>
      </c>
      <c r="G4958" s="450">
        <f t="shared" si="1789"/>
        <v>12.7</v>
      </c>
      <c r="H4958" s="437">
        <f t="shared" si="1800"/>
        <v>10.16</v>
      </c>
      <c r="I4958" s="700"/>
      <c r="J4958" s="669" t="s">
        <v>5805</v>
      </c>
      <c r="K4958" s="15"/>
      <c r="N4958" s="333" t="str">
        <f t="shared" si="1791"/>
        <v>Sep16</v>
      </c>
      <c r="O4958" s="568">
        <v>0</v>
      </c>
      <c r="P4958" s="23">
        <f t="shared" si="1792"/>
        <v>12.697075028002834</v>
      </c>
      <c r="Q4958" s="23">
        <f t="shared" si="1793"/>
        <v>12.359130065280326</v>
      </c>
      <c r="R4958" s="23">
        <f t="shared" si="1794"/>
        <v>11.094250347661793</v>
      </c>
      <c r="S4958" s="23">
        <f t="shared" si="1795"/>
        <v>8.9120914455107307</v>
      </c>
      <c r="T4958" s="23"/>
      <c r="U4958" s="23">
        <f t="shared" si="1796"/>
        <v>12.310852213462825</v>
      </c>
      <c r="V4958" s="23">
        <f t="shared" si="1797"/>
        <v>11.972907250740315</v>
      </c>
      <c r="W4958" s="23">
        <f t="shared" si="1798"/>
        <v>10.708027533121781</v>
      </c>
      <c r="X4958" s="23">
        <f t="shared" si="1799"/>
        <v>8.5258686309707237</v>
      </c>
    </row>
    <row r="4959" spans="1:25" x14ac:dyDescent="0.25">
      <c r="A4959" s="607" t="str">
        <f>"SgK5121--"&amp;RIGHT(A4958,5)</f>
        <v>SgK5121--Mrz16</v>
      </c>
      <c r="B4959" s="435" t="s">
        <v>5435</v>
      </c>
      <c r="C4959" s="436" t="str">
        <f t="shared" si="1788"/>
        <v>Inbetriebnahme 03/2016</v>
      </c>
      <c r="D4959" s="436" t="str">
        <f>$R$4848</f>
        <v>10 - 40 kW</v>
      </c>
      <c r="E4959" s="435"/>
      <c r="F4959" s="450">
        <f t="shared" si="1790"/>
        <v>11.97</v>
      </c>
      <c r="G4959" s="450">
        <f t="shared" si="1789"/>
        <v>12.36</v>
      </c>
      <c r="H4959" s="437">
        <f t="shared" si="1800"/>
        <v>9.89</v>
      </c>
      <c r="I4959" s="700"/>
      <c r="J4959" s="669" t="s">
        <v>5805</v>
      </c>
      <c r="K4959" s="15"/>
      <c r="N4959" s="333" t="str">
        <f t="shared" si="1791"/>
        <v>Okt16</v>
      </c>
      <c r="O4959" s="568">
        <v>0</v>
      </c>
      <c r="P4959" s="23">
        <f t="shared" si="1792"/>
        <v>12.697075028002834</v>
      </c>
      <c r="Q4959" s="23">
        <f t="shared" si="1793"/>
        <v>12.359130065280326</v>
      </c>
      <c r="R4959" s="23">
        <f t="shared" si="1794"/>
        <v>11.094250347661793</v>
      </c>
      <c r="S4959" s="23">
        <f t="shared" si="1795"/>
        <v>8.9120914455107307</v>
      </c>
      <c r="T4959" s="23"/>
      <c r="U4959" s="23">
        <f t="shared" si="1796"/>
        <v>12.310852213462825</v>
      </c>
      <c r="V4959" s="23">
        <f t="shared" si="1797"/>
        <v>11.972907250740315</v>
      </c>
      <c r="W4959" s="23">
        <f t="shared" si="1798"/>
        <v>10.708027533121781</v>
      </c>
      <c r="X4959" s="23">
        <f t="shared" si="1799"/>
        <v>8.5258686309707237</v>
      </c>
    </row>
    <row r="4960" spans="1:25" x14ac:dyDescent="0.25">
      <c r="A4960" s="607" t="str">
        <f>"SgK5122--"&amp;RIGHT(A4959,5)</f>
        <v>SgK5122--Mrz16</v>
      </c>
      <c r="B4960" s="435" t="s">
        <v>5435</v>
      </c>
      <c r="C4960" s="436" t="str">
        <f t="shared" si="1788"/>
        <v>Inbetriebnahme 03/2016</v>
      </c>
      <c r="D4960" s="436" t="str">
        <f>$S$4848</f>
        <v>40 kW - 1 MW</v>
      </c>
      <c r="E4960" s="435"/>
      <c r="F4960" s="450">
        <f t="shared" si="1790"/>
        <v>10.71</v>
      </c>
      <c r="G4960" s="450">
        <f t="shared" si="1789"/>
        <v>11.09</v>
      </c>
      <c r="H4960" s="437">
        <f t="shared" si="1800"/>
        <v>8.8699999999999992</v>
      </c>
      <c r="I4960" s="700"/>
      <c r="J4960" s="669" t="s">
        <v>5805</v>
      </c>
      <c r="K4960" s="15"/>
      <c r="N4960" s="333" t="str">
        <f t="shared" si="1791"/>
        <v>Nov16</v>
      </c>
      <c r="O4960" s="568">
        <v>0</v>
      </c>
      <c r="P4960" s="23">
        <f t="shared" si="1792"/>
        <v>12.697075028002834</v>
      </c>
      <c r="Q4960" s="23">
        <f t="shared" si="1793"/>
        <v>12.359130065280326</v>
      </c>
      <c r="R4960" s="23">
        <f t="shared" si="1794"/>
        <v>11.094250347661793</v>
      </c>
      <c r="S4960" s="23">
        <f t="shared" si="1795"/>
        <v>8.9120914455107307</v>
      </c>
      <c r="T4960" s="23"/>
      <c r="U4960" s="23">
        <f t="shared" si="1796"/>
        <v>12.310852213462825</v>
      </c>
      <c r="V4960" s="23">
        <f t="shared" si="1797"/>
        <v>11.972907250740315</v>
      </c>
      <c r="W4960" s="23">
        <f t="shared" si="1798"/>
        <v>10.708027533121781</v>
      </c>
      <c r="X4960" s="23">
        <f t="shared" si="1799"/>
        <v>8.5258686309707237</v>
      </c>
    </row>
    <row r="4961" spans="1:24" x14ac:dyDescent="0.25">
      <c r="A4961" s="607" t="str">
        <f>"SgK5123--"&amp;RIGHT(A4960,5)</f>
        <v>SgK5123--Mrz16</v>
      </c>
      <c r="B4961" s="435" t="s">
        <v>5435</v>
      </c>
      <c r="C4961" s="436" t="str">
        <f t="shared" si="1788"/>
        <v>Inbetriebnahme 03/2016</v>
      </c>
      <c r="D4961" s="436" t="str">
        <f>$T$4848</f>
        <v>1 - 10 MW</v>
      </c>
      <c r="E4961" s="435"/>
      <c r="F4961" s="450">
        <f t="shared" si="1790"/>
        <v>8.5299999999999994</v>
      </c>
      <c r="G4961" s="450">
        <f t="shared" si="1789"/>
        <v>8.91</v>
      </c>
      <c r="H4961" s="437">
        <f t="shared" si="1800"/>
        <v>7.13</v>
      </c>
      <c r="I4961" s="700"/>
      <c r="J4961" s="669" t="s">
        <v>5805</v>
      </c>
      <c r="K4961" s="15"/>
      <c r="N4961" s="333" t="str">
        <f t="shared" si="1791"/>
        <v>Dez16</v>
      </c>
      <c r="O4961" s="568">
        <v>0</v>
      </c>
      <c r="P4961" s="23">
        <f t="shared" si="1792"/>
        <v>12.697075028002834</v>
      </c>
      <c r="Q4961" s="23">
        <f t="shared" si="1793"/>
        <v>12.359130065280326</v>
      </c>
      <c r="R4961" s="23">
        <f t="shared" si="1794"/>
        <v>11.094250347661793</v>
      </c>
      <c r="S4961" s="23">
        <f t="shared" si="1795"/>
        <v>8.9120914455107307</v>
      </c>
      <c r="T4961" s="23"/>
      <c r="U4961" s="23">
        <f t="shared" si="1796"/>
        <v>12.310852213462825</v>
      </c>
      <c r="V4961" s="23">
        <f t="shared" si="1797"/>
        <v>11.972907250740315</v>
      </c>
      <c r="W4961" s="23">
        <f t="shared" si="1798"/>
        <v>10.708027533121781</v>
      </c>
      <c r="X4961" s="23">
        <f t="shared" si="1799"/>
        <v>8.5258686309707237</v>
      </c>
    </row>
    <row r="4962" spans="1:24" x14ac:dyDescent="0.25">
      <c r="A4962" s="607" t="s">
        <v>5725</v>
      </c>
      <c r="B4962" s="435" t="s">
        <v>5435</v>
      </c>
      <c r="C4962" s="436" t="str">
        <f t="shared" si="1788"/>
        <v>Inbetriebnahme 04/2016</v>
      </c>
      <c r="D4962" s="436" t="str">
        <f>$Q$4848</f>
        <v>0 - 10 kW</v>
      </c>
      <c r="E4962" s="435"/>
      <c r="F4962" s="450">
        <f t="shared" si="1790"/>
        <v>12.31</v>
      </c>
      <c r="G4962" s="450">
        <f t="shared" si="1789"/>
        <v>12.7</v>
      </c>
      <c r="H4962" s="437">
        <f t="shared" si="1800"/>
        <v>10.16</v>
      </c>
      <c r="I4962" s="700"/>
      <c r="J4962" s="669" t="s">
        <v>5805</v>
      </c>
      <c r="K4962" s="15"/>
      <c r="M4962" s="413"/>
      <c r="N4962" s="281"/>
      <c r="O4962" s="325"/>
      <c r="P4962" s="326"/>
      <c r="Q4962" s="327"/>
      <c r="R4962" s="327"/>
      <c r="S4962" s="327"/>
      <c r="T4962" s="327"/>
    </row>
    <row r="4963" spans="1:24" x14ac:dyDescent="0.25">
      <c r="A4963" s="607" t="str">
        <f>"SgK5121--"&amp;RIGHT(A4962,5)</f>
        <v>SgK5121--Apr16</v>
      </c>
      <c r="B4963" s="435" t="s">
        <v>5435</v>
      </c>
      <c r="C4963" s="436" t="str">
        <f t="shared" si="1788"/>
        <v>Inbetriebnahme 04/2016</v>
      </c>
      <c r="D4963" s="436" t="str">
        <f>$R$4848</f>
        <v>10 - 40 kW</v>
      </c>
      <c r="E4963" s="435"/>
      <c r="F4963" s="450">
        <f t="shared" si="1790"/>
        <v>11.97</v>
      </c>
      <c r="G4963" s="450">
        <f t="shared" si="1789"/>
        <v>12.36</v>
      </c>
      <c r="H4963" s="437">
        <f t="shared" si="1800"/>
        <v>9.89</v>
      </c>
      <c r="I4963" s="700"/>
      <c r="J4963" s="669" t="s">
        <v>5805</v>
      </c>
      <c r="K4963" s="15"/>
      <c r="M4963" s="413"/>
      <c r="N4963" s="281"/>
      <c r="O4963" s="333"/>
      <c r="P4963" s="326"/>
      <c r="Q4963" s="327"/>
      <c r="R4963" s="327"/>
      <c r="S4963" s="327"/>
      <c r="T4963" s="327"/>
    </row>
    <row r="4964" spans="1:24" x14ac:dyDescent="0.25">
      <c r="A4964" s="607" t="str">
        <f>"SgK5122--"&amp;RIGHT(A4963,5)</f>
        <v>SgK5122--Apr16</v>
      </c>
      <c r="B4964" s="435" t="s">
        <v>5435</v>
      </c>
      <c r="C4964" s="436" t="str">
        <f t="shared" si="1788"/>
        <v>Inbetriebnahme 04/2016</v>
      </c>
      <c r="D4964" s="436" t="str">
        <f>$S$4848</f>
        <v>40 kW - 1 MW</v>
      </c>
      <c r="E4964" s="435"/>
      <c r="F4964" s="450">
        <f t="shared" si="1790"/>
        <v>10.71</v>
      </c>
      <c r="G4964" s="450">
        <f t="shared" si="1789"/>
        <v>11.09</v>
      </c>
      <c r="H4964" s="437">
        <f t="shared" si="1800"/>
        <v>8.8699999999999992</v>
      </c>
      <c r="I4964" s="700"/>
      <c r="J4964" s="669" t="s">
        <v>5805</v>
      </c>
      <c r="K4964" s="15"/>
      <c r="M4964" s="413"/>
      <c r="N4964" s="281"/>
      <c r="O4964" s="333"/>
      <c r="P4964" s="326"/>
      <c r="Q4964" s="327"/>
      <c r="R4964" s="327"/>
      <c r="S4964" s="327"/>
      <c r="T4964" s="327"/>
    </row>
    <row r="4965" spans="1:24" x14ac:dyDescent="0.25">
      <c r="A4965" s="607" t="str">
        <f>"SgK5123--"&amp;RIGHT(A4964,5)</f>
        <v>SgK5123--Apr16</v>
      </c>
      <c r="B4965" s="435" t="s">
        <v>5435</v>
      </c>
      <c r="C4965" s="436" t="str">
        <f t="shared" si="1788"/>
        <v>Inbetriebnahme 04/2016</v>
      </c>
      <c r="D4965" s="436" t="str">
        <f>$T$4848</f>
        <v>1 - 10 MW</v>
      </c>
      <c r="E4965" s="435"/>
      <c r="F4965" s="450">
        <f t="shared" si="1790"/>
        <v>8.5299999999999994</v>
      </c>
      <c r="G4965" s="450">
        <f t="shared" si="1789"/>
        <v>8.91</v>
      </c>
      <c r="H4965" s="437">
        <f t="shared" si="1800"/>
        <v>7.13</v>
      </c>
      <c r="I4965" s="700"/>
      <c r="J4965" s="669" t="s">
        <v>5805</v>
      </c>
      <c r="K4965" s="15"/>
      <c r="L4965" s="173"/>
      <c r="M4965" s="413"/>
      <c r="N4965" s="281"/>
      <c r="O4965" s="333"/>
      <c r="P4965" s="326"/>
      <c r="Q4965" s="327"/>
      <c r="R4965" s="327"/>
      <c r="S4965" s="327"/>
      <c r="T4965" s="327"/>
    </row>
    <row r="4966" spans="1:24" x14ac:dyDescent="0.25">
      <c r="A4966" s="607" t="s">
        <v>5726</v>
      </c>
      <c r="B4966" s="435" t="s">
        <v>5435</v>
      </c>
      <c r="C4966" s="436" t="str">
        <f t="shared" si="1788"/>
        <v>Inbetriebnahme 05/2016</v>
      </c>
      <c r="D4966" s="436" t="str">
        <f>$Q$4848</f>
        <v>0 - 10 kW</v>
      </c>
      <c r="E4966" s="435"/>
      <c r="F4966" s="450">
        <f t="shared" si="1790"/>
        <v>12.31</v>
      </c>
      <c r="G4966" s="450">
        <f t="shared" si="1789"/>
        <v>12.7</v>
      </c>
      <c r="H4966" s="437">
        <f t="shared" si="1800"/>
        <v>10.16</v>
      </c>
      <c r="I4966" s="700"/>
      <c r="J4966" s="669" t="s">
        <v>5805</v>
      </c>
      <c r="K4966" s="15"/>
      <c r="L4966" s="129"/>
      <c r="M4966" s="413"/>
      <c r="N4966" s="281"/>
      <c r="O4966" s="333"/>
      <c r="P4966" s="326"/>
      <c r="Q4966" s="327"/>
      <c r="R4966" s="327"/>
      <c r="S4966" s="327"/>
      <c r="T4966" s="327"/>
    </row>
    <row r="4967" spans="1:24" x14ac:dyDescent="0.25">
      <c r="A4967" s="607" t="str">
        <f>"SgK5121--"&amp;RIGHT(A4966,5)</f>
        <v>SgK5121--Mai16</v>
      </c>
      <c r="B4967" s="435" t="s">
        <v>5435</v>
      </c>
      <c r="C4967" s="436" t="str">
        <f t="shared" si="1788"/>
        <v>Inbetriebnahme 05/2016</v>
      </c>
      <c r="D4967" s="436" t="str">
        <f>$R$4848</f>
        <v>10 - 40 kW</v>
      </c>
      <c r="E4967" s="435"/>
      <c r="F4967" s="450">
        <f t="shared" si="1790"/>
        <v>11.97</v>
      </c>
      <c r="G4967" s="450">
        <f t="shared" si="1789"/>
        <v>12.36</v>
      </c>
      <c r="H4967" s="437">
        <f t="shared" si="1800"/>
        <v>9.89</v>
      </c>
      <c r="I4967" s="700"/>
      <c r="J4967" s="669" t="s">
        <v>5805</v>
      </c>
      <c r="K4967" s="15"/>
      <c r="L4967" s="173"/>
      <c r="M4967" s="413"/>
      <c r="N4967" s="281"/>
      <c r="O4967" s="333"/>
      <c r="P4967" s="326"/>
      <c r="Q4967" s="327"/>
      <c r="R4967" s="327"/>
      <c r="S4967" s="327"/>
      <c r="T4967" s="327"/>
    </row>
    <row r="4968" spans="1:24" x14ac:dyDescent="0.25">
      <c r="A4968" s="607" t="str">
        <f>"SgK5122--"&amp;RIGHT(A4967,5)</f>
        <v>SgK5122--Mai16</v>
      </c>
      <c r="B4968" s="435" t="s">
        <v>5435</v>
      </c>
      <c r="C4968" s="436" t="str">
        <f t="shared" si="1788"/>
        <v>Inbetriebnahme 05/2016</v>
      </c>
      <c r="D4968" s="436" t="str">
        <f>$S$4848</f>
        <v>40 kW - 1 MW</v>
      </c>
      <c r="E4968" s="435"/>
      <c r="F4968" s="450">
        <f t="shared" si="1790"/>
        <v>10.71</v>
      </c>
      <c r="G4968" s="450">
        <f t="shared" si="1789"/>
        <v>11.09</v>
      </c>
      <c r="H4968" s="437">
        <f t="shared" si="1800"/>
        <v>8.8699999999999992</v>
      </c>
      <c r="I4968" s="700"/>
      <c r="J4968" s="669" t="s">
        <v>5805</v>
      </c>
      <c r="K4968" s="15"/>
      <c r="L4968" s="173"/>
      <c r="M4968" s="413"/>
      <c r="N4968" s="281"/>
      <c r="O4968" s="333"/>
      <c r="P4968" s="326"/>
      <c r="Q4968" s="327"/>
      <c r="R4968" s="327"/>
      <c r="S4968" s="327"/>
      <c r="T4968" s="327"/>
    </row>
    <row r="4969" spans="1:24" x14ac:dyDescent="0.25">
      <c r="A4969" s="607" t="str">
        <f>"SgK5123--"&amp;RIGHT(A4968,5)</f>
        <v>SgK5123--Mai16</v>
      </c>
      <c r="B4969" s="435" t="s">
        <v>5435</v>
      </c>
      <c r="C4969" s="436" t="str">
        <f t="shared" si="1788"/>
        <v>Inbetriebnahme 05/2016</v>
      </c>
      <c r="D4969" s="436" t="str">
        <f>$T$4848</f>
        <v>1 - 10 MW</v>
      </c>
      <c r="E4969" s="435"/>
      <c r="F4969" s="450">
        <f t="shared" si="1790"/>
        <v>8.5299999999999994</v>
      </c>
      <c r="G4969" s="450">
        <f t="shared" si="1789"/>
        <v>8.91</v>
      </c>
      <c r="H4969" s="437">
        <f t="shared" si="1800"/>
        <v>7.13</v>
      </c>
      <c r="I4969" s="700"/>
      <c r="J4969" s="669" t="s">
        <v>5805</v>
      </c>
      <c r="K4969" s="15"/>
      <c r="L4969" s="173"/>
      <c r="M4969" s="413"/>
      <c r="N4969" s="281"/>
      <c r="O4969" s="333"/>
      <c r="P4969" s="344"/>
      <c r="Q4969" s="327"/>
      <c r="R4969" s="327"/>
      <c r="S4969" s="327"/>
      <c r="T4969" s="327"/>
    </row>
    <row r="4970" spans="1:24" x14ac:dyDescent="0.25">
      <c r="A4970" s="607" t="s">
        <v>5727</v>
      </c>
      <c r="B4970" s="435" t="s">
        <v>5435</v>
      </c>
      <c r="C4970" s="436" t="str">
        <f t="shared" si="1788"/>
        <v>Inbetriebnahme 06/2016</v>
      </c>
      <c r="D4970" s="436" t="str">
        <f>$Q$4848</f>
        <v>0 - 10 kW</v>
      </c>
      <c r="E4970" s="435"/>
      <c r="F4970" s="450">
        <f t="shared" si="1790"/>
        <v>12.31</v>
      </c>
      <c r="G4970" s="450">
        <f t="shared" si="1789"/>
        <v>12.7</v>
      </c>
      <c r="H4970" s="437">
        <f t="shared" si="1800"/>
        <v>10.16</v>
      </c>
      <c r="I4970" s="700"/>
      <c r="J4970" s="669" t="s">
        <v>5805</v>
      </c>
      <c r="K4970" s="15"/>
      <c r="L4970" s="173"/>
      <c r="M4970" s="413"/>
      <c r="N4970" s="281"/>
      <c r="O4970" s="333"/>
      <c r="P4970" s="344"/>
      <c r="Q4970" s="327"/>
      <c r="R4970" s="327"/>
      <c r="S4970" s="327"/>
      <c r="T4970" s="327"/>
    </row>
    <row r="4971" spans="1:24" x14ac:dyDescent="0.25">
      <c r="A4971" s="607" t="str">
        <f>"SgK5121--"&amp;RIGHT(A4970,5)</f>
        <v>SgK5121--Jun16</v>
      </c>
      <c r="B4971" s="435" t="s">
        <v>5435</v>
      </c>
      <c r="C4971" s="436" t="str">
        <f t="shared" si="1788"/>
        <v>Inbetriebnahme 06/2016</v>
      </c>
      <c r="D4971" s="436" t="str">
        <f>$R$4848</f>
        <v>10 - 40 kW</v>
      </c>
      <c r="E4971" s="435"/>
      <c r="F4971" s="450">
        <f t="shared" si="1790"/>
        <v>11.97</v>
      </c>
      <c r="G4971" s="450">
        <f t="shared" si="1789"/>
        <v>12.36</v>
      </c>
      <c r="H4971" s="437">
        <f t="shared" si="1800"/>
        <v>9.89</v>
      </c>
      <c r="I4971" s="700"/>
      <c r="J4971" s="669" t="s">
        <v>5805</v>
      </c>
      <c r="K4971" s="15"/>
      <c r="L4971" s="173"/>
      <c r="M4971" s="413"/>
      <c r="N4971" s="281"/>
      <c r="O4971" s="325"/>
      <c r="P4971" s="12"/>
      <c r="Q4971" s="12"/>
      <c r="R4971" s="12"/>
      <c r="S4971" s="12"/>
      <c r="T4971" s="12"/>
    </row>
    <row r="4972" spans="1:24" x14ac:dyDescent="0.25">
      <c r="A4972" s="607" t="str">
        <f>"SgK5122--"&amp;RIGHT(A4971,5)</f>
        <v>SgK5122--Jun16</v>
      </c>
      <c r="B4972" s="435" t="s">
        <v>5435</v>
      </c>
      <c r="C4972" s="436" t="str">
        <f t="shared" si="1788"/>
        <v>Inbetriebnahme 06/2016</v>
      </c>
      <c r="D4972" s="436" t="str">
        <f>$S$4848</f>
        <v>40 kW - 1 MW</v>
      </c>
      <c r="E4972" s="435"/>
      <c r="F4972" s="450">
        <f t="shared" si="1790"/>
        <v>10.71</v>
      </c>
      <c r="G4972" s="450">
        <f t="shared" si="1789"/>
        <v>11.09</v>
      </c>
      <c r="H4972" s="437">
        <f t="shared" si="1800"/>
        <v>8.8699999999999992</v>
      </c>
      <c r="I4972" s="700"/>
      <c r="J4972" s="669" t="s">
        <v>5805</v>
      </c>
      <c r="K4972" s="15"/>
      <c r="L4972" s="173"/>
      <c r="M4972" s="413"/>
      <c r="O4972" s="325"/>
      <c r="P4972" s="12"/>
      <c r="Q4972" s="12"/>
      <c r="R4972" s="12"/>
      <c r="S4972" s="12"/>
      <c r="T4972" s="12"/>
    </row>
    <row r="4973" spans="1:24" x14ac:dyDescent="0.25">
      <c r="A4973" s="607" t="str">
        <f>"SgK5123--"&amp;RIGHT(A4972,5)</f>
        <v>SgK5123--Jun16</v>
      </c>
      <c r="B4973" s="435" t="s">
        <v>5435</v>
      </c>
      <c r="C4973" s="436" t="str">
        <f t="shared" si="1788"/>
        <v>Inbetriebnahme 06/2016</v>
      </c>
      <c r="D4973" s="436" t="str">
        <f>$T$4848</f>
        <v>1 - 10 MW</v>
      </c>
      <c r="E4973" s="435"/>
      <c r="F4973" s="450">
        <f t="shared" si="1790"/>
        <v>8.5299999999999994</v>
      </c>
      <c r="G4973" s="450">
        <f t="shared" si="1789"/>
        <v>8.91</v>
      </c>
      <c r="H4973" s="437">
        <f t="shared" si="1800"/>
        <v>7.13</v>
      </c>
      <c r="I4973" s="700"/>
      <c r="J4973" s="669" t="s">
        <v>5805</v>
      </c>
      <c r="K4973" s="15"/>
      <c r="L4973" s="173"/>
      <c r="M4973" s="413"/>
      <c r="O4973" s="325"/>
      <c r="P4973" s="12"/>
      <c r="Q4973" s="12"/>
      <c r="R4973" s="12"/>
      <c r="S4973" s="12"/>
      <c r="T4973" s="12"/>
    </row>
    <row r="4974" spans="1:24" x14ac:dyDescent="0.25">
      <c r="A4974" s="607" t="s">
        <v>5728</v>
      </c>
      <c r="B4974" s="435" t="s">
        <v>5435</v>
      </c>
      <c r="C4974" s="436" t="str">
        <f t="shared" si="1788"/>
        <v>Inbetriebnahme 07/2016</v>
      </c>
      <c r="D4974" s="436" t="str">
        <f>$Q$4848</f>
        <v>0 - 10 kW</v>
      </c>
      <c r="E4974" s="435"/>
      <c r="F4974" s="450">
        <f t="shared" si="1790"/>
        <v>12.31</v>
      </c>
      <c r="G4974" s="450">
        <f t="shared" si="1789"/>
        <v>12.7</v>
      </c>
      <c r="H4974" s="437">
        <f t="shared" si="1800"/>
        <v>10.16</v>
      </c>
      <c r="I4974" s="700"/>
      <c r="J4974" s="669" t="s">
        <v>5805</v>
      </c>
      <c r="K4974" s="15"/>
      <c r="L4974" s="173"/>
      <c r="M4974" s="413"/>
      <c r="O4974" s="325"/>
      <c r="P4974" s="12"/>
      <c r="Q4974" s="12"/>
      <c r="R4974" s="12"/>
      <c r="S4974" s="12"/>
      <c r="T4974" s="12"/>
    </row>
    <row r="4975" spans="1:24" x14ac:dyDescent="0.25">
      <c r="A4975" s="607" t="str">
        <f>"SgK5121--"&amp;RIGHT(A4974,5)</f>
        <v>SgK5121--Jul16</v>
      </c>
      <c r="B4975" s="435" t="s">
        <v>5435</v>
      </c>
      <c r="C4975" s="436" t="str">
        <f t="shared" si="1788"/>
        <v>Inbetriebnahme 07/2016</v>
      </c>
      <c r="D4975" s="436" t="str">
        <f>$R$4848</f>
        <v>10 - 40 kW</v>
      </c>
      <c r="E4975" s="435"/>
      <c r="F4975" s="450">
        <f t="shared" si="1790"/>
        <v>11.97</v>
      </c>
      <c r="G4975" s="450">
        <f t="shared" si="1789"/>
        <v>12.36</v>
      </c>
      <c r="H4975" s="437">
        <f t="shared" si="1800"/>
        <v>9.89</v>
      </c>
      <c r="I4975" s="700"/>
      <c r="J4975" s="669" t="s">
        <v>5805</v>
      </c>
      <c r="K4975" s="15"/>
      <c r="L4975" s="173"/>
      <c r="M4975" s="413"/>
      <c r="O4975" s="325"/>
      <c r="P4975" s="12"/>
      <c r="Q4975" s="12"/>
      <c r="R4975" s="12"/>
      <c r="S4975" s="12"/>
      <c r="T4975" s="12"/>
    </row>
    <row r="4976" spans="1:24" x14ac:dyDescent="0.25">
      <c r="A4976" s="607" t="str">
        <f>"SgK5122--"&amp;RIGHT(A4975,5)</f>
        <v>SgK5122--Jul16</v>
      </c>
      <c r="B4976" s="435" t="s">
        <v>5435</v>
      </c>
      <c r="C4976" s="436" t="str">
        <f t="shared" si="1788"/>
        <v>Inbetriebnahme 07/2016</v>
      </c>
      <c r="D4976" s="436" t="str">
        <f>$S$4848</f>
        <v>40 kW - 1 MW</v>
      </c>
      <c r="E4976" s="435"/>
      <c r="F4976" s="450">
        <f t="shared" si="1790"/>
        <v>10.71</v>
      </c>
      <c r="G4976" s="450">
        <f t="shared" si="1789"/>
        <v>11.09</v>
      </c>
      <c r="H4976" s="437">
        <f t="shared" si="1800"/>
        <v>8.8699999999999992</v>
      </c>
      <c r="I4976" s="700"/>
      <c r="J4976" s="669" t="s">
        <v>5805</v>
      </c>
      <c r="K4976" s="15"/>
      <c r="L4976" s="173"/>
      <c r="M4976" s="413"/>
      <c r="O4976" s="325"/>
      <c r="P4976" s="12"/>
      <c r="Q4976" s="12"/>
      <c r="R4976" s="12"/>
      <c r="S4976" s="12"/>
      <c r="T4976" s="12"/>
    </row>
    <row r="4977" spans="1:24" x14ac:dyDescent="0.25">
      <c r="A4977" s="607" t="str">
        <f>"SgK5123--"&amp;RIGHT(A4976,5)</f>
        <v>SgK5123--Jul16</v>
      </c>
      <c r="B4977" s="435" t="s">
        <v>5435</v>
      </c>
      <c r="C4977" s="436" t="str">
        <f t="shared" si="1788"/>
        <v>Inbetriebnahme 07/2016</v>
      </c>
      <c r="D4977" s="436" t="str">
        <f>$T$4848</f>
        <v>1 - 10 MW</v>
      </c>
      <c r="E4977" s="435"/>
      <c r="F4977" s="450">
        <f t="shared" si="1790"/>
        <v>8.5299999999999994</v>
      </c>
      <c r="G4977" s="450">
        <f t="shared" si="1789"/>
        <v>8.91</v>
      </c>
      <c r="H4977" s="437">
        <f t="shared" si="1800"/>
        <v>7.13</v>
      </c>
      <c r="I4977" s="700"/>
      <c r="J4977" s="669" t="s">
        <v>5805</v>
      </c>
      <c r="M4977" s="413"/>
      <c r="O4977" s="325"/>
      <c r="P4977" s="12"/>
      <c r="Q4977" s="12"/>
      <c r="R4977" s="12"/>
      <c r="S4977" s="12"/>
      <c r="T4977" s="12"/>
    </row>
    <row r="4978" spans="1:24" x14ac:dyDescent="0.25">
      <c r="A4978" s="607" t="s">
        <v>5729</v>
      </c>
      <c r="B4978" s="435" t="s">
        <v>5435</v>
      </c>
      <c r="C4978" s="436" t="s">
        <v>5749</v>
      </c>
      <c r="D4978" s="436" t="s">
        <v>3919</v>
      </c>
      <c r="E4978" s="435"/>
      <c r="F4978" s="450">
        <f t="shared" si="1790"/>
        <v>12.31</v>
      </c>
      <c r="G4978" s="450">
        <f t="shared" si="1789"/>
        <v>12.7</v>
      </c>
      <c r="H4978" s="437">
        <f t="shared" si="1800"/>
        <v>10.16</v>
      </c>
      <c r="I4978" s="700"/>
      <c r="J4978" s="669" t="s">
        <v>5805</v>
      </c>
    </row>
    <row r="4979" spans="1:24" x14ac:dyDescent="0.25">
      <c r="A4979" s="607" t="str">
        <f>"SgK5121--"&amp;RIGHT(A4978,5)</f>
        <v>SgK5121--Aug16</v>
      </c>
      <c r="B4979" s="435" t="s">
        <v>5435</v>
      </c>
      <c r="C4979" s="436" t="s">
        <v>5749</v>
      </c>
      <c r="D4979" s="436" t="s">
        <v>3920</v>
      </c>
      <c r="E4979" s="435"/>
      <c r="F4979" s="450">
        <f t="shared" si="1790"/>
        <v>11.97</v>
      </c>
      <c r="G4979" s="450">
        <f t="shared" si="1789"/>
        <v>12.36</v>
      </c>
      <c r="H4979" s="437">
        <f t="shared" si="1800"/>
        <v>9.89</v>
      </c>
      <c r="I4979" s="700"/>
      <c r="J4979" s="669" t="s">
        <v>5805</v>
      </c>
    </row>
    <row r="4980" spans="1:24" x14ac:dyDescent="0.25">
      <c r="A4980" s="607" t="str">
        <f>"SgK5122--"&amp;RIGHT(A4979,5)</f>
        <v>SgK5122--Aug16</v>
      </c>
      <c r="B4980" s="435" t="s">
        <v>5435</v>
      </c>
      <c r="C4980" s="436" t="s">
        <v>5749</v>
      </c>
      <c r="D4980" s="436" t="s">
        <v>3921</v>
      </c>
      <c r="E4980" s="435"/>
      <c r="F4980" s="450">
        <f t="shared" si="1790"/>
        <v>10.71</v>
      </c>
      <c r="G4980" s="450">
        <f t="shared" si="1789"/>
        <v>11.09</v>
      </c>
      <c r="H4980" s="437">
        <f t="shared" si="1800"/>
        <v>8.8699999999999992</v>
      </c>
      <c r="I4980" s="700"/>
      <c r="J4980" s="669" t="s">
        <v>5805</v>
      </c>
    </row>
    <row r="4981" spans="1:24" x14ac:dyDescent="0.25">
      <c r="A4981" s="607" t="str">
        <f>"SgK5123--"&amp;RIGHT(A4980,5)</f>
        <v>SgK5123--Aug16</v>
      </c>
      <c r="B4981" s="435" t="s">
        <v>5435</v>
      </c>
      <c r="C4981" s="436" t="s">
        <v>5749</v>
      </c>
      <c r="D4981" s="436" t="s">
        <v>3922</v>
      </c>
      <c r="E4981" s="435"/>
      <c r="F4981" s="450">
        <f t="shared" si="1790"/>
        <v>8.5299999999999994</v>
      </c>
      <c r="G4981" s="450">
        <f t="shared" si="1789"/>
        <v>8.91</v>
      </c>
      <c r="H4981" s="437">
        <f t="shared" si="1800"/>
        <v>7.13</v>
      </c>
      <c r="I4981" s="700"/>
      <c r="J4981" s="669" t="s">
        <v>5805</v>
      </c>
    </row>
    <row r="4982" spans="1:24" x14ac:dyDescent="0.25">
      <c r="A4982" s="607" t="s">
        <v>5730</v>
      </c>
      <c r="B4982" s="435" t="s">
        <v>5435</v>
      </c>
      <c r="C4982" s="436" t="s">
        <v>5751</v>
      </c>
      <c r="D4982" s="436" t="s">
        <v>3919</v>
      </c>
      <c r="E4982" s="435"/>
      <c r="F4982" s="450">
        <f t="shared" si="1790"/>
        <v>12.31</v>
      </c>
      <c r="G4982" s="450">
        <f t="shared" si="1789"/>
        <v>12.7</v>
      </c>
      <c r="H4982" s="437">
        <f t="shared" si="1800"/>
        <v>10.16</v>
      </c>
      <c r="I4982" s="700"/>
      <c r="J4982" s="669" t="s">
        <v>5805</v>
      </c>
    </row>
    <row r="4983" spans="1:24" x14ac:dyDescent="0.25">
      <c r="A4983" s="607" t="str">
        <f>"SgK5121--"&amp;RIGHT(A4982,5)</f>
        <v>SgK5121--Sep16</v>
      </c>
      <c r="B4983" s="435" t="s">
        <v>5435</v>
      </c>
      <c r="C4983" s="436" t="s">
        <v>5751</v>
      </c>
      <c r="D4983" s="436" t="s">
        <v>3920</v>
      </c>
      <c r="E4983" s="435"/>
      <c r="F4983" s="450">
        <f t="shared" si="1790"/>
        <v>11.97</v>
      </c>
      <c r="G4983" s="450">
        <f t="shared" si="1789"/>
        <v>12.36</v>
      </c>
      <c r="H4983" s="437">
        <f t="shared" si="1800"/>
        <v>9.89</v>
      </c>
      <c r="I4983" s="700"/>
      <c r="J4983" s="669" t="s">
        <v>5805</v>
      </c>
      <c r="O4983" s="395"/>
      <c r="P4983" s="327" t="str">
        <f>IF($O4983&lt;&gt;"",(1-$O4983)*P4961,"")</f>
        <v/>
      </c>
      <c r="Q4983" s="327" t="str">
        <f>IF($O4983&lt;&gt;"",(1-$O4983)*Q4961,"")</f>
        <v/>
      </c>
      <c r="R4983" s="327" t="str">
        <f>IF($O4983&lt;&gt;"",(1-$O4983)*R4961,"")</f>
        <v/>
      </c>
      <c r="S4983" s="327" t="str">
        <f>IF($O4983&lt;&gt;"",(1-$O4983)*S4961,"")</f>
        <v/>
      </c>
      <c r="U4983" s="327" t="str">
        <f>IF($O4983&lt;&gt;"",(1-$O4983)*U4961,"")</f>
        <v/>
      </c>
      <c r="V4983" s="327" t="str">
        <f>IF($O4983&lt;&gt;"",(1-$O4983)*V4961,"")</f>
        <v/>
      </c>
      <c r="W4983" s="327" t="str">
        <f>IF($O4983&lt;&gt;"",(1-$O4983)*W4961,"")</f>
        <v/>
      </c>
      <c r="X4983" s="327" t="str">
        <f>IF($O4983&lt;&gt;"",(1-$O4983)*X4961,"")</f>
        <v/>
      </c>
    </row>
    <row r="4984" spans="1:24" x14ac:dyDescent="0.25">
      <c r="A4984" s="607" t="str">
        <f>"SgK5122--"&amp;RIGHT(A4983,5)</f>
        <v>SgK5122--Sep16</v>
      </c>
      <c r="B4984" s="435" t="s">
        <v>5435</v>
      </c>
      <c r="C4984" s="436" t="s">
        <v>5751</v>
      </c>
      <c r="D4984" s="436" t="s">
        <v>3921</v>
      </c>
      <c r="E4984" s="435"/>
      <c r="F4984" s="450">
        <f t="shared" si="1790"/>
        <v>10.71</v>
      </c>
      <c r="G4984" s="450">
        <f t="shared" si="1789"/>
        <v>11.09</v>
      </c>
      <c r="H4984" s="437">
        <f t="shared" si="1800"/>
        <v>8.8699999999999992</v>
      </c>
      <c r="I4984" s="700"/>
      <c r="J4984" s="669" t="s">
        <v>5805</v>
      </c>
      <c r="O4984" s="395"/>
      <c r="P4984" s="327" t="str">
        <f>IF($O4984&lt;&gt;"",(1-$O4984)*P4961,"")</f>
        <v/>
      </c>
      <c r="Q4984" s="327" t="str">
        <f>IF($O4984&lt;&gt;"",(1-$O4984)*Q4961,"")</f>
        <v/>
      </c>
      <c r="R4984" s="327" t="str">
        <f>IF($O4984&lt;&gt;"",(1-$O4984)*R4961,"")</f>
        <v/>
      </c>
      <c r="S4984" s="327" t="str">
        <f>IF($O4984&lt;&gt;"",(1-$O4984)*S4961,"")</f>
        <v/>
      </c>
      <c r="U4984" s="327" t="str">
        <f>IF($O4984&lt;&gt;"",(1-$O4984)*U4961,"")</f>
        <v/>
      </c>
      <c r="V4984" s="327" t="str">
        <f>IF($O4984&lt;&gt;"",(1-$O4984)*V4961,"")</f>
        <v/>
      </c>
      <c r="W4984" s="327" t="str">
        <f>IF($O4984&lt;&gt;"",(1-$O4984)*W4961,"")</f>
        <v/>
      </c>
      <c r="X4984" s="327" t="str">
        <f>IF($O4984&lt;&gt;"",(1-$O4984)*X4961,"")</f>
        <v/>
      </c>
    </row>
    <row r="4985" spans="1:24" x14ac:dyDescent="0.25">
      <c r="A4985" s="607" t="str">
        <f>"SgK5123--"&amp;RIGHT(A4984,5)</f>
        <v>SgK5123--Sep16</v>
      </c>
      <c r="B4985" s="435" t="s">
        <v>5435</v>
      </c>
      <c r="C4985" s="436" t="s">
        <v>5751</v>
      </c>
      <c r="D4985" s="436" t="s">
        <v>3922</v>
      </c>
      <c r="E4985" s="435"/>
      <c r="F4985" s="450">
        <f t="shared" si="1790"/>
        <v>8.5299999999999994</v>
      </c>
      <c r="G4985" s="450">
        <f t="shared" si="1789"/>
        <v>8.91</v>
      </c>
      <c r="H4985" s="437">
        <f t="shared" si="1800"/>
        <v>7.13</v>
      </c>
      <c r="I4985" s="700"/>
      <c r="J4985" s="669" t="s">
        <v>5805</v>
      </c>
      <c r="O4985" s="395"/>
      <c r="P4985" s="327" t="str">
        <f>IF($O4985&lt;&gt;"",(1-$O4985)*P4983,"")</f>
        <v/>
      </c>
      <c r="Q4985" s="327" t="str">
        <f>IF($O4985&lt;&gt;"",(1-$O4985)*Q4983,"")</f>
        <v/>
      </c>
      <c r="R4985" s="327" t="str">
        <f>IF($O4985&lt;&gt;"",(1-$O4985)*R4983,"")</f>
        <v/>
      </c>
      <c r="S4985" s="327" t="str">
        <f>IF($O4985&lt;&gt;"",(1-$O4985)*S4983,"")</f>
        <v/>
      </c>
      <c r="U4985" s="327" t="str">
        <f>IF($O4985&lt;&gt;"",(1-$O4985)*U4983,"")</f>
        <v/>
      </c>
      <c r="V4985" s="327" t="str">
        <f>IF($O4985&lt;&gt;"",(1-$O4985)*V4983,"")</f>
        <v/>
      </c>
      <c r="W4985" s="327" t="str">
        <f>IF($O4985&lt;&gt;"",(1-$O4985)*W4983,"")</f>
        <v/>
      </c>
      <c r="X4985" s="327" t="str">
        <f>IF($O4985&lt;&gt;"",(1-$O4985)*X4983,"")</f>
        <v/>
      </c>
    </row>
    <row r="4986" spans="1:24" x14ac:dyDescent="0.25">
      <c r="A4986" s="607" t="s">
        <v>5731</v>
      </c>
      <c r="B4986" s="435" t="s">
        <v>5435</v>
      </c>
      <c r="C4986" s="436" t="s">
        <v>5753</v>
      </c>
      <c r="D4986" s="436" t="s">
        <v>3919</v>
      </c>
      <c r="E4986" s="435"/>
      <c r="F4986" s="450">
        <f t="shared" si="1790"/>
        <v>12.31</v>
      </c>
      <c r="G4986" s="450">
        <f t="shared" si="1789"/>
        <v>12.7</v>
      </c>
      <c r="H4986" s="437">
        <f t="shared" si="1800"/>
        <v>10.16</v>
      </c>
      <c r="I4986" s="700"/>
      <c r="J4986" s="669">
        <v>42644</v>
      </c>
      <c r="O4986" s="395"/>
      <c r="P4986" s="327" t="str">
        <f t="shared" ref="P4986:S4987" si="1801">IF($O4986&lt;&gt;"",(1-$O4986)*P4985,"")</f>
        <v/>
      </c>
      <c r="Q4986" s="327" t="str">
        <f t="shared" si="1801"/>
        <v/>
      </c>
      <c r="R4986" s="327" t="str">
        <f t="shared" si="1801"/>
        <v/>
      </c>
      <c r="S4986" s="327" t="str">
        <f t="shared" si="1801"/>
        <v/>
      </c>
      <c r="U4986" s="327" t="str">
        <f t="shared" ref="U4986:X4987" si="1802">IF($O4986&lt;&gt;"",(1-$O4986)*U4985,"")</f>
        <v/>
      </c>
      <c r="V4986" s="327" t="str">
        <f t="shared" si="1802"/>
        <v/>
      </c>
      <c r="W4986" s="327" t="str">
        <f t="shared" si="1802"/>
        <v/>
      </c>
      <c r="X4986" s="327" t="str">
        <f t="shared" si="1802"/>
        <v/>
      </c>
    </row>
    <row r="4987" spans="1:24" x14ac:dyDescent="0.25">
      <c r="A4987" s="607" t="str">
        <f>"SgK5121--"&amp;RIGHT(A4986,5)</f>
        <v>SgK5121--Okt16</v>
      </c>
      <c r="B4987" s="435" t="s">
        <v>5435</v>
      </c>
      <c r="C4987" s="436" t="s">
        <v>5753</v>
      </c>
      <c r="D4987" s="436" t="s">
        <v>3920</v>
      </c>
      <c r="E4987" s="435"/>
      <c r="F4987" s="450">
        <f t="shared" si="1790"/>
        <v>11.97</v>
      </c>
      <c r="G4987" s="450">
        <f t="shared" si="1789"/>
        <v>12.36</v>
      </c>
      <c r="H4987" s="437">
        <f t="shared" si="1800"/>
        <v>9.89</v>
      </c>
      <c r="I4987" s="700"/>
      <c r="J4987" s="669">
        <v>42644</v>
      </c>
      <c r="O4987" s="395"/>
      <c r="P4987" s="327" t="str">
        <f t="shared" si="1801"/>
        <v/>
      </c>
      <c r="Q4987" s="327" t="str">
        <f t="shared" si="1801"/>
        <v/>
      </c>
      <c r="R4987" s="327" t="str">
        <f t="shared" si="1801"/>
        <v/>
      </c>
      <c r="S4987" s="327" t="str">
        <f t="shared" si="1801"/>
        <v/>
      </c>
      <c r="U4987" s="327" t="str">
        <f t="shared" si="1802"/>
        <v/>
      </c>
      <c r="V4987" s="327" t="str">
        <f t="shared" si="1802"/>
        <v/>
      </c>
      <c r="W4987" s="327" t="str">
        <f t="shared" si="1802"/>
        <v/>
      </c>
      <c r="X4987" s="327" t="str">
        <f t="shared" si="1802"/>
        <v/>
      </c>
    </row>
    <row r="4988" spans="1:24" x14ac:dyDescent="0.25">
      <c r="A4988" s="607" t="str">
        <f>"SgK5122--"&amp;RIGHT(A4987,5)</f>
        <v>SgK5122--Okt16</v>
      </c>
      <c r="B4988" s="435" t="s">
        <v>5435</v>
      </c>
      <c r="C4988" s="436" t="s">
        <v>5753</v>
      </c>
      <c r="D4988" s="436" t="s">
        <v>3921</v>
      </c>
      <c r="E4988" s="435"/>
      <c r="F4988" s="450">
        <f t="shared" si="1790"/>
        <v>10.71</v>
      </c>
      <c r="G4988" s="450">
        <f t="shared" si="1789"/>
        <v>11.09</v>
      </c>
      <c r="H4988" s="437">
        <f t="shared" si="1800"/>
        <v>8.8699999999999992</v>
      </c>
      <c r="I4988" s="700"/>
      <c r="J4988" s="669">
        <v>42644</v>
      </c>
      <c r="O4988" s="395"/>
      <c r="P4988" s="327" t="str">
        <f t="shared" ref="P4988:S4989" si="1803">IF($O4988&lt;&gt;"",(1-$O4988)*P4986,"")</f>
        <v/>
      </c>
      <c r="Q4988" s="327" t="str">
        <f t="shared" si="1803"/>
        <v/>
      </c>
      <c r="R4988" s="327" t="str">
        <f t="shared" si="1803"/>
        <v/>
      </c>
      <c r="S4988" s="327" t="str">
        <f t="shared" si="1803"/>
        <v/>
      </c>
      <c r="U4988" s="327" t="str">
        <f t="shared" ref="U4988:X4989" si="1804">IF($O4988&lt;&gt;"",(1-$O4988)*U4986,"")</f>
        <v/>
      </c>
      <c r="V4988" s="327" t="str">
        <f t="shared" si="1804"/>
        <v/>
      </c>
      <c r="W4988" s="327" t="str">
        <f t="shared" si="1804"/>
        <v/>
      </c>
      <c r="X4988" s="327" t="str">
        <f t="shared" si="1804"/>
        <v/>
      </c>
    </row>
    <row r="4989" spans="1:24" x14ac:dyDescent="0.25">
      <c r="A4989" s="607" t="str">
        <f>"SgK5123--"&amp;RIGHT(A4988,5)</f>
        <v>SgK5123--Okt16</v>
      </c>
      <c r="B4989" s="435" t="s">
        <v>5435</v>
      </c>
      <c r="C4989" s="436" t="s">
        <v>5753</v>
      </c>
      <c r="D4989" s="436" t="s">
        <v>3922</v>
      </c>
      <c r="E4989" s="435"/>
      <c r="F4989" s="450">
        <f t="shared" si="1790"/>
        <v>8.5299999999999994</v>
      </c>
      <c r="G4989" s="450">
        <f t="shared" si="1789"/>
        <v>8.91</v>
      </c>
      <c r="H4989" s="437">
        <f t="shared" si="1800"/>
        <v>7.13</v>
      </c>
      <c r="I4989" s="700"/>
      <c r="J4989" s="669">
        <v>42644</v>
      </c>
      <c r="O4989" s="395"/>
      <c r="P4989" s="327" t="str">
        <f t="shared" si="1803"/>
        <v/>
      </c>
      <c r="Q4989" s="327" t="str">
        <f t="shared" si="1803"/>
        <v/>
      </c>
      <c r="R4989" s="327" t="str">
        <f t="shared" si="1803"/>
        <v/>
      </c>
      <c r="S4989" s="327" t="str">
        <f t="shared" si="1803"/>
        <v/>
      </c>
      <c r="U4989" s="327" t="str">
        <f t="shared" si="1804"/>
        <v/>
      </c>
      <c r="V4989" s="327" t="str">
        <f t="shared" si="1804"/>
        <v/>
      </c>
      <c r="W4989" s="327" t="str">
        <f t="shared" si="1804"/>
        <v/>
      </c>
      <c r="X4989" s="327" t="str">
        <f t="shared" si="1804"/>
        <v/>
      </c>
    </row>
    <row r="4990" spans="1:24" x14ac:dyDescent="0.25">
      <c r="A4990" s="607" t="s">
        <v>5732</v>
      </c>
      <c r="B4990" s="435" t="s">
        <v>5435</v>
      </c>
      <c r="C4990" s="436" t="s">
        <v>5755</v>
      </c>
      <c r="D4990" s="436" t="s">
        <v>3919</v>
      </c>
      <c r="E4990" s="435"/>
      <c r="F4990" s="450">
        <f t="shared" si="1790"/>
        <v>12.31</v>
      </c>
      <c r="G4990" s="450">
        <f t="shared" si="1789"/>
        <v>12.7</v>
      </c>
      <c r="H4990" s="437">
        <f t="shared" si="1800"/>
        <v>10.16</v>
      </c>
      <c r="I4990" s="700"/>
      <c r="J4990" s="669">
        <v>42644</v>
      </c>
      <c r="O4990" s="395"/>
      <c r="P4990" s="327" t="str">
        <f t="shared" ref="P4990:S4991" si="1805">IF($O4990&lt;&gt;"",(1-$O4990)*P4989,"")</f>
        <v/>
      </c>
      <c r="Q4990" s="327" t="str">
        <f t="shared" si="1805"/>
        <v/>
      </c>
      <c r="R4990" s="327" t="str">
        <f t="shared" si="1805"/>
        <v/>
      </c>
      <c r="S4990" s="327" t="str">
        <f t="shared" si="1805"/>
        <v/>
      </c>
      <c r="U4990" s="327" t="str">
        <f t="shared" ref="U4990:X4991" si="1806">IF($O4990&lt;&gt;"",(1-$O4990)*U4989,"")</f>
        <v/>
      </c>
      <c r="V4990" s="327" t="str">
        <f t="shared" si="1806"/>
        <v/>
      </c>
      <c r="W4990" s="327" t="str">
        <f t="shared" si="1806"/>
        <v/>
      </c>
      <c r="X4990" s="327" t="str">
        <f t="shared" si="1806"/>
        <v/>
      </c>
    </row>
    <row r="4991" spans="1:24" x14ac:dyDescent="0.25">
      <c r="A4991" s="607" t="str">
        <f>"SgK5121--"&amp;RIGHT(A4990,5)</f>
        <v>SgK5121--Nov16</v>
      </c>
      <c r="B4991" s="435" t="s">
        <v>5435</v>
      </c>
      <c r="C4991" s="436" t="s">
        <v>5755</v>
      </c>
      <c r="D4991" s="436" t="s">
        <v>3920</v>
      </c>
      <c r="E4991" s="435"/>
      <c r="F4991" s="450">
        <f t="shared" si="1790"/>
        <v>11.97</v>
      </c>
      <c r="G4991" s="450">
        <f t="shared" si="1789"/>
        <v>12.36</v>
      </c>
      <c r="H4991" s="437">
        <f t="shared" si="1800"/>
        <v>9.89</v>
      </c>
      <c r="I4991" s="700"/>
      <c r="J4991" s="669">
        <v>42644</v>
      </c>
      <c r="O4991" s="395"/>
      <c r="P4991" s="327" t="str">
        <f t="shared" si="1805"/>
        <v/>
      </c>
      <c r="Q4991" s="327" t="str">
        <f t="shared" si="1805"/>
        <v/>
      </c>
      <c r="R4991" s="327" t="str">
        <f t="shared" si="1805"/>
        <v/>
      </c>
      <c r="S4991" s="327" t="str">
        <f t="shared" si="1805"/>
        <v/>
      </c>
      <c r="U4991" s="327" t="str">
        <f t="shared" si="1806"/>
        <v/>
      </c>
      <c r="V4991" s="327" t="str">
        <f t="shared" si="1806"/>
        <v/>
      </c>
      <c r="W4991" s="327" t="str">
        <f t="shared" si="1806"/>
        <v/>
      </c>
      <c r="X4991" s="327" t="str">
        <f t="shared" si="1806"/>
        <v/>
      </c>
    </row>
    <row r="4992" spans="1:24" x14ac:dyDescent="0.25">
      <c r="A4992" s="607" t="str">
        <f>"SgK5122--"&amp;RIGHT(A4991,5)</f>
        <v>SgK5122--Nov16</v>
      </c>
      <c r="B4992" s="435" t="s">
        <v>5435</v>
      </c>
      <c r="C4992" s="436" t="s">
        <v>5755</v>
      </c>
      <c r="D4992" s="436" t="s">
        <v>3921</v>
      </c>
      <c r="E4992" s="435"/>
      <c r="F4992" s="450">
        <f t="shared" si="1790"/>
        <v>10.71</v>
      </c>
      <c r="G4992" s="450">
        <f t="shared" si="1789"/>
        <v>11.09</v>
      </c>
      <c r="H4992" s="437">
        <f t="shared" si="1800"/>
        <v>8.8699999999999992</v>
      </c>
      <c r="I4992" s="700"/>
      <c r="J4992" s="669">
        <v>42644</v>
      </c>
      <c r="O4992" s="395"/>
      <c r="P4992" s="327" t="str">
        <f t="shared" ref="P4992:S4993" si="1807">IF($O4992&lt;&gt;"",(1-$O4992)*P4990,"")</f>
        <v/>
      </c>
      <c r="Q4992" s="327" t="str">
        <f t="shared" si="1807"/>
        <v/>
      </c>
      <c r="R4992" s="327" t="str">
        <f t="shared" si="1807"/>
        <v/>
      </c>
      <c r="S4992" s="327" t="str">
        <f t="shared" si="1807"/>
        <v/>
      </c>
      <c r="U4992" s="327" t="str">
        <f t="shared" ref="U4992:X4993" si="1808">IF($O4992&lt;&gt;"",(1-$O4992)*U4990,"")</f>
        <v/>
      </c>
      <c r="V4992" s="327" t="str">
        <f t="shared" si="1808"/>
        <v/>
      </c>
      <c r="W4992" s="327" t="str">
        <f t="shared" si="1808"/>
        <v/>
      </c>
      <c r="X4992" s="327" t="str">
        <f t="shared" si="1808"/>
        <v/>
      </c>
    </row>
    <row r="4993" spans="1:25" x14ac:dyDescent="0.25">
      <c r="A4993" s="607" t="str">
        <f>"SgK5123--"&amp;RIGHT(A4992,5)</f>
        <v>SgK5123--Nov16</v>
      </c>
      <c r="B4993" s="435" t="s">
        <v>5435</v>
      </c>
      <c r="C4993" s="436" t="s">
        <v>5755</v>
      </c>
      <c r="D4993" s="436" t="s">
        <v>3922</v>
      </c>
      <c r="E4993" s="435"/>
      <c r="F4993" s="450">
        <f t="shared" si="1790"/>
        <v>8.5299999999999994</v>
      </c>
      <c r="G4993" s="450">
        <f t="shared" si="1789"/>
        <v>8.91</v>
      </c>
      <c r="H4993" s="437">
        <f t="shared" si="1800"/>
        <v>7.13</v>
      </c>
      <c r="I4993" s="700"/>
      <c r="J4993" s="669">
        <v>42644</v>
      </c>
      <c r="O4993" s="395"/>
      <c r="P4993" s="327" t="str">
        <f t="shared" si="1807"/>
        <v/>
      </c>
      <c r="Q4993" s="327" t="str">
        <f t="shared" si="1807"/>
        <v/>
      </c>
      <c r="R4993" s="327" t="str">
        <f t="shared" si="1807"/>
        <v/>
      </c>
      <c r="S4993" s="327" t="str">
        <f t="shared" si="1807"/>
        <v/>
      </c>
      <c r="U4993" s="327" t="str">
        <f t="shared" si="1808"/>
        <v/>
      </c>
      <c r="V4993" s="327" t="str">
        <f t="shared" si="1808"/>
        <v/>
      </c>
      <c r="W4993" s="327" t="str">
        <f t="shared" si="1808"/>
        <v/>
      </c>
      <c r="X4993" s="327" t="str">
        <f t="shared" si="1808"/>
        <v/>
      </c>
    </row>
    <row r="4994" spans="1:25" x14ac:dyDescent="0.25">
      <c r="A4994" s="607" t="s">
        <v>5733</v>
      </c>
      <c r="B4994" s="435" t="s">
        <v>5435</v>
      </c>
      <c r="C4994" s="436" t="s">
        <v>5757</v>
      </c>
      <c r="D4994" s="436" t="s">
        <v>3919</v>
      </c>
      <c r="E4994" s="435"/>
      <c r="F4994" s="450">
        <f t="shared" si="1790"/>
        <v>12.31</v>
      </c>
      <c r="G4994" s="450">
        <f t="shared" si="1789"/>
        <v>12.7</v>
      </c>
      <c r="H4994" s="437">
        <f t="shared" si="1800"/>
        <v>10.16</v>
      </c>
      <c r="I4994" s="700"/>
      <c r="J4994" s="669">
        <v>42644</v>
      </c>
      <c r="O4994" s="395"/>
      <c r="P4994" s="327" t="str">
        <f t="shared" ref="P4994:S4995" si="1809">IF($O4994&lt;&gt;"",(1-$O4994)*P4993,"")</f>
        <v/>
      </c>
      <c r="Q4994" s="327" t="str">
        <f t="shared" si="1809"/>
        <v/>
      </c>
      <c r="R4994" s="327" t="str">
        <f t="shared" si="1809"/>
        <v/>
      </c>
      <c r="S4994" s="327" t="str">
        <f t="shared" si="1809"/>
        <v/>
      </c>
      <c r="U4994" s="327" t="str">
        <f t="shared" ref="U4994:X4995" si="1810">IF($O4994&lt;&gt;"",(1-$O4994)*U4993,"")</f>
        <v/>
      </c>
      <c r="V4994" s="327" t="str">
        <f t="shared" si="1810"/>
        <v/>
      </c>
      <c r="W4994" s="327" t="str">
        <f t="shared" si="1810"/>
        <v/>
      </c>
      <c r="X4994" s="327" t="str">
        <f t="shared" si="1810"/>
        <v/>
      </c>
    </row>
    <row r="4995" spans="1:25" x14ac:dyDescent="0.25">
      <c r="A4995" s="607" t="str">
        <f>"SgK5121--"&amp;RIGHT(A4994,5)</f>
        <v>SgK5121--Dez16</v>
      </c>
      <c r="B4995" s="435" t="s">
        <v>5435</v>
      </c>
      <c r="C4995" s="436" t="s">
        <v>5757</v>
      </c>
      <c r="D4995" s="436" t="s">
        <v>3920</v>
      </c>
      <c r="E4995" s="435"/>
      <c r="F4995" s="450">
        <f t="shared" si="1790"/>
        <v>11.97</v>
      </c>
      <c r="G4995" s="450">
        <f t="shared" si="1789"/>
        <v>12.36</v>
      </c>
      <c r="H4995" s="437">
        <f t="shared" si="1800"/>
        <v>9.89</v>
      </c>
      <c r="I4995" s="700"/>
      <c r="J4995" s="669">
        <v>42644</v>
      </c>
      <c r="O4995" s="395"/>
      <c r="P4995" s="327" t="str">
        <f t="shared" si="1809"/>
        <v/>
      </c>
      <c r="Q4995" s="327" t="str">
        <f t="shared" si="1809"/>
        <v/>
      </c>
      <c r="R4995" s="327" t="str">
        <f t="shared" si="1809"/>
        <v/>
      </c>
      <c r="S4995" s="327" t="str">
        <f t="shared" si="1809"/>
        <v/>
      </c>
      <c r="U4995" s="327" t="str">
        <f t="shared" si="1810"/>
        <v/>
      </c>
      <c r="V4995" s="327" t="str">
        <f t="shared" si="1810"/>
        <v/>
      </c>
      <c r="W4995" s="327" t="str">
        <f t="shared" si="1810"/>
        <v/>
      </c>
      <c r="X4995" s="327" t="str">
        <f t="shared" si="1810"/>
        <v/>
      </c>
    </row>
    <row r="4996" spans="1:25" x14ac:dyDescent="0.25">
      <c r="A4996" s="607" t="str">
        <f>"SgK5122--"&amp;RIGHT(A4995,5)</f>
        <v>SgK5122--Dez16</v>
      </c>
      <c r="B4996" s="435" t="s">
        <v>5435</v>
      </c>
      <c r="C4996" s="436" t="s">
        <v>5757</v>
      </c>
      <c r="D4996" s="436" t="s">
        <v>3921</v>
      </c>
      <c r="E4996" s="435"/>
      <c r="F4996" s="450">
        <f t="shared" si="1790"/>
        <v>10.71</v>
      </c>
      <c r="G4996" s="450">
        <f t="shared" si="1789"/>
        <v>11.09</v>
      </c>
      <c r="H4996" s="437">
        <f t="shared" si="1800"/>
        <v>8.8699999999999992</v>
      </c>
      <c r="I4996" s="700"/>
      <c r="J4996" s="669">
        <v>42644</v>
      </c>
      <c r="O4996" s="395"/>
      <c r="P4996" s="327" t="str">
        <f t="shared" ref="P4996:S4997" si="1811">IF($O4996&lt;&gt;"",(1-$O4996)*P4994,"")</f>
        <v/>
      </c>
      <c r="Q4996" s="327" t="str">
        <f t="shared" si="1811"/>
        <v/>
      </c>
      <c r="R4996" s="327" t="str">
        <f t="shared" si="1811"/>
        <v/>
      </c>
      <c r="S4996" s="327" t="str">
        <f t="shared" si="1811"/>
        <v/>
      </c>
      <c r="U4996" s="327" t="str">
        <f t="shared" ref="U4996:X4997" si="1812">IF($O4996&lt;&gt;"",(1-$O4996)*U4994,"")</f>
        <v/>
      </c>
      <c r="V4996" s="327" t="str">
        <f t="shared" si="1812"/>
        <v/>
      </c>
      <c r="W4996" s="327" t="str">
        <f t="shared" si="1812"/>
        <v/>
      </c>
      <c r="X4996" s="327" t="str">
        <f t="shared" si="1812"/>
        <v/>
      </c>
    </row>
    <row r="4997" spans="1:25" x14ac:dyDescent="0.25">
      <c r="A4997" s="607" t="str">
        <f>"SgK5123--"&amp;RIGHT(A4996,5)</f>
        <v>SgK5123--Dez16</v>
      </c>
      <c r="B4997" s="435" t="s">
        <v>5435</v>
      </c>
      <c r="C4997" s="436" t="s">
        <v>5757</v>
      </c>
      <c r="D4997" s="436" t="s">
        <v>3922</v>
      </c>
      <c r="E4997" s="435"/>
      <c r="F4997" s="450">
        <f t="shared" si="1790"/>
        <v>8.5299999999999994</v>
      </c>
      <c r="G4997" s="450">
        <f t="shared" si="1789"/>
        <v>8.91</v>
      </c>
      <c r="H4997" s="437">
        <f t="shared" si="1800"/>
        <v>7.13</v>
      </c>
      <c r="I4997" s="700"/>
      <c r="J4997" s="669">
        <v>42644</v>
      </c>
      <c r="O4997" s="395"/>
      <c r="P4997" s="327" t="str">
        <f t="shared" si="1811"/>
        <v/>
      </c>
      <c r="Q4997" s="327" t="str">
        <f t="shared" si="1811"/>
        <v/>
      </c>
      <c r="R4997" s="327" t="str">
        <f t="shared" si="1811"/>
        <v/>
      </c>
      <c r="S4997" s="327" t="str">
        <f t="shared" si="1811"/>
        <v/>
      </c>
      <c r="U4997" s="327" t="str">
        <f t="shared" si="1812"/>
        <v/>
      </c>
      <c r="V4997" s="327" t="str">
        <f t="shared" si="1812"/>
        <v/>
      </c>
      <c r="W4997" s="327" t="str">
        <f t="shared" si="1812"/>
        <v/>
      </c>
      <c r="X4997" s="327" t="str">
        <f t="shared" si="1812"/>
        <v/>
      </c>
    </row>
    <row r="4998" spans="1:25" x14ac:dyDescent="0.25">
      <c r="A4998" s="608"/>
      <c r="B4998" s="2"/>
      <c r="C4998" s="34"/>
      <c r="D4998" s="34"/>
      <c r="E4998" s="2"/>
      <c r="F4998" s="445"/>
      <c r="G4998" s="14"/>
      <c r="H4998" s="14" t="str">
        <f t="shared" si="1800"/>
        <v/>
      </c>
      <c r="I4998" s="695"/>
      <c r="J4998" s="669" t="s">
        <v>4180</v>
      </c>
      <c r="K4998" s="15"/>
      <c r="N4998" s="137" t="s">
        <v>3902</v>
      </c>
      <c r="O4998" s="270" t="s">
        <v>5490</v>
      </c>
      <c r="P4998" t="s">
        <v>3919</v>
      </c>
      <c r="Q4998" t="s">
        <v>3920</v>
      </c>
      <c r="R4998" t="s">
        <v>7444</v>
      </c>
      <c r="T4998" t="s">
        <v>49</v>
      </c>
      <c r="U4998" t="s">
        <v>3919</v>
      </c>
      <c r="V4998" t="s">
        <v>3920</v>
      </c>
      <c r="W4998" t="s">
        <v>7444</v>
      </c>
      <c r="Y4998" t="s">
        <v>50</v>
      </c>
    </row>
    <row r="4999" spans="1:25" x14ac:dyDescent="0.25">
      <c r="A4999" s="644" t="s">
        <v>5997</v>
      </c>
      <c r="B4999" s="645" t="s">
        <v>5435</v>
      </c>
      <c r="C4999" s="643" t="str">
        <f t="shared" ref="C4999:C5019" si="1813">"Inbetriebnahme "&amp;TEXT(DATEVALUE(RIGHT(A4999,5)),"MM/JJJJ")</f>
        <v>Inbetriebnahme 01/2017</v>
      </c>
      <c r="D4999" s="643" t="str">
        <f>$Q$4848</f>
        <v>0 - 10 kW</v>
      </c>
      <c r="E4999" s="645"/>
      <c r="F4999" s="657">
        <f t="shared" ref="F4999:F5034" si="1814">IF(HLOOKUP($D4999,$U$4998:$W$5010,MATCH(RIGHT($A4999,5),$N$4998:$N$5010,0),FALSE)&lt;&gt;"",ROUND(HLOOKUP($D4999,$U$4998:$W$5010,MATCH(RIGHT($A4999,5),$N$4998:$N$5010,0),FALSE),2),"")</f>
        <v>12.3</v>
      </c>
      <c r="G4999" s="657">
        <f t="shared" ref="G4999:G5034" si="1815">IF(HLOOKUP($D4999,$P$4998:$W$5010,MATCH(RIGHT($A4999,5),$N$4998:$N$5010,0),FALSE)&lt;&gt;"",ROUND(HLOOKUP($D4999,$P$4998:$W$5010,MATCH(RIGHT($A4999,5),$N$4998:$N$5010,0),FALSE),2),"")</f>
        <v>12.7</v>
      </c>
      <c r="H4999" s="656">
        <f t="shared" si="1800"/>
        <v>10.16</v>
      </c>
      <c r="I4999" s="701"/>
      <c r="J4999" s="669">
        <v>42705</v>
      </c>
      <c r="K4999" s="15"/>
      <c r="M4999" s="127">
        <v>2017</v>
      </c>
      <c r="N4999" s="639" t="s">
        <v>5983</v>
      </c>
      <c r="O4999" s="568" t="s">
        <v>5996</v>
      </c>
      <c r="P4999" s="23">
        <v>12.7</v>
      </c>
      <c r="Q4999" s="23">
        <v>12.36</v>
      </c>
      <c r="R4999" s="23">
        <v>11.09</v>
      </c>
      <c r="S4999" s="23"/>
      <c r="T4999" s="23"/>
      <c r="U4999" s="23">
        <f>P4999-0.4</f>
        <v>12.299999999999999</v>
      </c>
      <c r="V4999" s="23">
        <f>Q4999-0.4</f>
        <v>11.959999999999999</v>
      </c>
      <c r="W4999" s="23">
        <f>R4999-0.4</f>
        <v>10.69</v>
      </c>
      <c r="X4999" s="23"/>
    </row>
    <row r="5000" spans="1:25" x14ac:dyDescent="0.25">
      <c r="A5000" s="644" t="str">
        <f>"SgK4821--"&amp;RIGHT(A4999,5)</f>
        <v>SgK4821--Jan17</v>
      </c>
      <c r="B5000" s="645" t="s">
        <v>5435</v>
      </c>
      <c r="C5000" s="643" t="str">
        <f t="shared" si="1813"/>
        <v>Inbetriebnahme 01/2017</v>
      </c>
      <c r="D5000" s="643" t="str">
        <f>$R$4848</f>
        <v>10 - 40 kW</v>
      </c>
      <c r="E5000" s="645"/>
      <c r="F5000" s="657">
        <f t="shared" si="1814"/>
        <v>11.96</v>
      </c>
      <c r="G5000" s="657">
        <f t="shared" si="1815"/>
        <v>12.36</v>
      </c>
      <c r="H5000" s="656">
        <f t="shared" si="1800"/>
        <v>9.89</v>
      </c>
      <c r="I5000" s="701"/>
      <c r="J5000" s="669">
        <v>42705</v>
      </c>
      <c r="K5000" s="15"/>
      <c r="M5000" s="413"/>
      <c r="N5000" s="333" t="str">
        <f t="shared" ref="N5000:N5010" si="1816">TEXT(DATE(YEAR(DATEVALUE(N4999)),MONTH(DATEVALUE(N4999))+1,1),"MMMJJ")</f>
        <v>Feb17</v>
      </c>
      <c r="O5000" s="568">
        <v>0</v>
      </c>
      <c r="P5000" s="23">
        <f t="shared" ref="P5000:P5010" si="1817">IF($O5000&lt;&gt;"",P4999*(100%-$O5000),"")</f>
        <v>12.7</v>
      </c>
      <c r="Q5000" s="23">
        <f t="shared" ref="Q5000:Q5010" si="1818">IF($O5000&lt;&gt;"",Q4999*(100%-$O5000),"")</f>
        <v>12.36</v>
      </c>
      <c r="R5000" s="23">
        <f t="shared" ref="R5000:R5010" si="1819">IF($O5000&lt;&gt;"",R4999*(100%-$O5000),"")</f>
        <v>11.09</v>
      </c>
      <c r="S5000" s="23"/>
      <c r="T5000" s="23"/>
      <c r="U5000" s="23">
        <f t="shared" ref="U5000:U5010" si="1820">IF($O5000&lt;&gt;"",P5000-0.4,"")</f>
        <v>12.299999999999999</v>
      </c>
      <c r="V5000" s="23">
        <f t="shared" ref="V5000:V5010" si="1821">IF($O5000&lt;&gt;"",Q5000-0.4,"")</f>
        <v>11.959999999999999</v>
      </c>
      <c r="W5000" s="23">
        <f t="shared" ref="W5000:W5010" si="1822">IF($O5000&lt;&gt;"",R5000-0.4,"")</f>
        <v>10.69</v>
      </c>
      <c r="X5000" s="23"/>
    </row>
    <row r="5001" spans="1:25" x14ac:dyDescent="0.25">
      <c r="A5001" s="644" t="str">
        <f>"SgK4822--"&amp;RIGHT(A5000,5)</f>
        <v>SgK4822--Jan17</v>
      </c>
      <c r="B5001" s="645" t="s">
        <v>5435</v>
      </c>
      <c r="C5001" s="643" t="str">
        <f t="shared" si="1813"/>
        <v>Inbetriebnahme 01/2017</v>
      </c>
      <c r="D5001" s="643" t="s">
        <v>7444</v>
      </c>
      <c r="E5001" s="645"/>
      <c r="F5001" s="657">
        <f t="shared" si="1814"/>
        <v>10.69</v>
      </c>
      <c r="G5001" s="657">
        <f t="shared" si="1815"/>
        <v>11.09</v>
      </c>
      <c r="H5001" s="656">
        <f t="shared" si="1800"/>
        <v>8.8699999999999992</v>
      </c>
      <c r="I5001" s="701"/>
      <c r="J5001" s="669">
        <v>42705</v>
      </c>
      <c r="K5001" s="15"/>
      <c r="M5001" s="413"/>
      <c r="N5001" s="333" t="str">
        <f t="shared" si="1816"/>
        <v>Mrz17</v>
      </c>
      <c r="O5001" s="568">
        <v>0</v>
      </c>
      <c r="P5001" s="23">
        <f t="shared" si="1817"/>
        <v>12.7</v>
      </c>
      <c r="Q5001" s="23">
        <f t="shared" si="1818"/>
        <v>12.36</v>
      </c>
      <c r="R5001" s="23">
        <f t="shared" si="1819"/>
        <v>11.09</v>
      </c>
      <c r="S5001" s="23"/>
      <c r="T5001" s="23"/>
      <c r="U5001" s="23">
        <f t="shared" si="1820"/>
        <v>12.299999999999999</v>
      </c>
      <c r="V5001" s="23">
        <f t="shared" si="1821"/>
        <v>11.959999999999999</v>
      </c>
      <c r="W5001" s="23">
        <f t="shared" si="1822"/>
        <v>10.69</v>
      </c>
      <c r="X5001" s="23"/>
    </row>
    <row r="5002" spans="1:25" x14ac:dyDescent="0.25">
      <c r="A5002" s="644" t="s">
        <v>6008</v>
      </c>
      <c r="B5002" s="645" t="s">
        <v>5435</v>
      </c>
      <c r="C5002" s="643" t="str">
        <f t="shared" si="1813"/>
        <v>Inbetriebnahme 02/2017</v>
      </c>
      <c r="D5002" s="643" t="str">
        <f t="shared" ref="D5002:D5034" si="1823">D4999</f>
        <v>0 - 10 kW</v>
      </c>
      <c r="E5002" s="645"/>
      <c r="F5002" s="657">
        <f t="shared" si="1814"/>
        <v>12.3</v>
      </c>
      <c r="G5002" s="657">
        <f t="shared" si="1815"/>
        <v>12.7</v>
      </c>
      <c r="H5002" s="656">
        <f t="shared" si="1800"/>
        <v>10.16</v>
      </c>
      <c r="I5002" s="701"/>
      <c r="J5002" s="669">
        <v>42766</v>
      </c>
      <c r="K5002" s="15"/>
      <c r="M5002" s="413"/>
      <c r="N5002" s="333" t="str">
        <f t="shared" si="1816"/>
        <v>Apr17</v>
      </c>
      <c r="O5002" s="568">
        <v>0</v>
      </c>
      <c r="P5002" s="23">
        <f t="shared" si="1817"/>
        <v>12.7</v>
      </c>
      <c r="Q5002" s="23">
        <f t="shared" si="1818"/>
        <v>12.36</v>
      </c>
      <c r="R5002" s="23">
        <f t="shared" si="1819"/>
        <v>11.09</v>
      </c>
      <c r="S5002" s="23"/>
      <c r="T5002" s="23"/>
      <c r="U5002" s="23">
        <f t="shared" si="1820"/>
        <v>12.299999999999999</v>
      </c>
      <c r="V5002" s="23">
        <f t="shared" si="1821"/>
        <v>11.959999999999999</v>
      </c>
      <c r="W5002" s="23">
        <f t="shared" si="1822"/>
        <v>10.69</v>
      </c>
      <c r="X5002" s="23"/>
    </row>
    <row r="5003" spans="1:25" x14ac:dyDescent="0.25">
      <c r="A5003" s="644" t="str">
        <f>"SgK4821--"&amp;RIGHT(A5002,5)</f>
        <v>SgK4821--Feb17</v>
      </c>
      <c r="B5003" s="645" t="s">
        <v>5435</v>
      </c>
      <c r="C5003" s="643" t="str">
        <f t="shared" si="1813"/>
        <v>Inbetriebnahme 02/2017</v>
      </c>
      <c r="D5003" s="643" t="str">
        <f t="shared" si="1823"/>
        <v>10 - 40 kW</v>
      </c>
      <c r="E5003" s="645"/>
      <c r="F5003" s="657">
        <f t="shared" si="1814"/>
        <v>11.96</v>
      </c>
      <c r="G5003" s="657">
        <f t="shared" si="1815"/>
        <v>12.36</v>
      </c>
      <c r="H5003" s="656">
        <f t="shared" si="1800"/>
        <v>9.89</v>
      </c>
      <c r="I5003" s="701"/>
      <c r="J5003" s="669">
        <v>42766</v>
      </c>
      <c r="K5003" s="15"/>
      <c r="M5003" s="413"/>
      <c r="N5003" s="333" t="str">
        <f t="shared" si="1816"/>
        <v>Mai17</v>
      </c>
      <c r="O5003" s="568">
        <v>2.5000000000000001E-3</v>
      </c>
      <c r="P5003" s="23">
        <f t="shared" si="1817"/>
        <v>12.66825</v>
      </c>
      <c r="Q5003" s="23">
        <f t="shared" si="1818"/>
        <v>12.3291</v>
      </c>
      <c r="R5003" s="23">
        <f t="shared" si="1819"/>
        <v>11.062275</v>
      </c>
      <c r="S5003" s="23"/>
      <c r="T5003" s="23"/>
      <c r="U5003" s="23">
        <f t="shared" si="1820"/>
        <v>12.26825</v>
      </c>
      <c r="V5003" s="23">
        <f t="shared" si="1821"/>
        <v>11.9291</v>
      </c>
      <c r="W5003" s="23">
        <f t="shared" si="1822"/>
        <v>10.662274999999999</v>
      </c>
      <c r="X5003" s="23"/>
    </row>
    <row r="5004" spans="1:25" x14ac:dyDescent="0.25">
      <c r="A5004" s="644" t="str">
        <f>"SgK4822--"&amp;RIGHT(A5003,5)</f>
        <v>SgK4822--Feb17</v>
      </c>
      <c r="B5004" s="645" t="s">
        <v>5435</v>
      </c>
      <c r="C5004" s="643" t="str">
        <f t="shared" si="1813"/>
        <v>Inbetriebnahme 02/2017</v>
      </c>
      <c r="D5004" s="643" t="str">
        <f t="shared" si="1823"/>
        <v>40 - 750 kW</v>
      </c>
      <c r="E5004" s="645"/>
      <c r="F5004" s="657">
        <f t="shared" si="1814"/>
        <v>10.69</v>
      </c>
      <c r="G5004" s="657">
        <f t="shared" si="1815"/>
        <v>11.09</v>
      </c>
      <c r="H5004" s="656">
        <f t="shared" si="1800"/>
        <v>8.8699999999999992</v>
      </c>
      <c r="I5004" s="701"/>
      <c r="J5004" s="669">
        <v>42766</v>
      </c>
      <c r="K5004" s="15"/>
      <c r="M5004" s="413"/>
      <c r="N5004" s="333" t="str">
        <f t="shared" si="1816"/>
        <v>Jun17</v>
      </c>
      <c r="O5004" s="568">
        <v>2.5000000000000001E-3</v>
      </c>
      <c r="P5004" s="23">
        <f t="shared" si="1817"/>
        <v>12.636579375000002</v>
      </c>
      <c r="Q5004" s="23">
        <f t="shared" si="1818"/>
        <v>12.298277250000002</v>
      </c>
      <c r="R5004" s="23">
        <f t="shared" si="1819"/>
        <v>11.0346193125</v>
      </c>
      <c r="S5004" s="23"/>
      <c r="T5004" s="23"/>
      <c r="U5004" s="23">
        <f t="shared" si="1820"/>
        <v>12.236579375000002</v>
      </c>
      <c r="V5004" s="23">
        <f t="shared" si="1821"/>
        <v>11.898277250000001</v>
      </c>
      <c r="W5004" s="23">
        <f t="shared" si="1822"/>
        <v>10.6346193125</v>
      </c>
      <c r="X5004" s="23"/>
    </row>
    <row r="5005" spans="1:25" x14ac:dyDescent="0.25">
      <c r="A5005" s="644" t="s">
        <v>5998</v>
      </c>
      <c r="B5005" s="645" t="s">
        <v>5435</v>
      </c>
      <c r="C5005" s="643" t="str">
        <f t="shared" si="1813"/>
        <v>Inbetriebnahme 03/2017</v>
      </c>
      <c r="D5005" s="643" t="str">
        <f t="shared" si="1823"/>
        <v>0 - 10 kW</v>
      </c>
      <c r="E5005" s="645"/>
      <c r="F5005" s="657">
        <f t="shared" si="1814"/>
        <v>12.3</v>
      </c>
      <c r="G5005" s="657">
        <f t="shared" si="1815"/>
        <v>12.7</v>
      </c>
      <c r="H5005" s="656">
        <f t="shared" si="1800"/>
        <v>10.16</v>
      </c>
      <c r="I5005" s="701"/>
      <c r="J5005" s="669">
        <v>42766</v>
      </c>
      <c r="K5005" s="15"/>
      <c r="M5005" s="413"/>
      <c r="N5005" s="333" t="str">
        <f t="shared" si="1816"/>
        <v>Jul17</v>
      </c>
      <c r="O5005" s="568">
        <v>2.5000000000000001E-3</v>
      </c>
      <c r="P5005" s="23">
        <f t="shared" si="1817"/>
        <v>12.604987926562503</v>
      </c>
      <c r="Q5005" s="23">
        <f t="shared" si="1818"/>
        <v>12.267531556875003</v>
      </c>
      <c r="R5005" s="23">
        <f t="shared" si="1819"/>
        <v>11.007032764218751</v>
      </c>
      <c r="S5005" s="23"/>
      <c r="T5005" s="23"/>
      <c r="U5005" s="23">
        <f t="shared" si="1820"/>
        <v>12.204987926562502</v>
      </c>
      <c r="V5005" s="23">
        <f t="shared" si="1821"/>
        <v>11.867531556875003</v>
      </c>
      <c r="W5005" s="23">
        <f t="shared" si="1822"/>
        <v>10.607032764218751</v>
      </c>
      <c r="X5005" s="23"/>
    </row>
    <row r="5006" spans="1:25" x14ac:dyDescent="0.25">
      <c r="A5006" s="644" t="str">
        <f>"SgK4821--"&amp;RIGHT(A5005,5)</f>
        <v>SgK4821--Mrz17</v>
      </c>
      <c r="B5006" s="645" t="s">
        <v>5435</v>
      </c>
      <c r="C5006" s="643" t="str">
        <f t="shared" si="1813"/>
        <v>Inbetriebnahme 03/2017</v>
      </c>
      <c r="D5006" s="643" t="str">
        <f t="shared" si="1823"/>
        <v>10 - 40 kW</v>
      </c>
      <c r="E5006" s="645"/>
      <c r="F5006" s="657">
        <f t="shared" si="1814"/>
        <v>11.96</v>
      </c>
      <c r="G5006" s="657">
        <f t="shared" si="1815"/>
        <v>12.36</v>
      </c>
      <c r="H5006" s="656">
        <f t="shared" si="1800"/>
        <v>9.89</v>
      </c>
      <c r="I5006" s="701"/>
      <c r="J5006" s="669">
        <v>42766</v>
      </c>
      <c r="K5006" s="15"/>
      <c r="M5006" s="127"/>
      <c r="N5006" s="333" t="str">
        <f t="shared" si="1816"/>
        <v>Aug17</v>
      </c>
      <c r="O5006" s="568">
        <v>0</v>
      </c>
      <c r="P5006" s="23">
        <f t="shared" si="1817"/>
        <v>12.604987926562503</v>
      </c>
      <c r="Q5006" s="23">
        <f t="shared" si="1818"/>
        <v>12.267531556875003</v>
      </c>
      <c r="R5006" s="23">
        <f t="shared" si="1819"/>
        <v>11.007032764218751</v>
      </c>
      <c r="S5006" s="23"/>
      <c r="T5006" s="23"/>
      <c r="U5006" s="23">
        <f t="shared" si="1820"/>
        <v>12.204987926562502</v>
      </c>
      <c r="V5006" s="23">
        <f t="shared" si="1821"/>
        <v>11.867531556875003</v>
      </c>
      <c r="W5006" s="23">
        <f t="shared" si="1822"/>
        <v>10.607032764218751</v>
      </c>
      <c r="X5006" s="23"/>
    </row>
    <row r="5007" spans="1:25" x14ac:dyDescent="0.25">
      <c r="A5007" s="644" t="str">
        <f>"SgK4822--"&amp;RIGHT(A5006,5)</f>
        <v>SgK4822--Mrz17</v>
      </c>
      <c r="B5007" s="645" t="s">
        <v>5435</v>
      </c>
      <c r="C5007" s="643" t="str">
        <f t="shared" si="1813"/>
        <v>Inbetriebnahme 03/2017</v>
      </c>
      <c r="D5007" s="643" t="str">
        <f t="shared" si="1823"/>
        <v>40 - 750 kW</v>
      </c>
      <c r="E5007" s="645"/>
      <c r="F5007" s="657">
        <f t="shared" si="1814"/>
        <v>10.69</v>
      </c>
      <c r="G5007" s="657">
        <f t="shared" si="1815"/>
        <v>11.09</v>
      </c>
      <c r="H5007" s="656">
        <f t="shared" si="1800"/>
        <v>8.8699999999999992</v>
      </c>
      <c r="I5007" s="701"/>
      <c r="J5007" s="669">
        <v>42766</v>
      </c>
      <c r="K5007" s="15"/>
      <c r="N5007" s="333" t="str">
        <f t="shared" si="1816"/>
        <v>Sep17</v>
      </c>
      <c r="O5007" s="568">
        <v>0</v>
      </c>
      <c r="P5007" s="23">
        <f t="shared" si="1817"/>
        <v>12.604987926562503</v>
      </c>
      <c r="Q5007" s="23">
        <f t="shared" si="1818"/>
        <v>12.267531556875003</v>
      </c>
      <c r="R5007" s="23">
        <f t="shared" si="1819"/>
        <v>11.007032764218751</v>
      </c>
      <c r="S5007" s="23"/>
      <c r="T5007" s="23"/>
      <c r="U5007" s="23">
        <f t="shared" si="1820"/>
        <v>12.204987926562502</v>
      </c>
      <c r="V5007" s="23">
        <f t="shared" si="1821"/>
        <v>11.867531556875003</v>
      </c>
      <c r="W5007" s="23">
        <f t="shared" si="1822"/>
        <v>10.607032764218751</v>
      </c>
      <c r="X5007" s="23"/>
    </row>
    <row r="5008" spans="1:25" x14ac:dyDescent="0.25">
      <c r="A5008" s="644" t="s">
        <v>5999</v>
      </c>
      <c r="B5008" s="645" t="s">
        <v>5435</v>
      </c>
      <c r="C5008" s="643" t="str">
        <f t="shared" si="1813"/>
        <v>Inbetriebnahme 04/2017</v>
      </c>
      <c r="D5008" s="643" t="str">
        <f t="shared" si="1823"/>
        <v>0 - 10 kW</v>
      </c>
      <c r="E5008" s="645"/>
      <c r="F5008" s="657">
        <f t="shared" si="1814"/>
        <v>12.3</v>
      </c>
      <c r="G5008" s="657">
        <f t="shared" si="1815"/>
        <v>12.7</v>
      </c>
      <c r="H5008" s="656">
        <f t="shared" si="1800"/>
        <v>10.16</v>
      </c>
      <c r="I5008" s="701"/>
      <c r="J5008" s="669">
        <v>42766</v>
      </c>
      <c r="K5008" s="15"/>
      <c r="N5008" s="333" t="str">
        <f t="shared" si="1816"/>
        <v>Okt17</v>
      </c>
      <c r="O5008" s="568">
        <v>0</v>
      </c>
      <c r="P5008" s="23">
        <f t="shared" si="1817"/>
        <v>12.604987926562503</v>
      </c>
      <c r="Q5008" s="23">
        <f t="shared" si="1818"/>
        <v>12.267531556875003</v>
      </c>
      <c r="R5008" s="23">
        <f t="shared" si="1819"/>
        <v>11.007032764218751</v>
      </c>
      <c r="S5008" s="23"/>
      <c r="T5008" s="23"/>
      <c r="U5008" s="23">
        <f t="shared" si="1820"/>
        <v>12.204987926562502</v>
      </c>
      <c r="V5008" s="23">
        <f t="shared" si="1821"/>
        <v>11.867531556875003</v>
      </c>
      <c r="W5008" s="23">
        <f t="shared" si="1822"/>
        <v>10.607032764218751</v>
      </c>
      <c r="X5008" s="23"/>
    </row>
    <row r="5009" spans="1:29" x14ac:dyDescent="0.25">
      <c r="A5009" s="644" t="str">
        <f>"SgK4821--"&amp;RIGHT(A5008,5)</f>
        <v>SgK4821--Apr17</v>
      </c>
      <c r="B5009" s="645" t="s">
        <v>5435</v>
      </c>
      <c r="C5009" s="643" t="str">
        <f t="shared" si="1813"/>
        <v>Inbetriebnahme 04/2017</v>
      </c>
      <c r="D5009" s="643" t="str">
        <f t="shared" si="1823"/>
        <v>10 - 40 kW</v>
      </c>
      <c r="E5009" s="645"/>
      <c r="F5009" s="657">
        <f t="shared" si="1814"/>
        <v>11.96</v>
      </c>
      <c r="G5009" s="657">
        <f t="shared" si="1815"/>
        <v>12.36</v>
      </c>
      <c r="H5009" s="656">
        <f t="shared" ref="H5009:H5034" si="1824">IF(ISNUMBER($G5009),ROUND(0.8*$G5009,2),"")</f>
        <v>9.89</v>
      </c>
      <c r="I5009" s="701"/>
      <c r="J5009" s="669">
        <v>42766</v>
      </c>
      <c r="K5009" s="15"/>
      <c r="N5009" s="333" t="str">
        <f t="shared" si="1816"/>
        <v>Nov17</v>
      </c>
      <c r="O5009" s="568">
        <v>0</v>
      </c>
      <c r="P5009" s="23">
        <f t="shared" si="1817"/>
        <v>12.604987926562503</v>
      </c>
      <c r="Q5009" s="23">
        <f t="shared" si="1818"/>
        <v>12.267531556875003</v>
      </c>
      <c r="R5009" s="23">
        <f t="shared" si="1819"/>
        <v>11.007032764218751</v>
      </c>
      <c r="S5009" s="23"/>
      <c r="T5009" s="23"/>
      <c r="U5009" s="23">
        <f t="shared" si="1820"/>
        <v>12.204987926562502</v>
      </c>
      <c r="V5009" s="23">
        <f t="shared" si="1821"/>
        <v>11.867531556875003</v>
      </c>
      <c r="W5009" s="23">
        <f t="shared" si="1822"/>
        <v>10.607032764218751</v>
      </c>
      <c r="X5009" s="23"/>
    </row>
    <row r="5010" spans="1:29" s="12" customFormat="1" x14ac:dyDescent="0.25">
      <c r="A5010" s="644" t="str">
        <f>"SgK4822--"&amp;RIGHT(A5009,5)</f>
        <v>SgK4822--Apr17</v>
      </c>
      <c r="B5010" s="645" t="s">
        <v>5435</v>
      </c>
      <c r="C5010" s="643" t="str">
        <f t="shared" si="1813"/>
        <v>Inbetriebnahme 04/2017</v>
      </c>
      <c r="D5010" s="643" t="str">
        <f t="shared" si="1823"/>
        <v>40 - 750 kW</v>
      </c>
      <c r="E5010" s="645"/>
      <c r="F5010" s="657">
        <f t="shared" si="1814"/>
        <v>10.69</v>
      </c>
      <c r="G5010" s="657">
        <f t="shared" si="1815"/>
        <v>11.09</v>
      </c>
      <c r="H5010" s="656">
        <f t="shared" si="1824"/>
        <v>8.8699999999999992</v>
      </c>
      <c r="I5010" s="701"/>
      <c r="J5010" s="669">
        <v>42766</v>
      </c>
      <c r="K5010" s="23"/>
      <c r="M5010"/>
      <c r="N5010" s="333" t="str">
        <f t="shared" si="1816"/>
        <v>Dez17</v>
      </c>
      <c r="O5010" s="568">
        <v>0</v>
      </c>
      <c r="P5010" s="23">
        <f t="shared" si="1817"/>
        <v>12.604987926562503</v>
      </c>
      <c r="Q5010" s="23">
        <f t="shared" si="1818"/>
        <v>12.267531556875003</v>
      </c>
      <c r="R5010" s="23">
        <f t="shared" si="1819"/>
        <v>11.007032764218751</v>
      </c>
      <c r="S5010" s="23"/>
      <c r="T5010" s="23"/>
      <c r="U5010" s="23">
        <f t="shared" si="1820"/>
        <v>12.204987926562502</v>
      </c>
      <c r="V5010" s="23">
        <f t="shared" si="1821"/>
        <v>11.867531556875003</v>
      </c>
      <c r="W5010" s="23">
        <f t="shared" si="1822"/>
        <v>10.607032764218751</v>
      </c>
      <c r="X5010" s="23"/>
      <c r="Y5010"/>
      <c r="Z5010"/>
      <c r="AA5010"/>
      <c r="AB5010"/>
      <c r="AC5010"/>
    </row>
    <row r="5011" spans="1:29" s="12" customFormat="1" x14ac:dyDescent="0.25">
      <c r="A5011" s="644" t="s">
        <v>6000</v>
      </c>
      <c r="B5011" s="645" t="s">
        <v>5435</v>
      </c>
      <c r="C5011" s="643" t="str">
        <f t="shared" si="1813"/>
        <v>Inbetriebnahme 05/2017</v>
      </c>
      <c r="D5011" s="643" t="str">
        <f t="shared" si="1823"/>
        <v>0 - 10 kW</v>
      </c>
      <c r="E5011" s="645"/>
      <c r="F5011" s="657">
        <f t="shared" si="1814"/>
        <v>12.27</v>
      </c>
      <c r="G5011" s="657">
        <f t="shared" si="1815"/>
        <v>12.67</v>
      </c>
      <c r="H5011" s="656">
        <f t="shared" si="1824"/>
        <v>10.14</v>
      </c>
      <c r="I5011" s="701"/>
      <c r="J5011" s="669">
        <v>42877</v>
      </c>
      <c r="K5011" s="23"/>
      <c r="M5011" s="413"/>
      <c r="N5011" s="281"/>
      <c r="O5011" s="680"/>
      <c r="P5011" s="326"/>
      <c r="Q5011" s="327"/>
      <c r="R5011" s="327"/>
      <c r="S5011" s="327"/>
      <c r="T5011" s="327"/>
    </row>
    <row r="5012" spans="1:29" s="12" customFormat="1" x14ac:dyDescent="0.25">
      <c r="A5012" s="644" t="str">
        <f>"SgK4821--"&amp;RIGHT(A5011,5)</f>
        <v>SgK4821--Mai17</v>
      </c>
      <c r="B5012" s="645" t="s">
        <v>5435</v>
      </c>
      <c r="C5012" s="643" t="str">
        <f t="shared" si="1813"/>
        <v>Inbetriebnahme 05/2017</v>
      </c>
      <c r="D5012" s="643" t="str">
        <f t="shared" si="1823"/>
        <v>10 - 40 kW</v>
      </c>
      <c r="E5012" s="645"/>
      <c r="F5012" s="657">
        <f t="shared" si="1814"/>
        <v>11.93</v>
      </c>
      <c r="G5012" s="657">
        <f t="shared" si="1815"/>
        <v>12.33</v>
      </c>
      <c r="H5012" s="656">
        <f t="shared" si="1824"/>
        <v>9.86</v>
      </c>
      <c r="I5012" s="701"/>
      <c r="J5012" s="669">
        <v>42877</v>
      </c>
      <c r="K5012" s="23"/>
      <c r="M5012" s="413"/>
      <c r="N5012" s="281"/>
      <c r="O5012" s="680"/>
      <c r="P5012" s="326"/>
      <c r="Q5012" s="327"/>
      <c r="R5012" s="327"/>
      <c r="S5012" s="327"/>
      <c r="T5012" s="327"/>
    </row>
    <row r="5013" spans="1:29" s="12" customFormat="1" x14ac:dyDescent="0.25">
      <c r="A5013" s="644" t="str">
        <f>"SgK4822--"&amp;RIGHT(A5012,5)</f>
        <v>SgK4822--Mai17</v>
      </c>
      <c r="B5013" s="645" t="s">
        <v>5435</v>
      </c>
      <c r="C5013" s="643" t="str">
        <f t="shared" si="1813"/>
        <v>Inbetriebnahme 05/2017</v>
      </c>
      <c r="D5013" s="643" t="str">
        <f t="shared" si="1823"/>
        <v>40 - 750 kW</v>
      </c>
      <c r="E5013" s="645"/>
      <c r="F5013" s="657">
        <f t="shared" si="1814"/>
        <v>10.66</v>
      </c>
      <c r="G5013" s="657">
        <f t="shared" si="1815"/>
        <v>11.06</v>
      </c>
      <c r="H5013" s="656">
        <f t="shared" si="1824"/>
        <v>8.85</v>
      </c>
      <c r="I5013" s="701"/>
      <c r="J5013" s="669">
        <v>42877</v>
      </c>
      <c r="K5013" s="23"/>
      <c r="L5013" s="129"/>
      <c r="M5013" s="413"/>
      <c r="N5013" s="281"/>
      <c r="O5013" s="680"/>
      <c r="P5013" s="326"/>
      <c r="Q5013" s="327"/>
      <c r="R5013" s="327"/>
      <c r="S5013" s="327"/>
      <c r="T5013" s="327"/>
    </row>
    <row r="5014" spans="1:29" s="12" customFormat="1" x14ac:dyDescent="0.25">
      <c r="A5014" s="644" t="s">
        <v>6001</v>
      </c>
      <c r="B5014" s="645" t="s">
        <v>5435</v>
      </c>
      <c r="C5014" s="643" t="str">
        <f t="shared" si="1813"/>
        <v>Inbetriebnahme 06/2017</v>
      </c>
      <c r="D5014" s="643" t="str">
        <f t="shared" si="1823"/>
        <v>0 - 10 kW</v>
      </c>
      <c r="E5014" s="645"/>
      <c r="F5014" s="657">
        <f t="shared" si="1814"/>
        <v>12.24</v>
      </c>
      <c r="G5014" s="657">
        <f t="shared" si="1815"/>
        <v>12.64</v>
      </c>
      <c r="H5014" s="656">
        <f t="shared" si="1824"/>
        <v>10.11</v>
      </c>
      <c r="I5014" s="701"/>
      <c r="J5014" s="669">
        <v>42877</v>
      </c>
      <c r="K5014" s="23"/>
      <c r="L5014" s="173"/>
      <c r="M5014" s="413"/>
      <c r="N5014" s="281"/>
      <c r="O5014" s="680"/>
      <c r="P5014" s="326"/>
      <c r="Q5014" s="327"/>
      <c r="R5014" s="327"/>
      <c r="S5014" s="327"/>
      <c r="T5014" s="327"/>
    </row>
    <row r="5015" spans="1:29" s="12" customFormat="1" x14ac:dyDescent="0.25">
      <c r="A5015" s="644" t="str">
        <f>"SgK4821--"&amp;RIGHT(A5014,5)</f>
        <v>SgK4821--Jun17</v>
      </c>
      <c r="B5015" s="645" t="s">
        <v>5435</v>
      </c>
      <c r="C5015" s="643" t="str">
        <f t="shared" si="1813"/>
        <v>Inbetriebnahme 06/2017</v>
      </c>
      <c r="D5015" s="643" t="str">
        <f t="shared" si="1823"/>
        <v>10 - 40 kW</v>
      </c>
      <c r="E5015" s="645"/>
      <c r="F5015" s="657">
        <f t="shared" si="1814"/>
        <v>11.9</v>
      </c>
      <c r="G5015" s="657">
        <f t="shared" si="1815"/>
        <v>12.3</v>
      </c>
      <c r="H5015" s="656">
        <f t="shared" si="1824"/>
        <v>9.84</v>
      </c>
      <c r="I5015" s="701"/>
      <c r="J5015" s="669">
        <v>42877</v>
      </c>
      <c r="K5015" s="23"/>
      <c r="L5015" s="173"/>
      <c r="M5015" s="413"/>
      <c r="N5015" s="281"/>
      <c r="O5015" s="680"/>
      <c r="P5015" s="326"/>
      <c r="Q5015" s="327"/>
      <c r="R5015" s="327"/>
      <c r="S5015" s="327"/>
      <c r="T5015" s="327"/>
    </row>
    <row r="5016" spans="1:29" s="12" customFormat="1" x14ac:dyDescent="0.25">
      <c r="A5016" s="644" t="str">
        <f>"SgK4822--"&amp;RIGHT(A5015,5)</f>
        <v>SgK4822--Jun17</v>
      </c>
      <c r="B5016" s="645" t="s">
        <v>5435</v>
      </c>
      <c r="C5016" s="643" t="str">
        <f t="shared" si="1813"/>
        <v>Inbetriebnahme 06/2017</v>
      </c>
      <c r="D5016" s="643" t="str">
        <f t="shared" si="1823"/>
        <v>40 - 750 kW</v>
      </c>
      <c r="E5016" s="645"/>
      <c r="F5016" s="657">
        <f t="shared" si="1814"/>
        <v>10.63</v>
      </c>
      <c r="G5016" s="657">
        <f t="shared" si="1815"/>
        <v>11.03</v>
      </c>
      <c r="H5016" s="656">
        <f t="shared" si="1824"/>
        <v>8.82</v>
      </c>
      <c r="I5016" s="701"/>
      <c r="J5016" s="669">
        <v>42877</v>
      </c>
      <c r="K5016" s="23"/>
      <c r="L5016" s="173"/>
      <c r="M5016" s="413"/>
      <c r="N5016" s="281"/>
      <c r="O5016" s="680"/>
      <c r="P5016" s="344"/>
      <c r="Q5016" s="327"/>
      <c r="R5016" s="327"/>
      <c r="S5016" s="327"/>
      <c r="T5016" s="327"/>
    </row>
    <row r="5017" spans="1:29" s="12" customFormat="1" x14ac:dyDescent="0.25">
      <c r="A5017" s="644" t="s">
        <v>6002</v>
      </c>
      <c r="B5017" s="645" t="s">
        <v>5435</v>
      </c>
      <c r="C5017" s="643" t="str">
        <f t="shared" si="1813"/>
        <v>Inbetriebnahme 07/2017</v>
      </c>
      <c r="D5017" s="643" t="str">
        <f t="shared" si="1823"/>
        <v>0 - 10 kW</v>
      </c>
      <c r="E5017" s="645"/>
      <c r="F5017" s="657">
        <f t="shared" si="1814"/>
        <v>12.2</v>
      </c>
      <c r="G5017" s="657">
        <f t="shared" si="1815"/>
        <v>12.6</v>
      </c>
      <c r="H5017" s="656">
        <f t="shared" si="1824"/>
        <v>10.08</v>
      </c>
      <c r="I5017" s="656">
        <f t="shared" ref="I5017:I5034" si="1825">IF(ISNUMBER($G5017),MAX(0,ROUND(G5017-8.5-0.4,2)),"")</f>
        <v>3.7</v>
      </c>
      <c r="J5017" s="669">
        <v>43077</v>
      </c>
      <c r="K5017" s="23"/>
      <c r="L5017" s="173"/>
      <c r="M5017" s="413"/>
      <c r="N5017" s="281"/>
      <c r="O5017" s="682"/>
    </row>
    <row r="5018" spans="1:29" s="12" customFormat="1" x14ac:dyDescent="0.25">
      <c r="A5018" s="644" t="str">
        <f>"SgK4821--"&amp;RIGHT(A5017,5)</f>
        <v>SgK4821--Jul17</v>
      </c>
      <c r="B5018" s="645" t="s">
        <v>5435</v>
      </c>
      <c r="C5018" s="643" t="str">
        <f t="shared" si="1813"/>
        <v>Inbetriebnahme 07/2017</v>
      </c>
      <c r="D5018" s="643" t="str">
        <f t="shared" si="1823"/>
        <v>10 - 40 kW</v>
      </c>
      <c r="E5018" s="645"/>
      <c r="F5018" s="657">
        <f t="shared" si="1814"/>
        <v>11.87</v>
      </c>
      <c r="G5018" s="657">
        <f t="shared" si="1815"/>
        <v>12.27</v>
      </c>
      <c r="H5018" s="656">
        <f t="shared" si="1824"/>
        <v>9.82</v>
      </c>
      <c r="I5018" s="656">
        <f t="shared" si="1825"/>
        <v>3.37</v>
      </c>
      <c r="J5018" s="669">
        <v>43077</v>
      </c>
      <c r="K5018" s="23"/>
      <c r="L5018" s="173"/>
      <c r="M5018" s="413"/>
      <c r="O5018" s="682"/>
    </row>
    <row r="5019" spans="1:29" x14ac:dyDescent="0.25">
      <c r="A5019" s="644" t="str">
        <f>"SgK4822--"&amp;RIGHT(A5018,5)</f>
        <v>SgK4822--Jul17</v>
      </c>
      <c r="B5019" s="645" t="s">
        <v>5435</v>
      </c>
      <c r="C5019" s="643" t="str">
        <f t="shared" si="1813"/>
        <v>Inbetriebnahme 07/2017</v>
      </c>
      <c r="D5019" s="643" t="str">
        <f t="shared" si="1823"/>
        <v>40 - 750 kW</v>
      </c>
      <c r="E5019" s="645"/>
      <c r="F5019" s="657">
        <f t="shared" si="1814"/>
        <v>10.61</v>
      </c>
      <c r="G5019" s="657">
        <f t="shared" si="1815"/>
        <v>11.01</v>
      </c>
      <c r="H5019" s="656">
        <f t="shared" si="1824"/>
        <v>8.81</v>
      </c>
      <c r="I5019" s="656">
        <f t="shared" si="1825"/>
        <v>2.11</v>
      </c>
      <c r="J5019" s="669">
        <v>43077</v>
      </c>
      <c r="K5019" s="15"/>
      <c r="L5019" s="173"/>
      <c r="M5019" s="413"/>
      <c r="N5019" s="12"/>
      <c r="O5019" s="682"/>
      <c r="P5019" s="12"/>
      <c r="Q5019" s="12"/>
      <c r="R5019" s="12"/>
      <c r="S5019" s="12"/>
      <c r="T5019" s="12"/>
      <c r="U5019" s="12"/>
      <c r="V5019" s="12"/>
      <c r="W5019" s="12"/>
      <c r="X5019" s="12"/>
      <c r="Y5019" s="12"/>
      <c r="Z5019" s="12"/>
      <c r="AA5019" s="12"/>
      <c r="AB5019" s="12"/>
      <c r="AC5019" s="12"/>
    </row>
    <row r="5020" spans="1:29" x14ac:dyDescent="0.25">
      <c r="A5020" s="644" t="s">
        <v>6003</v>
      </c>
      <c r="B5020" s="645" t="s">
        <v>5435</v>
      </c>
      <c r="C5020" s="643" t="s">
        <v>5946</v>
      </c>
      <c r="D5020" s="643" t="str">
        <f t="shared" si="1823"/>
        <v>0 - 10 kW</v>
      </c>
      <c r="E5020" s="645"/>
      <c r="F5020" s="657">
        <f t="shared" si="1814"/>
        <v>12.2</v>
      </c>
      <c r="G5020" s="657">
        <f t="shared" si="1815"/>
        <v>12.6</v>
      </c>
      <c r="H5020" s="656">
        <f t="shared" si="1824"/>
        <v>10.08</v>
      </c>
      <c r="I5020" s="656">
        <f t="shared" si="1825"/>
        <v>3.7</v>
      </c>
      <c r="J5020" s="669">
        <v>43077</v>
      </c>
      <c r="K5020" s="15"/>
      <c r="L5020" s="173"/>
      <c r="M5020" s="413"/>
      <c r="O5020" s="325"/>
      <c r="P5020" s="12"/>
      <c r="Q5020" s="12"/>
      <c r="R5020" s="12"/>
      <c r="S5020" s="12"/>
      <c r="T5020" s="12"/>
    </row>
    <row r="5021" spans="1:29" x14ac:dyDescent="0.25">
      <c r="A5021" s="644" t="str">
        <f>"SgK4821--"&amp;RIGHT(A5020,5)</f>
        <v>SgK4821--Aug17</v>
      </c>
      <c r="B5021" s="645" t="s">
        <v>5435</v>
      </c>
      <c r="C5021" s="643" t="s">
        <v>5946</v>
      </c>
      <c r="D5021" s="643" t="str">
        <f t="shared" si="1823"/>
        <v>10 - 40 kW</v>
      </c>
      <c r="E5021" s="645"/>
      <c r="F5021" s="657">
        <f t="shared" si="1814"/>
        <v>11.87</v>
      </c>
      <c r="G5021" s="657">
        <f t="shared" si="1815"/>
        <v>12.27</v>
      </c>
      <c r="H5021" s="656">
        <f t="shared" si="1824"/>
        <v>9.82</v>
      </c>
      <c r="I5021" s="656">
        <f t="shared" si="1825"/>
        <v>3.37</v>
      </c>
      <c r="J5021" s="669">
        <v>43077</v>
      </c>
      <c r="K5021" s="15"/>
      <c r="L5021" s="173"/>
      <c r="M5021" s="413"/>
      <c r="O5021" s="325"/>
      <c r="P5021" s="12"/>
      <c r="Q5021" s="12"/>
      <c r="R5021" s="12"/>
      <c r="S5021" s="12"/>
      <c r="T5021" s="12"/>
    </row>
    <row r="5022" spans="1:29" x14ac:dyDescent="0.25">
      <c r="A5022" s="644" t="str">
        <f>"SgK4822--"&amp;RIGHT(A5021,5)</f>
        <v>SgK4822--Aug17</v>
      </c>
      <c r="B5022" s="645" t="s">
        <v>5435</v>
      </c>
      <c r="C5022" s="643" t="s">
        <v>5946</v>
      </c>
      <c r="D5022" s="643" t="str">
        <f t="shared" si="1823"/>
        <v>40 - 750 kW</v>
      </c>
      <c r="E5022" s="645"/>
      <c r="F5022" s="657">
        <f t="shared" si="1814"/>
        <v>10.61</v>
      </c>
      <c r="G5022" s="657">
        <f t="shared" si="1815"/>
        <v>11.01</v>
      </c>
      <c r="H5022" s="656">
        <f t="shared" si="1824"/>
        <v>8.81</v>
      </c>
      <c r="I5022" s="656">
        <f t="shared" si="1825"/>
        <v>2.11</v>
      </c>
      <c r="J5022" s="669">
        <v>43077</v>
      </c>
      <c r="M5022" s="413"/>
      <c r="O5022" s="325"/>
      <c r="P5022" s="12"/>
      <c r="Q5022" s="12"/>
      <c r="R5022" s="12"/>
      <c r="S5022" s="12"/>
      <c r="T5022" s="12"/>
    </row>
    <row r="5023" spans="1:29" x14ac:dyDescent="0.25">
      <c r="A5023" s="644" t="s">
        <v>6004</v>
      </c>
      <c r="B5023" s="645" t="s">
        <v>5435</v>
      </c>
      <c r="C5023" s="643" t="s">
        <v>5947</v>
      </c>
      <c r="D5023" s="643" t="str">
        <f t="shared" si="1823"/>
        <v>0 - 10 kW</v>
      </c>
      <c r="E5023" s="645"/>
      <c r="F5023" s="657">
        <f t="shared" si="1814"/>
        <v>12.2</v>
      </c>
      <c r="G5023" s="657">
        <f t="shared" si="1815"/>
        <v>12.6</v>
      </c>
      <c r="H5023" s="656">
        <f t="shared" si="1824"/>
        <v>10.08</v>
      </c>
      <c r="I5023" s="656">
        <f t="shared" si="1825"/>
        <v>3.7</v>
      </c>
      <c r="J5023" s="669">
        <v>43077</v>
      </c>
    </row>
    <row r="5024" spans="1:29" x14ac:dyDescent="0.25">
      <c r="A5024" s="644" t="str">
        <f>"SgK4821--"&amp;RIGHT(A5023,5)</f>
        <v>SgK4821--Sep17</v>
      </c>
      <c r="B5024" s="645" t="s">
        <v>5435</v>
      </c>
      <c r="C5024" s="643" t="s">
        <v>5947</v>
      </c>
      <c r="D5024" s="643" t="str">
        <f t="shared" si="1823"/>
        <v>10 - 40 kW</v>
      </c>
      <c r="E5024" s="645"/>
      <c r="F5024" s="657">
        <f t="shared" si="1814"/>
        <v>11.87</v>
      </c>
      <c r="G5024" s="657">
        <f t="shared" si="1815"/>
        <v>12.27</v>
      </c>
      <c r="H5024" s="656">
        <f t="shared" si="1824"/>
        <v>9.82</v>
      </c>
      <c r="I5024" s="656">
        <f t="shared" si="1825"/>
        <v>3.37</v>
      </c>
      <c r="J5024" s="669">
        <v>43077</v>
      </c>
    </row>
    <row r="5025" spans="1:25" x14ac:dyDescent="0.25">
      <c r="A5025" s="644" t="str">
        <f>"SgK4822--"&amp;RIGHT(A5024,5)</f>
        <v>SgK4822--Sep17</v>
      </c>
      <c r="B5025" s="645" t="s">
        <v>5435</v>
      </c>
      <c r="C5025" s="643" t="s">
        <v>5947</v>
      </c>
      <c r="D5025" s="643" t="str">
        <f t="shared" si="1823"/>
        <v>40 - 750 kW</v>
      </c>
      <c r="E5025" s="645"/>
      <c r="F5025" s="657">
        <f t="shared" si="1814"/>
        <v>10.61</v>
      </c>
      <c r="G5025" s="657">
        <f t="shared" si="1815"/>
        <v>11.01</v>
      </c>
      <c r="H5025" s="656">
        <f t="shared" si="1824"/>
        <v>8.81</v>
      </c>
      <c r="I5025" s="656">
        <f t="shared" si="1825"/>
        <v>2.11</v>
      </c>
      <c r="J5025" s="669">
        <v>43077</v>
      </c>
    </row>
    <row r="5026" spans="1:25" x14ac:dyDescent="0.25">
      <c r="A5026" s="644" t="s">
        <v>6005</v>
      </c>
      <c r="B5026" s="645" t="s">
        <v>5435</v>
      </c>
      <c r="C5026" s="643" t="s">
        <v>5948</v>
      </c>
      <c r="D5026" s="643" t="str">
        <f t="shared" si="1823"/>
        <v>0 - 10 kW</v>
      </c>
      <c r="E5026" s="645"/>
      <c r="F5026" s="657">
        <f t="shared" si="1814"/>
        <v>12.2</v>
      </c>
      <c r="G5026" s="657">
        <f t="shared" si="1815"/>
        <v>12.6</v>
      </c>
      <c r="H5026" s="656">
        <f t="shared" si="1824"/>
        <v>10.08</v>
      </c>
      <c r="I5026" s="656">
        <f t="shared" si="1825"/>
        <v>3.7</v>
      </c>
      <c r="J5026" s="669">
        <v>43077</v>
      </c>
      <c r="O5026" s="395"/>
      <c r="P5026" s="327" t="str">
        <f>IF($O5026&lt;&gt;"",(1-$O5026)*P5010,"")</f>
        <v/>
      </c>
      <c r="Q5026" s="327" t="str">
        <f>IF($O5026&lt;&gt;"",(1-$O5026)*Q5010,"")</f>
        <v/>
      </c>
      <c r="R5026" s="327" t="str">
        <f>IF($O5026&lt;&gt;"",(1-$O5026)*R5010,"")</f>
        <v/>
      </c>
      <c r="S5026" s="327" t="str">
        <f>IF($O5026&lt;&gt;"",(1-$O5026)*S5010,"")</f>
        <v/>
      </c>
      <c r="U5026" s="327" t="str">
        <f>IF($O5026&lt;&gt;"",(1-$O5026)*U5010,"")</f>
        <v/>
      </c>
      <c r="V5026" s="327" t="str">
        <f>IF($O5026&lt;&gt;"",(1-$O5026)*V5010,"")</f>
        <v/>
      </c>
      <c r="W5026" s="327" t="str">
        <f>IF($O5026&lt;&gt;"",(1-$O5026)*W5010,"")</f>
        <v/>
      </c>
      <c r="X5026" s="327" t="str">
        <f>IF($O5026&lt;&gt;"",(1-$O5026)*X5010,"")</f>
        <v/>
      </c>
    </row>
    <row r="5027" spans="1:25" x14ac:dyDescent="0.25">
      <c r="A5027" s="644" t="str">
        <f>"SgK4821--"&amp;RIGHT(A5026,5)</f>
        <v>SgK4821--Okt17</v>
      </c>
      <c r="B5027" s="645" t="s">
        <v>5435</v>
      </c>
      <c r="C5027" s="643" t="s">
        <v>5948</v>
      </c>
      <c r="D5027" s="643" t="str">
        <f t="shared" si="1823"/>
        <v>10 - 40 kW</v>
      </c>
      <c r="E5027" s="645"/>
      <c r="F5027" s="657">
        <f t="shared" si="1814"/>
        <v>11.87</v>
      </c>
      <c r="G5027" s="657">
        <f t="shared" si="1815"/>
        <v>12.27</v>
      </c>
      <c r="H5027" s="656">
        <f t="shared" si="1824"/>
        <v>9.82</v>
      </c>
      <c r="I5027" s="656">
        <f t="shared" si="1825"/>
        <v>3.37</v>
      </c>
      <c r="J5027" s="669">
        <v>43077</v>
      </c>
      <c r="O5027" s="395"/>
      <c r="P5027" s="327" t="str">
        <f>IF($O5027&lt;&gt;"",(1-$O5027)*P5010,"")</f>
        <v/>
      </c>
      <c r="Q5027" s="327" t="str">
        <f>IF($O5027&lt;&gt;"",(1-$O5027)*Q5010,"")</f>
        <v/>
      </c>
      <c r="R5027" s="327" t="str">
        <f>IF($O5027&lt;&gt;"",(1-$O5027)*R5010,"")</f>
        <v/>
      </c>
      <c r="S5027" s="327" t="str">
        <f>IF($O5027&lt;&gt;"",(1-$O5027)*S5010,"")</f>
        <v/>
      </c>
      <c r="U5027" s="327" t="str">
        <f>IF($O5027&lt;&gt;"",(1-$O5027)*U5010,"")</f>
        <v/>
      </c>
      <c r="V5027" s="327" t="str">
        <f>IF($O5027&lt;&gt;"",(1-$O5027)*V5010,"")</f>
        <v/>
      </c>
      <c r="W5027" s="327" t="str">
        <f>IF($O5027&lt;&gt;"",(1-$O5027)*W5010,"")</f>
        <v/>
      </c>
      <c r="X5027" s="327" t="str">
        <f>IF($O5027&lt;&gt;"",(1-$O5027)*X5010,"")</f>
        <v/>
      </c>
    </row>
    <row r="5028" spans="1:25" x14ac:dyDescent="0.25">
      <c r="A5028" s="644" t="str">
        <f>"SgK4822--"&amp;RIGHT(A5027,5)</f>
        <v>SgK4822--Okt17</v>
      </c>
      <c r="B5028" s="645" t="s">
        <v>5435</v>
      </c>
      <c r="C5028" s="643" t="s">
        <v>5948</v>
      </c>
      <c r="D5028" s="643" t="str">
        <f t="shared" si="1823"/>
        <v>40 - 750 kW</v>
      </c>
      <c r="E5028" s="645"/>
      <c r="F5028" s="657">
        <f t="shared" si="1814"/>
        <v>10.61</v>
      </c>
      <c r="G5028" s="657">
        <f t="shared" si="1815"/>
        <v>11.01</v>
      </c>
      <c r="H5028" s="656">
        <f t="shared" si="1824"/>
        <v>8.81</v>
      </c>
      <c r="I5028" s="656">
        <f t="shared" si="1825"/>
        <v>2.11</v>
      </c>
      <c r="J5028" s="669">
        <v>43077</v>
      </c>
      <c r="O5028" s="395"/>
      <c r="P5028" s="327" t="str">
        <f>IF($O5028&lt;&gt;"",(1-$O5028)*P5026,"")</f>
        <v/>
      </c>
      <c r="Q5028" s="327" t="str">
        <f>IF($O5028&lt;&gt;"",(1-$O5028)*Q5026,"")</f>
        <v/>
      </c>
      <c r="R5028" s="327" t="str">
        <f>IF($O5028&lt;&gt;"",(1-$O5028)*R5026,"")</f>
        <v/>
      </c>
      <c r="S5028" s="327" t="str">
        <f>IF($O5028&lt;&gt;"",(1-$O5028)*S5026,"")</f>
        <v/>
      </c>
      <c r="U5028" s="327" t="str">
        <f>IF($O5028&lt;&gt;"",(1-$O5028)*U5026,"")</f>
        <v/>
      </c>
      <c r="V5028" s="327" t="str">
        <f>IF($O5028&lt;&gt;"",(1-$O5028)*V5026,"")</f>
        <v/>
      </c>
      <c r="W5028" s="327" t="str">
        <f>IF($O5028&lt;&gt;"",(1-$O5028)*W5026,"")</f>
        <v/>
      </c>
      <c r="X5028" s="327" t="str">
        <f>IF($O5028&lt;&gt;"",(1-$O5028)*X5026,"")</f>
        <v/>
      </c>
    </row>
    <row r="5029" spans="1:25" x14ac:dyDescent="0.25">
      <c r="A5029" s="644" t="s">
        <v>6006</v>
      </c>
      <c r="B5029" s="645" t="s">
        <v>5435</v>
      </c>
      <c r="C5029" s="643" t="s">
        <v>5949</v>
      </c>
      <c r="D5029" s="643" t="str">
        <f t="shared" si="1823"/>
        <v>0 - 10 kW</v>
      </c>
      <c r="E5029" s="645"/>
      <c r="F5029" s="657">
        <f t="shared" si="1814"/>
        <v>12.2</v>
      </c>
      <c r="G5029" s="657">
        <f t="shared" si="1815"/>
        <v>12.6</v>
      </c>
      <c r="H5029" s="656">
        <f t="shared" si="1824"/>
        <v>10.08</v>
      </c>
      <c r="I5029" s="656">
        <f t="shared" si="1825"/>
        <v>3.7</v>
      </c>
      <c r="J5029" s="669">
        <v>43077</v>
      </c>
      <c r="O5029" s="395"/>
      <c r="P5029" s="327" t="str">
        <f>IF($O5029&lt;&gt;"",(1-$O5029)*#REF!,"")</f>
        <v/>
      </c>
      <c r="Q5029" s="327" t="str">
        <f>IF($O5029&lt;&gt;"",(1-$O5029)*#REF!,"")</f>
        <v/>
      </c>
      <c r="R5029" s="327" t="str">
        <f>IF($O5029&lt;&gt;"",(1-$O5029)*#REF!,"")</f>
        <v/>
      </c>
      <c r="S5029" s="327" t="str">
        <f>IF($O5029&lt;&gt;"",(1-$O5029)*#REF!,"")</f>
        <v/>
      </c>
      <c r="U5029" s="327" t="str">
        <f>IF($O5029&lt;&gt;"",(1-$O5029)*#REF!,"")</f>
        <v/>
      </c>
      <c r="V5029" s="327" t="str">
        <f>IF($O5029&lt;&gt;"",(1-$O5029)*#REF!,"")</f>
        <v/>
      </c>
      <c r="W5029" s="327" t="str">
        <f>IF($O5029&lt;&gt;"",(1-$O5029)*#REF!,"")</f>
        <v/>
      </c>
      <c r="X5029" s="327" t="str">
        <f>IF($O5029&lt;&gt;"",(1-$O5029)*#REF!,"")</f>
        <v/>
      </c>
    </row>
    <row r="5030" spans="1:25" x14ac:dyDescent="0.25">
      <c r="A5030" s="644" t="str">
        <f>"SgK4821--"&amp;RIGHT(A5029,5)</f>
        <v>SgK4821--Nov17</v>
      </c>
      <c r="B5030" s="645" t="s">
        <v>5435</v>
      </c>
      <c r="C5030" s="643" t="s">
        <v>5949</v>
      </c>
      <c r="D5030" s="643" t="str">
        <f t="shared" si="1823"/>
        <v>10 - 40 kW</v>
      </c>
      <c r="E5030" s="645"/>
      <c r="F5030" s="657">
        <f t="shared" si="1814"/>
        <v>11.87</v>
      </c>
      <c r="G5030" s="657">
        <f t="shared" si="1815"/>
        <v>12.27</v>
      </c>
      <c r="H5030" s="656">
        <f t="shared" si="1824"/>
        <v>9.82</v>
      </c>
      <c r="I5030" s="656">
        <f t="shared" si="1825"/>
        <v>3.37</v>
      </c>
      <c r="J5030" s="669">
        <v>43077</v>
      </c>
      <c r="O5030" s="395"/>
      <c r="P5030" s="327" t="str">
        <f>IF($O5030&lt;&gt;"",(1-$O5030)*#REF!,"")</f>
        <v/>
      </c>
      <c r="Q5030" s="327" t="str">
        <f>IF($O5030&lt;&gt;"",(1-$O5030)*#REF!,"")</f>
        <v/>
      </c>
      <c r="R5030" s="327" t="str">
        <f>IF($O5030&lt;&gt;"",(1-$O5030)*#REF!,"")</f>
        <v/>
      </c>
      <c r="S5030" s="327" t="str">
        <f>IF($O5030&lt;&gt;"",(1-$O5030)*#REF!,"")</f>
        <v/>
      </c>
      <c r="U5030" s="327" t="str">
        <f>IF($O5030&lt;&gt;"",(1-$O5030)*#REF!,"")</f>
        <v/>
      </c>
      <c r="V5030" s="327" t="str">
        <f>IF($O5030&lt;&gt;"",(1-$O5030)*#REF!,"")</f>
        <v/>
      </c>
      <c r="W5030" s="327" t="str">
        <f>IF($O5030&lt;&gt;"",(1-$O5030)*#REF!,"")</f>
        <v/>
      </c>
      <c r="X5030" s="327" t="str">
        <f>IF($O5030&lt;&gt;"",(1-$O5030)*#REF!,"")</f>
        <v/>
      </c>
    </row>
    <row r="5031" spans="1:25" x14ac:dyDescent="0.25">
      <c r="A5031" s="644" t="str">
        <f>"SgK4822--"&amp;RIGHT(A5030,5)</f>
        <v>SgK4822--Nov17</v>
      </c>
      <c r="B5031" s="645" t="s">
        <v>5435</v>
      </c>
      <c r="C5031" s="643" t="s">
        <v>5949</v>
      </c>
      <c r="D5031" s="643" t="str">
        <f t="shared" si="1823"/>
        <v>40 - 750 kW</v>
      </c>
      <c r="E5031" s="645"/>
      <c r="F5031" s="657">
        <f t="shared" si="1814"/>
        <v>10.61</v>
      </c>
      <c r="G5031" s="657">
        <f t="shared" si="1815"/>
        <v>11.01</v>
      </c>
      <c r="H5031" s="656">
        <f t="shared" si="1824"/>
        <v>8.81</v>
      </c>
      <c r="I5031" s="656">
        <f t="shared" si="1825"/>
        <v>2.11</v>
      </c>
      <c r="J5031" s="669">
        <v>43077</v>
      </c>
      <c r="O5031" s="395"/>
      <c r="P5031" s="327" t="str">
        <f>IF($O5031&lt;&gt;"",(1-$O5031)*P5029,"")</f>
        <v/>
      </c>
      <c r="Q5031" s="327" t="str">
        <f>IF($O5031&lt;&gt;"",(1-$O5031)*Q5029,"")</f>
        <v/>
      </c>
      <c r="R5031" s="327" t="str">
        <f>IF($O5031&lt;&gt;"",(1-$O5031)*R5029,"")</f>
        <v/>
      </c>
      <c r="S5031" s="327" t="str">
        <f>IF($O5031&lt;&gt;"",(1-$O5031)*S5029,"")</f>
        <v/>
      </c>
      <c r="U5031" s="327" t="str">
        <f>IF($O5031&lt;&gt;"",(1-$O5031)*U5029,"")</f>
        <v/>
      </c>
      <c r="V5031" s="327" t="str">
        <f>IF($O5031&lt;&gt;"",(1-$O5031)*V5029,"")</f>
        <v/>
      </c>
      <c r="W5031" s="327" t="str">
        <f>IF($O5031&lt;&gt;"",(1-$O5031)*W5029,"")</f>
        <v/>
      </c>
      <c r="X5031" s="327" t="str">
        <f>IF($O5031&lt;&gt;"",(1-$O5031)*X5029,"")</f>
        <v/>
      </c>
    </row>
    <row r="5032" spans="1:25" x14ac:dyDescent="0.25">
      <c r="A5032" s="644" t="s">
        <v>6007</v>
      </c>
      <c r="B5032" s="645" t="s">
        <v>5435</v>
      </c>
      <c r="C5032" s="643" t="s">
        <v>5950</v>
      </c>
      <c r="D5032" s="643" t="str">
        <f t="shared" si="1823"/>
        <v>0 - 10 kW</v>
      </c>
      <c r="E5032" s="645"/>
      <c r="F5032" s="657">
        <f t="shared" si="1814"/>
        <v>12.2</v>
      </c>
      <c r="G5032" s="657">
        <f t="shared" si="1815"/>
        <v>12.6</v>
      </c>
      <c r="H5032" s="656">
        <f t="shared" si="1824"/>
        <v>10.08</v>
      </c>
      <c r="I5032" s="656">
        <f t="shared" si="1825"/>
        <v>3.7</v>
      </c>
      <c r="J5032" s="669">
        <v>43077</v>
      </c>
      <c r="O5032" s="395"/>
      <c r="P5032" s="327" t="str">
        <f>IF($O5032&lt;&gt;"",(1-$O5032)*#REF!,"")</f>
        <v/>
      </c>
      <c r="Q5032" s="327" t="str">
        <f>IF($O5032&lt;&gt;"",(1-$O5032)*#REF!,"")</f>
        <v/>
      </c>
      <c r="R5032" s="327" t="str">
        <f>IF($O5032&lt;&gt;"",(1-$O5032)*#REF!,"")</f>
        <v/>
      </c>
      <c r="S5032" s="327" t="str">
        <f>IF($O5032&lt;&gt;"",(1-$O5032)*#REF!,"")</f>
        <v/>
      </c>
      <c r="U5032" s="327" t="str">
        <f>IF($O5032&lt;&gt;"",(1-$O5032)*#REF!,"")</f>
        <v/>
      </c>
      <c r="V5032" s="327" t="str">
        <f>IF($O5032&lt;&gt;"",(1-$O5032)*#REF!,"")</f>
        <v/>
      </c>
      <c r="W5032" s="327" t="str">
        <f>IF($O5032&lt;&gt;"",(1-$O5032)*#REF!,"")</f>
        <v/>
      </c>
      <c r="X5032" s="327" t="str">
        <f>IF($O5032&lt;&gt;"",(1-$O5032)*#REF!,"")</f>
        <v/>
      </c>
    </row>
    <row r="5033" spans="1:25" x14ac:dyDescent="0.25">
      <c r="A5033" s="644" t="str">
        <f>"SgK4821--"&amp;RIGHT(A5032,5)</f>
        <v>SgK4821--Dez17</v>
      </c>
      <c r="B5033" s="645" t="s">
        <v>5435</v>
      </c>
      <c r="C5033" s="643" t="s">
        <v>5950</v>
      </c>
      <c r="D5033" s="643" t="str">
        <f t="shared" si="1823"/>
        <v>10 - 40 kW</v>
      </c>
      <c r="E5033" s="645"/>
      <c r="F5033" s="657">
        <f t="shared" si="1814"/>
        <v>11.87</v>
      </c>
      <c r="G5033" s="657">
        <f t="shared" si="1815"/>
        <v>12.27</v>
      </c>
      <c r="H5033" s="656">
        <f t="shared" si="1824"/>
        <v>9.82</v>
      </c>
      <c r="I5033" s="656">
        <f t="shared" si="1825"/>
        <v>3.37</v>
      </c>
      <c r="J5033" s="669">
        <v>43077</v>
      </c>
      <c r="O5033" s="395"/>
      <c r="P5033" s="327" t="str">
        <f>IF($O5033&lt;&gt;"",(1-$O5033)*#REF!,"")</f>
        <v/>
      </c>
      <c r="Q5033" s="327" t="str">
        <f>IF($O5033&lt;&gt;"",(1-$O5033)*#REF!,"")</f>
        <v/>
      </c>
      <c r="R5033" s="327" t="str">
        <f>IF($O5033&lt;&gt;"",(1-$O5033)*#REF!,"")</f>
        <v/>
      </c>
      <c r="S5033" s="327" t="str">
        <f>IF($O5033&lt;&gt;"",(1-$O5033)*#REF!,"")</f>
        <v/>
      </c>
      <c r="U5033" s="327" t="str">
        <f>IF($O5033&lt;&gt;"",(1-$O5033)*#REF!,"")</f>
        <v/>
      </c>
      <c r="V5033" s="327" t="str">
        <f>IF($O5033&lt;&gt;"",(1-$O5033)*#REF!,"")</f>
        <v/>
      </c>
      <c r="W5033" s="327" t="str">
        <f>IF($O5033&lt;&gt;"",(1-$O5033)*#REF!,"")</f>
        <v/>
      </c>
      <c r="X5033" s="327" t="str">
        <f>IF($O5033&lt;&gt;"",(1-$O5033)*#REF!,"")</f>
        <v/>
      </c>
    </row>
    <row r="5034" spans="1:25" x14ac:dyDescent="0.25">
      <c r="A5034" s="644" t="str">
        <f>"SgK4822--"&amp;RIGHT(A5033,5)</f>
        <v>SgK4822--Dez17</v>
      </c>
      <c r="B5034" s="645" t="s">
        <v>5435</v>
      </c>
      <c r="C5034" s="643" t="s">
        <v>5950</v>
      </c>
      <c r="D5034" s="643" t="str">
        <f t="shared" si="1823"/>
        <v>40 - 750 kW</v>
      </c>
      <c r="E5034" s="645"/>
      <c r="F5034" s="657">
        <f t="shared" si="1814"/>
        <v>10.61</v>
      </c>
      <c r="G5034" s="657">
        <f t="shared" si="1815"/>
        <v>11.01</v>
      </c>
      <c r="H5034" s="656">
        <f t="shared" si="1824"/>
        <v>8.81</v>
      </c>
      <c r="I5034" s="656">
        <f t="shared" si="1825"/>
        <v>2.11</v>
      </c>
      <c r="J5034" s="669">
        <v>43077</v>
      </c>
      <c r="O5034" s="395"/>
      <c r="P5034" s="327" t="str">
        <f>IF($O5034&lt;&gt;"",(1-$O5034)*P5032,"")</f>
        <v/>
      </c>
      <c r="Q5034" s="327" t="str">
        <f>IF($O5034&lt;&gt;"",(1-$O5034)*Q5032,"")</f>
        <v/>
      </c>
      <c r="R5034" s="327" t="str">
        <f>IF($O5034&lt;&gt;"",(1-$O5034)*R5032,"")</f>
        <v/>
      </c>
      <c r="S5034" s="327" t="str">
        <f>IF($O5034&lt;&gt;"",(1-$O5034)*S5032,"")</f>
        <v/>
      </c>
      <c r="U5034" s="327" t="str">
        <f>IF($O5034&lt;&gt;"",(1-$O5034)*U5032,"")</f>
        <v/>
      </c>
      <c r="V5034" s="327" t="str">
        <f>IF($O5034&lt;&gt;"",(1-$O5034)*V5032,"")</f>
        <v/>
      </c>
      <c r="W5034" s="327" t="str">
        <f>IF($O5034&lt;&gt;"",(1-$O5034)*W5032,"")</f>
        <v/>
      </c>
      <c r="X5034" s="327" t="str">
        <f>IF($O5034&lt;&gt;"",(1-$O5034)*X5032,"")</f>
        <v/>
      </c>
    </row>
    <row r="5035" spans="1:25" x14ac:dyDescent="0.25">
      <c r="A5035" s="608"/>
      <c r="B5035" s="2"/>
      <c r="C5035" s="34"/>
      <c r="D5035" s="34"/>
      <c r="E5035" s="2"/>
      <c r="F5035" s="445"/>
      <c r="G5035" s="14"/>
      <c r="H5035" s="14" t="str">
        <f>IF(ISNUMBER(G5035),ROUND(0.8*G5035,2),"")</f>
        <v/>
      </c>
      <c r="I5035" s="695"/>
      <c r="J5035" s="669" t="s">
        <v>4180</v>
      </c>
      <c r="K5035" s="15"/>
      <c r="N5035" s="137" t="s">
        <v>3902</v>
      </c>
      <c r="O5035" s="270" t="s">
        <v>5490</v>
      </c>
      <c r="P5035" t="s">
        <v>3919</v>
      </c>
      <c r="Q5035" t="s">
        <v>3920</v>
      </c>
      <c r="R5035" t="s">
        <v>7444</v>
      </c>
      <c r="T5035" t="s">
        <v>49</v>
      </c>
      <c r="U5035" t="s">
        <v>3919</v>
      </c>
      <c r="V5035" t="s">
        <v>3920</v>
      </c>
      <c r="W5035" t="s">
        <v>7444</v>
      </c>
      <c r="Y5035" t="s">
        <v>50</v>
      </c>
    </row>
    <row r="5036" spans="1:25" x14ac:dyDescent="0.25">
      <c r="A5036" s="644" t="s">
        <v>6280</v>
      </c>
      <c r="B5036" s="645" t="s">
        <v>5435</v>
      </c>
      <c r="C5036" s="643" t="str">
        <f t="shared" ref="C5036:C5071" si="1826">"Inbetriebnahme "&amp;TEXT(DATEVALUE(RIGHT(A5036,5)),"MM/JJJJ")</f>
        <v>Inbetriebnahme 01/2018</v>
      </c>
      <c r="D5036" s="643" t="str">
        <f>$Q$4848</f>
        <v>0 - 10 kW</v>
      </c>
      <c r="E5036" s="645"/>
      <c r="F5036" s="657">
        <f t="shared" ref="F5036:F5071" si="1827">IF(HLOOKUP($D5036,$U$5035:$W$5047,MATCH(RIGHT($A5036,5),$N$5035:$N$5047,0),FALSE)&lt;&gt;"",ROUND(HLOOKUP($D5036,$U$5035:$W$5047,MATCH(RIGHT($A5036,5),$N$5035:$N$5047,0),FALSE),2),"")</f>
        <v>12.2</v>
      </c>
      <c r="G5036" s="657">
        <f t="shared" ref="G5036:G5071" si="1828">IF(HLOOKUP($D5036,$P$5035:$W$5047,MATCH(RIGHT($A5036,5),$N$5035:$N$5047,0),FALSE)&lt;&gt;"",ROUND(HLOOKUP($D5036,$P$5035:$W$5047,MATCH(RIGHT($A5036,5),$N$5035:$N$5047,0),FALSE),2),"")</f>
        <v>12.6</v>
      </c>
      <c r="H5036" s="656">
        <f t="shared" ref="H5036:H5071" si="1829">IF(ISNUMBER($G5036),ROUND(0.8*$G5036,2),"")</f>
        <v>10.08</v>
      </c>
      <c r="I5036" s="656">
        <f t="shared" ref="I5036:I5071" si="1830">IF(ISNUMBER($G5036),MAX(0,ROUND(G5036-8.5-0.4,2)),"")</f>
        <v>3.7</v>
      </c>
      <c r="J5036" s="669">
        <v>43077</v>
      </c>
      <c r="K5036" s="15"/>
      <c r="M5036" s="127">
        <v>2018</v>
      </c>
      <c r="N5036" s="639" t="s">
        <v>6279</v>
      </c>
      <c r="O5036" s="568">
        <v>0</v>
      </c>
      <c r="P5036" s="23">
        <f>IF($O5036&lt;&gt;"",P5010*(100%-$O5036),"")</f>
        <v>12.604987926562503</v>
      </c>
      <c r="Q5036" s="23">
        <f>IF($O5036&lt;&gt;"",Q5010*(100%-$O5036),"")</f>
        <v>12.267531556875003</v>
      </c>
      <c r="R5036" s="23">
        <f>IF($O5036&lt;&gt;"",R5010*(100%-$O5036),"")</f>
        <v>11.007032764218751</v>
      </c>
      <c r="S5036" s="23"/>
      <c r="T5036" s="23"/>
      <c r="U5036" s="23">
        <f t="shared" ref="U5036:U5047" si="1831">IF($O5036&lt;&gt;"",P5036-0.4,"")</f>
        <v>12.204987926562502</v>
      </c>
      <c r="V5036" s="23">
        <f t="shared" ref="V5036:V5047" si="1832">IF($O5036&lt;&gt;"",Q5036-0.4,"")</f>
        <v>11.867531556875003</v>
      </c>
      <c r="W5036" s="23">
        <f t="shared" ref="W5036:W5047" si="1833">IF($O5036&lt;&gt;"",R5036-0.4,"")</f>
        <v>10.607032764218751</v>
      </c>
      <c r="X5036" s="23"/>
    </row>
    <row r="5037" spans="1:25" x14ac:dyDescent="0.25">
      <c r="A5037" s="644" t="str">
        <f>"SgK4821--"&amp;RIGHT(A5036,5)</f>
        <v>SgK4821--Jan18</v>
      </c>
      <c r="B5037" s="645" t="s">
        <v>5435</v>
      </c>
      <c r="C5037" s="643" t="str">
        <f t="shared" si="1826"/>
        <v>Inbetriebnahme 01/2018</v>
      </c>
      <c r="D5037" s="643" t="str">
        <f>$R$4848</f>
        <v>10 - 40 kW</v>
      </c>
      <c r="E5037" s="645"/>
      <c r="F5037" s="657">
        <f t="shared" si="1827"/>
        <v>11.87</v>
      </c>
      <c r="G5037" s="657">
        <f t="shared" si="1828"/>
        <v>12.27</v>
      </c>
      <c r="H5037" s="656">
        <f t="shared" si="1829"/>
        <v>9.82</v>
      </c>
      <c r="I5037" s="656">
        <f t="shared" si="1830"/>
        <v>3.37</v>
      </c>
      <c r="J5037" s="669">
        <v>43077</v>
      </c>
      <c r="K5037" s="15"/>
      <c r="M5037" s="413"/>
      <c r="N5037" s="333" t="str">
        <f t="shared" ref="N5037:N5047" si="1834">TEXT(DATE(YEAR(DATEVALUE(N5036)),MONTH(DATEVALUE(N5036))+1,1),"MMMJJ")</f>
        <v>Feb18</v>
      </c>
      <c r="O5037" s="568">
        <v>0</v>
      </c>
      <c r="P5037" s="23">
        <f t="shared" ref="P5037:P5047" si="1835">IF($O5037&lt;&gt;"",P5036*(100%-$O5037),"")</f>
        <v>12.604987926562503</v>
      </c>
      <c r="Q5037" s="23">
        <f t="shared" ref="Q5037:Q5047" si="1836">IF($O5037&lt;&gt;"",Q5036*(100%-$O5037),"")</f>
        <v>12.267531556875003</v>
      </c>
      <c r="R5037" s="23">
        <f t="shared" ref="R5037:R5047" si="1837">IF($O5037&lt;&gt;"",R5036*(100%-$O5037),"")</f>
        <v>11.007032764218751</v>
      </c>
      <c r="S5037" s="23"/>
      <c r="T5037" s="23"/>
      <c r="U5037" s="23">
        <f t="shared" si="1831"/>
        <v>12.204987926562502</v>
      </c>
      <c r="V5037" s="23">
        <f t="shared" si="1832"/>
        <v>11.867531556875003</v>
      </c>
      <c r="W5037" s="23">
        <f t="shared" si="1833"/>
        <v>10.607032764218751</v>
      </c>
      <c r="X5037" s="23"/>
    </row>
    <row r="5038" spans="1:25" x14ac:dyDescent="0.25">
      <c r="A5038" s="644" t="str">
        <f>"SgK4822--"&amp;RIGHT(A5037,5)</f>
        <v>SgK4822--Jan18</v>
      </c>
      <c r="B5038" s="645" t="s">
        <v>5435</v>
      </c>
      <c r="C5038" s="643" t="str">
        <f t="shared" si="1826"/>
        <v>Inbetriebnahme 01/2018</v>
      </c>
      <c r="D5038" s="643" t="s">
        <v>7444</v>
      </c>
      <c r="E5038" s="645"/>
      <c r="F5038" s="657">
        <f t="shared" si="1827"/>
        <v>10.61</v>
      </c>
      <c r="G5038" s="657">
        <f t="shared" si="1828"/>
        <v>11.01</v>
      </c>
      <c r="H5038" s="656">
        <f t="shared" si="1829"/>
        <v>8.81</v>
      </c>
      <c r="I5038" s="656">
        <f t="shared" si="1830"/>
        <v>2.11</v>
      </c>
      <c r="J5038" s="669">
        <v>43077</v>
      </c>
      <c r="K5038" s="15"/>
      <c r="M5038" s="413"/>
      <c r="N5038" s="333" t="str">
        <f t="shared" si="1834"/>
        <v>Mrz18</v>
      </c>
      <c r="O5038" s="568">
        <v>0</v>
      </c>
      <c r="P5038" s="23">
        <f t="shared" si="1835"/>
        <v>12.604987926562503</v>
      </c>
      <c r="Q5038" s="23">
        <f t="shared" si="1836"/>
        <v>12.267531556875003</v>
      </c>
      <c r="R5038" s="23">
        <f t="shared" si="1837"/>
        <v>11.007032764218751</v>
      </c>
      <c r="S5038" s="23"/>
      <c r="T5038" s="23"/>
      <c r="U5038" s="23">
        <f t="shared" si="1831"/>
        <v>12.204987926562502</v>
      </c>
      <c r="V5038" s="23">
        <f t="shared" si="1832"/>
        <v>11.867531556875003</v>
      </c>
      <c r="W5038" s="23">
        <f t="shared" si="1833"/>
        <v>10.607032764218751</v>
      </c>
      <c r="X5038" s="23"/>
    </row>
    <row r="5039" spans="1:25" x14ac:dyDescent="0.25">
      <c r="A5039" s="644" t="s">
        <v>6281</v>
      </c>
      <c r="B5039" s="645" t="s">
        <v>5435</v>
      </c>
      <c r="C5039" s="643" t="str">
        <f t="shared" si="1826"/>
        <v>Inbetriebnahme 02/2018</v>
      </c>
      <c r="D5039" s="643" t="str">
        <f t="shared" ref="D5039:D5071" si="1838">D5036</f>
        <v>0 - 10 kW</v>
      </c>
      <c r="E5039" s="645"/>
      <c r="F5039" s="657">
        <f t="shared" si="1827"/>
        <v>12.2</v>
      </c>
      <c r="G5039" s="657">
        <f t="shared" si="1828"/>
        <v>12.6</v>
      </c>
      <c r="H5039" s="656">
        <f t="shared" si="1829"/>
        <v>10.08</v>
      </c>
      <c r="I5039" s="656">
        <f t="shared" si="1830"/>
        <v>3.7</v>
      </c>
      <c r="J5039" s="669">
        <v>43131</v>
      </c>
      <c r="K5039" s="15"/>
      <c r="M5039" s="413"/>
      <c r="N5039" s="333" t="str">
        <f t="shared" si="1834"/>
        <v>Apr18</v>
      </c>
      <c r="O5039" s="568">
        <v>0</v>
      </c>
      <c r="P5039" s="23">
        <f t="shared" si="1835"/>
        <v>12.604987926562503</v>
      </c>
      <c r="Q5039" s="23">
        <f t="shared" si="1836"/>
        <v>12.267531556875003</v>
      </c>
      <c r="R5039" s="23">
        <f t="shared" si="1837"/>
        <v>11.007032764218751</v>
      </c>
      <c r="S5039" s="23"/>
      <c r="T5039" s="23"/>
      <c r="U5039" s="23">
        <f t="shared" si="1831"/>
        <v>12.204987926562502</v>
      </c>
      <c r="V5039" s="23">
        <f t="shared" si="1832"/>
        <v>11.867531556875003</v>
      </c>
      <c r="W5039" s="23">
        <f t="shared" si="1833"/>
        <v>10.607032764218751</v>
      </c>
      <c r="X5039" s="23"/>
    </row>
    <row r="5040" spans="1:25" x14ac:dyDescent="0.25">
      <c r="A5040" s="644" t="str">
        <f>"SgK4821--"&amp;RIGHT(A5039,5)</f>
        <v>SgK4821--Feb18</v>
      </c>
      <c r="B5040" s="645" t="s">
        <v>5435</v>
      </c>
      <c r="C5040" s="643" t="str">
        <f t="shared" si="1826"/>
        <v>Inbetriebnahme 02/2018</v>
      </c>
      <c r="D5040" s="643" t="str">
        <f t="shared" si="1838"/>
        <v>10 - 40 kW</v>
      </c>
      <c r="E5040" s="645"/>
      <c r="F5040" s="657">
        <f t="shared" si="1827"/>
        <v>11.87</v>
      </c>
      <c r="G5040" s="657">
        <f t="shared" si="1828"/>
        <v>12.27</v>
      </c>
      <c r="H5040" s="656">
        <f t="shared" si="1829"/>
        <v>9.82</v>
      </c>
      <c r="I5040" s="656">
        <f t="shared" si="1830"/>
        <v>3.37</v>
      </c>
      <c r="J5040" s="669">
        <v>43131</v>
      </c>
      <c r="K5040" s="15"/>
      <c r="M5040" s="413"/>
      <c r="N5040" s="333" t="str">
        <f t="shared" si="1834"/>
        <v>Mai18</v>
      </c>
      <c r="O5040" s="568">
        <v>0</v>
      </c>
      <c r="P5040" s="23">
        <f t="shared" si="1835"/>
        <v>12.604987926562503</v>
      </c>
      <c r="Q5040" s="23">
        <f t="shared" si="1836"/>
        <v>12.267531556875003</v>
      </c>
      <c r="R5040" s="23">
        <f t="shared" si="1837"/>
        <v>11.007032764218751</v>
      </c>
      <c r="S5040" s="23"/>
      <c r="T5040" s="23"/>
      <c r="U5040" s="23">
        <f t="shared" si="1831"/>
        <v>12.204987926562502</v>
      </c>
      <c r="V5040" s="23">
        <f t="shared" si="1832"/>
        <v>11.867531556875003</v>
      </c>
      <c r="W5040" s="23">
        <f t="shared" si="1833"/>
        <v>10.607032764218751</v>
      </c>
      <c r="X5040" s="23"/>
    </row>
    <row r="5041" spans="1:29" x14ac:dyDescent="0.25">
      <c r="A5041" s="644" t="str">
        <f>"SgK4822--"&amp;RIGHT(A5040,5)</f>
        <v>SgK4822--Feb18</v>
      </c>
      <c r="B5041" s="645" t="s">
        <v>5435</v>
      </c>
      <c r="C5041" s="643" t="str">
        <f t="shared" si="1826"/>
        <v>Inbetriebnahme 02/2018</v>
      </c>
      <c r="D5041" s="643" t="str">
        <f t="shared" si="1838"/>
        <v>40 - 750 kW</v>
      </c>
      <c r="E5041" s="645"/>
      <c r="F5041" s="657">
        <f t="shared" si="1827"/>
        <v>10.61</v>
      </c>
      <c r="G5041" s="657">
        <f t="shared" si="1828"/>
        <v>11.01</v>
      </c>
      <c r="H5041" s="656">
        <f t="shared" si="1829"/>
        <v>8.81</v>
      </c>
      <c r="I5041" s="656">
        <f t="shared" si="1830"/>
        <v>2.11</v>
      </c>
      <c r="J5041" s="669">
        <v>43131</v>
      </c>
      <c r="K5041" s="15"/>
      <c r="M5041" s="413"/>
      <c r="N5041" s="333" t="str">
        <f t="shared" si="1834"/>
        <v>Jun18</v>
      </c>
      <c r="O5041" s="568">
        <v>0</v>
      </c>
      <c r="P5041" s="23">
        <f t="shared" si="1835"/>
        <v>12.604987926562503</v>
      </c>
      <c r="Q5041" s="23">
        <f t="shared" si="1836"/>
        <v>12.267531556875003</v>
      </c>
      <c r="R5041" s="23">
        <f t="shared" si="1837"/>
        <v>11.007032764218751</v>
      </c>
      <c r="S5041" s="23"/>
      <c r="T5041" s="23"/>
      <c r="U5041" s="23">
        <f t="shared" si="1831"/>
        <v>12.204987926562502</v>
      </c>
      <c r="V5041" s="23">
        <f t="shared" si="1832"/>
        <v>11.867531556875003</v>
      </c>
      <c r="W5041" s="23">
        <f t="shared" si="1833"/>
        <v>10.607032764218751</v>
      </c>
      <c r="X5041" s="23"/>
    </row>
    <row r="5042" spans="1:29" x14ac:dyDescent="0.25">
      <c r="A5042" s="644" t="s">
        <v>6282</v>
      </c>
      <c r="B5042" s="645" t="s">
        <v>5435</v>
      </c>
      <c r="C5042" s="643" t="str">
        <f t="shared" si="1826"/>
        <v>Inbetriebnahme 03/2018</v>
      </c>
      <c r="D5042" s="643" t="str">
        <f t="shared" si="1838"/>
        <v>0 - 10 kW</v>
      </c>
      <c r="E5042" s="645"/>
      <c r="F5042" s="657">
        <f t="shared" si="1827"/>
        <v>12.2</v>
      </c>
      <c r="G5042" s="657">
        <f t="shared" si="1828"/>
        <v>12.6</v>
      </c>
      <c r="H5042" s="656">
        <f t="shared" si="1829"/>
        <v>10.08</v>
      </c>
      <c r="I5042" s="656">
        <f t="shared" si="1830"/>
        <v>3.7</v>
      </c>
      <c r="J5042" s="669">
        <v>43131</v>
      </c>
      <c r="K5042" s="15"/>
      <c r="M5042" s="413"/>
      <c r="N5042" s="333" t="str">
        <f t="shared" si="1834"/>
        <v>Jul18</v>
      </c>
      <c r="O5042" s="568">
        <v>0</v>
      </c>
      <c r="P5042" s="23">
        <f t="shared" si="1835"/>
        <v>12.604987926562503</v>
      </c>
      <c r="Q5042" s="23">
        <f t="shared" si="1836"/>
        <v>12.267531556875003</v>
      </c>
      <c r="R5042" s="23">
        <f t="shared" si="1837"/>
        <v>11.007032764218751</v>
      </c>
      <c r="S5042" s="23"/>
      <c r="T5042" s="23"/>
      <c r="U5042" s="23">
        <f t="shared" si="1831"/>
        <v>12.204987926562502</v>
      </c>
      <c r="V5042" s="23">
        <f t="shared" si="1832"/>
        <v>11.867531556875003</v>
      </c>
      <c r="W5042" s="23">
        <f t="shared" si="1833"/>
        <v>10.607032764218751</v>
      </c>
      <c r="X5042" s="23"/>
    </row>
    <row r="5043" spans="1:29" x14ac:dyDescent="0.25">
      <c r="A5043" s="644" t="str">
        <f>"SgK4821--"&amp;RIGHT(A5042,5)</f>
        <v>SgK4821--Mrz18</v>
      </c>
      <c r="B5043" s="645" t="s">
        <v>5435</v>
      </c>
      <c r="C5043" s="643" t="str">
        <f t="shared" si="1826"/>
        <v>Inbetriebnahme 03/2018</v>
      </c>
      <c r="D5043" s="643" t="str">
        <f t="shared" si="1838"/>
        <v>10 - 40 kW</v>
      </c>
      <c r="E5043" s="645"/>
      <c r="F5043" s="657">
        <f t="shared" si="1827"/>
        <v>11.87</v>
      </c>
      <c r="G5043" s="657">
        <f t="shared" si="1828"/>
        <v>12.27</v>
      </c>
      <c r="H5043" s="656">
        <f t="shared" si="1829"/>
        <v>9.82</v>
      </c>
      <c r="I5043" s="656">
        <f t="shared" si="1830"/>
        <v>3.37</v>
      </c>
      <c r="J5043" s="669">
        <v>43131</v>
      </c>
      <c r="K5043" s="15"/>
      <c r="M5043" s="127"/>
      <c r="N5043" s="333" t="str">
        <f t="shared" si="1834"/>
        <v>Aug18</v>
      </c>
      <c r="O5043" s="568">
        <v>0.01</v>
      </c>
      <c r="P5043" s="23">
        <f t="shared" si="1835"/>
        <v>12.478938047296877</v>
      </c>
      <c r="Q5043" s="23">
        <f t="shared" si="1836"/>
        <v>12.144856241306252</v>
      </c>
      <c r="R5043" s="23">
        <f t="shared" si="1837"/>
        <v>10.896962436576564</v>
      </c>
      <c r="S5043" s="23"/>
      <c r="T5043" s="23"/>
      <c r="U5043" s="23">
        <f t="shared" si="1831"/>
        <v>12.078938047296877</v>
      </c>
      <c r="V5043" s="23">
        <f t="shared" si="1832"/>
        <v>11.744856241306252</v>
      </c>
      <c r="W5043" s="23">
        <f t="shared" si="1833"/>
        <v>10.496962436576563</v>
      </c>
      <c r="X5043" s="23"/>
    </row>
    <row r="5044" spans="1:29" x14ac:dyDescent="0.25">
      <c r="A5044" s="644" t="str">
        <f>"SgK4822--"&amp;RIGHT(A5043,5)</f>
        <v>SgK4822--Mrz18</v>
      </c>
      <c r="B5044" s="645" t="s">
        <v>5435</v>
      </c>
      <c r="C5044" s="643" t="str">
        <f t="shared" si="1826"/>
        <v>Inbetriebnahme 03/2018</v>
      </c>
      <c r="D5044" s="643" t="str">
        <f t="shared" si="1838"/>
        <v>40 - 750 kW</v>
      </c>
      <c r="E5044" s="645"/>
      <c r="F5044" s="657">
        <f t="shared" si="1827"/>
        <v>10.61</v>
      </c>
      <c r="G5044" s="657">
        <f t="shared" si="1828"/>
        <v>11.01</v>
      </c>
      <c r="H5044" s="656">
        <f t="shared" si="1829"/>
        <v>8.81</v>
      </c>
      <c r="I5044" s="656">
        <f t="shared" si="1830"/>
        <v>2.11</v>
      </c>
      <c r="J5044" s="669">
        <v>43131</v>
      </c>
      <c r="K5044" s="15"/>
      <c r="N5044" s="333" t="str">
        <f t="shared" si="1834"/>
        <v>Sep18</v>
      </c>
      <c r="O5044" s="568">
        <v>0.01</v>
      </c>
      <c r="P5044" s="23">
        <f t="shared" si="1835"/>
        <v>12.354148666823908</v>
      </c>
      <c r="Q5044" s="23">
        <f t="shared" si="1836"/>
        <v>12.023407678893189</v>
      </c>
      <c r="R5044" s="23">
        <f t="shared" si="1837"/>
        <v>10.787992812210797</v>
      </c>
      <c r="S5044" s="23"/>
      <c r="T5044" s="23"/>
      <c r="U5044" s="23">
        <f t="shared" si="1831"/>
        <v>11.954148666823908</v>
      </c>
      <c r="V5044" s="23">
        <f t="shared" si="1832"/>
        <v>11.623407678893189</v>
      </c>
      <c r="W5044" s="23">
        <f t="shared" si="1833"/>
        <v>10.387992812210797</v>
      </c>
      <c r="X5044" s="23"/>
    </row>
    <row r="5045" spans="1:29" x14ac:dyDescent="0.25">
      <c r="A5045" s="644" t="s">
        <v>6283</v>
      </c>
      <c r="B5045" s="645" t="s">
        <v>5435</v>
      </c>
      <c r="C5045" s="643" t="str">
        <f t="shared" si="1826"/>
        <v>Inbetriebnahme 04/2018</v>
      </c>
      <c r="D5045" s="643" t="str">
        <f t="shared" si="1838"/>
        <v>0 - 10 kW</v>
      </c>
      <c r="E5045" s="645"/>
      <c r="F5045" s="657">
        <f t="shared" si="1827"/>
        <v>12.2</v>
      </c>
      <c r="G5045" s="657">
        <f t="shared" si="1828"/>
        <v>12.6</v>
      </c>
      <c r="H5045" s="656">
        <f t="shared" si="1829"/>
        <v>10.08</v>
      </c>
      <c r="I5045" s="656">
        <f t="shared" si="1830"/>
        <v>3.7</v>
      </c>
      <c r="J5045" s="669">
        <v>43131</v>
      </c>
      <c r="K5045" s="15"/>
      <c r="N5045" s="333" t="str">
        <f t="shared" si="1834"/>
        <v>Okt18</v>
      </c>
      <c r="O5045" s="568">
        <v>0.01</v>
      </c>
      <c r="P5045" s="23">
        <f t="shared" si="1835"/>
        <v>12.230607180155669</v>
      </c>
      <c r="Q5045" s="23">
        <f t="shared" si="1836"/>
        <v>11.903173602104257</v>
      </c>
      <c r="R5045" s="23">
        <f t="shared" si="1837"/>
        <v>10.68011288408869</v>
      </c>
      <c r="S5045" s="23"/>
      <c r="T5045" s="23"/>
      <c r="U5045" s="23">
        <f t="shared" si="1831"/>
        <v>11.830607180155669</v>
      </c>
      <c r="V5045" s="23">
        <f t="shared" si="1832"/>
        <v>11.503173602104257</v>
      </c>
      <c r="W5045" s="23">
        <f t="shared" si="1833"/>
        <v>10.280112884088689</v>
      </c>
      <c r="X5045" s="23"/>
    </row>
    <row r="5046" spans="1:29" x14ac:dyDescent="0.25">
      <c r="A5046" s="644" t="str">
        <f>"SgK4821--"&amp;RIGHT(A5045,5)</f>
        <v>SgK4821--Apr18</v>
      </c>
      <c r="B5046" s="645" t="s">
        <v>5435</v>
      </c>
      <c r="C5046" s="643" t="str">
        <f t="shared" si="1826"/>
        <v>Inbetriebnahme 04/2018</v>
      </c>
      <c r="D5046" s="643" t="str">
        <f t="shared" si="1838"/>
        <v>10 - 40 kW</v>
      </c>
      <c r="E5046" s="645"/>
      <c r="F5046" s="657">
        <f t="shared" si="1827"/>
        <v>11.87</v>
      </c>
      <c r="G5046" s="657">
        <f t="shared" si="1828"/>
        <v>12.27</v>
      </c>
      <c r="H5046" s="656">
        <f t="shared" si="1829"/>
        <v>9.82</v>
      </c>
      <c r="I5046" s="656">
        <f t="shared" si="1830"/>
        <v>3.37</v>
      </c>
      <c r="J5046" s="669">
        <v>43131</v>
      </c>
      <c r="K5046" s="15"/>
      <c r="N5046" s="333" t="str">
        <f t="shared" si="1834"/>
        <v>Nov18</v>
      </c>
      <c r="O5046" s="568">
        <v>0.01</v>
      </c>
      <c r="P5046" s="23">
        <f t="shared" si="1835"/>
        <v>12.108301108354112</v>
      </c>
      <c r="Q5046" s="23">
        <f t="shared" si="1836"/>
        <v>11.784141866083214</v>
      </c>
      <c r="R5046" s="23">
        <f t="shared" si="1837"/>
        <v>10.573311755247802</v>
      </c>
      <c r="S5046" s="23"/>
      <c r="T5046" s="23"/>
      <c r="U5046" s="23">
        <f t="shared" si="1831"/>
        <v>11.708301108354112</v>
      </c>
      <c r="V5046" s="23">
        <f t="shared" si="1832"/>
        <v>11.384141866083214</v>
      </c>
      <c r="W5046" s="23">
        <f t="shared" si="1833"/>
        <v>10.173311755247802</v>
      </c>
      <c r="X5046" s="23"/>
    </row>
    <row r="5047" spans="1:29" s="12" customFormat="1" x14ac:dyDescent="0.25">
      <c r="A5047" s="644" t="str">
        <f>"SgK4822--"&amp;RIGHT(A5046,5)</f>
        <v>SgK4822--Apr18</v>
      </c>
      <c r="B5047" s="645" t="s">
        <v>5435</v>
      </c>
      <c r="C5047" s="643" t="str">
        <f t="shared" si="1826"/>
        <v>Inbetriebnahme 04/2018</v>
      </c>
      <c r="D5047" s="643" t="str">
        <f t="shared" si="1838"/>
        <v>40 - 750 kW</v>
      </c>
      <c r="E5047" s="645"/>
      <c r="F5047" s="657">
        <f t="shared" si="1827"/>
        <v>10.61</v>
      </c>
      <c r="G5047" s="657">
        <f t="shared" si="1828"/>
        <v>11.01</v>
      </c>
      <c r="H5047" s="656">
        <f t="shared" si="1829"/>
        <v>8.81</v>
      </c>
      <c r="I5047" s="656">
        <f t="shared" si="1830"/>
        <v>2.11</v>
      </c>
      <c r="J5047" s="669">
        <v>43131</v>
      </c>
      <c r="K5047" s="23"/>
      <c r="M5047"/>
      <c r="N5047" s="333" t="str">
        <f t="shared" si="1834"/>
        <v>Dez18</v>
      </c>
      <c r="O5047" s="568">
        <v>0.01</v>
      </c>
      <c r="P5047" s="23">
        <f t="shared" si="1835"/>
        <v>11.987218097270571</v>
      </c>
      <c r="Q5047" s="23">
        <f t="shared" si="1836"/>
        <v>11.666300447422381</v>
      </c>
      <c r="R5047" s="23">
        <f t="shared" si="1837"/>
        <v>10.467578637695324</v>
      </c>
      <c r="S5047" s="23"/>
      <c r="T5047" s="23"/>
      <c r="U5047" s="23">
        <f t="shared" si="1831"/>
        <v>11.58721809727057</v>
      </c>
      <c r="V5047" s="23">
        <f t="shared" si="1832"/>
        <v>11.266300447422381</v>
      </c>
      <c r="W5047" s="23">
        <f t="shared" si="1833"/>
        <v>10.067578637695323</v>
      </c>
      <c r="X5047" s="23"/>
      <c r="Y5047"/>
      <c r="Z5047"/>
      <c r="AA5047"/>
      <c r="AB5047"/>
      <c r="AC5047"/>
    </row>
    <row r="5048" spans="1:29" s="12" customFormat="1" x14ac:dyDescent="0.25">
      <c r="A5048" s="644" t="s">
        <v>6284</v>
      </c>
      <c r="B5048" s="645" t="s">
        <v>5435</v>
      </c>
      <c r="C5048" s="643" t="str">
        <f t="shared" si="1826"/>
        <v>Inbetriebnahme 05/2018</v>
      </c>
      <c r="D5048" s="643" t="str">
        <f t="shared" si="1838"/>
        <v>0 - 10 kW</v>
      </c>
      <c r="E5048" s="645"/>
      <c r="F5048" s="657">
        <f t="shared" si="1827"/>
        <v>12.2</v>
      </c>
      <c r="G5048" s="657">
        <f t="shared" si="1828"/>
        <v>12.6</v>
      </c>
      <c r="H5048" s="656">
        <f t="shared" si="1829"/>
        <v>10.08</v>
      </c>
      <c r="I5048" s="656">
        <f t="shared" si="1830"/>
        <v>3.7</v>
      </c>
      <c r="J5048" s="669">
        <v>43222</v>
      </c>
      <c r="K5048" s="23"/>
      <c r="M5048" s="413"/>
      <c r="N5048" s="281"/>
      <c r="O5048" s="680"/>
      <c r="P5048" s="326"/>
      <c r="Q5048" s="327"/>
      <c r="R5048" s="327"/>
      <c r="S5048" s="327"/>
      <c r="T5048" s="327"/>
    </row>
    <row r="5049" spans="1:29" s="12" customFormat="1" x14ac:dyDescent="0.25">
      <c r="A5049" s="644" t="str">
        <f>"SgK4821--"&amp;RIGHT(A5048,5)</f>
        <v>SgK4821--Mai18</v>
      </c>
      <c r="B5049" s="645" t="s">
        <v>5435</v>
      </c>
      <c r="C5049" s="643" t="str">
        <f t="shared" si="1826"/>
        <v>Inbetriebnahme 05/2018</v>
      </c>
      <c r="D5049" s="643" t="str">
        <f t="shared" si="1838"/>
        <v>10 - 40 kW</v>
      </c>
      <c r="E5049" s="645"/>
      <c r="F5049" s="657">
        <f t="shared" si="1827"/>
        <v>11.87</v>
      </c>
      <c r="G5049" s="657">
        <f t="shared" si="1828"/>
        <v>12.27</v>
      </c>
      <c r="H5049" s="656">
        <f t="shared" si="1829"/>
        <v>9.82</v>
      </c>
      <c r="I5049" s="656">
        <f t="shared" si="1830"/>
        <v>3.37</v>
      </c>
      <c r="J5049" s="669">
        <v>43222</v>
      </c>
      <c r="K5049" s="23"/>
      <c r="M5049" s="413"/>
      <c r="N5049" s="281"/>
      <c r="O5049" s="680"/>
      <c r="P5049" s="326"/>
      <c r="Q5049" s="327"/>
      <c r="R5049" s="327"/>
      <c r="S5049" s="327"/>
      <c r="T5049" s="327"/>
    </row>
    <row r="5050" spans="1:29" s="12" customFormat="1" x14ac:dyDescent="0.25">
      <c r="A5050" s="644" t="str">
        <f>"SgK4822--"&amp;RIGHT(A5049,5)</f>
        <v>SgK4822--Mai18</v>
      </c>
      <c r="B5050" s="645" t="s">
        <v>5435</v>
      </c>
      <c r="C5050" s="643" t="str">
        <f t="shared" si="1826"/>
        <v>Inbetriebnahme 05/2018</v>
      </c>
      <c r="D5050" s="643" t="str">
        <f t="shared" si="1838"/>
        <v>40 - 750 kW</v>
      </c>
      <c r="E5050" s="645"/>
      <c r="F5050" s="657">
        <f t="shared" si="1827"/>
        <v>10.61</v>
      </c>
      <c r="G5050" s="657">
        <f t="shared" si="1828"/>
        <v>11.01</v>
      </c>
      <c r="H5050" s="656">
        <f t="shared" si="1829"/>
        <v>8.81</v>
      </c>
      <c r="I5050" s="656">
        <f t="shared" si="1830"/>
        <v>2.11</v>
      </c>
      <c r="J5050" s="669">
        <v>43222</v>
      </c>
      <c r="K5050" s="23"/>
      <c r="L5050" s="129"/>
      <c r="M5050" s="413"/>
      <c r="N5050" s="281"/>
      <c r="O5050" s="680"/>
      <c r="P5050" s="326"/>
      <c r="Q5050" s="327"/>
      <c r="R5050" s="327"/>
      <c r="S5050" s="327"/>
      <c r="T5050" s="327"/>
    </row>
    <row r="5051" spans="1:29" s="12" customFormat="1" x14ac:dyDescent="0.25">
      <c r="A5051" s="644" t="s">
        <v>6285</v>
      </c>
      <c r="B5051" s="645" t="s">
        <v>5435</v>
      </c>
      <c r="C5051" s="643" t="str">
        <f t="shared" si="1826"/>
        <v>Inbetriebnahme 06/2018</v>
      </c>
      <c r="D5051" s="643" t="str">
        <f t="shared" si="1838"/>
        <v>0 - 10 kW</v>
      </c>
      <c r="E5051" s="645"/>
      <c r="F5051" s="657">
        <f t="shared" si="1827"/>
        <v>12.2</v>
      </c>
      <c r="G5051" s="657">
        <f t="shared" si="1828"/>
        <v>12.6</v>
      </c>
      <c r="H5051" s="656">
        <f t="shared" si="1829"/>
        <v>10.08</v>
      </c>
      <c r="I5051" s="656">
        <f t="shared" si="1830"/>
        <v>3.7</v>
      </c>
      <c r="J5051" s="669">
        <v>43222</v>
      </c>
      <c r="K5051" s="23"/>
      <c r="L5051" s="173"/>
      <c r="M5051" s="413"/>
      <c r="N5051" s="281"/>
      <c r="O5051" s="680"/>
      <c r="P5051" s="326"/>
      <c r="Q5051" s="327"/>
      <c r="R5051" s="327"/>
      <c r="S5051" s="327"/>
      <c r="T5051" s="327"/>
    </row>
    <row r="5052" spans="1:29" s="12" customFormat="1" x14ac:dyDescent="0.25">
      <c r="A5052" s="644" t="str">
        <f>"SgK4821--"&amp;RIGHT(A5051,5)</f>
        <v>SgK4821--Jun18</v>
      </c>
      <c r="B5052" s="645" t="s">
        <v>5435</v>
      </c>
      <c r="C5052" s="643" t="str">
        <f t="shared" si="1826"/>
        <v>Inbetriebnahme 06/2018</v>
      </c>
      <c r="D5052" s="643" t="str">
        <f t="shared" si="1838"/>
        <v>10 - 40 kW</v>
      </c>
      <c r="E5052" s="645"/>
      <c r="F5052" s="657">
        <f t="shared" si="1827"/>
        <v>11.87</v>
      </c>
      <c r="G5052" s="657">
        <f t="shared" si="1828"/>
        <v>12.27</v>
      </c>
      <c r="H5052" s="656">
        <f t="shared" si="1829"/>
        <v>9.82</v>
      </c>
      <c r="I5052" s="656">
        <f t="shared" si="1830"/>
        <v>3.37</v>
      </c>
      <c r="J5052" s="669">
        <v>43222</v>
      </c>
      <c r="K5052" s="23"/>
      <c r="L5052" s="173"/>
      <c r="M5052" s="413"/>
      <c r="N5052" s="281"/>
      <c r="O5052" s="680"/>
      <c r="P5052" s="326"/>
      <c r="Q5052" s="327"/>
      <c r="R5052" s="327"/>
      <c r="S5052" s="327"/>
      <c r="T5052" s="327"/>
    </row>
    <row r="5053" spans="1:29" s="12" customFormat="1" x14ac:dyDescent="0.25">
      <c r="A5053" s="644" t="str">
        <f>"SgK4822--"&amp;RIGHT(A5052,5)</f>
        <v>SgK4822--Jun18</v>
      </c>
      <c r="B5053" s="645" t="s">
        <v>5435</v>
      </c>
      <c r="C5053" s="643" t="str">
        <f t="shared" si="1826"/>
        <v>Inbetriebnahme 06/2018</v>
      </c>
      <c r="D5053" s="643" t="str">
        <f t="shared" si="1838"/>
        <v>40 - 750 kW</v>
      </c>
      <c r="E5053" s="645"/>
      <c r="F5053" s="657">
        <f t="shared" si="1827"/>
        <v>10.61</v>
      </c>
      <c r="G5053" s="657">
        <f t="shared" si="1828"/>
        <v>11.01</v>
      </c>
      <c r="H5053" s="656">
        <f t="shared" si="1829"/>
        <v>8.81</v>
      </c>
      <c r="I5053" s="656">
        <f t="shared" si="1830"/>
        <v>2.11</v>
      </c>
      <c r="J5053" s="669">
        <v>43222</v>
      </c>
      <c r="K5053" s="23"/>
      <c r="L5053" s="173"/>
      <c r="M5053" s="413"/>
      <c r="N5053" s="281"/>
      <c r="O5053" s="680"/>
      <c r="P5053" s="344"/>
      <c r="Q5053" s="327"/>
      <c r="R5053" s="327"/>
      <c r="S5053" s="327"/>
      <c r="T5053" s="327"/>
    </row>
    <row r="5054" spans="1:29" s="12" customFormat="1" x14ac:dyDescent="0.25">
      <c r="A5054" s="644" t="s">
        <v>6286</v>
      </c>
      <c r="B5054" s="645" t="s">
        <v>5435</v>
      </c>
      <c r="C5054" s="643" t="str">
        <f t="shared" si="1826"/>
        <v>Inbetriebnahme 07/2018</v>
      </c>
      <c r="D5054" s="643" t="str">
        <f t="shared" si="1838"/>
        <v>0 - 10 kW</v>
      </c>
      <c r="E5054" s="645"/>
      <c r="F5054" s="657">
        <f t="shared" si="1827"/>
        <v>12.2</v>
      </c>
      <c r="G5054" s="657">
        <f t="shared" si="1828"/>
        <v>12.6</v>
      </c>
      <c r="H5054" s="656">
        <f t="shared" si="1829"/>
        <v>10.08</v>
      </c>
      <c r="I5054" s="656">
        <f t="shared" si="1830"/>
        <v>3.7</v>
      </c>
      <c r="J5054" s="669">
        <v>43222</v>
      </c>
      <c r="K5054" s="23"/>
      <c r="L5054" s="173"/>
      <c r="M5054" s="413"/>
      <c r="N5054" s="281"/>
      <c r="O5054" s="682"/>
    </row>
    <row r="5055" spans="1:29" s="12" customFormat="1" x14ac:dyDescent="0.25">
      <c r="A5055" s="644" t="str">
        <f>"SgK4821--"&amp;RIGHT(A5054,5)</f>
        <v>SgK4821--Jul18</v>
      </c>
      <c r="B5055" s="645" t="s">
        <v>5435</v>
      </c>
      <c r="C5055" s="643" t="str">
        <f t="shared" si="1826"/>
        <v>Inbetriebnahme 07/2018</v>
      </c>
      <c r="D5055" s="643" t="str">
        <f t="shared" si="1838"/>
        <v>10 - 40 kW</v>
      </c>
      <c r="E5055" s="645"/>
      <c r="F5055" s="657">
        <f t="shared" si="1827"/>
        <v>11.87</v>
      </c>
      <c r="G5055" s="657">
        <f t="shared" si="1828"/>
        <v>12.27</v>
      </c>
      <c r="H5055" s="656">
        <f t="shared" si="1829"/>
        <v>9.82</v>
      </c>
      <c r="I5055" s="656">
        <f t="shared" si="1830"/>
        <v>3.37</v>
      </c>
      <c r="J5055" s="669">
        <v>43222</v>
      </c>
      <c r="K5055" s="23"/>
      <c r="L5055" s="173"/>
      <c r="M5055" s="413"/>
      <c r="O5055" s="682"/>
    </row>
    <row r="5056" spans="1:29" x14ac:dyDescent="0.25">
      <c r="A5056" s="644" t="str">
        <f>"SgK4822--"&amp;RIGHT(A5055,5)</f>
        <v>SgK4822--Jul18</v>
      </c>
      <c r="B5056" s="645" t="s">
        <v>5435</v>
      </c>
      <c r="C5056" s="643" t="str">
        <f t="shared" si="1826"/>
        <v>Inbetriebnahme 07/2018</v>
      </c>
      <c r="D5056" s="643" t="str">
        <f t="shared" si="1838"/>
        <v>40 - 750 kW</v>
      </c>
      <c r="E5056" s="645"/>
      <c r="F5056" s="657">
        <f t="shared" si="1827"/>
        <v>10.61</v>
      </c>
      <c r="G5056" s="657">
        <f t="shared" si="1828"/>
        <v>11.01</v>
      </c>
      <c r="H5056" s="656">
        <f t="shared" si="1829"/>
        <v>8.81</v>
      </c>
      <c r="I5056" s="656">
        <f t="shared" si="1830"/>
        <v>2.11</v>
      </c>
      <c r="J5056" s="669">
        <v>43222</v>
      </c>
      <c r="K5056" s="15"/>
      <c r="L5056" s="173"/>
      <c r="M5056" s="413"/>
      <c r="N5056" s="12"/>
      <c r="O5056" s="682"/>
      <c r="P5056" s="12"/>
      <c r="Q5056" s="12"/>
      <c r="R5056" s="12"/>
      <c r="S5056" s="12"/>
      <c r="T5056" s="12"/>
      <c r="U5056" s="12"/>
      <c r="V5056" s="12"/>
      <c r="W5056" s="12"/>
      <c r="X5056" s="12"/>
      <c r="Y5056" s="12"/>
      <c r="Z5056" s="12"/>
      <c r="AA5056" s="12"/>
      <c r="AB5056" s="12"/>
      <c r="AC5056" s="12"/>
    </row>
    <row r="5057" spans="1:29" x14ac:dyDescent="0.25">
      <c r="A5057" s="644" t="s">
        <v>6287</v>
      </c>
      <c r="B5057" s="645" t="s">
        <v>5435</v>
      </c>
      <c r="C5057" s="643" t="str">
        <f t="shared" si="1826"/>
        <v>Inbetriebnahme 08/2018</v>
      </c>
      <c r="D5057" s="643" t="str">
        <f t="shared" si="1838"/>
        <v>0 - 10 kW</v>
      </c>
      <c r="E5057" s="645"/>
      <c r="F5057" s="657">
        <f t="shared" si="1827"/>
        <v>12.08</v>
      </c>
      <c r="G5057" s="657">
        <f t="shared" si="1828"/>
        <v>12.48</v>
      </c>
      <c r="H5057" s="656">
        <f t="shared" si="1829"/>
        <v>9.98</v>
      </c>
      <c r="I5057" s="656">
        <f t="shared" si="1830"/>
        <v>3.58</v>
      </c>
      <c r="J5057" s="669">
        <v>43318</v>
      </c>
      <c r="K5057" s="15"/>
      <c r="L5057" s="173"/>
      <c r="M5057" s="413"/>
      <c r="O5057" s="325"/>
      <c r="P5057" s="12"/>
      <c r="Q5057" s="12"/>
      <c r="R5057" s="12"/>
      <c r="S5057" s="12"/>
      <c r="T5057" s="12"/>
    </row>
    <row r="5058" spans="1:29" x14ac:dyDescent="0.25">
      <c r="A5058" s="644" t="str">
        <f>"SgK4821--"&amp;RIGHT(A5057,5)</f>
        <v>SgK4821--Aug18</v>
      </c>
      <c r="B5058" s="645" t="s">
        <v>5435</v>
      </c>
      <c r="C5058" s="643" t="str">
        <f t="shared" si="1826"/>
        <v>Inbetriebnahme 08/2018</v>
      </c>
      <c r="D5058" s="643" t="str">
        <f t="shared" si="1838"/>
        <v>10 - 40 kW</v>
      </c>
      <c r="E5058" s="645"/>
      <c r="F5058" s="657">
        <f t="shared" si="1827"/>
        <v>11.74</v>
      </c>
      <c r="G5058" s="657">
        <f t="shared" si="1828"/>
        <v>12.14</v>
      </c>
      <c r="H5058" s="656">
        <f t="shared" si="1829"/>
        <v>9.7100000000000009</v>
      </c>
      <c r="I5058" s="656">
        <f t="shared" si="1830"/>
        <v>3.24</v>
      </c>
      <c r="J5058" s="669">
        <v>43318</v>
      </c>
      <c r="K5058" s="15"/>
      <c r="L5058" s="173"/>
      <c r="M5058" s="413"/>
      <c r="O5058" s="325"/>
      <c r="P5058" s="12"/>
      <c r="Q5058" s="12"/>
      <c r="R5058" s="12"/>
      <c r="S5058" s="12"/>
      <c r="T5058" s="12"/>
    </row>
    <row r="5059" spans="1:29" x14ac:dyDescent="0.25">
      <c r="A5059" s="644" t="str">
        <f>"SgK4822--"&amp;RIGHT(A5058,5)</f>
        <v>SgK4822--Aug18</v>
      </c>
      <c r="B5059" s="645" t="s">
        <v>5435</v>
      </c>
      <c r="C5059" s="643" t="str">
        <f t="shared" si="1826"/>
        <v>Inbetriebnahme 08/2018</v>
      </c>
      <c r="D5059" s="643" t="str">
        <f t="shared" si="1838"/>
        <v>40 - 750 kW</v>
      </c>
      <c r="E5059" s="645"/>
      <c r="F5059" s="657">
        <f t="shared" si="1827"/>
        <v>10.5</v>
      </c>
      <c r="G5059" s="657">
        <f t="shared" si="1828"/>
        <v>10.9</v>
      </c>
      <c r="H5059" s="656">
        <f t="shared" si="1829"/>
        <v>8.7200000000000006</v>
      </c>
      <c r="I5059" s="656">
        <f t="shared" si="1830"/>
        <v>2</v>
      </c>
      <c r="J5059" s="669">
        <v>43318</v>
      </c>
      <c r="M5059" s="413"/>
      <c r="O5059" s="325"/>
      <c r="P5059" s="12"/>
      <c r="Q5059" s="12"/>
      <c r="R5059" s="12"/>
      <c r="S5059" s="12"/>
      <c r="T5059" s="12"/>
    </row>
    <row r="5060" spans="1:29" x14ac:dyDescent="0.25">
      <c r="A5060" s="644" t="s">
        <v>6288</v>
      </c>
      <c r="B5060" s="645" t="s">
        <v>5435</v>
      </c>
      <c r="C5060" s="643" t="str">
        <f t="shared" si="1826"/>
        <v>Inbetriebnahme 09/2018</v>
      </c>
      <c r="D5060" s="643" t="str">
        <f t="shared" si="1838"/>
        <v>0 - 10 kW</v>
      </c>
      <c r="E5060" s="645"/>
      <c r="F5060" s="657">
        <f t="shared" si="1827"/>
        <v>11.95</v>
      </c>
      <c r="G5060" s="657">
        <f t="shared" si="1828"/>
        <v>12.35</v>
      </c>
      <c r="H5060" s="656">
        <f t="shared" si="1829"/>
        <v>9.8800000000000008</v>
      </c>
      <c r="I5060" s="656">
        <f t="shared" si="1830"/>
        <v>3.45</v>
      </c>
      <c r="J5060" s="669">
        <v>43318</v>
      </c>
    </row>
    <row r="5061" spans="1:29" x14ac:dyDescent="0.25">
      <c r="A5061" s="644" t="str">
        <f>"SgK4821--"&amp;RIGHT(A5060,5)</f>
        <v>SgK4821--Sep18</v>
      </c>
      <c r="B5061" s="645" t="s">
        <v>5435</v>
      </c>
      <c r="C5061" s="643" t="str">
        <f t="shared" si="1826"/>
        <v>Inbetriebnahme 09/2018</v>
      </c>
      <c r="D5061" s="643" t="str">
        <f t="shared" si="1838"/>
        <v>10 - 40 kW</v>
      </c>
      <c r="E5061" s="645"/>
      <c r="F5061" s="657">
        <f t="shared" si="1827"/>
        <v>11.62</v>
      </c>
      <c r="G5061" s="657">
        <f t="shared" si="1828"/>
        <v>12.02</v>
      </c>
      <c r="H5061" s="656">
        <f t="shared" si="1829"/>
        <v>9.6199999999999992</v>
      </c>
      <c r="I5061" s="656">
        <f t="shared" si="1830"/>
        <v>3.12</v>
      </c>
      <c r="J5061" s="669">
        <v>43318</v>
      </c>
    </row>
    <row r="5062" spans="1:29" x14ac:dyDescent="0.25">
      <c r="A5062" s="644" t="str">
        <f>"SgK4822--"&amp;RIGHT(A5061,5)</f>
        <v>SgK4822--Sep18</v>
      </c>
      <c r="B5062" s="645" t="s">
        <v>5435</v>
      </c>
      <c r="C5062" s="643" t="str">
        <f t="shared" si="1826"/>
        <v>Inbetriebnahme 09/2018</v>
      </c>
      <c r="D5062" s="643" t="str">
        <f t="shared" si="1838"/>
        <v>40 - 750 kW</v>
      </c>
      <c r="E5062" s="645"/>
      <c r="F5062" s="657">
        <f t="shared" si="1827"/>
        <v>10.39</v>
      </c>
      <c r="G5062" s="657">
        <f t="shared" si="1828"/>
        <v>10.79</v>
      </c>
      <c r="H5062" s="656">
        <f t="shared" si="1829"/>
        <v>8.6300000000000008</v>
      </c>
      <c r="I5062" s="656">
        <f t="shared" si="1830"/>
        <v>1.89</v>
      </c>
      <c r="J5062" s="669">
        <v>43318</v>
      </c>
    </row>
    <row r="5063" spans="1:29" x14ac:dyDescent="0.25">
      <c r="A5063" s="644" t="s">
        <v>6289</v>
      </c>
      <c r="B5063" s="645" t="s">
        <v>5435</v>
      </c>
      <c r="C5063" s="643" t="str">
        <f t="shared" si="1826"/>
        <v>Inbetriebnahme 10/2018</v>
      </c>
      <c r="D5063" s="643" t="str">
        <f t="shared" si="1838"/>
        <v>0 - 10 kW</v>
      </c>
      <c r="E5063" s="645"/>
      <c r="F5063" s="657">
        <f t="shared" si="1827"/>
        <v>11.83</v>
      </c>
      <c r="G5063" s="657">
        <f t="shared" si="1828"/>
        <v>12.23</v>
      </c>
      <c r="H5063" s="656">
        <f t="shared" si="1829"/>
        <v>9.7799999999999994</v>
      </c>
      <c r="I5063" s="656">
        <f t="shared" si="1830"/>
        <v>3.33</v>
      </c>
      <c r="J5063" s="669">
        <v>43318</v>
      </c>
      <c r="O5063" s="395"/>
      <c r="P5063" s="327" t="str">
        <f>IF($O5063&lt;&gt;"",(1-$O5063)*P5047,"")</f>
        <v/>
      </c>
      <c r="Q5063" s="327" t="str">
        <f>IF($O5063&lt;&gt;"",(1-$O5063)*Q5047,"")</f>
        <v/>
      </c>
      <c r="R5063" s="327" t="str">
        <f>IF($O5063&lt;&gt;"",(1-$O5063)*R5047,"")</f>
        <v/>
      </c>
      <c r="S5063" s="327" t="str">
        <f>IF($O5063&lt;&gt;"",(1-$O5063)*S5047,"")</f>
        <v/>
      </c>
      <c r="U5063" s="327" t="str">
        <f>IF($O5063&lt;&gt;"",(1-$O5063)*U5047,"")</f>
        <v/>
      </c>
      <c r="V5063" s="327" t="str">
        <f>IF($O5063&lt;&gt;"",(1-$O5063)*V5047,"")</f>
        <v/>
      </c>
      <c r="W5063" s="327" t="str">
        <f>IF($O5063&lt;&gt;"",(1-$O5063)*W5047,"")</f>
        <v/>
      </c>
      <c r="X5063" s="327" t="str">
        <f>IF($O5063&lt;&gt;"",(1-$O5063)*X5047,"")</f>
        <v/>
      </c>
    </row>
    <row r="5064" spans="1:29" x14ac:dyDescent="0.25">
      <c r="A5064" s="644" t="str">
        <f>"SgK4821--"&amp;RIGHT(A5063,5)</f>
        <v>SgK4821--Okt18</v>
      </c>
      <c r="B5064" s="645" t="s">
        <v>5435</v>
      </c>
      <c r="C5064" s="643" t="str">
        <f t="shared" si="1826"/>
        <v>Inbetriebnahme 10/2018</v>
      </c>
      <c r="D5064" s="643" t="str">
        <f t="shared" si="1838"/>
        <v>10 - 40 kW</v>
      </c>
      <c r="E5064" s="645"/>
      <c r="F5064" s="657">
        <f t="shared" si="1827"/>
        <v>11.5</v>
      </c>
      <c r="G5064" s="657">
        <f t="shared" si="1828"/>
        <v>11.9</v>
      </c>
      <c r="H5064" s="656">
        <f t="shared" si="1829"/>
        <v>9.52</v>
      </c>
      <c r="I5064" s="656">
        <f t="shared" si="1830"/>
        <v>3</v>
      </c>
      <c r="J5064" s="669">
        <v>43318</v>
      </c>
      <c r="O5064" s="395"/>
      <c r="P5064" s="327" t="str">
        <f>IF($O5064&lt;&gt;"",(1-$O5064)*P5047,"")</f>
        <v/>
      </c>
      <c r="Q5064" s="327" t="str">
        <f>IF($O5064&lt;&gt;"",(1-$O5064)*Q5047,"")</f>
        <v/>
      </c>
      <c r="R5064" s="327" t="str">
        <f>IF($O5064&lt;&gt;"",(1-$O5064)*R5047,"")</f>
        <v/>
      </c>
      <c r="S5064" s="327" t="str">
        <f>IF($O5064&lt;&gt;"",(1-$O5064)*S5047,"")</f>
        <v/>
      </c>
      <c r="U5064" s="327" t="str">
        <f>IF($O5064&lt;&gt;"",(1-$O5064)*U5047,"")</f>
        <v/>
      </c>
      <c r="V5064" s="327" t="str">
        <f>IF($O5064&lt;&gt;"",(1-$O5064)*V5047,"")</f>
        <v/>
      </c>
      <c r="W5064" s="327" t="str">
        <f>IF($O5064&lt;&gt;"",(1-$O5064)*W5047,"")</f>
        <v/>
      </c>
      <c r="X5064" s="327" t="str">
        <f>IF($O5064&lt;&gt;"",(1-$O5064)*X5047,"")</f>
        <v/>
      </c>
    </row>
    <row r="5065" spans="1:29" x14ac:dyDescent="0.25">
      <c r="A5065" s="644" t="str">
        <f>"SgK4822--"&amp;RIGHT(A5064,5)</f>
        <v>SgK4822--Okt18</v>
      </c>
      <c r="B5065" s="645" t="s">
        <v>5435</v>
      </c>
      <c r="C5065" s="643" t="str">
        <f t="shared" si="1826"/>
        <v>Inbetriebnahme 10/2018</v>
      </c>
      <c r="D5065" s="643" t="str">
        <f t="shared" si="1838"/>
        <v>40 - 750 kW</v>
      </c>
      <c r="E5065" s="645"/>
      <c r="F5065" s="657">
        <f t="shared" si="1827"/>
        <v>10.28</v>
      </c>
      <c r="G5065" s="657">
        <f t="shared" si="1828"/>
        <v>10.68</v>
      </c>
      <c r="H5065" s="656">
        <f t="shared" si="1829"/>
        <v>8.5399999999999991</v>
      </c>
      <c r="I5065" s="656">
        <f t="shared" si="1830"/>
        <v>1.78</v>
      </c>
      <c r="J5065" s="669">
        <v>43318</v>
      </c>
      <c r="O5065" s="395"/>
      <c r="P5065" s="327" t="str">
        <f>IF($O5065&lt;&gt;"",(1-$O5065)*P5063,"")</f>
        <v/>
      </c>
      <c r="Q5065" s="327" t="str">
        <f>IF($O5065&lt;&gt;"",(1-$O5065)*Q5063,"")</f>
        <v/>
      </c>
      <c r="R5065" s="327" t="str">
        <f>IF($O5065&lt;&gt;"",(1-$O5065)*R5063,"")</f>
        <v/>
      </c>
      <c r="S5065" s="327" t="str">
        <f>IF($O5065&lt;&gt;"",(1-$O5065)*S5063,"")</f>
        <v/>
      </c>
      <c r="U5065" s="327" t="str">
        <f>IF($O5065&lt;&gt;"",(1-$O5065)*U5063,"")</f>
        <v/>
      </c>
      <c r="V5065" s="327" t="str">
        <f>IF($O5065&lt;&gt;"",(1-$O5065)*V5063,"")</f>
        <v/>
      </c>
      <c r="W5065" s="327" t="str">
        <f>IF($O5065&lt;&gt;"",(1-$O5065)*W5063,"")</f>
        <v/>
      </c>
      <c r="X5065" s="327" t="str">
        <f>IF($O5065&lt;&gt;"",(1-$O5065)*X5063,"")</f>
        <v/>
      </c>
    </row>
    <row r="5066" spans="1:29" x14ac:dyDescent="0.25">
      <c r="A5066" s="644" t="s">
        <v>6290</v>
      </c>
      <c r="B5066" s="645" t="s">
        <v>5435</v>
      </c>
      <c r="C5066" s="643" t="str">
        <f t="shared" si="1826"/>
        <v>Inbetriebnahme 11/2018</v>
      </c>
      <c r="D5066" s="643" t="str">
        <f t="shared" si="1838"/>
        <v>0 - 10 kW</v>
      </c>
      <c r="E5066" s="645"/>
      <c r="F5066" s="657">
        <f t="shared" si="1827"/>
        <v>11.71</v>
      </c>
      <c r="G5066" s="657">
        <f t="shared" si="1828"/>
        <v>12.11</v>
      </c>
      <c r="H5066" s="656">
        <f t="shared" si="1829"/>
        <v>9.69</v>
      </c>
      <c r="I5066" s="656">
        <f t="shared" si="1830"/>
        <v>3.21</v>
      </c>
      <c r="J5066" s="669">
        <v>43404</v>
      </c>
      <c r="O5066" s="395"/>
      <c r="P5066" s="327" t="str">
        <f>IF($O5066&lt;&gt;"",(1-$O5066)*#REF!,"")</f>
        <v/>
      </c>
      <c r="Q5066" s="327" t="str">
        <f>IF($O5066&lt;&gt;"",(1-$O5066)*#REF!,"")</f>
        <v/>
      </c>
      <c r="R5066" s="327" t="str">
        <f>IF($O5066&lt;&gt;"",(1-$O5066)*#REF!,"")</f>
        <v/>
      </c>
      <c r="S5066" s="327" t="str">
        <f>IF($O5066&lt;&gt;"",(1-$O5066)*#REF!,"")</f>
        <v/>
      </c>
      <c r="U5066" s="327" t="str">
        <f>IF($O5066&lt;&gt;"",(1-$O5066)*#REF!,"")</f>
        <v/>
      </c>
      <c r="V5066" s="327" t="str">
        <f>IF($O5066&lt;&gt;"",(1-$O5066)*#REF!,"")</f>
        <v/>
      </c>
      <c r="W5066" s="327" t="str">
        <f>IF($O5066&lt;&gt;"",(1-$O5066)*#REF!,"")</f>
        <v/>
      </c>
      <c r="X5066" s="327" t="str">
        <f>IF($O5066&lt;&gt;"",(1-$O5066)*#REF!,"")</f>
        <v/>
      </c>
    </row>
    <row r="5067" spans="1:29" x14ac:dyDescent="0.25">
      <c r="A5067" s="644" t="str">
        <f>"SgK4821--"&amp;RIGHT(A5066,5)</f>
        <v>SgK4821--Nov18</v>
      </c>
      <c r="B5067" s="645" t="s">
        <v>5435</v>
      </c>
      <c r="C5067" s="643" t="str">
        <f t="shared" si="1826"/>
        <v>Inbetriebnahme 11/2018</v>
      </c>
      <c r="D5067" s="643" t="str">
        <f t="shared" si="1838"/>
        <v>10 - 40 kW</v>
      </c>
      <c r="E5067" s="645"/>
      <c r="F5067" s="657">
        <f t="shared" si="1827"/>
        <v>11.38</v>
      </c>
      <c r="G5067" s="657">
        <f t="shared" si="1828"/>
        <v>11.78</v>
      </c>
      <c r="H5067" s="656">
        <f t="shared" si="1829"/>
        <v>9.42</v>
      </c>
      <c r="I5067" s="656">
        <f t="shared" si="1830"/>
        <v>2.88</v>
      </c>
      <c r="J5067" s="669">
        <v>43404</v>
      </c>
      <c r="O5067" s="395"/>
      <c r="P5067" s="327" t="str">
        <f>IF($O5067&lt;&gt;"",(1-$O5067)*#REF!,"")</f>
        <v/>
      </c>
      <c r="Q5067" s="327" t="str">
        <f>IF($O5067&lt;&gt;"",(1-$O5067)*#REF!,"")</f>
        <v/>
      </c>
      <c r="R5067" s="327" t="str">
        <f>IF($O5067&lt;&gt;"",(1-$O5067)*#REF!,"")</f>
        <v/>
      </c>
      <c r="S5067" s="327" t="str">
        <f>IF($O5067&lt;&gt;"",(1-$O5067)*#REF!,"")</f>
        <v/>
      </c>
      <c r="U5067" s="327" t="str">
        <f>IF($O5067&lt;&gt;"",(1-$O5067)*#REF!,"")</f>
        <v/>
      </c>
      <c r="V5067" s="327" t="str">
        <f>IF($O5067&lt;&gt;"",(1-$O5067)*#REF!,"")</f>
        <v/>
      </c>
      <c r="W5067" s="327" t="str">
        <f>IF($O5067&lt;&gt;"",(1-$O5067)*#REF!,"")</f>
        <v/>
      </c>
      <c r="X5067" s="327" t="str">
        <f>IF($O5067&lt;&gt;"",(1-$O5067)*#REF!,"")</f>
        <v/>
      </c>
    </row>
    <row r="5068" spans="1:29" x14ac:dyDescent="0.25">
      <c r="A5068" s="644" t="str">
        <f>"SgK4822--"&amp;RIGHT(A5067,5)</f>
        <v>SgK4822--Nov18</v>
      </c>
      <c r="B5068" s="645" t="s">
        <v>5435</v>
      </c>
      <c r="C5068" s="643" t="str">
        <f t="shared" si="1826"/>
        <v>Inbetriebnahme 11/2018</v>
      </c>
      <c r="D5068" s="643" t="str">
        <f t="shared" si="1838"/>
        <v>40 - 750 kW</v>
      </c>
      <c r="E5068" s="645"/>
      <c r="F5068" s="657">
        <f t="shared" si="1827"/>
        <v>10.17</v>
      </c>
      <c r="G5068" s="657">
        <f t="shared" si="1828"/>
        <v>10.57</v>
      </c>
      <c r="H5068" s="656">
        <f t="shared" si="1829"/>
        <v>8.4600000000000009</v>
      </c>
      <c r="I5068" s="656">
        <f t="shared" si="1830"/>
        <v>1.67</v>
      </c>
      <c r="J5068" s="669">
        <v>43404</v>
      </c>
      <c r="O5068" s="395"/>
      <c r="P5068" s="327" t="str">
        <f>IF($O5068&lt;&gt;"",(1-$O5068)*P5066,"")</f>
        <v/>
      </c>
      <c r="Q5068" s="327" t="str">
        <f>IF($O5068&lt;&gt;"",(1-$O5068)*Q5066,"")</f>
        <v/>
      </c>
      <c r="R5068" s="327" t="str">
        <f>IF($O5068&lt;&gt;"",(1-$O5068)*R5066,"")</f>
        <v/>
      </c>
      <c r="S5068" s="327" t="str">
        <f>IF($O5068&lt;&gt;"",(1-$O5068)*S5066,"")</f>
        <v/>
      </c>
      <c r="U5068" s="327" t="str">
        <f>IF($O5068&lt;&gt;"",(1-$O5068)*U5066,"")</f>
        <v/>
      </c>
      <c r="V5068" s="327" t="str">
        <f>IF($O5068&lt;&gt;"",(1-$O5068)*V5066,"")</f>
        <v/>
      </c>
      <c r="W5068" s="327" t="str">
        <f>IF($O5068&lt;&gt;"",(1-$O5068)*W5066,"")</f>
        <v/>
      </c>
      <c r="X5068" s="327" t="str">
        <f>IF($O5068&lt;&gt;"",(1-$O5068)*X5066,"")</f>
        <v/>
      </c>
    </row>
    <row r="5069" spans="1:29" x14ac:dyDescent="0.25">
      <c r="A5069" s="644" t="s">
        <v>6291</v>
      </c>
      <c r="B5069" s="645" t="s">
        <v>5435</v>
      </c>
      <c r="C5069" s="643" t="str">
        <f t="shared" si="1826"/>
        <v>Inbetriebnahme 12/2018</v>
      </c>
      <c r="D5069" s="643" t="str">
        <f t="shared" si="1838"/>
        <v>0 - 10 kW</v>
      </c>
      <c r="E5069" s="645"/>
      <c r="F5069" s="657">
        <f t="shared" si="1827"/>
        <v>11.59</v>
      </c>
      <c r="G5069" s="657">
        <f t="shared" si="1828"/>
        <v>11.99</v>
      </c>
      <c r="H5069" s="656">
        <f t="shared" si="1829"/>
        <v>9.59</v>
      </c>
      <c r="I5069" s="656">
        <f t="shared" si="1830"/>
        <v>3.09</v>
      </c>
      <c r="J5069" s="669">
        <v>43404</v>
      </c>
      <c r="O5069" s="395"/>
      <c r="P5069" s="327" t="str">
        <f>IF($O5069&lt;&gt;"",(1-$O5069)*#REF!,"")</f>
        <v/>
      </c>
      <c r="Q5069" s="327" t="str">
        <f>IF($O5069&lt;&gt;"",(1-$O5069)*#REF!,"")</f>
        <v/>
      </c>
      <c r="R5069" s="327" t="str">
        <f>IF($O5069&lt;&gt;"",(1-$O5069)*#REF!,"")</f>
        <v/>
      </c>
      <c r="S5069" s="327" t="str">
        <f>IF($O5069&lt;&gt;"",(1-$O5069)*#REF!,"")</f>
        <v/>
      </c>
      <c r="U5069" s="327" t="str">
        <f>IF($O5069&lt;&gt;"",(1-$O5069)*#REF!,"")</f>
        <v/>
      </c>
      <c r="V5069" s="327" t="str">
        <f>IF($O5069&lt;&gt;"",(1-$O5069)*#REF!,"")</f>
        <v/>
      </c>
      <c r="W5069" s="327" t="str">
        <f>IF($O5069&lt;&gt;"",(1-$O5069)*#REF!,"")</f>
        <v/>
      </c>
      <c r="X5069" s="327" t="str">
        <f>IF($O5069&lt;&gt;"",(1-$O5069)*#REF!,"")</f>
        <v/>
      </c>
    </row>
    <row r="5070" spans="1:29" x14ac:dyDescent="0.25">
      <c r="A5070" s="644" t="str">
        <f>"SgK4821--"&amp;RIGHT(A5069,5)</f>
        <v>SgK4821--Dez18</v>
      </c>
      <c r="B5070" s="645" t="s">
        <v>5435</v>
      </c>
      <c r="C5070" s="643" t="str">
        <f t="shared" si="1826"/>
        <v>Inbetriebnahme 12/2018</v>
      </c>
      <c r="D5070" s="643" t="str">
        <f t="shared" si="1838"/>
        <v>10 - 40 kW</v>
      </c>
      <c r="E5070" s="645"/>
      <c r="F5070" s="657">
        <f t="shared" si="1827"/>
        <v>11.27</v>
      </c>
      <c r="G5070" s="657">
        <f t="shared" si="1828"/>
        <v>11.67</v>
      </c>
      <c r="H5070" s="656">
        <f t="shared" si="1829"/>
        <v>9.34</v>
      </c>
      <c r="I5070" s="656">
        <f t="shared" si="1830"/>
        <v>2.77</v>
      </c>
      <c r="J5070" s="669">
        <v>43404</v>
      </c>
      <c r="O5070" s="395"/>
      <c r="P5070" s="327" t="str">
        <f>IF($O5070&lt;&gt;"",(1-$O5070)*#REF!,"")</f>
        <v/>
      </c>
      <c r="Q5070" s="327" t="str">
        <f>IF($O5070&lt;&gt;"",(1-$O5070)*#REF!,"")</f>
        <v/>
      </c>
      <c r="R5070" s="327" t="str">
        <f>IF($O5070&lt;&gt;"",(1-$O5070)*#REF!,"")</f>
        <v/>
      </c>
      <c r="S5070" s="327" t="str">
        <f>IF($O5070&lt;&gt;"",(1-$O5070)*#REF!,"")</f>
        <v/>
      </c>
      <c r="U5070" s="327" t="str">
        <f>IF($O5070&lt;&gt;"",(1-$O5070)*#REF!,"")</f>
        <v/>
      </c>
      <c r="V5070" s="327" t="str">
        <f>IF($O5070&lt;&gt;"",(1-$O5070)*#REF!,"")</f>
        <v/>
      </c>
      <c r="W5070" s="327" t="str">
        <f>IF($O5070&lt;&gt;"",(1-$O5070)*#REF!,"")</f>
        <v/>
      </c>
      <c r="X5070" s="327" t="str">
        <f>IF($O5070&lt;&gt;"",(1-$O5070)*#REF!,"")</f>
        <v/>
      </c>
    </row>
    <row r="5071" spans="1:29" s="774" customFormat="1" x14ac:dyDescent="0.25">
      <c r="A5071" s="644" t="str">
        <f>"SgK4822--"&amp;RIGHT(A5070,5)</f>
        <v>SgK4822--Dez18</v>
      </c>
      <c r="B5071" s="645" t="s">
        <v>5435</v>
      </c>
      <c r="C5071" s="643" t="str">
        <f t="shared" si="1826"/>
        <v>Inbetriebnahme 12/2018</v>
      </c>
      <c r="D5071" s="643" t="str">
        <f t="shared" si="1838"/>
        <v>40 - 750 kW</v>
      </c>
      <c r="E5071" s="645"/>
      <c r="F5071" s="657">
        <f t="shared" si="1827"/>
        <v>10.07</v>
      </c>
      <c r="G5071" s="657">
        <f t="shared" si="1828"/>
        <v>10.47</v>
      </c>
      <c r="H5071" s="656">
        <f t="shared" si="1829"/>
        <v>8.3800000000000008</v>
      </c>
      <c r="I5071" s="656">
        <f t="shared" si="1830"/>
        <v>1.57</v>
      </c>
      <c r="J5071" s="669">
        <v>43404</v>
      </c>
      <c r="M5071"/>
      <c r="N5071"/>
      <c r="O5071" s="395"/>
      <c r="P5071" s="327" t="str">
        <f>IF($O5071&lt;&gt;"",(1-$O5071)*P5069,"")</f>
        <v/>
      </c>
      <c r="Q5071" s="327" t="str">
        <f>IF($O5071&lt;&gt;"",(1-$O5071)*Q5069,"")</f>
        <v/>
      </c>
      <c r="R5071" s="327" t="str">
        <f>IF($O5071&lt;&gt;"",(1-$O5071)*R5069,"")</f>
        <v/>
      </c>
      <c r="S5071" s="327" t="str">
        <f>IF($O5071&lt;&gt;"",(1-$O5071)*S5069,"")</f>
        <v/>
      </c>
      <c r="T5071"/>
      <c r="U5071" s="327" t="str">
        <f>IF($O5071&lt;&gt;"",(1-$O5071)*U5069,"")</f>
        <v/>
      </c>
      <c r="V5071" s="327" t="str">
        <f>IF($O5071&lt;&gt;"",(1-$O5071)*V5069,"")</f>
        <v/>
      </c>
      <c r="W5071" s="327" t="str">
        <f>IF($O5071&lt;&gt;"",(1-$O5071)*W5069,"")</f>
        <v/>
      </c>
      <c r="X5071" s="327" t="str">
        <f>IF($O5071&lt;&gt;"",(1-$O5071)*X5069,"")</f>
        <v/>
      </c>
      <c r="Y5071"/>
      <c r="Z5071"/>
      <c r="AA5071"/>
      <c r="AB5071"/>
      <c r="AC5071"/>
    </row>
    <row r="5072" spans="1:29" s="774" customFormat="1" x14ac:dyDescent="0.25">
      <c r="A5072" s="608"/>
      <c r="B5072" s="2"/>
      <c r="C5072" s="34"/>
      <c r="D5072" s="34"/>
      <c r="E5072" s="2"/>
      <c r="F5072" s="445"/>
      <c r="G5072" s="14"/>
      <c r="H5072" s="14"/>
      <c r="I5072" s="695"/>
      <c r="J5072" s="669" t="s">
        <v>4180</v>
      </c>
      <c r="K5072" s="769"/>
      <c r="N5072" s="137" t="s">
        <v>3902</v>
      </c>
      <c r="O5072" s="270" t="s">
        <v>5490</v>
      </c>
      <c r="P5072" s="774" t="s">
        <v>3919</v>
      </c>
      <c r="Q5072" s="774" t="s">
        <v>3920</v>
      </c>
      <c r="R5072" s="774" t="s">
        <v>7444</v>
      </c>
      <c r="T5072" s="774" t="s">
        <v>49</v>
      </c>
      <c r="U5072" s="774" t="s">
        <v>3919</v>
      </c>
      <c r="V5072" s="774" t="s">
        <v>3920</v>
      </c>
      <c r="W5072" s="774" t="s">
        <v>7444</v>
      </c>
      <c r="Y5072" s="774" t="s">
        <v>50</v>
      </c>
    </row>
    <row r="5073" spans="1:27" s="774" customFormat="1" x14ac:dyDescent="0.25">
      <c r="A5073" s="644" t="s">
        <v>6448</v>
      </c>
      <c r="B5073" s="645" t="s">
        <v>5435</v>
      </c>
      <c r="C5073" s="643" t="str">
        <f t="shared" ref="C5073:C5108" si="1839">"Inbetriebnahme "&amp;TEXT(DATEVALUE(RIGHT(A5073,5)),"MM/JJJJ")</f>
        <v>Inbetriebnahme 01/2019</v>
      </c>
      <c r="D5073" s="643" t="str">
        <f>$Q$4848</f>
        <v>0 - 10 kW</v>
      </c>
      <c r="E5073" s="645"/>
      <c r="F5073" s="657">
        <f t="shared" ref="F5073:F5108" si="1840">IF(HLOOKUP($D5073,$U$5072:$W$5084,MATCH(RIGHT($A5073,5),$N$5072:$N$5084,0),FALSE)&lt;&gt;"",ROUND(HLOOKUP($D5073,$U$5072:$W$5084,MATCH(RIGHT($A5073,5),$N$5072:$N$5084,0),FALSE),2),"")</f>
        <v>11.47</v>
      </c>
      <c r="G5073" s="657">
        <f t="shared" ref="G5073:G5108" si="1841">IF(HLOOKUP($D5073,$P$5072:$W$5084,MATCH(RIGHT($A5073,5),$N$5072:$N$5084,0),FALSE)&lt;&gt;"",ROUND(HLOOKUP($D5073,$P$5072:$W$5084,MATCH(RIGHT($A5073,5),$N$5072:$N$5084,0),FALSE),2),"")</f>
        <v>11.87</v>
      </c>
      <c r="H5073" s="656">
        <f t="shared" ref="H5073:H5108" si="1842">IF(ISNUMBER($G5073),ROUND(0.8*$G5073,2),"")</f>
        <v>9.5</v>
      </c>
      <c r="I5073" s="656">
        <f>IF(ISNUMBER($G5073),IF(AND(MID($A5073,1,7)="SgK4822",VALUE(MID($A5073,13,2))&gt;=19),MAX(0,ROUND(G5073-8-0.4,2)),MAX(0,ROUND(G5073-8.5-0.4,2))),"")</f>
        <v>2.97</v>
      </c>
      <c r="J5073" s="669">
        <v>43419</v>
      </c>
      <c r="K5073" s="769"/>
      <c r="M5073" s="127">
        <v>2019</v>
      </c>
      <c r="N5073" s="639" t="s">
        <v>6447</v>
      </c>
      <c r="O5073" s="568">
        <v>0.01</v>
      </c>
      <c r="P5073" s="23">
        <f>IF($O5073&lt;&gt;"",P5047*(100%-$O5073),"")</f>
        <v>11.867345916297865</v>
      </c>
      <c r="Q5073" s="23">
        <f>IF($O5073&lt;&gt;"",Q5047*(100%-$O5073),"")</f>
        <v>11.549637442948157</v>
      </c>
      <c r="R5073" s="783">
        <f>IF($O5073&lt;&gt;"",R5047*(100%-$O5073),"")</f>
        <v>10.362902851318371</v>
      </c>
      <c r="S5073" s="23"/>
      <c r="T5073" s="23"/>
      <c r="U5073" s="23">
        <f t="shared" ref="U5073:U5084" si="1843">IF($O5073&lt;&gt;"",P5073-0.4,"")</f>
        <v>11.467345916297864</v>
      </c>
      <c r="V5073" s="23">
        <f t="shared" ref="V5073:V5084" si="1844">IF($O5073&lt;&gt;"",Q5073-0.4,"")</f>
        <v>11.149637442948157</v>
      </c>
      <c r="W5073" s="23">
        <f t="shared" ref="W5073:W5084" si="1845">IF($O5073&lt;&gt;"",R5073-0.4,"")</f>
        <v>9.9629028513183702</v>
      </c>
      <c r="X5073" s="23"/>
    </row>
    <row r="5074" spans="1:27" s="774" customFormat="1" x14ac:dyDescent="0.25">
      <c r="A5074" s="644" t="str">
        <f>"SgK4821--"&amp;RIGHT(A5073,5)</f>
        <v>SgK4821--Jan19</v>
      </c>
      <c r="B5074" s="645" t="s">
        <v>5435</v>
      </c>
      <c r="C5074" s="643" t="str">
        <f t="shared" si="1839"/>
        <v>Inbetriebnahme 01/2019</v>
      </c>
      <c r="D5074" s="643" t="str">
        <f>$R$4848</f>
        <v>10 - 40 kW</v>
      </c>
      <c r="E5074" s="645"/>
      <c r="F5074" s="657">
        <f t="shared" si="1840"/>
        <v>11.15</v>
      </c>
      <c r="G5074" s="657">
        <f t="shared" si="1841"/>
        <v>11.55</v>
      </c>
      <c r="H5074" s="656">
        <f t="shared" si="1842"/>
        <v>9.24</v>
      </c>
      <c r="I5074" s="656">
        <f>IF(ISNUMBER($G5074),IF(AND(MID($A5074,1,7)="SgK4822",VALUE(MID($A5074,13,2))&gt;=19),MAX(0,ROUND(G5074-8-0.4,2)),MAX(0,ROUND(G5074-8.5-0.4,2))),"")</f>
        <v>2.65</v>
      </c>
      <c r="J5074" s="669">
        <v>43419</v>
      </c>
      <c r="K5074" s="769"/>
      <c r="M5074" s="413"/>
      <c r="N5074" s="333" t="str">
        <f t="shared" ref="N5074:N5084" si="1846">TEXT(DATE(YEAR(DATEVALUE(N5073)),MONTH(DATEVALUE(N5073))+1,1),"MMMJJ")</f>
        <v>Feb19</v>
      </c>
      <c r="O5074" s="568">
        <v>0.01</v>
      </c>
      <c r="P5074" s="23">
        <f t="shared" ref="P5074:P5084" si="1847">IF($O5074&lt;&gt;"",P5073*(100%-$O5074),"")</f>
        <v>11.748672457134886</v>
      </c>
      <c r="Q5074" s="23">
        <f t="shared" ref="Q5074:Q5084" si="1848">IF($O5074&lt;&gt;"",Q5073*(100%-$O5074),"")</f>
        <v>11.434141068518676</v>
      </c>
      <c r="R5074" s="782">
        <v>9.8699999999999992</v>
      </c>
      <c r="S5074" s="23"/>
      <c r="T5074" s="23"/>
      <c r="U5074" s="23">
        <f t="shared" si="1843"/>
        <v>11.348672457134885</v>
      </c>
      <c r="V5074" s="23">
        <f t="shared" si="1844"/>
        <v>11.034141068518675</v>
      </c>
      <c r="W5074" s="23">
        <f t="shared" si="1845"/>
        <v>9.4699999999999989</v>
      </c>
      <c r="X5074" s="23"/>
    </row>
    <row r="5075" spans="1:27" s="774" customFormat="1" x14ac:dyDescent="0.25">
      <c r="A5075" s="644" t="str">
        <f>"SgK4822--"&amp;RIGHT(A5074,5)</f>
        <v>SgK4822--Jan19</v>
      </c>
      <c r="B5075" s="645" t="s">
        <v>5435</v>
      </c>
      <c r="C5075" s="643" t="str">
        <f t="shared" si="1839"/>
        <v>Inbetriebnahme 01/2019</v>
      </c>
      <c r="D5075" s="643" t="s">
        <v>7444</v>
      </c>
      <c r="E5075" s="645"/>
      <c r="F5075" s="657">
        <f t="shared" si="1840"/>
        <v>9.9600000000000009</v>
      </c>
      <c r="G5075" s="657">
        <f t="shared" si="1841"/>
        <v>10.36</v>
      </c>
      <c r="H5075" s="656">
        <f t="shared" si="1842"/>
        <v>8.2899999999999991</v>
      </c>
      <c r="I5075" s="656">
        <f>IF(ISNUMBER($G5075),ROUND(G5075-8.5-0.4,2),"")</f>
        <v>1.46</v>
      </c>
      <c r="J5075" s="669">
        <v>43496</v>
      </c>
      <c r="K5075" s="769"/>
      <c r="M5075" s="413"/>
      <c r="N5075" s="333" t="str">
        <f t="shared" si="1846"/>
        <v>Mrz19</v>
      </c>
      <c r="O5075" s="568">
        <v>0.01</v>
      </c>
      <c r="P5075" s="23">
        <f t="shared" si="1847"/>
        <v>11.631185732563537</v>
      </c>
      <c r="Q5075" s="23">
        <f t="shared" si="1848"/>
        <v>11.319799657833489</v>
      </c>
      <c r="R5075" s="782">
        <v>9.39</v>
      </c>
      <c r="S5075" s="23"/>
      <c r="T5075" s="23"/>
      <c r="U5075" s="23">
        <f t="shared" si="1843"/>
        <v>11.231185732563537</v>
      </c>
      <c r="V5075" s="23">
        <f t="shared" si="1844"/>
        <v>10.919799657833488</v>
      </c>
      <c r="W5075" s="23">
        <f t="shared" si="1845"/>
        <v>8.99</v>
      </c>
      <c r="X5075" s="23"/>
    </row>
    <row r="5076" spans="1:27" s="774" customFormat="1" x14ac:dyDescent="0.25">
      <c r="A5076" s="644" t="s">
        <v>6449</v>
      </c>
      <c r="B5076" s="645" t="s">
        <v>5435</v>
      </c>
      <c r="C5076" s="643" t="str">
        <f t="shared" si="1839"/>
        <v>Inbetriebnahme 02/2019</v>
      </c>
      <c r="D5076" s="643" t="str">
        <f t="shared" ref="D5076:D5108" si="1849">D5073</f>
        <v>0 - 10 kW</v>
      </c>
      <c r="E5076" s="645"/>
      <c r="F5076" s="657">
        <f t="shared" si="1840"/>
        <v>11.35</v>
      </c>
      <c r="G5076" s="657">
        <f t="shared" si="1841"/>
        <v>11.75</v>
      </c>
      <c r="H5076" s="656">
        <f t="shared" si="1842"/>
        <v>9.4</v>
      </c>
      <c r="I5076" s="656">
        <f t="shared" ref="I5076:I5093" si="1850">IF(ISNUMBER($G5076),IF(AND(MID($A5076,1,7)="SgK4822",VALUE(MID($A5076,13,2))&gt;=19),MAX(0,ROUND(G5076-8-0.4,2)),MAX(0,ROUND(G5076-8.5-0.4,2))),"")</f>
        <v>2.85</v>
      </c>
      <c r="J5076" s="669">
        <v>43496</v>
      </c>
      <c r="K5076" s="769"/>
      <c r="M5076" s="413"/>
      <c r="N5076" s="333" t="str">
        <f t="shared" si="1846"/>
        <v>Apr19</v>
      </c>
      <c r="O5076" s="568">
        <v>0.01</v>
      </c>
      <c r="P5076" s="23">
        <f t="shared" si="1847"/>
        <v>11.514873875237901</v>
      </c>
      <c r="Q5076" s="23">
        <f t="shared" si="1848"/>
        <v>11.206601661255153</v>
      </c>
      <c r="R5076" s="782">
        <v>8.9</v>
      </c>
      <c r="S5076" s="23"/>
      <c r="T5076" s="23"/>
      <c r="U5076" s="23">
        <f t="shared" si="1843"/>
        <v>11.114873875237901</v>
      </c>
      <c r="V5076" s="23">
        <f t="shared" si="1844"/>
        <v>10.806601661255153</v>
      </c>
      <c r="W5076" s="23">
        <f t="shared" si="1845"/>
        <v>8.5</v>
      </c>
      <c r="X5076" s="23"/>
    </row>
    <row r="5077" spans="1:27" s="774" customFormat="1" x14ac:dyDescent="0.25">
      <c r="A5077" s="644" t="str">
        <f>"SgK4821--"&amp;RIGHT(A5076,5)</f>
        <v>SgK4821--Feb19</v>
      </c>
      <c r="B5077" s="645" t="s">
        <v>5435</v>
      </c>
      <c r="C5077" s="643" t="str">
        <f t="shared" si="1839"/>
        <v>Inbetriebnahme 02/2019</v>
      </c>
      <c r="D5077" s="643" t="str">
        <f t="shared" si="1849"/>
        <v>10 - 40 kW</v>
      </c>
      <c r="E5077" s="645"/>
      <c r="F5077" s="657">
        <f t="shared" si="1840"/>
        <v>11.03</v>
      </c>
      <c r="G5077" s="657">
        <f t="shared" si="1841"/>
        <v>11.43</v>
      </c>
      <c r="H5077" s="656">
        <f t="shared" si="1842"/>
        <v>9.14</v>
      </c>
      <c r="I5077" s="656">
        <f t="shared" si="1850"/>
        <v>2.5299999999999998</v>
      </c>
      <c r="J5077" s="669">
        <v>43496</v>
      </c>
      <c r="K5077" s="769"/>
      <c r="M5077" s="413"/>
      <c r="N5077" s="333" t="str">
        <f t="shared" si="1846"/>
        <v>Mai19</v>
      </c>
      <c r="O5077" s="568">
        <v>1.4E-2</v>
      </c>
      <c r="P5077" s="23">
        <f t="shared" si="1847"/>
        <v>11.35366564098457</v>
      </c>
      <c r="Q5077" s="23">
        <f t="shared" si="1848"/>
        <v>11.049709237997581</v>
      </c>
      <c r="R5077" s="23">
        <f t="shared" ref="R5077:R5084" si="1851">IF($O5077&lt;&gt;"",R5076*(100%-$O5077),"")</f>
        <v>8.7753999999999994</v>
      </c>
      <c r="S5077" s="23"/>
      <c r="T5077" s="23"/>
      <c r="U5077" s="23">
        <f t="shared" si="1843"/>
        <v>10.953665640984569</v>
      </c>
      <c r="V5077" s="23">
        <f t="shared" si="1844"/>
        <v>10.64970923799758</v>
      </c>
      <c r="W5077" s="23">
        <f t="shared" si="1845"/>
        <v>8.3753999999999991</v>
      </c>
      <c r="X5077" s="23"/>
    </row>
    <row r="5078" spans="1:27" s="774" customFormat="1" x14ac:dyDescent="0.25">
      <c r="A5078" s="644" t="str">
        <f>"SgK4822--"&amp;RIGHT(A5077,5)</f>
        <v>SgK4822--Feb19</v>
      </c>
      <c r="B5078" s="645" t="s">
        <v>5435</v>
      </c>
      <c r="C5078" s="643" t="str">
        <f t="shared" si="1839"/>
        <v>Inbetriebnahme 02/2019</v>
      </c>
      <c r="D5078" s="643" t="str">
        <f t="shared" si="1849"/>
        <v>40 - 750 kW</v>
      </c>
      <c r="E5078" s="645"/>
      <c r="F5078" s="657">
        <f t="shared" si="1840"/>
        <v>9.4700000000000006</v>
      </c>
      <c r="G5078" s="657">
        <f t="shared" si="1841"/>
        <v>9.8699999999999992</v>
      </c>
      <c r="H5078" s="656">
        <f t="shared" si="1842"/>
        <v>7.9</v>
      </c>
      <c r="I5078" s="656">
        <f t="shared" si="1850"/>
        <v>1.47</v>
      </c>
      <c r="J5078" s="669">
        <v>43496</v>
      </c>
      <c r="K5078" s="769"/>
      <c r="M5078" s="413"/>
      <c r="N5078" s="333" t="str">
        <f t="shared" si="1846"/>
        <v>Jun19</v>
      </c>
      <c r="O5078" s="568">
        <v>1.4E-2</v>
      </c>
      <c r="P5078" s="23">
        <f t="shared" si="1847"/>
        <v>11.194714322010785</v>
      </c>
      <c r="Q5078" s="23">
        <f t="shared" si="1848"/>
        <v>10.895013308665614</v>
      </c>
      <c r="R5078" s="23">
        <f t="shared" si="1851"/>
        <v>8.6525444</v>
      </c>
      <c r="S5078" s="23"/>
      <c r="T5078" s="23"/>
      <c r="U5078" s="23">
        <f t="shared" si="1843"/>
        <v>10.794714322010785</v>
      </c>
      <c r="V5078" s="23">
        <f t="shared" si="1844"/>
        <v>10.495013308665614</v>
      </c>
      <c r="W5078" s="23">
        <f t="shared" si="1845"/>
        <v>8.2525443999999997</v>
      </c>
      <c r="X5078" s="23"/>
    </row>
    <row r="5079" spans="1:27" s="774" customFormat="1" x14ac:dyDescent="0.25">
      <c r="A5079" s="644" t="s">
        <v>6450</v>
      </c>
      <c r="B5079" s="645" t="s">
        <v>5435</v>
      </c>
      <c r="C5079" s="643" t="str">
        <f t="shared" si="1839"/>
        <v>Inbetriebnahme 03/2019</v>
      </c>
      <c r="D5079" s="643" t="str">
        <f t="shared" si="1849"/>
        <v>0 - 10 kW</v>
      </c>
      <c r="E5079" s="645"/>
      <c r="F5079" s="657">
        <f t="shared" si="1840"/>
        <v>11.23</v>
      </c>
      <c r="G5079" s="657">
        <f t="shared" si="1841"/>
        <v>11.63</v>
      </c>
      <c r="H5079" s="656">
        <f t="shared" si="1842"/>
        <v>9.3000000000000007</v>
      </c>
      <c r="I5079" s="656">
        <f t="shared" si="1850"/>
        <v>2.73</v>
      </c>
      <c r="J5079" s="669">
        <v>43496</v>
      </c>
      <c r="K5079" s="769"/>
      <c r="M5079" s="413"/>
      <c r="N5079" s="333" t="str">
        <f t="shared" si="1846"/>
        <v>Jul19</v>
      </c>
      <c r="O5079" s="568">
        <v>1.4E-2</v>
      </c>
      <c r="P5079" s="23">
        <f t="shared" si="1847"/>
        <v>11.037988321502635</v>
      </c>
      <c r="Q5079" s="23">
        <f t="shared" si="1848"/>
        <v>10.742483122344296</v>
      </c>
      <c r="R5079" s="23">
        <f t="shared" si="1851"/>
        <v>8.5314087783999994</v>
      </c>
      <c r="S5079" s="23"/>
      <c r="T5079" s="23"/>
      <c r="U5079" s="23">
        <f t="shared" si="1843"/>
        <v>10.637988321502634</v>
      </c>
      <c r="V5079" s="23">
        <f t="shared" si="1844"/>
        <v>10.342483122344296</v>
      </c>
      <c r="W5079" s="23">
        <f t="shared" si="1845"/>
        <v>8.1314087783999991</v>
      </c>
      <c r="X5079" s="23"/>
    </row>
    <row r="5080" spans="1:27" s="774" customFormat="1" x14ac:dyDescent="0.25">
      <c r="A5080" s="644" t="str">
        <f>"SgK4821--"&amp;RIGHT(A5079,5)</f>
        <v>SgK4821--Mrz19</v>
      </c>
      <c r="B5080" s="645" t="s">
        <v>5435</v>
      </c>
      <c r="C5080" s="643" t="str">
        <f t="shared" si="1839"/>
        <v>Inbetriebnahme 03/2019</v>
      </c>
      <c r="D5080" s="643" t="str">
        <f t="shared" si="1849"/>
        <v>10 - 40 kW</v>
      </c>
      <c r="E5080" s="645"/>
      <c r="F5080" s="657">
        <f t="shared" si="1840"/>
        <v>10.92</v>
      </c>
      <c r="G5080" s="657">
        <f t="shared" si="1841"/>
        <v>11.32</v>
      </c>
      <c r="H5080" s="656">
        <f t="shared" si="1842"/>
        <v>9.06</v>
      </c>
      <c r="I5080" s="656">
        <f t="shared" si="1850"/>
        <v>2.42</v>
      </c>
      <c r="J5080" s="669">
        <v>43496</v>
      </c>
      <c r="K5080" s="769"/>
      <c r="M5080" s="127"/>
      <c r="N5080" s="333" t="str">
        <f t="shared" si="1846"/>
        <v>Aug19</v>
      </c>
      <c r="O5080" s="568">
        <v>1.4E-2</v>
      </c>
      <c r="P5080" s="23">
        <f t="shared" si="1847"/>
        <v>10.883456485001597</v>
      </c>
      <c r="Q5080" s="23">
        <f t="shared" si="1848"/>
        <v>10.592088358631477</v>
      </c>
      <c r="R5080" s="23">
        <f t="shared" si="1851"/>
        <v>8.4119690555024</v>
      </c>
      <c r="S5080" s="23"/>
      <c r="T5080" s="23"/>
      <c r="U5080" s="23">
        <f t="shared" si="1843"/>
        <v>10.483456485001597</v>
      </c>
      <c r="V5080" s="23">
        <f t="shared" si="1844"/>
        <v>10.192088358631477</v>
      </c>
      <c r="W5080" s="23">
        <f t="shared" si="1845"/>
        <v>8.0119690555023997</v>
      </c>
      <c r="X5080" s="23"/>
    </row>
    <row r="5081" spans="1:27" s="774" customFormat="1" x14ac:dyDescent="0.25">
      <c r="A5081" s="644" t="str">
        <f>"SgK4822--"&amp;RIGHT(A5080,5)</f>
        <v>SgK4822--Mrz19</v>
      </c>
      <c r="B5081" s="645" t="s">
        <v>5435</v>
      </c>
      <c r="C5081" s="643" t="str">
        <f t="shared" si="1839"/>
        <v>Inbetriebnahme 03/2019</v>
      </c>
      <c r="D5081" s="643" t="str">
        <f t="shared" si="1849"/>
        <v>40 - 750 kW</v>
      </c>
      <c r="E5081" s="645"/>
      <c r="F5081" s="657">
        <f t="shared" si="1840"/>
        <v>8.99</v>
      </c>
      <c r="G5081" s="657">
        <f t="shared" si="1841"/>
        <v>9.39</v>
      </c>
      <c r="H5081" s="656">
        <f t="shared" si="1842"/>
        <v>7.51</v>
      </c>
      <c r="I5081" s="656">
        <f t="shared" si="1850"/>
        <v>0.99</v>
      </c>
      <c r="J5081" s="669">
        <v>43496</v>
      </c>
      <c r="K5081" s="769"/>
      <c r="N5081" s="333" t="str">
        <f t="shared" si="1846"/>
        <v>Sep19</v>
      </c>
      <c r="O5081" s="568">
        <v>1.4E-2</v>
      </c>
      <c r="P5081" s="23">
        <f t="shared" si="1847"/>
        <v>10.731088094211575</v>
      </c>
      <c r="Q5081" s="23">
        <f t="shared" si="1848"/>
        <v>10.443799121610637</v>
      </c>
      <c r="R5081" s="23">
        <f t="shared" si="1851"/>
        <v>8.294201488725367</v>
      </c>
      <c r="S5081" s="23"/>
      <c r="T5081" s="23"/>
      <c r="U5081" s="23">
        <f t="shared" si="1843"/>
        <v>10.331088094211575</v>
      </c>
      <c r="V5081" s="23">
        <f t="shared" si="1844"/>
        <v>10.043799121610636</v>
      </c>
      <c r="W5081" s="23">
        <f t="shared" si="1845"/>
        <v>7.8942014887253666</v>
      </c>
      <c r="X5081" s="23"/>
    </row>
    <row r="5082" spans="1:27" s="774" customFormat="1" x14ac:dyDescent="0.25">
      <c r="A5082" s="644" t="s">
        <v>6451</v>
      </c>
      <c r="B5082" s="645" t="s">
        <v>5435</v>
      </c>
      <c r="C5082" s="643" t="str">
        <f t="shared" si="1839"/>
        <v>Inbetriebnahme 04/2019</v>
      </c>
      <c r="D5082" s="643" t="str">
        <f t="shared" si="1849"/>
        <v>0 - 10 kW</v>
      </c>
      <c r="E5082" s="645"/>
      <c r="F5082" s="657">
        <f t="shared" si="1840"/>
        <v>11.11</v>
      </c>
      <c r="G5082" s="657">
        <f t="shared" si="1841"/>
        <v>11.51</v>
      </c>
      <c r="H5082" s="656">
        <f t="shared" si="1842"/>
        <v>9.2100000000000009</v>
      </c>
      <c r="I5082" s="656">
        <f t="shared" si="1850"/>
        <v>2.61</v>
      </c>
      <c r="J5082" s="669">
        <v>43496</v>
      </c>
      <c r="K5082" s="769"/>
      <c r="N5082" s="333" t="str">
        <f t="shared" si="1846"/>
        <v>Okt19</v>
      </c>
      <c r="O5082" s="568">
        <v>1.4E-2</v>
      </c>
      <c r="P5082" s="23">
        <f t="shared" si="1847"/>
        <v>10.580852860892612</v>
      </c>
      <c r="Q5082" s="23">
        <f t="shared" si="1848"/>
        <v>10.297585933908087</v>
      </c>
      <c r="R5082" s="23">
        <f t="shared" si="1851"/>
        <v>8.1780826678832117</v>
      </c>
      <c r="S5082" s="23"/>
      <c r="T5082" s="23"/>
      <c r="U5082" s="23">
        <f t="shared" si="1843"/>
        <v>10.180852860892612</v>
      </c>
      <c r="V5082" s="23">
        <f t="shared" si="1844"/>
        <v>9.8975859339080863</v>
      </c>
      <c r="W5082" s="23">
        <f t="shared" si="1845"/>
        <v>7.7780826678832113</v>
      </c>
      <c r="X5082" s="23"/>
    </row>
    <row r="5083" spans="1:27" s="774" customFormat="1" x14ac:dyDescent="0.25">
      <c r="A5083" s="644" t="str">
        <f>"SgK4821--"&amp;RIGHT(A5082,5)</f>
        <v>SgK4821--Apr19</v>
      </c>
      <c r="B5083" s="645" t="s">
        <v>5435</v>
      </c>
      <c r="C5083" s="643" t="str">
        <f t="shared" si="1839"/>
        <v>Inbetriebnahme 04/2019</v>
      </c>
      <c r="D5083" s="643" t="str">
        <f t="shared" si="1849"/>
        <v>10 - 40 kW</v>
      </c>
      <c r="E5083" s="645"/>
      <c r="F5083" s="657">
        <f t="shared" si="1840"/>
        <v>10.81</v>
      </c>
      <c r="G5083" s="657">
        <f t="shared" si="1841"/>
        <v>11.21</v>
      </c>
      <c r="H5083" s="656">
        <f t="shared" si="1842"/>
        <v>8.9700000000000006</v>
      </c>
      <c r="I5083" s="656">
        <f t="shared" si="1850"/>
        <v>2.31</v>
      </c>
      <c r="J5083" s="669">
        <v>43496</v>
      </c>
      <c r="K5083" s="769"/>
      <c r="N5083" s="333" t="str">
        <f t="shared" si="1846"/>
        <v>Nov19</v>
      </c>
      <c r="O5083" s="568">
        <v>0.01</v>
      </c>
      <c r="P5083" s="23">
        <f t="shared" si="1847"/>
        <v>10.475044332283685</v>
      </c>
      <c r="Q5083" s="23">
        <f t="shared" si="1848"/>
        <v>10.194610074569006</v>
      </c>
      <c r="R5083" s="23">
        <f t="shared" si="1851"/>
        <v>8.0963018412043795</v>
      </c>
      <c r="S5083" s="23"/>
      <c r="T5083" s="23"/>
      <c r="U5083" s="23">
        <f t="shared" si="1843"/>
        <v>10.075044332283685</v>
      </c>
      <c r="V5083" s="23">
        <f t="shared" si="1844"/>
        <v>9.7946100745690057</v>
      </c>
      <c r="W5083" s="23">
        <f t="shared" si="1845"/>
        <v>7.6963018412043791</v>
      </c>
      <c r="X5083" s="23"/>
    </row>
    <row r="5084" spans="1:27" s="774" customFormat="1" x14ac:dyDescent="0.25">
      <c r="A5084" s="644" t="str">
        <f>"SgK4822--"&amp;RIGHT(A5083,5)</f>
        <v>SgK4822--Apr19</v>
      </c>
      <c r="B5084" s="645" t="s">
        <v>5435</v>
      </c>
      <c r="C5084" s="643" t="str">
        <f t="shared" si="1839"/>
        <v>Inbetriebnahme 04/2019</v>
      </c>
      <c r="D5084" s="643" t="str">
        <f t="shared" si="1849"/>
        <v>40 - 750 kW</v>
      </c>
      <c r="E5084" s="645"/>
      <c r="F5084" s="657">
        <f t="shared" si="1840"/>
        <v>8.5</v>
      </c>
      <c r="G5084" s="657">
        <f t="shared" si="1841"/>
        <v>8.9</v>
      </c>
      <c r="H5084" s="656">
        <f t="shared" si="1842"/>
        <v>7.12</v>
      </c>
      <c r="I5084" s="656">
        <f t="shared" si="1850"/>
        <v>0.5</v>
      </c>
      <c r="J5084" s="669">
        <v>43496</v>
      </c>
      <c r="K5084" s="23"/>
      <c r="L5084" s="12"/>
      <c r="N5084" s="333" t="str">
        <f t="shared" si="1846"/>
        <v>Dez19</v>
      </c>
      <c r="O5084" s="568">
        <v>0.01</v>
      </c>
      <c r="P5084" s="23">
        <f t="shared" si="1847"/>
        <v>10.370293888960848</v>
      </c>
      <c r="Q5084" s="23">
        <f t="shared" si="1848"/>
        <v>10.092663973823315</v>
      </c>
      <c r="R5084" s="23">
        <f t="shared" si="1851"/>
        <v>8.0153388227923354</v>
      </c>
      <c r="S5084" s="23"/>
      <c r="T5084" s="23"/>
      <c r="U5084" s="23">
        <f t="shared" si="1843"/>
        <v>9.9702938889608479</v>
      </c>
      <c r="V5084" s="23">
        <f t="shared" si="1844"/>
        <v>9.6926639738233149</v>
      </c>
      <c r="W5084" s="23">
        <f t="shared" si="1845"/>
        <v>7.6153388227923351</v>
      </c>
      <c r="X5084" s="23"/>
    </row>
    <row r="5085" spans="1:27" s="774" customFormat="1" x14ac:dyDescent="0.25">
      <c r="A5085" s="644" t="s">
        <v>6452</v>
      </c>
      <c r="B5085" s="645" t="s">
        <v>5435</v>
      </c>
      <c r="C5085" s="643" t="str">
        <f t="shared" si="1839"/>
        <v>Inbetriebnahme 05/2019</v>
      </c>
      <c r="D5085" s="643" t="str">
        <f t="shared" si="1849"/>
        <v>0 - 10 kW</v>
      </c>
      <c r="E5085" s="645"/>
      <c r="F5085" s="657">
        <f t="shared" si="1840"/>
        <v>10.95</v>
      </c>
      <c r="G5085" s="657">
        <f t="shared" si="1841"/>
        <v>11.35</v>
      </c>
      <c r="H5085" s="656">
        <f t="shared" si="1842"/>
        <v>9.08</v>
      </c>
      <c r="I5085" s="656">
        <f t="shared" si="1850"/>
        <v>2.4500000000000002</v>
      </c>
      <c r="J5085" s="669">
        <v>43585</v>
      </c>
      <c r="K5085" s="23"/>
      <c r="L5085" s="12"/>
      <c r="M5085" s="413"/>
      <c r="N5085" s="281"/>
      <c r="O5085" s="680"/>
      <c r="P5085" s="326"/>
      <c r="Q5085" s="327"/>
      <c r="R5085" s="327"/>
      <c r="S5085" s="327"/>
      <c r="T5085" s="327"/>
      <c r="U5085" s="12"/>
      <c r="V5085" s="12"/>
      <c r="W5085" s="12"/>
      <c r="X5085" s="12"/>
      <c r="Y5085" s="12"/>
      <c r="Z5085" s="12"/>
      <c r="AA5085" s="12"/>
    </row>
    <row r="5086" spans="1:27" s="774" customFormat="1" x14ac:dyDescent="0.25">
      <c r="A5086" s="644" t="str">
        <f>"SgK4821--"&amp;RIGHT(A5085,5)</f>
        <v>SgK4821--Mai19</v>
      </c>
      <c r="B5086" s="645" t="s">
        <v>5435</v>
      </c>
      <c r="C5086" s="643" t="str">
        <f t="shared" si="1839"/>
        <v>Inbetriebnahme 05/2019</v>
      </c>
      <c r="D5086" s="643" t="str">
        <f t="shared" si="1849"/>
        <v>10 - 40 kW</v>
      </c>
      <c r="E5086" s="645"/>
      <c r="F5086" s="657">
        <f t="shared" si="1840"/>
        <v>10.65</v>
      </c>
      <c r="G5086" s="657">
        <f t="shared" si="1841"/>
        <v>11.05</v>
      </c>
      <c r="H5086" s="656">
        <f t="shared" si="1842"/>
        <v>8.84</v>
      </c>
      <c r="I5086" s="656">
        <f t="shared" si="1850"/>
        <v>2.15</v>
      </c>
      <c r="J5086" s="669">
        <v>43585</v>
      </c>
      <c r="K5086" s="23"/>
      <c r="L5086" s="12"/>
      <c r="M5086" s="413"/>
      <c r="N5086" s="281"/>
      <c r="O5086" s="680"/>
      <c r="P5086" s="326"/>
      <c r="Q5086" s="327"/>
      <c r="R5086" s="327"/>
      <c r="S5086" s="327"/>
      <c r="T5086" s="327"/>
      <c r="U5086" s="12"/>
      <c r="V5086" s="12"/>
      <c r="W5086" s="12"/>
      <c r="X5086" s="12"/>
      <c r="Y5086" s="12"/>
      <c r="Z5086" s="12"/>
      <c r="AA5086" s="12"/>
    </row>
    <row r="5087" spans="1:27" s="774" customFormat="1" x14ac:dyDescent="0.25">
      <c r="A5087" s="644" t="str">
        <f>"SgK4822--"&amp;RIGHT(A5086,5)</f>
        <v>SgK4822--Mai19</v>
      </c>
      <c r="B5087" s="645" t="s">
        <v>5435</v>
      </c>
      <c r="C5087" s="643" t="str">
        <f t="shared" si="1839"/>
        <v>Inbetriebnahme 05/2019</v>
      </c>
      <c r="D5087" s="643" t="str">
        <f t="shared" si="1849"/>
        <v>40 - 750 kW</v>
      </c>
      <c r="E5087" s="645"/>
      <c r="F5087" s="657">
        <f t="shared" si="1840"/>
        <v>8.3800000000000008</v>
      </c>
      <c r="G5087" s="657">
        <f t="shared" si="1841"/>
        <v>8.7799999999999994</v>
      </c>
      <c r="H5087" s="656">
        <f t="shared" si="1842"/>
        <v>7.02</v>
      </c>
      <c r="I5087" s="656">
        <f t="shared" si="1850"/>
        <v>0.38</v>
      </c>
      <c r="J5087" s="669">
        <v>43585</v>
      </c>
      <c r="K5087" s="23"/>
      <c r="L5087" s="129"/>
      <c r="M5087" s="413"/>
      <c r="N5087" s="281"/>
      <c r="O5087" s="680"/>
      <c r="P5087" s="326"/>
      <c r="Q5087" s="327"/>
      <c r="R5087" s="327"/>
      <c r="S5087" s="327"/>
      <c r="T5087" s="327"/>
      <c r="U5087" s="12"/>
      <c r="V5087" s="12"/>
      <c r="W5087" s="12"/>
      <c r="X5087" s="12"/>
      <c r="Y5087" s="12"/>
      <c r="Z5087" s="12"/>
      <c r="AA5087" s="12"/>
    </row>
    <row r="5088" spans="1:27" s="774" customFormat="1" x14ac:dyDescent="0.25">
      <c r="A5088" s="644" t="s">
        <v>6453</v>
      </c>
      <c r="B5088" s="645" t="s">
        <v>5435</v>
      </c>
      <c r="C5088" s="643" t="str">
        <f t="shared" si="1839"/>
        <v>Inbetriebnahme 06/2019</v>
      </c>
      <c r="D5088" s="643" t="str">
        <f t="shared" si="1849"/>
        <v>0 - 10 kW</v>
      </c>
      <c r="E5088" s="645"/>
      <c r="F5088" s="657">
        <f t="shared" si="1840"/>
        <v>10.79</v>
      </c>
      <c r="G5088" s="657">
        <f t="shared" si="1841"/>
        <v>11.19</v>
      </c>
      <c r="H5088" s="656">
        <f t="shared" si="1842"/>
        <v>8.9499999999999993</v>
      </c>
      <c r="I5088" s="656">
        <f t="shared" si="1850"/>
        <v>2.29</v>
      </c>
      <c r="J5088" s="669">
        <v>43585</v>
      </c>
      <c r="K5088" s="23"/>
      <c r="L5088" s="173"/>
      <c r="M5088" s="413"/>
      <c r="N5088" s="281"/>
      <c r="O5088" s="680"/>
      <c r="P5088" s="326"/>
      <c r="Q5088" s="327"/>
      <c r="R5088" s="327"/>
      <c r="S5088" s="327"/>
      <c r="T5088" s="327"/>
      <c r="U5088" s="12"/>
      <c r="V5088" s="12"/>
      <c r="W5088" s="12"/>
      <c r="X5088" s="12"/>
      <c r="Y5088" s="12"/>
      <c r="Z5088" s="12"/>
      <c r="AA5088" s="12"/>
    </row>
    <row r="5089" spans="1:27" s="774" customFormat="1" x14ac:dyDescent="0.25">
      <c r="A5089" s="644" t="str">
        <f>"SgK4821--"&amp;RIGHT(A5088,5)</f>
        <v>SgK4821--Jun19</v>
      </c>
      <c r="B5089" s="645" t="s">
        <v>5435</v>
      </c>
      <c r="C5089" s="643" t="str">
        <f t="shared" si="1839"/>
        <v>Inbetriebnahme 06/2019</v>
      </c>
      <c r="D5089" s="643" t="str">
        <f t="shared" si="1849"/>
        <v>10 - 40 kW</v>
      </c>
      <c r="E5089" s="645"/>
      <c r="F5089" s="657">
        <f t="shared" si="1840"/>
        <v>10.5</v>
      </c>
      <c r="G5089" s="657">
        <f t="shared" si="1841"/>
        <v>10.9</v>
      </c>
      <c r="H5089" s="656">
        <f t="shared" si="1842"/>
        <v>8.7200000000000006</v>
      </c>
      <c r="I5089" s="656">
        <f t="shared" si="1850"/>
        <v>2</v>
      </c>
      <c r="J5089" s="669">
        <v>43585</v>
      </c>
      <c r="K5089" s="23"/>
      <c r="L5089" s="173"/>
      <c r="M5089" s="413"/>
      <c r="N5089" s="281"/>
      <c r="O5089" s="680"/>
      <c r="P5089" s="326"/>
      <c r="Q5089" s="327"/>
      <c r="R5089" s="327"/>
      <c r="S5089" s="327"/>
      <c r="T5089" s="327"/>
      <c r="U5089" s="12"/>
      <c r="V5089" s="12"/>
      <c r="W5089" s="12"/>
      <c r="X5089" s="12"/>
      <c r="Y5089" s="12"/>
      <c r="Z5089" s="12"/>
      <c r="AA5089" s="12"/>
    </row>
    <row r="5090" spans="1:27" s="774" customFormat="1" x14ac:dyDescent="0.25">
      <c r="A5090" s="644" t="str">
        <f>"SgK4822--"&amp;RIGHT(A5089,5)</f>
        <v>SgK4822--Jun19</v>
      </c>
      <c r="B5090" s="645" t="s">
        <v>5435</v>
      </c>
      <c r="C5090" s="643" t="str">
        <f t="shared" si="1839"/>
        <v>Inbetriebnahme 06/2019</v>
      </c>
      <c r="D5090" s="643" t="str">
        <f t="shared" si="1849"/>
        <v>40 - 750 kW</v>
      </c>
      <c r="E5090" s="645"/>
      <c r="F5090" s="657">
        <f t="shared" si="1840"/>
        <v>8.25</v>
      </c>
      <c r="G5090" s="657">
        <f t="shared" si="1841"/>
        <v>8.65</v>
      </c>
      <c r="H5090" s="656">
        <f t="shared" si="1842"/>
        <v>6.92</v>
      </c>
      <c r="I5090" s="656">
        <f t="shared" si="1850"/>
        <v>0.25</v>
      </c>
      <c r="J5090" s="669">
        <v>43585</v>
      </c>
      <c r="K5090" s="23"/>
      <c r="L5090" s="173"/>
      <c r="M5090" s="413"/>
      <c r="N5090" s="281"/>
      <c r="O5090" s="680"/>
      <c r="P5090" s="344"/>
      <c r="Q5090" s="327"/>
      <c r="R5090" s="327"/>
      <c r="S5090" s="327"/>
      <c r="T5090" s="327"/>
      <c r="U5090" s="12"/>
      <c r="V5090" s="12"/>
      <c r="W5090" s="12"/>
      <c r="X5090" s="12"/>
      <c r="Y5090" s="12"/>
      <c r="Z5090" s="12"/>
      <c r="AA5090" s="12"/>
    </row>
    <row r="5091" spans="1:27" s="774" customFormat="1" x14ac:dyDescent="0.25">
      <c r="A5091" s="644" t="s">
        <v>6454</v>
      </c>
      <c r="B5091" s="645" t="s">
        <v>5435</v>
      </c>
      <c r="C5091" s="643" t="str">
        <f t="shared" si="1839"/>
        <v>Inbetriebnahme 07/2019</v>
      </c>
      <c r="D5091" s="643" t="str">
        <f t="shared" si="1849"/>
        <v>0 - 10 kW</v>
      </c>
      <c r="E5091" s="645"/>
      <c r="F5091" s="657">
        <f t="shared" si="1840"/>
        <v>10.64</v>
      </c>
      <c r="G5091" s="657">
        <f t="shared" si="1841"/>
        <v>11.04</v>
      </c>
      <c r="H5091" s="656">
        <f t="shared" si="1842"/>
        <v>8.83</v>
      </c>
      <c r="I5091" s="656">
        <f t="shared" si="1850"/>
        <v>2.14</v>
      </c>
      <c r="J5091" s="669">
        <v>43585</v>
      </c>
      <c r="K5091" s="23"/>
      <c r="L5091" s="173"/>
      <c r="M5091" s="413"/>
      <c r="N5091" s="281"/>
      <c r="O5091" s="682"/>
      <c r="P5091" s="12"/>
      <c r="Q5091" s="12"/>
      <c r="R5091" s="12"/>
      <c r="S5091" s="12"/>
      <c r="T5091" s="12"/>
      <c r="U5091" s="12"/>
      <c r="V5091" s="12"/>
      <c r="W5091" s="12"/>
      <c r="X5091" s="12"/>
      <c r="Y5091" s="12"/>
      <c r="Z5091" s="12"/>
      <c r="AA5091" s="12"/>
    </row>
    <row r="5092" spans="1:27" s="774" customFormat="1" x14ac:dyDescent="0.25">
      <c r="A5092" s="644" t="str">
        <f>"SgK4821--"&amp;RIGHT(A5091,5)</f>
        <v>SgK4821--Jul19</v>
      </c>
      <c r="B5092" s="645" t="s">
        <v>5435</v>
      </c>
      <c r="C5092" s="643" t="str">
        <f t="shared" si="1839"/>
        <v>Inbetriebnahme 07/2019</v>
      </c>
      <c r="D5092" s="643" t="str">
        <f t="shared" si="1849"/>
        <v>10 - 40 kW</v>
      </c>
      <c r="E5092" s="645"/>
      <c r="F5092" s="657">
        <f t="shared" si="1840"/>
        <v>10.34</v>
      </c>
      <c r="G5092" s="657">
        <f t="shared" si="1841"/>
        <v>10.74</v>
      </c>
      <c r="H5092" s="656">
        <f t="shared" si="1842"/>
        <v>8.59</v>
      </c>
      <c r="I5092" s="656">
        <f t="shared" si="1850"/>
        <v>1.84</v>
      </c>
      <c r="J5092" s="669">
        <v>43585</v>
      </c>
      <c r="K5092" s="23"/>
      <c r="L5092" s="173"/>
      <c r="M5092" s="413"/>
      <c r="N5092" s="12"/>
      <c r="O5092" s="682"/>
      <c r="P5092" s="12"/>
      <c r="Q5092" s="12"/>
      <c r="R5092" s="12"/>
      <c r="S5092" s="12"/>
      <c r="T5092" s="12"/>
      <c r="U5092" s="12"/>
      <c r="V5092" s="12"/>
      <c r="W5092" s="12"/>
      <c r="X5092" s="12"/>
      <c r="Y5092" s="12"/>
      <c r="Z5092" s="12"/>
      <c r="AA5092" s="12"/>
    </row>
    <row r="5093" spans="1:27" s="774" customFormat="1" x14ac:dyDescent="0.25">
      <c r="A5093" s="644" t="str">
        <f>"SgK4822--"&amp;RIGHT(A5092,5)</f>
        <v>SgK4822--Jul19</v>
      </c>
      <c r="B5093" s="645" t="s">
        <v>5435</v>
      </c>
      <c r="C5093" s="643" t="str">
        <f t="shared" si="1839"/>
        <v>Inbetriebnahme 07/2019</v>
      </c>
      <c r="D5093" s="643" t="str">
        <f t="shared" si="1849"/>
        <v>40 - 750 kW</v>
      </c>
      <c r="E5093" s="645"/>
      <c r="F5093" s="657">
        <f t="shared" si="1840"/>
        <v>8.1300000000000008</v>
      </c>
      <c r="G5093" s="657">
        <f t="shared" si="1841"/>
        <v>8.5299999999999994</v>
      </c>
      <c r="H5093" s="656">
        <f t="shared" si="1842"/>
        <v>6.82</v>
      </c>
      <c r="I5093" s="656">
        <f t="shared" si="1850"/>
        <v>0.13</v>
      </c>
      <c r="J5093" s="669">
        <v>43585</v>
      </c>
      <c r="K5093" s="769"/>
      <c r="L5093" s="173"/>
      <c r="M5093" s="413"/>
      <c r="N5093" s="12"/>
      <c r="O5093" s="682"/>
      <c r="P5093" s="12"/>
      <c r="Q5093" s="12"/>
      <c r="R5093" s="12"/>
      <c r="S5093" s="12"/>
      <c r="T5093" s="12"/>
      <c r="U5093" s="12"/>
      <c r="V5093" s="12"/>
      <c r="W5093" s="12"/>
      <c r="X5093" s="12"/>
      <c r="Y5093" s="12"/>
      <c r="Z5093" s="12"/>
      <c r="AA5093" s="12"/>
    </row>
    <row r="5094" spans="1:27" s="774" customFormat="1" x14ac:dyDescent="0.25">
      <c r="A5094" s="644" t="s">
        <v>6455</v>
      </c>
      <c r="B5094" s="645" t="s">
        <v>5435</v>
      </c>
      <c r="C5094" s="643" t="str">
        <f t="shared" si="1839"/>
        <v>Inbetriebnahme 08/2019</v>
      </c>
      <c r="D5094" s="643" t="str">
        <f t="shared" si="1849"/>
        <v>0 - 10 kW</v>
      </c>
      <c r="E5094" s="645"/>
      <c r="F5094" s="657">
        <f t="shared" si="1840"/>
        <v>10.48</v>
      </c>
      <c r="G5094" s="657">
        <f t="shared" si="1841"/>
        <v>10.88</v>
      </c>
      <c r="H5094" s="656">
        <f t="shared" si="1842"/>
        <v>8.6999999999999993</v>
      </c>
      <c r="I5094" s="656">
        <f t="shared" ref="I5094:I5108" si="1852">IF(ISNUMBER($G5094),IF(AND(MID($A5094,1,7)="SgK4822",VALUE(MID($A5094,13,2))&gt;=19),ROUND(G5094-8-0.4,2),ROUND(G5094-8.5-0.4,2)),"")</f>
        <v>1.98</v>
      </c>
      <c r="J5094" s="669">
        <v>43677</v>
      </c>
      <c r="K5094" s="769"/>
      <c r="L5094" s="173"/>
      <c r="M5094" s="413"/>
      <c r="O5094" s="325"/>
      <c r="P5094" s="12"/>
      <c r="Q5094" s="12"/>
      <c r="R5094" s="12"/>
      <c r="S5094" s="12"/>
      <c r="T5094" s="12"/>
    </row>
    <row r="5095" spans="1:27" s="774" customFormat="1" x14ac:dyDescent="0.25">
      <c r="A5095" s="644" t="str">
        <f>"SgK4821--"&amp;RIGHT(A5094,5)</f>
        <v>SgK4821--Aug19</v>
      </c>
      <c r="B5095" s="645" t="s">
        <v>5435</v>
      </c>
      <c r="C5095" s="643" t="str">
        <f t="shared" si="1839"/>
        <v>Inbetriebnahme 08/2019</v>
      </c>
      <c r="D5095" s="643" t="str">
        <f t="shared" si="1849"/>
        <v>10 - 40 kW</v>
      </c>
      <c r="E5095" s="645"/>
      <c r="F5095" s="657">
        <f t="shared" si="1840"/>
        <v>10.19</v>
      </c>
      <c r="G5095" s="657">
        <f t="shared" si="1841"/>
        <v>10.59</v>
      </c>
      <c r="H5095" s="656">
        <f t="shared" si="1842"/>
        <v>8.4700000000000006</v>
      </c>
      <c r="I5095" s="656">
        <f t="shared" si="1852"/>
        <v>1.69</v>
      </c>
      <c r="J5095" s="669">
        <v>43677</v>
      </c>
      <c r="K5095" s="769"/>
      <c r="L5095" s="173"/>
      <c r="M5095" s="413"/>
      <c r="O5095" s="325"/>
      <c r="P5095" s="12"/>
      <c r="Q5095" s="12"/>
      <c r="R5095" s="12"/>
      <c r="S5095" s="12"/>
      <c r="T5095" s="12"/>
    </row>
    <row r="5096" spans="1:27" s="774" customFormat="1" x14ac:dyDescent="0.25">
      <c r="A5096" s="644" t="str">
        <f>"SgK4822--"&amp;RIGHT(A5095,5)</f>
        <v>SgK4822--Aug19</v>
      </c>
      <c r="B5096" s="645" t="s">
        <v>5435</v>
      </c>
      <c r="C5096" s="643" t="str">
        <f t="shared" si="1839"/>
        <v>Inbetriebnahme 08/2019</v>
      </c>
      <c r="D5096" s="643" t="str">
        <f t="shared" si="1849"/>
        <v>40 - 750 kW</v>
      </c>
      <c r="E5096" s="645"/>
      <c r="F5096" s="657">
        <f t="shared" si="1840"/>
        <v>8.01</v>
      </c>
      <c r="G5096" s="657">
        <f t="shared" si="1841"/>
        <v>8.41</v>
      </c>
      <c r="H5096" s="656">
        <f t="shared" si="1842"/>
        <v>6.73</v>
      </c>
      <c r="I5096" s="656">
        <f t="shared" si="1852"/>
        <v>0.01</v>
      </c>
      <c r="J5096" s="669">
        <v>43677</v>
      </c>
      <c r="M5096" s="413"/>
      <c r="O5096" s="325"/>
      <c r="P5096" s="12"/>
      <c r="Q5096" s="12"/>
      <c r="R5096" s="12"/>
      <c r="S5096" s="12"/>
      <c r="T5096" s="12"/>
    </row>
    <row r="5097" spans="1:27" s="774" customFormat="1" x14ac:dyDescent="0.25">
      <c r="A5097" s="644" t="s">
        <v>6456</v>
      </c>
      <c r="B5097" s="645" t="s">
        <v>5435</v>
      </c>
      <c r="C5097" s="643" t="str">
        <f t="shared" si="1839"/>
        <v>Inbetriebnahme 09/2019</v>
      </c>
      <c r="D5097" s="643" t="str">
        <f t="shared" si="1849"/>
        <v>0 - 10 kW</v>
      </c>
      <c r="E5097" s="645"/>
      <c r="F5097" s="657">
        <f t="shared" si="1840"/>
        <v>10.33</v>
      </c>
      <c r="G5097" s="657">
        <f t="shared" si="1841"/>
        <v>10.73</v>
      </c>
      <c r="H5097" s="656">
        <f t="shared" si="1842"/>
        <v>8.58</v>
      </c>
      <c r="I5097" s="656">
        <f t="shared" si="1852"/>
        <v>1.83</v>
      </c>
      <c r="J5097" s="669">
        <v>43677</v>
      </c>
    </row>
    <row r="5098" spans="1:27" s="774" customFormat="1" x14ac:dyDescent="0.25">
      <c r="A5098" s="644" t="str">
        <f>"SgK4821--"&amp;RIGHT(A5097,5)</f>
        <v>SgK4821--Sep19</v>
      </c>
      <c r="B5098" s="645" t="s">
        <v>5435</v>
      </c>
      <c r="C5098" s="643" t="str">
        <f t="shared" si="1839"/>
        <v>Inbetriebnahme 09/2019</v>
      </c>
      <c r="D5098" s="643" t="str">
        <f t="shared" si="1849"/>
        <v>10 - 40 kW</v>
      </c>
      <c r="E5098" s="645"/>
      <c r="F5098" s="657">
        <f t="shared" si="1840"/>
        <v>10.039999999999999</v>
      </c>
      <c r="G5098" s="657">
        <f t="shared" si="1841"/>
        <v>10.44</v>
      </c>
      <c r="H5098" s="656">
        <f t="shared" si="1842"/>
        <v>8.35</v>
      </c>
      <c r="I5098" s="656">
        <f t="shared" si="1852"/>
        <v>1.54</v>
      </c>
      <c r="J5098" s="669">
        <v>43677</v>
      </c>
    </row>
    <row r="5099" spans="1:27" s="774" customFormat="1" x14ac:dyDescent="0.25">
      <c r="A5099" s="644" t="str">
        <f>"SgK4822--"&amp;RIGHT(A5098,5)</f>
        <v>SgK4822--Sep19</v>
      </c>
      <c r="B5099" s="645" t="s">
        <v>5435</v>
      </c>
      <c r="C5099" s="643" t="str">
        <f t="shared" si="1839"/>
        <v>Inbetriebnahme 09/2019</v>
      </c>
      <c r="D5099" s="643" t="str">
        <f t="shared" si="1849"/>
        <v>40 - 750 kW</v>
      </c>
      <c r="E5099" s="645"/>
      <c r="F5099" s="657">
        <f t="shared" si="1840"/>
        <v>7.89</v>
      </c>
      <c r="G5099" s="657">
        <f t="shared" si="1841"/>
        <v>8.2899999999999991</v>
      </c>
      <c r="H5099" s="656">
        <f t="shared" si="1842"/>
        <v>6.63</v>
      </c>
      <c r="I5099" s="656">
        <f t="shared" si="1852"/>
        <v>-0.11</v>
      </c>
      <c r="J5099" s="669">
        <v>43677</v>
      </c>
    </row>
    <row r="5100" spans="1:27" s="774" customFormat="1" x14ac:dyDescent="0.25">
      <c r="A5100" s="644" t="s">
        <v>6457</v>
      </c>
      <c r="B5100" s="645" t="s">
        <v>5435</v>
      </c>
      <c r="C5100" s="643" t="str">
        <f t="shared" si="1839"/>
        <v>Inbetriebnahme 10/2019</v>
      </c>
      <c r="D5100" s="643" t="str">
        <f t="shared" si="1849"/>
        <v>0 - 10 kW</v>
      </c>
      <c r="E5100" s="645"/>
      <c r="F5100" s="657">
        <f t="shared" si="1840"/>
        <v>10.18</v>
      </c>
      <c r="G5100" s="657">
        <f t="shared" si="1841"/>
        <v>10.58</v>
      </c>
      <c r="H5100" s="656">
        <f t="shared" si="1842"/>
        <v>8.4600000000000009</v>
      </c>
      <c r="I5100" s="656">
        <f t="shared" si="1852"/>
        <v>1.68</v>
      </c>
      <c r="J5100" s="669">
        <v>43677</v>
      </c>
      <c r="O5100" s="395"/>
      <c r="P5100" s="327" t="str">
        <f>IF($O5100&lt;&gt;"",(1-$O5100)*P5084,"")</f>
        <v/>
      </c>
      <c r="Q5100" s="327" t="str">
        <f>IF($O5100&lt;&gt;"",(1-$O5100)*Q5084,"")</f>
        <v/>
      </c>
      <c r="R5100" s="327" t="str">
        <f>IF($O5100&lt;&gt;"",(1-$O5100)*R5084,"")</f>
        <v/>
      </c>
      <c r="S5100" s="327" t="str">
        <f>IF($O5100&lt;&gt;"",(1-$O5100)*S5084,"")</f>
        <v/>
      </c>
      <c r="U5100" s="327" t="str">
        <f>IF($O5100&lt;&gt;"",(1-$O5100)*U5084,"")</f>
        <v/>
      </c>
      <c r="V5100" s="327" t="str">
        <f>IF($O5100&lt;&gt;"",(1-$O5100)*V5084,"")</f>
        <v/>
      </c>
      <c r="W5100" s="327" t="str">
        <f>IF($O5100&lt;&gt;"",(1-$O5100)*W5084,"")</f>
        <v/>
      </c>
      <c r="X5100" s="327" t="str">
        <f>IF($O5100&lt;&gt;"",(1-$O5100)*X5084,"")</f>
        <v/>
      </c>
    </row>
    <row r="5101" spans="1:27" s="774" customFormat="1" x14ac:dyDescent="0.25">
      <c r="A5101" s="644" t="str">
        <f>"SgK4821--"&amp;RIGHT(A5100,5)</f>
        <v>SgK4821--Okt19</v>
      </c>
      <c r="B5101" s="645" t="s">
        <v>5435</v>
      </c>
      <c r="C5101" s="643" t="str">
        <f t="shared" si="1839"/>
        <v>Inbetriebnahme 10/2019</v>
      </c>
      <c r="D5101" s="643" t="str">
        <f t="shared" si="1849"/>
        <v>10 - 40 kW</v>
      </c>
      <c r="E5101" s="645"/>
      <c r="F5101" s="657">
        <f t="shared" si="1840"/>
        <v>9.9</v>
      </c>
      <c r="G5101" s="657">
        <f t="shared" si="1841"/>
        <v>10.3</v>
      </c>
      <c r="H5101" s="656">
        <f t="shared" si="1842"/>
        <v>8.24</v>
      </c>
      <c r="I5101" s="656">
        <f t="shared" si="1852"/>
        <v>1.4</v>
      </c>
      <c r="J5101" s="669">
        <v>43677</v>
      </c>
      <c r="O5101" s="395"/>
      <c r="P5101" s="327" t="str">
        <f>IF($O5101&lt;&gt;"",(1-$O5101)*P5084,"")</f>
        <v/>
      </c>
      <c r="Q5101" s="327" t="str">
        <f>IF($O5101&lt;&gt;"",(1-$O5101)*Q5084,"")</f>
        <v/>
      </c>
      <c r="R5101" s="327" t="str">
        <f>IF($O5101&lt;&gt;"",(1-$O5101)*R5084,"")</f>
        <v/>
      </c>
      <c r="S5101" s="327" t="str">
        <f>IF($O5101&lt;&gt;"",(1-$O5101)*S5084,"")</f>
        <v/>
      </c>
      <c r="U5101" s="327" t="str">
        <f>IF($O5101&lt;&gt;"",(1-$O5101)*U5084,"")</f>
        <v/>
      </c>
      <c r="V5101" s="327" t="str">
        <f>IF($O5101&lt;&gt;"",(1-$O5101)*V5084,"")</f>
        <v/>
      </c>
      <c r="W5101" s="327" t="str">
        <f>IF($O5101&lt;&gt;"",(1-$O5101)*W5084,"")</f>
        <v/>
      </c>
      <c r="X5101" s="327" t="str">
        <f>IF($O5101&lt;&gt;"",(1-$O5101)*X5084,"")</f>
        <v/>
      </c>
    </row>
    <row r="5102" spans="1:27" s="774" customFormat="1" x14ac:dyDescent="0.25">
      <c r="A5102" s="644" t="str">
        <f>"SgK4822--"&amp;RIGHT(A5101,5)</f>
        <v>SgK4822--Okt19</v>
      </c>
      <c r="B5102" s="645" t="s">
        <v>5435</v>
      </c>
      <c r="C5102" s="643" t="str">
        <f t="shared" si="1839"/>
        <v>Inbetriebnahme 10/2019</v>
      </c>
      <c r="D5102" s="643" t="str">
        <f t="shared" si="1849"/>
        <v>40 - 750 kW</v>
      </c>
      <c r="E5102" s="645"/>
      <c r="F5102" s="657">
        <f t="shared" si="1840"/>
        <v>7.78</v>
      </c>
      <c r="G5102" s="657">
        <f t="shared" si="1841"/>
        <v>8.18</v>
      </c>
      <c r="H5102" s="656">
        <f t="shared" si="1842"/>
        <v>6.54</v>
      </c>
      <c r="I5102" s="656">
        <f t="shared" si="1852"/>
        <v>-0.22</v>
      </c>
      <c r="J5102" s="669">
        <v>43677</v>
      </c>
      <c r="O5102" s="395"/>
      <c r="P5102" s="327" t="str">
        <f>IF($O5102&lt;&gt;"",(1-$O5102)*P5100,"")</f>
        <v/>
      </c>
      <c r="Q5102" s="327" t="str">
        <f>IF($O5102&lt;&gt;"",(1-$O5102)*Q5100,"")</f>
        <v/>
      </c>
      <c r="R5102" s="327" t="str">
        <f>IF($O5102&lt;&gt;"",(1-$O5102)*R5100,"")</f>
        <v/>
      </c>
      <c r="S5102" s="327" t="str">
        <f>IF($O5102&lt;&gt;"",(1-$O5102)*S5100,"")</f>
        <v/>
      </c>
      <c r="U5102" s="327" t="str">
        <f>IF($O5102&lt;&gt;"",(1-$O5102)*U5100,"")</f>
        <v/>
      </c>
      <c r="V5102" s="327" t="str">
        <f>IF($O5102&lt;&gt;"",(1-$O5102)*V5100,"")</f>
        <v/>
      </c>
      <c r="W5102" s="327" t="str">
        <f>IF($O5102&lt;&gt;"",(1-$O5102)*W5100,"")</f>
        <v/>
      </c>
      <c r="X5102" s="327" t="str">
        <f>IF($O5102&lt;&gt;"",(1-$O5102)*X5100,"")</f>
        <v/>
      </c>
    </row>
    <row r="5103" spans="1:27" s="774" customFormat="1" x14ac:dyDescent="0.25">
      <c r="A5103" s="644" t="s">
        <v>6458</v>
      </c>
      <c r="B5103" s="645" t="s">
        <v>5435</v>
      </c>
      <c r="C5103" s="643" t="str">
        <f t="shared" si="1839"/>
        <v>Inbetriebnahme 11/2019</v>
      </c>
      <c r="D5103" s="643" t="str">
        <f t="shared" si="1849"/>
        <v>0 - 10 kW</v>
      </c>
      <c r="E5103" s="645"/>
      <c r="F5103" s="657">
        <f t="shared" si="1840"/>
        <v>10.08</v>
      </c>
      <c r="G5103" s="657">
        <f t="shared" si="1841"/>
        <v>10.48</v>
      </c>
      <c r="H5103" s="656">
        <f t="shared" si="1842"/>
        <v>8.3800000000000008</v>
      </c>
      <c r="I5103" s="656">
        <f t="shared" si="1852"/>
        <v>1.58</v>
      </c>
      <c r="J5103" s="669">
        <v>43769</v>
      </c>
      <c r="O5103" s="395"/>
      <c r="P5103" s="327" t="str">
        <f>IF($O5103&lt;&gt;"",(1-$O5103)*#REF!,"")</f>
        <v/>
      </c>
      <c r="Q5103" s="327" t="str">
        <f>IF($O5103&lt;&gt;"",(1-$O5103)*#REF!,"")</f>
        <v/>
      </c>
      <c r="R5103" s="327" t="str">
        <f>IF($O5103&lt;&gt;"",(1-$O5103)*#REF!,"")</f>
        <v/>
      </c>
      <c r="S5103" s="327" t="str">
        <f>IF($O5103&lt;&gt;"",(1-$O5103)*#REF!,"")</f>
        <v/>
      </c>
      <c r="U5103" s="327" t="str">
        <f>IF($O5103&lt;&gt;"",(1-$O5103)*#REF!,"")</f>
        <v/>
      </c>
      <c r="V5103" s="327" t="str">
        <f>IF($O5103&lt;&gt;"",(1-$O5103)*#REF!,"")</f>
        <v/>
      </c>
      <c r="W5103" s="327" t="str">
        <f>IF($O5103&lt;&gt;"",(1-$O5103)*#REF!,"")</f>
        <v/>
      </c>
      <c r="X5103" s="327" t="str">
        <f>IF($O5103&lt;&gt;"",(1-$O5103)*#REF!,"")</f>
        <v/>
      </c>
    </row>
    <row r="5104" spans="1:27" s="774" customFormat="1" x14ac:dyDescent="0.25">
      <c r="A5104" s="644" t="str">
        <f>"SgK4821--"&amp;RIGHT(A5103,5)</f>
        <v>SgK4821--Nov19</v>
      </c>
      <c r="B5104" s="645" t="s">
        <v>5435</v>
      </c>
      <c r="C5104" s="643" t="str">
        <f t="shared" si="1839"/>
        <v>Inbetriebnahme 11/2019</v>
      </c>
      <c r="D5104" s="643" t="str">
        <f t="shared" si="1849"/>
        <v>10 - 40 kW</v>
      </c>
      <c r="E5104" s="645"/>
      <c r="F5104" s="657">
        <f t="shared" si="1840"/>
        <v>9.7899999999999991</v>
      </c>
      <c r="G5104" s="657">
        <f t="shared" si="1841"/>
        <v>10.19</v>
      </c>
      <c r="H5104" s="656">
        <f t="shared" si="1842"/>
        <v>8.15</v>
      </c>
      <c r="I5104" s="656">
        <f t="shared" si="1852"/>
        <v>1.29</v>
      </c>
      <c r="J5104" s="669">
        <v>43769</v>
      </c>
      <c r="O5104" s="395"/>
      <c r="P5104" s="327" t="str">
        <f>IF($O5104&lt;&gt;"",(1-$O5104)*#REF!,"")</f>
        <v/>
      </c>
      <c r="Q5104" s="327" t="str">
        <f>IF($O5104&lt;&gt;"",(1-$O5104)*#REF!,"")</f>
        <v/>
      </c>
      <c r="R5104" s="327" t="str">
        <f>IF($O5104&lt;&gt;"",(1-$O5104)*#REF!,"")</f>
        <v/>
      </c>
      <c r="S5104" s="327" t="str">
        <f>IF($O5104&lt;&gt;"",(1-$O5104)*#REF!,"")</f>
        <v/>
      </c>
      <c r="U5104" s="327" t="str">
        <f>IF($O5104&lt;&gt;"",(1-$O5104)*#REF!,"")</f>
        <v/>
      </c>
      <c r="V5104" s="327" t="str">
        <f>IF($O5104&lt;&gt;"",(1-$O5104)*#REF!,"")</f>
        <v/>
      </c>
      <c r="W5104" s="327" t="str">
        <f>IF($O5104&lt;&gt;"",(1-$O5104)*#REF!,"")</f>
        <v/>
      </c>
      <c r="X5104" s="327" t="str">
        <f>IF($O5104&lt;&gt;"",(1-$O5104)*#REF!,"")</f>
        <v/>
      </c>
    </row>
    <row r="5105" spans="1:29" s="774" customFormat="1" x14ac:dyDescent="0.25">
      <c r="A5105" s="644" t="str">
        <f>"SgK4822--"&amp;RIGHT(A5104,5)</f>
        <v>SgK4822--Nov19</v>
      </c>
      <c r="B5105" s="645" t="s">
        <v>5435</v>
      </c>
      <c r="C5105" s="643" t="str">
        <f t="shared" si="1839"/>
        <v>Inbetriebnahme 11/2019</v>
      </c>
      <c r="D5105" s="643" t="str">
        <f t="shared" si="1849"/>
        <v>40 - 750 kW</v>
      </c>
      <c r="E5105" s="645"/>
      <c r="F5105" s="657">
        <f t="shared" si="1840"/>
        <v>7.7</v>
      </c>
      <c r="G5105" s="657">
        <f t="shared" si="1841"/>
        <v>8.1</v>
      </c>
      <c r="H5105" s="656">
        <f t="shared" si="1842"/>
        <v>6.48</v>
      </c>
      <c r="I5105" s="656">
        <f t="shared" si="1852"/>
        <v>-0.3</v>
      </c>
      <c r="J5105" s="669">
        <v>43769</v>
      </c>
      <c r="O5105" s="395"/>
      <c r="P5105" s="327" t="str">
        <f>IF($O5105&lt;&gt;"",(1-$O5105)*P5103,"")</f>
        <v/>
      </c>
      <c r="Q5105" s="327" t="str">
        <f>IF($O5105&lt;&gt;"",(1-$O5105)*Q5103,"")</f>
        <v/>
      </c>
      <c r="R5105" s="327" t="str">
        <f>IF($O5105&lt;&gt;"",(1-$O5105)*R5103,"")</f>
        <v/>
      </c>
      <c r="S5105" s="327" t="str">
        <f>IF($O5105&lt;&gt;"",(1-$O5105)*S5103,"")</f>
        <v/>
      </c>
      <c r="U5105" s="327" t="str">
        <f>IF($O5105&lt;&gt;"",(1-$O5105)*U5103,"")</f>
        <v/>
      </c>
      <c r="V5105" s="327" t="str">
        <f>IF($O5105&lt;&gt;"",(1-$O5105)*V5103,"")</f>
        <v/>
      </c>
      <c r="W5105" s="327" t="str">
        <f>IF($O5105&lt;&gt;"",(1-$O5105)*W5103,"")</f>
        <v/>
      </c>
      <c r="X5105" s="327" t="str">
        <f>IF($O5105&lt;&gt;"",(1-$O5105)*X5103,"")</f>
        <v/>
      </c>
    </row>
    <row r="5106" spans="1:29" s="774" customFormat="1" x14ac:dyDescent="0.25">
      <c r="A5106" s="644" t="s">
        <v>6459</v>
      </c>
      <c r="B5106" s="645" t="s">
        <v>5435</v>
      </c>
      <c r="C5106" s="643" t="str">
        <f t="shared" si="1839"/>
        <v>Inbetriebnahme 12/2019</v>
      </c>
      <c r="D5106" s="643" t="str">
        <f t="shared" si="1849"/>
        <v>0 - 10 kW</v>
      </c>
      <c r="E5106" s="645"/>
      <c r="F5106" s="657">
        <f t="shared" si="1840"/>
        <v>9.9700000000000006</v>
      </c>
      <c r="G5106" s="657">
        <f t="shared" si="1841"/>
        <v>10.37</v>
      </c>
      <c r="H5106" s="656">
        <f t="shared" si="1842"/>
        <v>8.3000000000000007</v>
      </c>
      <c r="I5106" s="656">
        <f t="shared" si="1852"/>
        <v>1.47</v>
      </c>
      <c r="J5106" s="669">
        <v>43769</v>
      </c>
      <c r="O5106" s="395"/>
      <c r="P5106" s="327" t="str">
        <f>IF($O5106&lt;&gt;"",(1-$O5106)*#REF!,"")</f>
        <v/>
      </c>
      <c r="Q5106" s="327" t="str">
        <f>IF($O5106&lt;&gt;"",(1-$O5106)*#REF!,"")</f>
        <v/>
      </c>
      <c r="R5106" s="327" t="str">
        <f>IF($O5106&lt;&gt;"",(1-$O5106)*#REF!,"")</f>
        <v/>
      </c>
      <c r="S5106" s="327" t="str">
        <f>IF($O5106&lt;&gt;"",(1-$O5106)*#REF!,"")</f>
        <v/>
      </c>
      <c r="U5106" s="327" t="str">
        <f>IF($O5106&lt;&gt;"",(1-$O5106)*#REF!,"")</f>
        <v/>
      </c>
      <c r="V5106" s="327" t="str">
        <f>IF($O5106&lt;&gt;"",(1-$O5106)*#REF!,"")</f>
        <v/>
      </c>
      <c r="W5106" s="327" t="str">
        <f>IF($O5106&lt;&gt;"",(1-$O5106)*#REF!,"")</f>
        <v/>
      </c>
      <c r="X5106" s="327" t="str">
        <f>IF($O5106&lt;&gt;"",(1-$O5106)*#REF!,"")</f>
        <v/>
      </c>
    </row>
    <row r="5107" spans="1:29" s="774" customFormat="1" x14ac:dyDescent="0.25">
      <c r="A5107" s="644" t="str">
        <f>"SgK4821--"&amp;RIGHT(A5106,5)</f>
        <v>SgK4821--Dez19</v>
      </c>
      <c r="B5107" s="645" t="s">
        <v>5435</v>
      </c>
      <c r="C5107" s="643" t="str">
        <f t="shared" si="1839"/>
        <v>Inbetriebnahme 12/2019</v>
      </c>
      <c r="D5107" s="643" t="str">
        <f t="shared" si="1849"/>
        <v>10 - 40 kW</v>
      </c>
      <c r="E5107" s="645"/>
      <c r="F5107" s="657">
        <f t="shared" si="1840"/>
        <v>9.69</v>
      </c>
      <c r="G5107" s="657">
        <f t="shared" si="1841"/>
        <v>10.09</v>
      </c>
      <c r="H5107" s="656">
        <f t="shared" si="1842"/>
        <v>8.07</v>
      </c>
      <c r="I5107" s="656">
        <f t="shared" si="1852"/>
        <v>1.19</v>
      </c>
      <c r="J5107" s="669">
        <v>43769</v>
      </c>
      <c r="O5107" s="395"/>
      <c r="P5107" s="327" t="str">
        <f>IF($O5107&lt;&gt;"",(1-$O5107)*#REF!,"")</f>
        <v/>
      </c>
      <c r="Q5107" s="327" t="str">
        <f>IF($O5107&lt;&gt;"",(1-$O5107)*#REF!,"")</f>
        <v/>
      </c>
      <c r="R5107" s="327" t="str">
        <f>IF($O5107&lt;&gt;"",(1-$O5107)*#REF!,"")</f>
        <v/>
      </c>
      <c r="S5107" s="327" t="str">
        <f>IF($O5107&lt;&gt;"",(1-$O5107)*#REF!,"")</f>
        <v/>
      </c>
      <c r="U5107" s="327" t="str">
        <f>IF($O5107&lt;&gt;"",(1-$O5107)*#REF!,"")</f>
        <v/>
      </c>
      <c r="V5107" s="327" t="str">
        <f>IF($O5107&lt;&gt;"",(1-$O5107)*#REF!,"")</f>
        <v/>
      </c>
      <c r="W5107" s="327" t="str">
        <f>IF($O5107&lt;&gt;"",(1-$O5107)*#REF!,"")</f>
        <v/>
      </c>
      <c r="X5107" s="327" t="str">
        <f>IF($O5107&lt;&gt;"",(1-$O5107)*#REF!,"")</f>
        <v/>
      </c>
    </row>
    <row r="5108" spans="1:29" ht="14.25" customHeight="1" x14ac:dyDescent="0.25">
      <c r="A5108" s="644" t="str">
        <f>"SgK4822--"&amp;RIGHT(A5107,5)</f>
        <v>SgK4822--Dez19</v>
      </c>
      <c r="B5108" s="645" t="s">
        <v>5435</v>
      </c>
      <c r="C5108" s="643" t="str">
        <f t="shared" si="1839"/>
        <v>Inbetriebnahme 12/2019</v>
      </c>
      <c r="D5108" s="643" t="str">
        <f t="shared" si="1849"/>
        <v>40 - 750 kW</v>
      </c>
      <c r="E5108" s="645"/>
      <c r="F5108" s="657">
        <f t="shared" si="1840"/>
        <v>7.62</v>
      </c>
      <c r="G5108" s="657">
        <f t="shared" si="1841"/>
        <v>8.02</v>
      </c>
      <c r="H5108" s="656">
        <f t="shared" si="1842"/>
        <v>6.42</v>
      </c>
      <c r="I5108" s="656">
        <f t="shared" si="1852"/>
        <v>-0.38</v>
      </c>
      <c r="J5108" s="669">
        <v>43769</v>
      </c>
      <c r="M5108" s="774"/>
      <c r="N5108" s="774"/>
      <c r="O5108" s="395"/>
      <c r="P5108" s="327" t="str">
        <f>IF($O5108&lt;&gt;"",(1-$O5108)*P5106,"")</f>
        <v/>
      </c>
      <c r="Q5108" s="327" t="str">
        <f>IF($O5108&lt;&gt;"",(1-$O5108)*Q5106,"")</f>
        <v/>
      </c>
      <c r="R5108" s="327" t="str">
        <f>IF($O5108&lt;&gt;"",(1-$O5108)*R5106,"")</f>
        <v/>
      </c>
      <c r="S5108" s="327" t="str">
        <f>IF($O5108&lt;&gt;"",(1-$O5108)*S5106,"")</f>
        <v/>
      </c>
      <c r="T5108" s="774"/>
      <c r="U5108" s="327" t="str">
        <f>IF($O5108&lt;&gt;"",(1-$O5108)*U5106,"")</f>
        <v/>
      </c>
      <c r="V5108" s="327" t="str">
        <f>IF($O5108&lt;&gt;"",(1-$O5108)*V5106,"")</f>
        <v/>
      </c>
      <c r="W5108" s="327" t="str">
        <f>IF($O5108&lt;&gt;"",(1-$O5108)*W5106,"")</f>
        <v/>
      </c>
      <c r="X5108" s="327" t="str">
        <f>IF($O5108&lt;&gt;"",(1-$O5108)*X5106,"")</f>
        <v/>
      </c>
      <c r="Y5108" s="774"/>
      <c r="Z5108" s="774"/>
      <c r="AA5108" s="774"/>
      <c r="AB5108" s="774"/>
      <c r="AC5108" s="774"/>
    </row>
    <row r="5109" spans="1:29" s="774" customFormat="1" x14ac:dyDescent="0.25">
      <c r="A5109" s="608"/>
      <c r="B5109" s="2"/>
      <c r="C5109" s="34"/>
      <c r="D5109" s="34"/>
      <c r="E5109" s="2"/>
      <c r="F5109" s="445"/>
      <c r="G5109" s="14"/>
      <c r="H5109" s="14"/>
      <c r="I5109" s="695"/>
      <c r="J5109" s="669" t="s">
        <v>4180</v>
      </c>
      <c r="K5109" s="769"/>
      <c r="N5109" s="137" t="s">
        <v>3902</v>
      </c>
      <c r="O5109" s="270" t="s">
        <v>5490</v>
      </c>
      <c r="P5109" s="774" t="s">
        <v>3919</v>
      </c>
      <c r="Q5109" s="774" t="s">
        <v>3920</v>
      </c>
      <c r="R5109" s="774" t="s">
        <v>7444</v>
      </c>
      <c r="T5109" s="774" t="s">
        <v>49</v>
      </c>
      <c r="U5109" s="774" t="s">
        <v>3919</v>
      </c>
      <c r="V5109" s="774" t="s">
        <v>3920</v>
      </c>
      <c r="W5109" s="774" t="s">
        <v>7444</v>
      </c>
      <c r="Y5109" s="774" t="s">
        <v>50</v>
      </c>
    </row>
    <row r="5110" spans="1:29" s="774" customFormat="1" x14ac:dyDescent="0.25">
      <c r="A5110" s="644" t="s">
        <v>6587</v>
      </c>
      <c r="B5110" s="645" t="s">
        <v>5435</v>
      </c>
      <c r="C5110" s="643" t="str">
        <f t="shared" ref="C5110:C5145" si="1853">"Inbetriebnahme "&amp;TEXT(DATEVALUE(RIGHT(A5110,5)),"MM/JJJJ")</f>
        <v>Inbetriebnahme 01/2020</v>
      </c>
      <c r="D5110" s="643" t="str">
        <f>$Q$4848</f>
        <v>0 - 10 kW</v>
      </c>
      <c r="E5110" s="645"/>
      <c r="F5110" s="657">
        <f t="shared" ref="F5110:F5145" si="1854">IF(HLOOKUP($D5110,$U$5109:$W$5121,MATCH(RIGHT($A5110,5),$N$5109:$N$5121,0),FALSE)&lt;&gt;"",ROUND(HLOOKUP($D5110,$U$5109:$W$5121,MATCH(RIGHT($A5110,5),$N$5109:$N$5121,0),FALSE),2),"")</f>
        <v>9.8699999999999992</v>
      </c>
      <c r="G5110" s="657">
        <f t="shared" ref="G5110:G5145" si="1855">IF(HLOOKUP($D5110,$P$5109:$W$5121,MATCH(RIGHT($A5110,5),$N$5109:$N$5121,0),FALSE)&lt;&gt;"",ROUND(HLOOKUP($D5110,$P$5109:$W$5121,MATCH(RIGHT($A5110,5),$N$5109:$N$5121,0),FALSE),2),"")</f>
        <v>10.27</v>
      </c>
      <c r="H5110" s="656">
        <f t="shared" ref="H5110:H5145" si="1856">IF(ISNUMBER($G5110),ROUND(0.8*$G5110,2),"")</f>
        <v>8.2200000000000006</v>
      </c>
      <c r="I5110" s="656">
        <f>IF(ISNUMBER($G5110),IF(AND(MID($A5110,1,7)="SgK4822",VALUE(MID($A5110,13,2))&gt;=19),MAX(0,ROUND(G5110-8-0.4,2)),MAX(0,ROUND(G5110-8.5-0.4,2))),"")</f>
        <v>1.37</v>
      </c>
      <c r="J5110" s="669">
        <v>43796</v>
      </c>
      <c r="K5110" s="769"/>
      <c r="M5110" s="127">
        <v>2020</v>
      </c>
      <c r="N5110" s="639" t="s">
        <v>6586</v>
      </c>
      <c r="O5110" s="568">
        <v>0.01</v>
      </c>
      <c r="P5110" s="23">
        <f>IF($O5110&lt;&gt;"",P5084*(100%-$O5110),"")</f>
        <v>10.26659095007124</v>
      </c>
      <c r="Q5110" s="23">
        <f>IF($O5110&lt;&gt;"",Q5084*(100%-$O5110),"")</f>
        <v>9.9917373340850819</v>
      </c>
      <c r="R5110" s="783">
        <f>IF($O5110&lt;&gt;"",R5084*(100%-$O5110),"")</f>
        <v>7.9351854345644117</v>
      </c>
      <c r="S5110" s="23"/>
      <c r="T5110" s="23"/>
      <c r="U5110" s="23">
        <f t="shared" ref="U5110:U5121" si="1857">IF($O5110&lt;&gt;"",P5110-0.4,"")</f>
        <v>9.8665909500712399</v>
      </c>
      <c r="V5110" s="23">
        <f t="shared" ref="V5110:V5121" si="1858">IF($O5110&lt;&gt;"",Q5110-0.4,"")</f>
        <v>9.5917373340850816</v>
      </c>
      <c r="W5110" s="23">
        <f t="shared" ref="W5110:W5121" si="1859">IF($O5110&lt;&gt;"",R5110-0.4,"")</f>
        <v>7.5351854345644114</v>
      </c>
      <c r="X5110" s="23"/>
    </row>
    <row r="5111" spans="1:29" s="774" customFormat="1" x14ac:dyDescent="0.25">
      <c r="A5111" s="644" t="str">
        <f>"SgK4821--"&amp;RIGHT(A5110,5)</f>
        <v>SgK4821--Jan20</v>
      </c>
      <c r="B5111" s="645" t="s">
        <v>5435</v>
      </c>
      <c r="C5111" s="643" t="str">
        <f t="shared" si="1853"/>
        <v>Inbetriebnahme 01/2020</v>
      </c>
      <c r="D5111" s="643" t="str">
        <f>$R$4848</f>
        <v>10 - 40 kW</v>
      </c>
      <c r="E5111" s="645"/>
      <c r="F5111" s="657">
        <f t="shared" si="1854"/>
        <v>9.59</v>
      </c>
      <c r="G5111" s="657">
        <f t="shared" si="1855"/>
        <v>9.99</v>
      </c>
      <c r="H5111" s="656">
        <f t="shared" si="1856"/>
        <v>7.99</v>
      </c>
      <c r="I5111" s="656">
        <f t="shared" ref="I5111:I5145" si="1860">IF(ISNUMBER($G5111),IF(AND(MID($A5111,1,7)="SgK4822",VALUE(MID($A5111,13,2))&gt;=19),ROUND(G5111-8-0.4,2),ROUND(G5111-8.5-0.4,2)),"")</f>
        <v>1.0900000000000001</v>
      </c>
      <c r="J5111" s="669">
        <v>43796</v>
      </c>
      <c r="K5111" s="769"/>
      <c r="M5111" s="413"/>
      <c r="N5111" s="333" t="str">
        <f t="shared" ref="N5111:N5121" si="1861">TEXT(DATE(YEAR(DATEVALUE(N5110)),MONTH(DATEVALUE(N5110))+1,1),"MMMJJ")</f>
        <v>Feb20</v>
      </c>
      <c r="O5111" s="568">
        <v>1.4E-2</v>
      </c>
      <c r="P5111" s="23">
        <f t="shared" ref="P5111:P5121" si="1862">IF($O5111&lt;&gt;"",P5110*(100%-$O5111),"")</f>
        <v>10.122858676770242</v>
      </c>
      <c r="Q5111" s="23">
        <f t="shared" ref="Q5111:Q5121" si="1863">IF($O5111&lt;&gt;"",Q5110*(100%-$O5111),"")</f>
        <v>9.8518530114078899</v>
      </c>
      <c r="R5111" s="23">
        <f t="shared" ref="R5111:R5121" si="1864">IF($O5111&lt;&gt;"",R5110*(100%-$O5111),"")</f>
        <v>7.8240928384805102</v>
      </c>
      <c r="S5111" s="23"/>
      <c r="T5111" s="23"/>
      <c r="U5111" s="23">
        <f t="shared" si="1857"/>
        <v>9.7228586767702421</v>
      </c>
      <c r="V5111" s="23">
        <f t="shared" si="1858"/>
        <v>9.4518530114078896</v>
      </c>
      <c r="W5111" s="23">
        <f t="shared" si="1859"/>
        <v>7.4240928384805098</v>
      </c>
      <c r="X5111" s="23"/>
    </row>
    <row r="5112" spans="1:29" s="774" customFormat="1" x14ac:dyDescent="0.25">
      <c r="A5112" s="644" t="str">
        <f>"SgK4822--"&amp;RIGHT(A5111,5)</f>
        <v>SgK4822--Jan20</v>
      </c>
      <c r="B5112" s="645" t="s">
        <v>5435</v>
      </c>
      <c r="C5112" s="643" t="str">
        <f t="shared" si="1853"/>
        <v>Inbetriebnahme 01/2020</v>
      </c>
      <c r="D5112" s="643" t="s">
        <v>7444</v>
      </c>
      <c r="E5112" s="645"/>
      <c r="F5112" s="657">
        <f t="shared" si="1854"/>
        <v>7.54</v>
      </c>
      <c r="G5112" s="657">
        <f t="shared" si="1855"/>
        <v>7.94</v>
      </c>
      <c r="H5112" s="656">
        <f t="shared" si="1856"/>
        <v>6.35</v>
      </c>
      <c r="I5112" s="656">
        <f t="shared" si="1860"/>
        <v>-0.46</v>
      </c>
      <c r="J5112" s="669">
        <v>43796</v>
      </c>
      <c r="K5112" s="769"/>
      <c r="M5112" s="413"/>
      <c r="N5112" s="333" t="str">
        <f t="shared" si="1861"/>
        <v>Mrz20</v>
      </c>
      <c r="O5112" s="568">
        <v>1.4E-2</v>
      </c>
      <c r="P5112" s="23">
        <f t="shared" si="1862"/>
        <v>9.9811386552954584</v>
      </c>
      <c r="Q5112" s="23">
        <f t="shared" si="1863"/>
        <v>9.7139270692481787</v>
      </c>
      <c r="R5112" s="23">
        <f t="shared" si="1864"/>
        <v>7.7145555387417826</v>
      </c>
      <c r="S5112" s="23"/>
      <c r="T5112" s="23"/>
      <c r="U5112" s="23">
        <f t="shared" si="1857"/>
        <v>9.5811386552954581</v>
      </c>
      <c r="V5112" s="23">
        <f t="shared" si="1858"/>
        <v>9.3139270692481784</v>
      </c>
      <c r="W5112" s="23">
        <f t="shared" si="1859"/>
        <v>7.3145555387417822</v>
      </c>
      <c r="X5112" s="23"/>
    </row>
    <row r="5113" spans="1:29" s="774" customFormat="1" x14ac:dyDescent="0.25">
      <c r="A5113" s="644" t="s">
        <v>6588</v>
      </c>
      <c r="B5113" s="645" t="s">
        <v>5435</v>
      </c>
      <c r="C5113" s="643" t="str">
        <f t="shared" si="1853"/>
        <v>Inbetriebnahme 02/2020</v>
      </c>
      <c r="D5113" s="643" t="str">
        <f t="shared" ref="D5113:D5145" si="1865">D5110</f>
        <v>0 - 10 kW</v>
      </c>
      <c r="E5113" s="645"/>
      <c r="F5113" s="657">
        <f t="shared" si="1854"/>
        <v>9.7200000000000006</v>
      </c>
      <c r="G5113" s="657">
        <f t="shared" si="1855"/>
        <v>10.119999999999999</v>
      </c>
      <c r="H5113" s="656">
        <f t="shared" si="1856"/>
        <v>8.1</v>
      </c>
      <c r="I5113" s="656">
        <f t="shared" si="1860"/>
        <v>1.22</v>
      </c>
      <c r="J5113" s="669">
        <v>43873</v>
      </c>
      <c r="K5113" s="769"/>
      <c r="M5113" s="413"/>
      <c r="N5113" s="333" t="str">
        <f t="shared" si="1861"/>
        <v>Apr20</v>
      </c>
      <c r="O5113" s="568">
        <v>1.4E-2</v>
      </c>
      <c r="P5113" s="23">
        <f t="shared" si="1862"/>
        <v>9.8414027141213225</v>
      </c>
      <c r="Q5113" s="23">
        <f t="shared" si="1863"/>
        <v>9.5779320902787042</v>
      </c>
      <c r="R5113" s="23">
        <f t="shared" si="1864"/>
        <v>7.6065517611993974</v>
      </c>
      <c r="S5113" s="23"/>
      <c r="T5113" s="23"/>
      <c r="U5113" s="23">
        <f t="shared" si="1857"/>
        <v>9.4414027141213221</v>
      </c>
      <c r="V5113" s="23">
        <f t="shared" si="1858"/>
        <v>9.1779320902787038</v>
      </c>
      <c r="W5113" s="23">
        <f t="shared" si="1859"/>
        <v>7.206551761199397</v>
      </c>
      <c r="X5113" s="23"/>
    </row>
    <row r="5114" spans="1:29" s="774" customFormat="1" x14ac:dyDescent="0.25">
      <c r="A5114" s="644" t="str">
        <f>"SgK4821--"&amp;RIGHT(A5113,5)</f>
        <v>SgK4821--Feb20</v>
      </c>
      <c r="B5114" s="645" t="s">
        <v>5435</v>
      </c>
      <c r="C5114" s="643" t="str">
        <f t="shared" si="1853"/>
        <v>Inbetriebnahme 02/2020</v>
      </c>
      <c r="D5114" s="643" t="str">
        <f t="shared" si="1865"/>
        <v>10 - 40 kW</v>
      </c>
      <c r="E5114" s="645"/>
      <c r="F5114" s="657">
        <f t="shared" si="1854"/>
        <v>9.4499999999999993</v>
      </c>
      <c r="G5114" s="657">
        <f t="shared" si="1855"/>
        <v>9.85</v>
      </c>
      <c r="H5114" s="656">
        <f t="shared" si="1856"/>
        <v>7.88</v>
      </c>
      <c r="I5114" s="656">
        <f t="shared" si="1860"/>
        <v>0.95</v>
      </c>
      <c r="J5114" s="669">
        <v>43873</v>
      </c>
      <c r="K5114" s="769"/>
      <c r="M5114" s="413"/>
      <c r="N5114" s="333" t="str">
        <f t="shared" si="1861"/>
        <v>Mai20</v>
      </c>
      <c r="O5114" s="568">
        <v>1.4E-2</v>
      </c>
      <c r="P5114" s="23">
        <f t="shared" si="1862"/>
        <v>9.7036230761236233</v>
      </c>
      <c r="Q5114" s="23">
        <f t="shared" si="1863"/>
        <v>9.443841041014803</v>
      </c>
      <c r="R5114" s="23">
        <f t="shared" si="1864"/>
        <v>7.5000600365426058</v>
      </c>
      <c r="S5114" s="23"/>
      <c r="T5114" s="23"/>
      <c r="U5114" s="23">
        <f t="shared" si="1857"/>
        <v>9.3036230761236229</v>
      </c>
      <c r="V5114" s="23">
        <f t="shared" si="1858"/>
        <v>9.0438410410148027</v>
      </c>
      <c r="W5114" s="23">
        <f t="shared" si="1859"/>
        <v>7.1000600365426054</v>
      </c>
      <c r="X5114" s="23"/>
    </row>
    <row r="5115" spans="1:29" s="774" customFormat="1" x14ac:dyDescent="0.25">
      <c r="A5115" s="644" t="str">
        <f>"SgK4822--"&amp;RIGHT(A5114,5)</f>
        <v>SgK4822--Feb20</v>
      </c>
      <c r="B5115" s="645" t="s">
        <v>5435</v>
      </c>
      <c r="C5115" s="643" t="str">
        <f t="shared" si="1853"/>
        <v>Inbetriebnahme 02/2020</v>
      </c>
      <c r="D5115" s="643" t="str">
        <f t="shared" si="1865"/>
        <v>40 - 750 kW</v>
      </c>
      <c r="E5115" s="645"/>
      <c r="F5115" s="657">
        <f t="shared" si="1854"/>
        <v>7.42</v>
      </c>
      <c r="G5115" s="657">
        <f t="shared" si="1855"/>
        <v>7.82</v>
      </c>
      <c r="H5115" s="656">
        <f t="shared" si="1856"/>
        <v>6.26</v>
      </c>
      <c r="I5115" s="656">
        <f t="shared" si="1860"/>
        <v>-0.57999999999999996</v>
      </c>
      <c r="J5115" s="669">
        <v>43873</v>
      </c>
      <c r="K5115" s="769"/>
      <c r="M5115" s="413"/>
      <c r="N5115" s="333" t="str">
        <f t="shared" si="1861"/>
        <v>Jun20</v>
      </c>
      <c r="O5115" s="568">
        <v>1.4E-2</v>
      </c>
      <c r="P5115" s="23">
        <f t="shared" si="1862"/>
        <v>9.567772353057892</v>
      </c>
      <c r="Q5115" s="23">
        <f t="shared" si="1863"/>
        <v>9.3116272664405955</v>
      </c>
      <c r="R5115" s="23">
        <f t="shared" si="1864"/>
        <v>7.395059196031009</v>
      </c>
      <c r="S5115" s="23"/>
      <c r="T5115" s="23"/>
      <c r="U5115" s="23">
        <f t="shared" si="1857"/>
        <v>9.1677723530578916</v>
      </c>
      <c r="V5115" s="23">
        <f t="shared" si="1858"/>
        <v>8.9116272664405951</v>
      </c>
      <c r="W5115" s="23">
        <f t="shared" si="1859"/>
        <v>6.9950591960310087</v>
      </c>
      <c r="X5115" s="23"/>
    </row>
    <row r="5116" spans="1:29" s="774" customFormat="1" x14ac:dyDescent="0.25">
      <c r="A5116" s="644" t="s">
        <v>6589</v>
      </c>
      <c r="B5116" s="645" t="s">
        <v>5435</v>
      </c>
      <c r="C5116" s="643" t="str">
        <f t="shared" si="1853"/>
        <v>Inbetriebnahme 03/2020</v>
      </c>
      <c r="D5116" s="643" t="str">
        <f t="shared" si="1865"/>
        <v>0 - 10 kW</v>
      </c>
      <c r="E5116" s="645"/>
      <c r="F5116" s="657">
        <f t="shared" si="1854"/>
        <v>9.58</v>
      </c>
      <c r="G5116" s="657">
        <f t="shared" si="1855"/>
        <v>9.98</v>
      </c>
      <c r="H5116" s="656">
        <f t="shared" si="1856"/>
        <v>7.98</v>
      </c>
      <c r="I5116" s="656">
        <f t="shared" si="1860"/>
        <v>1.08</v>
      </c>
      <c r="J5116" s="669">
        <v>43873</v>
      </c>
      <c r="K5116" s="769"/>
      <c r="M5116" s="413"/>
      <c r="N5116" s="333" t="str">
        <f t="shared" si="1861"/>
        <v>Jul20</v>
      </c>
      <c r="O5116" s="568">
        <v>1.4E-2</v>
      </c>
      <c r="P5116" s="23">
        <f t="shared" si="1862"/>
        <v>9.4338235401150818</v>
      </c>
      <c r="Q5116" s="23">
        <f t="shared" si="1863"/>
        <v>9.181264484710427</v>
      </c>
      <c r="R5116" s="23">
        <f t="shared" si="1864"/>
        <v>7.2915283672865749</v>
      </c>
      <c r="S5116" s="23"/>
      <c r="T5116" s="23"/>
      <c r="U5116" s="23">
        <f t="shared" si="1857"/>
        <v>9.0338235401150815</v>
      </c>
      <c r="V5116" s="23">
        <f t="shared" si="1858"/>
        <v>8.7812644847104266</v>
      </c>
      <c r="W5116" s="23">
        <f t="shared" si="1859"/>
        <v>6.8915283672865746</v>
      </c>
      <c r="X5116" s="23"/>
    </row>
    <row r="5117" spans="1:29" s="774" customFormat="1" x14ac:dyDescent="0.25">
      <c r="A5117" s="644" t="str">
        <f>"SgK4821--"&amp;RIGHT(A5116,5)</f>
        <v>SgK4821--Mrz20</v>
      </c>
      <c r="B5117" s="645" t="s">
        <v>5435</v>
      </c>
      <c r="C5117" s="643" t="str">
        <f t="shared" si="1853"/>
        <v>Inbetriebnahme 03/2020</v>
      </c>
      <c r="D5117" s="643" t="str">
        <f t="shared" si="1865"/>
        <v>10 - 40 kW</v>
      </c>
      <c r="E5117" s="645"/>
      <c r="F5117" s="657">
        <f t="shared" si="1854"/>
        <v>9.31</v>
      </c>
      <c r="G5117" s="657">
        <f t="shared" si="1855"/>
        <v>9.7100000000000009</v>
      </c>
      <c r="H5117" s="656">
        <f t="shared" si="1856"/>
        <v>7.77</v>
      </c>
      <c r="I5117" s="656">
        <f t="shared" si="1860"/>
        <v>0.81</v>
      </c>
      <c r="J5117" s="669">
        <v>43873</v>
      </c>
      <c r="K5117" s="769"/>
      <c r="M5117" s="127"/>
      <c r="N5117" s="333" t="str">
        <f t="shared" si="1861"/>
        <v>Aug20</v>
      </c>
      <c r="O5117" s="568">
        <v>1.4E-2</v>
      </c>
      <c r="P5117" s="23">
        <f t="shared" si="1862"/>
        <v>9.3017500105534712</v>
      </c>
      <c r="Q5117" s="23">
        <f t="shared" si="1863"/>
        <v>9.0527267819244805</v>
      </c>
      <c r="R5117" s="23">
        <f t="shared" si="1864"/>
        <v>7.1894469701445631</v>
      </c>
      <c r="S5117" s="23"/>
      <c r="T5117" s="23"/>
      <c r="U5117" s="23">
        <f t="shared" si="1857"/>
        <v>8.9017500105534708</v>
      </c>
      <c r="V5117" s="23">
        <f t="shared" si="1858"/>
        <v>8.6527267819244802</v>
      </c>
      <c r="W5117" s="23">
        <f t="shared" si="1859"/>
        <v>6.7894469701445628</v>
      </c>
      <c r="X5117" s="23"/>
    </row>
    <row r="5118" spans="1:29" s="774" customFormat="1" x14ac:dyDescent="0.25">
      <c r="A5118" s="644" t="str">
        <f>"SgK4822--"&amp;RIGHT(A5117,5)</f>
        <v>SgK4822--Mrz20</v>
      </c>
      <c r="B5118" s="645" t="s">
        <v>5435</v>
      </c>
      <c r="C5118" s="643" t="str">
        <f t="shared" si="1853"/>
        <v>Inbetriebnahme 03/2020</v>
      </c>
      <c r="D5118" s="643" t="str">
        <f t="shared" si="1865"/>
        <v>40 - 750 kW</v>
      </c>
      <c r="E5118" s="645"/>
      <c r="F5118" s="657">
        <f t="shared" si="1854"/>
        <v>7.31</v>
      </c>
      <c r="G5118" s="657">
        <f t="shared" si="1855"/>
        <v>7.71</v>
      </c>
      <c r="H5118" s="656">
        <f t="shared" si="1856"/>
        <v>6.17</v>
      </c>
      <c r="I5118" s="656">
        <f t="shared" si="1860"/>
        <v>-0.69</v>
      </c>
      <c r="J5118" s="669">
        <v>43873</v>
      </c>
      <c r="K5118" s="769"/>
      <c r="N5118" s="333" t="str">
        <f t="shared" si="1861"/>
        <v>Sep20</v>
      </c>
      <c r="O5118" s="568">
        <v>1.4E-2</v>
      </c>
      <c r="P5118" s="23">
        <f t="shared" si="1862"/>
        <v>9.1715255104057221</v>
      </c>
      <c r="Q5118" s="23">
        <f t="shared" si="1863"/>
        <v>8.9259886069775369</v>
      </c>
      <c r="R5118" s="23">
        <f t="shared" si="1864"/>
        <v>7.0887947125625388</v>
      </c>
      <c r="S5118" s="23"/>
      <c r="T5118" s="23"/>
      <c r="U5118" s="23">
        <f t="shared" si="1857"/>
        <v>8.7715255104057217</v>
      </c>
      <c r="V5118" s="23">
        <f t="shared" si="1858"/>
        <v>8.5259886069775366</v>
      </c>
      <c r="W5118" s="23">
        <f t="shared" si="1859"/>
        <v>6.6887947125625384</v>
      </c>
      <c r="X5118" s="23"/>
    </row>
    <row r="5119" spans="1:29" s="774" customFormat="1" x14ac:dyDescent="0.25">
      <c r="A5119" s="644" t="s">
        <v>6590</v>
      </c>
      <c r="B5119" s="645" t="s">
        <v>5435</v>
      </c>
      <c r="C5119" s="643" t="str">
        <f t="shared" si="1853"/>
        <v>Inbetriebnahme 04/2020</v>
      </c>
      <c r="D5119" s="643" t="str">
        <f t="shared" si="1865"/>
        <v>0 - 10 kW</v>
      </c>
      <c r="E5119" s="645"/>
      <c r="F5119" s="657">
        <f t="shared" si="1854"/>
        <v>9.44</v>
      </c>
      <c r="G5119" s="657">
        <f t="shared" si="1855"/>
        <v>9.84</v>
      </c>
      <c r="H5119" s="656">
        <f t="shared" si="1856"/>
        <v>7.87</v>
      </c>
      <c r="I5119" s="656">
        <f t="shared" si="1860"/>
        <v>0.94</v>
      </c>
      <c r="J5119" s="669">
        <v>43873</v>
      </c>
      <c r="K5119" s="769"/>
      <c r="N5119" s="333" t="str">
        <f t="shared" si="1861"/>
        <v>Okt20</v>
      </c>
      <c r="O5119" s="568">
        <v>1.4E-2</v>
      </c>
      <c r="P5119" s="23">
        <f t="shared" si="1862"/>
        <v>9.0431241532600417</v>
      </c>
      <c r="Q5119" s="23">
        <f t="shared" si="1863"/>
        <v>8.801024766479852</v>
      </c>
      <c r="R5119" s="23">
        <f t="shared" si="1864"/>
        <v>6.9895515865866633</v>
      </c>
      <c r="S5119" s="23"/>
      <c r="T5119" s="23"/>
      <c r="U5119" s="23">
        <f t="shared" si="1857"/>
        <v>8.6431241532600414</v>
      </c>
      <c r="V5119" s="23">
        <f t="shared" si="1858"/>
        <v>8.4010247664798516</v>
      </c>
      <c r="W5119" s="23">
        <f t="shared" si="1859"/>
        <v>6.589551586586663</v>
      </c>
      <c r="X5119" s="23"/>
    </row>
    <row r="5120" spans="1:29" s="774" customFormat="1" x14ac:dyDescent="0.25">
      <c r="A5120" s="644" t="str">
        <f>"SgK4821--"&amp;RIGHT(A5119,5)</f>
        <v>SgK4821--Apr20</v>
      </c>
      <c r="B5120" s="645" t="s">
        <v>5435</v>
      </c>
      <c r="C5120" s="643" t="str">
        <f t="shared" si="1853"/>
        <v>Inbetriebnahme 04/2020</v>
      </c>
      <c r="D5120" s="643" t="str">
        <f t="shared" si="1865"/>
        <v>10 - 40 kW</v>
      </c>
      <c r="E5120" s="645"/>
      <c r="F5120" s="657">
        <f t="shared" si="1854"/>
        <v>9.18</v>
      </c>
      <c r="G5120" s="657">
        <f t="shared" si="1855"/>
        <v>9.58</v>
      </c>
      <c r="H5120" s="656">
        <f t="shared" si="1856"/>
        <v>7.66</v>
      </c>
      <c r="I5120" s="656">
        <f t="shared" si="1860"/>
        <v>0.68</v>
      </c>
      <c r="J5120" s="669">
        <v>43873</v>
      </c>
      <c r="K5120" s="769"/>
      <c r="N5120" s="333" t="str">
        <f t="shared" si="1861"/>
        <v>Nov20</v>
      </c>
      <c r="O5120" s="568">
        <v>1.7999999999999999E-2</v>
      </c>
      <c r="P5120" s="23">
        <f t="shared" si="1862"/>
        <v>8.8803479185013607</v>
      </c>
      <c r="Q5120" s="23">
        <f t="shared" si="1863"/>
        <v>8.642606320683214</v>
      </c>
      <c r="R5120" s="23">
        <f t="shared" si="1864"/>
        <v>6.8637396580281029</v>
      </c>
      <c r="S5120" s="23"/>
      <c r="T5120" s="23"/>
      <c r="U5120" s="23">
        <f t="shared" si="1857"/>
        <v>8.4803479185013604</v>
      </c>
      <c r="V5120" s="23">
        <f t="shared" si="1858"/>
        <v>8.2426063206832136</v>
      </c>
      <c r="W5120" s="23">
        <f t="shared" si="1859"/>
        <v>6.4637396580281026</v>
      </c>
      <c r="X5120" s="23"/>
    </row>
    <row r="5121" spans="1:27" s="774" customFormat="1" x14ac:dyDescent="0.25">
      <c r="A5121" s="644" t="str">
        <f>"SgK4822--"&amp;RIGHT(A5120,5)</f>
        <v>SgK4822--Apr20</v>
      </c>
      <c r="B5121" s="645" t="s">
        <v>5435</v>
      </c>
      <c r="C5121" s="643" t="str">
        <f t="shared" si="1853"/>
        <v>Inbetriebnahme 04/2020</v>
      </c>
      <c r="D5121" s="643" t="str">
        <f t="shared" si="1865"/>
        <v>40 - 750 kW</v>
      </c>
      <c r="E5121" s="645"/>
      <c r="F5121" s="657">
        <f t="shared" si="1854"/>
        <v>7.21</v>
      </c>
      <c r="G5121" s="657">
        <f t="shared" si="1855"/>
        <v>7.61</v>
      </c>
      <c r="H5121" s="656">
        <f t="shared" si="1856"/>
        <v>6.09</v>
      </c>
      <c r="I5121" s="656">
        <f t="shared" si="1860"/>
        <v>-0.79</v>
      </c>
      <c r="J5121" s="669">
        <v>43873</v>
      </c>
      <c r="K5121" s="23"/>
      <c r="L5121" s="12"/>
      <c r="N5121" s="333" t="str">
        <f t="shared" si="1861"/>
        <v>Dez20</v>
      </c>
      <c r="O5121" s="568">
        <v>1.7999999999999999E-2</v>
      </c>
      <c r="P5121" s="23">
        <f t="shared" si="1862"/>
        <v>8.7205016559683362</v>
      </c>
      <c r="Q5121" s="23">
        <f t="shared" si="1863"/>
        <v>8.4870394069109167</v>
      </c>
      <c r="R5121" s="23">
        <f t="shared" si="1864"/>
        <v>6.7401923441835967</v>
      </c>
      <c r="S5121" s="23"/>
      <c r="T5121" s="23"/>
      <c r="U5121" s="23">
        <f t="shared" si="1857"/>
        <v>8.3205016559683358</v>
      </c>
      <c r="V5121" s="23">
        <f t="shared" si="1858"/>
        <v>8.0870394069109164</v>
      </c>
      <c r="W5121" s="23">
        <f t="shared" si="1859"/>
        <v>6.3401923441835963</v>
      </c>
      <c r="X5121" s="23"/>
    </row>
    <row r="5122" spans="1:27" s="774" customFormat="1" x14ac:dyDescent="0.25">
      <c r="A5122" s="644" t="s">
        <v>6591</v>
      </c>
      <c r="B5122" s="645" t="s">
        <v>5435</v>
      </c>
      <c r="C5122" s="643" t="str">
        <f t="shared" si="1853"/>
        <v>Inbetriebnahme 05/2020</v>
      </c>
      <c r="D5122" s="643" t="str">
        <f t="shared" si="1865"/>
        <v>0 - 10 kW</v>
      </c>
      <c r="E5122" s="645"/>
      <c r="F5122" s="657">
        <f t="shared" si="1854"/>
        <v>9.3000000000000007</v>
      </c>
      <c r="G5122" s="657">
        <f t="shared" si="1855"/>
        <v>9.6999999999999993</v>
      </c>
      <c r="H5122" s="656">
        <f t="shared" si="1856"/>
        <v>7.76</v>
      </c>
      <c r="I5122" s="656">
        <f t="shared" si="1860"/>
        <v>0.8</v>
      </c>
      <c r="J5122" s="669">
        <v>43951</v>
      </c>
      <c r="K5122" s="23"/>
      <c r="L5122" s="12"/>
      <c r="M5122" s="413"/>
      <c r="N5122" s="281"/>
      <c r="O5122" s="680"/>
      <c r="P5122" s="326"/>
      <c r="Q5122" s="327"/>
      <c r="R5122" s="327"/>
      <c r="S5122" s="327"/>
      <c r="T5122" s="327"/>
      <c r="U5122" s="12"/>
      <c r="V5122" s="12"/>
      <c r="W5122" s="12"/>
      <c r="X5122" s="12"/>
      <c r="Y5122" s="12"/>
      <c r="Z5122" s="12"/>
      <c r="AA5122" s="12"/>
    </row>
    <row r="5123" spans="1:27" s="774" customFormat="1" x14ac:dyDescent="0.25">
      <c r="A5123" s="644" t="str">
        <f>"SgK4821--"&amp;RIGHT(A5122,5)</f>
        <v>SgK4821--Mai20</v>
      </c>
      <c r="B5123" s="645" t="s">
        <v>5435</v>
      </c>
      <c r="C5123" s="643" t="str">
        <f t="shared" si="1853"/>
        <v>Inbetriebnahme 05/2020</v>
      </c>
      <c r="D5123" s="643" t="str">
        <f t="shared" si="1865"/>
        <v>10 - 40 kW</v>
      </c>
      <c r="E5123" s="645"/>
      <c r="F5123" s="657">
        <f t="shared" si="1854"/>
        <v>9.0399999999999991</v>
      </c>
      <c r="G5123" s="657">
        <f t="shared" si="1855"/>
        <v>9.44</v>
      </c>
      <c r="H5123" s="656">
        <f t="shared" si="1856"/>
        <v>7.55</v>
      </c>
      <c r="I5123" s="656">
        <f t="shared" si="1860"/>
        <v>0.54</v>
      </c>
      <c r="J5123" s="669">
        <v>43951</v>
      </c>
      <c r="K5123" s="23"/>
      <c r="L5123" s="12"/>
      <c r="M5123" s="413"/>
      <c r="N5123" s="281"/>
      <c r="O5123" s="680"/>
      <c r="P5123" s="326"/>
      <c r="Q5123" s="327"/>
      <c r="R5123" s="327"/>
      <c r="S5123" s="327"/>
      <c r="T5123" s="327"/>
      <c r="U5123" s="12"/>
      <c r="V5123" s="12"/>
      <c r="W5123" s="12"/>
      <c r="X5123" s="12"/>
      <c r="Y5123" s="12"/>
      <c r="Z5123" s="12"/>
      <c r="AA5123" s="12"/>
    </row>
    <row r="5124" spans="1:27" s="774" customFormat="1" x14ac:dyDescent="0.25">
      <c r="A5124" s="644" t="str">
        <f>"SgK4822--"&amp;RIGHT(A5123,5)</f>
        <v>SgK4822--Mai20</v>
      </c>
      <c r="B5124" s="645" t="s">
        <v>5435</v>
      </c>
      <c r="C5124" s="643" t="str">
        <f t="shared" si="1853"/>
        <v>Inbetriebnahme 05/2020</v>
      </c>
      <c r="D5124" s="643" t="str">
        <f t="shared" si="1865"/>
        <v>40 - 750 kW</v>
      </c>
      <c r="E5124" s="645"/>
      <c r="F5124" s="657">
        <f t="shared" si="1854"/>
        <v>7.1</v>
      </c>
      <c r="G5124" s="657">
        <f t="shared" si="1855"/>
        <v>7.5</v>
      </c>
      <c r="H5124" s="656">
        <f t="shared" si="1856"/>
        <v>6</v>
      </c>
      <c r="I5124" s="656">
        <f t="shared" si="1860"/>
        <v>-0.9</v>
      </c>
      <c r="J5124" s="669">
        <v>43951</v>
      </c>
      <c r="K5124" s="23"/>
      <c r="L5124" s="129"/>
      <c r="M5124" s="413"/>
      <c r="N5124" s="281"/>
      <c r="O5124" s="680"/>
      <c r="P5124" s="326"/>
      <c r="Q5124" s="327"/>
      <c r="R5124" s="327"/>
      <c r="S5124" s="327"/>
      <c r="T5124" s="327"/>
      <c r="U5124" s="12"/>
      <c r="V5124" s="12"/>
      <c r="W5124" s="12"/>
      <c r="X5124" s="12"/>
      <c r="Y5124" s="12"/>
      <c r="Z5124" s="12"/>
      <c r="AA5124" s="12"/>
    </row>
    <row r="5125" spans="1:27" s="774" customFormat="1" x14ac:dyDescent="0.25">
      <c r="A5125" s="644" t="s">
        <v>6592</v>
      </c>
      <c r="B5125" s="645" t="s">
        <v>5435</v>
      </c>
      <c r="C5125" s="643" t="str">
        <f t="shared" si="1853"/>
        <v>Inbetriebnahme 06/2020</v>
      </c>
      <c r="D5125" s="643" t="str">
        <f t="shared" si="1865"/>
        <v>0 - 10 kW</v>
      </c>
      <c r="E5125" s="645"/>
      <c r="F5125" s="657">
        <f t="shared" si="1854"/>
        <v>9.17</v>
      </c>
      <c r="G5125" s="657">
        <f t="shared" si="1855"/>
        <v>9.57</v>
      </c>
      <c r="H5125" s="656">
        <f t="shared" si="1856"/>
        <v>7.66</v>
      </c>
      <c r="I5125" s="656">
        <f t="shared" si="1860"/>
        <v>0.67</v>
      </c>
      <c r="J5125" s="669">
        <v>43951</v>
      </c>
      <c r="K5125" s="23"/>
      <c r="L5125" s="173"/>
      <c r="M5125" s="413"/>
      <c r="N5125" s="281"/>
      <c r="O5125" s="680"/>
      <c r="P5125" s="326"/>
      <c r="Q5125" s="327"/>
      <c r="R5125" s="327"/>
      <c r="S5125" s="327"/>
      <c r="T5125" s="327"/>
      <c r="U5125" s="12"/>
      <c r="V5125" s="12"/>
      <c r="W5125" s="12"/>
      <c r="X5125" s="12"/>
      <c r="Y5125" s="12"/>
      <c r="Z5125" s="12"/>
      <c r="AA5125" s="12"/>
    </row>
    <row r="5126" spans="1:27" s="774" customFormat="1" x14ac:dyDescent="0.25">
      <c r="A5126" s="644" t="str">
        <f>"SgK4821--"&amp;RIGHT(A5125,5)</f>
        <v>SgK4821--Jun20</v>
      </c>
      <c r="B5126" s="645" t="s">
        <v>5435</v>
      </c>
      <c r="C5126" s="643" t="str">
        <f t="shared" si="1853"/>
        <v>Inbetriebnahme 06/2020</v>
      </c>
      <c r="D5126" s="643" t="str">
        <f t="shared" si="1865"/>
        <v>10 - 40 kW</v>
      </c>
      <c r="E5126" s="645"/>
      <c r="F5126" s="657">
        <f t="shared" si="1854"/>
        <v>8.91</v>
      </c>
      <c r="G5126" s="657">
        <f t="shared" si="1855"/>
        <v>9.31</v>
      </c>
      <c r="H5126" s="656">
        <f t="shared" si="1856"/>
        <v>7.45</v>
      </c>
      <c r="I5126" s="656">
        <f t="shared" si="1860"/>
        <v>0.41</v>
      </c>
      <c r="J5126" s="669">
        <v>43951</v>
      </c>
      <c r="K5126" s="23"/>
      <c r="L5126" s="173"/>
      <c r="M5126" s="413"/>
      <c r="N5126" s="281"/>
      <c r="O5126" s="680"/>
      <c r="P5126" s="326"/>
      <c r="Q5126" s="327"/>
      <c r="R5126" s="327"/>
      <c r="S5126" s="327"/>
      <c r="T5126" s="327"/>
      <c r="U5126" s="12"/>
      <c r="V5126" s="12"/>
      <c r="W5126" s="12"/>
      <c r="X5126" s="12"/>
      <c r="Y5126" s="12"/>
      <c r="Z5126" s="12"/>
      <c r="AA5126" s="12"/>
    </row>
    <row r="5127" spans="1:27" s="774" customFormat="1" x14ac:dyDescent="0.25">
      <c r="A5127" s="644" t="str">
        <f>"SgK4822--"&amp;RIGHT(A5126,5)</f>
        <v>SgK4822--Jun20</v>
      </c>
      <c r="B5127" s="645" t="s">
        <v>5435</v>
      </c>
      <c r="C5127" s="643" t="str">
        <f t="shared" si="1853"/>
        <v>Inbetriebnahme 06/2020</v>
      </c>
      <c r="D5127" s="643" t="str">
        <f t="shared" si="1865"/>
        <v>40 - 750 kW</v>
      </c>
      <c r="E5127" s="645"/>
      <c r="F5127" s="657">
        <f t="shared" si="1854"/>
        <v>7</v>
      </c>
      <c r="G5127" s="657">
        <f t="shared" si="1855"/>
        <v>7.4</v>
      </c>
      <c r="H5127" s="656">
        <f t="shared" si="1856"/>
        <v>5.92</v>
      </c>
      <c r="I5127" s="656">
        <f t="shared" si="1860"/>
        <v>-1</v>
      </c>
      <c r="J5127" s="669">
        <v>43951</v>
      </c>
      <c r="K5127" s="23"/>
      <c r="L5127" s="173"/>
      <c r="M5127" s="413"/>
      <c r="N5127" s="281"/>
      <c r="O5127" s="680"/>
      <c r="P5127" s="344"/>
      <c r="Q5127" s="327"/>
      <c r="R5127" s="327"/>
      <c r="S5127" s="327"/>
      <c r="T5127" s="327"/>
      <c r="U5127" s="12"/>
      <c r="V5127" s="12"/>
      <c r="W5127" s="12"/>
      <c r="X5127" s="12"/>
      <c r="Y5127" s="12"/>
      <c r="Z5127" s="12"/>
      <c r="AA5127" s="12"/>
    </row>
    <row r="5128" spans="1:27" s="774" customFormat="1" x14ac:dyDescent="0.25">
      <c r="A5128" s="644" t="s">
        <v>6593</v>
      </c>
      <c r="B5128" s="645" t="s">
        <v>5435</v>
      </c>
      <c r="C5128" s="643" t="str">
        <f t="shared" si="1853"/>
        <v>Inbetriebnahme 07/2020</v>
      </c>
      <c r="D5128" s="643" t="str">
        <f t="shared" si="1865"/>
        <v>0 - 10 kW</v>
      </c>
      <c r="E5128" s="645"/>
      <c r="F5128" s="657">
        <f t="shared" si="1854"/>
        <v>9.0299999999999994</v>
      </c>
      <c r="G5128" s="657">
        <f t="shared" si="1855"/>
        <v>9.43</v>
      </c>
      <c r="H5128" s="656">
        <f t="shared" si="1856"/>
        <v>7.54</v>
      </c>
      <c r="I5128" s="656">
        <f t="shared" si="1860"/>
        <v>0.53</v>
      </c>
      <c r="J5128" s="669">
        <v>43951</v>
      </c>
      <c r="K5128" s="23"/>
      <c r="L5128" s="173"/>
      <c r="M5128" s="413"/>
      <c r="N5128" s="281"/>
      <c r="O5128" s="682"/>
      <c r="P5128" s="12"/>
      <c r="Q5128" s="12"/>
      <c r="R5128" s="12"/>
      <c r="S5128" s="12"/>
      <c r="T5128" s="12"/>
      <c r="U5128" s="12"/>
      <c r="V5128" s="12"/>
      <c r="W5128" s="12"/>
      <c r="X5128" s="12"/>
      <c r="Y5128" s="12"/>
      <c r="Z5128" s="12"/>
      <c r="AA5128" s="12"/>
    </row>
    <row r="5129" spans="1:27" s="774" customFormat="1" x14ac:dyDescent="0.25">
      <c r="A5129" s="644" t="str">
        <f>"SgK4821--"&amp;RIGHT(A5128,5)</f>
        <v>SgK4821--Jul20</v>
      </c>
      <c r="B5129" s="645" t="s">
        <v>5435</v>
      </c>
      <c r="C5129" s="643" t="str">
        <f t="shared" si="1853"/>
        <v>Inbetriebnahme 07/2020</v>
      </c>
      <c r="D5129" s="643" t="str">
        <f t="shared" si="1865"/>
        <v>10 - 40 kW</v>
      </c>
      <c r="E5129" s="645"/>
      <c r="F5129" s="657">
        <f t="shared" si="1854"/>
        <v>8.7799999999999994</v>
      </c>
      <c r="G5129" s="657">
        <f t="shared" si="1855"/>
        <v>9.18</v>
      </c>
      <c r="H5129" s="656">
        <f t="shared" si="1856"/>
        <v>7.34</v>
      </c>
      <c r="I5129" s="656">
        <f t="shared" si="1860"/>
        <v>0.28000000000000003</v>
      </c>
      <c r="J5129" s="669">
        <v>43951</v>
      </c>
      <c r="K5129" s="23"/>
      <c r="L5129" s="173"/>
      <c r="M5129" s="413"/>
      <c r="N5129" s="12"/>
      <c r="O5129" s="682"/>
      <c r="P5129" s="12"/>
      <c r="Q5129" s="12"/>
      <c r="R5129" s="12"/>
      <c r="S5129" s="12"/>
      <c r="T5129" s="12"/>
      <c r="U5129" s="12"/>
      <c r="V5129" s="12"/>
      <c r="W5129" s="12"/>
      <c r="X5129" s="12"/>
      <c r="Y5129" s="12"/>
      <c r="Z5129" s="12"/>
      <c r="AA5129" s="12"/>
    </row>
    <row r="5130" spans="1:27" s="774" customFormat="1" x14ac:dyDescent="0.25">
      <c r="A5130" s="644" t="str">
        <f>"SgK4822--"&amp;RIGHT(A5129,5)</f>
        <v>SgK4822--Jul20</v>
      </c>
      <c r="B5130" s="645" t="s">
        <v>5435</v>
      </c>
      <c r="C5130" s="643" t="str">
        <f t="shared" si="1853"/>
        <v>Inbetriebnahme 07/2020</v>
      </c>
      <c r="D5130" s="643" t="str">
        <f t="shared" si="1865"/>
        <v>40 - 750 kW</v>
      </c>
      <c r="E5130" s="645"/>
      <c r="F5130" s="657">
        <f t="shared" si="1854"/>
        <v>6.89</v>
      </c>
      <c r="G5130" s="657">
        <f t="shared" si="1855"/>
        <v>7.29</v>
      </c>
      <c r="H5130" s="656">
        <f t="shared" si="1856"/>
        <v>5.83</v>
      </c>
      <c r="I5130" s="656">
        <f t="shared" si="1860"/>
        <v>-1.1100000000000001</v>
      </c>
      <c r="J5130" s="669">
        <v>43951</v>
      </c>
      <c r="K5130" s="769"/>
      <c r="L5130" s="173"/>
      <c r="M5130" s="413"/>
      <c r="N5130" s="12"/>
      <c r="O5130" s="682"/>
      <c r="P5130" s="12"/>
      <c r="Q5130" s="12"/>
      <c r="R5130" s="12"/>
      <c r="S5130" s="12"/>
      <c r="T5130" s="12"/>
      <c r="U5130" s="12"/>
      <c r="V5130" s="12"/>
      <c r="W5130" s="12"/>
      <c r="X5130" s="12"/>
      <c r="Y5130" s="12"/>
      <c r="Z5130" s="12"/>
      <c r="AA5130" s="12"/>
    </row>
    <row r="5131" spans="1:27" s="774" customFormat="1" x14ac:dyDescent="0.25">
      <c r="A5131" s="644" t="s">
        <v>6594</v>
      </c>
      <c r="B5131" s="645" t="s">
        <v>5435</v>
      </c>
      <c r="C5131" s="643" t="str">
        <f t="shared" si="1853"/>
        <v>Inbetriebnahme 08/2020</v>
      </c>
      <c r="D5131" s="643" t="str">
        <f t="shared" si="1865"/>
        <v>0 - 10 kW</v>
      </c>
      <c r="E5131" s="645"/>
      <c r="F5131" s="657">
        <f t="shared" si="1854"/>
        <v>8.9</v>
      </c>
      <c r="G5131" s="657">
        <f t="shared" si="1855"/>
        <v>9.3000000000000007</v>
      </c>
      <c r="H5131" s="656">
        <f t="shared" si="1856"/>
        <v>7.44</v>
      </c>
      <c r="I5131" s="656">
        <f t="shared" si="1860"/>
        <v>0.4</v>
      </c>
      <c r="J5131" s="669">
        <v>44064</v>
      </c>
      <c r="K5131" s="769"/>
      <c r="L5131" s="173"/>
      <c r="M5131" s="413"/>
      <c r="O5131" s="325"/>
      <c r="P5131" s="12"/>
      <c r="Q5131" s="12"/>
      <c r="R5131" s="12"/>
      <c r="S5131" s="12"/>
      <c r="T5131" s="12"/>
    </row>
    <row r="5132" spans="1:27" s="774" customFormat="1" x14ac:dyDescent="0.25">
      <c r="A5132" s="644" t="str">
        <f>"SgK4821--"&amp;RIGHT(A5131,5)</f>
        <v>SgK4821--Aug20</v>
      </c>
      <c r="B5132" s="645" t="s">
        <v>5435</v>
      </c>
      <c r="C5132" s="643" t="str">
        <f t="shared" si="1853"/>
        <v>Inbetriebnahme 08/2020</v>
      </c>
      <c r="D5132" s="643" t="str">
        <f t="shared" si="1865"/>
        <v>10 - 40 kW</v>
      </c>
      <c r="E5132" s="645"/>
      <c r="F5132" s="657">
        <f t="shared" si="1854"/>
        <v>8.65</v>
      </c>
      <c r="G5132" s="657">
        <f t="shared" si="1855"/>
        <v>9.0500000000000007</v>
      </c>
      <c r="H5132" s="656">
        <f t="shared" si="1856"/>
        <v>7.24</v>
      </c>
      <c r="I5132" s="656">
        <f t="shared" si="1860"/>
        <v>0.15</v>
      </c>
      <c r="J5132" s="669">
        <v>44064</v>
      </c>
      <c r="K5132" s="769"/>
      <c r="L5132" s="173"/>
      <c r="M5132" s="413"/>
      <c r="O5132" s="325"/>
      <c r="P5132" s="12"/>
      <c r="Q5132" s="12"/>
      <c r="R5132" s="12"/>
      <c r="S5132" s="12"/>
      <c r="T5132" s="12"/>
    </row>
    <row r="5133" spans="1:27" s="774" customFormat="1" x14ac:dyDescent="0.25">
      <c r="A5133" s="644" t="str">
        <f>"SgK4822--"&amp;RIGHT(A5132,5)</f>
        <v>SgK4822--Aug20</v>
      </c>
      <c r="B5133" s="645" t="s">
        <v>5435</v>
      </c>
      <c r="C5133" s="643" t="str">
        <f t="shared" si="1853"/>
        <v>Inbetriebnahme 08/2020</v>
      </c>
      <c r="D5133" s="643" t="str">
        <f t="shared" si="1865"/>
        <v>40 - 750 kW</v>
      </c>
      <c r="E5133" s="645"/>
      <c r="F5133" s="657">
        <f t="shared" si="1854"/>
        <v>6.79</v>
      </c>
      <c r="G5133" s="657">
        <f t="shared" si="1855"/>
        <v>7.19</v>
      </c>
      <c r="H5133" s="656">
        <f t="shared" si="1856"/>
        <v>5.75</v>
      </c>
      <c r="I5133" s="656">
        <f t="shared" si="1860"/>
        <v>-1.21</v>
      </c>
      <c r="J5133" s="669">
        <v>44064</v>
      </c>
      <c r="M5133" s="413"/>
      <c r="O5133" s="325"/>
      <c r="P5133" s="12"/>
      <c r="Q5133" s="12"/>
      <c r="R5133" s="12"/>
      <c r="S5133" s="12"/>
      <c r="T5133" s="12"/>
    </row>
    <row r="5134" spans="1:27" s="774" customFormat="1" x14ac:dyDescent="0.25">
      <c r="A5134" s="644" t="s">
        <v>6595</v>
      </c>
      <c r="B5134" s="645" t="s">
        <v>5435</v>
      </c>
      <c r="C5134" s="643" t="str">
        <f t="shared" si="1853"/>
        <v>Inbetriebnahme 09/2020</v>
      </c>
      <c r="D5134" s="643" t="str">
        <f t="shared" si="1865"/>
        <v>0 - 10 kW</v>
      </c>
      <c r="E5134" s="645"/>
      <c r="F5134" s="657">
        <f t="shared" si="1854"/>
        <v>8.77</v>
      </c>
      <c r="G5134" s="657">
        <f t="shared" si="1855"/>
        <v>9.17</v>
      </c>
      <c r="H5134" s="656">
        <f t="shared" si="1856"/>
        <v>7.34</v>
      </c>
      <c r="I5134" s="656">
        <f t="shared" si="1860"/>
        <v>0.27</v>
      </c>
      <c r="J5134" s="669">
        <v>44064</v>
      </c>
    </row>
    <row r="5135" spans="1:27" s="774" customFormat="1" x14ac:dyDescent="0.25">
      <c r="A5135" s="644" t="str">
        <f>"SgK4821--"&amp;RIGHT(A5134,5)</f>
        <v>SgK4821--Sep20</v>
      </c>
      <c r="B5135" s="645" t="s">
        <v>5435</v>
      </c>
      <c r="C5135" s="643" t="str">
        <f t="shared" si="1853"/>
        <v>Inbetriebnahme 09/2020</v>
      </c>
      <c r="D5135" s="643" t="str">
        <f t="shared" si="1865"/>
        <v>10 - 40 kW</v>
      </c>
      <c r="E5135" s="645"/>
      <c r="F5135" s="657">
        <f t="shared" si="1854"/>
        <v>8.5299999999999994</v>
      </c>
      <c r="G5135" s="657">
        <f t="shared" si="1855"/>
        <v>8.93</v>
      </c>
      <c r="H5135" s="656">
        <f t="shared" si="1856"/>
        <v>7.14</v>
      </c>
      <c r="I5135" s="656">
        <f t="shared" si="1860"/>
        <v>0.03</v>
      </c>
      <c r="J5135" s="669">
        <v>44064</v>
      </c>
    </row>
    <row r="5136" spans="1:27" s="774" customFormat="1" x14ac:dyDescent="0.25">
      <c r="A5136" s="644" t="str">
        <f>"SgK4822--"&amp;RIGHT(A5135,5)</f>
        <v>SgK4822--Sep20</v>
      </c>
      <c r="B5136" s="645" t="s">
        <v>5435</v>
      </c>
      <c r="C5136" s="643" t="str">
        <f t="shared" si="1853"/>
        <v>Inbetriebnahme 09/2020</v>
      </c>
      <c r="D5136" s="643" t="str">
        <f t="shared" si="1865"/>
        <v>40 - 750 kW</v>
      </c>
      <c r="E5136" s="645"/>
      <c r="F5136" s="657">
        <f t="shared" si="1854"/>
        <v>6.69</v>
      </c>
      <c r="G5136" s="657">
        <f t="shared" si="1855"/>
        <v>7.09</v>
      </c>
      <c r="H5136" s="656">
        <f t="shared" si="1856"/>
        <v>5.67</v>
      </c>
      <c r="I5136" s="656">
        <f t="shared" si="1860"/>
        <v>-1.31</v>
      </c>
      <c r="J5136" s="669">
        <v>44064</v>
      </c>
    </row>
    <row r="5137" spans="1:28" s="774" customFormat="1" x14ac:dyDescent="0.25">
      <c r="A5137" s="644" t="s">
        <v>6596</v>
      </c>
      <c r="B5137" s="645" t="s">
        <v>5435</v>
      </c>
      <c r="C5137" s="643" t="str">
        <f t="shared" si="1853"/>
        <v>Inbetriebnahme 10/2020</v>
      </c>
      <c r="D5137" s="643" t="str">
        <f t="shared" si="1865"/>
        <v>0 - 10 kW</v>
      </c>
      <c r="E5137" s="645"/>
      <c r="F5137" s="657">
        <f t="shared" si="1854"/>
        <v>8.64</v>
      </c>
      <c r="G5137" s="657">
        <f t="shared" si="1855"/>
        <v>9.0399999999999991</v>
      </c>
      <c r="H5137" s="656">
        <f t="shared" si="1856"/>
        <v>7.23</v>
      </c>
      <c r="I5137" s="656">
        <f t="shared" si="1860"/>
        <v>0.14000000000000001</v>
      </c>
      <c r="J5137" s="669">
        <v>44064</v>
      </c>
      <c r="O5137" s="395"/>
      <c r="P5137" s="327" t="str">
        <f>IF($O5137&lt;&gt;"",(1-$O5137)*P5121,"")</f>
        <v/>
      </c>
      <c r="Q5137" s="327" t="str">
        <f>IF($O5137&lt;&gt;"",(1-$O5137)*Q5121,"")</f>
        <v/>
      </c>
      <c r="R5137" s="327" t="str">
        <f>IF($O5137&lt;&gt;"",(1-$O5137)*R5121,"")</f>
        <v/>
      </c>
      <c r="S5137" s="327" t="str">
        <f>IF($O5137&lt;&gt;"",(1-$O5137)*S5121,"")</f>
        <v/>
      </c>
      <c r="U5137" s="327" t="str">
        <f>IF($O5137&lt;&gt;"",(1-$O5137)*U5121,"")</f>
        <v/>
      </c>
      <c r="V5137" s="327" t="str">
        <f>IF($O5137&lt;&gt;"",(1-$O5137)*V5121,"")</f>
        <v/>
      </c>
      <c r="W5137" s="327" t="str">
        <f>IF($O5137&lt;&gt;"",(1-$O5137)*W5121,"")</f>
        <v/>
      </c>
      <c r="X5137" s="327" t="str">
        <f>IF($O5137&lt;&gt;"",(1-$O5137)*X5121,"")</f>
        <v/>
      </c>
    </row>
    <row r="5138" spans="1:28" s="774" customFormat="1" x14ac:dyDescent="0.25">
      <c r="A5138" s="644" t="str">
        <f>"SgK4821--"&amp;RIGHT(A5137,5)</f>
        <v>SgK4821--Okt20</v>
      </c>
      <c r="B5138" s="645" t="s">
        <v>5435</v>
      </c>
      <c r="C5138" s="643" t="str">
        <f t="shared" si="1853"/>
        <v>Inbetriebnahme 10/2020</v>
      </c>
      <c r="D5138" s="643" t="str">
        <f t="shared" si="1865"/>
        <v>10 - 40 kW</v>
      </c>
      <c r="E5138" s="645"/>
      <c r="F5138" s="657">
        <f t="shared" si="1854"/>
        <v>8.4</v>
      </c>
      <c r="G5138" s="657">
        <f t="shared" si="1855"/>
        <v>8.8000000000000007</v>
      </c>
      <c r="H5138" s="656">
        <f t="shared" si="1856"/>
        <v>7.04</v>
      </c>
      <c r="I5138" s="656">
        <f t="shared" si="1860"/>
        <v>-0.1</v>
      </c>
      <c r="J5138" s="669">
        <v>44064</v>
      </c>
      <c r="O5138" s="395"/>
      <c r="P5138" s="327" t="str">
        <f>IF($O5138&lt;&gt;"",(1-$O5138)*P5121,"")</f>
        <v/>
      </c>
      <c r="Q5138" s="327" t="str">
        <f>IF($O5138&lt;&gt;"",(1-$O5138)*Q5121,"")</f>
        <v/>
      </c>
      <c r="R5138" s="327" t="str">
        <f>IF($O5138&lt;&gt;"",(1-$O5138)*R5121,"")</f>
        <v/>
      </c>
      <c r="S5138" s="327" t="str">
        <f>IF($O5138&lt;&gt;"",(1-$O5138)*S5121,"")</f>
        <v/>
      </c>
      <c r="U5138" s="327" t="str">
        <f>IF($O5138&lt;&gt;"",(1-$O5138)*U5121,"")</f>
        <v/>
      </c>
      <c r="V5138" s="327" t="str">
        <f>IF($O5138&lt;&gt;"",(1-$O5138)*V5121,"")</f>
        <v/>
      </c>
      <c r="W5138" s="327" t="str">
        <f>IF($O5138&lt;&gt;"",(1-$O5138)*W5121,"")</f>
        <v/>
      </c>
      <c r="X5138" s="327" t="str">
        <f>IF($O5138&lt;&gt;"",(1-$O5138)*X5121,"")</f>
        <v/>
      </c>
    </row>
    <row r="5139" spans="1:28" s="774" customFormat="1" x14ac:dyDescent="0.25">
      <c r="A5139" s="644" t="str">
        <f>"SgK4822--"&amp;RIGHT(A5138,5)</f>
        <v>SgK4822--Okt20</v>
      </c>
      <c r="B5139" s="645" t="s">
        <v>5435</v>
      </c>
      <c r="C5139" s="643" t="str">
        <f t="shared" si="1853"/>
        <v>Inbetriebnahme 10/2020</v>
      </c>
      <c r="D5139" s="643" t="str">
        <f t="shared" si="1865"/>
        <v>40 - 750 kW</v>
      </c>
      <c r="E5139" s="645"/>
      <c r="F5139" s="657">
        <f t="shared" si="1854"/>
        <v>6.59</v>
      </c>
      <c r="G5139" s="657">
        <f t="shared" si="1855"/>
        <v>6.99</v>
      </c>
      <c r="H5139" s="656">
        <f t="shared" si="1856"/>
        <v>5.59</v>
      </c>
      <c r="I5139" s="656">
        <f t="shared" si="1860"/>
        <v>-1.41</v>
      </c>
      <c r="J5139" s="669">
        <v>44064</v>
      </c>
      <c r="O5139" s="395"/>
      <c r="P5139" s="327" t="str">
        <f>IF($O5139&lt;&gt;"",(1-$O5139)*P5137,"")</f>
        <v/>
      </c>
      <c r="Q5139" s="327" t="str">
        <f>IF($O5139&lt;&gt;"",(1-$O5139)*Q5137,"")</f>
        <v/>
      </c>
      <c r="R5139" s="327" t="str">
        <f>IF($O5139&lt;&gt;"",(1-$O5139)*R5137,"")</f>
        <v/>
      </c>
      <c r="S5139" s="327" t="str">
        <f>IF($O5139&lt;&gt;"",(1-$O5139)*S5137,"")</f>
        <v/>
      </c>
      <c r="U5139" s="327" t="str">
        <f>IF($O5139&lt;&gt;"",(1-$O5139)*U5137,"")</f>
        <v/>
      </c>
      <c r="V5139" s="327" t="str">
        <f>IF($O5139&lt;&gt;"",(1-$O5139)*V5137,"")</f>
        <v/>
      </c>
      <c r="W5139" s="327" t="str">
        <f>IF($O5139&lt;&gt;"",(1-$O5139)*W5137,"")</f>
        <v/>
      </c>
      <c r="X5139" s="327" t="str">
        <f>IF($O5139&lt;&gt;"",(1-$O5139)*X5137,"")</f>
        <v/>
      </c>
    </row>
    <row r="5140" spans="1:28" s="774" customFormat="1" x14ac:dyDescent="0.25">
      <c r="A5140" s="644" t="s">
        <v>6597</v>
      </c>
      <c r="B5140" s="645" t="s">
        <v>5435</v>
      </c>
      <c r="C5140" s="643" t="str">
        <f t="shared" si="1853"/>
        <v>Inbetriebnahme 11/2020</v>
      </c>
      <c r="D5140" s="643" t="str">
        <f t="shared" si="1865"/>
        <v>0 - 10 kW</v>
      </c>
      <c r="E5140" s="645"/>
      <c r="F5140" s="657">
        <f t="shared" si="1854"/>
        <v>8.48</v>
      </c>
      <c r="G5140" s="657">
        <f t="shared" si="1855"/>
        <v>8.8800000000000008</v>
      </c>
      <c r="H5140" s="656">
        <f t="shared" si="1856"/>
        <v>7.1</v>
      </c>
      <c r="I5140" s="656">
        <f t="shared" si="1860"/>
        <v>-0.02</v>
      </c>
      <c r="J5140" s="669">
        <v>44140</v>
      </c>
      <c r="O5140" s="395"/>
      <c r="P5140" s="327" t="str">
        <f>IF($O5140&lt;&gt;"",(1-$O5140)*#REF!,"")</f>
        <v/>
      </c>
      <c r="Q5140" s="327" t="str">
        <f>IF($O5140&lt;&gt;"",(1-$O5140)*#REF!,"")</f>
        <v/>
      </c>
      <c r="R5140" s="327" t="str">
        <f>IF($O5140&lt;&gt;"",(1-$O5140)*#REF!,"")</f>
        <v/>
      </c>
      <c r="S5140" s="327" t="str">
        <f>IF($O5140&lt;&gt;"",(1-$O5140)*#REF!,"")</f>
        <v/>
      </c>
      <c r="U5140" s="327" t="str">
        <f>IF($O5140&lt;&gt;"",(1-$O5140)*#REF!,"")</f>
        <v/>
      </c>
      <c r="V5140" s="327" t="str">
        <f>IF($O5140&lt;&gt;"",(1-$O5140)*#REF!,"")</f>
        <v/>
      </c>
      <c r="W5140" s="327" t="str">
        <f>IF($O5140&lt;&gt;"",(1-$O5140)*#REF!,"")</f>
        <v/>
      </c>
      <c r="X5140" s="327" t="str">
        <f>IF($O5140&lt;&gt;"",(1-$O5140)*#REF!,"")</f>
        <v/>
      </c>
    </row>
    <row r="5141" spans="1:28" s="774" customFormat="1" x14ac:dyDescent="0.25">
      <c r="A5141" s="644" t="str">
        <f>"SgK4821--"&amp;RIGHT(A5140,5)</f>
        <v>SgK4821--Nov20</v>
      </c>
      <c r="B5141" s="645" t="s">
        <v>5435</v>
      </c>
      <c r="C5141" s="643" t="str">
        <f t="shared" si="1853"/>
        <v>Inbetriebnahme 11/2020</v>
      </c>
      <c r="D5141" s="643" t="str">
        <f t="shared" si="1865"/>
        <v>10 - 40 kW</v>
      </c>
      <c r="E5141" s="645"/>
      <c r="F5141" s="657">
        <f t="shared" si="1854"/>
        <v>8.24</v>
      </c>
      <c r="G5141" s="657">
        <f t="shared" si="1855"/>
        <v>8.64</v>
      </c>
      <c r="H5141" s="656">
        <f t="shared" si="1856"/>
        <v>6.91</v>
      </c>
      <c r="I5141" s="656">
        <f t="shared" si="1860"/>
        <v>-0.26</v>
      </c>
      <c r="J5141" s="669">
        <v>44140</v>
      </c>
      <c r="O5141" s="395"/>
      <c r="P5141" s="327" t="str">
        <f>IF($O5141&lt;&gt;"",(1-$O5141)*#REF!,"")</f>
        <v/>
      </c>
      <c r="Q5141" s="327" t="str">
        <f>IF($O5141&lt;&gt;"",(1-$O5141)*#REF!,"")</f>
        <v/>
      </c>
      <c r="R5141" s="327" t="str">
        <f>IF($O5141&lt;&gt;"",(1-$O5141)*#REF!,"")</f>
        <v/>
      </c>
      <c r="S5141" s="327" t="str">
        <f>IF($O5141&lt;&gt;"",(1-$O5141)*#REF!,"")</f>
        <v/>
      </c>
      <c r="U5141" s="327" t="str">
        <f>IF($O5141&lt;&gt;"",(1-$O5141)*#REF!,"")</f>
        <v/>
      </c>
      <c r="V5141" s="327" t="str">
        <f>IF($O5141&lt;&gt;"",(1-$O5141)*#REF!,"")</f>
        <v/>
      </c>
      <c r="W5141" s="327" t="str">
        <f>IF($O5141&lt;&gt;"",(1-$O5141)*#REF!,"")</f>
        <v/>
      </c>
      <c r="X5141" s="327" t="str">
        <f>IF($O5141&lt;&gt;"",(1-$O5141)*#REF!,"")</f>
        <v/>
      </c>
    </row>
    <row r="5142" spans="1:28" s="774" customFormat="1" x14ac:dyDescent="0.25">
      <c r="A5142" s="644" t="str">
        <f>"SgK4822--"&amp;RIGHT(A5141,5)</f>
        <v>SgK4822--Nov20</v>
      </c>
      <c r="B5142" s="645" t="s">
        <v>5435</v>
      </c>
      <c r="C5142" s="643" t="str">
        <f t="shared" si="1853"/>
        <v>Inbetriebnahme 11/2020</v>
      </c>
      <c r="D5142" s="643" t="str">
        <f t="shared" si="1865"/>
        <v>40 - 750 kW</v>
      </c>
      <c r="E5142" s="645"/>
      <c r="F5142" s="657">
        <f t="shared" si="1854"/>
        <v>6.46</v>
      </c>
      <c r="G5142" s="657">
        <f t="shared" si="1855"/>
        <v>6.86</v>
      </c>
      <c r="H5142" s="656">
        <f t="shared" si="1856"/>
        <v>5.49</v>
      </c>
      <c r="I5142" s="656">
        <f t="shared" si="1860"/>
        <v>-1.54</v>
      </c>
      <c r="J5142" s="669">
        <v>44140</v>
      </c>
      <c r="O5142" s="395"/>
      <c r="P5142" s="327" t="str">
        <f>IF($O5142&lt;&gt;"",(1-$O5142)*P5140,"")</f>
        <v/>
      </c>
      <c r="Q5142" s="327" t="str">
        <f>IF($O5142&lt;&gt;"",(1-$O5142)*Q5140,"")</f>
        <v/>
      </c>
      <c r="R5142" s="327" t="str">
        <f>IF($O5142&lt;&gt;"",(1-$O5142)*R5140,"")</f>
        <v/>
      </c>
      <c r="S5142" s="327" t="str">
        <f>IF($O5142&lt;&gt;"",(1-$O5142)*S5140,"")</f>
        <v/>
      </c>
      <c r="U5142" s="327" t="str">
        <f>IF($O5142&lt;&gt;"",(1-$O5142)*U5140,"")</f>
        <v/>
      </c>
      <c r="V5142" s="327" t="str">
        <f>IF($O5142&lt;&gt;"",(1-$O5142)*V5140,"")</f>
        <v/>
      </c>
      <c r="W5142" s="327" t="str">
        <f>IF($O5142&lt;&gt;"",(1-$O5142)*W5140,"")</f>
        <v/>
      </c>
      <c r="X5142" s="327" t="str">
        <f>IF($O5142&lt;&gt;"",(1-$O5142)*X5140,"")</f>
        <v/>
      </c>
    </row>
    <row r="5143" spans="1:28" s="774" customFormat="1" x14ac:dyDescent="0.25">
      <c r="A5143" s="644" t="s">
        <v>6598</v>
      </c>
      <c r="B5143" s="645" t="s">
        <v>5435</v>
      </c>
      <c r="C5143" s="643" t="str">
        <f t="shared" si="1853"/>
        <v>Inbetriebnahme 12/2020</v>
      </c>
      <c r="D5143" s="643" t="str">
        <f t="shared" si="1865"/>
        <v>0 - 10 kW</v>
      </c>
      <c r="E5143" s="645"/>
      <c r="F5143" s="657">
        <f t="shared" si="1854"/>
        <v>8.32</v>
      </c>
      <c r="G5143" s="657">
        <f t="shared" si="1855"/>
        <v>8.7200000000000006</v>
      </c>
      <c r="H5143" s="656">
        <f t="shared" si="1856"/>
        <v>6.98</v>
      </c>
      <c r="I5143" s="656">
        <f t="shared" si="1860"/>
        <v>-0.18</v>
      </c>
      <c r="J5143" s="669">
        <v>44140</v>
      </c>
      <c r="O5143" s="395"/>
      <c r="P5143" s="327" t="str">
        <f>IF($O5143&lt;&gt;"",(1-$O5143)*#REF!,"")</f>
        <v/>
      </c>
      <c r="Q5143" s="327" t="str">
        <f>IF($O5143&lt;&gt;"",(1-$O5143)*#REF!,"")</f>
        <v/>
      </c>
      <c r="R5143" s="327" t="str">
        <f>IF($O5143&lt;&gt;"",(1-$O5143)*#REF!,"")</f>
        <v/>
      </c>
      <c r="S5143" s="327" t="str">
        <f>IF($O5143&lt;&gt;"",(1-$O5143)*#REF!,"")</f>
        <v/>
      </c>
      <c r="U5143" s="327" t="str">
        <f>IF($O5143&lt;&gt;"",(1-$O5143)*#REF!,"")</f>
        <v/>
      </c>
      <c r="V5143" s="327" t="str">
        <f>IF($O5143&lt;&gt;"",(1-$O5143)*#REF!,"")</f>
        <v/>
      </c>
      <c r="W5143" s="327" t="str">
        <f>IF($O5143&lt;&gt;"",(1-$O5143)*#REF!,"")</f>
        <v/>
      </c>
      <c r="X5143" s="327" t="str">
        <f>IF($O5143&lt;&gt;"",(1-$O5143)*#REF!,"")</f>
        <v/>
      </c>
    </row>
    <row r="5144" spans="1:28" s="774" customFormat="1" x14ac:dyDescent="0.25">
      <c r="A5144" s="644" t="str">
        <f>"SgK4821--"&amp;RIGHT(A5143,5)</f>
        <v>SgK4821--Dez20</v>
      </c>
      <c r="B5144" s="645" t="s">
        <v>5435</v>
      </c>
      <c r="C5144" s="643" t="str">
        <f t="shared" si="1853"/>
        <v>Inbetriebnahme 12/2020</v>
      </c>
      <c r="D5144" s="643" t="str">
        <f t="shared" si="1865"/>
        <v>10 - 40 kW</v>
      </c>
      <c r="E5144" s="645"/>
      <c r="F5144" s="657">
        <f t="shared" si="1854"/>
        <v>8.09</v>
      </c>
      <c r="G5144" s="657">
        <f t="shared" si="1855"/>
        <v>8.49</v>
      </c>
      <c r="H5144" s="656">
        <f t="shared" si="1856"/>
        <v>6.79</v>
      </c>
      <c r="I5144" s="656">
        <f t="shared" si="1860"/>
        <v>-0.41</v>
      </c>
      <c r="J5144" s="669">
        <v>44140</v>
      </c>
      <c r="O5144" s="395"/>
      <c r="P5144" s="327" t="str">
        <f>IF($O5144&lt;&gt;"",(1-$O5144)*#REF!,"")</f>
        <v/>
      </c>
      <c r="Q5144" s="327" t="str">
        <f>IF($O5144&lt;&gt;"",(1-$O5144)*#REF!,"")</f>
        <v/>
      </c>
      <c r="R5144" s="327" t="str">
        <f>IF($O5144&lt;&gt;"",(1-$O5144)*#REF!,"")</f>
        <v/>
      </c>
      <c r="S5144" s="327" t="str">
        <f>IF($O5144&lt;&gt;"",(1-$O5144)*#REF!,"")</f>
        <v/>
      </c>
      <c r="U5144" s="327" t="str">
        <f>IF($O5144&lt;&gt;"",(1-$O5144)*#REF!,"")</f>
        <v/>
      </c>
      <c r="V5144" s="327" t="str">
        <f>IF($O5144&lt;&gt;"",(1-$O5144)*#REF!,"")</f>
        <v/>
      </c>
      <c r="W5144" s="327" t="str">
        <f>IF($O5144&lt;&gt;"",(1-$O5144)*#REF!,"")</f>
        <v/>
      </c>
      <c r="X5144" s="327" t="str">
        <f>IF($O5144&lt;&gt;"",(1-$O5144)*#REF!,"")</f>
        <v/>
      </c>
    </row>
    <row r="5145" spans="1:28" s="774" customFormat="1" ht="14.25" customHeight="1" x14ac:dyDescent="0.25">
      <c r="A5145" s="644" t="str">
        <f>"SgK4822--"&amp;RIGHT(A5144,5)</f>
        <v>SgK4822--Dez20</v>
      </c>
      <c r="B5145" s="645" t="s">
        <v>5435</v>
      </c>
      <c r="C5145" s="643" t="str">
        <f t="shared" si="1853"/>
        <v>Inbetriebnahme 12/2020</v>
      </c>
      <c r="D5145" s="643" t="str">
        <f t="shared" si="1865"/>
        <v>40 - 750 kW</v>
      </c>
      <c r="E5145" s="645"/>
      <c r="F5145" s="657">
        <f t="shared" si="1854"/>
        <v>6.34</v>
      </c>
      <c r="G5145" s="657">
        <f t="shared" si="1855"/>
        <v>6.74</v>
      </c>
      <c r="H5145" s="656">
        <f t="shared" si="1856"/>
        <v>5.39</v>
      </c>
      <c r="I5145" s="656">
        <f t="shared" si="1860"/>
        <v>-1.66</v>
      </c>
      <c r="J5145" s="669">
        <v>44140</v>
      </c>
      <c r="O5145" s="395"/>
      <c r="P5145" s="327" t="str">
        <f>IF($O5145&lt;&gt;"",(1-$O5145)*P5143,"")</f>
        <v/>
      </c>
      <c r="Q5145" s="327" t="str">
        <f>IF($O5145&lt;&gt;"",(1-$O5145)*Q5143,"")</f>
        <v/>
      </c>
      <c r="R5145" s="327" t="str">
        <f>IF($O5145&lt;&gt;"",(1-$O5145)*R5143,"")</f>
        <v/>
      </c>
      <c r="S5145" s="327" t="str">
        <f>IF($O5145&lt;&gt;"",(1-$O5145)*S5143,"")</f>
        <v/>
      </c>
      <c r="U5145" s="327" t="str">
        <f>IF($O5145&lt;&gt;"",(1-$O5145)*U5143,"")</f>
        <v/>
      </c>
      <c r="V5145" s="327" t="str">
        <f>IF($O5145&lt;&gt;"",(1-$O5145)*V5143,"")</f>
        <v/>
      </c>
      <c r="W5145" s="327" t="str">
        <f>IF($O5145&lt;&gt;"",(1-$O5145)*W5143,"")</f>
        <v/>
      </c>
      <c r="X5145" s="327" t="str">
        <f>IF($O5145&lt;&gt;"",(1-$O5145)*X5143,"")</f>
        <v/>
      </c>
    </row>
    <row r="5146" spans="1:28" s="774" customFormat="1" x14ac:dyDescent="0.25">
      <c r="A5146" s="608"/>
      <c r="B5146" s="2"/>
      <c r="C5146" s="34"/>
      <c r="D5146" s="34"/>
      <c r="E5146" s="2"/>
      <c r="F5146" s="445"/>
      <c r="G5146" s="14"/>
      <c r="H5146" s="14"/>
      <c r="I5146" s="695"/>
      <c r="J5146" s="669" t="s">
        <v>4180</v>
      </c>
      <c r="K5146" s="769"/>
      <c r="N5146" s="137" t="s">
        <v>3902</v>
      </c>
      <c r="O5146" s="270" t="s">
        <v>5490</v>
      </c>
      <c r="P5146" s="774" t="s">
        <v>3919</v>
      </c>
      <c r="Q5146" s="774" t="s">
        <v>3920</v>
      </c>
      <c r="R5146" s="774" t="s">
        <v>7444</v>
      </c>
      <c r="T5146" s="774" t="s">
        <v>49</v>
      </c>
      <c r="U5146" s="774" t="s">
        <v>3919</v>
      </c>
      <c r="V5146" s="774" t="s">
        <v>3920</v>
      </c>
      <c r="W5146" s="774" t="s">
        <v>7444</v>
      </c>
    </row>
    <row r="5147" spans="1:28" s="774" customFormat="1" x14ac:dyDescent="0.25">
      <c r="A5147" s="644" t="str">
        <f>"SgK4820--"&amp;RIGHT(N5147,5)</f>
        <v>SgK4820--Jan21</v>
      </c>
      <c r="B5147" s="645" t="s">
        <v>5435</v>
      </c>
      <c r="C5147" s="643" t="str">
        <f t="shared" ref="C5147:C5182" si="1866">"Inbetriebnahme "&amp;TEXT(DATEVALUE(RIGHT(A5147,5)),"MM/JJJJ")</f>
        <v>Inbetriebnahme 01/2021</v>
      </c>
      <c r="D5147" s="643" t="str">
        <f>$Q$4848</f>
        <v>0 - 10 kW</v>
      </c>
      <c r="E5147" s="645"/>
      <c r="F5147" s="793">
        <f t="shared" ref="F5147:F5182" si="1867">IF(HLOOKUP($D5147,$U$5146:$W$5158,MATCH(RIGHT($A5147,5),$N$5146:$N$5158,0),FALSE)&lt;&gt;"",ROUND(HLOOKUP($D5147,$U$5146:$W$5158,MATCH(RIGHT($A5147,5),$N$5146:$N$5158,0),FALSE),2),"")</f>
        <v>8.16</v>
      </c>
      <c r="G5147" s="793">
        <f t="shared" ref="G5147:G5182" si="1868">IF(HLOOKUP($D5147,$P$5146:$R$5158,MATCH(RIGHT($A5147,5),$N$5146:$N$5158,0),FALSE)&lt;&gt;"",ROUND(HLOOKUP($D5147,$P$5146:$R$5158,MATCH(RIGHT($A5147,5),$N$5146:$N$5158,0),FALSE),2),"")</f>
        <v>8.56</v>
      </c>
      <c r="H5147" s="795">
        <f t="shared" ref="H5147:H5182" si="1869">IF(ISNUMBER($G5147),ROUND(0.8*$G5147,2),"")</f>
        <v>6.85</v>
      </c>
      <c r="I5147" s="795"/>
      <c r="J5147" s="669">
        <v>44424</v>
      </c>
      <c r="K5147" s="769"/>
      <c r="M5147" s="127">
        <v>2021</v>
      </c>
      <c r="N5147" s="639" t="s">
        <v>6684</v>
      </c>
      <c r="O5147" s="568" t="s">
        <v>7539</v>
      </c>
      <c r="P5147" s="23">
        <v>8.56</v>
      </c>
      <c r="Q5147" s="23">
        <v>8.33</v>
      </c>
      <c r="R5147" s="783">
        <v>6.62</v>
      </c>
      <c r="S5147" s="23"/>
      <c r="T5147" s="23"/>
      <c r="U5147" s="23">
        <f t="shared" ref="U5147:U5158" si="1870">IF($O5147&lt;&gt;"",P5147-0.4,"")</f>
        <v>8.16</v>
      </c>
      <c r="V5147" s="23">
        <f t="shared" ref="V5147:V5158" si="1871">IF($O5147&lt;&gt;"",Q5147-0.4,"")</f>
        <v>7.93</v>
      </c>
      <c r="W5147" s="23">
        <f t="shared" ref="W5147:W5158" si="1872">IF($O5147&lt;&gt;"",R5147-0.4,"")</f>
        <v>6.22</v>
      </c>
      <c r="X5147" s="23"/>
    </row>
    <row r="5148" spans="1:28" s="774" customFormat="1" x14ac:dyDescent="0.25">
      <c r="A5148" s="644" t="str">
        <f>"SgK4821--"&amp;RIGHT(A5147,5)</f>
        <v>SgK4821--Jan21</v>
      </c>
      <c r="B5148" s="645" t="s">
        <v>5435</v>
      </c>
      <c r="C5148" s="643" t="str">
        <f t="shared" si="1866"/>
        <v>Inbetriebnahme 01/2021</v>
      </c>
      <c r="D5148" s="643" t="str">
        <f>$R$4848</f>
        <v>10 - 40 kW</v>
      </c>
      <c r="E5148" s="645"/>
      <c r="F5148" s="793">
        <f t="shared" si="1867"/>
        <v>7.93</v>
      </c>
      <c r="G5148" s="793">
        <f t="shared" si="1868"/>
        <v>8.33</v>
      </c>
      <c r="H5148" s="795">
        <f t="shared" si="1869"/>
        <v>6.66</v>
      </c>
      <c r="I5148" s="795"/>
      <c r="J5148" s="669">
        <v>44424</v>
      </c>
      <c r="K5148" s="769"/>
      <c r="M5148" s="413"/>
      <c r="N5148" s="333" t="str">
        <f t="shared" ref="N5148:N5158" si="1873">TEXT(DATE(YEAR(DATEVALUE(N5147)),MONTH(DATEVALUE(N5147))+1,1),"MMMJJ")</f>
        <v>Feb21</v>
      </c>
      <c r="O5148" s="568">
        <v>1.4E-2</v>
      </c>
      <c r="P5148" s="23">
        <f t="shared" ref="P5148:P5158" si="1874">IF($O5148&lt;&gt;"",P5147*(100%-$O5148),"")</f>
        <v>8.4401600000000006</v>
      </c>
      <c r="Q5148" s="23">
        <f t="shared" ref="Q5148:Q5158" si="1875">IF($O5148&lt;&gt;"",Q5147*(100%-$O5148),"")</f>
        <v>8.2133800000000008</v>
      </c>
      <c r="R5148" s="23">
        <f t="shared" ref="R5148:R5158" si="1876">IF($O5148&lt;&gt;"",R5147*(100%-$O5148),"")</f>
        <v>6.5273200000000005</v>
      </c>
      <c r="S5148" s="23"/>
      <c r="T5148" s="23"/>
      <c r="U5148" s="23">
        <f t="shared" si="1870"/>
        <v>8.0401600000000002</v>
      </c>
      <c r="V5148" s="23">
        <f t="shared" si="1871"/>
        <v>7.8133800000000004</v>
      </c>
      <c r="W5148" s="23">
        <f t="shared" si="1872"/>
        <v>6.1273200000000001</v>
      </c>
      <c r="X5148" s="23"/>
      <c r="Z5148" s="23"/>
      <c r="AA5148" s="23"/>
      <c r="AB5148" s="23"/>
    </row>
    <row r="5149" spans="1:28" s="774" customFormat="1" x14ac:dyDescent="0.25">
      <c r="A5149" s="644" t="str">
        <f>"SgK4822--"&amp;RIGHT(A5148,5)</f>
        <v>SgK4822--Jan21</v>
      </c>
      <c r="B5149" s="645" t="s">
        <v>5435</v>
      </c>
      <c r="C5149" s="643" t="str">
        <f t="shared" si="1866"/>
        <v>Inbetriebnahme 01/2021</v>
      </c>
      <c r="D5149" s="643" t="s">
        <v>7444</v>
      </c>
      <c r="E5149" s="645"/>
      <c r="F5149" s="793">
        <f t="shared" si="1867"/>
        <v>6.22</v>
      </c>
      <c r="G5149" s="793">
        <f t="shared" si="1868"/>
        <v>6.62</v>
      </c>
      <c r="H5149" s="795">
        <f t="shared" si="1869"/>
        <v>5.3</v>
      </c>
      <c r="I5149" s="795"/>
      <c r="J5149" s="669">
        <v>44424</v>
      </c>
      <c r="K5149" s="769"/>
      <c r="M5149" s="413"/>
      <c r="N5149" s="333" t="str">
        <f t="shared" si="1873"/>
        <v>Mrz21</v>
      </c>
      <c r="O5149" s="568">
        <v>1.4E-2</v>
      </c>
      <c r="P5149" s="23">
        <f t="shared" si="1874"/>
        <v>8.3219977600000004</v>
      </c>
      <c r="Q5149" s="23">
        <f t="shared" si="1875"/>
        <v>8.0983926799999999</v>
      </c>
      <c r="R5149" s="23">
        <f t="shared" si="1876"/>
        <v>6.4359375200000004</v>
      </c>
      <c r="S5149" s="23"/>
      <c r="T5149" s="23"/>
      <c r="U5149" s="23">
        <f t="shared" si="1870"/>
        <v>7.92199776</v>
      </c>
      <c r="V5149" s="23">
        <f t="shared" si="1871"/>
        <v>7.6983926799999995</v>
      </c>
      <c r="W5149" s="23">
        <f t="shared" si="1872"/>
        <v>6.0359375200000001</v>
      </c>
      <c r="X5149" s="23"/>
      <c r="Z5149" s="23"/>
      <c r="AA5149" s="23"/>
      <c r="AB5149" s="23"/>
    </row>
    <row r="5150" spans="1:28" s="774" customFormat="1" x14ac:dyDescent="0.25">
      <c r="A5150" s="644" t="str">
        <f>"SgK4820--"&amp;RIGHT(N5148,5)</f>
        <v>SgK4820--Feb21</v>
      </c>
      <c r="B5150" s="645" t="s">
        <v>5435</v>
      </c>
      <c r="C5150" s="643" t="str">
        <f t="shared" si="1866"/>
        <v>Inbetriebnahme 02/2021</v>
      </c>
      <c r="D5150" s="643" t="str">
        <f t="shared" ref="D5150:D5182" si="1877">D5147</f>
        <v>0 - 10 kW</v>
      </c>
      <c r="E5150" s="645"/>
      <c r="F5150" s="793">
        <f t="shared" si="1867"/>
        <v>8.0399999999999991</v>
      </c>
      <c r="G5150" s="793">
        <f t="shared" si="1868"/>
        <v>8.44</v>
      </c>
      <c r="H5150" s="795">
        <f t="shared" si="1869"/>
        <v>6.75</v>
      </c>
      <c r="I5150" s="795"/>
      <c r="J5150" s="669">
        <v>44424</v>
      </c>
      <c r="K5150" s="769"/>
      <c r="M5150" s="413"/>
      <c r="N5150" s="333" t="str">
        <f t="shared" si="1873"/>
        <v>Apr21</v>
      </c>
      <c r="O5150" s="568">
        <v>1.4E-2</v>
      </c>
      <c r="P5150" s="23">
        <f t="shared" si="1874"/>
        <v>8.2054897913599998</v>
      </c>
      <c r="Q5150" s="23">
        <f t="shared" si="1875"/>
        <v>7.9850151824799998</v>
      </c>
      <c r="R5150" s="23">
        <f t="shared" si="1876"/>
        <v>6.3458343947200007</v>
      </c>
      <c r="S5150" s="23"/>
      <c r="T5150" s="23"/>
      <c r="U5150" s="23">
        <f t="shared" si="1870"/>
        <v>7.8054897913599994</v>
      </c>
      <c r="V5150" s="23">
        <f t="shared" si="1871"/>
        <v>7.5850151824799994</v>
      </c>
      <c r="W5150" s="23">
        <f t="shared" si="1872"/>
        <v>5.9458343947200003</v>
      </c>
      <c r="X5150" s="23"/>
      <c r="Z5150" s="23">
        <f t="shared" ref="Z5150:Z5158" si="1878">IF($O5150&lt;&gt;"",Z5149*(100%-$O5150),"")</f>
        <v>0</v>
      </c>
      <c r="AA5150" s="23">
        <f t="shared" ref="AA5150:AA5158" si="1879">IF($O5150&lt;&gt;"",AA5149*(100%-$O5150),"")</f>
        <v>0</v>
      </c>
      <c r="AB5150" s="23">
        <f t="shared" ref="AB5150:AB5158" si="1880">IF($O5150&lt;&gt;"",AB5149*(100%-$O5150),"")</f>
        <v>0</v>
      </c>
    </row>
    <row r="5151" spans="1:28" s="774" customFormat="1" x14ac:dyDescent="0.25">
      <c r="A5151" s="644" t="str">
        <f>"SgK4821--"&amp;RIGHT(A5150,5)</f>
        <v>SgK4821--Feb21</v>
      </c>
      <c r="B5151" s="645" t="s">
        <v>5435</v>
      </c>
      <c r="C5151" s="643" t="str">
        <f t="shared" si="1866"/>
        <v>Inbetriebnahme 02/2021</v>
      </c>
      <c r="D5151" s="643" t="str">
        <f t="shared" si="1877"/>
        <v>10 - 40 kW</v>
      </c>
      <c r="E5151" s="645"/>
      <c r="F5151" s="793">
        <f t="shared" si="1867"/>
        <v>7.81</v>
      </c>
      <c r="G5151" s="793">
        <f t="shared" si="1868"/>
        <v>8.2100000000000009</v>
      </c>
      <c r="H5151" s="795">
        <f t="shared" si="1869"/>
        <v>6.57</v>
      </c>
      <c r="I5151" s="795"/>
      <c r="J5151" s="669">
        <v>44424</v>
      </c>
      <c r="K5151" s="769"/>
      <c r="M5151" s="413"/>
      <c r="N5151" s="333" t="str">
        <f t="shared" si="1873"/>
        <v>Mai21</v>
      </c>
      <c r="O5151" s="568">
        <v>1.4E-2</v>
      </c>
      <c r="P5151" s="23">
        <f t="shared" si="1874"/>
        <v>8.0906129342809603</v>
      </c>
      <c r="Q5151" s="23">
        <f t="shared" si="1875"/>
        <v>7.8732249699252801</v>
      </c>
      <c r="R5151" s="23">
        <f t="shared" si="1876"/>
        <v>6.2569927131939203</v>
      </c>
      <c r="S5151" s="23"/>
      <c r="T5151" s="23"/>
      <c r="U5151" s="23">
        <f t="shared" si="1870"/>
        <v>7.6906129342809599</v>
      </c>
      <c r="V5151" s="23">
        <f t="shared" si="1871"/>
        <v>7.4732249699252797</v>
      </c>
      <c r="W5151" s="23">
        <f t="shared" si="1872"/>
        <v>5.8569927131939199</v>
      </c>
      <c r="X5151" s="23"/>
      <c r="Z5151" s="23">
        <f t="shared" si="1878"/>
        <v>0</v>
      </c>
      <c r="AA5151" s="23">
        <f t="shared" si="1879"/>
        <v>0</v>
      </c>
      <c r="AB5151" s="23">
        <f t="shared" si="1880"/>
        <v>0</v>
      </c>
    </row>
    <row r="5152" spans="1:28" s="774" customFormat="1" x14ac:dyDescent="0.25">
      <c r="A5152" s="644" t="str">
        <f>"SgK4822--"&amp;RIGHT(A5151,5)</f>
        <v>SgK4822--Feb21</v>
      </c>
      <c r="B5152" s="645" t="s">
        <v>5435</v>
      </c>
      <c r="C5152" s="643" t="str">
        <f t="shared" si="1866"/>
        <v>Inbetriebnahme 02/2021</v>
      </c>
      <c r="D5152" s="643" t="str">
        <f t="shared" si="1877"/>
        <v>40 - 750 kW</v>
      </c>
      <c r="E5152" s="645"/>
      <c r="F5152" s="793">
        <f t="shared" si="1867"/>
        <v>6.13</v>
      </c>
      <c r="G5152" s="793">
        <f t="shared" si="1868"/>
        <v>6.53</v>
      </c>
      <c r="H5152" s="795">
        <f t="shared" si="1869"/>
        <v>5.22</v>
      </c>
      <c r="I5152" s="795"/>
      <c r="J5152" s="669">
        <v>44424</v>
      </c>
      <c r="K5152" s="769"/>
      <c r="M5152" s="413"/>
      <c r="N5152" s="333" t="str">
        <f t="shared" si="1873"/>
        <v>Jun21</v>
      </c>
      <c r="O5152" s="568">
        <v>1.4E-2</v>
      </c>
      <c r="P5152" s="23">
        <f t="shared" si="1874"/>
        <v>7.9773443532010271</v>
      </c>
      <c r="Q5152" s="23">
        <f t="shared" si="1875"/>
        <v>7.7629998203463257</v>
      </c>
      <c r="R5152" s="23">
        <f t="shared" si="1876"/>
        <v>6.1693948152092055</v>
      </c>
      <c r="S5152" s="23"/>
      <c r="T5152" s="23"/>
      <c r="U5152" s="23">
        <f t="shared" si="1870"/>
        <v>7.5773443532010267</v>
      </c>
      <c r="V5152" s="23">
        <f t="shared" si="1871"/>
        <v>7.3629998203463254</v>
      </c>
      <c r="W5152" s="23">
        <f t="shared" si="1872"/>
        <v>5.7693948152092052</v>
      </c>
      <c r="X5152" s="23"/>
      <c r="Z5152" s="23">
        <f t="shared" si="1878"/>
        <v>0</v>
      </c>
      <c r="AA5152" s="23">
        <f t="shared" si="1879"/>
        <v>0</v>
      </c>
      <c r="AB5152" s="23">
        <f t="shared" si="1880"/>
        <v>0</v>
      </c>
    </row>
    <row r="5153" spans="1:28" s="774" customFormat="1" x14ac:dyDescent="0.25">
      <c r="A5153" s="644" t="str">
        <f>"SgK4820--"&amp;RIGHT(N5149,5)</f>
        <v>SgK4820--Mrz21</v>
      </c>
      <c r="B5153" s="645" t="s">
        <v>5435</v>
      </c>
      <c r="C5153" s="643" t="str">
        <f t="shared" si="1866"/>
        <v>Inbetriebnahme 03/2021</v>
      </c>
      <c r="D5153" s="643" t="str">
        <f t="shared" si="1877"/>
        <v>0 - 10 kW</v>
      </c>
      <c r="E5153" s="645"/>
      <c r="F5153" s="793">
        <f t="shared" si="1867"/>
        <v>7.92</v>
      </c>
      <c r="G5153" s="793">
        <f t="shared" si="1868"/>
        <v>8.32</v>
      </c>
      <c r="H5153" s="795">
        <f t="shared" si="1869"/>
        <v>6.66</v>
      </c>
      <c r="I5153" s="795"/>
      <c r="J5153" s="669">
        <v>44424</v>
      </c>
      <c r="K5153" s="769"/>
      <c r="M5153" s="413"/>
      <c r="N5153" s="333" t="str">
        <f t="shared" si="1873"/>
        <v>Jul21</v>
      </c>
      <c r="O5153" s="568">
        <v>1.4E-2</v>
      </c>
      <c r="P5153" s="23">
        <f t="shared" si="1874"/>
        <v>7.8656615322562127</v>
      </c>
      <c r="Q5153" s="23">
        <f t="shared" si="1875"/>
        <v>7.6543178228614774</v>
      </c>
      <c r="R5153" s="23">
        <f t="shared" si="1876"/>
        <v>6.0830232877962764</v>
      </c>
      <c r="S5153" s="23"/>
      <c r="T5153" s="23"/>
      <c r="U5153" s="23">
        <f t="shared" si="1870"/>
        <v>7.4656615322562123</v>
      </c>
      <c r="V5153" s="23">
        <f t="shared" si="1871"/>
        <v>7.2543178228614771</v>
      </c>
      <c r="W5153" s="23">
        <f t="shared" si="1872"/>
        <v>5.6830232877962761</v>
      </c>
      <c r="X5153" s="23"/>
      <c r="Z5153" s="23">
        <f t="shared" si="1878"/>
        <v>0</v>
      </c>
      <c r="AA5153" s="23">
        <f t="shared" si="1879"/>
        <v>0</v>
      </c>
      <c r="AB5153" s="23">
        <f t="shared" si="1880"/>
        <v>0</v>
      </c>
    </row>
    <row r="5154" spans="1:28" s="774" customFormat="1" x14ac:dyDescent="0.25">
      <c r="A5154" s="644" t="str">
        <f>"SgK4821--"&amp;RIGHT(A5153,5)</f>
        <v>SgK4821--Mrz21</v>
      </c>
      <c r="B5154" s="645" t="s">
        <v>5435</v>
      </c>
      <c r="C5154" s="643" t="str">
        <f t="shared" si="1866"/>
        <v>Inbetriebnahme 03/2021</v>
      </c>
      <c r="D5154" s="643" t="str">
        <f t="shared" si="1877"/>
        <v>10 - 40 kW</v>
      </c>
      <c r="E5154" s="645"/>
      <c r="F5154" s="793">
        <f t="shared" si="1867"/>
        <v>7.7</v>
      </c>
      <c r="G5154" s="793">
        <f t="shared" si="1868"/>
        <v>8.1</v>
      </c>
      <c r="H5154" s="795">
        <f t="shared" si="1869"/>
        <v>6.48</v>
      </c>
      <c r="I5154" s="795"/>
      <c r="J5154" s="669">
        <v>44424</v>
      </c>
      <c r="K5154" s="769"/>
      <c r="M5154" s="127"/>
      <c r="N5154" s="333" t="str">
        <f t="shared" si="1873"/>
        <v>Aug21</v>
      </c>
      <c r="O5154" s="568">
        <v>1.4E-2</v>
      </c>
      <c r="P5154" s="23">
        <f t="shared" si="1874"/>
        <v>7.755542270804626</v>
      </c>
      <c r="Q5154" s="23">
        <f t="shared" si="1875"/>
        <v>7.5471573733414168</v>
      </c>
      <c r="R5154" s="23">
        <f t="shared" si="1876"/>
        <v>5.9978609617671284</v>
      </c>
      <c r="S5154" s="23"/>
      <c r="T5154" s="23"/>
      <c r="U5154" s="23">
        <f t="shared" si="1870"/>
        <v>7.3555422708046256</v>
      </c>
      <c r="V5154" s="23">
        <f t="shared" si="1871"/>
        <v>7.1471573733414164</v>
      </c>
      <c r="W5154" s="23">
        <f t="shared" si="1872"/>
        <v>5.597860961767128</v>
      </c>
      <c r="X5154" s="23"/>
      <c r="Z5154" s="23">
        <f t="shared" si="1878"/>
        <v>0</v>
      </c>
      <c r="AA5154" s="23">
        <f t="shared" si="1879"/>
        <v>0</v>
      </c>
      <c r="AB5154" s="23">
        <f t="shared" si="1880"/>
        <v>0</v>
      </c>
    </row>
    <row r="5155" spans="1:28" s="774" customFormat="1" x14ac:dyDescent="0.25">
      <c r="A5155" s="644" t="str">
        <f>"SgK4822--"&amp;RIGHT(A5154,5)</f>
        <v>SgK4822--Mrz21</v>
      </c>
      <c r="B5155" s="645" t="s">
        <v>5435</v>
      </c>
      <c r="C5155" s="643" t="str">
        <f t="shared" si="1866"/>
        <v>Inbetriebnahme 03/2021</v>
      </c>
      <c r="D5155" s="643" t="str">
        <f t="shared" si="1877"/>
        <v>40 - 750 kW</v>
      </c>
      <c r="E5155" s="645"/>
      <c r="F5155" s="793">
        <f t="shared" si="1867"/>
        <v>6.04</v>
      </c>
      <c r="G5155" s="793">
        <f t="shared" si="1868"/>
        <v>6.44</v>
      </c>
      <c r="H5155" s="795">
        <f t="shared" si="1869"/>
        <v>5.15</v>
      </c>
      <c r="I5155" s="795"/>
      <c r="J5155" s="669">
        <v>44424</v>
      </c>
      <c r="K5155" s="769"/>
      <c r="N5155" s="333" t="str">
        <f t="shared" si="1873"/>
        <v>Sep21</v>
      </c>
      <c r="O5155" s="568">
        <v>1.4E-2</v>
      </c>
      <c r="P5155" s="23">
        <f t="shared" si="1874"/>
        <v>7.6469646790133607</v>
      </c>
      <c r="Q5155" s="23">
        <f t="shared" si="1875"/>
        <v>7.4414971701146371</v>
      </c>
      <c r="R5155" s="23">
        <f t="shared" si="1876"/>
        <v>5.9138909083023883</v>
      </c>
      <c r="S5155" s="23"/>
      <c r="T5155" s="23"/>
      <c r="U5155" s="23">
        <f t="shared" si="1870"/>
        <v>7.2469646790133604</v>
      </c>
      <c r="V5155" s="23">
        <f t="shared" si="1871"/>
        <v>7.0414971701146367</v>
      </c>
      <c r="W5155" s="23">
        <f t="shared" si="1872"/>
        <v>5.5138909083023879</v>
      </c>
      <c r="X5155" s="23"/>
      <c r="Z5155" s="23">
        <f t="shared" si="1878"/>
        <v>0</v>
      </c>
      <c r="AA5155" s="23">
        <f t="shared" si="1879"/>
        <v>0</v>
      </c>
      <c r="AB5155" s="23">
        <f t="shared" si="1880"/>
        <v>0</v>
      </c>
    </row>
    <row r="5156" spans="1:28" s="774" customFormat="1" x14ac:dyDescent="0.25">
      <c r="A5156" s="644" t="str">
        <f>"SgK4820--"&amp;RIGHT(N5150,5)</f>
        <v>SgK4820--Apr21</v>
      </c>
      <c r="B5156" s="645" t="s">
        <v>5435</v>
      </c>
      <c r="C5156" s="643" t="str">
        <f t="shared" si="1866"/>
        <v>Inbetriebnahme 04/2021</v>
      </c>
      <c r="D5156" s="643" t="str">
        <f t="shared" si="1877"/>
        <v>0 - 10 kW</v>
      </c>
      <c r="E5156" s="645"/>
      <c r="F5156" s="793">
        <f t="shared" si="1867"/>
        <v>7.81</v>
      </c>
      <c r="G5156" s="793">
        <f t="shared" si="1868"/>
        <v>8.2100000000000009</v>
      </c>
      <c r="H5156" s="795">
        <f t="shared" si="1869"/>
        <v>6.57</v>
      </c>
      <c r="I5156" s="795"/>
      <c r="J5156" s="669">
        <v>44424</v>
      </c>
      <c r="K5156" s="769"/>
      <c r="N5156" s="333" t="str">
        <f t="shared" si="1873"/>
        <v>Okt21</v>
      </c>
      <c r="O5156" s="568">
        <v>1.4E-2</v>
      </c>
      <c r="P5156" s="23">
        <f t="shared" si="1874"/>
        <v>7.5399071735071734</v>
      </c>
      <c r="Q5156" s="23">
        <f t="shared" si="1875"/>
        <v>7.3373162097330322</v>
      </c>
      <c r="R5156" s="23">
        <f t="shared" si="1876"/>
        <v>5.8310964355861552</v>
      </c>
      <c r="S5156" s="23"/>
      <c r="T5156" s="23"/>
      <c r="U5156" s="23">
        <f t="shared" si="1870"/>
        <v>7.1399071735071731</v>
      </c>
      <c r="V5156" s="23">
        <f t="shared" si="1871"/>
        <v>6.9373162097330319</v>
      </c>
      <c r="W5156" s="23">
        <f t="shared" si="1872"/>
        <v>5.4310964355861548</v>
      </c>
      <c r="X5156" s="23"/>
      <c r="Z5156" s="23">
        <f t="shared" si="1878"/>
        <v>0</v>
      </c>
      <c r="AA5156" s="23">
        <f t="shared" si="1879"/>
        <v>0</v>
      </c>
      <c r="AB5156" s="23">
        <f t="shared" si="1880"/>
        <v>0</v>
      </c>
    </row>
    <row r="5157" spans="1:28" s="774" customFormat="1" x14ac:dyDescent="0.25">
      <c r="A5157" s="644" t="str">
        <f>"SgK4821--"&amp;RIGHT(A5156,5)</f>
        <v>SgK4821--Apr21</v>
      </c>
      <c r="B5157" s="645" t="s">
        <v>5435</v>
      </c>
      <c r="C5157" s="643" t="str">
        <f t="shared" si="1866"/>
        <v>Inbetriebnahme 04/2021</v>
      </c>
      <c r="D5157" s="643" t="str">
        <f t="shared" si="1877"/>
        <v>10 - 40 kW</v>
      </c>
      <c r="E5157" s="645"/>
      <c r="F5157" s="793">
        <f t="shared" si="1867"/>
        <v>7.59</v>
      </c>
      <c r="G5157" s="793">
        <f t="shared" si="1868"/>
        <v>7.99</v>
      </c>
      <c r="H5157" s="795">
        <f t="shared" si="1869"/>
        <v>6.39</v>
      </c>
      <c r="I5157" s="795"/>
      <c r="J5157" s="669">
        <v>44424</v>
      </c>
      <c r="K5157" s="769"/>
      <c r="N5157" s="333" t="str">
        <f t="shared" si="1873"/>
        <v>Nov21</v>
      </c>
      <c r="O5157" s="568">
        <v>1.4E-2</v>
      </c>
      <c r="P5157" s="23">
        <f t="shared" si="1874"/>
        <v>7.4343484730780727</v>
      </c>
      <c r="Q5157" s="23">
        <f t="shared" si="1875"/>
        <v>7.2345937827967699</v>
      </c>
      <c r="R5157" s="23">
        <f t="shared" si="1876"/>
        <v>5.7494610854879493</v>
      </c>
      <c r="S5157" s="23"/>
      <c r="T5157" s="23"/>
      <c r="U5157" s="23">
        <f t="shared" si="1870"/>
        <v>7.0343484730780723</v>
      </c>
      <c r="V5157" s="23">
        <f t="shared" si="1871"/>
        <v>6.8345937827967695</v>
      </c>
      <c r="W5157" s="23">
        <f t="shared" si="1872"/>
        <v>5.349461085487949</v>
      </c>
      <c r="X5157" s="23"/>
      <c r="Z5157" s="23">
        <f t="shared" si="1878"/>
        <v>0</v>
      </c>
      <c r="AA5157" s="23">
        <f t="shared" si="1879"/>
        <v>0</v>
      </c>
      <c r="AB5157" s="23">
        <f t="shared" si="1880"/>
        <v>0</v>
      </c>
    </row>
    <row r="5158" spans="1:28" s="774" customFormat="1" x14ac:dyDescent="0.25">
      <c r="A5158" s="644" t="str">
        <f>"SgK4822--"&amp;RIGHT(A5157,5)</f>
        <v>SgK4822--Apr21</v>
      </c>
      <c r="B5158" s="645" t="s">
        <v>5435</v>
      </c>
      <c r="C5158" s="643" t="str">
        <f t="shared" si="1866"/>
        <v>Inbetriebnahme 04/2021</v>
      </c>
      <c r="D5158" s="643" t="str">
        <f t="shared" si="1877"/>
        <v>40 - 750 kW</v>
      </c>
      <c r="E5158" s="645"/>
      <c r="F5158" s="793">
        <f t="shared" si="1867"/>
        <v>5.95</v>
      </c>
      <c r="G5158" s="793">
        <f t="shared" si="1868"/>
        <v>6.35</v>
      </c>
      <c r="H5158" s="795">
        <f t="shared" si="1869"/>
        <v>5.08</v>
      </c>
      <c r="I5158" s="795"/>
      <c r="J5158" s="669">
        <v>44424</v>
      </c>
      <c r="K5158" s="23"/>
      <c r="L5158" s="12"/>
      <c r="N5158" s="333" t="str">
        <f t="shared" si="1873"/>
        <v>Dez21</v>
      </c>
      <c r="O5158" s="568">
        <v>1.4E-2</v>
      </c>
      <c r="P5158" s="23">
        <f t="shared" si="1874"/>
        <v>7.3302675944549796</v>
      </c>
      <c r="Q5158" s="23">
        <f t="shared" si="1875"/>
        <v>7.1333094698376147</v>
      </c>
      <c r="R5158" s="23">
        <f t="shared" si="1876"/>
        <v>5.6689686302911175</v>
      </c>
      <c r="S5158" s="23"/>
      <c r="T5158" s="23"/>
      <c r="U5158" s="23">
        <f t="shared" si="1870"/>
        <v>6.9302675944549792</v>
      </c>
      <c r="V5158" s="23">
        <f t="shared" si="1871"/>
        <v>6.7333094698376144</v>
      </c>
      <c r="W5158" s="23">
        <f t="shared" si="1872"/>
        <v>5.2689686302911172</v>
      </c>
      <c r="X5158" s="23"/>
      <c r="Z5158" s="23">
        <f t="shared" si="1878"/>
        <v>0</v>
      </c>
      <c r="AA5158" s="23">
        <f t="shared" si="1879"/>
        <v>0</v>
      </c>
      <c r="AB5158" s="23">
        <f t="shared" si="1880"/>
        <v>0</v>
      </c>
    </row>
    <row r="5159" spans="1:28" s="774" customFormat="1" x14ac:dyDescent="0.25">
      <c r="A5159" s="644" t="str">
        <f>"SgK4820--"&amp;RIGHT(N5151,5)</f>
        <v>SgK4820--Mai21</v>
      </c>
      <c r="B5159" s="645" t="s">
        <v>5435</v>
      </c>
      <c r="C5159" s="643" t="str">
        <f t="shared" si="1866"/>
        <v>Inbetriebnahme 05/2021</v>
      </c>
      <c r="D5159" s="643" t="str">
        <f t="shared" si="1877"/>
        <v>0 - 10 kW</v>
      </c>
      <c r="E5159" s="645"/>
      <c r="F5159" s="793">
        <f t="shared" si="1867"/>
        <v>7.69</v>
      </c>
      <c r="G5159" s="793">
        <f t="shared" si="1868"/>
        <v>8.09</v>
      </c>
      <c r="H5159" s="795">
        <f t="shared" si="1869"/>
        <v>6.47</v>
      </c>
      <c r="I5159" s="795"/>
      <c r="J5159" s="669">
        <v>44424</v>
      </c>
      <c r="K5159" s="23"/>
      <c r="L5159" s="12"/>
      <c r="M5159" s="413"/>
      <c r="N5159" s="281"/>
      <c r="O5159" s="680"/>
      <c r="P5159" s="326"/>
      <c r="Q5159" s="327"/>
      <c r="R5159" s="327"/>
      <c r="S5159" s="327"/>
      <c r="T5159" s="327"/>
      <c r="U5159" s="12"/>
      <c r="V5159" s="12"/>
      <c r="W5159" s="12"/>
      <c r="X5159" s="12"/>
      <c r="Y5159" s="12"/>
      <c r="Z5159" s="12"/>
      <c r="AA5159" s="12"/>
    </row>
    <row r="5160" spans="1:28" s="774" customFormat="1" x14ac:dyDescent="0.25">
      <c r="A5160" s="644" t="str">
        <f>"SgK4821--"&amp;RIGHT(A5159,5)</f>
        <v>SgK4821--Mai21</v>
      </c>
      <c r="B5160" s="645" t="s">
        <v>5435</v>
      </c>
      <c r="C5160" s="643" t="str">
        <f t="shared" si="1866"/>
        <v>Inbetriebnahme 05/2021</v>
      </c>
      <c r="D5160" s="643" t="str">
        <f t="shared" si="1877"/>
        <v>10 - 40 kW</v>
      </c>
      <c r="E5160" s="645"/>
      <c r="F5160" s="793">
        <f t="shared" si="1867"/>
        <v>7.47</v>
      </c>
      <c r="G5160" s="793">
        <f t="shared" si="1868"/>
        <v>7.87</v>
      </c>
      <c r="H5160" s="795">
        <f t="shared" si="1869"/>
        <v>6.3</v>
      </c>
      <c r="I5160" s="795"/>
      <c r="J5160" s="669">
        <v>44424</v>
      </c>
      <c r="K5160" s="23"/>
      <c r="L5160" s="12"/>
      <c r="M5160" s="413"/>
      <c r="N5160" s="281"/>
      <c r="O5160" s="680"/>
      <c r="P5160" s="326"/>
      <c r="Q5160" s="327"/>
      <c r="R5160" s="327"/>
      <c r="S5160" s="327"/>
      <c r="T5160" s="327"/>
      <c r="U5160" s="12"/>
      <c r="V5160" s="12"/>
      <c r="W5160" s="12"/>
      <c r="X5160" s="12"/>
      <c r="Y5160" s="12"/>
      <c r="Z5160" s="12"/>
      <c r="AA5160" s="12"/>
    </row>
    <row r="5161" spans="1:28" s="774" customFormat="1" x14ac:dyDescent="0.25">
      <c r="A5161" s="644" t="str">
        <f>"SgK4822--"&amp;RIGHT(A5160,5)</f>
        <v>SgK4822--Mai21</v>
      </c>
      <c r="B5161" s="645" t="s">
        <v>5435</v>
      </c>
      <c r="C5161" s="643" t="str">
        <f t="shared" si="1866"/>
        <v>Inbetriebnahme 05/2021</v>
      </c>
      <c r="D5161" s="643" t="str">
        <f t="shared" si="1877"/>
        <v>40 - 750 kW</v>
      </c>
      <c r="E5161" s="645"/>
      <c r="F5161" s="793">
        <f t="shared" si="1867"/>
        <v>5.86</v>
      </c>
      <c r="G5161" s="793">
        <f t="shared" si="1868"/>
        <v>6.26</v>
      </c>
      <c r="H5161" s="795">
        <f t="shared" si="1869"/>
        <v>5.01</v>
      </c>
      <c r="I5161" s="795"/>
      <c r="J5161" s="669">
        <v>44424</v>
      </c>
      <c r="K5161" s="23"/>
      <c r="L5161" s="129"/>
      <c r="M5161" s="413"/>
      <c r="N5161" s="281"/>
      <c r="O5161" s="680"/>
      <c r="P5161" s="326"/>
      <c r="Q5161" s="327"/>
      <c r="R5161" s="327"/>
      <c r="S5161" s="327"/>
      <c r="T5161" s="327"/>
      <c r="U5161" s="12"/>
      <c r="V5161" s="12"/>
      <c r="W5161" s="12"/>
      <c r="X5161" s="12"/>
      <c r="Y5161" s="12"/>
      <c r="Z5161" s="12"/>
      <c r="AA5161" s="12"/>
    </row>
    <row r="5162" spans="1:28" s="774" customFormat="1" x14ac:dyDescent="0.25">
      <c r="A5162" s="644" t="str">
        <f>"SgK4820--"&amp;RIGHT(N5152,5)</f>
        <v>SgK4820--Jun21</v>
      </c>
      <c r="B5162" s="645" t="s">
        <v>5435</v>
      </c>
      <c r="C5162" s="643" t="str">
        <f t="shared" si="1866"/>
        <v>Inbetriebnahme 06/2021</v>
      </c>
      <c r="D5162" s="643" t="str">
        <f t="shared" si="1877"/>
        <v>0 - 10 kW</v>
      </c>
      <c r="E5162" s="645"/>
      <c r="F5162" s="793">
        <f t="shared" si="1867"/>
        <v>7.58</v>
      </c>
      <c r="G5162" s="793">
        <f t="shared" si="1868"/>
        <v>7.98</v>
      </c>
      <c r="H5162" s="795">
        <f t="shared" si="1869"/>
        <v>6.38</v>
      </c>
      <c r="I5162" s="795"/>
      <c r="J5162" s="669">
        <v>44424</v>
      </c>
      <c r="K5162" s="23"/>
      <c r="L5162" s="173"/>
      <c r="M5162" s="413"/>
      <c r="N5162" s="281"/>
      <c r="O5162" s="680"/>
      <c r="P5162" s="326"/>
      <c r="Q5162" s="327"/>
      <c r="R5162" s="327"/>
      <c r="S5162" s="327"/>
      <c r="T5162" s="327"/>
      <c r="U5162" s="12"/>
      <c r="V5162" s="12"/>
      <c r="W5162" s="12"/>
      <c r="X5162" s="12"/>
      <c r="Y5162" s="12"/>
      <c r="Z5162" s="12"/>
      <c r="AA5162" s="12"/>
    </row>
    <row r="5163" spans="1:28" s="774" customFormat="1" x14ac:dyDescent="0.25">
      <c r="A5163" s="644" t="str">
        <f>"SgK4821--"&amp;RIGHT(A5162,5)</f>
        <v>SgK4821--Jun21</v>
      </c>
      <c r="B5163" s="645" t="s">
        <v>5435</v>
      </c>
      <c r="C5163" s="643" t="str">
        <f t="shared" si="1866"/>
        <v>Inbetriebnahme 06/2021</v>
      </c>
      <c r="D5163" s="643" t="str">
        <f t="shared" si="1877"/>
        <v>10 - 40 kW</v>
      </c>
      <c r="E5163" s="645"/>
      <c r="F5163" s="793">
        <f t="shared" si="1867"/>
        <v>7.36</v>
      </c>
      <c r="G5163" s="793">
        <f t="shared" si="1868"/>
        <v>7.76</v>
      </c>
      <c r="H5163" s="795">
        <f t="shared" si="1869"/>
        <v>6.21</v>
      </c>
      <c r="I5163" s="795"/>
      <c r="J5163" s="669">
        <v>44424</v>
      </c>
      <c r="K5163" s="23"/>
      <c r="L5163" s="173"/>
      <c r="M5163" s="413"/>
      <c r="N5163" s="281"/>
      <c r="O5163" s="680"/>
      <c r="P5163" s="326"/>
      <c r="Q5163" s="327"/>
      <c r="R5163" s="327"/>
      <c r="S5163" s="327"/>
      <c r="T5163" s="327"/>
      <c r="U5163" s="12"/>
      <c r="V5163" s="12"/>
      <c r="W5163" s="12"/>
      <c r="X5163" s="12"/>
      <c r="Y5163" s="12"/>
      <c r="Z5163" s="12"/>
      <c r="AA5163" s="12"/>
    </row>
    <row r="5164" spans="1:28" s="774" customFormat="1" x14ac:dyDescent="0.25">
      <c r="A5164" s="644" t="str">
        <f>"SgK4822--"&amp;RIGHT(A5163,5)</f>
        <v>SgK4822--Jun21</v>
      </c>
      <c r="B5164" s="645" t="s">
        <v>5435</v>
      </c>
      <c r="C5164" s="643" t="str">
        <f t="shared" si="1866"/>
        <v>Inbetriebnahme 06/2021</v>
      </c>
      <c r="D5164" s="643" t="str">
        <f t="shared" si="1877"/>
        <v>40 - 750 kW</v>
      </c>
      <c r="E5164" s="645"/>
      <c r="F5164" s="793">
        <f t="shared" si="1867"/>
        <v>5.77</v>
      </c>
      <c r="G5164" s="793">
        <f t="shared" si="1868"/>
        <v>6.17</v>
      </c>
      <c r="H5164" s="795">
        <f t="shared" si="1869"/>
        <v>4.9400000000000004</v>
      </c>
      <c r="I5164" s="795"/>
      <c r="J5164" s="669">
        <v>44424</v>
      </c>
      <c r="K5164" s="23"/>
      <c r="L5164" s="173"/>
      <c r="M5164" s="413"/>
      <c r="N5164" s="281"/>
      <c r="O5164" s="680"/>
      <c r="P5164" s="344"/>
      <c r="Q5164" s="327"/>
      <c r="R5164" s="327"/>
      <c r="S5164" s="327"/>
      <c r="T5164" s="327"/>
      <c r="U5164" s="12"/>
      <c r="V5164" s="12"/>
      <c r="W5164" s="12"/>
      <c r="X5164" s="12"/>
      <c r="Y5164" s="12"/>
      <c r="Z5164" s="12"/>
      <c r="AA5164" s="12"/>
    </row>
    <row r="5165" spans="1:28" s="774" customFormat="1" x14ac:dyDescent="0.25">
      <c r="A5165" s="644" t="str">
        <f>"SgK4820--"&amp;RIGHT(N5153,5)</f>
        <v>SgK4820--Jul21</v>
      </c>
      <c r="B5165" s="645" t="s">
        <v>5435</v>
      </c>
      <c r="C5165" s="643" t="str">
        <f t="shared" si="1866"/>
        <v>Inbetriebnahme 07/2021</v>
      </c>
      <c r="D5165" s="643" t="str">
        <f t="shared" si="1877"/>
        <v>0 - 10 kW</v>
      </c>
      <c r="E5165" s="645"/>
      <c r="F5165" s="793">
        <f t="shared" si="1867"/>
        <v>7.47</v>
      </c>
      <c r="G5165" s="793">
        <f t="shared" si="1868"/>
        <v>7.87</v>
      </c>
      <c r="H5165" s="795">
        <f t="shared" si="1869"/>
        <v>6.3</v>
      </c>
      <c r="I5165" s="795"/>
      <c r="J5165" s="669">
        <v>44424</v>
      </c>
      <c r="K5165" s="23"/>
      <c r="L5165" s="173"/>
      <c r="M5165" s="413"/>
      <c r="N5165" s="281"/>
      <c r="O5165" s="682"/>
      <c r="P5165" s="12"/>
      <c r="Q5165" s="12"/>
      <c r="R5165" s="12"/>
      <c r="S5165" s="12"/>
      <c r="T5165" s="12"/>
      <c r="U5165" s="12"/>
      <c r="V5165" s="12"/>
      <c r="W5165" s="12"/>
      <c r="X5165" s="12"/>
      <c r="Y5165" s="12"/>
      <c r="Z5165" s="12"/>
      <c r="AA5165" s="12"/>
    </row>
    <row r="5166" spans="1:28" s="774" customFormat="1" x14ac:dyDescent="0.25">
      <c r="A5166" s="644" t="str">
        <f>"SgK4821--"&amp;RIGHT(A5165,5)</f>
        <v>SgK4821--Jul21</v>
      </c>
      <c r="B5166" s="645" t="s">
        <v>5435</v>
      </c>
      <c r="C5166" s="643" t="str">
        <f t="shared" si="1866"/>
        <v>Inbetriebnahme 07/2021</v>
      </c>
      <c r="D5166" s="643" t="str">
        <f t="shared" si="1877"/>
        <v>10 - 40 kW</v>
      </c>
      <c r="E5166" s="645"/>
      <c r="F5166" s="793">
        <f t="shared" si="1867"/>
        <v>7.25</v>
      </c>
      <c r="G5166" s="793">
        <f t="shared" si="1868"/>
        <v>7.65</v>
      </c>
      <c r="H5166" s="795">
        <f t="shared" si="1869"/>
        <v>6.12</v>
      </c>
      <c r="I5166" s="795"/>
      <c r="J5166" s="669">
        <v>44424</v>
      </c>
      <c r="K5166" s="23"/>
      <c r="L5166" s="173"/>
      <c r="M5166" s="413"/>
      <c r="N5166" s="12"/>
      <c r="O5166" s="682"/>
      <c r="P5166" s="12"/>
      <c r="Q5166" s="12"/>
      <c r="R5166" s="12"/>
      <c r="S5166" s="12"/>
      <c r="T5166" s="12"/>
      <c r="U5166" s="12"/>
      <c r="V5166" s="12"/>
      <c r="W5166" s="12"/>
      <c r="X5166" s="12"/>
      <c r="Y5166" s="12"/>
      <c r="Z5166" s="12"/>
      <c r="AA5166" s="12"/>
    </row>
    <row r="5167" spans="1:28" s="774" customFormat="1" x14ac:dyDescent="0.25">
      <c r="A5167" s="644" t="str">
        <f>"SgK4822--"&amp;RIGHT(A5166,5)</f>
        <v>SgK4822--Jul21</v>
      </c>
      <c r="B5167" s="645" t="s">
        <v>5435</v>
      </c>
      <c r="C5167" s="643" t="str">
        <f t="shared" si="1866"/>
        <v>Inbetriebnahme 07/2021</v>
      </c>
      <c r="D5167" s="643" t="str">
        <f t="shared" si="1877"/>
        <v>40 - 750 kW</v>
      </c>
      <c r="E5167" s="645"/>
      <c r="F5167" s="793">
        <f t="shared" si="1867"/>
        <v>5.68</v>
      </c>
      <c r="G5167" s="793">
        <f t="shared" si="1868"/>
        <v>6.08</v>
      </c>
      <c r="H5167" s="795">
        <f t="shared" si="1869"/>
        <v>4.8600000000000003</v>
      </c>
      <c r="I5167" s="795"/>
      <c r="J5167" s="669">
        <v>44424</v>
      </c>
      <c r="K5167" s="769"/>
      <c r="L5167" s="173"/>
      <c r="M5167" s="413"/>
      <c r="N5167" s="12"/>
      <c r="O5167" s="682"/>
      <c r="P5167" s="12"/>
      <c r="Q5167" s="12"/>
      <c r="R5167" s="12"/>
      <c r="S5167" s="12"/>
      <c r="T5167" s="12"/>
      <c r="U5167" s="12"/>
      <c r="V5167" s="12"/>
      <c r="W5167" s="12"/>
      <c r="X5167" s="12"/>
      <c r="Y5167" s="12"/>
      <c r="Z5167" s="12"/>
      <c r="AA5167" s="12"/>
    </row>
    <row r="5168" spans="1:28" s="774" customFormat="1" x14ac:dyDescent="0.25">
      <c r="A5168" s="644" t="str">
        <f>"SgK4820--"&amp;RIGHT(N5154,5)</f>
        <v>SgK4820--Aug21</v>
      </c>
      <c r="B5168" s="645" t="s">
        <v>5435</v>
      </c>
      <c r="C5168" s="643" t="str">
        <f t="shared" si="1866"/>
        <v>Inbetriebnahme 08/2021</v>
      </c>
      <c r="D5168" s="643" t="str">
        <f t="shared" si="1877"/>
        <v>0 - 10 kW</v>
      </c>
      <c r="E5168" s="645"/>
      <c r="F5168" s="793">
        <f t="shared" si="1867"/>
        <v>7.36</v>
      </c>
      <c r="G5168" s="793">
        <f t="shared" si="1868"/>
        <v>7.76</v>
      </c>
      <c r="H5168" s="795">
        <f t="shared" si="1869"/>
        <v>6.21</v>
      </c>
      <c r="I5168" s="795"/>
      <c r="J5168" s="669">
        <v>44424</v>
      </c>
      <c r="K5168" s="769"/>
      <c r="L5168" s="173"/>
      <c r="M5168" s="413"/>
      <c r="O5168" s="325"/>
      <c r="P5168" s="12"/>
      <c r="Q5168" s="12"/>
      <c r="R5168" s="12"/>
      <c r="S5168" s="12"/>
      <c r="T5168" s="12"/>
    </row>
    <row r="5169" spans="1:33" s="774" customFormat="1" x14ac:dyDescent="0.25">
      <c r="A5169" s="644" t="str">
        <f>"SgK4821--"&amp;RIGHT(A5168,5)</f>
        <v>SgK4821--Aug21</v>
      </c>
      <c r="B5169" s="645" t="s">
        <v>5435</v>
      </c>
      <c r="C5169" s="643" t="str">
        <f t="shared" si="1866"/>
        <v>Inbetriebnahme 08/2021</v>
      </c>
      <c r="D5169" s="643" t="str">
        <f t="shared" si="1877"/>
        <v>10 - 40 kW</v>
      </c>
      <c r="E5169" s="645"/>
      <c r="F5169" s="793">
        <f t="shared" si="1867"/>
        <v>7.15</v>
      </c>
      <c r="G5169" s="793">
        <f t="shared" si="1868"/>
        <v>7.55</v>
      </c>
      <c r="H5169" s="795">
        <f t="shared" si="1869"/>
        <v>6.04</v>
      </c>
      <c r="I5169" s="795"/>
      <c r="J5169" s="669">
        <v>44424</v>
      </c>
      <c r="K5169" s="769"/>
      <c r="L5169" s="173"/>
      <c r="M5169" s="413"/>
      <c r="O5169" s="325"/>
      <c r="P5169" s="12"/>
      <c r="Q5169" s="12"/>
      <c r="R5169" s="12"/>
      <c r="S5169" s="12"/>
      <c r="T5169" s="12"/>
    </row>
    <row r="5170" spans="1:33" s="774" customFormat="1" x14ac:dyDescent="0.25">
      <c r="A5170" s="644" t="str">
        <f>"SgK4822--"&amp;RIGHT(A5169,5)</f>
        <v>SgK4822--Aug21</v>
      </c>
      <c r="B5170" s="645" t="s">
        <v>5435</v>
      </c>
      <c r="C5170" s="643" t="str">
        <f t="shared" si="1866"/>
        <v>Inbetriebnahme 08/2021</v>
      </c>
      <c r="D5170" s="643" t="str">
        <f t="shared" si="1877"/>
        <v>40 - 750 kW</v>
      </c>
      <c r="E5170" s="645"/>
      <c r="F5170" s="793">
        <f t="shared" si="1867"/>
        <v>5.6</v>
      </c>
      <c r="G5170" s="793">
        <f t="shared" si="1868"/>
        <v>6</v>
      </c>
      <c r="H5170" s="795">
        <f t="shared" si="1869"/>
        <v>4.8</v>
      </c>
      <c r="I5170" s="795"/>
      <c r="J5170" s="669">
        <v>44424</v>
      </c>
      <c r="M5170" s="413"/>
      <c r="O5170" s="325"/>
      <c r="P5170" s="12"/>
      <c r="Q5170" s="12"/>
      <c r="R5170" s="12"/>
      <c r="S5170" s="12"/>
      <c r="T5170" s="12"/>
    </row>
    <row r="5171" spans="1:33" s="774" customFormat="1" x14ac:dyDescent="0.25">
      <c r="A5171" s="644" t="str">
        <f>"SgK4820--"&amp;RIGHT(N5155,5)</f>
        <v>SgK4820--Sep21</v>
      </c>
      <c r="B5171" s="645" t="s">
        <v>5435</v>
      </c>
      <c r="C5171" s="643" t="str">
        <f t="shared" si="1866"/>
        <v>Inbetriebnahme 09/2021</v>
      </c>
      <c r="D5171" s="643" t="str">
        <f t="shared" si="1877"/>
        <v>0 - 10 kW</v>
      </c>
      <c r="E5171" s="645"/>
      <c r="F5171" s="793">
        <f t="shared" si="1867"/>
        <v>7.25</v>
      </c>
      <c r="G5171" s="793">
        <f t="shared" si="1868"/>
        <v>7.65</v>
      </c>
      <c r="H5171" s="795">
        <f t="shared" si="1869"/>
        <v>6.12</v>
      </c>
      <c r="I5171" s="795"/>
      <c r="J5171" s="669">
        <v>44424</v>
      </c>
    </row>
    <row r="5172" spans="1:33" s="774" customFormat="1" x14ac:dyDescent="0.25">
      <c r="A5172" s="644" t="str">
        <f>"SgK4821--"&amp;RIGHT(A5171,5)</f>
        <v>SgK4821--Sep21</v>
      </c>
      <c r="B5172" s="645" t="s">
        <v>5435</v>
      </c>
      <c r="C5172" s="643" t="str">
        <f t="shared" si="1866"/>
        <v>Inbetriebnahme 09/2021</v>
      </c>
      <c r="D5172" s="643" t="str">
        <f t="shared" si="1877"/>
        <v>10 - 40 kW</v>
      </c>
      <c r="E5172" s="645"/>
      <c r="F5172" s="793">
        <f t="shared" si="1867"/>
        <v>7.04</v>
      </c>
      <c r="G5172" s="793">
        <f t="shared" si="1868"/>
        <v>7.44</v>
      </c>
      <c r="H5172" s="795">
        <f t="shared" si="1869"/>
        <v>5.95</v>
      </c>
      <c r="I5172" s="795"/>
      <c r="J5172" s="669">
        <v>44424</v>
      </c>
    </row>
    <row r="5173" spans="1:33" s="774" customFormat="1" x14ac:dyDescent="0.25">
      <c r="A5173" s="644" t="str">
        <f>"SgK4822--"&amp;RIGHT(A5172,5)</f>
        <v>SgK4822--Sep21</v>
      </c>
      <c r="B5173" s="645" t="s">
        <v>5435</v>
      </c>
      <c r="C5173" s="643" t="str">
        <f t="shared" si="1866"/>
        <v>Inbetriebnahme 09/2021</v>
      </c>
      <c r="D5173" s="643" t="str">
        <f t="shared" si="1877"/>
        <v>40 - 750 kW</v>
      </c>
      <c r="E5173" s="645"/>
      <c r="F5173" s="793">
        <f t="shared" si="1867"/>
        <v>5.51</v>
      </c>
      <c r="G5173" s="793">
        <f t="shared" si="1868"/>
        <v>5.91</v>
      </c>
      <c r="H5173" s="795">
        <f t="shared" si="1869"/>
        <v>4.7300000000000004</v>
      </c>
      <c r="I5173" s="795"/>
      <c r="J5173" s="669">
        <v>44424</v>
      </c>
    </row>
    <row r="5174" spans="1:33" s="774" customFormat="1" x14ac:dyDescent="0.25">
      <c r="A5174" s="644" t="str">
        <f>"SgK4820--"&amp;RIGHT(N5156,5)</f>
        <v>SgK4820--Okt21</v>
      </c>
      <c r="B5174" s="645" t="s">
        <v>5435</v>
      </c>
      <c r="C5174" s="643" t="str">
        <f t="shared" si="1866"/>
        <v>Inbetriebnahme 10/2021</v>
      </c>
      <c r="D5174" s="643" t="str">
        <f t="shared" si="1877"/>
        <v>0 - 10 kW</v>
      </c>
      <c r="E5174" s="645"/>
      <c r="F5174" s="793">
        <f t="shared" si="1867"/>
        <v>7.14</v>
      </c>
      <c r="G5174" s="793">
        <f t="shared" si="1868"/>
        <v>7.54</v>
      </c>
      <c r="H5174" s="795">
        <f t="shared" si="1869"/>
        <v>6.03</v>
      </c>
      <c r="I5174" s="795"/>
      <c r="J5174" s="669">
        <v>44424</v>
      </c>
      <c r="O5174" s="395"/>
      <c r="P5174" s="327" t="str">
        <f>IF($O5174&lt;&gt;"",(1-$O5174)*P5158,"")</f>
        <v/>
      </c>
      <c r="Q5174" s="327" t="str">
        <f>IF($O5174&lt;&gt;"",(1-$O5174)*Q5158,"")</f>
        <v/>
      </c>
      <c r="R5174" s="327" t="str">
        <f>IF($O5174&lt;&gt;"",(1-$O5174)*R5158,"")</f>
        <v/>
      </c>
      <c r="S5174" s="327" t="str">
        <f>IF($O5174&lt;&gt;"",(1-$O5174)*S5158,"")</f>
        <v/>
      </c>
      <c r="U5174" s="327" t="str">
        <f>IF($O5174&lt;&gt;"",(1-$O5174)*U5158,"")</f>
        <v/>
      </c>
      <c r="V5174" s="327" t="str">
        <f>IF($O5174&lt;&gt;"",(1-$O5174)*V5158,"")</f>
        <v/>
      </c>
      <c r="W5174" s="327" t="str">
        <f>IF($O5174&lt;&gt;"",(1-$O5174)*W5158,"")</f>
        <v/>
      </c>
      <c r="X5174" s="327" t="str">
        <f>IF($O5174&lt;&gt;"",(1-$O5174)*X5158,"")</f>
        <v/>
      </c>
    </row>
    <row r="5175" spans="1:33" s="774" customFormat="1" x14ac:dyDescent="0.25">
      <c r="A5175" s="644" t="str">
        <f>"SgK4821--"&amp;RIGHT(A5174,5)</f>
        <v>SgK4821--Okt21</v>
      </c>
      <c r="B5175" s="645" t="s">
        <v>5435</v>
      </c>
      <c r="C5175" s="643" t="str">
        <f t="shared" si="1866"/>
        <v>Inbetriebnahme 10/2021</v>
      </c>
      <c r="D5175" s="643" t="str">
        <f t="shared" si="1877"/>
        <v>10 - 40 kW</v>
      </c>
      <c r="E5175" s="645"/>
      <c r="F5175" s="793">
        <f t="shared" si="1867"/>
        <v>6.94</v>
      </c>
      <c r="G5175" s="793">
        <f t="shared" si="1868"/>
        <v>7.34</v>
      </c>
      <c r="H5175" s="795">
        <f t="shared" si="1869"/>
        <v>5.87</v>
      </c>
      <c r="I5175" s="795"/>
      <c r="J5175" s="669">
        <v>44424</v>
      </c>
      <c r="O5175" s="395"/>
      <c r="P5175" s="327" t="str">
        <f>IF($O5175&lt;&gt;"",(1-$O5175)*P5158,"")</f>
        <v/>
      </c>
      <c r="Q5175" s="327" t="str">
        <f>IF($O5175&lt;&gt;"",(1-$O5175)*Q5158,"")</f>
        <v/>
      </c>
      <c r="R5175" s="327" t="str">
        <f>IF($O5175&lt;&gt;"",(1-$O5175)*R5158,"")</f>
        <v/>
      </c>
      <c r="S5175" s="327" t="str">
        <f>IF($O5175&lt;&gt;"",(1-$O5175)*S5158,"")</f>
        <v/>
      </c>
      <c r="U5175" s="327" t="str">
        <f>IF($O5175&lt;&gt;"",(1-$O5175)*U5158,"")</f>
        <v/>
      </c>
      <c r="V5175" s="327" t="str">
        <f>IF($O5175&lt;&gt;"",(1-$O5175)*V5158,"")</f>
        <v/>
      </c>
      <c r="W5175" s="327" t="str">
        <f>IF($O5175&lt;&gt;"",(1-$O5175)*W5158,"")</f>
        <v/>
      </c>
      <c r="X5175" s="327" t="str">
        <f>IF($O5175&lt;&gt;"",(1-$O5175)*X5158,"")</f>
        <v/>
      </c>
    </row>
    <row r="5176" spans="1:33" s="774" customFormat="1" x14ac:dyDescent="0.25">
      <c r="A5176" s="644" t="str">
        <f>"SgK4822--"&amp;RIGHT(A5175,5)</f>
        <v>SgK4822--Okt21</v>
      </c>
      <c r="B5176" s="645" t="s">
        <v>5435</v>
      </c>
      <c r="C5176" s="643" t="str">
        <f t="shared" si="1866"/>
        <v>Inbetriebnahme 10/2021</v>
      </c>
      <c r="D5176" s="643" t="str">
        <f t="shared" si="1877"/>
        <v>40 - 750 kW</v>
      </c>
      <c r="E5176" s="645"/>
      <c r="F5176" s="793">
        <f t="shared" si="1867"/>
        <v>5.43</v>
      </c>
      <c r="G5176" s="793">
        <f t="shared" si="1868"/>
        <v>5.83</v>
      </c>
      <c r="H5176" s="795">
        <f t="shared" si="1869"/>
        <v>4.66</v>
      </c>
      <c r="I5176" s="795"/>
      <c r="J5176" s="669">
        <v>44424</v>
      </c>
      <c r="O5176" s="395"/>
      <c r="P5176" s="327" t="str">
        <f>IF($O5176&lt;&gt;"",(1-$O5176)*P5174,"")</f>
        <v/>
      </c>
      <c r="Q5176" s="327" t="str">
        <f>IF($O5176&lt;&gt;"",(1-$O5176)*Q5174,"")</f>
        <v/>
      </c>
      <c r="R5176" s="327" t="str">
        <f>IF($O5176&lt;&gt;"",(1-$O5176)*R5174,"")</f>
        <v/>
      </c>
      <c r="S5176" s="327" t="str">
        <f>IF($O5176&lt;&gt;"",(1-$O5176)*S5174,"")</f>
        <v/>
      </c>
      <c r="U5176" s="327" t="str">
        <f>IF($O5176&lt;&gt;"",(1-$O5176)*U5174,"")</f>
        <v/>
      </c>
      <c r="V5176" s="327" t="str">
        <f>IF($O5176&lt;&gt;"",(1-$O5176)*V5174,"")</f>
        <v/>
      </c>
      <c r="W5176" s="327" t="str">
        <f>IF($O5176&lt;&gt;"",(1-$O5176)*W5174,"")</f>
        <v/>
      </c>
      <c r="X5176" s="327" t="str">
        <f>IF($O5176&lt;&gt;"",(1-$O5176)*X5174,"")</f>
        <v/>
      </c>
    </row>
    <row r="5177" spans="1:33" s="774" customFormat="1" x14ac:dyDescent="0.25">
      <c r="A5177" s="644" t="str">
        <f>"SgK4820--"&amp;RIGHT(N5157,5)</f>
        <v>SgK4820--Nov21</v>
      </c>
      <c r="B5177" s="645" t="s">
        <v>5435</v>
      </c>
      <c r="C5177" s="643" t="str">
        <f t="shared" si="1866"/>
        <v>Inbetriebnahme 11/2021</v>
      </c>
      <c r="D5177" s="643" t="str">
        <f t="shared" si="1877"/>
        <v>0 - 10 kW</v>
      </c>
      <c r="E5177" s="645"/>
      <c r="F5177" s="793">
        <f t="shared" si="1867"/>
        <v>7.03</v>
      </c>
      <c r="G5177" s="793">
        <f t="shared" si="1868"/>
        <v>7.43</v>
      </c>
      <c r="H5177" s="795">
        <f t="shared" si="1869"/>
        <v>5.94</v>
      </c>
      <c r="I5177" s="795"/>
      <c r="J5177" s="669">
        <v>44511</v>
      </c>
      <c r="O5177" s="395"/>
      <c r="P5177" s="327" t="str">
        <f>IF($O5177&lt;&gt;"",(1-$O5177)*#REF!,"")</f>
        <v/>
      </c>
      <c r="Q5177" s="327" t="str">
        <f>IF($O5177&lt;&gt;"",(1-$O5177)*#REF!,"")</f>
        <v/>
      </c>
      <c r="R5177" s="327" t="str">
        <f>IF($O5177&lt;&gt;"",(1-$O5177)*#REF!,"")</f>
        <v/>
      </c>
      <c r="S5177" s="327" t="str">
        <f>IF($O5177&lt;&gt;"",(1-$O5177)*#REF!,"")</f>
        <v/>
      </c>
      <c r="U5177" s="327" t="str">
        <f>IF($O5177&lt;&gt;"",(1-$O5177)*#REF!,"")</f>
        <v/>
      </c>
      <c r="V5177" s="327" t="str">
        <f>IF($O5177&lt;&gt;"",(1-$O5177)*#REF!,"")</f>
        <v/>
      </c>
      <c r="W5177" s="327" t="str">
        <f>IF($O5177&lt;&gt;"",(1-$O5177)*#REF!,"")</f>
        <v/>
      </c>
      <c r="X5177" s="327" t="str">
        <f>IF($O5177&lt;&gt;"",(1-$O5177)*#REF!,"")</f>
        <v/>
      </c>
    </row>
    <row r="5178" spans="1:33" s="774" customFormat="1" x14ac:dyDescent="0.25">
      <c r="A5178" s="644" t="str">
        <f>"SgK4821--"&amp;RIGHT(A5177,5)</f>
        <v>SgK4821--Nov21</v>
      </c>
      <c r="B5178" s="645" t="s">
        <v>5435</v>
      </c>
      <c r="C5178" s="643" t="str">
        <f t="shared" si="1866"/>
        <v>Inbetriebnahme 11/2021</v>
      </c>
      <c r="D5178" s="643" t="str">
        <f t="shared" si="1877"/>
        <v>10 - 40 kW</v>
      </c>
      <c r="E5178" s="645"/>
      <c r="F5178" s="793">
        <f t="shared" si="1867"/>
        <v>6.83</v>
      </c>
      <c r="G5178" s="793">
        <f t="shared" si="1868"/>
        <v>7.23</v>
      </c>
      <c r="H5178" s="795">
        <f t="shared" si="1869"/>
        <v>5.78</v>
      </c>
      <c r="I5178" s="795"/>
      <c r="J5178" s="669">
        <v>44511</v>
      </c>
      <c r="O5178" s="395"/>
      <c r="P5178" s="327" t="str">
        <f>IF($O5178&lt;&gt;"",(1-$O5178)*#REF!,"")</f>
        <v/>
      </c>
      <c r="Q5178" s="327" t="str">
        <f>IF($O5178&lt;&gt;"",(1-$O5178)*#REF!,"")</f>
        <v/>
      </c>
      <c r="R5178" s="327" t="str">
        <f>IF($O5178&lt;&gt;"",(1-$O5178)*#REF!,"")</f>
        <v/>
      </c>
      <c r="S5178" s="327" t="str">
        <f>IF($O5178&lt;&gt;"",(1-$O5178)*#REF!,"")</f>
        <v/>
      </c>
      <c r="U5178" s="327" t="str">
        <f>IF($O5178&lt;&gt;"",(1-$O5178)*#REF!,"")</f>
        <v/>
      </c>
      <c r="V5178" s="327" t="str">
        <f>IF($O5178&lt;&gt;"",(1-$O5178)*#REF!,"")</f>
        <v/>
      </c>
      <c r="W5178" s="327" t="str">
        <f>IF($O5178&lt;&gt;"",(1-$O5178)*#REF!,"")</f>
        <v/>
      </c>
      <c r="X5178" s="327" t="str">
        <f>IF($O5178&lt;&gt;"",(1-$O5178)*#REF!,"")</f>
        <v/>
      </c>
    </row>
    <row r="5179" spans="1:33" s="774" customFormat="1" x14ac:dyDescent="0.25">
      <c r="A5179" s="644" t="str">
        <f>"SgK4822--"&amp;RIGHT(A5178,5)</f>
        <v>SgK4822--Nov21</v>
      </c>
      <c r="B5179" s="645" t="s">
        <v>5435</v>
      </c>
      <c r="C5179" s="643" t="str">
        <f t="shared" si="1866"/>
        <v>Inbetriebnahme 11/2021</v>
      </c>
      <c r="D5179" s="643" t="str">
        <f t="shared" si="1877"/>
        <v>40 - 750 kW</v>
      </c>
      <c r="E5179" s="645"/>
      <c r="F5179" s="793">
        <f t="shared" si="1867"/>
        <v>5.35</v>
      </c>
      <c r="G5179" s="793">
        <f t="shared" si="1868"/>
        <v>5.75</v>
      </c>
      <c r="H5179" s="795">
        <f t="shared" si="1869"/>
        <v>4.5999999999999996</v>
      </c>
      <c r="I5179" s="795"/>
      <c r="J5179" s="669">
        <v>44511</v>
      </c>
      <c r="O5179" s="395"/>
      <c r="P5179" s="327" t="str">
        <f>IF($O5179&lt;&gt;"",(1-$O5179)*P5177,"")</f>
        <v/>
      </c>
      <c r="Q5179" s="327" t="str">
        <f>IF($O5179&lt;&gt;"",(1-$O5179)*Q5177,"")</f>
        <v/>
      </c>
      <c r="R5179" s="327" t="str">
        <f>IF($O5179&lt;&gt;"",(1-$O5179)*R5177,"")</f>
        <v/>
      </c>
      <c r="S5179" s="327" t="str">
        <f>IF($O5179&lt;&gt;"",(1-$O5179)*S5177,"")</f>
        <v/>
      </c>
      <c r="U5179" s="327" t="str">
        <f>IF($O5179&lt;&gt;"",(1-$O5179)*U5177,"")</f>
        <v/>
      </c>
      <c r="V5179" s="327" t="str">
        <f>IF($O5179&lt;&gt;"",(1-$O5179)*V5177,"")</f>
        <v/>
      </c>
      <c r="W5179" s="327" t="str">
        <f>IF($O5179&lt;&gt;"",(1-$O5179)*W5177,"")</f>
        <v/>
      </c>
      <c r="X5179" s="327" t="str">
        <f>IF($O5179&lt;&gt;"",(1-$O5179)*X5177,"")</f>
        <v/>
      </c>
    </row>
    <row r="5180" spans="1:33" s="774" customFormat="1" x14ac:dyDescent="0.25">
      <c r="A5180" s="644" t="str">
        <f>"SgK4820--"&amp;RIGHT(N5158,5)</f>
        <v>SgK4820--Dez21</v>
      </c>
      <c r="B5180" s="645" t="s">
        <v>5435</v>
      </c>
      <c r="C5180" s="643" t="str">
        <f t="shared" si="1866"/>
        <v>Inbetriebnahme 12/2021</v>
      </c>
      <c r="D5180" s="643" t="str">
        <f t="shared" si="1877"/>
        <v>0 - 10 kW</v>
      </c>
      <c r="E5180" s="645"/>
      <c r="F5180" s="793">
        <f t="shared" si="1867"/>
        <v>6.93</v>
      </c>
      <c r="G5180" s="793">
        <f t="shared" si="1868"/>
        <v>7.33</v>
      </c>
      <c r="H5180" s="795">
        <f t="shared" si="1869"/>
        <v>5.86</v>
      </c>
      <c r="I5180" s="795"/>
      <c r="J5180" s="669">
        <v>44511</v>
      </c>
      <c r="O5180" s="395"/>
      <c r="P5180" s="327" t="str">
        <f>IF($O5180&lt;&gt;"",(1-$O5180)*#REF!,"")</f>
        <v/>
      </c>
      <c r="Q5180" s="327" t="str">
        <f>IF($O5180&lt;&gt;"",(1-$O5180)*#REF!,"")</f>
        <v/>
      </c>
      <c r="R5180" s="327" t="str">
        <f>IF($O5180&lt;&gt;"",(1-$O5180)*#REF!,"")</f>
        <v/>
      </c>
      <c r="S5180" s="327" t="str">
        <f>IF($O5180&lt;&gt;"",(1-$O5180)*#REF!,"")</f>
        <v/>
      </c>
      <c r="U5180" s="327" t="str">
        <f>IF($O5180&lt;&gt;"",(1-$O5180)*#REF!,"")</f>
        <v/>
      </c>
      <c r="V5180" s="327" t="str">
        <f>IF($O5180&lt;&gt;"",(1-$O5180)*#REF!,"")</f>
        <v/>
      </c>
      <c r="W5180" s="327" t="str">
        <f>IF($O5180&lt;&gt;"",(1-$O5180)*#REF!,"")</f>
        <v/>
      </c>
      <c r="X5180" s="327" t="str">
        <f>IF($O5180&lt;&gt;"",(1-$O5180)*#REF!,"")</f>
        <v/>
      </c>
    </row>
    <row r="5181" spans="1:33" s="774" customFormat="1" x14ac:dyDescent="0.25">
      <c r="A5181" s="644" t="str">
        <f>"SgK4821--"&amp;RIGHT(A5180,5)</f>
        <v>SgK4821--Dez21</v>
      </c>
      <c r="B5181" s="645" t="s">
        <v>5435</v>
      </c>
      <c r="C5181" s="643" t="str">
        <f t="shared" si="1866"/>
        <v>Inbetriebnahme 12/2021</v>
      </c>
      <c r="D5181" s="643" t="str">
        <f t="shared" si="1877"/>
        <v>10 - 40 kW</v>
      </c>
      <c r="E5181" s="645"/>
      <c r="F5181" s="793">
        <f t="shared" si="1867"/>
        <v>6.73</v>
      </c>
      <c r="G5181" s="793">
        <f t="shared" si="1868"/>
        <v>7.13</v>
      </c>
      <c r="H5181" s="795">
        <f t="shared" si="1869"/>
        <v>5.7</v>
      </c>
      <c r="I5181" s="795"/>
      <c r="J5181" s="669">
        <v>44511</v>
      </c>
      <c r="O5181" s="395"/>
      <c r="P5181" s="327" t="str">
        <f>IF($O5181&lt;&gt;"",(1-$O5181)*#REF!,"")</f>
        <v/>
      </c>
      <c r="Q5181" s="327" t="str">
        <f>IF($O5181&lt;&gt;"",(1-$O5181)*#REF!,"")</f>
        <v/>
      </c>
      <c r="R5181" s="327" t="str">
        <f>IF($O5181&lt;&gt;"",(1-$O5181)*#REF!,"")</f>
        <v/>
      </c>
      <c r="S5181" s="327" t="str">
        <f>IF($O5181&lt;&gt;"",(1-$O5181)*#REF!,"")</f>
        <v/>
      </c>
      <c r="U5181" s="327" t="str">
        <f>IF($O5181&lt;&gt;"",(1-$O5181)*#REF!,"")</f>
        <v/>
      </c>
      <c r="V5181" s="327" t="str">
        <f>IF($O5181&lt;&gt;"",(1-$O5181)*#REF!,"")</f>
        <v/>
      </c>
      <c r="W5181" s="327" t="str">
        <f>IF($O5181&lt;&gt;"",(1-$O5181)*#REF!,"")</f>
        <v/>
      </c>
      <c r="X5181" s="327" t="str">
        <f>IF($O5181&lt;&gt;"",(1-$O5181)*#REF!,"")</f>
        <v/>
      </c>
    </row>
    <row r="5182" spans="1:33" s="774" customFormat="1" ht="14.25" customHeight="1" x14ac:dyDescent="0.25">
      <c r="A5182" s="644" t="str">
        <f>"SgK4822--"&amp;RIGHT(A5181,5)</f>
        <v>SgK4822--Dez21</v>
      </c>
      <c r="B5182" s="645" t="s">
        <v>5435</v>
      </c>
      <c r="C5182" s="643" t="str">
        <f t="shared" si="1866"/>
        <v>Inbetriebnahme 12/2021</v>
      </c>
      <c r="D5182" s="643" t="str">
        <f t="shared" si="1877"/>
        <v>40 - 750 kW</v>
      </c>
      <c r="E5182" s="645"/>
      <c r="F5182" s="793">
        <f t="shared" si="1867"/>
        <v>5.27</v>
      </c>
      <c r="G5182" s="793">
        <f t="shared" si="1868"/>
        <v>5.67</v>
      </c>
      <c r="H5182" s="795">
        <f t="shared" si="1869"/>
        <v>4.54</v>
      </c>
      <c r="I5182" s="795"/>
      <c r="J5182" s="669">
        <v>44511</v>
      </c>
      <c r="O5182" s="395"/>
      <c r="P5182" s="327" t="str">
        <f>IF($O5182&lt;&gt;"",(1-$O5182)*P5180,"")</f>
        <v/>
      </c>
      <c r="Q5182" s="327" t="str">
        <f>IF($O5182&lt;&gt;"",(1-$O5182)*Q5180,"")</f>
        <v/>
      </c>
      <c r="R5182" s="327" t="str">
        <f>IF($O5182&lt;&gt;"",(1-$O5182)*R5180,"")</f>
        <v/>
      </c>
      <c r="S5182" s="327" t="str">
        <f>IF($O5182&lt;&gt;"",(1-$O5182)*S5180,"")</f>
        <v/>
      </c>
      <c r="U5182" s="327" t="str">
        <f>IF($O5182&lt;&gt;"",(1-$O5182)*U5180,"")</f>
        <v/>
      </c>
      <c r="V5182" s="327" t="str">
        <f>IF($O5182&lt;&gt;"",(1-$O5182)*V5180,"")</f>
        <v/>
      </c>
      <c r="W5182" s="327" t="str">
        <f>IF($O5182&lt;&gt;"",(1-$O5182)*W5180,"")</f>
        <v/>
      </c>
      <c r="X5182" s="327" t="str">
        <f>IF($O5182&lt;&gt;"",(1-$O5182)*X5180,"")</f>
        <v/>
      </c>
    </row>
    <row r="5183" spans="1:33" s="774" customFormat="1" x14ac:dyDescent="0.25">
      <c r="A5183" s="609"/>
      <c r="B5183" s="1"/>
      <c r="C5183" s="1"/>
      <c r="D5183" s="1"/>
      <c r="E5183" s="1"/>
      <c r="F5183" s="442"/>
      <c r="G5183" s="13"/>
      <c r="H5183" s="13"/>
      <c r="I5183" s="692"/>
      <c r="J5183" s="669" t="s">
        <v>4180</v>
      </c>
      <c r="K5183" s="769"/>
      <c r="N5183" s="137" t="s">
        <v>3902</v>
      </c>
      <c r="O5183" s="866" t="s">
        <v>5490</v>
      </c>
      <c r="P5183" s="774" t="s">
        <v>3919</v>
      </c>
      <c r="Q5183" s="774" t="s">
        <v>3920</v>
      </c>
      <c r="R5183" s="774" t="s">
        <v>7444</v>
      </c>
      <c r="T5183" s="774" t="s">
        <v>49</v>
      </c>
      <c r="U5183" s="774" t="s">
        <v>3919</v>
      </c>
      <c r="V5183" s="774" t="s">
        <v>3920</v>
      </c>
      <c r="W5183" s="774" t="s">
        <v>7444</v>
      </c>
    </row>
    <row r="5184" spans="1:33" s="774" customFormat="1" x14ac:dyDescent="0.25">
      <c r="A5184" s="644" t="str">
        <f>"SgK4820--"&amp;RIGHT(N5184,5)</f>
        <v>SgK4820--Jan22</v>
      </c>
      <c r="B5184" s="645" t="s">
        <v>5435</v>
      </c>
      <c r="C5184" s="645" t="str">
        <f t="shared" ref="C5184:C5201" si="1881">"Inbetriebnahme "&amp;TEXT(DATEVALUE(RIGHT(A5184,5)),"MM/JJJJ")</f>
        <v>Inbetriebnahme 01/2022</v>
      </c>
      <c r="D5184" s="645" t="str">
        <f>$Q$4848</f>
        <v>0 - 10 kW</v>
      </c>
      <c r="E5184" s="645"/>
      <c r="F5184" s="793">
        <f t="shared" ref="F5184:F5204" si="1882">IF(HLOOKUP($D5184,$U$5183:$W$5195,MATCH(RIGHT($A5184,5),$N$5183:$N$5195,0),FALSE)&lt;&gt;"",ROUND(HLOOKUP($D5184,$U$5183:$W$5195,MATCH(RIGHT($A5184,5),$N$5183:$N$5195,0),FALSE),2),"")</f>
        <v>6.83</v>
      </c>
      <c r="G5184" s="793">
        <f t="shared" ref="G5184:G5204" si="1883">IF(HLOOKUP($D5184,$P$5183:$R$5195,MATCH(RIGHT($A5184,5),$N$5183:$N$5195,0),FALSE)&lt;&gt;"",ROUND(HLOOKUP($D5184,$P$5183:$R$5195,MATCH(RIGHT($A5184,5),$N$5183:$N$5195,0),FALSE),2),"")</f>
        <v>7.23</v>
      </c>
      <c r="H5184" s="867">
        <f t="shared" ref="H5184:H5204" si="1884">IF(ISNUMBER($G5184),ROUND(0.8*$G5184,2),"")</f>
        <v>5.78</v>
      </c>
      <c r="I5184" s="867"/>
      <c r="J5184" s="669">
        <v>44536</v>
      </c>
      <c r="K5184" s="769"/>
      <c r="M5184" s="127">
        <v>2022</v>
      </c>
      <c r="N5184" s="639" t="s">
        <v>7661</v>
      </c>
      <c r="O5184" s="568">
        <v>1.4E-2</v>
      </c>
      <c r="P5184" s="769">
        <f>IF($O5184&lt;&gt;"",P5158*(100%-$O5184),"")</f>
        <v>7.22764384813261</v>
      </c>
      <c r="Q5184" s="769">
        <f>IF($O5184&lt;&gt;"",Q5158*(100%-$O5184),"")</f>
        <v>7.033443137259888</v>
      </c>
      <c r="R5184" s="769">
        <f>IF($O5184&lt;&gt;"",R5158*(100%-$O5184),"")</f>
        <v>5.5896030694670422</v>
      </c>
      <c r="S5184" s="769"/>
      <c r="T5184" s="769"/>
      <c r="U5184" s="769">
        <f t="shared" ref="U5184:U5195" si="1885">IF($O5184&lt;&gt;"",P5184-0.4,"")</f>
        <v>6.8276438481326096</v>
      </c>
      <c r="V5184" s="769">
        <f t="shared" ref="V5184:V5195" si="1886">IF($O5184&lt;&gt;"",Q5184-0.4,"")</f>
        <v>6.6334431372598877</v>
      </c>
      <c r="W5184" s="769">
        <f t="shared" ref="W5184:W5195" si="1887">IF($O5184&lt;&gt;"",R5184-0.4,"")</f>
        <v>5.1896030694670419</v>
      </c>
      <c r="X5184" s="769"/>
      <c r="Z5184" s="769"/>
      <c r="AA5184" s="769"/>
      <c r="AB5184" s="769"/>
      <c r="AC5184" s="769"/>
      <c r="AD5184" s="769"/>
      <c r="AE5184" s="769"/>
      <c r="AF5184" s="769"/>
      <c r="AG5184" s="769"/>
    </row>
    <row r="5185" spans="1:33" s="774" customFormat="1" x14ac:dyDescent="0.25">
      <c r="A5185" s="644" t="str">
        <f>"SgK4821--"&amp;RIGHT(A5184,5)</f>
        <v>SgK4821--Jan22</v>
      </c>
      <c r="B5185" s="645" t="s">
        <v>5435</v>
      </c>
      <c r="C5185" s="645" t="str">
        <f t="shared" si="1881"/>
        <v>Inbetriebnahme 01/2022</v>
      </c>
      <c r="D5185" s="645" t="str">
        <f>$R$4848</f>
        <v>10 - 40 kW</v>
      </c>
      <c r="E5185" s="645"/>
      <c r="F5185" s="793">
        <f t="shared" si="1882"/>
        <v>6.63</v>
      </c>
      <c r="G5185" s="793">
        <f t="shared" si="1883"/>
        <v>7.03</v>
      </c>
      <c r="H5185" s="867">
        <f t="shared" si="1884"/>
        <v>5.62</v>
      </c>
      <c r="I5185" s="867"/>
      <c r="J5185" s="669">
        <v>44592</v>
      </c>
      <c r="K5185" s="769"/>
      <c r="N5185" s="333" t="str">
        <f t="shared" ref="N5185:N5195" si="1888">TEXT(DATE(YEAR(DATEVALUE(N5184)),MONTH(DATEVALUE(N5184))+1,1),"MMMJJ")</f>
        <v>Feb22</v>
      </c>
      <c r="O5185" s="568">
        <v>1.4E-2</v>
      </c>
      <c r="P5185" s="769">
        <f t="shared" ref="P5185:P5195" si="1889">IF($O5185&lt;&gt;"",P5184*(100%-$O5185),"")</f>
        <v>7.1264568342587538</v>
      </c>
      <c r="Q5185" s="769">
        <f t="shared" ref="Q5185:Q5195" si="1890">IF($O5185&lt;&gt;"",Q5184*(100%-$O5185),"")</f>
        <v>6.9349749333382498</v>
      </c>
      <c r="R5185" s="769">
        <f t="shared" ref="R5185:R5195" si="1891">IF($O5185&lt;&gt;"",R5184*(100%-$O5185),"")</f>
        <v>5.5113486264945033</v>
      </c>
      <c r="S5185" s="864"/>
      <c r="T5185" s="769"/>
      <c r="U5185" s="769">
        <f t="shared" si="1885"/>
        <v>6.7264568342587534</v>
      </c>
      <c r="V5185" s="769">
        <f t="shared" si="1886"/>
        <v>6.5349749333382494</v>
      </c>
      <c r="W5185" s="769">
        <f t="shared" si="1887"/>
        <v>5.1113486264945029</v>
      </c>
      <c r="X5185" s="769"/>
      <c r="Z5185" s="769"/>
      <c r="AA5185" s="769"/>
      <c r="AB5185" s="769"/>
      <c r="AE5185" s="769"/>
      <c r="AF5185" s="769"/>
      <c r="AG5185" s="769"/>
    </row>
    <row r="5186" spans="1:33" s="774" customFormat="1" x14ac:dyDescent="0.25">
      <c r="A5186" s="644" t="str">
        <f>"SgK4822--"&amp;RIGHT(A5185,5)</f>
        <v>SgK4822--Jan22</v>
      </c>
      <c r="B5186" s="645" t="s">
        <v>5435</v>
      </c>
      <c r="C5186" s="645" t="str">
        <f t="shared" si="1881"/>
        <v>Inbetriebnahme 01/2022</v>
      </c>
      <c r="D5186" s="645" t="s">
        <v>7444</v>
      </c>
      <c r="E5186" s="645"/>
      <c r="F5186" s="793">
        <f t="shared" si="1882"/>
        <v>5.19</v>
      </c>
      <c r="G5186" s="793">
        <f t="shared" si="1883"/>
        <v>5.59</v>
      </c>
      <c r="H5186" s="867">
        <f t="shared" si="1884"/>
        <v>4.47</v>
      </c>
      <c r="I5186" s="867"/>
      <c r="J5186" s="669">
        <v>44592</v>
      </c>
      <c r="K5186" s="769"/>
      <c r="M5186" s="868"/>
      <c r="N5186" s="333" t="str">
        <f t="shared" si="1888"/>
        <v>Mrz22</v>
      </c>
      <c r="O5186" s="568">
        <v>1.4E-2</v>
      </c>
      <c r="P5186" s="769">
        <f t="shared" si="1889"/>
        <v>7.026686438579131</v>
      </c>
      <c r="Q5186" s="769">
        <f t="shared" si="1890"/>
        <v>6.8378852842715139</v>
      </c>
      <c r="R5186" s="769">
        <f t="shared" si="1891"/>
        <v>5.4341897457235806</v>
      </c>
      <c r="T5186" s="769"/>
      <c r="U5186" s="769">
        <f t="shared" si="1885"/>
        <v>6.6266864385791306</v>
      </c>
      <c r="V5186" s="769">
        <f t="shared" si="1886"/>
        <v>6.4378852842715135</v>
      </c>
      <c r="W5186" s="769">
        <f t="shared" si="1887"/>
        <v>5.0341897457235802</v>
      </c>
      <c r="X5186" s="769"/>
      <c r="Z5186" s="769"/>
      <c r="AA5186" s="769"/>
      <c r="AB5186" s="769"/>
    </row>
    <row r="5187" spans="1:33" s="774" customFormat="1" x14ac:dyDescent="0.25">
      <c r="A5187" s="644" t="str">
        <f>"SgK4820--"&amp;RIGHT(N5185,5)</f>
        <v>SgK4820--Feb22</v>
      </c>
      <c r="B5187" s="645" t="s">
        <v>5435</v>
      </c>
      <c r="C5187" s="645" t="str">
        <f t="shared" si="1881"/>
        <v>Inbetriebnahme 02/2022</v>
      </c>
      <c r="D5187" s="645" t="str">
        <f t="shared" ref="D5187:D5204" si="1892">D5184</f>
        <v>0 - 10 kW</v>
      </c>
      <c r="E5187" s="645"/>
      <c r="F5187" s="793">
        <f t="shared" si="1882"/>
        <v>6.73</v>
      </c>
      <c r="G5187" s="793">
        <f t="shared" si="1883"/>
        <v>7.13</v>
      </c>
      <c r="H5187" s="867">
        <f t="shared" si="1884"/>
        <v>5.7</v>
      </c>
      <c r="I5187" s="867"/>
      <c r="J5187" s="669">
        <v>44592</v>
      </c>
      <c r="K5187" s="769"/>
      <c r="M5187" s="868"/>
      <c r="N5187" s="333" t="str">
        <f t="shared" si="1888"/>
        <v>Apr22</v>
      </c>
      <c r="O5187" s="568">
        <v>1.4E-2</v>
      </c>
      <c r="P5187" s="769">
        <f t="shared" si="1889"/>
        <v>6.9283128284390232</v>
      </c>
      <c r="Q5187" s="769">
        <f t="shared" si="1890"/>
        <v>6.7421548902917126</v>
      </c>
      <c r="R5187" s="769">
        <f t="shared" si="1891"/>
        <v>5.35811108928345</v>
      </c>
      <c r="S5187" s="869"/>
      <c r="T5187" s="769"/>
      <c r="U5187" s="769">
        <f t="shared" si="1885"/>
        <v>6.5283128284390228</v>
      </c>
      <c r="V5187" s="769">
        <f t="shared" si="1886"/>
        <v>6.3421548902917122</v>
      </c>
      <c r="W5187" s="769">
        <f t="shared" si="1887"/>
        <v>4.9581110892834497</v>
      </c>
      <c r="X5187" s="769"/>
      <c r="Z5187" s="769"/>
      <c r="AA5187" s="769"/>
      <c r="AB5187" s="769"/>
    </row>
    <row r="5188" spans="1:33" s="774" customFormat="1" x14ac:dyDescent="0.25">
      <c r="A5188" s="644" t="str">
        <f>"SgK4821--"&amp;RIGHT(A5187,5)</f>
        <v>SgK4821--Feb22</v>
      </c>
      <c r="B5188" s="645" t="s">
        <v>5435</v>
      </c>
      <c r="C5188" s="645" t="str">
        <f t="shared" si="1881"/>
        <v>Inbetriebnahme 02/2022</v>
      </c>
      <c r="D5188" s="645" t="str">
        <f t="shared" si="1892"/>
        <v>10 - 40 kW</v>
      </c>
      <c r="E5188" s="645"/>
      <c r="F5188" s="793">
        <f t="shared" si="1882"/>
        <v>6.53</v>
      </c>
      <c r="G5188" s="793">
        <f t="shared" si="1883"/>
        <v>6.93</v>
      </c>
      <c r="H5188" s="867">
        <f t="shared" si="1884"/>
        <v>5.54</v>
      </c>
      <c r="I5188" s="867"/>
      <c r="J5188" s="669">
        <v>44592</v>
      </c>
      <c r="K5188" s="769"/>
      <c r="M5188" s="868"/>
      <c r="N5188" s="333" t="str">
        <f t="shared" si="1888"/>
        <v>Mai22</v>
      </c>
      <c r="O5188" s="568">
        <v>1.4E-2</v>
      </c>
      <c r="P5188" s="769">
        <f t="shared" si="1889"/>
        <v>6.8313164488408766</v>
      </c>
      <c r="Q5188" s="769">
        <f t="shared" si="1890"/>
        <v>6.6477647218276283</v>
      </c>
      <c r="R5188" s="769">
        <f t="shared" si="1891"/>
        <v>5.283097534033482</v>
      </c>
      <c r="S5188" s="864"/>
      <c r="T5188" s="769"/>
      <c r="U5188" s="769">
        <f t="shared" si="1885"/>
        <v>6.4313164488408763</v>
      </c>
      <c r="V5188" s="769">
        <f t="shared" si="1886"/>
        <v>6.247764721827628</v>
      </c>
      <c r="W5188" s="769">
        <f t="shared" si="1887"/>
        <v>4.8830975340334817</v>
      </c>
      <c r="X5188" s="769"/>
      <c r="Z5188" s="769"/>
      <c r="AA5188" s="769"/>
      <c r="AB5188" s="769"/>
    </row>
    <row r="5189" spans="1:33" s="774" customFormat="1" x14ac:dyDescent="0.25">
      <c r="A5189" s="644" t="str">
        <f>"SgK4822--"&amp;RIGHT(A5188,5)</f>
        <v>SgK4822--Feb22</v>
      </c>
      <c r="B5189" s="645" t="s">
        <v>5435</v>
      </c>
      <c r="C5189" s="645" t="str">
        <f t="shared" si="1881"/>
        <v>Inbetriebnahme 02/2022</v>
      </c>
      <c r="D5189" s="645" t="str">
        <f t="shared" si="1892"/>
        <v>40 - 750 kW</v>
      </c>
      <c r="E5189" s="645"/>
      <c r="F5189" s="793">
        <f t="shared" si="1882"/>
        <v>5.1100000000000003</v>
      </c>
      <c r="G5189" s="793">
        <f t="shared" si="1883"/>
        <v>5.51</v>
      </c>
      <c r="H5189" s="867">
        <f t="shared" si="1884"/>
        <v>4.41</v>
      </c>
      <c r="I5189" s="867"/>
      <c r="J5189" s="669">
        <v>44592</v>
      </c>
      <c r="K5189" s="769"/>
      <c r="M5189" s="868"/>
      <c r="N5189" s="333" t="str">
        <f t="shared" si="1888"/>
        <v>Jun22</v>
      </c>
      <c r="O5189" s="568">
        <v>1.4E-2</v>
      </c>
      <c r="P5189" s="769">
        <f t="shared" si="1889"/>
        <v>6.7356780185571044</v>
      </c>
      <c r="Q5189" s="769">
        <f t="shared" si="1890"/>
        <v>6.5546960157220413</v>
      </c>
      <c r="R5189" s="769">
        <f t="shared" si="1891"/>
        <v>5.2091341685570134</v>
      </c>
      <c r="S5189" s="869"/>
      <c r="T5189" s="769"/>
      <c r="U5189" s="769">
        <f t="shared" si="1885"/>
        <v>6.335678018557104</v>
      </c>
      <c r="V5189" s="769">
        <f t="shared" si="1886"/>
        <v>6.1546960157220409</v>
      </c>
      <c r="W5189" s="769">
        <f t="shared" si="1887"/>
        <v>4.809134168557013</v>
      </c>
      <c r="X5189" s="769"/>
      <c r="Z5189" s="769"/>
      <c r="AA5189" s="769"/>
      <c r="AB5189" s="769"/>
    </row>
    <row r="5190" spans="1:33" s="774" customFormat="1" x14ac:dyDescent="0.25">
      <c r="A5190" s="644" t="str">
        <f>"SgK4820--"&amp;RIGHT(N5186,5)</f>
        <v>SgK4820--Mrz22</v>
      </c>
      <c r="B5190" s="645" t="s">
        <v>5435</v>
      </c>
      <c r="C5190" s="645" t="str">
        <f t="shared" si="1881"/>
        <v>Inbetriebnahme 03/2022</v>
      </c>
      <c r="D5190" s="645" t="str">
        <f t="shared" si="1892"/>
        <v>0 - 10 kW</v>
      </c>
      <c r="E5190" s="645"/>
      <c r="F5190" s="793">
        <f t="shared" si="1882"/>
        <v>6.63</v>
      </c>
      <c r="G5190" s="793">
        <f t="shared" si="1883"/>
        <v>7.03</v>
      </c>
      <c r="H5190" s="867">
        <f t="shared" si="1884"/>
        <v>5.62</v>
      </c>
      <c r="I5190" s="867"/>
      <c r="J5190" s="669">
        <v>44592</v>
      </c>
      <c r="K5190" s="769"/>
      <c r="M5190" s="868"/>
      <c r="N5190" s="333" t="str">
        <f t="shared" si="1888"/>
        <v>Jul22</v>
      </c>
      <c r="O5190" s="568">
        <v>1.4E-2</v>
      </c>
      <c r="P5190" s="1048">
        <f t="shared" si="1889"/>
        <v>6.6413785262973049</v>
      </c>
      <c r="Q5190" s="1048">
        <f t="shared" si="1890"/>
        <v>6.462930271501933</v>
      </c>
      <c r="R5190" s="1048">
        <f t="shared" si="1891"/>
        <v>5.1362062901972152</v>
      </c>
      <c r="S5190" s="864"/>
      <c r="T5190" s="769"/>
      <c r="U5190" s="769">
        <f t="shared" si="1885"/>
        <v>6.2413785262973045</v>
      </c>
      <c r="V5190" s="769">
        <f t="shared" si="1886"/>
        <v>6.0629302715019326</v>
      </c>
      <c r="W5190" s="769">
        <f t="shared" si="1887"/>
        <v>4.7362062901972148</v>
      </c>
      <c r="X5190" s="769"/>
      <c r="Z5190" s="769"/>
      <c r="AA5190" s="769"/>
      <c r="AB5190" s="769"/>
    </row>
    <row r="5191" spans="1:33" s="774" customFormat="1" x14ac:dyDescent="0.25">
      <c r="A5191" s="644" t="str">
        <f>"SgK4821--"&amp;RIGHT(A5190,5)</f>
        <v>SgK4821--Mrz22</v>
      </c>
      <c r="B5191" s="645" t="s">
        <v>5435</v>
      </c>
      <c r="C5191" s="645" t="str">
        <f t="shared" si="1881"/>
        <v>Inbetriebnahme 03/2022</v>
      </c>
      <c r="D5191" s="645" t="str">
        <f t="shared" si="1892"/>
        <v>10 - 40 kW</v>
      </c>
      <c r="E5191" s="645"/>
      <c r="F5191" s="793">
        <f t="shared" si="1882"/>
        <v>6.44</v>
      </c>
      <c r="G5191" s="793">
        <f t="shared" si="1883"/>
        <v>6.84</v>
      </c>
      <c r="H5191" s="867">
        <f t="shared" si="1884"/>
        <v>5.47</v>
      </c>
      <c r="I5191" s="867"/>
      <c r="J5191" s="669">
        <v>44592</v>
      </c>
      <c r="K5191" s="769"/>
      <c r="M5191" s="127"/>
      <c r="N5191" s="333" t="str">
        <f t="shared" si="1888"/>
        <v>Aug22</v>
      </c>
      <c r="O5191" s="568"/>
      <c r="P5191" s="769" t="str">
        <f t="shared" si="1889"/>
        <v/>
      </c>
      <c r="Q5191" s="769" t="str">
        <f t="shared" si="1890"/>
        <v/>
      </c>
      <c r="R5191" s="769" t="str">
        <f t="shared" si="1891"/>
        <v/>
      </c>
      <c r="S5191" s="769"/>
      <c r="T5191" s="769"/>
      <c r="U5191" s="769" t="str">
        <f t="shared" si="1885"/>
        <v/>
      </c>
      <c r="V5191" s="769" t="str">
        <f t="shared" si="1886"/>
        <v/>
      </c>
      <c r="W5191" s="769" t="str">
        <f t="shared" si="1887"/>
        <v/>
      </c>
      <c r="X5191" s="769"/>
      <c r="Z5191" s="769"/>
      <c r="AA5191" s="769"/>
      <c r="AB5191" s="769"/>
    </row>
    <row r="5192" spans="1:33" s="774" customFormat="1" x14ac:dyDescent="0.25">
      <c r="A5192" s="644" t="str">
        <f>"SgK4822--"&amp;RIGHT(A5191,5)</f>
        <v>SgK4822--Mrz22</v>
      </c>
      <c r="B5192" s="645" t="s">
        <v>5435</v>
      </c>
      <c r="C5192" s="645" t="str">
        <f t="shared" si="1881"/>
        <v>Inbetriebnahme 03/2022</v>
      </c>
      <c r="D5192" s="645" t="str">
        <f t="shared" si="1892"/>
        <v>40 - 750 kW</v>
      </c>
      <c r="E5192" s="645"/>
      <c r="F5192" s="793">
        <f t="shared" si="1882"/>
        <v>5.03</v>
      </c>
      <c r="G5192" s="793">
        <f t="shared" si="1883"/>
        <v>5.43</v>
      </c>
      <c r="H5192" s="867">
        <f t="shared" si="1884"/>
        <v>4.34</v>
      </c>
      <c r="I5192" s="867"/>
      <c r="J5192" s="669">
        <v>44592</v>
      </c>
      <c r="K5192" s="769"/>
      <c r="N5192" s="333" t="str">
        <f t="shared" si="1888"/>
        <v>Sep22</v>
      </c>
      <c r="O5192" s="568"/>
      <c r="P5192" s="769" t="str">
        <f t="shared" si="1889"/>
        <v/>
      </c>
      <c r="Q5192" s="769" t="str">
        <f t="shared" si="1890"/>
        <v/>
      </c>
      <c r="R5192" s="769" t="str">
        <f t="shared" si="1891"/>
        <v/>
      </c>
      <c r="S5192" s="769"/>
      <c r="T5192" s="769"/>
      <c r="U5192" s="769" t="str">
        <f t="shared" si="1885"/>
        <v/>
      </c>
      <c r="V5192" s="769" t="str">
        <f t="shared" si="1886"/>
        <v/>
      </c>
      <c r="W5192" s="769" t="str">
        <f t="shared" si="1887"/>
        <v/>
      </c>
      <c r="X5192" s="769"/>
      <c r="Z5192" s="769"/>
      <c r="AA5192" s="769"/>
      <c r="AB5192" s="769"/>
    </row>
    <row r="5193" spans="1:33" s="774" customFormat="1" x14ac:dyDescent="0.25">
      <c r="A5193" s="644" t="str">
        <f>"SgK4820--"&amp;RIGHT(N5187,5)</f>
        <v>SgK4820--Apr22</v>
      </c>
      <c r="B5193" s="645" t="s">
        <v>5435</v>
      </c>
      <c r="C5193" s="645" t="str">
        <f t="shared" si="1881"/>
        <v>Inbetriebnahme 04/2022</v>
      </c>
      <c r="D5193" s="645" t="str">
        <f t="shared" si="1892"/>
        <v>0 - 10 kW</v>
      </c>
      <c r="E5193" s="645"/>
      <c r="F5193" s="793">
        <f t="shared" si="1882"/>
        <v>6.53</v>
      </c>
      <c r="G5193" s="793">
        <f t="shared" si="1883"/>
        <v>6.93</v>
      </c>
      <c r="H5193" s="867">
        <f t="shared" si="1884"/>
        <v>5.54</v>
      </c>
      <c r="I5193" s="867"/>
      <c r="J5193" s="669">
        <v>44592</v>
      </c>
      <c r="K5193" s="769"/>
      <c r="N5193" s="333" t="str">
        <f t="shared" si="1888"/>
        <v>Okt22</v>
      </c>
      <c r="O5193" s="568"/>
      <c r="P5193" s="769" t="str">
        <f t="shared" si="1889"/>
        <v/>
      </c>
      <c r="Q5193" s="769" t="str">
        <f t="shared" si="1890"/>
        <v/>
      </c>
      <c r="R5193" s="769" t="str">
        <f t="shared" si="1891"/>
        <v/>
      </c>
      <c r="S5193" s="769"/>
      <c r="T5193" s="769"/>
      <c r="U5193" s="769" t="str">
        <f t="shared" si="1885"/>
        <v/>
      </c>
      <c r="V5193" s="769" t="str">
        <f t="shared" si="1886"/>
        <v/>
      </c>
      <c r="W5193" s="769" t="str">
        <f t="shared" si="1887"/>
        <v/>
      </c>
      <c r="X5193" s="769"/>
      <c r="Z5193" s="769"/>
      <c r="AA5193" s="769"/>
      <c r="AB5193" s="769"/>
    </row>
    <row r="5194" spans="1:33" s="774" customFormat="1" x14ac:dyDescent="0.25">
      <c r="A5194" s="644" t="str">
        <f>"SgK4821--"&amp;RIGHT(A5193,5)</f>
        <v>SgK4821--Apr22</v>
      </c>
      <c r="B5194" s="645" t="s">
        <v>5435</v>
      </c>
      <c r="C5194" s="645" t="str">
        <f t="shared" si="1881"/>
        <v>Inbetriebnahme 04/2022</v>
      </c>
      <c r="D5194" s="645" t="str">
        <f t="shared" si="1892"/>
        <v>10 - 40 kW</v>
      </c>
      <c r="E5194" s="645"/>
      <c r="F5194" s="793">
        <f t="shared" si="1882"/>
        <v>6.34</v>
      </c>
      <c r="G5194" s="793">
        <f t="shared" si="1883"/>
        <v>6.74</v>
      </c>
      <c r="H5194" s="867">
        <f t="shared" si="1884"/>
        <v>5.39</v>
      </c>
      <c r="I5194" s="867"/>
      <c r="J5194" s="669">
        <v>44592</v>
      </c>
      <c r="K5194" s="769"/>
      <c r="N5194" s="333" t="str">
        <f t="shared" si="1888"/>
        <v>Nov22</v>
      </c>
      <c r="O5194" s="568"/>
      <c r="P5194" s="769" t="str">
        <f t="shared" si="1889"/>
        <v/>
      </c>
      <c r="Q5194" s="769" t="str">
        <f t="shared" si="1890"/>
        <v/>
      </c>
      <c r="R5194" s="769" t="str">
        <f t="shared" si="1891"/>
        <v/>
      </c>
      <c r="S5194" s="769"/>
      <c r="T5194" s="769"/>
      <c r="U5194" s="769" t="str">
        <f t="shared" si="1885"/>
        <v/>
      </c>
      <c r="V5194" s="769" t="str">
        <f t="shared" si="1886"/>
        <v/>
      </c>
      <c r="W5194" s="769" t="str">
        <f t="shared" si="1887"/>
        <v/>
      </c>
      <c r="X5194" s="769"/>
      <c r="Z5194" s="769"/>
      <c r="AA5194" s="769"/>
      <c r="AB5194" s="769"/>
    </row>
    <row r="5195" spans="1:33" s="774" customFormat="1" x14ac:dyDescent="0.25">
      <c r="A5195" s="644" t="str">
        <f>"SgK4822--"&amp;RIGHT(A5194,5)</f>
        <v>SgK4822--Apr22</v>
      </c>
      <c r="B5195" s="645" t="s">
        <v>5435</v>
      </c>
      <c r="C5195" s="645" t="str">
        <f t="shared" si="1881"/>
        <v>Inbetriebnahme 04/2022</v>
      </c>
      <c r="D5195" s="645" t="str">
        <f t="shared" si="1892"/>
        <v>40 - 750 kW</v>
      </c>
      <c r="E5195" s="645"/>
      <c r="F5195" s="793">
        <f t="shared" si="1882"/>
        <v>4.96</v>
      </c>
      <c r="G5195" s="793">
        <f t="shared" si="1883"/>
        <v>5.36</v>
      </c>
      <c r="H5195" s="867">
        <f t="shared" si="1884"/>
        <v>4.29</v>
      </c>
      <c r="I5195" s="867"/>
      <c r="J5195" s="669">
        <v>44592</v>
      </c>
      <c r="K5195" s="769"/>
      <c r="N5195" s="333" t="str">
        <f t="shared" si="1888"/>
        <v>Dez22</v>
      </c>
      <c r="O5195" s="568"/>
      <c r="P5195" s="769" t="str">
        <f t="shared" si="1889"/>
        <v/>
      </c>
      <c r="Q5195" s="769" t="str">
        <f t="shared" si="1890"/>
        <v/>
      </c>
      <c r="R5195" s="769" t="str">
        <f t="shared" si="1891"/>
        <v/>
      </c>
      <c r="S5195" s="769"/>
      <c r="T5195" s="769"/>
      <c r="U5195" s="769" t="str">
        <f t="shared" si="1885"/>
        <v/>
      </c>
      <c r="V5195" s="769" t="str">
        <f t="shared" si="1886"/>
        <v/>
      </c>
      <c r="W5195" s="769" t="str">
        <f t="shared" si="1887"/>
        <v/>
      </c>
      <c r="X5195" s="769"/>
      <c r="Z5195" s="769"/>
      <c r="AA5195" s="769"/>
      <c r="AB5195" s="769"/>
    </row>
    <row r="5196" spans="1:33" s="774" customFormat="1" x14ac:dyDescent="0.25">
      <c r="A5196" s="644" t="str">
        <f>"SgK4820--"&amp;RIGHT(N5188,5)</f>
        <v>SgK4820--Mai22</v>
      </c>
      <c r="B5196" s="645" t="s">
        <v>5435</v>
      </c>
      <c r="C5196" s="645" t="str">
        <f t="shared" si="1881"/>
        <v>Inbetriebnahme 05/2022</v>
      </c>
      <c r="D5196" s="645" t="str">
        <f t="shared" si="1892"/>
        <v>0 - 10 kW</v>
      </c>
      <c r="E5196" s="645"/>
      <c r="F5196" s="793">
        <f t="shared" si="1882"/>
        <v>6.43</v>
      </c>
      <c r="G5196" s="793">
        <f t="shared" si="1883"/>
        <v>6.83</v>
      </c>
      <c r="H5196" s="867">
        <f t="shared" si="1884"/>
        <v>5.46</v>
      </c>
      <c r="I5196" s="867"/>
      <c r="J5196" s="669">
        <v>44681</v>
      </c>
      <c r="K5196" s="769"/>
      <c r="M5196" s="868"/>
      <c r="N5196" s="136"/>
      <c r="O5196" s="333"/>
      <c r="P5196" s="870"/>
      <c r="Q5196" s="871"/>
      <c r="R5196" s="871"/>
      <c r="S5196" s="871"/>
      <c r="T5196" s="871"/>
    </row>
    <row r="5197" spans="1:33" s="774" customFormat="1" x14ac:dyDescent="0.25">
      <c r="A5197" s="644" t="str">
        <f>"SgK4821--"&amp;RIGHT(A5196,5)</f>
        <v>SgK4821--Mai22</v>
      </c>
      <c r="B5197" s="645" t="s">
        <v>5435</v>
      </c>
      <c r="C5197" s="645" t="str">
        <f t="shared" si="1881"/>
        <v>Inbetriebnahme 05/2022</v>
      </c>
      <c r="D5197" s="645" t="str">
        <f t="shared" si="1892"/>
        <v>10 - 40 kW</v>
      </c>
      <c r="E5197" s="645"/>
      <c r="F5197" s="793">
        <f t="shared" si="1882"/>
        <v>6.25</v>
      </c>
      <c r="G5197" s="793">
        <f t="shared" si="1883"/>
        <v>6.65</v>
      </c>
      <c r="H5197" s="867">
        <f t="shared" si="1884"/>
        <v>5.32</v>
      </c>
      <c r="I5197" s="867"/>
      <c r="J5197" s="669">
        <v>44681</v>
      </c>
      <c r="K5197" s="769"/>
      <c r="M5197" s="868"/>
      <c r="N5197" s="136"/>
      <c r="O5197" s="333"/>
      <c r="P5197" s="870"/>
      <c r="Q5197" s="871"/>
      <c r="R5197" s="871"/>
      <c r="S5197" s="871"/>
      <c r="T5197" s="871"/>
    </row>
    <row r="5198" spans="1:33" s="774" customFormat="1" x14ac:dyDescent="0.25">
      <c r="A5198" s="644" t="str">
        <f>"SgK4822--"&amp;RIGHT(A5197,5)</f>
        <v>SgK4822--Mai22</v>
      </c>
      <c r="B5198" s="645" t="s">
        <v>5435</v>
      </c>
      <c r="C5198" s="645" t="str">
        <f t="shared" si="1881"/>
        <v>Inbetriebnahme 05/2022</v>
      </c>
      <c r="D5198" s="645" t="str">
        <f t="shared" si="1892"/>
        <v>40 - 750 kW</v>
      </c>
      <c r="E5198" s="645"/>
      <c r="F5198" s="793">
        <f t="shared" si="1882"/>
        <v>4.88</v>
      </c>
      <c r="G5198" s="793">
        <f t="shared" si="1883"/>
        <v>5.28</v>
      </c>
      <c r="H5198" s="867">
        <f t="shared" si="1884"/>
        <v>4.22</v>
      </c>
      <c r="I5198" s="867"/>
      <c r="J5198" s="669">
        <v>44681</v>
      </c>
      <c r="K5198" s="769"/>
      <c r="L5198" s="872"/>
      <c r="M5198" s="868"/>
      <c r="N5198" s="136"/>
      <c r="O5198" s="333"/>
      <c r="P5198" s="870"/>
      <c r="Q5198" s="871"/>
      <c r="R5198" s="871"/>
      <c r="S5198" s="871"/>
      <c r="T5198" s="871"/>
    </row>
    <row r="5199" spans="1:33" s="774" customFormat="1" x14ac:dyDescent="0.25">
      <c r="A5199" s="644" t="str">
        <f>"SgK4820--"&amp;RIGHT(N5189,5)</f>
        <v>SgK4820--Jun22</v>
      </c>
      <c r="B5199" s="645" t="s">
        <v>5435</v>
      </c>
      <c r="C5199" s="645" t="str">
        <f t="shared" si="1881"/>
        <v>Inbetriebnahme 06/2022</v>
      </c>
      <c r="D5199" s="645" t="str">
        <f t="shared" si="1892"/>
        <v>0 - 10 kW</v>
      </c>
      <c r="E5199" s="645"/>
      <c r="F5199" s="793">
        <f t="shared" si="1882"/>
        <v>6.34</v>
      </c>
      <c r="G5199" s="793">
        <f t="shared" si="1883"/>
        <v>6.74</v>
      </c>
      <c r="H5199" s="867">
        <f t="shared" si="1884"/>
        <v>5.39</v>
      </c>
      <c r="I5199" s="867"/>
      <c r="J5199" s="669">
        <v>44681</v>
      </c>
      <c r="K5199" s="769"/>
      <c r="L5199" s="872"/>
      <c r="M5199" s="868"/>
      <c r="N5199" s="136"/>
      <c r="O5199" s="333"/>
      <c r="P5199" s="870"/>
      <c r="Q5199" s="871"/>
      <c r="R5199" s="871"/>
      <c r="S5199" s="871"/>
      <c r="T5199" s="871"/>
    </row>
    <row r="5200" spans="1:33" s="774" customFormat="1" x14ac:dyDescent="0.25">
      <c r="A5200" s="644" t="str">
        <f>"SgK4821--"&amp;RIGHT(A5199,5)</f>
        <v>SgK4821--Jun22</v>
      </c>
      <c r="B5200" s="645" t="s">
        <v>5435</v>
      </c>
      <c r="C5200" s="645" t="str">
        <f t="shared" si="1881"/>
        <v>Inbetriebnahme 06/2022</v>
      </c>
      <c r="D5200" s="645" t="str">
        <f t="shared" si="1892"/>
        <v>10 - 40 kW</v>
      </c>
      <c r="E5200" s="645"/>
      <c r="F5200" s="793">
        <f t="shared" si="1882"/>
        <v>6.15</v>
      </c>
      <c r="G5200" s="793">
        <f t="shared" si="1883"/>
        <v>6.55</v>
      </c>
      <c r="H5200" s="867">
        <f t="shared" si="1884"/>
        <v>5.24</v>
      </c>
      <c r="I5200" s="867"/>
      <c r="J5200" s="669">
        <v>44681</v>
      </c>
      <c r="K5200" s="769"/>
      <c r="L5200" s="872"/>
      <c r="M5200" s="868"/>
      <c r="N5200" s="136"/>
      <c r="O5200" s="333"/>
      <c r="P5200" s="870"/>
      <c r="Q5200" s="871"/>
      <c r="R5200" s="871"/>
      <c r="S5200" s="871"/>
      <c r="T5200" s="871"/>
    </row>
    <row r="5201" spans="1:24" s="774" customFormat="1" x14ac:dyDescent="0.25">
      <c r="A5201" s="644" t="str">
        <f>"SgK4822--"&amp;RIGHT(A5200,5)</f>
        <v>SgK4822--Jun22</v>
      </c>
      <c r="B5201" s="645" t="s">
        <v>5435</v>
      </c>
      <c r="C5201" s="645" t="str">
        <f t="shared" si="1881"/>
        <v>Inbetriebnahme 06/2022</v>
      </c>
      <c r="D5201" s="645" t="str">
        <f t="shared" si="1892"/>
        <v>40 - 750 kW</v>
      </c>
      <c r="E5201" s="645"/>
      <c r="F5201" s="793">
        <f t="shared" si="1882"/>
        <v>4.8099999999999996</v>
      </c>
      <c r="G5201" s="793">
        <f t="shared" si="1883"/>
        <v>5.21</v>
      </c>
      <c r="H5201" s="867">
        <f t="shared" si="1884"/>
        <v>4.17</v>
      </c>
      <c r="I5201" s="867"/>
      <c r="J5201" s="669">
        <v>44681</v>
      </c>
      <c r="K5201" s="769"/>
      <c r="L5201" s="872"/>
      <c r="M5201" s="868"/>
      <c r="N5201" s="136"/>
      <c r="O5201" s="333"/>
      <c r="P5201" s="873"/>
      <c r="Q5201" s="871"/>
      <c r="R5201" s="871"/>
      <c r="S5201" s="871"/>
      <c r="T5201" s="871"/>
    </row>
    <row r="5202" spans="1:24" s="774" customFormat="1" x14ac:dyDescent="0.25">
      <c r="A5202" s="644" t="str">
        <f>"SgK4820--"&amp;RIGHT(N5190,5)</f>
        <v>SgK4820--Jul22</v>
      </c>
      <c r="B5202" s="643" t="s">
        <v>5435</v>
      </c>
      <c r="C5202" s="643" t="s">
        <v>7886</v>
      </c>
      <c r="D5202" s="643" t="str">
        <f t="shared" si="1892"/>
        <v>0 - 10 kW</v>
      </c>
      <c r="E5202" s="643"/>
      <c r="F5202" s="793">
        <f t="shared" si="1882"/>
        <v>6.24</v>
      </c>
      <c r="G5202" s="793">
        <f t="shared" si="1883"/>
        <v>6.64</v>
      </c>
      <c r="H5202" s="867">
        <f t="shared" si="1884"/>
        <v>5.31</v>
      </c>
      <c r="I5202" s="867"/>
      <c r="J5202" s="669">
        <v>44848</v>
      </c>
      <c r="K5202" s="769"/>
      <c r="L5202" s="872"/>
      <c r="M5202" s="868"/>
      <c r="N5202" s="136"/>
      <c r="O5202" s="325"/>
    </row>
    <row r="5203" spans="1:24" s="774" customFormat="1" x14ac:dyDescent="0.25">
      <c r="A5203" s="644" t="str">
        <f>"SgK4821--"&amp;RIGHT(A5202,5)</f>
        <v>SgK4821--Jul22</v>
      </c>
      <c r="B5203" s="643" t="s">
        <v>5435</v>
      </c>
      <c r="C5203" s="643" t="s">
        <v>7886</v>
      </c>
      <c r="D5203" s="643" t="str">
        <f t="shared" si="1892"/>
        <v>10 - 40 kW</v>
      </c>
      <c r="E5203" s="643"/>
      <c r="F5203" s="793">
        <f t="shared" si="1882"/>
        <v>6.06</v>
      </c>
      <c r="G5203" s="793">
        <f t="shared" si="1883"/>
        <v>6.46</v>
      </c>
      <c r="H5203" s="867">
        <f t="shared" si="1884"/>
        <v>5.17</v>
      </c>
      <c r="I5203" s="867"/>
      <c r="J5203" s="669">
        <v>44848</v>
      </c>
      <c r="K5203" s="769"/>
      <c r="L5203" s="872"/>
      <c r="M5203" s="868"/>
      <c r="O5203" s="325"/>
    </row>
    <row r="5204" spans="1:24" s="774" customFormat="1" x14ac:dyDescent="0.25">
      <c r="A5204" s="644" t="str">
        <f>"SgK4822--"&amp;RIGHT(A5203,5)</f>
        <v>SgK4822--Jul22</v>
      </c>
      <c r="B5204" s="643" t="s">
        <v>5435</v>
      </c>
      <c r="C5204" s="643" t="s">
        <v>7886</v>
      </c>
      <c r="D5204" s="643" t="str">
        <f t="shared" si="1892"/>
        <v>40 - 750 kW</v>
      </c>
      <c r="E5204" s="643"/>
      <c r="F5204" s="793">
        <f t="shared" si="1882"/>
        <v>4.74</v>
      </c>
      <c r="G5204" s="793">
        <f t="shared" si="1883"/>
        <v>5.14</v>
      </c>
      <c r="H5204" s="867">
        <f t="shared" si="1884"/>
        <v>4.1100000000000003</v>
      </c>
      <c r="I5204" s="867"/>
      <c r="J5204" s="669">
        <v>44848</v>
      </c>
      <c r="K5204" s="769"/>
      <c r="L5204" s="872"/>
      <c r="M5204" s="868"/>
      <c r="O5204" s="325"/>
    </row>
    <row r="5205" spans="1:24" s="774" customFormat="1" x14ac:dyDescent="0.25">
      <c r="A5205" s="644" t="s">
        <v>7869</v>
      </c>
      <c r="B5205" s="643" t="s">
        <v>5435</v>
      </c>
      <c r="C5205" s="643" t="s">
        <v>7887</v>
      </c>
      <c r="D5205" s="643" t="s">
        <v>7881</v>
      </c>
      <c r="E5205" s="643"/>
      <c r="F5205" s="793">
        <f t="shared" ref="F5205:F5211" si="1893">G5205-0.4</f>
        <v>8.1999999999999993</v>
      </c>
      <c r="G5205" s="793">
        <v>8.6</v>
      </c>
      <c r="H5205" s="795">
        <f t="shared" ref="H5205:H5211" si="1894">G5205*0.8</f>
        <v>6.88</v>
      </c>
      <c r="I5205" s="1046"/>
      <c r="J5205" s="669">
        <v>44848</v>
      </c>
      <c r="K5205" s="769"/>
      <c r="L5205" s="872"/>
      <c r="M5205" s="868"/>
      <c r="N5205" s="136"/>
      <c r="O5205" s="325"/>
    </row>
    <row r="5206" spans="1:24" s="774" customFormat="1" x14ac:dyDescent="0.25">
      <c r="A5206" s="644" t="s">
        <v>7870</v>
      </c>
      <c r="B5206" s="643" t="s">
        <v>5435</v>
      </c>
      <c r="C5206" s="643" t="s">
        <v>7887</v>
      </c>
      <c r="D5206" s="643" t="s">
        <v>7882</v>
      </c>
      <c r="E5206" s="643"/>
      <c r="F5206" s="793">
        <f t="shared" si="1893"/>
        <v>7.1</v>
      </c>
      <c r="G5206" s="793">
        <v>7.5</v>
      </c>
      <c r="H5206" s="795">
        <f t="shared" si="1894"/>
        <v>6</v>
      </c>
      <c r="I5206" s="1046"/>
      <c r="J5206" s="669">
        <v>44848</v>
      </c>
      <c r="K5206" s="769"/>
      <c r="L5206" s="872"/>
      <c r="M5206" s="868"/>
      <c r="O5206" s="325"/>
    </row>
    <row r="5207" spans="1:24" s="774" customFormat="1" x14ac:dyDescent="0.25">
      <c r="A5207" s="644" t="s">
        <v>7871</v>
      </c>
      <c r="B5207" s="643" t="s">
        <v>5435</v>
      </c>
      <c r="C5207" s="643" t="s">
        <v>7887</v>
      </c>
      <c r="D5207" s="643" t="s">
        <v>7883</v>
      </c>
      <c r="E5207" s="643"/>
      <c r="F5207" s="793">
        <f t="shared" si="1893"/>
        <v>5.8</v>
      </c>
      <c r="G5207" s="793">
        <v>6.2</v>
      </c>
      <c r="H5207" s="795">
        <f t="shared" si="1894"/>
        <v>4.9600000000000009</v>
      </c>
      <c r="I5207" s="1046"/>
      <c r="J5207" s="669">
        <v>44848</v>
      </c>
      <c r="K5207" s="769"/>
      <c r="L5207" s="872"/>
      <c r="M5207" s="868"/>
      <c r="O5207" s="325"/>
    </row>
    <row r="5208" spans="1:24" s="774" customFormat="1" x14ac:dyDescent="0.25">
      <c r="A5208" s="644" t="s">
        <v>7872</v>
      </c>
      <c r="B5208" s="643" t="s">
        <v>5435</v>
      </c>
      <c r="C5208" s="643" t="s">
        <v>7887</v>
      </c>
      <c r="D5208" s="643" t="s">
        <v>7877</v>
      </c>
      <c r="E5208" s="643" t="s">
        <v>7876</v>
      </c>
      <c r="F5208" s="793">
        <f t="shared" si="1893"/>
        <v>12.999999999999998</v>
      </c>
      <c r="G5208" s="793">
        <f>G5205+4.8</f>
        <v>13.399999999999999</v>
      </c>
      <c r="H5208" s="795">
        <f t="shared" si="1894"/>
        <v>10.719999999999999</v>
      </c>
      <c r="I5208" s="1046"/>
      <c r="J5208" s="669">
        <v>44848</v>
      </c>
      <c r="K5208" s="769"/>
      <c r="L5208" s="872"/>
      <c r="M5208" s="1047"/>
      <c r="N5208" s="136"/>
      <c r="O5208" s="325"/>
    </row>
    <row r="5209" spans="1:24" s="774" customFormat="1" x14ac:dyDescent="0.25">
      <c r="A5209" s="644" t="s">
        <v>7873</v>
      </c>
      <c r="B5209" s="643" t="s">
        <v>5435</v>
      </c>
      <c r="C5209" s="643" t="s">
        <v>7887</v>
      </c>
      <c r="D5209" s="643" t="s">
        <v>7878</v>
      </c>
      <c r="E5209" s="643" t="s">
        <v>7876</v>
      </c>
      <c r="F5209" s="793">
        <f t="shared" si="1893"/>
        <v>10.9</v>
      </c>
      <c r="G5209" s="793">
        <f>G5206+3.8</f>
        <v>11.3</v>
      </c>
      <c r="H5209" s="795">
        <f t="shared" si="1894"/>
        <v>9.0400000000000009</v>
      </c>
      <c r="I5209" s="1046"/>
      <c r="J5209" s="669">
        <v>44848</v>
      </c>
      <c r="K5209" s="769"/>
      <c r="L5209" s="872"/>
      <c r="M5209" s="868"/>
      <c r="N5209" s="136"/>
      <c r="O5209" s="325"/>
    </row>
    <row r="5210" spans="1:24" s="774" customFormat="1" x14ac:dyDescent="0.25">
      <c r="A5210" s="644" t="s">
        <v>7874</v>
      </c>
      <c r="B5210" s="643" t="s">
        <v>5435</v>
      </c>
      <c r="C5210" s="643" t="s">
        <v>7887</v>
      </c>
      <c r="D5210" s="643" t="s">
        <v>7879</v>
      </c>
      <c r="E5210" s="643" t="s">
        <v>7876</v>
      </c>
      <c r="F5210" s="793">
        <f t="shared" si="1893"/>
        <v>10.9</v>
      </c>
      <c r="G5210" s="793">
        <f>G5207+5.1</f>
        <v>11.3</v>
      </c>
      <c r="H5210" s="795">
        <f t="shared" si="1894"/>
        <v>9.0400000000000009</v>
      </c>
      <c r="I5210" s="1046"/>
      <c r="J5210" s="669">
        <v>44848</v>
      </c>
      <c r="K5210" s="769"/>
      <c r="L5210" s="872"/>
      <c r="M5210" s="868"/>
      <c r="O5210" s="325"/>
    </row>
    <row r="5211" spans="1:24" s="774" customFormat="1" x14ac:dyDescent="0.25">
      <c r="A5211" s="644" t="s">
        <v>7875</v>
      </c>
      <c r="B5211" s="643" t="s">
        <v>5435</v>
      </c>
      <c r="C5211" s="643" t="s">
        <v>7887</v>
      </c>
      <c r="D5211" s="643" t="s">
        <v>7880</v>
      </c>
      <c r="E5211" s="643" t="s">
        <v>7876</v>
      </c>
      <c r="F5211" s="793">
        <f t="shared" si="1893"/>
        <v>9</v>
      </c>
      <c r="G5211" s="793">
        <f>G5207+3.2</f>
        <v>9.4</v>
      </c>
      <c r="H5211" s="795">
        <f t="shared" si="1894"/>
        <v>7.5200000000000005</v>
      </c>
      <c r="I5211" s="1046"/>
      <c r="J5211" s="669">
        <v>44848</v>
      </c>
      <c r="K5211" s="769"/>
      <c r="L5211" s="872"/>
      <c r="M5211" s="868"/>
      <c r="O5211" s="327"/>
      <c r="P5211" s="769"/>
      <c r="Q5211" s="769"/>
    </row>
    <row r="5212" spans="1:24" s="774" customFormat="1" x14ac:dyDescent="0.25">
      <c r="F5212" s="471"/>
      <c r="G5212" s="769"/>
      <c r="H5212" s="769" t="str">
        <f t="shared" ref="H5212:H5220" si="1895">IF(ISNUMBER(G5212),ROUND(0.8*G5212,2),"")</f>
        <v/>
      </c>
      <c r="I5212" s="691"/>
      <c r="J5212" s="669" t="s">
        <v>4180</v>
      </c>
      <c r="K5212" s="769"/>
      <c r="O5212" s="327" t="s">
        <v>3919</v>
      </c>
      <c r="P5212" s="327" t="s">
        <v>3920</v>
      </c>
      <c r="Q5212" s="327" t="s">
        <v>7946</v>
      </c>
      <c r="U5212" s="327"/>
      <c r="V5212" s="327"/>
      <c r="W5212" s="327"/>
      <c r="X5212" s="327"/>
    </row>
    <row r="5213" spans="1:24" s="774" customFormat="1" x14ac:dyDescent="0.25">
      <c r="A5213" s="644" t="str">
        <f>"SgK4820-----"&amp;RIGHT(M$5213,2)</f>
        <v>SgK4820-----23</v>
      </c>
      <c r="B5213" s="643" t="s">
        <v>5435</v>
      </c>
      <c r="C5213" s="643" t="str">
        <f t="shared" ref="C5213:C5220" si="1896">"Inbetriebnahme "&amp;$M$5213</f>
        <v>Inbetriebnahme 2023</v>
      </c>
      <c r="D5213" s="643" t="s">
        <v>3919</v>
      </c>
      <c r="E5213" s="645"/>
      <c r="F5213" s="793">
        <f>ROUND(HLOOKUP(D5213,O$5212:Q$5214,3,FALSE),2)</f>
        <v>8.1999999999999993</v>
      </c>
      <c r="G5213" s="795">
        <f>ROUND(HLOOKUP(D5213,O$5212:Q$5214,2,FALSE),2)</f>
        <v>8.6</v>
      </c>
      <c r="H5213" s="795">
        <f t="shared" si="1895"/>
        <v>6.88</v>
      </c>
      <c r="I5213" s="792"/>
      <c r="J5213" s="669">
        <f t="shared" ref="J5213:J5220" si="1897">J$31</f>
        <v>44896</v>
      </c>
      <c r="M5213" s="127">
        <v>2023</v>
      </c>
      <c r="N5213" s="395" t="s">
        <v>7924</v>
      </c>
      <c r="O5213" s="327">
        <v>8.6</v>
      </c>
      <c r="P5213" s="327">
        <v>7.5</v>
      </c>
      <c r="Q5213" s="327">
        <v>6.2</v>
      </c>
      <c r="S5213" s="774" t="s">
        <v>49</v>
      </c>
    </row>
    <row r="5214" spans="1:24" s="774" customFormat="1" x14ac:dyDescent="0.25">
      <c r="A5214" s="644" t="str">
        <f>"SgK4821-----"&amp;RIGHT(M$5213,2)</f>
        <v>SgK4821-----23</v>
      </c>
      <c r="B5214" s="643" t="s">
        <v>5435</v>
      </c>
      <c r="C5214" s="643" t="str">
        <f t="shared" si="1896"/>
        <v>Inbetriebnahme 2023</v>
      </c>
      <c r="D5214" s="643" t="s">
        <v>3920</v>
      </c>
      <c r="E5214" s="645"/>
      <c r="F5214" s="793">
        <f>ROUND(HLOOKUP(D5214,O$5212:Q$5214,3,FALSE),2)</f>
        <v>7.1</v>
      </c>
      <c r="G5214" s="795">
        <f>ROUND(HLOOKUP(D5214,O$5212:Q$5214,2,FALSE),2)</f>
        <v>7.5</v>
      </c>
      <c r="H5214" s="795">
        <f t="shared" si="1895"/>
        <v>6</v>
      </c>
      <c r="I5214" s="792"/>
      <c r="J5214" s="669">
        <f t="shared" si="1897"/>
        <v>44896</v>
      </c>
      <c r="N5214" s="395" t="s">
        <v>5882</v>
      </c>
      <c r="O5214" s="327">
        <f>O5213-0.4</f>
        <v>8.1999999999999993</v>
      </c>
      <c r="P5214" s="327">
        <f>P5213-0.4</f>
        <v>7.1</v>
      </c>
      <c r="Q5214" s="327">
        <f>Q5213-0.4</f>
        <v>5.8</v>
      </c>
      <c r="S5214" s="774" t="s">
        <v>50</v>
      </c>
    </row>
    <row r="5215" spans="1:24" s="774" customFormat="1" x14ac:dyDescent="0.25">
      <c r="A5215" s="644" t="str">
        <f>"SgK4822-----"&amp;RIGHT(M$5213,2)</f>
        <v>SgK4822-----23</v>
      </c>
      <c r="B5215" s="643" t="s">
        <v>5435</v>
      </c>
      <c r="C5215" s="643" t="str">
        <f t="shared" si="1896"/>
        <v>Inbetriebnahme 2023</v>
      </c>
      <c r="D5215" s="643" t="s">
        <v>7946</v>
      </c>
      <c r="E5215" s="645"/>
      <c r="F5215" s="793">
        <f>ROUND(HLOOKUP(D5215,O$5212:Q$5214,3,FALSE),2)</f>
        <v>5.8</v>
      </c>
      <c r="G5215" s="795">
        <f>ROUND(HLOOKUP(D5215,O$5212:Q$5214,2,FALSE),2)</f>
        <v>6.2</v>
      </c>
      <c r="H5215" s="795">
        <f t="shared" si="1895"/>
        <v>4.96</v>
      </c>
      <c r="I5215" s="792"/>
      <c r="J5215" s="669">
        <f t="shared" si="1897"/>
        <v>44896</v>
      </c>
      <c r="N5215" s="395"/>
      <c r="O5215" s="327" t="s">
        <v>3919</v>
      </c>
      <c r="P5215" s="327" t="s">
        <v>3920</v>
      </c>
      <c r="Q5215" s="327" t="s">
        <v>7926</v>
      </c>
      <c r="R5215" s="774" t="s">
        <v>7927</v>
      </c>
      <c r="S5215" s="774" t="s">
        <v>7945</v>
      </c>
    </row>
    <row r="5216" spans="1:24" s="774" customFormat="1" x14ac:dyDescent="0.25">
      <c r="A5216" s="644" t="str">
        <f>"SgK482a0----"&amp;RIGHT(M$5213,2)</f>
        <v>SgK482a0----23</v>
      </c>
      <c r="B5216" s="643" t="s">
        <v>5435</v>
      </c>
      <c r="C5216" s="643" t="str">
        <f t="shared" si="1896"/>
        <v>Inbetriebnahme 2023</v>
      </c>
      <c r="D5216" s="643" t="s">
        <v>3919</v>
      </c>
      <c r="E5216" s="643" t="s">
        <v>7876</v>
      </c>
      <c r="F5216" s="793">
        <f>ROUND(HLOOKUP(D5216,O$5215:S$5217,3,FALSE),2)</f>
        <v>13</v>
      </c>
      <c r="G5216" s="795">
        <f>ROUND(HLOOKUP(D5216,O$5215:S$5217,2,FALSE),2)</f>
        <v>13.4</v>
      </c>
      <c r="H5216" s="795">
        <f t="shared" si="1895"/>
        <v>10.72</v>
      </c>
      <c r="I5216" s="792"/>
      <c r="J5216" s="669">
        <f t="shared" si="1897"/>
        <v>44896</v>
      </c>
      <c r="M5216" s="127">
        <v>2023</v>
      </c>
      <c r="N5216" s="395" t="s">
        <v>7928</v>
      </c>
      <c r="O5216" s="327">
        <f>O5213+4.8</f>
        <v>13.399999999999999</v>
      </c>
      <c r="P5216" s="327">
        <f>P5213+3.8</f>
        <v>11.3</v>
      </c>
      <c r="Q5216" s="327">
        <f>Q5213+5.1</f>
        <v>11.3</v>
      </c>
      <c r="R5216" s="871">
        <f>Q5213+3.2</f>
        <v>9.4</v>
      </c>
      <c r="S5216" s="871">
        <f>Q5213+1.9</f>
        <v>8.1</v>
      </c>
      <c r="U5216" s="774" t="s">
        <v>49</v>
      </c>
    </row>
    <row r="5217" spans="1:29" s="774" customFormat="1" x14ac:dyDescent="0.25">
      <c r="A5217" s="644" t="str">
        <f>"SgK482a1----"&amp;RIGHT(M$5213,2)</f>
        <v>SgK482a1----23</v>
      </c>
      <c r="B5217" s="643" t="s">
        <v>5435</v>
      </c>
      <c r="C5217" s="643" t="str">
        <f t="shared" si="1896"/>
        <v>Inbetriebnahme 2023</v>
      </c>
      <c r="D5217" s="643" t="s">
        <v>3920</v>
      </c>
      <c r="E5217" s="643" t="s">
        <v>7876</v>
      </c>
      <c r="F5217" s="793">
        <f>ROUND(HLOOKUP(D5217,O$5215:S$5217,3,FALSE),2)</f>
        <v>10.9</v>
      </c>
      <c r="G5217" s="795">
        <f>ROUND(HLOOKUP(D5217,O$5215:S$5217,2,FALSE),2)</f>
        <v>11.3</v>
      </c>
      <c r="H5217" s="795">
        <f t="shared" si="1895"/>
        <v>9.0399999999999991</v>
      </c>
      <c r="I5217" s="792"/>
      <c r="J5217" s="669">
        <f t="shared" si="1897"/>
        <v>44896</v>
      </c>
      <c r="N5217" s="395" t="s">
        <v>5882</v>
      </c>
      <c r="O5217" s="327">
        <f>O5216-0.4</f>
        <v>12.999999999999998</v>
      </c>
      <c r="P5217" s="327">
        <f>P5216-0.4</f>
        <v>10.9</v>
      </c>
      <c r="Q5217" s="327">
        <f>Q5216-0.4</f>
        <v>10.9</v>
      </c>
      <c r="R5217" s="327">
        <f>R5216-0.4</f>
        <v>9</v>
      </c>
      <c r="S5217" s="327">
        <f>S5216-0.4</f>
        <v>7.6999999999999993</v>
      </c>
      <c r="U5217" s="774" t="s">
        <v>50</v>
      </c>
    </row>
    <row r="5218" spans="1:29" s="774" customFormat="1" x14ac:dyDescent="0.25">
      <c r="A5218" s="644" t="str">
        <f>"SgK482a2----"&amp;RIGHT(M$5213,2)</f>
        <v>SgK482a2----23</v>
      </c>
      <c r="B5218" s="643" t="s">
        <v>5435</v>
      </c>
      <c r="C5218" s="643" t="str">
        <f t="shared" si="1896"/>
        <v>Inbetriebnahme 2023</v>
      </c>
      <c r="D5218" s="643" t="s">
        <v>7926</v>
      </c>
      <c r="E5218" s="643" t="s">
        <v>7876</v>
      </c>
      <c r="F5218" s="793">
        <f>ROUND(HLOOKUP(D5218,O$5215:S$5217,3,FALSE),2)</f>
        <v>10.9</v>
      </c>
      <c r="G5218" s="795">
        <f>ROUND(HLOOKUP(D5218,O$5215:S$5217,2,FALSE),2)</f>
        <v>11.3</v>
      </c>
      <c r="H5218" s="795">
        <f t="shared" si="1895"/>
        <v>9.0399999999999991</v>
      </c>
      <c r="I5218" s="792"/>
      <c r="J5218" s="669">
        <f t="shared" si="1897"/>
        <v>44896</v>
      </c>
      <c r="N5218" s="395"/>
      <c r="O5218" s="327"/>
      <c r="P5218" s="327"/>
      <c r="Q5218" s="327"/>
    </row>
    <row r="5219" spans="1:29" s="774" customFormat="1" x14ac:dyDescent="0.25">
      <c r="A5219" s="644" t="str">
        <f>"SgK482a3----"&amp;RIGHT(M$5213,2)</f>
        <v>SgK482a3----23</v>
      </c>
      <c r="B5219" s="643" t="s">
        <v>5435</v>
      </c>
      <c r="C5219" s="643" t="str">
        <f t="shared" si="1896"/>
        <v>Inbetriebnahme 2023</v>
      </c>
      <c r="D5219" s="643" t="s">
        <v>7927</v>
      </c>
      <c r="E5219" s="643" t="s">
        <v>7876</v>
      </c>
      <c r="F5219" s="793">
        <f>ROUND(HLOOKUP(D5219,O$5215:S$5217,3,FALSE),2)</f>
        <v>9</v>
      </c>
      <c r="G5219" s="795">
        <f>ROUND(HLOOKUP(D5219,O$5215:S$5217,2,FALSE),2)</f>
        <v>9.4</v>
      </c>
      <c r="H5219" s="795">
        <f t="shared" si="1895"/>
        <v>7.52</v>
      </c>
      <c r="I5219" s="792"/>
      <c r="J5219" s="669">
        <f t="shared" si="1897"/>
        <v>44896</v>
      </c>
      <c r="N5219" s="395"/>
      <c r="O5219" s="327"/>
      <c r="P5219" s="327"/>
      <c r="Q5219" s="327"/>
    </row>
    <row r="5220" spans="1:29" s="774" customFormat="1" x14ac:dyDescent="0.25">
      <c r="A5220" s="644" t="str">
        <f>"SgK482a4----"&amp;RIGHT(M$5213,2)</f>
        <v>SgK482a4----23</v>
      </c>
      <c r="B5220" s="643" t="s">
        <v>5435</v>
      </c>
      <c r="C5220" s="643" t="str">
        <f t="shared" si="1896"/>
        <v>Inbetriebnahme 2023</v>
      </c>
      <c r="D5220" s="643" t="s">
        <v>7945</v>
      </c>
      <c r="E5220" s="643" t="s">
        <v>7876</v>
      </c>
      <c r="F5220" s="793">
        <f>ROUND(HLOOKUP(D5220,O$5215:S$5217,3,FALSE),2)</f>
        <v>7.7</v>
      </c>
      <c r="G5220" s="795">
        <f>ROUND(HLOOKUP(D5220,O$5215:S$5217,2,FALSE),2)</f>
        <v>8.1</v>
      </c>
      <c r="H5220" s="795">
        <f t="shared" si="1895"/>
        <v>6.48</v>
      </c>
      <c r="I5220" s="792"/>
      <c r="J5220" s="669">
        <f t="shared" si="1897"/>
        <v>44896</v>
      </c>
      <c r="N5220" s="395"/>
      <c r="O5220" s="327"/>
      <c r="P5220" s="327"/>
      <c r="Q5220" s="327"/>
    </row>
    <row r="5221" spans="1:29" s="774" customFormat="1" x14ac:dyDescent="0.25">
      <c r="F5221" s="471"/>
      <c r="G5221" s="769"/>
      <c r="H5221" s="769"/>
      <c r="I5221" s="691"/>
      <c r="J5221" s="669"/>
      <c r="K5221" s="769"/>
      <c r="O5221" s="327"/>
      <c r="P5221" s="327"/>
      <c r="Q5221" s="327"/>
      <c r="U5221" s="327"/>
      <c r="V5221" s="327"/>
      <c r="W5221" s="327"/>
      <c r="X5221" s="327"/>
    </row>
    <row r="5222" spans="1:29" s="774" customFormat="1" ht="30" customHeight="1" x14ac:dyDescent="0.25">
      <c r="A5222" s="806" t="s">
        <v>7947</v>
      </c>
      <c r="B5222" s="775"/>
      <c r="C5222" s="775"/>
      <c r="D5222" s="775"/>
      <c r="E5222" s="775"/>
      <c r="F5222" s="443"/>
      <c r="G5222" s="775"/>
      <c r="H5222" s="74"/>
      <c r="I5222" s="693"/>
      <c r="J5222" s="669">
        <f>J$31</f>
        <v>44896</v>
      </c>
      <c r="N5222" s="395"/>
      <c r="O5222" s="327"/>
      <c r="P5222" s="327"/>
      <c r="Q5222" s="327"/>
    </row>
    <row r="5223" spans="1:29" s="774" customFormat="1" ht="46.5" customHeight="1" x14ac:dyDescent="0.25">
      <c r="A5223" s="1128" t="s">
        <v>7948</v>
      </c>
      <c r="B5223" s="1134"/>
      <c r="C5223" s="1134"/>
      <c r="D5223" s="1134"/>
      <c r="E5223" s="1134"/>
      <c r="F5223" s="1134"/>
      <c r="G5223" s="1063"/>
      <c r="H5223" s="507"/>
      <c r="I5223" s="735"/>
      <c r="J5223" s="669">
        <f>J$31</f>
        <v>44896</v>
      </c>
      <c r="N5223" s="395"/>
      <c r="O5223" s="327"/>
      <c r="P5223" s="327"/>
      <c r="Q5223" s="327"/>
    </row>
    <row r="5224" spans="1:29" s="774" customFormat="1" x14ac:dyDescent="0.25">
      <c r="D5224" s="130"/>
      <c r="F5224" s="471"/>
      <c r="G5224" s="769"/>
      <c r="H5224" s="769"/>
      <c r="I5224" s="691"/>
      <c r="J5224" s="669"/>
    </row>
    <row r="5225" spans="1:29" s="774" customFormat="1" x14ac:dyDescent="0.25">
      <c r="A5225" s="644" t="str">
        <f>"SoK481a-----"&amp;RIGHT(M$5213,2)</f>
        <v>SoK481a-----23</v>
      </c>
      <c r="B5225" s="645" t="s">
        <v>740</v>
      </c>
      <c r="C5225" s="643" t="str">
        <f>"Inbetriebnahme "&amp;$M$5213</f>
        <v>Inbetriebnahme 2023</v>
      </c>
      <c r="D5225" s="645" t="s">
        <v>7944</v>
      </c>
      <c r="E5225" s="643"/>
      <c r="F5225" s="793"/>
      <c r="G5225" s="795"/>
      <c r="H5225" s="795"/>
      <c r="I5225" s="792"/>
      <c r="J5225" s="669">
        <f>J$31</f>
        <v>44896</v>
      </c>
      <c r="M5225" s="127"/>
      <c r="N5225" s="395"/>
    </row>
    <row r="5226" spans="1:29" s="774" customFormat="1" x14ac:dyDescent="0.25">
      <c r="A5226" s="644" t="str">
        <f>"SgK481a-----"&amp;RIGHT(M$5213,2)</f>
        <v>SgK481a-----23</v>
      </c>
      <c r="B5226" s="643" t="s">
        <v>5435</v>
      </c>
      <c r="C5226" s="643" t="str">
        <f>"Inbetriebnahme "&amp;$M$5213</f>
        <v>Inbetriebnahme 2023</v>
      </c>
      <c r="D5226" s="643" t="s">
        <v>7942</v>
      </c>
      <c r="E5226" s="645"/>
      <c r="F5226" s="793"/>
      <c r="G5226" s="795"/>
      <c r="H5226" s="795"/>
      <c r="I5226" s="792"/>
      <c r="J5226" s="669">
        <f>J$31</f>
        <v>44896</v>
      </c>
      <c r="M5226" s="127"/>
      <c r="N5226" s="395"/>
    </row>
    <row r="5227" spans="1:29" x14ac:dyDescent="0.25">
      <c r="D5227" s="810"/>
      <c r="E5227" s="766"/>
      <c r="J5227" s="669"/>
    </row>
    <row r="5228" spans="1:29" ht="32.25" customHeight="1" x14ac:dyDescent="0.25">
      <c r="A5228" s="806" t="s">
        <v>8152</v>
      </c>
      <c r="B5228" s="65"/>
      <c r="C5228" s="65"/>
      <c r="D5228" s="65"/>
      <c r="E5228" s="65"/>
      <c r="F5228" s="443"/>
      <c r="G5228" s="65"/>
      <c r="H5228" s="74" t="str">
        <f>IF(ISNUMBER(G5228),ROUND(0.8*G5228,2),"")</f>
        <v/>
      </c>
      <c r="I5228" s="693"/>
      <c r="J5228" s="669">
        <v>43077</v>
      </c>
      <c r="O5228" s="238"/>
      <c r="P5228" s="238"/>
      <c r="Q5228" s="238"/>
      <c r="R5228" s="238"/>
      <c r="S5228" s="238"/>
      <c r="T5228" s="238"/>
    </row>
    <row r="5229" spans="1:29" s="238" customFormat="1" ht="33.75" customHeight="1" x14ac:dyDescent="0.25">
      <c r="A5229" s="1128" t="s">
        <v>8153</v>
      </c>
      <c r="B5229" s="1134"/>
      <c r="C5229" s="1134"/>
      <c r="D5229" s="1134"/>
      <c r="E5229" s="1134"/>
      <c r="F5229" s="1134"/>
      <c r="G5229" s="432"/>
      <c r="H5229" s="507" t="str">
        <f>IF(ISNUMBER(G5229),ROUND(0.8*G5229,2),"")</f>
        <v/>
      </c>
      <c r="I5229" s="735"/>
      <c r="J5229" s="669">
        <v>44196</v>
      </c>
      <c r="O5229"/>
      <c r="P5229"/>
      <c r="Q5229"/>
      <c r="R5229"/>
      <c r="S5229"/>
      <c r="T5229"/>
    </row>
    <row r="5230" spans="1:29" s="238" customFormat="1" ht="32.25" customHeight="1" x14ac:dyDescent="0.25">
      <c r="A5230" s="1130" t="s">
        <v>8154</v>
      </c>
      <c r="B5230" s="1130"/>
      <c r="C5230" s="1130"/>
      <c r="D5230" s="1130"/>
      <c r="E5230" s="1130"/>
      <c r="F5230" s="1130"/>
      <c r="G5230" s="428"/>
      <c r="H5230" s="504" t="str">
        <f>IF(ISNUMBER(G5230),ROUND(0.8*G5230,2),"")</f>
        <v/>
      </c>
      <c r="I5230" s="731"/>
      <c r="J5230" s="669">
        <v>43077</v>
      </c>
    </row>
    <row r="5231" spans="1:29" s="238" customFormat="1" ht="33" customHeight="1" x14ac:dyDescent="0.25">
      <c r="A5231" s="1128" t="s">
        <v>8155</v>
      </c>
      <c r="B5231" s="1134"/>
      <c r="C5231" s="1134"/>
      <c r="D5231" s="1134"/>
      <c r="E5231" s="1134"/>
      <c r="F5231" s="1134"/>
      <c r="G5231" s="431"/>
      <c r="H5231" s="505" t="str">
        <f>IF(ISNUMBER(G5231),ROUND(0.8*G5231,2),"")</f>
        <v/>
      </c>
      <c r="I5231" s="732"/>
      <c r="J5231" s="669">
        <v>43077</v>
      </c>
      <c r="M5231"/>
      <c r="N5231"/>
      <c r="U5231"/>
      <c r="V5231"/>
      <c r="W5231"/>
      <c r="X5231"/>
      <c r="Y5231"/>
      <c r="Z5231"/>
      <c r="AA5231"/>
      <c r="AB5231"/>
      <c r="AC5231"/>
    </row>
    <row r="5232" spans="1:29" ht="33.75" customHeight="1" x14ac:dyDescent="0.25">
      <c r="A5232" s="1128" t="s">
        <v>6330</v>
      </c>
      <c r="B5232" s="1134"/>
      <c r="C5232" s="1134"/>
      <c r="D5232" s="1134"/>
      <c r="E5232" s="1134"/>
      <c r="F5232" s="1134"/>
      <c r="G5232" s="431"/>
      <c r="H5232" s="505" t="str">
        <f>IF(ISNUMBER(G5232),ROUND(0.8*G5232,2),"")</f>
        <v/>
      </c>
      <c r="I5232" s="732"/>
      <c r="J5232" s="669">
        <v>43077</v>
      </c>
      <c r="K5232" s="129"/>
      <c r="M5232" s="238"/>
      <c r="N5232" s="238"/>
      <c r="U5232" s="238"/>
      <c r="V5232" s="238"/>
      <c r="W5232" s="238"/>
      <c r="X5232" s="238"/>
      <c r="Y5232" s="238"/>
      <c r="Z5232" s="238"/>
      <c r="AA5232" s="238"/>
      <c r="AB5232" s="238"/>
      <c r="AC5232" s="238"/>
    </row>
    <row r="5233" spans="1:19" x14ac:dyDescent="0.25">
      <c r="D5233" s="130"/>
      <c r="J5233" s="669" t="s">
        <v>4180</v>
      </c>
    </row>
    <row r="5234" spans="1:19" x14ac:dyDescent="0.25">
      <c r="A5234" s="644" t="s">
        <v>6326</v>
      </c>
      <c r="B5234" s="645" t="s">
        <v>5435</v>
      </c>
      <c r="C5234" s="643" t="s">
        <v>7443</v>
      </c>
      <c r="D5234" s="643" t="s">
        <v>6320</v>
      </c>
      <c r="E5234" s="656"/>
      <c r="F5234" s="657" t="str">
        <f>IF($O5234&lt;&gt;"",ROUND(Q5234,2),"")</f>
        <v/>
      </c>
      <c r="G5234" s="657" t="str">
        <f>IF($O5234&lt;&gt;"",ROUND(R5234,2),"")</f>
        <v/>
      </c>
      <c r="H5234" s="656" t="str">
        <f>IF(ISNUMBER(G5234),ROUND(0.8*G5234,2),"")</f>
        <v/>
      </c>
      <c r="I5234" s="701"/>
      <c r="J5234" s="669">
        <v>43077</v>
      </c>
      <c r="K5234" s="129"/>
      <c r="N5234" s="333"/>
      <c r="O5234" s="395"/>
      <c r="P5234" s="569" t="str">
        <f>IF($O5234&lt;&gt;"",#REF!*(100%-$O5234),"")</f>
        <v/>
      </c>
      <c r="Q5234" s="327" t="str">
        <f>IF($O5234&lt;&gt;"",(1-$O5234)*#REF!,"")</f>
        <v/>
      </c>
      <c r="R5234" s="327"/>
    </row>
    <row r="5235" spans="1:19" s="774" customFormat="1" x14ac:dyDescent="0.25">
      <c r="A5235" s="644" t="s">
        <v>8139</v>
      </c>
      <c r="B5235" s="645" t="s">
        <v>5435</v>
      </c>
      <c r="C5235" s="643" t="s">
        <v>7443</v>
      </c>
      <c r="D5235" s="643" t="s">
        <v>8140</v>
      </c>
      <c r="E5235" s="656"/>
      <c r="F5235" s="657"/>
      <c r="G5235" s="657"/>
      <c r="H5235" s="656"/>
      <c r="I5235" s="701"/>
      <c r="J5235" s="669">
        <v>44896</v>
      </c>
      <c r="K5235" s="129"/>
      <c r="N5235" s="333"/>
      <c r="O5235" s="395"/>
      <c r="P5235" s="569"/>
      <c r="Q5235" s="327"/>
      <c r="R5235" s="327"/>
    </row>
    <row r="5236" spans="1:19" s="774" customFormat="1" x14ac:dyDescent="0.25">
      <c r="A5236" s="608"/>
      <c r="B5236" s="2"/>
      <c r="C5236" s="34"/>
      <c r="D5236" s="34"/>
      <c r="E5236" s="2"/>
      <c r="F5236" s="445"/>
      <c r="G5236" s="14"/>
      <c r="H5236" s="14"/>
      <c r="I5236" s="695"/>
      <c r="J5236" s="669" t="s">
        <v>4180</v>
      </c>
      <c r="K5236" s="769"/>
      <c r="N5236" s="137" t="s">
        <v>3902</v>
      </c>
      <c r="O5236" s="270" t="s">
        <v>5490</v>
      </c>
      <c r="P5236" s="774" t="s">
        <v>6320</v>
      </c>
      <c r="Q5236" s="774" t="s">
        <v>3919</v>
      </c>
      <c r="R5236" s="774" t="s">
        <v>3920</v>
      </c>
      <c r="S5236" s="774" t="s">
        <v>7444</v>
      </c>
    </row>
    <row r="5237" spans="1:19" s="774" customFormat="1" x14ac:dyDescent="0.25">
      <c r="A5237" s="644" t="str">
        <f>"SgK48a0--"&amp;RIGHT(N5237,5)</f>
        <v>SgK48a0--Jan21</v>
      </c>
      <c r="B5237" s="645" t="s">
        <v>5435</v>
      </c>
      <c r="C5237" s="643" t="str">
        <f t="shared" ref="C5237:C5272" si="1898">"Inbetriebnahme "&amp;TEXT(DATEVALUE(RIGHT(A5237,5)),"MM/JJJJ")</f>
        <v>Inbetriebnahme 01/2021</v>
      </c>
      <c r="D5237" s="643" t="str">
        <f>$Q$4848</f>
        <v>0 - 10 kW</v>
      </c>
      <c r="E5237" s="645" t="s">
        <v>6320</v>
      </c>
      <c r="F5237" s="793"/>
      <c r="G5237" s="793"/>
      <c r="H5237" s="795"/>
      <c r="I5237" s="795">
        <f t="shared" ref="I5237:I5272" si="1899">IF(HLOOKUP($D5237,$Q$5236:$S$5248,MATCH(RIGHT($A5237,5),$N$5236:$N$5248,0),FALSE)&lt;&gt;"",ROUND(HLOOKUP($D5237,$Q$5236:$S$5248,MATCH(RIGHT($A5237,5),$N$5236:$N$5248,0),FALSE),2),"")</f>
        <v>3.79</v>
      </c>
      <c r="J5237" s="669">
        <v>44196</v>
      </c>
      <c r="K5237" s="769"/>
      <c r="M5237" s="127">
        <v>2021</v>
      </c>
      <c r="N5237" s="639" t="s">
        <v>6684</v>
      </c>
      <c r="O5237" s="568" t="s">
        <v>7540</v>
      </c>
      <c r="Q5237" s="774">
        <v>3.79</v>
      </c>
      <c r="R5237" s="774">
        <v>3.52</v>
      </c>
      <c r="S5237" s="774">
        <v>2.37</v>
      </c>
    </row>
    <row r="5238" spans="1:19" s="774" customFormat="1" x14ac:dyDescent="0.25">
      <c r="A5238" s="644" t="str">
        <f>"SgK48a1--"&amp;RIGHT(A5237,5)</f>
        <v>SgK48a1--Jan21</v>
      </c>
      <c r="B5238" s="645" t="s">
        <v>5435</v>
      </c>
      <c r="C5238" s="643" t="str">
        <f t="shared" si="1898"/>
        <v>Inbetriebnahme 01/2021</v>
      </c>
      <c r="D5238" s="643" t="str">
        <f>$R$4848</f>
        <v>10 - 40 kW</v>
      </c>
      <c r="E5238" s="645" t="s">
        <v>6320</v>
      </c>
      <c r="F5238" s="793"/>
      <c r="G5238" s="793"/>
      <c r="H5238" s="795"/>
      <c r="I5238" s="795">
        <f t="shared" si="1899"/>
        <v>3.52</v>
      </c>
      <c r="J5238" s="669">
        <v>44196</v>
      </c>
      <c r="K5238" s="769"/>
      <c r="M5238" s="413"/>
      <c r="N5238" s="333" t="str">
        <f t="shared" ref="N5238:N5248" si="1900">TEXT(DATE(YEAR(DATEVALUE(N5237)),MONTH(DATEVALUE(N5237))+1,1),"MMMJJ")</f>
        <v>Feb21</v>
      </c>
      <c r="O5238" s="568">
        <v>1.4E-2</v>
      </c>
      <c r="Q5238" s="23">
        <f t="shared" ref="Q5238:Q5248" si="1901">IF($O5238&lt;&gt;"",Q5237*(100%-$O5238),"")</f>
        <v>3.7369400000000002</v>
      </c>
      <c r="R5238" s="23">
        <f t="shared" ref="R5238:R5248" si="1902">IF($O5238&lt;&gt;"",R5237*(100%-$O5238),"")</f>
        <v>3.47072</v>
      </c>
      <c r="S5238" s="23">
        <f t="shared" ref="S5238:S5248" si="1903">IF($O5238&lt;&gt;"",S5237*(100%-$O5238),"")</f>
        <v>2.3368199999999999</v>
      </c>
    </row>
    <row r="5239" spans="1:19" s="774" customFormat="1" x14ac:dyDescent="0.25">
      <c r="A5239" s="644" t="str">
        <f>"SgK48a2--"&amp;RIGHT(A5238,5)</f>
        <v>SgK48a2--Jan21</v>
      </c>
      <c r="B5239" s="645" t="s">
        <v>5435</v>
      </c>
      <c r="C5239" s="643" t="str">
        <f t="shared" si="1898"/>
        <v>Inbetriebnahme 01/2021</v>
      </c>
      <c r="D5239" s="643" t="s">
        <v>7444</v>
      </c>
      <c r="E5239" s="645" t="s">
        <v>6320</v>
      </c>
      <c r="F5239" s="793"/>
      <c r="G5239" s="793"/>
      <c r="H5239" s="795"/>
      <c r="I5239" s="795">
        <f t="shared" si="1899"/>
        <v>2.37</v>
      </c>
      <c r="J5239" s="669">
        <v>44196</v>
      </c>
      <c r="K5239" s="769"/>
      <c r="M5239" s="413"/>
      <c r="N5239" s="333" t="str">
        <f t="shared" si="1900"/>
        <v>Mrz21</v>
      </c>
      <c r="O5239" s="568">
        <v>1.4E-2</v>
      </c>
      <c r="Q5239" s="23">
        <f t="shared" si="1901"/>
        <v>3.6846228400000003</v>
      </c>
      <c r="R5239" s="23">
        <f t="shared" si="1902"/>
        <v>3.4221299200000002</v>
      </c>
      <c r="S5239" s="23">
        <f t="shared" si="1903"/>
        <v>2.3041045199999997</v>
      </c>
    </row>
    <row r="5240" spans="1:19" s="774" customFormat="1" x14ac:dyDescent="0.25">
      <c r="A5240" s="644" t="str">
        <f>"SgK48a0--"&amp;RIGHT(N5238,5)</f>
        <v>SgK48a0--Feb21</v>
      </c>
      <c r="B5240" s="645" t="s">
        <v>5435</v>
      </c>
      <c r="C5240" s="643" t="str">
        <f t="shared" si="1898"/>
        <v>Inbetriebnahme 02/2021</v>
      </c>
      <c r="D5240" s="643" t="str">
        <f t="shared" ref="D5240:D5272" si="1904">D5237</f>
        <v>0 - 10 kW</v>
      </c>
      <c r="E5240" s="645" t="s">
        <v>6320</v>
      </c>
      <c r="F5240" s="793"/>
      <c r="G5240" s="793"/>
      <c r="H5240" s="795"/>
      <c r="I5240" s="795">
        <f t="shared" si="1899"/>
        <v>3.74</v>
      </c>
      <c r="J5240" s="669">
        <v>44260</v>
      </c>
      <c r="K5240" s="769"/>
      <c r="M5240" s="413"/>
      <c r="N5240" s="333" t="str">
        <f t="shared" si="1900"/>
        <v>Apr21</v>
      </c>
      <c r="O5240" s="568">
        <v>1.4E-2</v>
      </c>
      <c r="Q5240" s="23">
        <f t="shared" si="1901"/>
        <v>3.6330381202400002</v>
      </c>
      <c r="R5240" s="23">
        <f t="shared" si="1902"/>
        <v>3.3742201011200001</v>
      </c>
      <c r="S5240" s="23">
        <f t="shared" si="1903"/>
        <v>2.2718470567199995</v>
      </c>
    </row>
    <row r="5241" spans="1:19" s="774" customFormat="1" x14ac:dyDescent="0.25">
      <c r="A5241" s="644" t="str">
        <f>"SgK48a1--"&amp;RIGHT(A5240,5)</f>
        <v>SgK48a1--Feb21</v>
      </c>
      <c r="B5241" s="645" t="s">
        <v>5435</v>
      </c>
      <c r="C5241" s="643" t="str">
        <f t="shared" si="1898"/>
        <v>Inbetriebnahme 02/2021</v>
      </c>
      <c r="D5241" s="643" t="str">
        <f t="shared" si="1904"/>
        <v>10 - 40 kW</v>
      </c>
      <c r="E5241" s="645" t="s">
        <v>6320</v>
      </c>
      <c r="F5241" s="793"/>
      <c r="G5241" s="793"/>
      <c r="H5241" s="795"/>
      <c r="I5241" s="795">
        <f t="shared" si="1899"/>
        <v>3.47</v>
      </c>
      <c r="J5241" s="669">
        <v>44260</v>
      </c>
      <c r="K5241" s="769"/>
      <c r="M5241" s="413"/>
      <c r="N5241" s="333" t="str">
        <f t="shared" si="1900"/>
        <v>Mai21</v>
      </c>
      <c r="O5241" s="568">
        <v>1.4E-2</v>
      </c>
      <c r="Q5241" s="23">
        <f t="shared" si="1901"/>
        <v>3.58217558655664</v>
      </c>
      <c r="R5241" s="23">
        <f t="shared" si="1902"/>
        <v>3.3269810197043199</v>
      </c>
      <c r="S5241" s="23">
        <f t="shared" si="1903"/>
        <v>2.2400411979259194</v>
      </c>
    </row>
    <row r="5242" spans="1:19" s="774" customFormat="1" x14ac:dyDescent="0.25">
      <c r="A5242" s="644" t="str">
        <f>"SgK48a2--"&amp;RIGHT(A5241,5)</f>
        <v>SgK48a2--Feb21</v>
      </c>
      <c r="B5242" s="645" t="s">
        <v>5435</v>
      </c>
      <c r="C5242" s="643" t="str">
        <f t="shared" si="1898"/>
        <v>Inbetriebnahme 02/2021</v>
      </c>
      <c r="D5242" s="643" t="str">
        <f t="shared" si="1904"/>
        <v>40 - 750 kW</v>
      </c>
      <c r="E5242" s="645" t="s">
        <v>6320</v>
      </c>
      <c r="F5242" s="793"/>
      <c r="G5242" s="793"/>
      <c r="H5242" s="795"/>
      <c r="I5242" s="795">
        <f t="shared" si="1899"/>
        <v>2.34</v>
      </c>
      <c r="J5242" s="669">
        <v>44260</v>
      </c>
      <c r="K5242" s="769"/>
      <c r="M5242" s="413"/>
      <c r="N5242" s="333" t="str">
        <f t="shared" si="1900"/>
        <v>Jun21</v>
      </c>
      <c r="O5242" s="568">
        <v>1.4E-2</v>
      </c>
      <c r="Q5242" s="23">
        <f t="shared" si="1901"/>
        <v>3.5320251283448472</v>
      </c>
      <c r="R5242" s="23">
        <f t="shared" si="1902"/>
        <v>3.2804032854284593</v>
      </c>
      <c r="S5242" s="23">
        <f t="shared" si="1903"/>
        <v>2.2086806211549566</v>
      </c>
    </row>
    <row r="5243" spans="1:19" s="774" customFormat="1" x14ac:dyDescent="0.25">
      <c r="A5243" s="644" t="str">
        <f>"SgK48a0--"&amp;RIGHT(N5239,5)</f>
        <v>SgK48a0--Mrz21</v>
      </c>
      <c r="B5243" s="645" t="s">
        <v>5435</v>
      </c>
      <c r="C5243" s="643" t="str">
        <f t="shared" si="1898"/>
        <v>Inbetriebnahme 03/2021</v>
      </c>
      <c r="D5243" s="643" t="str">
        <f t="shared" si="1904"/>
        <v>0 - 10 kW</v>
      </c>
      <c r="E5243" s="645" t="s">
        <v>6320</v>
      </c>
      <c r="F5243" s="793"/>
      <c r="G5243" s="793"/>
      <c r="H5243" s="795"/>
      <c r="I5243" s="795">
        <f t="shared" si="1899"/>
        <v>3.68</v>
      </c>
      <c r="J5243" s="669">
        <v>44260</v>
      </c>
      <c r="K5243" s="769"/>
      <c r="M5243" s="413"/>
      <c r="N5243" s="333" t="str">
        <f t="shared" si="1900"/>
        <v>Jul21</v>
      </c>
      <c r="O5243" s="568">
        <v>1.4E-2</v>
      </c>
      <c r="Q5243" s="23">
        <f t="shared" si="1901"/>
        <v>3.4825767765480191</v>
      </c>
      <c r="R5243" s="23">
        <f t="shared" si="1902"/>
        <v>3.2344776394324608</v>
      </c>
      <c r="S5243" s="23">
        <f t="shared" si="1903"/>
        <v>2.1777590924587873</v>
      </c>
    </row>
    <row r="5244" spans="1:19" s="774" customFormat="1" x14ac:dyDescent="0.25">
      <c r="A5244" s="644" t="str">
        <f>"SgK48a1--"&amp;RIGHT(A5243,5)</f>
        <v>SgK48a1--Mrz21</v>
      </c>
      <c r="B5244" s="645" t="s">
        <v>5435</v>
      </c>
      <c r="C5244" s="643" t="str">
        <f t="shared" si="1898"/>
        <v>Inbetriebnahme 03/2021</v>
      </c>
      <c r="D5244" s="643" t="str">
        <f t="shared" si="1904"/>
        <v>10 - 40 kW</v>
      </c>
      <c r="E5244" s="645" t="s">
        <v>6320</v>
      </c>
      <c r="F5244" s="793"/>
      <c r="G5244" s="793"/>
      <c r="H5244" s="795"/>
      <c r="I5244" s="795">
        <f t="shared" si="1899"/>
        <v>3.42</v>
      </c>
      <c r="J5244" s="669">
        <v>44260</v>
      </c>
      <c r="K5244" s="769"/>
      <c r="M5244" s="127"/>
      <c r="N5244" s="333" t="str">
        <f t="shared" si="1900"/>
        <v>Aug21</v>
      </c>
      <c r="O5244" s="568">
        <v>1.4E-2</v>
      </c>
      <c r="Q5244" s="23">
        <f t="shared" si="1901"/>
        <v>3.4338207016763467</v>
      </c>
      <c r="R5244" s="23">
        <f t="shared" si="1902"/>
        <v>3.1891949524804062</v>
      </c>
      <c r="S5244" s="23">
        <f t="shared" si="1903"/>
        <v>2.1472704651643642</v>
      </c>
    </row>
    <row r="5245" spans="1:19" s="774" customFormat="1" x14ac:dyDescent="0.25">
      <c r="A5245" s="644" t="str">
        <f>"SgK48a2--"&amp;RIGHT(A5244,5)</f>
        <v>SgK48a2--Mrz21</v>
      </c>
      <c r="B5245" s="645" t="s">
        <v>5435</v>
      </c>
      <c r="C5245" s="643" t="str">
        <f t="shared" si="1898"/>
        <v>Inbetriebnahme 03/2021</v>
      </c>
      <c r="D5245" s="643" t="str">
        <f t="shared" si="1904"/>
        <v>40 - 750 kW</v>
      </c>
      <c r="E5245" s="645" t="s">
        <v>6320</v>
      </c>
      <c r="F5245" s="793"/>
      <c r="G5245" s="793"/>
      <c r="H5245" s="795"/>
      <c r="I5245" s="795">
        <f t="shared" si="1899"/>
        <v>2.2999999999999998</v>
      </c>
      <c r="J5245" s="669">
        <v>44260</v>
      </c>
      <c r="K5245" s="769"/>
      <c r="N5245" s="333" t="str">
        <f t="shared" si="1900"/>
        <v>Sep21</v>
      </c>
      <c r="O5245" s="568">
        <v>1.4E-2</v>
      </c>
      <c r="Q5245" s="23">
        <f t="shared" si="1901"/>
        <v>3.3857472118528777</v>
      </c>
      <c r="R5245" s="23">
        <f t="shared" si="1902"/>
        <v>3.1445462231456807</v>
      </c>
      <c r="S5245" s="23">
        <f t="shared" si="1903"/>
        <v>2.1172086786520632</v>
      </c>
    </row>
    <row r="5246" spans="1:19" s="774" customFormat="1" x14ac:dyDescent="0.25">
      <c r="A5246" s="644" t="str">
        <f>"SgK48a0--"&amp;RIGHT(N5240,5)</f>
        <v>SgK48a0--Apr21</v>
      </c>
      <c r="B5246" s="645" t="s">
        <v>5435</v>
      </c>
      <c r="C5246" s="643" t="str">
        <f t="shared" si="1898"/>
        <v>Inbetriebnahme 04/2021</v>
      </c>
      <c r="D5246" s="643" t="str">
        <f t="shared" si="1904"/>
        <v>0 - 10 kW</v>
      </c>
      <c r="E5246" s="645" t="s">
        <v>6320</v>
      </c>
      <c r="F5246" s="793"/>
      <c r="G5246" s="793"/>
      <c r="H5246" s="795"/>
      <c r="I5246" s="795">
        <f t="shared" si="1899"/>
        <v>3.63</v>
      </c>
      <c r="J5246" s="669">
        <v>44260</v>
      </c>
      <c r="K5246" s="769"/>
      <c r="N5246" s="333" t="str">
        <f t="shared" si="1900"/>
        <v>Okt21</v>
      </c>
      <c r="O5246" s="568">
        <v>1.4E-2</v>
      </c>
      <c r="Q5246" s="23">
        <f t="shared" si="1901"/>
        <v>3.3383467508869376</v>
      </c>
      <c r="R5246" s="23">
        <f t="shared" si="1902"/>
        <v>3.1005225760216413</v>
      </c>
      <c r="S5246" s="23">
        <f t="shared" si="1903"/>
        <v>2.0875677571509343</v>
      </c>
    </row>
    <row r="5247" spans="1:19" s="774" customFormat="1" x14ac:dyDescent="0.25">
      <c r="A5247" s="644" t="str">
        <f>"SgK48a1--"&amp;RIGHT(A5246,5)</f>
        <v>SgK48a1--Apr21</v>
      </c>
      <c r="B5247" s="645" t="s">
        <v>5435</v>
      </c>
      <c r="C5247" s="643" t="str">
        <f t="shared" si="1898"/>
        <v>Inbetriebnahme 04/2021</v>
      </c>
      <c r="D5247" s="643" t="str">
        <f t="shared" si="1904"/>
        <v>10 - 40 kW</v>
      </c>
      <c r="E5247" s="645" t="s">
        <v>6320</v>
      </c>
      <c r="F5247" s="793"/>
      <c r="G5247" s="793"/>
      <c r="H5247" s="795"/>
      <c r="I5247" s="795">
        <f t="shared" si="1899"/>
        <v>3.37</v>
      </c>
      <c r="J5247" s="669">
        <v>44260</v>
      </c>
      <c r="K5247" s="769"/>
      <c r="N5247" s="333" t="str">
        <f t="shared" si="1900"/>
        <v>Nov21</v>
      </c>
      <c r="O5247" s="568">
        <v>1.4E-2</v>
      </c>
      <c r="Q5247" s="23">
        <f t="shared" si="1901"/>
        <v>3.2916098963745202</v>
      </c>
      <c r="R5247" s="23">
        <f t="shared" si="1902"/>
        <v>3.0571152599573383</v>
      </c>
      <c r="S5247" s="23">
        <f t="shared" si="1903"/>
        <v>2.0583418085508214</v>
      </c>
    </row>
    <row r="5248" spans="1:19" s="774" customFormat="1" x14ac:dyDescent="0.25">
      <c r="A5248" s="644" t="str">
        <f>"SgK48a2--"&amp;RIGHT(A5247,5)</f>
        <v>SgK48a2--Apr21</v>
      </c>
      <c r="B5248" s="645" t="s">
        <v>5435</v>
      </c>
      <c r="C5248" s="643" t="str">
        <f t="shared" si="1898"/>
        <v>Inbetriebnahme 04/2021</v>
      </c>
      <c r="D5248" s="643" t="str">
        <f t="shared" si="1904"/>
        <v>40 - 750 kW</v>
      </c>
      <c r="E5248" s="645" t="s">
        <v>6320</v>
      </c>
      <c r="F5248" s="793"/>
      <c r="G5248" s="793"/>
      <c r="H5248" s="795"/>
      <c r="I5248" s="795">
        <f t="shared" si="1899"/>
        <v>2.27</v>
      </c>
      <c r="J5248" s="669">
        <v>44260</v>
      </c>
      <c r="K5248" s="23"/>
      <c r="L5248" s="12"/>
      <c r="N5248" s="333" t="str">
        <f t="shared" si="1900"/>
        <v>Dez21</v>
      </c>
      <c r="O5248" s="568">
        <v>1.4E-2</v>
      </c>
      <c r="Q5248" s="23">
        <f t="shared" si="1901"/>
        <v>3.245527357825277</v>
      </c>
      <c r="R5248" s="23">
        <f t="shared" si="1902"/>
        <v>3.0143156463179355</v>
      </c>
      <c r="S5248" s="23">
        <f t="shared" si="1903"/>
        <v>2.0295250232311099</v>
      </c>
    </row>
    <row r="5249" spans="1:27" s="774" customFormat="1" x14ac:dyDescent="0.25">
      <c r="A5249" s="644" t="str">
        <f>"SgK48a0--"&amp;RIGHT(N5241,5)</f>
        <v>SgK48a0--Mai21</v>
      </c>
      <c r="B5249" s="645" t="s">
        <v>5435</v>
      </c>
      <c r="C5249" s="643" t="str">
        <f t="shared" si="1898"/>
        <v>Inbetriebnahme 05/2021</v>
      </c>
      <c r="D5249" s="643" t="str">
        <f t="shared" si="1904"/>
        <v>0 - 10 kW</v>
      </c>
      <c r="E5249" s="645" t="s">
        <v>6320</v>
      </c>
      <c r="F5249" s="793"/>
      <c r="G5249" s="793"/>
      <c r="H5249" s="795"/>
      <c r="I5249" s="795">
        <f t="shared" si="1899"/>
        <v>3.58</v>
      </c>
      <c r="J5249" s="669">
        <v>44351</v>
      </c>
      <c r="K5249" s="23"/>
      <c r="L5249" s="12"/>
      <c r="M5249" s="413"/>
      <c r="N5249" s="281"/>
      <c r="O5249" s="680"/>
      <c r="P5249" s="326"/>
      <c r="Q5249" s="327"/>
      <c r="R5249" s="327"/>
      <c r="S5249" s="327"/>
      <c r="T5249" s="327"/>
      <c r="U5249" s="12"/>
      <c r="V5249" s="12"/>
      <c r="W5249" s="12"/>
      <c r="X5249" s="12"/>
      <c r="Y5249" s="12"/>
      <c r="Z5249" s="12"/>
      <c r="AA5249" s="12"/>
    </row>
    <row r="5250" spans="1:27" s="774" customFormat="1" x14ac:dyDescent="0.25">
      <c r="A5250" s="644" t="str">
        <f>"SgK48a1--"&amp;RIGHT(A5249,5)</f>
        <v>SgK48a1--Mai21</v>
      </c>
      <c r="B5250" s="645" t="s">
        <v>5435</v>
      </c>
      <c r="C5250" s="643" t="str">
        <f t="shared" si="1898"/>
        <v>Inbetriebnahme 05/2021</v>
      </c>
      <c r="D5250" s="643" t="str">
        <f t="shared" si="1904"/>
        <v>10 - 40 kW</v>
      </c>
      <c r="E5250" s="645" t="s">
        <v>6320</v>
      </c>
      <c r="F5250" s="793"/>
      <c r="G5250" s="793"/>
      <c r="H5250" s="795"/>
      <c r="I5250" s="795">
        <f t="shared" si="1899"/>
        <v>3.33</v>
      </c>
      <c r="J5250" s="669">
        <v>44351</v>
      </c>
      <c r="K5250" s="23"/>
      <c r="L5250" s="12"/>
      <c r="M5250" s="413"/>
      <c r="N5250" s="281"/>
      <c r="O5250" s="680"/>
      <c r="P5250" s="326"/>
      <c r="Q5250" s="327"/>
      <c r="R5250" s="327"/>
      <c r="S5250" s="327"/>
      <c r="T5250" s="327"/>
      <c r="U5250" s="12"/>
      <c r="V5250" s="12"/>
      <c r="W5250" s="12"/>
      <c r="X5250" s="12"/>
      <c r="Y5250" s="12"/>
      <c r="Z5250" s="12"/>
      <c r="AA5250" s="12"/>
    </row>
    <row r="5251" spans="1:27" s="774" customFormat="1" x14ac:dyDescent="0.25">
      <c r="A5251" s="644" t="str">
        <f>"SgK48a2--"&amp;RIGHT(A5250,5)</f>
        <v>SgK48a2--Mai21</v>
      </c>
      <c r="B5251" s="645" t="s">
        <v>5435</v>
      </c>
      <c r="C5251" s="643" t="str">
        <f t="shared" si="1898"/>
        <v>Inbetriebnahme 05/2021</v>
      </c>
      <c r="D5251" s="643" t="str">
        <f t="shared" si="1904"/>
        <v>40 - 750 kW</v>
      </c>
      <c r="E5251" s="645" t="s">
        <v>6320</v>
      </c>
      <c r="F5251" s="793"/>
      <c r="G5251" s="793"/>
      <c r="H5251" s="795"/>
      <c r="I5251" s="795">
        <f t="shared" si="1899"/>
        <v>2.2400000000000002</v>
      </c>
      <c r="J5251" s="669">
        <v>44351</v>
      </c>
      <c r="K5251" s="23"/>
      <c r="L5251" s="129"/>
      <c r="M5251" s="413"/>
      <c r="N5251" s="281"/>
      <c r="O5251" s="680"/>
      <c r="P5251" s="326"/>
      <c r="Q5251" s="327"/>
      <c r="R5251" s="327"/>
      <c r="S5251" s="327"/>
      <c r="T5251" s="327"/>
      <c r="U5251" s="12"/>
      <c r="V5251" s="12"/>
      <c r="W5251" s="12"/>
      <c r="X5251" s="12"/>
      <c r="Y5251" s="12"/>
      <c r="Z5251" s="12"/>
      <c r="AA5251" s="12"/>
    </row>
    <row r="5252" spans="1:27" s="774" customFormat="1" x14ac:dyDescent="0.25">
      <c r="A5252" s="644" t="str">
        <f>"SgK48a0--"&amp;RIGHT(N5242,5)</f>
        <v>SgK48a0--Jun21</v>
      </c>
      <c r="B5252" s="645" t="s">
        <v>5435</v>
      </c>
      <c r="C5252" s="643" t="str">
        <f t="shared" si="1898"/>
        <v>Inbetriebnahme 06/2021</v>
      </c>
      <c r="D5252" s="643" t="str">
        <f t="shared" si="1904"/>
        <v>0 - 10 kW</v>
      </c>
      <c r="E5252" s="645" t="s">
        <v>6320</v>
      </c>
      <c r="F5252" s="793"/>
      <c r="G5252" s="793"/>
      <c r="H5252" s="795"/>
      <c r="I5252" s="795">
        <f t="shared" si="1899"/>
        <v>3.53</v>
      </c>
      <c r="J5252" s="669">
        <v>44351</v>
      </c>
      <c r="K5252" s="23"/>
      <c r="L5252" s="173"/>
      <c r="M5252" s="413"/>
      <c r="N5252" s="281"/>
      <c r="O5252" s="680"/>
      <c r="P5252" s="326"/>
      <c r="Q5252" s="327"/>
      <c r="R5252" s="327"/>
      <c r="S5252" s="327"/>
      <c r="T5252" s="327"/>
      <c r="U5252" s="12"/>
      <c r="V5252" s="12"/>
      <c r="W5252" s="12"/>
      <c r="X5252" s="12"/>
      <c r="Y5252" s="12"/>
      <c r="Z5252" s="12"/>
      <c r="AA5252" s="12"/>
    </row>
    <row r="5253" spans="1:27" s="774" customFormat="1" x14ac:dyDescent="0.25">
      <c r="A5253" s="644" t="str">
        <f>"SgK48a1--"&amp;RIGHT(A5252,5)</f>
        <v>SgK48a1--Jun21</v>
      </c>
      <c r="B5253" s="645" t="s">
        <v>5435</v>
      </c>
      <c r="C5253" s="643" t="str">
        <f t="shared" si="1898"/>
        <v>Inbetriebnahme 06/2021</v>
      </c>
      <c r="D5253" s="643" t="str">
        <f t="shared" si="1904"/>
        <v>10 - 40 kW</v>
      </c>
      <c r="E5253" s="645" t="s">
        <v>6320</v>
      </c>
      <c r="F5253" s="793"/>
      <c r="G5253" s="793"/>
      <c r="H5253" s="795"/>
      <c r="I5253" s="795">
        <f t="shared" si="1899"/>
        <v>3.28</v>
      </c>
      <c r="J5253" s="669">
        <v>44351</v>
      </c>
      <c r="K5253" s="23"/>
      <c r="L5253" s="173"/>
      <c r="M5253" s="413"/>
      <c r="N5253" s="281"/>
      <c r="O5253" s="680"/>
      <c r="P5253" s="326"/>
      <c r="Q5253" s="327"/>
      <c r="R5253" s="327"/>
      <c r="S5253" s="327"/>
      <c r="T5253" s="327"/>
      <c r="U5253" s="12"/>
      <c r="V5253" s="12"/>
      <c r="W5253" s="12"/>
      <c r="X5253" s="12"/>
      <c r="Y5253" s="12"/>
      <c r="Z5253" s="12"/>
      <c r="AA5253" s="12"/>
    </row>
    <row r="5254" spans="1:27" s="774" customFormat="1" x14ac:dyDescent="0.25">
      <c r="A5254" s="644" t="str">
        <f>"SgK48a2--"&amp;RIGHT(A5253,5)</f>
        <v>SgK48a2--Jun21</v>
      </c>
      <c r="B5254" s="645" t="s">
        <v>5435</v>
      </c>
      <c r="C5254" s="643" t="str">
        <f t="shared" si="1898"/>
        <v>Inbetriebnahme 06/2021</v>
      </c>
      <c r="D5254" s="643" t="str">
        <f t="shared" si="1904"/>
        <v>40 - 750 kW</v>
      </c>
      <c r="E5254" s="645" t="s">
        <v>6320</v>
      </c>
      <c r="F5254" s="793"/>
      <c r="G5254" s="793"/>
      <c r="H5254" s="795"/>
      <c r="I5254" s="795">
        <f t="shared" si="1899"/>
        <v>2.21</v>
      </c>
      <c r="J5254" s="669">
        <v>44351</v>
      </c>
      <c r="K5254" s="23"/>
      <c r="L5254" s="173"/>
      <c r="M5254" s="413"/>
      <c r="N5254" s="281"/>
      <c r="O5254" s="680"/>
      <c r="P5254" s="344"/>
      <c r="Q5254" s="327"/>
      <c r="R5254" s="327"/>
      <c r="S5254" s="327"/>
      <c r="T5254" s="327"/>
      <c r="U5254" s="12"/>
      <c r="V5254" s="12"/>
      <c r="W5254" s="12"/>
      <c r="X5254" s="12"/>
      <c r="Y5254" s="12"/>
      <c r="Z5254" s="12"/>
      <c r="AA5254" s="12"/>
    </row>
    <row r="5255" spans="1:27" s="774" customFormat="1" x14ac:dyDescent="0.25">
      <c r="A5255" s="644" t="str">
        <f>"SgK48a0--"&amp;RIGHT(N5243,5)</f>
        <v>SgK48a0--Jul21</v>
      </c>
      <c r="B5255" s="645" t="s">
        <v>5435</v>
      </c>
      <c r="C5255" s="643" t="str">
        <f t="shared" si="1898"/>
        <v>Inbetriebnahme 07/2021</v>
      </c>
      <c r="D5255" s="643" t="str">
        <f t="shared" si="1904"/>
        <v>0 - 10 kW</v>
      </c>
      <c r="E5255" s="645" t="s">
        <v>6320</v>
      </c>
      <c r="F5255" s="793"/>
      <c r="G5255" s="793"/>
      <c r="H5255" s="795"/>
      <c r="I5255" s="795">
        <f t="shared" si="1899"/>
        <v>3.48</v>
      </c>
      <c r="J5255" s="669">
        <v>44351</v>
      </c>
      <c r="K5255" s="23"/>
      <c r="L5255" s="173"/>
      <c r="M5255" s="413"/>
      <c r="N5255" s="281"/>
      <c r="O5255" s="682"/>
      <c r="P5255" s="12"/>
      <c r="Q5255" s="12"/>
      <c r="R5255" s="12"/>
      <c r="S5255" s="12"/>
      <c r="T5255" s="12"/>
      <c r="U5255" s="12"/>
      <c r="V5255" s="12"/>
      <c r="W5255" s="12"/>
      <c r="X5255" s="12"/>
      <c r="Y5255" s="12"/>
      <c r="Z5255" s="12"/>
      <c r="AA5255" s="12"/>
    </row>
    <row r="5256" spans="1:27" s="774" customFormat="1" x14ac:dyDescent="0.25">
      <c r="A5256" s="644" t="str">
        <f>"SgK48a1--"&amp;RIGHT(A5255,5)</f>
        <v>SgK48a1--Jul21</v>
      </c>
      <c r="B5256" s="645" t="s">
        <v>5435</v>
      </c>
      <c r="C5256" s="643" t="str">
        <f t="shared" si="1898"/>
        <v>Inbetriebnahme 07/2021</v>
      </c>
      <c r="D5256" s="643" t="str">
        <f t="shared" si="1904"/>
        <v>10 - 40 kW</v>
      </c>
      <c r="E5256" s="645" t="s">
        <v>6320</v>
      </c>
      <c r="F5256" s="793"/>
      <c r="G5256" s="793"/>
      <c r="H5256" s="795"/>
      <c r="I5256" s="795">
        <f t="shared" si="1899"/>
        <v>3.23</v>
      </c>
      <c r="J5256" s="669">
        <v>44351</v>
      </c>
      <c r="K5256" s="23"/>
      <c r="L5256" s="173"/>
      <c r="M5256" s="413"/>
      <c r="N5256" s="12"/>
      <c r="O5256" s="682"/>
      <c r="P5256" s="12"/>
      <c r="Q5256" s="12"/>
      <c r="R5256" s="12"/>
      <c r="S5256" s="12"/>
      <c r="T5256" s="12"/>
      <c r="U5256" s="12"/>
      <c r="V5256" s="12"/>
      <c r="W5256" s="12"/>
      <c r="X5256" s="12"/>
      <c r="Y5256" s="12"/>
      <c r="Z5256" s="12"/>
      <c r="AA5256" s="12"/>
    </row>
    <row r="5257" spans="1:27" s="774" customFormat="1" x14ac:dyDescent="0.25">
      <c r="A5257" s="644" t="str">
        <f>"SgK48a2--"&amp;RIGHT(A5256,5)</f>
        <v>SgK48a2--Jul21</v>
      </c>
      <c r="B5257" s="645" t="s">
        <v>5435</v>
      </c>
      <c r="C5257" s="643" t="str">
        <f t="shared" si="1898"/>
        <v>Inbetriebnahme 07/2021</v>
      </c>
      <c r="D5257" s="643" t="str">
        <f t="shared" si="1904"/>
        <v>40 - 750 kW</v>
      </c>
      <c r="E5257" s="645" t="s">
        <v>6320</v>
      </c>
      <c r="F5257" s="793"/>
      <c r="G5257" s="793"/>
      <c r="H5257" s="795"/>
      <c r="I5257" s="795">
        <f t="shared" si="1899"/>
        <v>2.1800000000000002</v>
      </c>
      <c r="J5257" s="669">
        <v>44351</v>
      </c>
      <c r="K5257" s="769"/>
      <c r="L5257" s="173"/>
      <c r="M5257" s="413"/>
      <c r="N5257" s="12"/>
      <c r="O5257" s="682"/>
      <c r="P5257" s="12"/>
      <c r="Q5257" s="12"/>
      <c r="R5257" s="12"/>
      <c r="S5257" s="12"/>
      <c r="T5257" s="12"/>
      <c r="U5257" s="12"/>
      <c r="V5257" s="12"/>
      <c r="W5257" s="12"/>
      <c r="X5257" s="12"/>
      <c r="Y5257" s="12"/>
      <c r="Z5257" s="12"/>
      <c r="AA5257" s="12"/>
    </row>
    <row r="5258" spans="1:27" s="774" customFormat="1" x14ac:dyDescent="0.25">
      <c r="A5258" s="644" t="str">
        <f>"SgK48a0--"&amp;RIGHT(N5244,5)</f>
        <v>SgK48a0--Aug21</v>
      </c>
      <c r="B5258" s="645" t="s">
        <v>5435</v>
      </c>
      <c r="C5258" s="643" t="str">
        <f t="shared" si="1898"/>
        <v>Inbetriebnahme 08/2021</v>
      </c>
      <c r="D5258" s="643" t="str">
        <f t="shared" si="1904"/>
        <v>0 - 10 kW</v>
      </c>
      <c r="E5258" s="645" t="s">
        <v>6320</v>
      </c>
      <c r="F5258" s="793"/>
      <c r="G5258" s="793"/>
      <c r="H5258" s="795"/>
      <c r="I5258" s="795">
        <f t="shared" si="1899"/>
        <v>3.43</v>
      </c>
      <c r="J5258" s="669">
        <v>44424</v>
      </c>
      <c r="K5258" s="769"/>
      <c r="L5258" s="173"/>
      <c r="M5258" s="413"/>
      <c r="O5258" s="325"/>
      <c r="P5258" s="12"/>
      <c r="Q5258" s="12"/>
      <c r="R5258" s="12"/>
      <c r="S5258" s="12"/>
      <c r="T5258" s="12"/>
    </row>
    <row r="5259" spans="1:27" s="774" customFormat="1" x14ac:dyDescent="0.25">
      <c r="A5259" s="644" t="str">
        <f>"SgK48a1--"&amp;RIGHT(A5258,5)</f>
        <v>SgK48a1--Aug21</v>
      </c>
      <c r="B5259" s="645" t="s">
        <v>5435</v>
      </c>
      <c r="C5259" s="643" t="str">
        <f t="shared" si="1898"/>
        <v>Inbetriebnahme 08/2021</v>
      </c>
      <c r="D5259" s="643" t="str">
        <f t="shared" si="1904"/>
        <v>10 - 40 kW</v>
      </c>
      <c r="E5259" s="645" t="s">
        <v>6320</v>
      </c>
      <c r="F5259" s="793"/>
      <c r="G5259" s="793"/>
      <c r="H5259" s="795"/>
      <c r="I5259" s="795">
        <f t="shared" si="1899"/>
        <v>3.19</v>
      </c>
      <c r="J5259" s="669">
        <v>44424</v>
      </c>
      <c r="K5259" s="769"/>
      <c r="L5259" s="173"/>
      <c r="M5259" s="413"/>
      <c r="O5259" s="325"/>
      <c r="P5259" s="12"/>
      <c r="Q5259" s="12"/>
      <c r="R5259" s="12"/>
      <c r="S5259" s="12"/>
      <c r="T5259" s="12"/>
    </row>
    <row r="5260" spans="1:27" s="774" customFormat="1" x14ac:dyDescent="0.25">
      <c r="A5260" s="644" t="str">
        <f>"SgK48a2--"&amp;RIGHT(A5259,5)</f>
        <v>SgK48a2--Aug21</v>
      </c>
      <c r="B5260" s="645" t="s">
        <v>5435</v>
      </c>
      <c r="C5260" s="643" t="str">
        <f t="shared" si="1898"/>
        <v>Inbetriebnahme 08/2021</v>
      </c>
      <c r="D5260" s="643" t="str">
        <f t="shared" si="1904"/>
        <v>40 - 750 kW</v>
      </c>
      <c r="E5260" s="645" t="s">
        <v>6320</v>
      </c>
      <c r="F5260" s="793"/>
      <c r="G5260" s="793"/>
      <c r="H5260" s="795"/>
      <c r="I5260" s="795">
        <f t="shared" si="1899"/>
        <v>2.15</v>
      </c>
      <c r="J5260" s="669">
        <v>44424</v>
      </c>
      <c r="M5260" s="413"/>
      <c r="O5260" s="325"/>
      <c r="P5260" s="12"/>
      <c r="Q5260" s="12"/>
      <c r="R5260" s="12"/>
      <c r="S5260" s="12"/>
      <c r="T5260" s="12"/>
    </row>
    <row r="5261" spans="1:27" s="774" customFormat="1" x14ac:dyDescent="0.25">
      <c r="A5261" s="644" t="str">
        <f>"SgK48a0--"&amp;RIGHT(N5245,5)</f>
        <v>SgK48a0--Sep21</v>
      </c>
      <c r="B5261" s="645" t="s">
        <v>5435</v>
      </c>
      <c r="C5261" s="643" t="str">
        <f t="shared" si="1898"/>
        <v>Inbetriebnahme 09/2021</v>
      </c>
      <c r="D5261" s="643" t="str">
        <f t="shared" si="1904"/>
        <v>0 - 10 kW</v>
      </c>
      <c r="E5261" s="645" t="s">
        <v>6320</v>
      </c>
      <c r="F5261" s="793"/>
      <c r="G5261" s="793"/>
      <c r="H5261" s="795"/>
      <c r="I5261" s="795">
        <f t="shared" si="1899"/>
        <v>3.39</v>
      </c>
      <c r="J5261" s="669">
        <v>44424</v>
      </c>
    </row>
    <row r="5262" spans="1:27" s="774" customFormat="1" x14ac:dyDescent="0.25">
      <c r="A5262" s="644" t="str">
        <f>"SgK48a1--"&amp;RIGHT(A5261,5)</f>
        <v>SgK48a1--Sep21</v>
      </c>
      <c r="B5262" s="645" t="s">
        <v>5435</v>
      </c>
      <c r="C5262" s="643" t="str">
        <f t="shared" si="1898"/>
        <v>Inbetriebnahme 09/2021</v>
      </c>
      <c r="D5262" s="643" t="str">
        <f t="shared" si="1904"/>
        <v>10 - 40 kW</v>
      </c>
      <c r="E5262" s="645" t="s">
        <v>6320</v>
      </c>
      <c r="F5262" s="793"/>
      <c r="G5262" s="793"/>
      <c r="H5262" s="795"/>
      <c r="I5262" s="795">
        <f t="shared" si="1899"/>
        <v>3.14</v>
      </c>
      <c r="J5262" s="669">
        <v>44424</v>
      </c>
    </row>
    <row r="5263" spans="1:27" s="774" customFormat="1" x14ac:dyDescent="0.25">
      <c r="A5263" s="644" t="str">
        <f>"SgK48a2--"&amp;RIGHT(A5262,5)</f>
        <v>SgK48a2--Sep21</v>
      </c>
      <c r="B5263" s="645" t="s">
        <v>5435</v>
      </c>
      <c r="C5263" s="643" t="str">
        <f t="shared" si="1898"/>
        <v>Inbetriebnahme 09/2021</v>
      </c>
      <c r="D5263" s="643" t="str">
        <f t="shared" si="1904"/>
        <v>40 - 750 kW</v>
      </c>
      <c r="E5263" s="645" t="s">
        <v>6320</v>
      </c>
      <c r="F5263" s="793"/>
      <c r="G5263" s="793"/>
      <c r="H5263" s="795"/>
      <c r="I5263" s="795">
        <f t="shared" si="1899"/>
        <v>2.12</v>
      </c>
      <c r="J5263" s="669">
        <v>44424</v>
      </c>
    </row>
    <row r="5264" spans="1:27" s="774" customFormat="1" x14ac:dyDescent="0.25">
      <c r="A5264" s="644" t="str">
        <f>"SgK48a0--"&amp;RIGHT(N5246,5)</f>
        <v>SgK48a0--Okt21</v>
      </c>
      <c r="B5264" s="645" t="s">
        <v>5435</v>
      </c>
      <c r="C5264" s="643" t="str">
        <f t="shared" si="1898"/>
        <v>Inbetriebnahme 10/2021</v>
      </c>
      <c r="D5264" s="643" t="str">
        <f t="shared" si="1904"/>
        <v>0 - 10 kW</v>
      </c>
      <c r="E5264" s="645" t="s">
        <v>6320</v>
      </c>
      <c r="F5264" s="793"/>
      <c r="G5264" s="793"/>
      <c r="H5264" s="795"/>
      <c r="I5264" s="795">
        <f t="shared" si="1899"/>
        <v>3.34</v>
      </c>
      <c r="J5264" s="669">
        <v>44424</v>
      </c>
      <c r="O5264" s="395"/>
      <c r="P5264" s="327" t="str">
        <f>IF($O5264&lt;&gt;"",(1-$O5264)*#REF!,"")</f>
        <v/>
      </c>
      <c r="Q5264" s="327" t="str">
        <f>IF($O5264&lt;&gt;"",(1-$O5264)*#REF!,"")</f>
        <v/>
      </c>
      <c r="R5264" s="327" t="str">
        <f>IF($O5264&lt;&gt;"",(1-$O5264)*#REF!,"")</f>
        <v/>
      </c>
      <c r="S5264" s="327" t="str">
        <f>IF($O5264&lt;&gt;"",(1-$O5264)*#REF!,"")</f>
        <v/>
      </c>
      <c r="U5264" s="327" t="str">
        <f>IF($O5264&lt;&gt;"",(1-$O5264)*#REF!,"")</f>
        <v/>
      </c>
      <c r="V5264" s="327" t="str">
        <f>IF($O5264&lt;&gt;"",(1-$O5264)*#REF!,"")</f>
        <v/>
      </c>
      <c r="W5264" s="327" t="str">
        <f>IF($O5264&lt;&gt;"",(1-$O5264)*#REF!,"")</f>
        <v/>
      </c>
      <c r="X5264" s="327" t="str">
        <f>IF($O5264&lt;&gt;"",(1-$O5264)*#REF!,"")</f>
        <v/>
      </c>
    </row>
    <row r="5265" spans="1:24" s="774" customFormat="1" x14ac:dyDescent="0.25">
      <c r="A5265" s="644" t="str">
        <f>"SgK48a1--"&amp;RIGHT(A5264,5)</f>
        <v>SgK48a1--Okt21</v>
      </c>
      <c r="B5265" s="645" t="s">
        <v>5435</v>
      </c>
      <c r="C5265" s="643" t="str">
        <f t="shared" si="1898"/>
        <v>Inbetriebnahme 10/2021</v>
      </c>
      <c r="D5265" s="643" t="str">
        <f t="shared" si="1904"/>
        <v>10 - 40 kW</v>
      </c>
      <c r="E5265" s="645" t="s">
        <v>6320</v>
      </c>
      <c r="F5265" s="793"/>
      <c r="G5265" s="793"/>
      <c r="H5265" s="795"/>
      <c r="I5265" s="795">
        <f t="shared" si="1899"/>
        <v>3.1</v>
      </c>
      <c r="J5265" s="669">
        <v>44424</v>
      </c>
      <c r="O5265" s="395"/>
      <c r="P5265" s="327" t="str">
        <f>IF($O5265&lt;&gt;"",(1-$O5265)*#REF!,"")</f>
        <v/>
      </c>
      <c r="Q5265" s="327" t="str">
        <f>IF($O5265&lt;&gt;"",(1-$O5265)*#REF!,"")</f>
        <v/>
      </c>
      <c r="R5265" s="327" t="str">
        <f>IF($O5265&lt;&gt;"",(1-$O5265)*#REF!,"")</f>
        <v/>
      </c>
      <c r="S5265" s="327" t="str">
        <f>IF($O5265&lt;&gt;"",(1-$O5265)*#REF!,"")</f>
        <v/>
      </c>
      <c r="U5265" s="327" t="str">
        <f>IF($O5265&lt;&gt;"",(1-$O5265)*#REF!,"")</f>
        <v/>
      </c>
      <c r="V5265" s="327" t="str">
        <f>IF($O5265&lt;&gt;"",(1-$O5265)*#REF!,"")</f>
        <v/>
      </c>
      <c r="W5265" s="327" t="str">
        <f>IF($O5265&lt;&gt;"",(1-$O5265)*#REF!,"")</f>
        <v/>
      </c>
      <c r="X5265" s="327" t="str">
        <f>IF($O5265&lt;&gt;"",(1-$O5265)*#REF!,"")</f>
        <v/>
      </c>
    </row>
    <row r="5266" spans="1:24" s="774" customFormat="1" x14ac:dyDescent="0.25">
      <c r="A5266" s="644" t="str">
        <f>"SgK48a2--"&amp;RIGHT(A5265,5)</f>
        <v>SgK48a2--Okt21</v>
      </c>
      <c r="B5266" s="645" t="s">
        <v>5435</v>
      </c>
      <c r="C5266" s="643" t="str">
        <f t="shared" si="1898"/>
        <v>Inbetriebnahme 10/2021</v>
      </c>
      <c r="D5266" s="643" t="str">
        <f t="shared" si="1904"/>
        <v>40 - 750 kW</v>
      </c>
      <c r="E5266" s="645" t="s">
        <v>6320</v>
      </c>
      <c r="F5266" s="793"/>
      <c r="G5266" s="793"/>
      <c r="H5266" s="795"/>
      <c r="I5266" s="795">
        <f>IF(HLOOKUP($D5266,$Q$5236:$S$5248,MATCH(RIGHT($A5266,5),$N$5236:$N$5248,0),FALSE)&lt;&gt;"",ROUND(HLOOKUP($D5266,$Q$5236:$S$5248,MATCH(RIGHT($A5266,5),$N$5236:$N$5248,0),FALSE),2),"")</f>
        <v>2.09</v>
      </c>
      <c r="J5266" s="669">
        <v>44424</v>
      </c>
      <c r="O5266" s="395"/>
      <c r="P5266" s="327"/>
      <c r="Q5266" s="327"/>
      <c r="R5266" s="327"/>
      <c r="S5266" s="327"/>
      <c r="U5266" s="327"/>
      <c r="V5266" s="327"/>
      <c r="W5266" s="327"/>
      <c r="X5266" s="327"/>
    </row>
    <row r="5267" spans="1:24" s="774" customFormat="1" x14ac:dyDescent="0.25">
      <c r="A5267" s="644" t="str">
        <f>"SgK48a0--"&amp;RIGHT(N5247,5)</f>
        <v>SgK48a0--Nov21</v>
      </c>
      <c r="B5267" s="645" t="s">
        <v>5435</v>
      </c>
      <c r="C5267" s="643" t="str">
        <f t="shared" si="1898"/>
        <v>Inbetriebnahme 11/2021</v>
      </c>
      <c r="D5267" s="643" t="str">
        <f t="shared" si="1904"/>
        <v>0 - 10 kW</v>
      </c>
      <c r="E5267" s="645" t="s">
        <v>6320</v>
      </c>
      <c r="F5267" s="793"/>
      <c r="G5267" s="793"/>
      <c r="H5267" s="795"/>
      <c r="I5267" s="795">
        <f t="shared" si="1899"/>
        <v>3.29</v>
      </c>
      <c r="J5267" s="669">
        <v>44511</v>
      </c>
      <c r="O5267" s="395"/>
      <c r="P5267" s="327"/>
      <c r="Q5267" s="327"/>
      <c r="R5267" s="327"/>
      <c r="S5267" s="327"/>
      <c r="U5267" s="327"/>
      <c r="V5267" s="327"/>
      <c r="W5267" s="327"/>
      <c r="X5267" s="327"/>
    </row>
    <row r="5268" spans="1:24" s="774" customFormat="1" x14ac:dyDescent="0.25">
      <c r="A5268" s="644" t="str">
        <f>"SgK48a1--"&amp;RIGHT(A5267,5)</f>
        <v>SgK48a1--Nov21</v>
      </c>
      <c r="B5268" s="645" t="s">
        <v>5435</v>
      </c>
      <c r="C5268" s="643" t="str">
        <f t="shared" si="1898"/>
        <v>Inbetriebnahme 11/2021</v>
      </c>
      <c r="D5268" s="643" t="str">
        <f t="shared" si="1904"/>
        <v>10 - 40 kW</v>
      </c>
      <c r="E5268" s="645" t="s">
        <v>6320</v>
      </c>
      <c r="F5268" s="793"/>
      <c r="G5268" s="793"/>
      <c r="H5268" s="795"/>
      <c r="I5268" s="795">
        <f t="shared" si="1899"/>
        <v>3.06</v>
      </c>
      <c r="J5268" s="669">
        <v>44511</v>
      </c>
      <c r="O5268" s="395"/>
      <c r="P5268" s="327"/>
      <c r="Q5268" s="327"/>
      <c r="R5268" s="327"/>
      <c r="S5268" s="327"/>
      <c r="U5268" s="327"/>
      <c r="V5268" s="327"/>
      <c r="W5268" s="327"/>
      <c r="X5268" s="327"/>
    </row>
    <row r="5269" spans="1:24" s="774" customFormat="1" x14ac:dyDescent="0.25">
      <c r="A5269" s="644" t="str">
        <f>"SgK48a2--"&amp;RIGHT(A5268,5)</f>
        <v>SgK48a2--Nov21</v>
      </c>
      <c r="B5269" s="645" t="s">
        <v>5435</v>
      </c>
      <c r="C5269" s="643" t="str">
        <f t="shared" si="1898"/>
        <v>Inbetriebnahme 11/2021</v>
      </c>
      <c r="D5269" s="643" t="str">
        <f t="shared" si="1904"/>
        <v>40 - 750 kW</v>
      </c>
      <c r="E5269" s="645" t="s">
        <v>6320</v>
      </c>
      <c r="F5269" s="793"/>
      <c r="G5269" s="793"/>
      <c r="H5269" s="795"/>
      <c r="I5269" s="795">
        <f t="shared" si="1899"/>
        <v>2.06</v>
      </c>
      <c r="J5269" s="669">
        <v>44511</v>
      </c>
      <c r="O5269" s="395"/>
      <c r="P5269" s="327"/>
      <c r="Q5269" s="327"/>
      <c r="R5269" s="327"/>
      <c r="S5269" s="327"/>
      <c r="U5269" s="327"/>
      <c r="V5269" s="327"/>
      <c r="W5269" s="327"/>
      <c r="X5269" s="327"/>
    </row>
    <row r="5270" spans="1:24" s="774" customFormat="1" x14ac:dyDescent="0.25">
      <c r="A5270" s="644" t="str">
        <f>"SgK48a0--"&amp;RIGHT(N5248,5)</f>
        <v>SgK48a0--Dez21</v>
      </c>
      <c r="B5270" s="645" t="s">
        <v>5435</v>
      </c>
      <c r="C5270" s="643" t="str">
        <f t="shared" si="1898"/>
        <v>Inbetriebnahme 12/2021</v>
      </c>
      <c r="D5270" s="643" t="str">
        <f t="shared" si="1904"/>
        <v>0 - 10 kW</v>
      </c>
      <c r="E5270" s="645" t="s">
        <v>6320</v>
      </c>
      <c r="F5270" s="793"/>
      <c r="G5270" s="793"/>
      <c r="H5270" s="795"/>
      <c r="I5270" s="795">
        <f t="shared" si="1899"/>
        <v>3.25</v>
      </c>
      <c r="J5270" s="669">
        <v>44511</v>
      </c>
      <c r="O5270" s="395"/>
      <c r="P5270" s="327" t="str">
        <f>IF($O5270&lt;&gt;"",(1-$O5270)*#REF!,"")</f>
        <v/>
      </c>
      <c r="Q5270" s="327" t="str">
        <f>IF($O5270&lt;&gt;"",(1-$O5270)*#REF!,"")</f>
        <v/>
      </c>
      <c r="R5270" s="327" t="str">
        <f>IF($O5270&lt;&gt;"",(1-$O5270)*#REF!,"")</f>
        <v/>
      </c>
      <c r="S5270" s="327" t="str">
        <f>IF($O5270&lt;&gt;"",(1-$O5270)*#REF!,"")</f>
        <v/>
      </c>
      <c r="U5270" s="327" t="str">
        <f>IF($O5270&lt;&gt;"",(1-$O5270)*#REF!,"")</f>
        <v/>
      </c>
      <c r="V5270" s="327" t="str">
        <f>IF($O5270&lt;&gt;"",(1-$O5270)*#REF!,"")</f>
        <v/>
      </c>
      <c r="W5270" s="327" t="str">
        <f>IF($O5270&lt;&gt;"",(1-$O5270)*#REF!,"")</f>
        <v/>
      </c>
      <c r="X5270" s="327" t="str">
        <f>IF($O5270&lt;&gt;"",(1-$O5270)*#REF!,"")</f>
        <v/>
      </c>
    </row>
    <row r="5271" spans="1:24" s="774" customFormat="1" x14ac:dyDescent="0.25">
      <c r="A5271" s="644" t="str">
        <f>"SgK48a1--"&amp;RIGHT(A5270,5)</f>
        <v>SgK48a1--Dez21</v>
      </c>
      <c r="B5271" s="645" t="s">
        <v>5435</v>
      </c>
      <c r="C5271" s="643" t="str">
        <f t="shared" si="1898"/>
        <v>Inbetriebnahme 12/2021</v>
      </c>
      <c r="D5271" s="643" t="str">
        <f t="shared" si="1904"/>
        <v>10 - 40 kW</v>
      </c>
      <c r="E5271" s="645" t="s">
        <v>6320</v>
      </c>
      <c r="F5271" s="793"/>
      <c r="G5271" s="793"/>
      <c r="H5271" s="795"/>
      <c r="I5271" s="795">
        <f t="shared" si="1899"/>
        <v>3.01</v>
      </c>
      <c r="J5271" s="669">
        <v>44511</v>
      </c>
      <c r="O5271" s="395"/>
      <c r="P5271" s="327" t="str">
        <f>IF($O5271&lt;&gt;"",(1-$O5271)*#REF!,"")</f>
        <v/>
      </c>
      <c r="Q5271" s="327" t="str">
        <f>IF($O5271&lt;&gt;"",(1-$O5271)*#REF!,"")</f>
        <v/>
      </c>
      <c r="R5271" s="327" t="str">
        <f>IF($O5271&lt;&gt;"",(1-$O5271)*#REF!,"")</f>
        <v/>
      </c>
      <c r="S5271" s="327" t="str">
        <f>IF($O5271&lt;&gt;"",(1-$O5271)*#REF!,"")</f>
        <v/>
      </c>
      <c r="U5271" s="327" t="str">
        <f>IF($O5271&lt;&gt;"",(1-$O5271)*#REF!,"")</f>
        <v/>
      </c>
      <c r="V5271" s="327" t="str">
        <f>IF($O5271&lt;&gt;"",(1-$O5271)*#REF!,"")</f>
        <v/>
      </c>
      <c r="W5271" s="327" t="str">
        <f>IF($O5271&lt;&gt;"",(1-$O5271)*#REF!,"")</f>
        <v/>
      </c>
      <c r="X5271" s="327" t="str">
        <f>IF($O5271&lt;&gt;"",(1-$O5271)*#REF!,"")</f>
        <v/>
      </c>
    </row>
    <row r="5272" spans="1:24" s="774" customFormat="1" ht="14.25" customHeight="1" x14ac:dyDescent="0.25">
      <c r="A5272" s="644" t="str">
        <f>"SgK48a2--"&amp;RIGHT(A5271,5)</f>
        <v>SgK48a2--Dez21</v>
      </c>
      <c r="B5272" s="645" t="s">
        <v>5435</v>
      </c>
      <c r="C5272" s="643" t="str">
        <f t="shared" si="1898"/>
        <v>Inbetriebnahme 12/2021</v>
      </c>
      <c r="D5272" s="643" t="str">
        <f t="shared" si="1904"/>
        <v>40 - 750 kW</v>
      </c>
      <c r="E5272" s="645" t="s">
        <v>6320</v>
      </c>
      <c r="F5272" s="793"/>
      <c r="G5272" s="793"/>
      <c r="H5272" s="795"/>
      <c r="I5272" s="795">
        <f t="shared" si="1899"/>
        <v>2.0299999999999998</v>
      </c>
      <c r="J5272" s="669">
        <v>44511</v>
      </c>
      <c r="O5272" s="395"/>
      <c r="P5272" s="327" t="str">
        <f>IF($O5272&lt;&gt;"",(1-$O5272)*P5270,"")</f>
        <v/>
      </c>
      <c r="Q5272" s="327" t="str">
        <f>IF($O5272&lt;&gt;"",(1-$O5272)*Q5270,"")</f>
        <v/>
      </c>
      <c r="R5272" s="327" t="str">
        <f>IF($O5272&lt;&gt;"",(1-$O5272)*R5270,"")</f>
        <v/>
      </c>
      <c r="S5272" s="327" t="str">
        <f>IF($O5272&lt;&gt;"",(1-$O5272)*S5270,"")</f>
        <v/>
      </c>
      <c r="U5272" s="327" t="str">
        <f>IF($O5272&lt;&gt;"",(1-$O5272)*U5270,"")</f>
        <v/>
      </c>
      <c r="V5272" s="327" t="str">
        <f>IF($O5272&lt;&gt;"",(1-$O5272)*V5270,"")</f>
        <v/>
      </c>
      <c r="W5272" s="327" t="str">
        <f>IF($O5272&lt;&gt;"",(1-$O5272)*W5270,"")</f>
        <v/>
      </c>
      <c r="X5272" s="327" t="str">
        <f>IF($O5272&lt;&gt;"",(1-$O5272)*X5270,"")</f>
        <v/>
      </c>
    </row>
    <row r="5273" spans="1:24" s="774" customFormat="1" x14ac:dyDescent="0.25">
      <c r="A5273" s="609"/>
      <c r="B5273" s="1"/>
      <c r="C5273" s="1"/>
      <c r="D5273" s="1"/>
      <c r="E5273" s="1"/>
      <c r="F5273" s="442"/>
      <c r="G5273" s="13"/>
      <c r="H5273" s="13"/>
      <c r="I5273" s="692"/>
      <c r="J5273" s="669" t="s">
        <v>4180</v>
      </c>
      <c r="K5273" s="769"/>
      <c r="N5273" s="137" t="s">
        <v>3902</v>
      </c>
      <c r="O5273" s="866" t="s">
        <v>5490</v>
      </c>
      <c r="P5273" s="774" t="s">
        <v>6320</v>
      </c>
      <c r="Q5273" s="774" t="s">
        <v>3919</v>
      </c>
      <c r="R5273" s="774" t="s">
        <v>3920</v>
      </c>
      <c r="S5273" s="774" t="s">
        <v>7444</v>
      </c>
    </row>
    <row r="5274" spans="1:24" s="774" customFormat="1" x14ac:dyDescent="0.25">
      <c r="A5274" s="644" t="str">
        <f>"SgK48a0--"&amp;RIGHT(N5274,5)</f>
        <v>SgK48a0--Jan22</v>
      </c>
      <c r="B5274" s="645" t="s">
        <v>5435</v>
      </c>
      <c r="C5274" s="645" t="str">
        <f t="shared" ref="C5274:C5309" si="1905">"Inbetriebnahme "&amp;TEXT(DATEVALUE(RIGHT(A5274,5)),"MM/JJJJ")</f>
        <v>Inbetriebnahme 01/2022</v>
      </c>
      <c r="D5274" s="645" t="str">
        <f>$Q$4848</f>
        <v>0 - 10 kW</v>
      </c>
      <c r="E5274" s="645" t="s">
        <v>6320</v>
      </c>
      <c r="F5274" s="793"/>
      <c r="G5274" s="793"/>
      <c r="H5274" s="867"/>
      <c r="I5274" s="867">
        <f t="shared" ref="I5274:I5309" si="1906">IF(HLOOKUP($D5274,$Q$5273:$S$5285,MATCH(RIGHT($A5274,5),$N$5273:$N$5285,0),FALSE)&lt;&gt;"",ROUND(HLOOKUP($D5274,$Q$5273:$S$5285,MATCH(RIGHT($A5274,5),$N$5273:$N$5285,0),FALSE),2),"")</f>
        <v>3.2</v>
      </c>
      <c r="J5274" s="669">
        <v>44536</v>
      </c>
      <c r="K5274" s="769"/>
      <c r="M5274" s="127">
        <v>2022</v>
      </c>
      <c r="N5274" s="639" t="s">
        <v>7661</v>
      </c>
      <c r="O5274" s="568">
        <v>1.4E-2</v>
      </c>
      <c r="P5274" s="769"/>
      <c r="Q5274" s="769">
        <f>IF($O5274&lt;&gt;"",Q5248*(100%-$O5274),"")</f>
        <v>3.200089974815723</v>
      </c>
      <c r="R5274" s="769">
        <f>IF($O5274&lt;&gt;"",R5248*(100%-$O5274),"")</f>
        <v>2.9721152272694842</v>
      </c>
      <c r="S5274" s="769">
        <f>IF($O5274&lt;&gt;"",S5248*(100%-$O5274),"")</f>
        <v>2.0011116729058744</v>
      </c>
    </row>
    <row r="5275" spans="1:24" s="774" customFormat="1" x14ac:dyDescent="0.25">
      <c r="A5275" s="644" t="str">
        <f>"SgK48a1--"&amp;RIGHT(A5274,5)</f>
        <v>SgK48a1--Jan22</v>
      </c>
      <c r="B5275" s="645" t="s">
        <v>5435</v>
      </c>
      <c r="C5275" s="645" t="str">
        <f t="shared" si="1905"/>
        <v>Inbetriebnahme 01/2022</v>
      </c>
      <c r="D5275" s="645" t="str">
        <f>$R$4848</f>
        <v>10 - 40 kW</v>
      </c>
      <c r="E5275" s="645" t="s">
        <v>6320</v>
      </c>
      <c r="F5275" s="793"/>
      <c r="G5275" s="793"/>
      <c r="H5275" s="867"/>
      <c r="I5275" s="867">
        <f t="shared" si="1906"/>
        <v>2.97</v>
      </c>
      <c r="J5275" s="669">
        <v>44536</v>
      </c>
      <c r="K5275" s="769"/>
      <c r="M5275" s="868"/>
      <c r="N5275" s="333" t="str">
        <f t="shared" ref="N5275:N5285" si="1907">TEXT(DATE(YEAR(DATEVALUE(N5274)),MONTH(DATEVALUE(N5274))+1,1),"MMMJJ")</f>
        <v>Feb22</v>
      </c>
      <c r="O5275" s="568">
        <v>1.4E-2</v>
      </c>
      <c r="Q5275" s="769">
        <f t="shared" ref="Q5275:Q5285" si="1908">IF($O5275&lt;&gt;"",Q5274*(100%-$O5275),"")</f>
        <v>3.1552887151683029</v>
      </c>
      <c r="R5275" s="769">
        <f t="shared" ref="R5275:R5285" si="1909">IF($O5275&lt;&gt;"",R5274*(100%-$O5275),"")</f>
        <v>2.9305056140877115</v>
      </c>
      <c r="S5275" s="769">
        <f t="shared" ref="S5275:S5285" si="1910">IF($O5275&lt;&gt;"",S5274*(100%-$O5275),"")</f>
        <v>1.9730961094851922</v>
      </c>
    </row>
    <row r="5276" spans="1:24" s="774" customFormat="1" x14ac:dyDescent="0.25">
      <c r="A5276" s="644" t="str">
        <f>"SgK48a2--"&amp;RIGHT(A5275,5)</f>
        <v>SgK48a2--Jan22</v>
      </c>
      <c r="B5276" s="645" t="s">
        <v>5435</v>
      </c>
      <c r="C5276" s="645" t="str">
        <f t="shared" si="1905"/>
        <v>Inbetriebnahme 01/2022</v>
      </c>
      <c r="D5276" s="645" t="s">
        <v>7444</v>
      </c>
      <c r="E5276" s="645" t="s">
        <v>6320</v>
      </c>
      <c r="F5276" s="793"/>
      <c r="G5276" s="793"/>
      <c r="H5276" s="867"/>
      <c r="I5276" s="867">
        <f t="shared" si="1906"/>
        <v>2</v>
      </c>
      <c r="J5276" s="669">
        <v>44536</v>
      </c>
      <c r="K5276" s="769"/>
      <c r="M5276" s="868"/>
      <c r="N5276" s="333" t="str">
        <f t="shared" si="1907"/>
        <v>Mrz22</v>
      </c>
      <c r="O5276" s="568">
        <v>1.4E-2</v>
      </c>
      <c r="Q5276" s="769">
        <f t="shared" si="1908"/>
        <v>3.1111146731559467</v>
      </c>
      <c r="R5276" s="769">
        <f t="shared" si="1909"/>
        <v>2.8894785354904835</v>
      </c>
      <c r="S5276" s="769">
        <f t="shared" si="1910"/>
        <v>1.9454727639523994</v>
      </c>
    </row>
    <row r="5277" spans="1:24" s="774" customFormat="1" x14ac:dyDescent="0.25">
      <c r="A5277" s="644" t="str">
        <f>"SgK48a0--"&amp;RIGHT(N5275,5)</f>
        <v>SgK48a0--Feb22</v>
      </c>
      <c r="B5277" s="645" t="s">
        <v>5435</v>
      </c>
      <c r="C5277" s="645" t="str">
        <f t="shared" si="1905"/>
        <v>Inbetriebnahme 02/2022</v>
      </c>
      <c r="D5277" s="645" t="str">
        <f t="shared" ref="D5277:D5309" si="1911">D5274</f>
        <v>0 - 10 kW</v>
      </c>
      <c r="E5277" s="645" t="s">
        <v>6320</v>
      </c>
      <c r="F5277" s="793"/>
      <c r="G5277" s="793"/>
      <c r="H5277" s="867"/>
      <c r="I5277" s="867">
        <f t="shared" si="1906"/>
        <v>3.16</v>
      </c>
      <c r="J5277" s="669">
        <v>44592</v>
      </c>
      <c r="K5277" s="769"/>
      <c r="M5277" s="868"/>
      <c r="N5277" s="333" t="str">
        <f t="shared" si="1907"/>
        <v>Apr22</v>
      </c>
      <c r="O5277" s="568">
        <v>1.4E-2</v>
      </c>
      <c r="Q5277" s="769">
        <f t="shared" si="1908"/>
        <v>3.0675590677317635</v>
      </c>
      <c r="R5277" s="769">
        <f t="shared" si="1909"/>
        <v>2.8490258359936167</v>
      </c>
      <c r="S5277" s="769">
        <f t="shared" si="1910"/>
        <v>1.9182361452570658</v>
      </c>
    </row>
    <row r="5278" spans="1:24" s="774" customFormat="1" x14ac:dyDescent="0.25">
      <c r="A5278" s="644" t="str">
        <f>"SgK48a1--"&amp;RIGHT(A5277,5)</f>
        <v>SgK48a1--Feb22</v>
      </c>
      <c r="B5278" s="645" t="s">
        <v>5435</v>
      </c>
      <c r="C5278" s="645" t="str">
        <f t="shared" si="1905"/>
        <v>Inbetriebnahme 02/2022</v>
      </c>
      <c r="D5278" s="645" t="str">
        <f t="shared" si="1911"/>
        <v>10 - 40 kW</v>
      </c>
      <c r="E5278" s="645" t="s">
        <v>6320</v>
      </c>
      <c r="F5278" s="793"/>
      <c r="G5278" s="793"/>
      <c r="H5278" s="867"/>
      <c r="I5278" s="867">
        <f t="shared" si="1906"/>
        <v>2.93</v>
      </c>
      <c r="J5278" s="669">
        <v>44592</v>
      </c>
      <c r="K5278" s="769"/>
      <c r="M5278" s="868"/>
      <c r="N5278" s="333" t="str">
        <f t="shared" si="1907"/>
        <v>Mai22</v>
      </c>
      <c r="O5278" s="568">
        <v>1.4E-2</v>
      </c>
      <c r="Q5278" s="769">
        <f t="shared" si="1908"/>
        <v>3.0246132407835189</v>
      </c>
      <c r="R5278" s="769">
        <f t="shared" si="1909"/>
        <v>2.8091394742897062</v>
      </c>
      <c r="S5278" s="769">
        <f t="shared" si="1910"/>
        <v>1.8913808392234668</v>
      </c>
    </row>
    <row r="5279" spans="1:24" s="774" customFormat="1" x14ac:dyDescent="0.25">
      <c r="A5279" s="644" t="str">
        <f>"SgK48a2--"&amp;RIGHT(A5278,5)</f>
        <v>SgK48a2--Feb22</v>
      </c>
      <c r="B5279" s="645" t="s">
        <v>5435</v>
      </c>
      <c r="C5279" s="645" t="str">
        <f t="shared" si="1905"/>
        <v>Inbetriebnahme 02/2022</v>
      </c>
      <c r="D5279" s="645" t="str">
        <f t="shared" si="1911"/>
        <v>40 - 750 kW</v>
      </c>
      <c r="E5279" s="645" t="s">
        <v>6320</v>
      </c>
      <c r="F5279" s="793"/>
      <c r="G5279" s="793"/>
      <c r="H5279" s="867"/>
      <c r="I5279" s="867">
        <f t="shared" si="1906"/>
        <v>1.97</v>
      </c>
      <c r="J5279" s="669">
        <v>44592</v>
      </c>
      <c r="K5279" s="769"/>
      <c r="M5279" s="868"/>
      <c r="N5279" s="333" t="str">
        <f t="shared" si="1907"/>
        <v>Jun22</v>
      </c>
      <c r="O5279" s="568">
        <v>1.4E-2</v>
      </c>
      <c r="Q5279" s="769">
        <f t="shared" si="1908"/>
        <v>2.9822686554125495</v>
      </c>
      <c r="R5279" s="769">
        <f t="shared" si="1909"/>
        <v>2.7698115216496504</v>
      </c>
      <c r="S5279" s="769">
        <f t="shared" si="1910"/>
        <v>1.8649015074743382</v>
      </c>
    </row>
    <row r="5280" spans="1:24" s="774" customFormat="1" x14ac:dyDescent="0.25">
      <c r="A5280" s="644" t="str">
        <f>"SgK48a0--"&amp;RIGHT(N5276,5)</f>
        <v>SgK48a0--Mrz22</v>
      </c>
      <c r="B5280" s="645" t="s">
        <v>5435</v>
      </c>
      <c r="C5280" s="645" t="str">
        <f t="shared" si="1905"/>
        <v>Inbetriebnahme 03/2022</v>
      </c>
      <c r="D5280" s="645" t="str">
        <f t="shared" si="1911"/>
        <v>0 - 10 kW</v>
      </c>
      <c r="E5280" s="645" t="s">
        <v>6320</v>
      </c>
      <c r="F5280" s="793"/>
      <c r="G5280" s="793"/>
      <c r="H5280" s="867"/>
      <c r="I5280" s="867">
        <f t="shared" si="1906"/>
        <v>3.11</v>
      </c>
      <c r="J5280" s="669">
        <v>44592</v>
      </c>
      <c r="K5280" s="769"/>
      <c r="M5280" s="868"/>
      <c r="N5280" s="333" t="str">
        <f t="shared" si="1907"/>
        <v>Jul22</v>
      </c>
      <c r="O5280" s="568">
        <v>1.4E-2</v>
      </c>
      <c r="Q5280" s="769">
        <f t="shared" si="1908"/>
        <v>2.9405168942367736</v>
      </c>
      <c r="R5280" s="769">
        <f t="shared" si="1909"/>
        <v>2.7310341603465553</v>
      </c>
      <c r="S5280" s="769">
        <f t="shared" si="1910"/>
        <v>1.8387928863696974</v>
      </c>
    </row>
    <row r="5281" spans="1:20" s="774" customFormat="1" x14ac:dyDescent="0.25">
      <c r="A5281" s="644" t="str">
        <f>"SgK48a1--"&amp;RIGHT(A5280,5)</f>
        <v>SgK48a1--Mrz22</v>
      </c>
      <c r="B5281" s="645" t="s">
        <v>5435</v>
      </c>
      <c r="C5281" s="645" t="str">
        <f t="shared" si="1905"/>
        <v>Inbetriebnahme 03/2022</v>
      </c>
      <c r="D5281" s="645" t="str">
        <f t="shared" si="1911"/>
        <v>10 - 40 kW</v>
      </c>
      <c r="E5281" s="645" t="s">
        <v>6320</v>
      </c>
      <c r="F5281" s="793"/>
      <c r="G5281" s="793"/>
      <c r="H5281" s="867"/>
      <c r="I5281" s="867">
        <f t="shared" si="1906"/>
        <v>2.89</v>
      </c>
      <c r="J5281" s="669">
        <v>44592</v>
      </c>
      <c r="K5281" s="769"/>
      <c r="M5281" s="127"/>
      <c r="N5281" s="333" t="str">
        <f t="shared" si="1907"/>
        <v>Aug22</v>
      </c>
      <c r="O5281" s="568">
        <v>1.4E-2</v>
      </c>
      <c r="Q5281" s="769">
        <f t="shared" si="1908"/>
        <v>2.8993496577174587</v>
      </c>
      <c r="R5281" s="769">
        <f t="shared" si="1909"/>
        <v>2.6927996821017035</v>
      </c>
      <c r="S5281" s="769">
        <f t="shared" si="1910"/>
        <v>1.8130497859605217</v>
      </c>
    </row>
    <row r="5282" spans="1:20" s="774" customFormat="1" x14ac:dyDescent="0.25">
      <c r="A5282" s="644" t="str">
        <f>"SgK48a2--"&amp;RIGHT(A5281,5)</f>
        <v>SgK48a2--Mrz22</v>
      </c>
      <c r="B5282" s="645" t="s">
        <v>5435</v>
      </c>
      <c r="C5282" s="645" t="str">
        <f t="shared" si="1905"/>
        <v>Inbetriebnahme 03/2022</v>
      </c>
      <c r="D5282" s="645" t="str">
        <f t="shared" si="1911"/>
        <v>40 - 750 kW</v>
      </c>
      <c r="E5282" s="645" t="s">
        <v>6320</v>
      </c>
      <c r="F5282" s="793"/>
      <c r="G5282" s="793"/>
      <c r="H5282" s="867"/>
      <c r="I5282" s="867">
        <f t="shared" si="1906"/>
        <v>1.95</v>
      </c>
      <c r="J5282" s="669">
        <v>44592</v>
      </c>
      <c r="K5282" s="769"/>
      <c r="N5282" s="333" t="str">
        <f t="shared" si="1907"/>
        <v>Sep22</v>
      </c>
      <c r="O5282" s="568">
        <v>1.4E-2</v>
      </c>
      <c r="Q5282" s="769">
        <f t="shared" si="1908"/>
        <v>2.8587587625094142</v>
      </c>
      <c r="R5282" s="769">
        <f t="shared" si="1909"/>
        <v>2.6551004865522798</v>
      </c>
      <c r="S5282" s="769">
        <f t="shared" si="1910"/>
        <v>1.7876670889570743</v>
      </c>
    </row>
    <row r="5283" spans="1:20" s="774" customFormat="1" x14ac:dyDescent="0.25">
      <c r="A5283" s="644" t="str">
        <f>"SgK48a0--"&amp;RIGHT(N5277,5)</f>
        <v>SgK48a0--Apr22</v>
      </c>
      <c r="B5283" s="645" t="s">
        <v>5435</v>
      </c>
      <c r="C5283" s="645" t="str">
        <f t="shared" si="1905"/>
        <v>Inbetriebnahme 04/2022</v>
      </c>
      <c r="D5283" s="645" t="str">
        <f t="shared" si="1911"/>
        <v>0 - 10 kW</v>
      </c>
      <c r="E5283" s="645" t="s">
        <v>6320</v>
      </c>
      <c r="F5283" s="793"/>
      <c r="G5283" s="793"/>
      <c r="H5283" s="867"/>
      <c r="I5283" s="867">
        <f t="shared" si="1906"/>
        <v>3.07</v>
      </c>
      <c r="J5283" s="669">
        <v>44592</v>
      </c>
      <c r="K5283" s="769"/>
      <c r="N5283" s="333" t="str">
        <f t="shared" si="1907"/>
        <v>Okt22</v>
      </c>
      <c r="O5283" s="568">
        <v>1.4E-2</v>
      </c>
      <c r="Q5283" s="769">
        <f t="shared" si="1908"/>
        <v>2.8187361398342823</v>
      </c>
      <c r="R5283" s="769">
        <f t="shared" si="1909"/>
        <v>2.6179290797405477</v>
      </c>
      <c r="S5283" s="769">
        <f t="shared" si="1910"/>
        <v>1.7626397497116753</v>
      </c>
    </row>
    <row r="5284" spans="1:20" s="774" customFormat="1" x14ac:dyDescent="0.25">
      <c r="A5284" s="644" t="str">
        <f>"SgK48a1--"&amp;RIGHT(A5283,5)</f>
        <v>SgK48a1--Apr22</v>
      </c>
      <c r="B5284" s="645" t="s">
        <v>5435</v>
      </c>
      <c r="C5284" s="645" t="str">
        <f t="shared" si="1905"/>
        <v>Inbetriebnahme 04/2022</v>
      </c>
      <c r="D5284" s="645" t="str">
        <f t="shared" si="1911"/>
        <v>10 - 40 kW</v>
      </c>
      <c r="E5284" s="645" t="s">
        <v>6320</v>
      </c>
      <c r="F5284" s="793"/>
      <c r="G5284" s="793"/>
      <c r="H5284" s="867"/>
      <c r="I5284" s="867">
        <f t="shared" si="1906"/>
        <v>2.85</v>
      </c>
      <c r="J5284" s="669">
        <v>44592</v>
      </c>
      <c r="K5284" s="769"/>
      <c r="N5284" s="333" t="str">
        <f t="shared" si="1907"/>
        <v>Nov22</v>
      </c>
      <c r="O5284" s="568">
        <v>1.7999999999999999E-2</v>
      </c>
      <c r="Q5284" s="769">
        <f t="shared" si="1908"/>
        <v>2.7679988893172651</v>
      </c>
      <c r="R5284" s="769">
        <f t="shared" si="1909"/>
        <v>2.5708063563052179</v>
      </c>
      <c r="S5284" s="769">
        <f t="shared" si="1910"/>
        <v>1.730912234216865</v>
      </c>
    </row>
    <row r="5285" spans="1:20" s="774" customFormat="1" x14ac:dyDescent="0.25">
      <c r="A5285" s="644" t="str">
        <f>"SgK48a2--"&amp;RIGHT(A5284,5)</f>
        <v>SgK48a2--Apr22</v>
      </c>
      <c r="B5285" s="645" t="s">
        <v>5435</v>
      </c>
      <c r="C5285" s="645" t="str">
        <f t="shared" si="1905"/>
        <v>Inbetriebnahme 04/2022</v>
      </c>
      <c r="D5285" s="645" t="str">
        <f t="shared" si="1911"/>
        <v>40 - 750 kW</v>
      </c>
      <c r="E5285" s="645" t="s">
        <v>6320</v>
      </c>
      <c r="F5285" s="793"/>
      <c r="G5285" s="793"/>
      <c r="H5285" s="867"/>
      <c r="I5285" s="867">
        <f t="shared" si="1906"/>
        <v>1.92</v>
      </c>
      <c r="J5285" s="669">
        <v>44592</v>
      </c>
      <c r="K5285" s="769"/>
      <c r="N5285" s="333" t="str">
        <f t="shared" si="1907"/>
        <v>Dez22</v>
      </c>
      <c r="O5285" s="568">
        <v>1.7999999999999999E-2</v>
      </c>
      <c r="Q5285" s="769">
        <f t="shared" si="1908"/>
        <v>2.7181749093095542</v>
      </c>
      <c r="R5285" s="769">
        <f t="shared" si="1909"/>
        <v>2.524531841891724</v>
      </c>
      <c r="S5285" s="769">
        <f t="shared" si="1910"/>
        <v>1.6997558140009614</v>
      </c>
    </row>
    <row r="5286" spans="1:20" s="774" customFormat="1" x14ac:dyDescent="0.25">
      <c r="A5286" s="644" t="str">
        <f>"SgK48a0--"&amp;RIGHT(N5278,5)</f>
        <v>SgK48a0--Mai22</v>
      </c>
      <c r="B5286" s="645" t="s">
        <v>5435</v>
      </c>
      <c r="C5286" s="645" t="str">
        <f t="shared" si="1905"/>
        <v>Inbetriebnahme 05/2022</v>
      </c>
      <c r="D5286" s="645" t="str">
        <f t="shared" si="1911"/>
        <v>0 - 10 kW</v>
      </c>
      <c r="E5286" s="645" t="s">
        <v>6320</v>
      </c>
      <c r="F5286" s="793"/>
      <c r="G5286" s="793"/>
      <c r="H5286" s="867"/>
      <c r="I5286" s="867">
        <f t="shared" si="1906"/>
        <v>3.02</v>
      </c>
      <c r="J5286" s="669">
        <v>44681</v>
      </c>
      <c r="K5286" s="769"/>
      <c r="M5286" s="868"/>
      <c r="N5286" s="136"/>
      <c r="O5286" s="333"/>
      <c r="P5286" s="870"/>
      <c r="Q5286" s="871"/>
      <c r="R5286" s="871"/>
      <c r="S5286" s="871"/>
      <c r="T5286" s="871"/>
    </row>
    <row r="5287" spans="1:20" s="774" customFormat="1" x14ac:dyDescent="0.25">
      <c r="A5287" s="644" t="str">
        <f>"SgK48a1--"&amp;RIGHT(A5286,5)</f>
        <v>SgK48a1--Mai22</v>
      </c>
      <c r="B5287" s="645" t="s">
        <v>5435</v>
      </c>
      <c r="C5287" s="645" t="str">
        <f t="shared" si="1905"/>
        <v>Inbetriebnahme 05/2022</v>
      </c>
      <c r="D5287" s="645" t="str">
        <f t="shared" si="1911"/>
        <v>10 - 40 kW</v>
      </c>
      <c r="E5287" s="645" t="s">
        <v>6320</v>
      </c>
      <c r="F5287" s="793"/>
      <c r="G5287" s="793"/>
      <c r="H5287" s="867"/>
      <c r="I5287" s="867">
        <f t="shared" si="1906"/>
        <v>2.81</v>
      </c>
      <c r="J5287" s="669">
        <v>44681</v>
      </c>
      <c r="K5287" s="769"/>
      <c r="M5287" s="868"/>
      <c r="N5287" s="136"/>
      <c r="O5287" s="333"/>
      <c r="P5287" s="870"/>
      <c r="Q5287" s="871"/>
      <c r="R5287" s="871"/>
      <c r="S5287" s="871"/>
      <c r="T5287" s="871"/>
    </row>
    <row r="5288" spans="1:20" s="774" customFormat="1" x14ac:dyDescent="0.25">
      <c r="A5288" s="644" t="str">
        <f>"SgK48a2--"&amp;RIGHT(A5287,5)</f>
        <v>SgK48a2--Mai22</v>
      </c>
      <c r="B5288" s="645" t="s">
        <v>5435</v>
      </c>
      <c r="C5288" s="645" t="str">
        <f t="shared" si="1905"/>
        <v>Inbetriebnahme 05/2022</v>
      </c>
      <c r="D5288" s="645" t="str">
        <f t="shared" si="1911"/>
        <v>40 - 750 kW</v>
      </c>
      <c r="E5288" s="645" t="s">
        <v>6320</v>
      </c>
      <c r="F5288" s="793"/>
      <c r="G5288" s="793"/>
      <c r="H5288" s="867"/>
      <c r="I5288" s="867">
        <f t="shared" si="1906"/>
        <v>1.89</v>
      </c>
      <c r="J5288" s="669">
        <v>44681</v>
      </c>
      <c r="K5288" s="769"/>
      <c r="L5288" s="872"/>
      <c r="M5288" s="868"/>
      <c r="N5288" s="136"/>
      <c r="O5288" s="333"/>
      <c r="P5288" s="870"/>
      <c r="Q5288" s="871"/>
      <c r="R5288" s="871"/>
      <c r="S5288" s="871"/>
      <c r="T5288" s="871"/>
    </row>
    <row r="5289" spans="1:20" s="774" customFormat="1" x14ac:dyDescent="0.25">
      <c r="A5289" s="644" t="str">
        <f>"SgK48a0--"&amp;RIGHT(N5279,5)</f>
        <v>SgK48a0--Jun22</v>
      </c>
      <c r="B5289" s="645" t="s">
        <v>5435</v>
      </c>
      <c r="C5289" s="645" t="str">
        <f t="shared" si="1905"/>
        <v>Inbetriebnahme 06/2022</v>
      </c>
      <c r="D5289" s="645" t="str">
        <f t="shared" si="1911"/>
        <v>0 - 10 kW</v>
      </c>
      <c r="E5289" s="645" t="s">
        <v>6320</v>
      </c>
      <c r="F5289" s="793"/>
      <c r="G5289" s="793"/>
      <c r="H5289" s="867"/>
      <c r="I5289" s="867">
        <f t="shared" si="1906"/>
        <v>2.98</v>
      </c>
      <c r="J5289" s="669">
        <v>44681</v>
      </c>
      <c r="K5289" s="769"/>
      <c r="L5289" s="872"/>
      <c r="M5289" s="868"/>
      <c r="N5289" s="136"/>
      <c r="O5289" s="333"/>
      <c r="P5289" s="870"/>
      <c r="Q5289" s="871"/>
      <c r="R5289" s="871"/>
      <c r="S5289" s="871"/>
      <c r="T5289" s="871"/>
    </row>
    <row r="5290" spans="1:20" s="774" customFormat="1" x14ac:dyDescent="0.25">
      <c r="A5290" s="644" t="str">
        <f>"SgK48a1--"&amp;RIGHT(A5289,5)</f>
        <v>SgK48a1--Jun22</v>
      </c>
      <c r="B5290" s="645" t="s">
        <v>5435</v>
      </c>
      <c r="C5290" s="645" t="str">
        <f t="shared" si="1905"/>
        <v>Inbetriebnahme 06/2022</v>
      </c>
      <c r="D5290" s="645" t="str">
        <f t="shared" si="1911"/>
        <v>10 - 40 kW</v>
      </c>
      <c r="E5290" s="645" t="s">
        <v>6320</v>
      </c>
      <c r="F5290" s="793"/>
      <c r="G5290" s="793"/>
      <c r="H5290" s="867"/>
      <c r="I5290" s="867">
        <f t="shared" si="1906"/>
        <v>2.77</v>
      </c>
      <c r="J5290" s="669">
        <v>44681</v>
      </c>
      <c r="K5290" s="769"/>
      <c r="L5290" s="872"/>
      <c r="M5290" s="868"/>
      <c r="N5290" s="136"/>
      <c r="O5290" s="333"/>
      <c r="P5290" s="870"/>
      <c r="Q5290" s="871"/>
      <c r="R5290" s="871"/>
      <c r="S5290" s="871"/>
      <c r="T5290" s="871"/>
    </row>
    <row r="5291" spans="1:20" s="774" customFormat="1" x14ac:dyDescent="0.25">
      <c r="A5291" s="644" t="str">
        <f>"SgK48a2--"&amp;RIGHT(A5290,5)</f>
        <v>SgK48a2--Jun22</v>
      </c>
      <c r="B5291" s="645" t="s">
        <v>5435</v>
      </c>
      <c r="C5291" s="645" t="str">
        <f t="shared" si="1905"/>
        <v>Inbetriebnahme 06/2022</v>
      </c>
      <c r="D5291" s="645" t="str">
        <f t="shared" si="1911"/>
        <v>40 - 750 kW</v>
      </c>
      <c r="E5291" s="645" t="s">
        <v>6320</v>
      </c>
      <c r="F5291" s="793"/>
      <c r="G5291" s="793"/>
      <c r="H5291" s="867"/>
      <c r="I5291" s="867">
        <f t="shared" si="1906"/>
        <v>1.86</v>
      </c>
      <c r="J5291" s="669">
        <v>44681</v>
      </c>
      <c r="K5291" s="769"/>
      <c r="L5291" s="872"/>
      <c r="M5291" s="868"/>
      <c r="N5291" s="136"/>
      <c r="O5291" s="333"/>
      <c r="P5291" s="873"/>
      <c r="Q5291" s="871"/>
      <c r="R5291" s="871"/>
      <c r="S5291" s="871"/>
      <c r="T5291" s="871"/>
    </row>
    <row r="5292" spans="1:20" s="774" customFormat="1" x14ac:dyDescent="0.25">
      <c r="A5292" s="644" t="str">
        <f>"SgK48a0--"&amp;RIGHT(N5280,5)</f>
        <v>SgK48a0--Jul22</v>
      </c>
      <c r="B5292" s="645" t="s">
        <v>5435</v>
      </c>
      <c r="C5292" s="645" t="str">
        <f t="shared" si="1905"/>
        <v>Inbetriebnahme 07/2022</v>
      </c>
      <c r="D5292" s="645" t="str">
        <f t="shared" si="1911"/>
        <v>0 - 10 kW</v>
      </c>
      <c r="E5292" s="645" t="s">
        <v>6320</v>
      </c>
      <c r="F5292" s="793"/>
      <c r="G5292" s="793"/>
      <c r="H5292" s="867"/>
      <c r="I5292" s="867">
        <f t="shared" si="1906"/>
        <v>2.94</v>
      </c>
      <c r="J5292" s="669">
        <v>44681</v>
      </c>
      <c r="K5292" s="769"/>
      <c r="L5292" s="872"/>
      <c r="M5292" s="868"/>
      <c r="N5292" s="136"/>
      <c r="O5292" s="325"/>
    </row>
    <row r="5293" spans="1:20" s="774" customFormat="1" x14ac:dyDescent="0.25">
      <c r="A5293" s="644" t="str">
        <f>"SgK48a1--"&amp;RIGHT(A5292,5)</f>
        <v>SgK48a1--Jul22</v>
      </c>
      <c r="B5293" s="645" t="s">
        <v>5435</v>
      </c>
      <c r="C5293" s="645" t="str">
        <f t="shared" si="1905"/>
        <v>Inbetriebnahme 07/2022</v>
      </c>
      <c r="D5293" s="645" t="str">
        <f t="shared" si="1911"/>
        <v>10 - 40 kW</v>
      </c>
      <c r="E5293" s="645" t="s">
        <v>6320</v>
      </c>
      <c r="F5293" s="793"/>
      <c r="G5293" s="793"/>
      <c r="H5293" s="867"/>
      <c r="I5293" s="867">
        <f t="shared" si="1906"/>
        <v>2.73</v>
      </c>
      <c r="J5293" s="669">
        <v>44681</v>
      </c>
      <c r="K5293" s="769"/>
      <c r="L5293" s="872"/>
      <c r="M5293" s="868"/>
      <c r="O5293" s="325"/>
    </row>
    <row r="5294" spans="1:20" s="774" customFormat="1" x14ac:dyDescent="0.25">
      <c r="A5294" s="644" t="str">
        <f>"SgK48a2--"&amp;RIGHT(A5293,5)</f>
        <v>SgK48a2--Jul22</v>
      </c>
      <c r="B5294" s="645" t="s">
        <v>5435</v>
      </c>
      <c r="C5294" s="645" t="str">
        <f t="shared" si="1905"/>
        <v>Inbetriebnahme 07/2022</v>
      </c>
      <c r="D5294" s="645" t="str">
        <f t="shared" si="1911"/>
        <v>40 - 750 kW</v>
      </c>
      <c r="E5294" s="645" t="s">
        <v>6320</v>
      </c>
      <c r="F5294" s="793"/>
      <c r="G5294" s="793"/>
      <c r="H5294" s="867"/>
      <c r="I5294" s="867">
        <f t="shared" si="1906"/>
        <v>1.84</v>
      </c>
      <c r="J5294" s="669">
        <v>44681</v>
      </c>
      <c r="K5294" s="769"/>
      <c r="L5294" s="872"/>
      <c r="M5294" s="868"/>
      <c r="O5294" s="325"/>
    </row>
    <row r="5295" spans="1:20" s="774" customFormat="1" x14ac:dyDescent="0.25">
      <c r="A5295" s="644" t="str">
        <f>"SgK48a0--"&amp;RIGHT(N5281,5)</f>
        <v>SgK48a0--Aug22</v>
      </c>
      <c r="B5295" s="645" t="s">
        <v>5435</v>
      </c>
      <c r="C5295" s="645" t="str">
        <f t="shared" si="1905"/>
        <v>Inbetriebnahme 08/2022</v>
      </c>
      <c r="D5295" s="645" t="str">
        <f t="shared" si="1911"/>
        <v>0 - 10 kW</v>
      </c>
      <c r="E5295" s="645" t="s">
        <v>6320</v>
      </c>
      <c r="F5295" s="793"/>
      <c r="G5295" s="793"/>
      <c r="H5295" s="867"/>
      <c r="I5295" s="867">
        <f t="shared" si="1906"/>
        <v>2.9</v>
      </c>
      <c r="J5295" s="669">
        <v>44774</v>
      </c>
      <c r="K5295" s="769"/>
      <c r="L5295" s="872"/>
      <c r="M5295" s="868"/>
      <c r="O5295" s="325"/>
    </row>
    <row r="5296" spans="1:20" s="774" customFormat="1" x14ac:dyDescent="0.25">
      <c r="A5296" s="644" t="str">
        <f>"SgK48a1--"&amp;RIGHT(A5295,5)</f>
        <v>SgK48a1--Aug22</v>
      </c>
      <c r="B5296" s="645" t="s">
        <v>5435</v>
      </c>
      <c r="C5296" s="645" t="str">
        <f t="shared" si="1905"/>
        <v>Inbetriebnahme 08/2022</v>
      </c>
      <c r="D5296" s="645" t="str">
        <f t="shared" si="1911"/>
        <v>10 - 40 kW</v>
      </c>
      <c r="E5296" s="645" t="s">
        <v>6320</v>
      </c>
      <c r="F5296" s="793"/>
      <c r="G5296" s="793"/>
      <c r="H5296" s="867"/>
      <c r="I5296" s="867">
        <f t="shared" si="1906"/>
        <v>2.69</v>
      </c>
      <c r="J5296" s="669">
        <v>44774</v>
      </c>
      <c r="K5296" s="769"/>
      <c r="L5296" s="872"/>
      <c r="M5296" s="868"/>
      <c r="O5296" s="325"/>
    </row>
    <row r="5297" spans="1:29" s="774" customFormat="1" x14ac:dyDescent="0.25">
      <c r="A5297" s="644" t="str">
        <f>"SgK48a2--"&amp;RIGHT(A5296,5)</f>
        <v>SgK48a2--Aug22</v>
      </c>
      <c r="B5297" s="645" t="s">
        <v>5435</v>
      </c>
      <c r="C5297" s="645" t="str">
        <f t="shared" si="1905"/>
        <v>Inbetriebnahme 08/2022</v>
      </c>
      <c r="D5297" s="645" t="str">
        <f t="shared" si="1911"/>
        <v>40 - 750 kW</v>
      </c>
      <c r="E5297" s="645" t="s">
        <v>6320</v>
      </c>
      <c r="F5297" s="793"/>
      <c r="G5297" s="793"/>
      <c r="H5297" s="867"/>
      <c r="I5297" s="867">
        <f t="shared" si="1906"/>
        <v>1.81</v>
      </c>
      <c r="J5297" s="669">
        <v>44774</v>
      </c>
      <c r="M5297" s="868"/>
      <c r="O5297" s="325"/>
    </row>
    <row r="5298" spans="1:29" s="774" customFormat="1" x14ac:dyDescent="0.25">
      <c r="A5298" s="644" t="str">
        <f>"SgK48a0--"&amp;RIGHT(N5282,5)</f>
        <v>SgK48a0--Sep22</v>
      </c>
      <c r="B5298" s="645" t="s">
        <v>5435</v>
      </c>
      <c r="C5298" s="645" t="str">
        <f t="shared" si="1905"/>
        <v>Inbetriebnahme 09/2022</v>
      </c>
      <c r="D5298" s="645" t="str">
        <f t="shared" si="1911"/>
        <v>0 - 10 kW</v>
      </c>
      <c r="E5298" s="645" t="s">
        <v>6320</v>
      </c>
      <c r="F5298" s="793"/>
      <c r="G5298" s="793"/>
      <c r="H5298" s="867"/>
      <c r="I5298" s="867">
        <f t="shared" si="1906"/>
        <v>2.86</v>
      </c>
      <c r="J5298" s="669">
        <v>44774</v>
      </c>
    </row>
    <row r="5299" spans="1:29" s="774" customFormat="1" x14ac:dyDescent="0.25">
      <c r="A5299" s="644" t="str">
        <f>"SgK48a1--"&amp;RIGHT(A5298,5)</f>
        <v>SgK48a1--Sep22</v>
      </c>
      <c r="B5299" s="645" t="s">
        <v>5435</v>
      </c>
      <c r="C5299" s="645" t="str">
        <f t="shared" si="1905"/>
        <v>Inbetriebnahme 09/2022</v>
      </c>
      <c r="D5299" s="645" t="str">
        <f t="shared" si="1911"/>
        <v>10 - 40 kW</v>
      </c>
      <c r="E5299" s="645" t="s">
        <v>6320</v>
      </c>
      <c r="F5299" s="793"/>
      <c r="G5299" s="793"/>
      <c r="H5299" s="867"/>
      <c r="I5299" s="867">
        <f t="shared" si="1906"/>
        <v>2.66</v>
      </c>
      <c r="J5299" s="669">
        <v>44774</v>
      </c>
    </row>
    <row r="5300" spans="1:29" s="774" customFormat="1" x14ac:dyDescent="0.25">
      <c r="A5300" s="644" t="str">
        <f>"SgK48a2--"&amp;RIGHT(A5299,5)</f>
        <v>SgK48a2--Sep22</v>
      </c>
      <c r="B5300" s="645" t="s">
        <v>5435</v>
      </c>
      <c r="C5300" s="645" t="str">
        <f t="shared" si="1905"/>
        <v>Inbetriebnahme 09/2022</v>
      </c>
      <c r="D5300" s="645" t="str">
        <f t="shared" si="1911"/>
        <v>40 - 750 kW</v>
      </c>
      <c r="E5300" s="645" t="s">
        <v>6320</v>
      </c>
      <c r="F5300" s="793"/>
      <c r="G5300" s="793"/>
      <c r="H5300" s="867"/>
      <c r="I5300" s="867">
        <f t="shared" si="1906"/>
        <v>1.79</v>
      </c>
      <c r="J5300" s="669">
        <v>44774</v>
      </c>
    </row>
    <row r="5301" spans="1:29" s="774" customFormat="1" x14ac:dyDescent="0.25">
      <c r="A5301" s="644" t="str">
        <f>"SgK48a0--"&amp;RIGHT(N5283,5)</f>
        <v>SgK48a0--Okt22</v>
      </c>
      <c r="B5301" s="645" t="s">
        <v>5435</v>
      </c>
      <c r="C5301" s="645" t="str">
        <f t="shared" si="1905"/>
        <v>Inbetriebnahme 10/2022</v>
      </c>
      <c r="D5301" s="645" t="str">
        <f t="shared" si="1911"/>
        <v>0 - 10 kW</v>
      </c>
      <c r="E5301" s="645" t="s">
        <v>6320</v>
      </c>
      <c r="F5301" s="793"/>
      <c r="G5301" s="793"/>
      <c r="H5301" s="867"/>
      <c r="I5301" s="867">
        <f t="shared" si="1906"/>
        <v>2.82</v>
      </c>
      <c r="J5301" s="669">
        <v>44774</v>
      </c>
      <c r="O5301" s="395"/>
      <c r="P5301" s="871" t="str">
        <f>IF($O5301&lt;&gt;"",(1-$O5301)*#REF!,"")</f>
        <v/>
      </c>
      <c r="Q5301" s="871" t="str">
        <f>IF($O5301&lt;&gt;"",(1-$O5301)*#REF!,"")</f>
        <v/>
      </c>
      <c r="R5301" s="871" t="str">
        <f>IF($O5301&lt;&gt;"",(1-$O5301)*#REF!,"")</f>
        <v/>
      </c>
      <c r="S5301" s="871" t="str">
        <f>IF($O5301&lt;&gt;"",(1-$O5301)*#REF!,"")</f>
        <v/>
      </c>
      <c r="U5301" s="871" t="str">
        <f>IF($O5301&lt;&gt;"",(1-$O5301)*#REF!,"")</f>
        <v/>
      </c>
      <c r="V5301" s="871" t="str">
        <f>IF($O5301&lt;&gt;"",(1-$O5301)*#REF!,"")</f>
        <v/>
      </c>
      <c r="W5301" s="871" t="str">
        <f>IF($O5301&lt;&gt;"",(1-$O5301)*#REF!,"")</f>
        <v/>
      </c>
      <c r="X5301" s="871" t="str">
        <f>IF($O5301&lt;&gt;"",(1-$O5301)*#REF!,"")</f>
        <v/>
      </c>
    </row>
    <row r="5302" spans="1:29" s="774" customFormat="1" x14ac:dyDescent="0.25">
      <c r="A5302" s="644" t="str">
        <f>"SgK48a1--"&amp;RIGHT(A5301,5)</f>
        <v>SgK48a1--Okt22</v>
      </c>
      <c r="B5302" s="645" t="s">
        <v>5435</v>
      </c>
      <c r="C5302" s="645" t="str">
        <f t="shared" si="1905"/>
        <v>Inbetriebnahme 10/2022</v>
      </c>
      <c r="D5302" s="645" t="str">
        <f t="shared" si="1911"/>
        <v>10 - 40 kW</v>
      </c>
      <c r="E5302" s="645" t="s">
        <v>6320</v>
      </c>
      <c r="F5302" s="793"/>
      <c r="G5302" s="793"/>
      <c r="H5302" s="867"/>
      <c r="I5302" s="867">
        <f t="shared" si="1906"/>
        <v>2.62</v>
      </c>
      <c r="J5302" s="669">
        <v>44774</v>
      </c>
      <c r="O5302" s="395"/>
      <c r="P5302" s="871"/>
      <c r="Q5302" s="871"/>
      <c r="R5302" s="871"/>
      <c r="S5302" s="871"/>
      <c r="U5302" s="871"/>
      <c r="V5302" s="871"/>
      <c r="W5302" s="871"/>
      <c r="X5302" s="871"/>
    </row>
    <row r="5303" spans="1:29" s="774" customFormat="1" x14ac:dyDescent="0.25">
      <c r="A5303" s="644" t="str">
        <f>"SgK48a2--"&amp;RIGHT(A5302,5)</f>
        <v>SgK48a2--Okt22</v>
      </c>
      <c r="B5303" s="645" t="s">
        <v>5435</v>
      </c>
      <c r="C5303" s="645" t="str">
        <f t="shared" si="1905"/>
        <v>Inbetriebnahme 10/2022</v>
      </c>
      <c r="D5303" s="645" t="str">
        <f t="shared" si="1911"/>
        <v>40 - 750 kW</v>
      </c>
      <c r="E5303" s="645" t="s">
        <v>6320</v>
      </c>
      <c r="F5303" s="793"/>
      <c r="G5303" s="793"/>
      <c r="H5303" s="867"/>
      <c r="I5303" s="867">
        <f t="shared" si="1906"/>
        <v>1.76</v>
      </c>
      <c r="J5303" s="669">
        <v>44774</v>
      </c>
      <c r="O5303" s="395"/>
      <c r="P5303" s="871"/>
      <c r="Q5303" s="871"/>
      <c r="R5303" s="871"/>
      <c r="S5303" s="871"/>
      <c r="U5303" s="871"/>
      <c r="V5303" s="871"/>
      <c r="W5303" s="871"/>
      <c r="X5303" s="871"/>
    </row>
    <row r="5304" spans="1:29" s="774" customFormat="1" x14ac:dyDescent="0.25">
      <c r="A5304" s="644" t="str">
        <f>"SgK48a0--"&amp;RIGHT(N5284,5)</f>
        <v>SgK48a0--Nov22</v>
      </c>
      <c r="B5304" s="645" t="s">
        <v>5435</v>
      </c>
      <c r="C5304" s="645" t="str">
        <f t="shared" si="1905"/>
        <v>Inbetriebnahme 11/2022</v>
      </c>
      <c r="D5304" s="645" t="str">
        <f t="shared" si="1911"/>
        <v>0 - 10 kW</v>
      </c>
      <c r="E5304" s="645" t="s">
        <v>6320</v>
      </c>
      <c r="F5304" s="793"/>
      <c r="G5304" s="793"/>
      <c r="H5304" s="867"/>
      <c r="I5304" s="867">
        <f t="shared" si="1906"/>
        <v>2.77</v>
      </c>
      <c r="J5304" s="669">
        <v>44865</v>
      </c>
      <c r="O5304" s="395"/>
      <c r="P5304" s="871"/>
      <c r="Q5304" s="871"/>
      <c r="R5304" s="871"/>
      <c r="S5304" s="871"/>
      <c r="U5304" s="871"/>
      <c r="V5304" s="871"/>
      <c r="W5304" s="871"/>
      <c r="X5304" s="871"/>
    </row>
    <row r="5305" spans="1:29" s="774" customFormat="1" x14ac:dyDescent="0.25">
      <c r="A5305" s="644" t="str">
        <f>"SgK48a1--"&amp;RIGHT(A5304,5)</f>
        <v>SgK48a1--Nov22</v>
      </c>
      <c r="B5305" s="645" t="s">
        <v>5435</v>
      </c>
      <c r="C5305" s="645" t="str">
        <f t="shared" si="1905"/>
        <v>Inbetriebnahme 11/2022</v>
      </c>
      <c r="D5305" s="645" t="str">
        <f t="shared" si="1911"/>
        <v>10 - 40 kW</v>
      </c>
      <c r="E5305" s="645" t="s">
        <v>6320</v>
      </c>
      <c r="F5305" s="793"/>
      <c r="G5305" s="793"/>
      <c r="H5305" s="867"/>
      <c r="I5305" s="867">
        <f t="shared" si="1906"/>
        <v>2.57</v>
      </c>
      <c r="J5305" s="669">
        <v>44865</v>
      </c>
      <c r="O5305" s="395"/>
      <c r="P5305" s="871"/>
      <c r="Q5305" s="871"/>
      <c r="R5305" s="871"/>
      <c r="S5305" s="871"/>
      <c r="U5305" s="871"/>
      <c r="V5305" s="871"/>
      <c r="W5305" s="871"/>
      <c r="X5305" s="871"/>
    </row>
    <row r="5306" spans="1:29" s="774" customFormat="1" x14ac:dyDescent="0.25">
      <c r="A5306" s="644" t="str">
        <f>"SgK48a2--"&amp;RIGHT(A5305,5)</f>
        <v>SgK48a2--Nov22</v>
      </c>
      <c r="B5306" s="645" t="s">
        <v>5435</v>
      </c>
      <c r="C5306" s="645" t="str">
        <f t="shared" si="1905"/>
        <v>Inbetriebnahme 11/2022</v>
      </c>
      <c r="D5306" s="645" t="str">
        <f t="shared" si="1911"/>
        <v>40 - 750 kW</v>
      </c>
      <c r="E5306" s="645" t="s">
        <v>6320</v>
      </c>
      <c r="F5306" s="793"/>
      <c r="G5306" s="793"/>
      <c r="H5306" s="867"/>
      <c r="I5306" s="867">
        <f t="shared" si="1906"/>
        <v>1.73</v>
      </c>
      <c r="J5306" s="669">
        <v>44865</v>
      </c>
      <c r="O5306" s="395"/>
      <c r="P5306" s="871"/>
      <c r="Q5306" s="871"/>
      <c r="R5306" s="871"/>
      <c r="S5306" s="871"/>
      <c r="U5306" s="871"/>
      <c r="V5306" s="871"/>
      <c r="W5306" s="871"/>
      <c r="X5306" s="871"/>
    </row>
    <row r="5307" spans="1:29" s="774" customFormat="1" x14ac:dyDescent="0.25">
      <c r="A5307" s="644" t="str">
        <f>"SgK48a0--"&amp;RIGHT(N5285,5)</f>
        <v>SgK48a0--Dez22</v>
      </c>
      <c r="B5307" s="645" t="s">
        <v>5435</v>
      </c>
      <c r="C5307" s="645" t="str">
        <f t="shared" si="1905"/>
        <v>Inbetriebnahme 12/2022</v>
      </c>
      <c r="D5307" s="645" t="str">
        <f t="shared" si="1911"/>
        <v>0 - 10 kW</v>
      </c>
      <c r="E5307" s="645" t="s">
        <v>6320</v>
      </c>
      <c r="F5307" s="793"/>
      <c r="G5307" s="793"/>
      <c r="H5307" s="867"/>
      <c r="I5307" s="867">
        <f t="shared" si="1906"/>
        <v>2.72</v>
      </c>
      <c r="J5307" s="669">
        <v>44865</v>
      </c>
      <c r="O5307" s="395"/>
      <c r="P5307" s="871" t="str">
        <f>IF($O5307&lt;&gt;"",(1-$O5307)*#REF!,"")</f>
        <v/>
      </c>
      <c r="Q5307" s="871" t="str">
        <f>IF($O5307&lt;&gt;"",(1-$O5307)*#REF!,"")</f>
        <v/>
      </c>
      <c r="R5307" s="871" t="str">
        <f>IF($O5307&lt;&gt;"",(1-$O5307)*#REF!,"")</f>
        <v/>
      </c>
      <c r="S5307" s="871" t="str">
        <f>IF($O5307&lt;&gt;"",(1-$O5307)*#REF!,"")</f>
        <v/>
      </c>
      <c r="U5307" s="871" t="str">
        <f>IF($O5307&lt;&gt;"",(1-$O5307)*#REF!,"")</f>
        <v/>
      </c>
      <c r="V5307" s="871" t="str">
        <f>IF($O5307&lt;&gt;"",(1-$O5307)*#REF!,"")</f>
        <v/>
      </c>
      <c r="W5307" s="871" t="str">
        <f>IF($O5307&lt;&gt;"",(1-$O5307)*#REF!,"")</f>
        <v/>
      </c>
      <c r="X5307" s="871" t="str">
        <f>IF($O5307&lt;&gt;"",(1-$O5307)*#REF!,"")</f>
        <v/>
      </c>
    </row>
    <row r="5308" spans="1:29" s="774" customFormat="1" x14ac:dyDescent="0.25">
      <c r="A5308" s="644" t="str">
        <f>"SgK48a1--"&amp;RIGHT(A5307,5)</f>
        <v>SgK48a1--Dez22</v>
      </c>
      <c r="B5308" s="645" t="s">
        <v>5435</v>
      </c>
      <c r="C5308" s="645" t="str">
        <f t="shared" si="1905"/>
        <v>Inbetriebnahme 12/2022</v>
      </c>
      <c r="D5308" s="645" t="str">
        <f t="shared" si="1911"/>
        <v>10 - 40 kW</v>
      </c>
      <c r="E5308" s="645" t="s">
        <v>6320</v>
      </c>
      <c r="F5308" s="793"/>
      <c r="G5308" s="793"/>
      <c r="H5308" s="867"/>
      <c r="I5308" s="867">
        <f t="shared" si="1906"/>
        <v>2.52</v>
      </c>
      <c r="J5308" s="669">
        <v>44865</v>
      </c>
      <c r="O5308" s="395"/>
      <c r="P5308" s="871" t="str">
        <f>IF($O5308&lt;&gt;"",(1-$O5308)*#REF!,"")</f>
        <v/>
      </c>
      <c r="Q5308" s="871" t="str">
        <f>IF($O5308&lt;&gt;"",(1-$O5308)*#REF!,"")</f>
        <v/>
      </c>
      <c r="R5308" s="871" t="str">
        <f>IF($O5308&lt;&gt;"",(1-$O5308)*#REF!,"")</f>
        <v/>
      </c>
      <c r="S5308" s="871" t="str">
        <f>IF($O5308&lt;&gt;"",(1-$O5308)*#REF!,"")</f>
        <v/>
      </c>
      <c r="U5308" s="871" t="str">
        <f>IF($O5308&lt;&gt;"",(1-$O5308)*#REF!,"")</f>
        <v/>
      </c>
      <c r="V5308" s="871" t="str">
        <f>IF($O5308&lt;&gt;"",(1-$O5308)*#REF!,"")</f>
        <v/>
      </c>
      <c r="W5308" s="871" t="str">
        <f>IF($O5308&lt;&gt;"",(1-$O5308)*#REF!,"")</f>
        <v/>
      </c>
      <c r="X5308" s="871" t="str">
        <f>IF($O5308&lt;&gt;"",(1-$O5308)*#REF!,"")</f>
        <v/>
      </c>
    </row>
    <row r="5309" spans="1:29" s="774" customFormat="1" ht="14.25" customHeight="1" x14ac:dyDescent="0.25">
      <c r="A5309" s="644" t="str">
        <f>"SgK48a2--"&amp;RIGHT(A5308,5)</f>
        <v>SgK48a2--Dez22</v>
      </c>
      <c r="B5309" s="645" t="s">
        <v>5435</v>
      </c>
      <c r="C5309" s="645" t="str">
        <f t="shared" si="1905"/>
        <v>Inbetriebnahme 12/2022</v>
      </c>
      <c r="D5309" s="645" t="str">
        <f t="shared" si="1911"/>
        <v>40 - 750 kW</v>
      </c>
      <c r="E5309" s="645" t="s">
        <v>6320</v>
      </c>
      <c r="F5309" s="793"/>
      <c r="G5309" s="793"/>
      <c r="H5309" s="867"/>
      <c r="I5309" s="867">
        <f t="shared" si="1906"/>
        <v>1.7</v>
      </c>
      <c r="J5309" s="669">
        <v>44865</v>
      </c>
      <c r="O5309" s="395"/>
      <c r="P5309" s="871" t="str">
        <f>IF($O5309&lt;&gt;"",(1-$O5309)*P5307,"")</f>
        <v/>
      </c>
      <c r="Q5309" s="871" t="str">
        <f>IF($O5309&lt;&gt;"",(1-$O5309)*Q5307,"")</f>
        <v/>
      </c>
      <c r="R5309" s="871" t="str">
        <f>IF($O5309&lt;&gt;"",(1-$O5309)*R5307,"")</f>
        <v/>
      </c>
      <c r="S5309" s="871" t="str">
        <f>IF($O5309&lt;&gt;"",(1-$O5309)*S5307,"")</f>
        <v/>
      </c>
      <c r="U5309" s="871" t="str">
        <f>IF($O5309&lt;&gt;"",(1-$O5309)*U5307,"")</f>
        <v/>
      </c>
      <c r="V5309" s="871" t="str">
        <f>IF($O5309&lt;&gt;"",(1-$O5309)*V5307,"")</f>
        <v/>
      </c>
      <c r="W5309" s="871" t="str">
        <f>IF($O5309&lt;&gt;"",(1-$O5309)*W5307,"")</f>
        <v/>
      </c>
      <c r="X5309" s="871" t="str">
        <f>IF($O5309&lt;&gt;"",(1-$O5309)*X5307,"")</f>
        <v/>
      </c>
    </row>
    <row r="5310" spans="1:29" s="259" customFormat="1" x14ac:dyDescent="0.25">
      <c r="A5310" s="774"/>
      <c r="B5310" s="774"/>
      <c r="C5310" s="774"/>
      <c r="D5310" s="774"/>
      <c r="E5310" s="774"/>
      <c r="F5310" s="471"/>
      <c r="G5310" s="769"/>
      <c r="H5310" s="769"/>
      <c r="I5310" s="691"/>
      <c r="J5310" s="669"/>
      <c r="K5310" s="261"/>
      <c r="M5310" s="774"/>
      <c r="N5310" s="774"/>
      <c r="O5310" s="866" t="s">
        <v>5490</v>
      </c>
      <c r="Q5310" s="774" t="s">
        <v>3919</v>
      </c>
      <c r="R5310" s="774" t="s">
        <v>3920</v>
      </c>
      <c r="S5310" s="774" t="s">
        <v>7925</v>
      </c>
      <c r="T5310" s="774"/>
      <c r="U5310" s="774"/>
      <c r="V5310" s="774"/>
      <c r="W5310" s="774"/>
      <c r="X5310" s="774"/>
      <c r="Y5310" s="774"/>
      <c r="Z5310" s="774"/>
      <c r="AA5310" s="774"/>
      <c r="AB5310" s="774"/>
      <c r="AC5310" s="774"/>
    </row>
    <row r="5311" spans="1:29" s="774" customFormat="1" x14ac:dyDescent="0.25">
      <c r="A5311" s="644" t="str">
        <f>"SgK48a0-----"&amp;RIGHT(M5311,2)</f>
        <v>SgK48a0-----23</v>
      </c>
      <c r="B5311" s="645" t="s">
        <v>5435</v>
      </c>
      <c r="C5311" s="645" t="str">
        <f>"Inbetriebnahme "&amp;M$5311</f>
        <v>Inbetriebnahme 2023</v>
      </c>
      <c r="D5311" s="645" t="s">
        <v>3919</v>
      </c>
      <c r="E5311" s="645" t="s">
        <v>6320</v>
      </c>
      <c r="F5311" s="793"/>
      <c r="G5311" s="793"/>
      <c r="H5311" s="867"/>
      <c r="I5311" s="867">
        <f>ROUND(HLOOKUP($D5311,$Q$5310:$S$5311,2,FALSE),2)</f>
        <v>2.67</v>
      </c>
      <c r="J5311" s="669">
        <f>$J$31</f>
        <v>44896</v>
      </c>
      <c r="M5311" s="774">
        <v>2023</v>
      </c>
      <c r="N5311" s="774" t="s">
        <v>7929</v>
      </c>
      <c r="O5311" s="1060">
        <v>1.7999999999999999E-2</v>
      </c>
      <c r="Q5311" s="769">
        <f>Q5285*(100%-$O5311)</f>
        <v>2.6692477609419822</v>
      </c>
      <c r="R5311" s="769">
        <f>R5285*(100%-$O5311)</f>
        <v>2.4790902687376728</v>
      </c>
      <c r="S5311" s="769">
        <f>S5285*(100%-$O5311)</f>
        <v>1.6691602093489442</v>
      </c>
      <c r="U5311" s="871"/>
      <c r="V5311" s="871"/>
      <c r="W5311" s="871"/>
      <c r="X5311" s="871"/>
    </row>
    <row r="5312" spans="1:29" s="774" customFormat="1" x14ac:dyDescent="0.25">
      <c r="A5312" s="644" t="str">
        <f>"SgK48a1-----"&amp;RIGHT(A5311,2)</f>
        <v>SgK48a1-----23</v>
      </c>
      <c r="B5312" s="645" t="s">
        <v>5435</v>
      </c>
      <c r="C5312" s="645" t="str">
        <f>"Inbetriebnahme "&amp;M$5311</f>
        <v>Inbetriebnahme 2023</v>
      </c>
      <c r="D5312" s="645" t="s">
        <v>3920</v>
      </c>
      <c r="E5312" s="645" t="s">
        <v>6320</v>
      </c>
      <c r="F5312" s="793"/>
      <c r="G5312" s="793"/>
      <c r="H5312" s="867"/>
      <c r="I5312" s="867">
        <f>ROUND(HLOOKUP($D5312,$Q$5310:$S$5311,2,FALSE),2)</f>
        <v>2.48</v>
      </c>
      <c r="J5312" s="669">
        <v>44938</v>
      </c>
      <c r="O5312" s="395"/>
      <c r="P5312" s="871" t="str">
        <f>IF($O5312&lt;&gt;"",(1-$O5312)*#REF!,"")</f>
        <v/>
      </c>
      <c r="Q5312" s="871" t="str">
        <f>IF($O5312&lt;&gt;"",(1-$O5312)*#REF!,"")</f>
        <v/>
      </c>
      <c r="R5312" s="871" t="str">
        <f>IF($O5312&lt;&gt;"",(1-$O5312)*#REF!,"")</f>
        <v/>
      </c>
      <c r="S5312" s="871" t="str">
        <f>IF($O5312&lt;&gt;"",(1-$O5312)*#REF!,"")</f>
        <v/>
      </c>
      <c r="U5312" s="871" t="str">
        <f>IF($O5312&lt;&gt;"",(1-$O5312)*#REF!,"")</f>
        <v/>
      </c>
      <c r="V5312" s="871" t="str">
        <f>IF($O5312&lt;&gt;"",(1-$O5312)*#REF!,"")</f>
        <v/>
      </c>
      <c r="W5312" s="871" t="str">
        <f>IF($O5312&lt;&gt;"",(1-$O5312)*#REF!,"")</f>
        <v/>
      </c>
      <c r="X5312" s="871" t="str">
        <f>IF($O5312&lt;&gt;"",(1-$O5312)*#REF!,"")</f>
        <v/>
      </c>
    </row>
    <row r="5313" spans="1:29" s="774" customFormat="1" ht="14.25" customHeight="1" x14ac:dyDescent="0.25">
      <c r="A5313" s="644" t="str">
        <f>"SgK48a2-----"&amp;RIGHT(A5312,2)</f>
        <v>SgK48a2-----23</v>
      </c>
      <c r="B5313" s="645" t="s">
        <v>5435</v>
      </c>
      <c r="C5313" s="645" t="str">
        <f>"Inbetriebnahme "&amp;M$5311</f>
        <v>Inbetriebnahme 2023</v>
      </c>
      <c r="D5313" s="645" t="s">
        <v>7925</v>
      </c>
      <c r="E5313" s="645" t="s">
        <v>6320</v>
      </c>
      <c r="F5313" s="793"/>
      <c r="G5313" s="793"/>
      <c r="H5313" s="867"/>
      <c r="I5313" s="867">
        <f>ROUND(HLOOKUP($D5313,$Q$5310:$S$5311,2,FALSE),2)</f>
        <v>1.67</v>
      </c>
      <c r="J5313" s="669">
        <v>44938</v>
      </c>
      <c r="O5313" s="395"/>
      <c r="P5313" s="871" t="str">
        <f>IF($O5313&lt;&gt;"",(1-$O5313)*R5311,"")</f>
        <v/>
      </c>
      <c r="Q5313" s="871" t="str">
        <f>IF($O5313&lt;&gt;"",(1-$O5313)*S5311,"")</f>
        <v/>
      </c>
      <c r="R5313" s="871" t="str">
        <f>IF($O5313&lt;&gt;"",(1-$O5313)*#REF!,"")</f>
        <v/>
      </c>
      <c r="S5313" s="871" t="str">
        <f>IF($O5313&lt;&gt;"",(1-$O5313)*#REF!,"")</f>
        <v/>
      </c>
      <c r="U5313" s="871" t="str">
        <f>IF($O5313&lt;&gt;"",(1-$O5313)*U5311,"")</f>
        <v/>
      </c>
      <c r="V5313" s="871" t="str">
        <f>IF($O5313&lt;&gt;"",(1-$O5313)*V5311,"")</f>
        <v/>
      </c>
      <c r="W5313" s="871" t="str">
        <f>IF($O5313&lt;&gt;"",(1-$O5313)*W5311,"")</f>
        <v/>
      </c>
      <c r="X5313" s="871" t="str">
        <f>IF($O5313&lt;&gt;"",(1-$O5313)*X5311,"")</f>
        <v/>
      </c>
    </row>
    <row r="5314" spans="1:29" s="259" customFormat="1" x14ac:dyDescent="0.25">
      <c r="A5314"/>
      <c r="B5314"/>
      <c r="C5314"/>
      <c r="D5314"/>
      <c r="E5314"/>
      <c r="F5314" s="471"/>
      <c r="G5314" s="15"/>
      <c r="H5314" s="15"/>
      <c r="I5314" s="691"/>
      <c r="J5314" s="669"/>
      <c r="K5314" s="261"/>
      <c r="M5314"/>
      <c r="N5314"/>
      <c r="O5314"/>
      <c r="P5314"/>
      <c r="Q5314"/>
      <c r="R5314"/>
      <c r="S5314"/>
      <c r="T5314"/>
      <c r="U5314"/>
      <c r="V5314"/>
      <c r="W5314"/>
      <c r="X5314"/>
      <c r="Y5314"/>
      <c r="Z5314"/>
      <c r="AA5314"/>
      <c r="AB5314"/>
      <c r="AC5314"/>
    </row>
    <row r="5315" spans="1:29" s="238" customFormat="1" ht="33.75" customHeight="1" x14ac:dyDescent="0.25">
      <c r="A5315" s="663" t="s">
        <v>6088</v>
      </c>
      <c r="B5315" s="605"/>
      <c r="C5315" s="605"/>
      <c r="D5315" s="605"/>
      <c r="E5315" s="605"/>
      <c r="F5315" s="606"/>
      <c r="G5315" s="605"/>
      <c r="H5315" s="664" t="str">
        <f>IF(ISNUMBER(G5315),ROUND(0.8*G5315,2),"")</f>
        <v/>
      </c>
      <c r="I5315" s="729"/>
      <c r="J5315" s="669">
        <v>42705</v>
      </c>
      <c r="K5315" s="667"/>
      <c r="M5315" s="259"/>
      <c r="N5315" s="259"/>
      <c r="O5315" s="259"/>
      <c r="P5315" s="259"/>
      <c r="Q5315" s="259"/>
      <c r="R5315" s="259"/>
      <c r="S5315" s="259"/>
      <c r="T5315" s="259"/>
      <c r="U5315" s="259"/>
      <c r="V5315" s="259"/>
      <c r="W5315" s="259"/>
      <c r="X5315" s="259"/>
      <c r="Y5315" s="259"/>
      <c r="Z5315" s="259"/>
      <c r="AA5315" s="259"/>
      <c r="AB5315" s="259"/>
      <c r="AC5315" s="259"/>
    </row>
    <row r="5316" spans="1:29" ht="154.5" customHeight="1" x14ac:dyDescent="0.25">
      <c r="A5316" s="1151" t="s">
        <v>8156</v>
      </c>
      <c r="B5316" s="1151"/>
      <c r="C5316" s="1151"/>
      <c r="D5316" s="1151"/>
      <c r="E5316" s="1151"/>
      <c r="F5316" s="1151"/>
      <c r="G5316" s="665"/>
      <c r="H5316" s="666"/>
      <c r="I5316" s="730"/>
      <c r="J5316" s="669">
        <v>44848</v>
      </c>
      <c r="K5316" s="15"/>
      <c r="M5316" s="238"/>
      <c r="N5316" s="238"/>
      <c r="O5316" s="238"/>
      <c r="P5316" s="238"/>
      <c r="Q5316" s="238"/>
      <c r="R5316" s="238"/>
      <c r="S5316" s="238"/>
      <c r="T5316" s="238"/>
      <c r="U5316" s="238"/>
      <c r="V5316" s="238"/>
      <c r="W5316" s="238"/>
      <c r="X5316" s="238"/>
      <c r="Y5316" s="238"/>
      <c r="Z5316" s="238"/>
      <c r="AA5316" s="238"/>
      <c r="AB5316" s="238"/>
      <c r="AC5316" s="238"/>
    </row>
    <row r="5317" spans="1:29" x14ac:dyDescent="0.25">
      <c r="D5317" s="130"/>
      <c r="J5317" s="669"/>
    </row>
    <row r="5318" spans="1:29" x14ac:dyDescent="0.25">
      <c r="A5318" s="644" t="s">
        <v>5646</v>
      </c>
      <c r="B5318" s="645" t="s">
        <v>740</v>
      </c>
      <c r="C5318" s="643" t="s">
        <v>5637</v>
      </c>
      <c r="D5318" s="643" t="s">
        <v>5849</v>
      </c>
      <c r="E5318" s="656"/>
      <c r="F5318" s="657" t="str">
        <f>IF($O5318&lt;&gt;"",ROUND(Q5318,2),"")</f>
        <v/>
      </c>
      <c r="G5318" s="657" t="str">
        <f>IF($O5318&lt;&gt;"",ROUND(P5318,2),"")</f>
        <v/>
      </c>
      <c r="H5318" s="656" t="str">
        <f>IF(ISNUMBER(G5318),ROUND(0.8*G5318,2),"")</f>
        <v/>
      </c>
      <c r="I5318" s="701"/>
      <c r="J5318" s="669" t="s">
        <v>5805</v>
      </c>
      <c r="K5318" s="15"/>
      <c r="N5318" s="333"/>
      <c r="O5318" s="395"/>
      <c r="P5318" s="569" t="str">
        <f>IF($O5318&lt;&gt;"",#REF!*(100%-$O5318),"")</f>
        <v/>
      </c>
      <c r="Q5318" s="327" t="str">
        <f>IF($O5318&lt;&gt;"",(1-$O5318)*#REF!,"")</f>
        <v/>
      </c>
      <c r="R5318" s="327"/>
    </row>
    <row r="5319" spans="1:29" s="774" customFormat="1" x14ac:dyDescent="0.25">
      <c r="D5319" s="130"/>
      <c r="F5319" s="471"/>
      <c r="G5319" s="769"/>
      <c r="H5319" s="769"/>
      <c r="I5319" s="691"/>
      <c r="J5319" s="669"/>
      <c r="K5319" s="769"/>
    </row>
    <row r="5320" spans="1:29" s="774" customFormat="1" x14ac:dyDescent="0.25">
      <c r="A5320" s="644" t="s">
        <v>5850</v>
      </c>
      <c r="B5320" s="645" t="s">
        <v>5548</v>
      </c>
      <c r="C5320" s="643" t="s">
        <v>5854</v>
      </c>
      <c r="D5320" s="643" t="s">
        <v>8157</v>
      </c>
      <c r="E5320" s="656"/>
      <c r="F5320" s="657" t="str">
        <f>IF($O5320&lt;&gt;"",ROUND(Q5320,2),"")</f>
        <v/>
      </c>
      <c r="G5320" s="657" t="str">
        <f>IF($O5320&lt;&gt;"",ROUND(P5320,2),"")</f>
        <v/>
      </c>
      <c r="H5320" s="656" t="str">
        <f>IF(ISNUMBER(G5320),ROUND(0.8*G5320,2),"")</f>
        <v/>
      </c>
      <c r="I5320" s="701"/>
      <c r="J5320" s="669">
        <v>44896</v>
      </c>
      <c r="K5320" s="769"/>
    </row>
    <row r="5321" spans="1:29" s="774" customFormat="1" x14ac:dyDescent="0.25">
      <c r="A5321" s="644" t="s">
        <v>5851</v>
      </c>
      <c r="B5321" s="645" t="s">
        <v>6009</v>
      </c>
      <c r="C5321" s="643" t="s">
        <v>5854</v>
      </c>
      <c r="D5321" s="643" t="s">
        <v>8157</v>
      </c>
      <c r="E5321" s="656"/>
      <c r="F5321" s="657" t="str">
        <f>IF($O5321&lt;&gt;"",ROUND(Q5321,2),"")</f>
        <v/>
      </c>
      <c r="G5321" s="657" t="str">
        <f>IF($O5321&lt;&gt;"",ROUND(P5321,2),"")</f>
        <v/>
      </c>
      <c r="H5321" s="656" t="str">
        <f>IF(ISNUMBER(G5321),ROUND(0.8*G5321,2),"")</f>
        <v/>
      </c>
      <c r="I5321" s="701"/>
      <c r="J5321" s="669">
        <v>44896</v>
      </c>
      <c r="K5321" s="769"/>
    </row>
    <row r="5322" spans="1:29" s="774" customFormat="1" x14ac:dyDescent="0.25">
      <c r="A5322" s="644" t="s">
        <v>5852</v>
      </c>
      <c r="B5322" s="645" t="s">
        <v>6010</v>
      </c>
      <c r="C5322" s="643" t="s">
        <v>5854</v>
      </c>
      <c r="D5322" s="643" t="s">
        <v>8157</v>
      </c>
      <c r="E5322" s="656"/>
      <c r="F5322" s="657" t="str">
        <f>IF($O5322&lt;&gt;"",ROUND(Q5322,2),"")</f>
        <v/>
      </c>
      <c r="G5322" s="657" t="str">
        <f>IF($O5322&lt;&gt;"",ROUND(P5322,2),"")</f>
        <v/>
      </c>
      <c r="H5322" s="656" t="str">
        <f>IF(ISNUMBER(G5322),ROUND(0.8*G5322,2),"")</f>
        <v/>
      </c>
      <c r="I5322" s="701"/>
      <c r="J5322" s="669">
        <v>44896</v>
      </c>
      <c r="K5322" s="769"/>
    </row>
    <row r="5323" spans="1:29" s="774" customFormat="1" x14ac:dyDescent="0.25">
      <c r="A5323" s="644" t="s">
        <v>5853</v>
      </c>
      <c r="B5323" s="645" t="s">
        <v>740</v>
      </c>
      <c r="C5323" s="643" t="s">
        <v>5854</v>
      </c>
      <c r="D5323" s="643" t="s">
        <v>8157</v>
      </c>
      <c r="E5323" s="656"/>
      <c r="F5323" s="657" t="str">
        <f>IF($O5323&lt;&gt;"",ROUND(Q5323,2),"")</f>
        <v/>
      </c>
      <c r="G5323" s="657" t="str">
        <f>IF($O5323&lt;&gt;"",ROUND(P5323,2),"")</f>
        <v/>
      </c>
      <c r="H5323" s="656" t="str">
        <f>IF(ISNUMBER(G5323),ROUND(0.8*G5323,2),"")</f>
        <v/>
      </c>
      <c r="I5323" s="701"/>
      <c r="J5323" s="669">
        <v>44896</v>
      </c>
      <c r="K5323" s="769"/>
    </row>
    <row r="5324" spans="1:29" s="774" customFormat="1" x14ac:dyDescent="0.25">
      <c r="A5324" s="644" t="s">
        <v>5855</v>
      </c>
      <c r="B5324" s="645" t="s">
        <v>5435</v>
      </c>
      <c r="C5324" s="643" t="s">
        <v>5854</v>
      </c>
      <c r="D5324" s="643" t="s">
        <v>8157</v>
      </c>
      <c r="E5324" s="656"/>
      <c r="F5324" s="657" t="str">
        <f>IF($O5324&lt;&gt;"",ROUND(Q5324,2),"")</f>
        <v/>
      </c>
      <c r="G5324" s="657" t="str">
        <f>IF($O5324&lt;&gt;"",ROUND(P5324,2),"")</f>
        <v/>
      </c>
      <c r="H5324" s="656" t="str">
        <f>IF(ISNUMBER(G5324),ROUND(0.8*G5324,2),"")</f>
        <v/>
      </c>
      <c r="I5324" s="701"/>
      <c r="J5324" s="669">
        <v>44896</v>
      </c>
      <c r="K5324" s="769"/>
    </row>
    <row r="5325" spans="1:29" x14ac:dyDescent="0.25">
      <c r="D5325" s="130"/>
      <c r="J5325" s="669"/>
      <c r="K5325" s="15"/>
    </row>
    <row r="5326" spans="1:29" x14ac:dyDescent="0.25">
      <c r="A5326" s="644" t="s">
        <v>7485</v>
      </c>
      <c r="B5326" s="645" t="s">
        <v>5548</v>
      </c>
      <c r="C5326" s="643" t="s">
        <v>5854</v>
      </c>
      <c r="D5326" s="643" t="s">
        <v>7890</v>
      </c>
      <c r="E5326" s="656"/>
      <c r="F5326" s="657" t="str">
        <f>IF($O5326&lt;&gt;"",ROUND(Q5326,2),"")</f>
        <v/>
      </c>
      <c r="G5326" s="657" t="str">
        <f>IF($O5326&lt;&gt;"",ROUND(P5326,2),"")</f>
        <v/>
      </c>
      <c r="H5326" s="656" t="str">
        <f>IF(ISNUMBER(G5326),ROUND(0.8*G5326,2),"")</f>
        <v/>
      </c>
      <c r="I5326" s="701"/>
      <c r="J5326" s="669">
        <v>44848</v>
      </c>
      <c r="K5326" s="15"/>
    </row>
    <row r="5327" spans="1:29" x14ac:dyDescent="0.25">
      <c r="A5327" s="644" t="s">
        <v>7486</v>
      </c>
      <c r="B5327" s="645" t="s">
        <v>6009</v>
      </c>
      <c r="C5327" s="643" t="s">
        <v>5854</v>
      </c>
      <c r="D5327" s="643" t="s">
        <v>7890</v>
      </c>
      <c r="E5327" s="656"/>
      <c r="F5327" s="657" t="str">
        <f>IF($O5327&lt;&gt;"",ROUND(Q5327,2),"")</f>
        <v/>
      </c>
      <c r="G5327" s="657" t="str">
        <f>IF($O5327&lt;&gt;"",ROUND(P5327,2),"")</f>
        <v/>
      </c>
      <c r="H5327" s="656" t="str">
        <f>IF(ISNUMBER(G5327),ROUND(0.8*G5327,2),"")</f>
        <v/>
      </c>
      <c r="I5327" s="701"/>
      <c r="J5327" s="669">
        <v>44848</v>
      </c>
      <c r="K5327" s="15"/>
    </row>
    <row r="5328" spans="1:29" x14ac:dyDescent="0.25">
      <c r="A5328" s="644" t="s">
        <v>7487</v>
      </c>
      <c r="B5328" s="645" t="s">
        <v>6010</v>
      </c>
      <c r="C5328" s="643" t="s">
        <v>5854</v>
      </c>
      <c r="D5328" s="643" t="s">
        <v>7890</v>
      </c>
      <c r="E5328" s="656"/>
      <c r="F5328" s="657" t="str">
        <f>IF($O5328&lt;&gt;"",ROUND(Q5328,2),"")</f>
        <v/>
      </c>
      <c r="G5328" s="657" t="str">
        <f>IF($O5328&lt;&gt;"",ROUND(P5328,2),"")</f>
        <v/>
      </c>
      <c r="H5328" s="656" t="str">
        <f>IF(ISNUMBER(G5328),ROUND(0.8*G5328,2),"")</f>
        <v/>
      </c>
      <c r="I5328" s="701"/>
      <c r="J5328" s="669">
        <v>44848</v>
      </c>
      <c r="K5328" s="15"/>
    </row>
    <row r="5329" spans="1:29" x14ac:dyDescent="0.25">
      <c r="A5329" s="644" t="s">
        <v>7488</v>
      </c>
      <c r="B5329" s="645" t="s">
        <v>740</v>
      </c>
      <c r="C5329" s="643" t="s">
        <v>5854</v>
      </c>
      <c r="D5329" s="643" t="s">
        <v>7890</v>
      </c>
      <c r="E5329" s="656"/>
      <c r="F5329" s="657" t="str">
        <f>IF($O5329&lt;&gt;"",ROUND(Q5329,2),"")</f>
        <v/>
      </c>
      <c r="G5329" s="657" t="str">
        <f>IF($O5329&lt;&gt;"",ROUND(P5329,2),"")</f>
        <v/>
      </c>
      <c r="H5329" s="656" t="str">
        <f>IF(ISNUMBER(G5329),ROUND(0.8*G5329,2),"")</f>
        <v/>
      </c>
      <c r="I5329" s="701"/>
      <c r="J5329" s="669">
        <v>44848</v>
      </c>
      <c r="K5329" s="15"/>
    </row>
    <row r="5330" spans="1:29" x14ac:dyDescent="0.25">
      <c r="A5330" s="644" t="s">
        <v>7489</v>
      </c>
      <c r="B5330" s="645" t="s">
        <v>5435</v>
      </c>
      <c r="C5330" s="643" t="s">
        <v>5854</v>
      </c>
      <c r="D5330" s="643" t="s">
        <v>7890</v>
      </c>
      <c r="E5330" s="656"/>
      <c r="F5330" s="657" t="str">
        <f>IF($O5330&lt;&gt;"",ROUND(Q5330,2),"")</f>
        <v/>
      </c>
      <c r="G5330" s="657" t="str">
        <f>IF($O5330&lt;&gt;"",ROUND(P5330,2),"")</f>
        <v/>
      </c>
      <c r="H5330" s="656" t="str">
        <f>IF(ISNUMBER(G5330),ROUND(0.8*G5330,2),"")</f>
        <v/>
      </c>
      <c r="I5330" s="701"/>
      <c r="J5330" s="669">
        <v>44848</v>
      </c>
      <c r="K5330" s="15"/>
    </row>
    <row r="5331" spans="1:29" s="774" customFormat="1" x14ac:dyDescent="0.25">
      <c r="D5331" s="130"/>
      <c r="F5331" s="471"/>
      <c r="G5331" s="769"/>
      <c r="H5331" s="769"/>
      <c r="I5331" s="691"/>
      <c r="J5331" s="669"/>
    </row>
    <row r="5332" spans="1:29" s="238" customFormat="1" ht="33.75" customHeight="1" x14ac:dyDescent="0.25">
      <c r="A5332" s="663" t="s">
        <v>8158</v>
      </c>
      <c r="B5332" s="605"/>
      <c r="C5332" s="605"/>
      <c r="D5332" s="605"/>
      <c r="E5332" s="605"/>
      <c r="F5332" s="606"/>
      <c r="G5332" s="605"/>
      <c r="H5332" s="664" t="str">
        <f>IF(ISNUMBER(G5332),ROUND(0.8*G5332,2),"")</f>
        <v/>
      </c>
      <c r="I5332" s="729"/>
      <c r="J5332" s="669">
        <v>44616</v>
      </c>
      <c r="K5332" s="667"/>
      <c r="M5332" s="259"/>
      <c r="N5332" s="259"/>
      <c r="O5332" s="259"/>
      <c r="P5332" s="259"/>
      <c r="Q5332" s="259"/>
      <c r="R5332" s="259"/>
      <c r="S5332" s="259"/>
      <c r="T5332" s="259"/>
      <c r="U5332" s="259"/>
      <c r="V5332" s="259"/>
      <c r="W5332" s="259"/>
      <c r="X5332" s="259"/>
      <c r="Y5332" s="259"/>
      <c r="Z5332" s="259"/>
      <c r="AA5332" s="259"/>
      <c r="AB5332" s="259"/>
      <c r="AC5332" s="259"/>
    </row>
    <row r="5333" spans="1:29" s="774" customFormat="1" ht="121.35" customHeight="1" x14ac:dyDescent="0.25">
      <c r="A5333" s="1151" t="s">
        <v>7855</v>
      </c>
      <c r="B5333" s="1151"/>
      <c r="C5333" s="1151"/>
      <c r="D5333" s="1151"/>
      <c r="E5333" s="1151"/>
      <c r="F5333" s="1151"/>
      <c r="G5333" s="665"/>
      <c r="H5333" s="666"/>
      <c r="I5333" s="730"/>
      <c r="J5333" s="669">
        <v>44616</v>
      </c>
      <c r="K5333" s="769"/>
      <c r="M5333" s="238"/>
      <c r="N5333" s="238"/>
      <c r="O5333" s="238"/>
      <c r="P5333" s="238"/>
      <c r="Q5333" s="238"/>
      <c r="R5333" s="238"/>
      <c r="S5333" s="238"/>
      <c r="T5333" s="238"/>
      <c r="U5333" s="238"/>
      <c r="V5333" s="238"/>
      <c r="W5333" s="238"/>
      <c r="X5333" s="238"/>
      <c r="Y5333" s="238"/>
      <c r="Z5333" s="238"/>
      <c r="AA5333" s="238"/>
      <c r="AB5333" s="238"/>
      <c r="AC5333" s="238"/>
    </row>
    <row r="5334" spans="1:29" s="774" customFormat="1" x14ac:dyDescent="0.25">
      <c r="D5334" s="130"/>
      <c r="F5334" s="471"/>
      <c r="G5334" s="769"/>
      <c r="H5334" s="769"/>
      <c r="I5334" s="691"/>
      <c r="J5334" s="669"/>
    </row>
    <row r="5335" spans="1:29" s="774" customFormat="1" x14ac:dyDescent="0.25">
      <c r="A5335" s="644" t="s">
        <v>7850</v>
      </c>
      <c r="B5335" s="645" t="s">
        <v>6009</v>
      </c>
      <c r="C5335" s="643" t="s">
        <v>5854</v>
      </c>
      <c r="D5335" s="643" t="s">
        <v>8159</v>
      </c>
      <c r="E5335" s="656"/>
      <c r="F5335" s="657" t="str">
        <f>IF($O5335&lt;&gt;"",ROUND(Q5335,2),"")</f>
        <v/>
      </c>
      <c r="G5335" s="657" t="str">
        <f>IF($O5335&lt;&gt;"",ROUND(P5335,2),"")</f>
        <v/>
      </c>
      <c r="H5335" s="656" t="str">
        <f>IF(ISNUMBER(G5335),ROUND(0.8*G5335,2),"")</f>
        <v/>
      </c>
      <c r="I5335" s="701"/>
      <c r="J5335" s="669">
        <v>44896</v>
      </c>
      <c r="K5335" s="769"/>
      <c r="N5335" s="333"/>
      <c r="O5335" s="395"/>
      <c r="P5335" s="569" t="str">
        <f>IF($O5335&lt;&gt;"",#REF!*(100%-$O5335),"")</f>
        <v/>
      </c>
      <c r="Q5335" s="327" t="str">
        <f>IF($O5335&lt;&gt;"",(1-$O5335)*#REF!,"")</f>
        <v/>
      </c>
      <c r="R5335" s="327"/>
    </row>
    <row r="5336" spans="1:29" s="774" customFormat="1" x14ac:dyDescent="0.25">
      <c r="A5336" s="644" t="s">
        <v>7851</v>
      </c>
      <c r="B5336" s="645" t="s">
        <v>6009</v>
      </c>
      <c r="C5336" s="643" t="s">
        <v>5854</v>
      </c>
      <c r="D5336" s="643" t="s">
        <v>8160</v>
      </c>
      <c r="E5336" s="656"/>
      <c r="F5336" s="657" t="str">
        <f>IF($O5336&lt;&gt;"",ROUND(Q5336,2),"")</f>
        <v/>
      </c>
      <c r="G5336" s="657" t="str">
        <f>IF($O5336&lt;&gt;"",ROUND(P5336,2),"")</f>
        <v/>
      </c>
      <c r="H5336" s="656" t="str">
        <f>IF(ISNUMBER(G5336),ROUND(0.8*G5336,2),"")</f>
        <v/>
      </c>
      <c r="I5336" s="701"/>
      <c r="J5336" s="669">
        <v>44896</v>
      </c>
      <c r="K5336" s="769"/>
      <c r="N5336" s="333"/>
      <c r="O5336" s="395"/>
      <c r="P5336" s="569" t="str">
        <f>IF($O5336&lt;&gt;"",#REF!*(100%-$O5336),"")</f>
        <v/>
      </c>
      <c r="Q5336" s="327" t="str">
        <f>IF($O5336&lt;&gt;"",(1-$O5336)*#REF!,"")</f>
        <v/>
      </c>
      <c r="R5336" s="327"/>
    </row>
    <row r="5337" spans="1:29" s="774" customFormat="1" x14ac:dyDescent="0.25">
      <c r="A5337" s="644" t="s">
        <v>7852</v>
      </c>
      <c r="B5337" s="645" t="s">
        <v>6009</v>
      </c>
      <c r="C5337" s="643" t="s">
        <v>5854</v>
      </c>
      <c r="D5337" s="643" t="s">
        <v>8161</v>
      </c>
      <c r="E5337" s="656"/>
      <c r="F5337" s="657" t="str">
        <f>IF($O5337&lt;&gt;"",ROUND(Q5337,2),"")</f>
        <v/>
      </c>
      <c r="G5337" s="657" t="str">
        <f>IF($O5337&lt;&gt;"",ROUND(P5337,2),"")</f>
        <v/>
      </c>
      <c r="H5337" s="656" t="str">
        <f>IF(ISNUMBER(G5337),ROUND(0.8*G5337,2),"")</f>
        <v/>
      </c>
      <c r="I5337" s="701"/>
      <c r="J5337" s="669">
        <v>44896</v>
      </c>
      <c r="K5337" s="769"/>
      <c r="N5337" s="333"/>
      <c r="O5337" s="395"/>
      <c r="P5337" s="569" t="str">
        <f>IF($O5337&lt;&gt;"",#REF!*(100%-$O5337),"")</f>
        <v/>
      </c>
      <c r="Q5337" s="327" t="str">
        <f>IF($O5337&lt;&gt;"",(1-$O5337)*#REF!,"")</f>
        <v/>
      </c>
      <c r="R5337" s="327"/>
    </row>
    <row r="5338" spans="1:29" s="774" customFormat="1" x14ac:dyDescent="0.25">
      <c r="A5338" s="644" t="s">
        <v>7853</v>
      </c>
      <c r="B5338" s="645" t="s">
        <v>6009</v>
      </c>
      <c r="C5338" s="643" t="s">
        <v>5854</v>
      </c>
      <c r="D5338" s="643" t="s">
        <v>8162</v>
      </c>
      <c r="E5338" s="656"/>
      <c r="F5338" s="657" t="str">
        <f>IF($O5338&lt;&gt;"",ROUND(Q5338,2),"")</f>
        <v/>
      </c>
      <c r="G5338" s="657" t="str">
        <f>IF($O5338&lt;&gt;"",ROUND(P5338,2),"")</f>
        <v/>
      </c>
      <c r="H5338" s="656" t="str">
        <f>IF(ISNUMBER(G5338),ROUND(0.8*G5338,2),"")</f>
        <v/>
      </c>
      <c r="I5338" s="701"/>
      <c r="J5338" s="669">
        <v>44896</v>
      </c>
      <c r="K5338" s="769"/>
      <c r="N5338" s="333"/>
      <c r="O5338" s="395"/>
      <c r="P5338" s="569" t="str">
        <f>IF($O5338&lt;&gt;"",#REF!*(100%-$O5338),"")</f>
        <v/>
      </c>
      <c r="Q5338" s="327" t="str">
        <f>IF($O5338&lt;&gt;"",(1-$O5338)*#REF!,"")</f>
        <v/>
      </c>
      <c r="R5338" s="327"/>
    </row>
    <row r="5339" spans="1:29" s="774" customFormat="1" x14ac:dyDescent="0.25">
      <c r="D5339" s="130"/>
      <c r="F5339" s="471"/>
      <c r="G5339" s="769"/>
      <c r="H5339" s="769"/>
      <c r="I5339" s="691"/>
      <c r="J5339" s="669"/>
      <c r="K5339" s="769"/>
    </row>
    <row r="5340" spans="1:29" s="238" customFormat="1" ht="33.75" customHeight="1" x14ac:dyDescent="0.25">
      <c r="A5340" s="663" t="s">
        <v>8163</v>
      </c>
      <c r="B5340" s="605"/>
      <c r="C5340" s="605"/>
      <c r="D5340" s="605"/>
      <c r="E5340" s="605"/>
      <c r="F5340" s="606"/>
      <c r="G5340" s="605"/>
      <c r="H5340" s="664" t="str">
        <f>IF(ISNUMBER(G5340),ROUND(0.8*G5340,2),"")</f>
        <v/>
      </c>
      <c r="I5340" s="729"/>
      <c r="J5340" s="669">
        <v>44536</v>
      </c>
      <c r="K5340" s="667"/>
      <c r="M5340" s="259"/>
      <c r="N5340" s="259"/>
      <c r="O5340" s="259"/>
      <c r="P5340" s="259"/>
      <c r="Q5340" s="259"/>
      <c r="R5340" s="259"/>
      <c r="S5340" s="259"/>
      <c r="T5340" s="259"/>
      <c r="U5340" s="259"/>
      <c r="V5340" s="259"/>
      <c r="W5340" s="259"/>
      <c r="X5340" s="259"/>
      <c r="Y5340" s="259"/>
      <c r="Z5340" s="259"/>
      <c r="AA5340" s="259"/>
      <c r="AB5340" s="259"/>
      <c r="AC5340" s="259"/>
    </row>
    <row r="5341" spans="1:29" s="774" customFormat="1" ht="96" customHeight="1" x14ac:dyDescent="0.25">
      <c r="A5341" s="1129" t="s">
        <v>8165</v>
      </c>
      <c r="B5341" s="1129"/>
      <c r="C5341" s="1129"/>
      <c r="D5341" s="1129"/>
      <c r="E5341" s="1129"/>
      <c r="F5341" s="1129"/>
      <c r="G5341" s="665"/>
      <c r="H5341" s="666"/>
      <c r="I5341" s="730"/>
      <c r="J5341" s="669">
        <v>44536</v>
      </c>
      <c r="K5341" s="769"/>
      <c r="M5341" s="238"/>
      <c r="N5341" s="238"/>
      <c r="O5341" s="238"/>
      <c r="P5341" s="238"/>
      <c r="Q5341" s="238"/>
      <c r="R5341" s="238"/>
      <c r="S5341" s="238"/>
      <c r="T5341" s="238"/>
      <c r="U5341" s="238"/>
      <c r="V5341" s="238"/>
      <c r="W5341" s="238"/>
      <c r="X5341" s="238"/>
      <c r="Y5341" s="238"/>
      <c r="Z5341" s="238"/>
      <c r="AA5341" s="238"/>
      <c r="AB5341" s="238"/>
      <c r="AC5341" s="238"/>
    </row>
    <row r="5342" spans="1:29" s="774" customFormat="1" x14ac:dyDescent="0.25">
      <c r="D5342" s="130"/>
      <c r="F5342" s="471"/>
      <c r="G5342" s="769"/>
      <c r="H5342" s="769"/>
      <c r="I5342" s="691"/>
      <c r="J5342" s="669"/>
    </row>
    <row r="5343" spans="1:29" s="774" customFormat="1" x14ac:dyDescent="0.25">
      <c r="A5343" s="644" t="s">
        <v>7743</v>
      </c>
      <c r="B5343" s="645" t="s">
        <v>5435</v>
      </c>
      <c r="C5343" s="643" t="s">
        <v>7744</v>
      </c>
      <c r="D5343" s="643" t="s">
        <v>8164</v>
      </c>
      <c r="E5343" s="656"/>
      <c r="F5343" s="657" t="str">
        <f>IF($O5343&lt;&gt;"",ROUND(Q5343,2),"")</f>
        <v/>
      </c>
      <c r="G5343" s="657" t="str">
        <f>IF($O5343&lt;&gt;"",ROUND(P5343,2),"")</f>
        <v/>
      </c>
      <c r="H5343" s="656" t="str">
        <f>IF(ISNUMBER(G5343),ROUND(0.8*G5343,2),"")</f>
        <v/>
      </c>
      <c r="I5343" s="701"/>
      <c r="J5343" s="669">
        <v>44896</v>
      </c>
      <c r="K5343" s="769"/>
      <c r="N5343" s="333"/>
      <c r="O5343" s="395"/>
      <c r="P5343" s="569" t="str">
        <f>IF($O5343&lt;&gt;"",#REF!*(100%-$O5343),"")</f>
        <v/>
      </c>
      <c r="Q5343" s="327" t="str">
        <f>IF($O5343&lt;&gt;"",(1-$O5343)*#REF!,"")</f>
        <v/>
      </c>
      <c r="R5343" s="327"/>
    </row>
    <row r="5344" spans="1:29" s="774" customFormat="1" x14ac:dyDescent="0.25">
      <c r="D5344" s="751"/>
      <c r="F5344" s="471"/>
      <c r="G5344" s="769"/>
      <c r="H5344" s="769"/>
      <c r="I5344" s="691"/>
      <c r="J5344" s="669"/>
    </row>
    <row r="5345" spans="1:29" s="774" customFormat="1" ht="23.25" x14ac:dyDescent="0.25">
      <c r="A5345" s="663" t="s">
        <v>7481</v>
      </c>
      <c r="B5345" s="605"/>
      <c r="C5345" s="605"/>
      <c r="D5345" s="605"/>
      <c r="E5345" s="605"/>
      <c r="F5345" s="606"/>
      <c r="G5345" s="605"/>
      <c r="H5345" s="664" t="str">
        <f>IF(ISNUMBER(G5345),ROUND(0.8*G5345,2),"")</f>
        <v/>
      </c>
      <c r="I5345" s="729"/>
      <c r="J5345" s="669">
        <v>44477</v>
      </c>
      <c r="K5345" s="769"/>
    </row>
    <row r="5346" spans="1:29" s="774" customFormat="1" ht="150.75" customHeight="1" x14ac:dyDescent="0.25">
      <c r="A5346" s="1151" t="s">
        <v>8167</v>
      </c>
      <c r="B5346" s="1151"/>
      <c r="C5346" s="1151"/>
      <c r="D5346" s="1151"/>
      <c r="E5346" s="1151"/>
      <c r="F5346" s="1151"/>
      <c r="G5346" s="605"/>
      <c r="H5346" s="664"/>
      <c r="I5346" s="729"/>
      <c r="J5346" s="669"/>
      <c r="K5346" s="769"/>
    </row>
    <row r="5347" spans="1:29" s="774" customFormat="1" x14ac:dyDescent="0.25">
      <c r="D5347" s="130"/>
      <c r="F5347" s="471"/>
      <c r="G5347" s="769"/>
      <c r="H5347" s="769"/>
      <c r="I5347" s="691"/>
      <c r="J5347" s="669"/>
      <c r="K5347" s="769"/>
    </row>
    <row r="5348" spans="1:29" s="774" customFormat="1" x14ac:dyDescent="0.25">
      <c r="A5348" s="644" t="s">
        <v>7546</v>
      </c>
      <c r="B5348" s="645" t="s">
        <v>6009</v>
      </c>
      <c r="C5348" s="643" t="s">
        <v>7482</v>
      </c>
      <c r="D5348" s="643" t="s">
        <v>8166</v>
      </c>
      <c r="E5348" s="656"/>
      <c r="F5348" s="657" t="str">
        <f>IF($O5348&lt;&gt;"",ROUND(Q5348,2),"")</f>
        <v/>
      </c>
      <c r="G5348" s="657" t="str">
        <f>IF($O5348&lt;&gt;"",ROUND(P5348,2),"")</f>
        <v/>
      </c>
      <c r="H5348" s="656" t="str">
        <f>IF(ISNUMBER(G5348),ROUND(0.8*G5348,2),"")</f>
        <v/>
      </c>
      <c r="I5348" s="701"/>
      <c r="J5348" s="669">
        <v>44896</v>
      </c>
      <c r="K5348" s="769"/>
    </row>
    <row r="5349" spans="1:29" s="774" customFormat="1" x14ac:dyDescent="0.25">
      <c r="A5349" s="644" t="s">
        <v>7547</v>
      </c>
      <c r="B5349" s="645" t="s">
        <v>740</v>
      </c>
      <c r="C5349" s="643"/>
      <c r="D5349" s="643" t="s">
        <v>8166</v>
      </c>
      <c r="E5349" s="656"/>
      <c r="F5349" s="657" t="str">
        <f>IF($O5349&lt;&gt;"",ROUND(Q5349,2),"")</f>
        <v/>
      </c>
      <c r="G5349" s="657" t="str">
        <f>IF($O5349&lt;&gt;"",ROUND(P5349,2),"")</f>
        <v/>
      </c>
      <c r="H5349" s="656" t="str">
        <f>IF(ISNUMBER(G5349),ROUND(0.8*G5349,2),"")</f>
        <v/>
      </c>
      <c r="I5349" s="701"/>
      <c r="J5349" s="669">
        <v>44896</v>
      </c>
      <c r="K5349" s="769"/>
    </row>
    <row r="5350" spans="1:29" s="774" customFormat="1" x14ac:dyDescent="0.25">
      <c r="J5350" s="669"/>
    </row>
    <row r="5351" spans="1:29" s="774" customFormat="1" ht="23.25" x14ac:dyDescent="0.25">
      <c r="A5351" s="806" t="s">
        <v>8168</v>
      </c>
      <c r="B5351" s="775"/>
      <c r="C5351" s="775"/>
      <c r="D5351" s="775"/>
      <c r="E5351" s="775"/>
      <c r="F5351" s="443"/>
      <c r="G5351" s="775"/>
      <c r="H5351" s="74"/>
      <c r="I5351" s="693"/>
      <c r="J5351" s="669">
        <v>44196</v>
      </c>
    </row>
    <row r="5352" spans="1:29" s="238" customFormat="1" ht="28.5" customHeight="1" x14ac:dyDescent="0.25">
      <c r="A5352" s="1164" t="s">
        <v>8169</v>
      </c>
      <c r="B5352" s="1164"/>
      <c r="C5352" s="1164"/>
      <c r="D5352" s="1164"/>
      <c r="E5352" s="1164"/>
      <c r="F5352" s="1164"/>
      <c r="G5352" s="1164"/>
      <c r="H5352" s="1164"/>
      <c r="I5352" s="734"/>
      <c r="J5352" s="669">
        <v>44196</v>
      </c>
      <c r="M5352" s="774"/>
      <c r="N5352" s="774"/>
      <c r="U5352" s="774"/>
      <c r="V5352" s="774"/>
      <c r="W5352" s="774"/>
      <c r="X5352" s="774"/>
      <c r="Y5352" s="774"/>
      <c r="Z5352" s="774"/>
      <c r="AA5352" s="774"/>
      <c r="AB5352" s="774"/>
      <c r="AC5352" s="774"/>
    </row>
    <row r="5353" spans="1:29" s="238" customFormat="1" ht="38.1" customHeight="1" x14ac:dyDescent="0.25">
      <c r="A5353" s="1149" t="s">
        <v>8170</v>
      </c>
      <c r="B5353" s="1149"/>
      <c r="C5353" s="1149"/>
      <c r="D5353" s="1149"/>
      <c r="E5353" s="1149"/>
      <c r="F5353" s="1149"/>
      <c r="G5353" s="1149"/>
      <c r="H5353" s="1149"/>
      <c r="I5353" s="734"/>
      <c r="J5353" s="669">
        <v>44477</v>
      </c>
      <c r="M5353" s="774"/>
      <c r="N5353" s="774"/>
      <c r="U5353" s="774"/>
      <c r="V5353" s="774"/>
      <c r="W5353" s="774"/>
      <c r="X5353" s="774"/>
      <c r="Y5353" s="774"/>
      <c r="Z5353" s="774"/>
      <c r="AA5353" s="774"/>
      <c r="AB5353" s="774"/>
      <c r="AC5353" s="774"/>
    </row>
    <row r="5354" spans="1:29" s="238" customFormat="1" x14ac:dyDescent="0.25">
      <c r="A5354" s="794" t="s">
        <v>8171</v>
      </c>
      <c r="B5354" s="794"/>
      <c r="C5354" s="794"/>
      <c r="D5354" s="794"/>
      <c r="E5354" s="794"/>
      <c r="F5354" s="794"/>
      <c r="G5354" s="433"/>
      <c r="H5354" s="506"/>
      <c r="I5354" s="734"/>
      <c r="J5354" s="669">
        <v>44196</v>
      </c>
      <c r="M5354" s="774"/>
      <c r="N5354" s="774"/>
      <c r="U5354" s="774"/>
      <c r="V5354" s="774"/>
      <c r="W5354" s="774"/>
      <c r="X5354" s="774"/>
      <c r="Y5354" s="774"/>
      <c r="Z5354" s="774"/>
      <c r="AA5354" s="774"/>
      <c r="AB5354" s="774"/>
      <c r="AC5354" s="774"/>
    </row>
    <row r="5355" spans="1:29" s="238" customFormat="1" ht="30.75" customHeight="1" x14ac:dyDescent="0.25">
      <c r="A5355" s="1164" t="s">
        <v>7841</v>
      </c>
      <c r="B5355" s="1164"/>
      <c r="C5355" s="1164"/>
      <c r="D5355" s="1164"/>
      <c r="E5355" s="1164"/>
      <c r="F5355" s="1164"/>
      <c r="G5355" s="1164"/>
      <c r="H5355" s="1164"/>
      <c r="I5355" s="734"/>
      <c r="J5355" s="669">
        <v>44196</v>
      </c>
      <c r="M5355" s="774"/>
      <c r="N5355" s="774"/>
      <c r="U5355" s="774"/>
      <c r="V5355" s="774"/>
      <c r="W5355" s="774"/>
      <c r="X5355" s="774"/>
      <c r="Y5355" s="774"/>
      <c r="Z5355" s="774"/>
      <c r="AA5355" s="774"/>
      <c r="AB5355" s="774"/>
      <c r="AC5355" s="774"/>
    </row>
    <row r="5356" spans="1:29" s="774" customFormat="1" x14ac:dyDescent="0.25">
      <c r="J5356" s="669"/>
    </row>
    <row r="5357" spans="1:29" s="774" customFormat="1" x14ac:dyDescent="0.25">
      <c r="A5357" s="644" t="s">
        <v>6698</v>
      </c>
      <c r="B5357" s="645" t="s">
        <v>2269</v>
      </c>
      <c r="C5357" s="643"/>
      <c r="D5357" s="643" t="s">
        <v>6704</v>
      </c>
      <c r="E5357" s="656"/>
      <c r="F5357" s="657"/>
      <c r="G5357" s="657"/>
      <c r="H5357" s="656"/>
      <c r="I5357" s="701"/>
      <c r="J5357" s="669">
        <v>44196</v>
      </c>
      <c r="K5357" s="129"/>
      <c r="N5357" s="333"/>
      <c r="O5357" s="395"/>
      <c r="P5357" s="569"/>
      <c r="Q5357" s="327"/>
      <c r="R5357" s="327"/>
    </row>
    <row r="5358" spans="1:29" s="774" customFormat="1" x14ac:dyDescent="0.25">
      <c r="A5358" s="644" t="s">
        <v>6699</v>
      </c>
      <c r="B5358" s="645" t="s">
        <v>5548</v>
      </c>
      <c r="C5358" s="643"/>
      <c r="D5358" s="643" t="s">
        <v>6704</v>
      </c>
      <c r="E5358" s="656"/>
      <c r="F5358" s="657"/>
      <c r="G5358" s="657"/>
      <c r="H5358" s="656"/>
      <c r="I5358" s="701"/>
      <c r="J5358" s="669">
        <v>44196</v>
      </c>
      <c r="K5358" s="129"/>
      <c r="N5358" s="333"/>
      <c r="O5358" s="395"/>
      <c r="P5358" s="569"/>
      <c r="Q5358" s="327"/>
      <c r="R5358" s="327"/>
    </row>
    <row r="5359" spans="1:29" s="774" customFormat="1" x14ac:dyDescent="0.25">
      <c r="A5359" s="644" t="s">
        <v>6703</v>
      </c>
      <c r="B5359" s="645" t="s">
        <v>4847</v>
      </c>
      <c r="C5359" s="643"/>
      <c r="D5359" s="643" t="s">
        <v>6704</v>
      </c>
      <c r="E5359" s="656"/>
      <c r="F5359" s="657"/>
      <c r="G5359" s="657"/>
      <c r="H5359" s="656"/>
      <c r="I5359" s="701"/>
      <c r="J5359" s="669">
        <v>44196</v>
      </c>
      <c r="K5359" s="129"/>
      <c r="N5359" s="333"/>
      <c r="O5359" s="395"/>
      <c r="P5359" s="569"/>
      <c r="Q5359" s="327"/>
      <c r="R5359" s="327"/>
    </row>
    <row r="5360" spans="1:29" s="774" customFormat="1" x14ac:dyDescent="0.25">
      <c r="A5360" s="644" t="s">
        <v>6700</v>
      </c>
      <c r="B5360" s="645" t="s">
        <v>2034</v>
      </c>
      <c r="C5360" s="643"/>
      <c r="D5360" s="643" t="s">
        <v>6704</v>
      </c>
      <c r="E5360" s="656"/>
      <c r="F5360" s="657"/>
      <c r="G5360" s="657"/>
      <c r="H5360" s="656"/>
      <c r="I5360" s="701"/>
      <c r="J5360" s="669">
        <v>44196</v>
      </c>
      <c r="K5360" s="129"/>
      <c r="N5360" s="333"/>
      <c r="O5360" s="395"/>
      <c r="P5360" s="569"/>
      <c r="Q5360" s="327"/>
      <c r="R5360" s="327"/>
    </row>
    <row r="5361" spans="1:29" s="774" customFormat="1" x14ac:dyDescent="0.25">
      <c r="A5361" s="644" t="s">
        <v>6701</v>
      </c>
      <c r="B5361" s="645" t="s">
        <v>740</v>
      </c>
      <c r="C5361" s="643"/>
      <c r="D5361" s="643" t="s">
        <v>6704</v>
      </c>
      <c r="E5361" s="656"/>
      <c r="F5361" s="657"/>
      <c r="G5361" s="657"/>
      <c r="H5361" s="656"/>
      <c r="I5361" s="701"/>
      <c r="J5361" s="669">
        <v>44196</v>
      </c>
      <c r="K5361" s="129"/>
      <c r="N5361" s="333"/>
      <c r="O5361" s="395"/>
      <c r="P5361" s="569"/>
      <c r="Q5361" s="327"/>
      <c r="R5361" s="327"/>
    </row>
    <row r="5362" spans="1:29" s="774" customFormat="1" x14ac:dyDescent="0.25">
      <c r="J5362" s="669"/>
    </row>
    <row r="5363" spans="1:29" s="774" customFormat="1" x14ac:dyDescent="0.25">
      <c r="A5363" s="644" t="s">
        <v>7436</v>
      </c>
      <c r="B5363" s="645" t="s">
        <v>2269</v>
      </c>
      <c r="C5363" s="643"/>
      <c r="D5363" s="643" t="s">
        <v>7442</v>
      </c>
      <c r="E5363" s="656"/>
      <c r="F5363" s="657"/>
      <c r="G5363" s="657"/>
      <c r="H5363" s="656"/>
      <c r="I5363" s="701"/>
      <c r="J5363" s="669">
        <v>44196</v>
      </c>
      <c r="K5363" s="129"/>
      <c r="N5363" s="333"/>
      <c r="O5363" s="395"/>
      <c r="P5363" s="569"/>
      <c r="Q5363" s="327"/>
      <c r="R5363" s="327"/>
    </row>
    <row r="5364" spans="1:29" s="774" customFormat="1" x14ac:dyDescent="0.25">
      <c r="A5364" s="644" t="s">
        <v>7437</v>
      </c>
      <c r="B5364" s="645" t="s">
        <v>5548</v>
      </c>
      <c r="C5364" s="643"/>
      <c r="D5364" s="643" t="s">
        <v>7442</v>
      </c>
      <c r="E5364" s="656"/>
      <c r="F5364" s="657"/>
      <c r="G5364" s="657"/>
      <c r="H5364" s="656"/>
      <c r="I5364" s="701"/>
      <c r="J5364" s="669">
        <v>44196</v>
      </c>
      <c r="K5364" s="129"/>
      <c r="N5364" s="333"/>
      <c r="O5364" s="395"/>
      <c r="P5364" s="569"/>
      <c r="Q5364" s="327"/>
      <c r="R5364" s="327"/>
    </row>
    <row r="5365" spans="1:29" s="774" customFormat="1" x14ac:dyDescent="0.25">
      <c r="A5365" s="644" t="s">
        <v>7438</v>
      </c>
      <c r="B5365" s="645" t="s">
        <v>4847</v>
      </c>
      <c r="C5365" s="643"/>
      <c r="D5365" s="643" t="s">
        <v>7442</v>
      </c>
      <c r="E5365" s="656"/>
      <c r="F5365" s="657"/>
      <c r="G5365" s="657"/>
      <c r="H5365" s="656"/>
      <c r="I5365" s="701"/>
      <c r="J5365" s="669">
        <v>44196</v>
      </c>
      <c r="K5365" s="129"/>
      <c r="N5365" s="333"/>
      <c r="O5365" s="395"/>
      <c r="P5365" s="569"/>
      <c r="Q5365" s="327"/>
      <c r="R5365" s="327"/>
    </row>
    <row r="5366" spans="1:29" s="774" customFormat="1" x14ac:dyDescent="0.25">
      <c r="A5366" s="644" t="s">
        <v>7439</v>
      </c>
      <c r="B5366" s="645" t="s">
        <v>2034</v>
      </c>
      <c r="C5366" s="643"/>
      <c r="D5366" s="643" t="s">
        <v>7442</v>
      </c>
      <c r="E5366" s="656"/>
      <c r="F5366" s="657"/>
      <c r="G5366" s="657"/>
      <c r="H5366" s="656"/>
      <c r="I5366" s="701"/>
      <c r="J5366" s="669">
        <v>44196</v>
      </c>
      <c r="K5366" s="129"/>
      <c r="N5366" s="333"/>
      <c r="O5366" s="395"/>
      <c r="P5366" s="569"/>
      <c r="Q5366" s="327"/>
      <c r="R5366" s="327"/>
    </row>
    <row r="5367" spans="1:29" s="774" customFormat="1" x14ac:dyDescent="0.25">
      <c r="A5367" s="644" t="s">
        <v>7441</v>
      </c>
      <c r="B5367" s="645" t="s">
        <v>740</v>
      </c>
      <c r="C5367" s="643"/>
      <c r="D5367" s="643" t="s">
        <v>7442</v>
      </c>
      <c r="E5367" s="656"/>
      <c r="F5367" s="657"/>
      <c r="G5367" s="657"/>
      <c r="H5367" s="656"/>
      <c r="I5367" s="701"/>
      <c r="J5367" s="669">
        <v>44196</v>
      </c>
      <c r="K5367" s="129"/>
      <c r="N5367" s="333"/>
      <c r="O5367" s="395"/>
      <c r="P5367" s="569"/>
      <c r="Q5367" s="327"/>
      <c r="R5367" s="327"/>
    </row>
    <row r="5368" spans="1:29" s="774" customFormat="1" ht="15" customHeight="1" x14ac:dyDescent="0.25">
      <c r="J5368" s="669"/>
    </row>
    <row r="5369" spans="1:29" s="774" customFormat="1" ht="23.25" x14ac:dyDescent="0.25">
      <c r="A5369" s="806" t="s">
        <v>7717</v>
      </c>
      <c r="B5369" s="775"/>
      <c r="C5369" s="775"/>
      <c r="D5369" s="775"/>
      <c r="E5369" s="775"/>
      <c r="F5369" s="944"/>
      <c r="G5369" s="775"/>
      <c r="H5369" s="74"/>
      <c r="I5369" s="693"/>
      <c r="J5369" s="669">
        <v>44536</v>
      </c>
    </row>
    <row r="5370" spans="1:29" s="238" customFormat="1" ht="39.75" customHeight="1" x14ac:dyDescent="0.25">
      <c r="A5370" s="1173" t="s">
        <v>7718</v>
      </c>
      <c r="B5370" s="1173"/>
      <c r="C5370" s="1173"/>
      <c r="D5370" s="1173"/>
      <c r="E5370" s="1173"/>
      <c r="F5370" s="1173"/>
      <c r="G5370" s="945"/>
      <c r="H5370" s="946"/>
      <c r="I5370" s="947"/>
      <c r="J5370" s="669">
        <v>44536</v>
      </c>
      <c r="M5370" s="774"/>
      <c r="N5370" s="774"/>
      <c r="U5370" s="774"/>
      <c r="V5370" s="774"/>
      <c r="W5370" s="774"/>
      <c r="X5370" s="774"/>
      <c r="Y5370" s="774"/>
      <c r="Z5370" s="774"/>
      <c r="AA5370" s="774"/>
      <c r="AB5370" s="774"/>
      <c r="AC5370" s="774"/>
    </row>
    <row r="5371" spans="1:29" s="238" customFormat="1" ht="60" customHeight="1" x14ac:dyDescent="0.25">
      <c r="A5371" s="1173" t="s">
        <v>7719</v>
      </c>
      <c r="B5371" s="1173"/>
      <c r="C5371" s="1173"/>
      <c r="D5371" s="1173"/>
      <c r="E5371" s="1173"/>
      <c r="F5371" s="1173"/>
      <c r="G5371" s="945"/>
      <c r="H5371" s="946"/>
      <c r="I5371" s="947"/>
      <c r="J5371" s="669">
        <v>44536</v>
      </c>
      <c r="M5371" s="774"/>
      <c r="N5371" s="774"/>
      <c r="U5371" s="774"/>
      <c r="V5371" s="774"/>
      <c r="W5371" s="774"/>
      <c r="X5371" s="774"/>
      <c r="Y5371" s="774"/>
      <c r="Z5371" s="774"/>
      <c r="AA5371" s="774"/>
      <c r="AB5371" s="774"/>
      <c r="AC5371" s="774"/>
    </row>
    <row r="5372" spans="1:29" s="774" customFormat="1" x14ac:dyDescent="0.25">
      <c r="D5372" s="943"/>
      <c r="F5372" s="832"/>
      <c r="G5372" s="769"/>
      <c r="H5372" s="769"/>
      <c r="I5372" s="691"/>
      <c r="J5372" s="669"/>
    </row>
    <row r="5373" spans="1:29" s="774" customFormat="1" x14ac:dyDescent="0.25">
      <c r="A5373" s="807" t="s">
        <v>7720</v>
      </c>
      <c r="B5373" s="645" t="s">
        <v>5548</v>
      </c>
      <c r="C5373" s="645" t="s">
        <v>2270</v>
      </c>
      <c r="D5373" s="645" t="s">
        <v>7721</v>
      </c>
      <c r="E5373" s="656"/>
      <c r="F5373" s="657"/>
      <c r="G5373" s="657"/>
      <c r="H5373" s="656"/>
      <c r="I5373" s="701"/>
      <c r="J5373" s="669">
        <v>44536</v>
      </c>
      <c r="K5373" s="872"/>
      <c r="N5373" s="333"/>
      <c r="O5373" s="395"/>
      <c r="P5373" s="948"/>
      <c r="Q5373" s="871"/>
      <c r="R5373" s="871"/>
    </row>
    <row r="5374" spans="1:29" s="774" customFormat="1" x14ac:dyDescent="0.25">
      <c r="A5374" s="807" t="s">
        <v>7722</v>
      </c>
      <c r="B5374" s="645" t="s">
        <v>5548</v>
      </c>
      <c r="C5374" s="645" t="s">
        <v>2270</v>
      </c>
      <c r="D5374" s="645" t="s">
        <v>7723</v>
      </c>
      <c r="E5374" s="656"/>
      <c r="F5374" s="657"/>
      <c r="G5374" s="657"/>
      <c r="H5374" s="656"/>
      <c r="I5374" s="701"/>
      <c r="J5374" s="669">
        <v>44536</v>
      </c>
      <c r="K5374" s="872"/>
      <c r="N5374" s="333"/>
      <c r="O5374" s="395"/>
      <c r="P5374" s="948"/>
      <c r="Q5374" s="871"/>
      <c r="R5374" s="871"/>
    </row>
    <row r="5375" spans="1:29" x14ac:dyDescent="0.25">
      <c r="D5375" s="751"/>
      <c r="J5375" s="669"/>
    </row>
    <row r="5376" spans="1:29" ht="23.25" x14ac:dyDescent="0.25">
      <c r="A5376" s="604" t="s">
        <v>2849</v>
      </c>
      <c r="B5376" s="65"/>
      <c r="C5376" s="65"/>
      <c r="D5376" s="65"/>
      <c r="E5376" s="65"/>
      <c r="F5376" s="443"/>
      <c r="G5376" s="65"/>
      <c r="H5376" s="74" t="str">
        <f t="shared" ref="H5376:H5439" si="1912">IF(ISNUMBER(G5376),ROUND(0.8*G5376,2),"")</f>
        <v/>
      </c>
      <c r="I5376" s="693"/>
      <c r="J5376" s="669" t="s">
        <v>5805</v>
      </c>
    </row>
    <row r="5377" spans="1:10" x14ac:dyDescent="0.25">
      <c r="A5377" s="608" t="s">
        <v>820</v>
      </c>
      <c r="B5377" s="2" t="s">
        <v>2269</v>
      </c>
      <c r="C5377" s="1"/>
      <c r="D5377" s="2" t="s">
        <v>821</v>
      </c>
      <c r="E5377" s="1"/>
      <c r="F5377" s="442"/>
      <c r="G5377" s="13"/>
      <c r="H5377" s="13" t="str">
        <f t="shared" si="1912"/>
        <v/>
      </c>
      <c r="I5377" s="692"/>
      <c r="J5377" s="669" t="s">
        <v>5805</v>
      </c>
    </row>
    <row r="5378" spans="1:10" x14ac:dyDescent="0.25">
      <c r="A5378" s="608" t="s">
        <v>822</v>
      </c>
      <c r="B5378" s="2" t="s">
        <v>2269</v>
      </c>
      <c r="C5378" s="1"/>
      <c r="D5378" s="2" t="s">
        <v>823</v>
      </c>
      <c r="E5378" s="1"/>
      <c r="F5378" s="442"/>
      <c r="G5378" s="13"/>
      <c r="H5378" s="13" t="str">
        <f t="shared" si="1912"/>
        <v/>
      </c>
      <c r="I5378" s="692"/>
      <c r="J5378" s="669" t="s">
        <v>5805</v>
      </c>
    </row>
    <row r="5379" spans="1:10" x14ac:dyDescent="0.25">
      <c r="A5379" s="608" t="s">
        <v>907</v>
      </c>
      <c r="B5379" s="2" t="s">
        <v>2269</v>
      </c>
      <c r="C5379" s="1"/>
      <c r="D5379" s="2" t="s">
        <v>908</v>
      </c>
      <c r="E5379" s="1"/>
      <c r="F5379" s="442"/>
      <c r="G5379" s="13"/>
      <c r="H5379" s="13" t="str">
        <f t="shared" si="1912"/>
        <v/>
      </c>
      <c r="I5379" s="692"/>
      <c r="J5379" s="669" t="s">
        <v>5805</v>
      </c>
    </row>
    <row r="5380" spans="1:10" x14ac:dyDescent="0.25">
      <c r="A5380" s="608" t="s">
        <v>909</v>
      </c>
      <c r="B5380" s="2" t="s">
        <v>2269</v>
      </c>
      <c r="C5380" s="1"/>
      <c r="D5380" s="2" t="s">
        <v>910</v>
      </c>
      <c r="E5380" s="1"/>
      <c r="F5380" s="442"/>
      <c r="G5380" s="13"/>
      <c r="H5380" s="13" t="str">
        <f t="shared" si="1912"/>
        <v/>
      </c>
      <c r="I5380" s="692"/>
      <c r="J5380" s="669" t="s">
        <v>5805</v>
      </c>
    </row>
    <row r="5381" spans="1:10" x14ac:dyDescent="0.25">
      <c r="A5381" s="608" t="s">
        <v>911</v>
      </c>
      <c r="B5381" s="2" t="s">
        <v>2269</v>
      </c>
      <c r="C5381" s="1"/>
      <c r="D5381" s="2" t="s">
        <v>912</v>
      </c>
      <c r="E5381" s="1"/>
      <c r="F5381" s="442"/>
      <c r="G5381" s="13"/>
      <c r="H5381" s="13" t="str">
        <f t="shared" si="1912"/>
        <v/>
      </c>
      <c r="I5381" s="692"/>
      <c r="J5381" s="669" t="s">
        <v>5805</v>
      </c>
    </row>
    <row r="5382" spans="1:10" x14ac:dyDescent="0.25">
      <c r="A5382" s="608" t="s">
        <v>913</v>
      </c>
      <c r="B5382" s="2" t="s">
        <v>2269</v>
      </c>
      <c r="C5382" s="1"/>
      <c r="D5382" s="2" t="s">
        <v>914</v>
      </c>
      <c r="E5382" s="1"/>
      <c r="F5382" s="442"/>
      <c r="G5382" s="13"/>
      <c r="H5382" s="13" t="str">
        <f t="shared" si="1912"/>
        <v/>
      </c>
      <c r="I5382" s="692"/>
      <c r="J5382" s="669" t="s">
        <v>5805</v>
      </c>
    </row>
    <row r="5383" spans="1:10" x14ac:dyDescent="0.25">
      <c r="A5383" s="608" t="s">
        <v>915</v>
      </c>
      <c r="B5383" s="2" t="s">
        <v>2269</v>
      </c>
      <c r="C5383" s="1"/>
      <c r="D5383" s="2" t="s">
        <v>916</v>
      </c>
      <c r="E5383" s="1"/>
      <c r="F5383" s="442"/>
      <c r="G5383" s="13"/>
      <c r="H5383" s="13" t="str">
        <f t="shared" si="1912"/>
        <v/>
      </c>
      <c r="I5383" s="692"/>
      <c r="J5383" s="669" t="s">
        <v>5805</v>
      </c>
    </row>
    <row r="5384" spans="1:10" x14ac:dyDescent="0.25">
      <c r="A5384" s="609"/>
      <c r="B5384" s="1"/>
      <c r="C5384" s="1"/>
      <c r="D5384" s="1"/>
      <c r="E5384" s="1"/>
      <c r="F5384" s="442"/>
      <c r="G5384" s="13"/>
      <c r="H5384" s="13" t="str">
        <f t="shared" si="1912"/>
        <v/>
      </c>
      <c r="I5384" s="692"/>
      <c r="J5384" s="669" t="s">
        <v>4180</v>
      </c>
    </row>
    <row r="5385" spans="1:10" x14ac:dyDescent="0.25">
      <c r="A5385" s="608" t="s">
        <v>917</v>
      </c>
      <c r="B5385" s="2" t="s">
        <v>5548</v>
      </c>
      <c r="C5385" s="1"/>
      <c r="D5385" s="2" t="s">
        <v>821</v>
      </c>
      <c r="E5385" s="1"/>
      <c r="F5385" s="442"/>
      <c r="G5385" s="13"/>
      <c r="H5385" s="13" t="str">
        <f t="shared" si="1912"/>
        <v/>
      </c>
      <c r="I5385" s="692"/>
      <c r="J5385" s="669" t="s">
        <v>5805</v>
      </c>
    </row>
    <row r="5386" spans="1:10" x14ac:dyDescent="0.25">
      <c r="A5386" s="608" t="s">
        <v>918</v>
      </c>
      <c r="B5386" s="2" t="s">
        <v>5548</v>
      </c>
      <c r="C5386" s="1"/>
      <c r="D5386" s="2" t="s">
        <v>823</v>
      </c>
      <c r="E5386" s="1"/>
      <c r="F5386" s="442"/>
      <c r="G5386" s="13"/>
      <c r="H5386" s="13" t="str">
        <f t="shared" si="1912"/>
        <v/>
      </c>
      <c r="I5386" s="692"/>
      <c r="J5386" s="669" t="s">
        <v>5805</v>
      </c>
    </row>
    <row r="5387" spans="1:10" x14ac:dyDescent="0.25">
      <c r="A5387" s="608" t="s">
        <v>919</v>
      </c>
      <c r="B5387" s="2" t="s">
        <v>5548</v>
      </c>
      <c r="C5387" s="1"/>
      <c r="D5387" s="2" t="s">
        <v>908</v>
      </c>
      <c r="E5387" s="1"/>
      <c r="F5387" s="442"/>
      <c r="G5387" s="13"/>
      <c r="H5387" s="13" t="str">
        <f t="shared" si="1912"/>
        <v/>
      </c>
      <c r="I5387" s="692"/>
      <c r="J5387" s="669" t="s">
        <v>5805</v>
      </c>
    </row>
    <row r="5388" spans="1:10" x14ac:dyDescent="0.25">
      <c r="A5388" s="608" t="s">
        <v>920</v>
      </c>
      <c r="B5388" s="2" t="s">
        <v>5548</v>
      </c>
      <c r="C5388" s="1"/>
      <c r="D5388" s="2" t="s">
        <v>910</v>
      </c>
      <c r="E5388" s="1"/>
      <c r="F5388" s="442"/>
      <c r="G5388" s="13"/>
      <c r="H5388" s="13" t="str">
        <f t="shared" si="1912"/>
        <v/>
      </c>
      <c r="I5388" s="692"/>
      <c r="J5388" s="669" t="s">
        <v>5805</v>
      </c>
    </row>
    <row r="5389" spans="1:10" x14ac:dyDescent="0.25">
      <c r="A5389" s="608" t="s">
        <v>921</v>
      </c>
      <c r="B5389" s="2" t="s">
        <v>5548</v>
      </c>
      <c r="C5389" s="1"/>
      <c r="D5389" s="2" t="s">
        <v>912</v>
      </c>
      <c r="E5389" s="1"/>
      <c r="F5389" s="442"/>
      <c r="G5389" s="13"/>
      <c r="H5389" s="13" t="str">
        <f t="shared" si="1912"/>
        <v/>
      </c>
      <c r="I5389" s="692"/>
      <c r="J5389" s="669" t="s">
        <v>5805</v>
      </c>
    </row>
    <row r="5390" spans="1:10" x14ac:dyDescent="0.25">
      <c r="A5390" s="608" t="s">
        <v>2715</v>
      </c>
      <c r="B5390" s="2" t="s">
        <v>5548</v>
      </c>
      <c r="C5390" s="1"/>
      <c r="D5390" s="2" t="s">
        <v>914</v>
      </c>
      <c r="E5390" s="1"/>
      <c r="F5390" s="442"/>
      <c r="G5390" s="13"/>
      <c r="H5390" s="13" t="str">
        <f t="shared" si="1912"/>
        <v/>
      </c>
      <c r="I5390" s="692"/>
      <c r="J5390" s="669" t="s">
        <v>5805</v>
      </c>
    </row>
    <row r="5391" spans="1:10" x14ac:dyDescent="0.25">
      <c r="A5391" s="608" t="s">
        <v>2716</v>
      </c>
      <c r="B5391" s="2" t="s">
        <v>5548</v>
      </c>
      <c r="C5391" s="1"/>
      <c r="D5391" s="2" t="s">
        <v>916</v>
      </c>
      <c r="E5391" s="1"/>
      <c r="F5391" s="442"/>
      <c r="G5391" s="13"/>
      <c r="H5391" s="13" t="str">
        <f t="shared" si="1912"/>
        <v/>
      </c>
      <c r="I5391" s="692"/>
      <c r="J5391" s="669" t="s">
        <v>5805</v>
      </c>
    </row>
    <row r="5392" spans="1:10" x14ac:dyDescent="0.25">
      <c r="A5392" s="609"/>
      <c r="B5392" s="1"/>
      <c r="C5392" s="1"/>
      <c r="D5392" s="1"/>
      <c r="E5392" s="1"/>
      <c r="F5392" s="442"/>
      <c r="G5392" s="13"/>
      <c r="H5392" s="13" t="str">
        <f t="shared" si="1912"/>
        <v/>
      </c>
      <c r="I5392" s="692"/>
      <c r="J5392" s="669" t="s">
        <v>4180</v>
      </c>
    </row>
    <row r="5393" spans="1:10" x14ac:dyDescent="0.25">
      <c r="A5393" s="610" t="s">
        <v>2717</v>
      </c>
      <c r="B5393" s="17" t="s">
        <v>4847</v>
      </c>
      <c r="C5393" s="17"/>
      <c r="D5393" s="17" t="s">
        <v>609</v>
      </c>
      <c r="E5393" s="17"/>
      <c r="F5393" s="444"/>
      <c r="G5393" s="18"/>
      <c r="H5393" s="18" t="str">
        <f t="shared" si="1912"/>
        <v/>
      </c>
      <c r="I5393" s="694"/>
      <c r="J5393" s="669" t="s">
        <v>5805</v>
      </c>
    </row>
    <row r="5394" spans="1:10" x14ac:dyDescent="0.25">
      <c r="A5394" s="610" t="s">
        <v>2718</v>
      </c>
      <c r="B5394" s="17" t="s">
        <v>4847</v>
      </c>
      <c r="C5394" s="17"/>
      <c r="D5394" s="17" t="s">
        <v>610</v>
      </c>
      <c r="E5394" s="17"/>
      <c r="F5394" s="444"/>
      <c r="G5394" s="18"/>
      <c r="H5394" s="18" t="str">
        <f t="shared" si="1912"/>
        <v/>
      </c>
      <c r="I5394" s="694"/>
      <c r="J5394" s="669" t="s">
        <v>5805</v>
      </c>
    </row>
    <row r="5395" spans="1:10" x14ac:dyDescent="0.25">
      <c r="A5395" s="610" t="s">
        <v>2719</v>
      </c>
      <c r="B5395" s="17" t="s">
        <v>4847</v>
      </c>
      <c r="C5395" s="17"/>
      <c r="D5395" s="17" t="s">
        <v>611</v>
      </c>
      <c r="E5395" s="17"/>
      <c r="F5395" s="444"/>
      <c r="G5395" s="18"/>
      <c r="H5395" s="18" t="str">
        <f t="shared" si="1912"/>
        <v/>
      </c>
      <c r="I5395" s="694"/>
      <c r="J5395" s="669" t="s">
        <v>5805</v>
      </c>
    </row>
    <row r="5396" spans="1:10" x14ac:dyDescent="0.25">
      <c r="A5396" s="610" t="s">
        <v>2720</v>
      </c>
      <c r="B5396" s="17" t="s">
        <v>4847</v>
      </c>
      <c r="C5396" s="17"/>
      <c r="D5396" s="17" t="s">
        <v>612</v>
      </c>
      <c r="E5396" s="17"/>
      <c r="F5396" s="444"/>
      <c r="G5396" s="18"/>
      <c r="H5396" s="18" t="str">
        <f t="shared" si="1912"/>
        <v/>
      </c>
      <c r="I5396" s="694"/>
      <c r="J5396" s="669" t="s">
        <v>5805</v>
      </c>
    </row>
    <row r="5397" spans="1:10" x14ac:dyDescent="0.25">
      <c r="A5397" s="610" t="s">
        <v>2721</v>
      </c>
      <c r="B5397" s="17" t="s">
        <v>4847</v>
      </c>
      <c r="C5397" s="17"/>
      <c r="D5397" s="17" t="s">
        <v>613</v>
      </c>
      <c r="E5397" s="17"/>
      <c r="F5397" s="444"/>
      <c r="G5397" s="18"/>
      <c r="H5397" s="18" t="str">
        <f t="shared" si="1912"/>
        <v/>
      </c>
      <c r="I5397" s="694"/>
      <c r="J5397" s="669" t="s">
        <v>5805</v>
      </c>
    </row>
    <row r="5398" spans="1:10" x14ac:dyDescent="0.25">
      <c r="A5398" s="610" t="s">
        <v>2852</v>
      </c>
      <c r="B5398" s="17" t="s">
        <v>4847</v>
      </c>
      <c r="C5398" s="17"/>
      <c r="D5398" s="17" t="s">
        <v>614</v>
      </c>
      <c r="E5398" s="17"/>
      <c r="F5398" s="444"/>
      <c r="G5398" s="18"/>
      <c r="H5398" s="18" t="str">
        <f t="shared" si="1912"/>
        <v/>
      </c>
      <c r="I5398" s="694"/>
      <c r="J5398" s="669" t="s">
        <v>5805</v>
      </c>
    </row>
    <row r="5399" spans="1:10" x14ac:dyDescent="0.25">
      <c r="A5399" s="610" t="s">
        <v>2853</v>
      </c>
      <c r="B5399" s="17" t="s">
        <v>4847</v>
      </c>
      <c r="C5399" s="17"/>
      <c r="D5399" s="17" t="s">
        <v>615</v>
      </c>
      <c r="E5399" s="17"/>
      <c r="F5399" s="444"/>
      <c r="G5399" s="18"/>
      <c r="H5399" s="18" t="str">
        <f t="shared" si="1912"/>
        <v/>
      </c>
      <c r="I5399" s="694"/>
      <c r="J5399" s="669" t="s">
        <v>5805</v>
      </c>
    </row>
    <row r="5400" spans="1:10" x14ac:dyDescent="0.25">
      <c r="A5400" s="609"/>
      <c r="B5400" s="1"/>
      <c r="C5400" s="1"/>
      <c r="D5400" s="1"/>
      <c r="E5400" s="1"/>
      <c r="F5400" s="442"/>
      <c r="G5400" s="13"/>
      <c r="H5400" s="13" t="str">
        <f t="shared" si="1912"/>
        <v/>
      </c>
      <c r="I5400" s="692"/>
      <c r="J5400" s="669" t="s">
        <v>4180</v>
      </c>
    </row>
    <row r="5401" spans="1:10" x14ac:dyDescent="0.25">
      <c r="A5401" s="610" t="s">
        <v>4284</v>
      </c>
      <c r="B5401" s="21" t="s">
        <v>5406</v>
      </c>
      <c r="C5401" s="17"/>
      <c r="D5401" s="17" t="s">
        <v>616</v>
      </c>
      <c r="E5401" s="17"/>
      <c r="F5401" s="444"/>
      <c r="G5401" s="18"/>
      <c r="H5401" s="18" t="str">
        <f t="shared" si="1912"/>
        <v/>
      </c>
      <c r="I5401" s="694"/>
      <c r="J5401" s="669" t="s">
        <v>5805</v>
      </c>
    </row>
    <row r="5402" spans="1:10" x14ac:dyDescent="0.25">
      <c r="A5402" s="610" t="s">
        <v>4285</v>
      </c>
      <c r="B5402" s="30" t="s">
        <v>5406</v>
      </c>
      <c r="C5402" s="17"/>
      <c r="D5402" s="17" t="s">
        <v>3347</v>
      </c>
      <c r="E5402" s="17"/>
      <c r="F5402" s="444"/>
      <c r="G5402" s="18"/>
      <c r="H5402" s="18" t="str">
        <f t="shared" si="1912"/>
        <v/>
      </c>
      <c r="I5402" s="694"/>
      <c r="J5402" s="669" t="s">
        <v>5805</v>
      </c>
    </row>
    <row r="5403" spans="1:10" x14ac:dyDescent="0.25">
      <c r="A5403" s="610" t="s">
        <v>4286</v>
      </c>
      <c r="B5403" s="30" t="s">
        <v>5406</v>
      </c>
      <c r="C5403" s="17"/>
      <c r="D5403" s="17" t="s">
        <v>3348</v>
      </c>
      <c r="E5403" s="17"/>
      <c r="F5403" s="444"/>
      <c r="G5403" s="18"/>
      <c r="H5403" s="18" t="str">
        <f t="shared" si="1912"/>
        <v/>
      </c>
      <c r="I5403" s="694"/>
      <c r="J5403" s="669" t="s">
        <v>5805</v>
      </c>
    </row>
    <row r="5404" spans="1:10" x14ac:dyDescent="0.25">
      <c r="A5404" s="610" t="s">
        <v>4287</v>
      </c>
      <c r="B5404" s="30" t="s">
        <v>5406</v>
      </c>
      <c r="C5404" s="17"/>
      <c r="D5404" s="17" t="s">
        <v>3349</v>
      </c>
      <c r="E5404" s="17"/>
      <c r="F5404" s="444"/>
      <c r="G5404" s="18"/>
      <c r="H5404" s="18" t="str">
        <f t="shared" si="1912"/>
        <v/>
      </c>
      <c r="I5404" s="694"/>
      <c r="J5404" s="669" t="s">
        <v>5805</v>
      </c>
    </row>
    <row r="5405" spans="1:10" x14ac:dyDescent="0.25">
      <c r="A5405" s="610" t="s">
        <v>4288</v>
      </c>
      <c r="B5405" s="30" t="s">
        <v>5406</v>
      </c>
      <c r="C5405" s="17"/>
      <c r="D5405" s="17" t="s">
        <v>3350</v>
      </c>
      <c r="E5405" s="17"/>
      <c r="F5405" s="444"/>
      <c r="G5405" s="18"/>
      <c r="H5405" s="18" t="str">
        <f t="shared" si="1912"/>
        <v/>
      </c>
      <c r="I5405" s="694"/>
      <c r="J5405" s="669" t="s">
        <v>5805</v>
      </c>
    </row>
    <row r="5406" spans="1:10" x14ac:dyDescent="0.25">
      <c r="A5406" s="610" t="s">
        <v>4289</v>
      </c>
      <c r="B5406" s="30" t="s">
        <v>5406</v>
      </c>
      <c r="C5406" s="17"/>
      <c r="D5406" s="17" t="s">
        <v>3351</v>
      </c>
      <c r="E5406" s="17"/>
      <c r="F5406" s="444"/>
      <c r="G5406" s="18"/>
      <c r="H5406" s="18" t="str">
        <f t="shared" si="1912"/>
        <v/>
      </c>
      <c r="I5406" s="694"/>
      <c r="J5406" s="669" t="s">
        <v>5805</v>
      </c>
    </row>
    <row r="5407" spans="1:10" x14ac:dyDescent="0.25">
      <c r="A5407" s="610" t="s">
        <v>4290</v>
      </c>
      <c r="B5407" s="30" t="s">
        <v>5406</v>
      </c>
      <c r="C5407" s="17"/>
      <c r="D5407" s="17" t="s">
        <v>3352</v>
      </c>
      <c r="E5407" s="17"/>
      <c r="F5407" s="444"/>
      <c r="G5407" s="18"/>
      <c r="H5407" s="18" t="str">
        <f t="shared" si="1912"/>
        <v/>
      </c>
      <c r="I5407" s="694"/>
      <c r="J5407" s="669" t="s">
        <v>5805</v>
      </c>
    </row>
    <row r="5408" spans="1:10" x14ac:dyDescent="0.25">
      <c r="A5408" s="608"/>
      <c r="B5408" s="1"/>
      <c r="C5408" s="1"/>
      <c r="D5408" s="2"/>
      <c r="E5408" s="1"/>
      <c r="F5408" s="442"/>
      <c r="G5408" s="13"/>
      <c r="H5408" s="13" t="str">
        <f t="shared" si="1912"/>
        <v/>
      </c>
      <c r="I5408" s="692"/>
      <c r="J5408" s="669" t="s">
        <v>4180</v>
      </c>
    </row>
    <row r="5409" spans="1:10" x14ac:dyDescent="0.25">
      <c r="A5409" s="610" t="s">
        <v>3353</v>
      </c>
      <c r="B5409" s="17" t="s">
        <v>5411</v>
      </c>
      <c r="C5409" s="17"/>
      <c r="D5409" s="17" t="s">
        <v>616</v>
      </c>
      <c r="E5409" s="17"/>
      <c r="F5409" s="444"/>
      <c r="G5409" s="18"/>
      <c r="H5409" s="18" t="str">
        <f t="shared" si="1912"/>
        <v/>
      </c>
      <c r="I5409" s="694"/>
      <c r="J5409" s="669" t="s">
        <v>5805</v>
      </c>
    </row>
    <row r="5410" spans="1:10" x14ac:dyDescent="0.25">
      <c r="A5410" s="610" t="s">
        <v>3354</v>
      </c>
      <c r="B5410" s="17" t="s">
        <v>5411</v>
      </c>
      <c r="C5410" s="17"/>
      <c r="D5410" s="17" t="s">
        <v>3347</v>
      </c>
      <c r="E5410" s="17"/>
      <c r="F5410" s="444"/>
      <c r="G5410" s="18"/>
      <c r="H5410" s="18" t="str">
        <f t="shared" si="1912"/>
        <v/>
      </c>
      <c r="I5410" s="694"/>
      <c r="J5410" s="669" t="s">
        <v>5805</v>
      </c>
    </row>
    <row r="5411" spans="1:10" x14ac:dyDescent="0.25">
      <c r="A5411" s="610" t="s">
        <v>3355</v>
      </c>
      <c r="B5411" s="17" t="s">
        <v>5411</v>
      </c>
      <c r="C5411" s="17"/>
      <c r="D5411" s="17" t="s">
        <v>3348</v>
      </c>
      <c r="E5411" s="17"/>
      <c r="F5411" s="444"/>
      <c r="G5411" s="18"/>
      <c r="H5411" s="18" t="str">
        <f t="shared" si="1912"/>
        <v/>
      </c>
      <c r="I5411" s="694"/>
      <c r="J5411" s="669" t="s">
        <v>5805</v>
      </c>
    </row>
    <row r="5412" spans="1:10" x14ac:dyDescent="0.25">
      <c r="A5412" s="610" t="s">
        <v>3356</v>
      </c>
      <c r="B5412" s="17" t="s">
        <v>5411</v>
      </c>
      <c r="C5412" s="17"/>
      <c r="D5412" s="17" t="s">
        <v>3349</v>
      </c>
      <c r="E5412" s="17"/>
      <c r="F5412" s="444"/>
      <c r="G5412" s="18"/>
      <c r="H5412" s="18" t="str">
        <f t="shared" si="1912"/>
        <v/>
      </c>
      <c r="I5412" s="694"/>
      <c r="J5412" s="669" t="s">
        <v>5805</v>
      </c>
    </row>
    <row r="5413" spans="1:10" x14ac:dyDescent="0.25">
      <c r="A5413" s="610" t="s">
        <v>3357</v>
      </c>
      <c r="B5413" s="17" t="s">
        <v>5411</v>
      </c>
      <c r="C5413" s="17"/>
      <c r="D5413" s="17" t="s">
        <v>3350</v>
      </c>
      <c r="E5413" s="17"/>
      <c r="F5413" s="444"/>
      <c r="G5413" s="18"/>
      <c r="H5413" s="18" t="str">
        <f t="shared" si="1912"/>
        <v/>
      </c>
      <c r="I5413" s="694"/>
      <c r="J5413" s="669" t="s">
        <v>5805</v>
      </c>
    </row>
    <row r="5414" spans="1:10" x14ac:dyDescent="0.25">
      <c r="A5414" s="610" t="s">
        <v>3358</v>
      </c>
      <c r="B5414" s="17" t="s">
        <v>5411</v>
      </c>
      <c r="C5414" s="17"/>
      <c r="D5414" s="17" t="s">
        <v>3351</v>
      </c>
      <c r="E5414" s="17"/>
      <c r="F5414" s="444"/>
      <c r="G5414" s="18"/>
      <c r="H5414" s="18" t="str">
        <f t="shared" si="1912"/>
        <v/>
      </c>
      <c r="I5414" s="694"/>
      <c r="J5414" s="669" t="s">
        <v>5805</v>
      </c>
    </row>
    <row r="5415" spans="1:10" x14ac:dyDescent="0.25">
      <c r="A5415" s="610" t="s">
        <v>3359</v>
      </c>
      <c r="B5415" s="17" t="s">
        <v>5411</v>
      </c>
      <c r="C5415" s="17"/>
      <c r="D5415" s="17" t="s">
        <v>3352</v>
      </c>
      <c r="E5415" s="17"/>
      <c r="F5415" s="444"/>
      <c r="G5415" s="18"/>
      <c r="H5415" s="18" t="str">
        <f t="shared" si="1912"/>
        <v/>
      </c>
      <c r="I5415" s="694"/>
      <c r="J5415" s="669" t="s">
        <v>5805</v>
      </c>
    </row>
    <row r="5416" spans="1:10" x14ac:dyDescent="0.25">
      <c r="A5416" s="608"/>
      <c r="B5416" s="1"/>
      <c r="C5416" s="1"/>
      <c r="D5416" s="2"/>
      <c r="E5416" s="1"/>
      <c r="F5416" s="442"/>
      <c r="G5416" s="13"/>
      <c r="H5416" s="13" t="str">
        <f t="shared" si="1912"/>
        <v/>
      </c>
      <c r="I5416" s="692"/>
      <c r="J5416" s="669" t="s">
        <v>4180</v>
      </c>
    </row>
    <row r="5417" spans="1:10" x14ac:dyDescent="0.25">
      <c r="A5417" s="610" t="s">
        <v>3360</v>
      </c>
      <c r="B5417" s="17" t="s">
        <v>5412</v>
      </c>
      <c r="C5417" s="17"/>
      <c r="D5417" s="17" t="s">
        <v>616</v>
      </c>
      <c r="E5417" s="17"/>
      <c r="F5417" s="444"/>
      <c r="G5417" s="18"/>
      <c r="H5417" s="18" t="str">
        <f t="shared" si="1912"/>
        <v/>
      </c>
      <c r="I5417" s="694"/>
      <c r="J5417" s="669" t="s">
        <v>5805</v>
      </c>
    </row>
    <row r="5418" spans="1:10" x14ac:dyDescent="0.25">
      <c r="A5418" s="610" t="s">
        <v>3361</v>
      </c>
      <c r="B5418" s="17" t="s">
        <v>5412</v>
      </c>
      <c r="C5418" s="17"/>
      <c r="D5418" s="17" t="s">
        <v>3347</v>
      </c>
      <c r="E5418" s="17"/>
      <c r="F5418" s="444"/>
      <c r="G5418" s="18"/>
      <c r="H5418" s="18" t="str">
        <f t="shared" si="1912"/>
        <v/>
      </c>
      <c r="I5418" s="694"/>
      <c r="J5418" s="669" t="s">
        <v>5805</v>
      </c>
    </row>
    <row r="5419" spans="1:10" x14ac:dyDescent="0.25">
      <c r="A5419" s="610" t="s">
        <v>3362</v>
      </c>
      <c r="B5419" s="17" t="s">
        <v>5412</v>
      </c>
      <c r="C5419" s="17"/>
      <c r="D5419" s="17" t="s">
        <v>3348</v>
      </c>
      <c r="E5419" s="17"/>
      <c r="F5419" s="444"/>
      <c r="G5419" s="18"/>
      <c r="H5419" s="18" t="str">
        <f t="shared" si="1912"/>
        <v/>
      </c>
      <c r="I5419" s="694"/>
      <c r="J5419" s="669" t="s">
        <v>5805</v>
      </c>
    </row>
    <row r="5420" spans="1:10" x14ac:dyDescent="0.25">
      <c r="A5420" s="610" t="s">
        <v>3363</v>
      </c>
      <c r="B5420" s="17" t="s">
        <v>5412</v>
      </c>
      <c r="C5420" s="17"/>
      <c r="D5420" s="17" t="s">
        <v>3349</v>
      </c>
      <c r="E5420" s="17"/>
      <c r="F5420" s="444"/>
      <c r="G5420" s="18"/>
      <c r="H5420" s="18" t="str">
        <f t="shared" si="1912"/>
        <v/>
      </c>
      <c r="I5420" s="694"/>
      <c r="J5420" s="669" t="s">
        <v>5805</v>
      </c>
    </row>
    <row r="5421" spans="1:10" x14ac:dyDescent="0.25">
      <c r="A5421" s="610" t="s">
        <v>3364</v>
      </c>
      <c r="B5421" s="17" t="s">
        <v>5412</v>
      </c>
      <c r="C5421" s="17"/>
      <c r="D5421" s="17" t="s">
        <v>3350</v>
      </c>
      <c r="E5421" s="17"/>
      <c r="F5421" s="444"/>
      <c r="G5421" s="18"/>
      <c r="H5421" s="18" t="str">
        <f t="shared" si="1912"/>
        <v/>
      </c>
      <c r="I5421" s="694"/>
      <c r="J5421" s="669" t="s">
        <v>5805</v>
      </c>
    </row>
    <row r="5422" spans="1:10" x14ac:dyDescent="0.25">
      <c r="A5422" s="610" t="s">
        <v>3365</v>
      </c>
      <c r="B5422" s="17" t="s">
        <v>5412</v>
      </c>
      <c r="C5422" s="17"/>
      <c r="D5422" s="17" t="s">
        <v>3351</v>
      </c>
      <c r="E5422" s="17"/>
      <c r="F5422" s="444"/>
      <c r="G5422" s="18"/>
      <c r="H5422" s="18" t="str">
        <f t="shared" si="1912"/>
        <v/>
      </c>
      <c r="I5422" s="694"/>
      <c r="J5422" s="669" t="s">
        <v>5805</v>
      </c>
    </row>
    <row r="5423" spans="1:10" x14ac:dyDescent="0.25">
      <c r="A5423" s="610" t="s">
        <v>3366</v>
      </c>
      <c r="B5423" s="17" t="s">
        <v>5412</v>
      </c>
      <c r="C5423" s="17"/>
      <c r="D5423" s="17" t="s">
        <v>3352</v>
      </c>
      <c r="E5423" s="17"/>
      <c r="F5423" s="444"/>
      <c r="G5423" s="18"/>
      <c r="H5423" s="18" t="str">
        <f t="shared" si="1912"/>
        <v/>
      </c>
      <c r="I5423" s="694"/>
      <c r="J5423" s="669" t="s">
        <v>5805</v>
      </c>
    </row>
    <row r="5424" spans="1:10" x14ac:dyDescent="0.25">
      <c r="A5424" s="609"/>
      <c r="B5424" s="1"/>
      <c r="C5424" s="1"/>
      <c r="D5424" s="1"/>
      <c r="E5424" s="1"/>
      <c r="F5424" s="442"/>
      <c r="G5424" s="13"/>
      <c r="H5424" s="13" t="str">
        <f t="shared" si="1912"/>
        <v/>
      </c>
      <c r="I5424" s="692"/>
      <c r="J5424" s="669" t="s">
        <v>4180</v>
      </c>
    </row>
    <row r="5425" spans="1:29" x14ac:dyDescent="0.25">
      <c r="A5425" s="608" t="s">
        <v>2854</v>
      </c>
      <c r="B5425" s="2" t="s">
        <v>2034</v>
      </c>
      <c r="C5425" s="1"/>
      <c r="D5425" s="2" t="s">
        <v>821</v>
      </c>
      <c r="E5425" s="1"/>
      <c r="F5425" s="442"/>
      <c r="G5425" s="13"/>
      <c r="H5425" s="13" t="str">
        <f t="shared" si="1912"/>
        <v/>
      </c>
      <c r="I5425" s="692"/>
      <c r="J5425" s="669" t="s">
        <v>5805</v>
      </c>
    </row>
    <row r="5426" spans="1:29" x14ac:dyDescent="0.25">
      <c r="A5426" s="608" t="s">
        <v>2855</v>
      </c>
      <c r="B5426" s="2" t="s">
        <v>2034</v>
      </c>
      <c r="C5426" s="1"/>
      <c r="D5426" s="2" t="s">
        <v>823</v>
      </c>
      <c r="E5426" s="1"/>
      <c r="F5426" s="442"/>
      <c r="G5426" s="13"/>
      <c r="H5426" s="13" t="str">
        <f t="shared" si="1912"/>
        <v/>
      </c>
      <c r="I5426" s="692"/>
      <c r="J5426" s="669" t="s">
        <v>5805</v>
      </c>
    </row>
    <row r="5427" spans="1:29" x14ac:dyDescent="0.25">
      <c r="A5427" s="608" t="s">
        <v>2856</v>
      </c>
      <c r="B5427" s="2" t="s">
        <v>2034</v>
      </c>
      <c r="C5427" s="1"/>
      <c r="D5427" s="2" t="s">
        <v>908</v>
      </c>
      <c r="E5427" s="1"/>
      <c r="F5427" s="442"/>
      <c r="G5427" s="13"/>
      <c r="H5427" s="13" t="str">
        <f t="shared" si="1912"/>
        <v/>
      </c>
      <c r="I5427" s="692"/>
      <c r="J5427" s="669" t="s">
        <v>5805</v>
      </c>
    </row>
    <row r="5428" spans="1:29" x14ac:dyDescent="0.25">
      <c r="A5428" s="608" t="s">
        <v>2857</v>
      </c>
      <c r="B5428" s="2" t="s">
        <v>2034</v>
      </c>
      <c r="C5428" s="1"/>
      <c r="D5428" s="2" t="s">
        <v>910</v>
      </c>
      <c r="E5428" s="1"/>
      <c r="F5428" s="442"/>
      <c r="G5428" s="13"/>
      <c r="H5428" s="13" t="str">
        <f t="shared" si="1912"/>
        <v/>
      </c>
      <c r="I5428" s="692"/>
      <c r="J5428" s="669" t="s">
        <v>5805</v>
      </c>
    </row>
    <row r="5429" spans="1:29" x14ac:dyDescent="0.25">
      <c r="A5429" s="608" t="s">
        <v>2858</v>
      </c>
      <c r="B5429" s="2" t="s">
        <v>2034</v>
      </c>
      <c r="C5429" s="1"/>
      <c r="D5429" s="2" t="s">
        <v>912</v>
      </c>
      <c r="E5429" s="1"/>
      <c r="F5429" s="442"/>
      <c r="G5429" s="13"/>
      <c r="H5429" s="13" t="str">
        <f t="shared" si="1912"/>
        <v/>
      </c>
      <c r="I5429" s="692"/>
      <c r="J5429" s="669" t="s">
        <v>5805</v>
      </c>
    </row>
    <row r="5430" spans="1:29" x14ac:dyDescent="0.25">
      <c r="A5430" s="608" t="s">
        <v>2859</v>
      </c>
      <c r="B5430" s="2" t="s">
        <v>2034</v>
      </c>
      <c r="C5430" s="1"/>
      <c r="D5430" s="2" t="s">
        <v>914</v>
      </c>
      <c r="E5430" s="1"/>
      <c r="F5430" s="442"/>
      <c r="G5430" s="13"/>
      <c r="H5430" s="13" t="str">
        <f t="shared" si="1912"/>
        <v/>
      </c>
      <c r="I5430" s="692"/>
      <c r="J5430" s="669" t="s">
        <v>5805</v>
      </c>
    </row>
    <row r="5431" spans="1:29" x14ac:dyDescent="0.25">
      <c r="A5431" s="608" t="s">
        <v>2860</v>
      </c>
      <c r="B5431" s="2" t="s">
        <v>2034</v>
      </c>
      <c r="C5431" s="1"/>
      <c r="D5431" s="2" t="s">
        <v>916</v>
      </c>
      <c r="E5431" s="1"/>
      <c r="F5431" s="442"/>
      <c r="G5431" s="13"/>
      <c r="H5431" s="13" t="str">
        <f t="shared" si="1912"/>
        <v/>
      </c>
      <c r="I5431" s="692"/>
      <c r="J5431" s="669" t="s">
        <v>5805</v>
      </c>
    </row>
    <row r="5432" spans="1:29" s="259" customFormat="1" x14ac:dyDescent="0.25">
      <c r="A5432"/>
      <c r="B5432"/>
      <c r="C5432"/>
      <c r="D5432"/>
      <c r="E5432"/>
      <c r="F5432" s="471"/>
      <c r="G5432" s="15"/>
      <c r="H5432" s="15" t="str">
        <f t="shared" si="1912"/>
        <v/>
      </c>
      <c r="I5432" s="691"/>
      <c r="J5432" s="669" t="s">
        <v>4180</v>
      </c>
      <c r="M5432"/>
      <c r="N5432"/>
      <c r="O5432" s="238"/>
      <c r="P5432" s="238"/>
      <c r="Q5432" s="238"/>
      <c r="R5432" s="238"/>
      <c r="S5432" s="238"/>
      <c r="T5432" s="238"/>
      <c r="U5432"/>
      <c r="V5432"/>
      <c r="W5432"/>
      <c r="X5432"/>
      <c r="Y5432"/>
      <c r="Z5432"/>
      <c r="AA5432"/>
      <c r="AB5432"/>
      <c r="AC5432"/>
    </row>
    <row r="5433" spans="1:29" s="238" customFormat="1" ht="42" customHeight="1" x14ac:dyDescent="0.25">
      <c r="A5433" s="806" t="s">
        <v>8172</v>
      </c>
      <c r="B5433" s="605"/>
      <c r="C5433" s="605"/>
      <c r="D5433" s="605"/>
      <c r="E5433" s="605"/>
      <c r="F5433" s="606"/>
      <c r="G5433" s="605"/>
      <c r="H5433" s="664"/>
      <c r="I5433" s="729"/>
      <c r="J5433" s="669" t="s">
        <v>5805</v>
      </c>
      <c r="M5433" s="259"/>
      <c r="N5433" s="259"/>
      <c r="O5433" s="259"/>
      <c r="P5433" s="259"/>
      <c r="Q5433" s="259"/>
      <c r="R5433" s="259"/>
      <c r="S5433" s="259"/>
      <c r="T5433" s="259"/>
      <c r="U5433" s="259"/>
      <c r="V5433" s="259"/>
      <c r="W5433" s="259"/>
      <c r="X5433" s="259"/>
      <c r="Y5433" s="259"/>
      <c r="Z5433" s="259"/>
      <c r="AA5433" s="259"/>
      <c r="AB5433" s="259"/>
      <c r="AC5433" s="259"/>
    </row>
    <row r="5434" spans="1:29" s="238" customFormat="1" ht="46.5" customHeight="1" x14ac:dyDescent="0.25">
      <c r="A5434" s="1130" t="s">
        <v>8173</v>
      </c>
      <c r="B5434" s="1130"/>
      <c r="C5434" s="1130"/>
      <c r="D5434" s="1130"/>
      <c r="E5434" s="1130"/>
      <c r="F5434" s="1130"/>
      <c r="G5434" s="428"/>
      <c r="H5434" s="504"/>
      <c r="I5434" s="731"/>
      <c r="J5434" s="669" t="s">
        <v>5805</v>
      </c>
    </row>
    <row r="5435" spans="1:29" s="238" customFormat="1" ht="19.5" customHeight="1" x14ac:dyDescent="0.25">
      <c r="A5435" s="1134" t="s">
        <v>1068</v>
      </c>
      <c r="B5435" s="1134"/>
      <c r="C5435" s="1134"/>
      <c r="D5435" s="1134"/>
      <c r="E5435" s="1134"/>
      <c r="F5435" s="1134"/>
      <c r="G5435" s="431"/>
      <c r="H5435" s="505"/>
      <c r="I5435" s="732"/>
      <c r="J5435" s="669" t="s">
        <v>5805</v>
      </c>
    </row>
    <row r="5436" spans="1:29" s="238" customFormat="1" ht="24" customHeight="1" x14ac:dyDescent="0.25">
      <c r="A5436" s="1134" t="s">
        <v>2196</v>
      </c>
      <c r="B5436" s="1134"/>
      <c r="C5436" s="1134"/>
      <c r="D5436" s="1134"/>
      <c r="E5436" s="1134"/>
      <c r="F5436" s="1134"/>
      <c r="G5436" s="431"/>
      <c r="H5436" s="505"/>
      <c r="I5436" s="732"/>
      <c r="J5436" s="669" t="s">
        <v>5805</v>
      </c>
      <c r="O5436"/>
      <c r="P5436"/>
      <c r="Q5436"/>
      <c r="R5436"/>
      <c r="S5436"/>
      <c r="T5436"/>
    </row>
    <row r="5437" spans="1:29" ht="75.75" customHeight="1" x14ac:dyDescent="0.25">
      <c r="A5437" s="1128" t="s">
        <v>8174</v>
      </c>
      <c r="B5437" s="1134"/>
      <c r="C5437" s="1134"/>
      <c r="D5437" s="1134"/>
      <c r="E5437" s="1134"/>
      <c r="F5437" s="1134"/>
      <c r="G5437" s="431"/>
      <c r="H5437" s="505"/>
      <c r="I5437" s="732"/>
      <c r="J5437" s="669" t="s">
        <v>5805</v>
      </c>
      <c r="M5437" s="238"/>
      <c r="N5437" s="238"/>
      <c r="U5437" s="238"/>
      <c r="V5437" s="238"/>
      <c r="W5437" s="238"/>
      <c r="X5437" s="238"/>
      <c r="Y5437" s="238"/>
      <c r="Z5437" s="238"/>
      <c r="AA5437" s="238"/>
      <c r="AB5437" s="238"/>
      <c r="AC5437" s="238"/>
    </row>
    <row r="5438" spans="1:29" x14ac:dyDescent="0.25">
      <c r="H5438" s="15" t="str">
        <f t="shared" si="1912"/>
        <v/>
      </c>
      <c r="J5438" s="669" t="s">
        <v>4180</v>
      </c>
    </row>
    <row r="5439" spans="1:29" x14ac:dyDescent="0.25">
      <c r="A5439" s="309" t="s">
        <v>1069</v>
      </c>
      <c r="B5439" s="310" t="s">
        <v>2269</v>
      </c>
      <c r="C5439" s="310"/>
      <c r="D5439" s="310" t="s">
        <v>1070</v>
      </c>
      <c r="E5439" s="310"/>
      <c r="F5439" s="475">
        <v>0</v>
      </c>
      <c r="G5439" s="311">
        <v>0</v>
      </c>
      <c r="H5439" s="311">
        <f t="shared" si="1912"/>
        <v>0</v>
      </c>
      <c r="I5439" s="733"/>
      <c r="J5439" s="669" t="s">
        <v>5805</v>
      </c>
    </row>
    <row r="5440" spans="1:29" x14ac:dyDescent="0.25">
      <c r="A5440" s="309" t="s">
        <v>1071</v>
      </c>
      <c r="B5440" s="310" t="s">
        <v>5548</v>
      </c>
      <c r="C5440" s="310"/>
      <c r="D5440" s="310" t="s">
        <v>1070</v>
      </c>
      <c r="E5440" s="310"/>
      <c r="F5440" s="475">
        <v>0</v>
      </c>
      <c r="G5440" s="311">
        <v>0</v>
      </c>
      <c r="H5440" s="311">
        <f t="shared" ref="H5440:H5503" si="1913">IF(ISNUMBER(G5440),ROUND(0.8*G5440,2),"")</f>
        <v>0</v>
      </c>
      <c r="I5440" s="733"/>
      <c r="J5440" s="669" t="s">
        <v>5805</v>
      </c>
    </row>
    <row r="5441" spans="1:29" x14ac:dyDescent="0.25">
      <c r="A5441" s="309" t="s">
        <v>1072</v>
      </c>
      <c r="B5441" s="310" t="s">
        <v>4847</v>
      </c>
      <c r="C5441" s="310"/>
      <c r="D5441" s="310" t="s">
        <v>1070</v>
      </c>
      <c r="E5441" s="310"/>
      <c r="F5441" s="475">
        <v>0</v>
      </c>
      <c r="G5441" s="311">
        <v>0</v>
      </c>
      <c r="H5441" s="311">
        <f t="shared" si="1913"/>
        <v>0</v>
      </c>
      <c r="I5441" s="733"/>
      <c r="J5441" s="669" t="s">
        <v>5805</v>
      </c>
    </row>
    <row r="5442" spans="1:29" x14ac:dyDescent="0.25">
      <c r="A5442" s="309" t="s">
        <v>1073</v>
      </c>
      <c r="B5442" s="310" t="s">
        <v>5406</v>
      </c>
      <c r="C5442" s="310"/>
      <c r="D5442" s="310" t="s">
        <v>1070</v>
      </c>
      <c r="E5442" s="310"/>
      <c r="F5442" s="475">
        <v>0</v>
      </c>
      <c r="G5442" s="311">
        <v>0</v>
      </c>
      <c r="H5442" s="311">
        <f t="shared" si="1913"/>
        <v>0</v>
      </c>
      <c r="I5442" s="733"/>
      <c r="J5442" s="669" t="s">
        <v>5805</v>
      </c>
    </row>
    <row r="5443" spans="1:29" x14ac:dyDescent="0.25">
      <c r="A5443" s="309" t="s">
        <v>1074</v>
      </c>
      <c r="B5443" s="310" t="s">
        <v>5411</v>
      </c>
      <c r="C5443" s="310"/>
      <c r="D5443" s="310" t="s">
        <v>1070</v>
      </c>
      <c r="E5443" s="310"/>
      <c r="F5443" s="475">
        <v>0</v>
      </c>
      <c r="G5443" s="311">
        <v>0</v>
      </c>
      <c r="H5443" s="311">
        <f t="shared" si="1913"/>
        <v>0</v>
      </c>
      <c r="I5443" s="733"/>
      <c r="J5443" s="669" t="s">
        <v>5805</v>
      </c>
    </row>
    <row r="5444" spans="1:29" x14ac:dyDescent="0.25">
      <c r="A5444" s="309" t="s">
        <v>1075</v>
      </c>
      <c r="B5444" s="310" t="s">
        <v>5412</v>
      </c>
      <c r="C5444" s="310"/>
      <c r="D5444" s="310" t="s">
        <v>1070</v>
      </c>
      <c r="E5444" s="310"/>
      <c r="F5444" s="475">
        <v>0</v>
      </c>
      <c r="G5444" s="311">
        <v>0</v>
      </c>
      <c r="H5444" s="311">
        <f t="shared" si="1913"/>
        <v>0</v>
      </c>
      <c r="I5444" s="733"/>
      <c r="J5444" s="669" t="s">
        <v>5805</v>
      </c>
    </row>
    <row r="5445" spans="1:29" x14ac:dyDescent="0.25">
      <c r="A5445" s="309" t="s">
        <v>1076</v>
      </c>
      <c r="B5445" s="310" t="s">
        <v>2034</v>
      </c>
      <c r="C5445" s="310"/>
      <c r="D5445" s="310" t="s">
        <v>1070</v>
      </c>
      <c r="E5445" s="310"/>
      <c r="F5445" s="475">
        <v>0</v>
      </c>
      <c r="G5445" s="311">
        <v>0</v>
      </c>
      <c r="H5445" s="311">
        <f t="shared" si="1913"/>
        <v>0</v>
      </c>
      <c r="I5445" s="733"/>
      <c r="J5445" s="669" t="s">
        <v>5805</v>
      </c>
    </row>
    <row r="5446" spans="1:29" x14ac:dyDescent="0.25">
      <c r="A5446" s="309" t="s">
        <v>1077</v>
      </c>
      <c r="B5446" s="310" t="s">
        <v>2067</v>
      </c>
      <c r="C5446" s="310"/>
      <c r="D5446" s="310" t="s">
        <v>1070</v>
      </c>
      <c r="E5446" s="310"/>
      <c r="F5446" s="475">
        <v>0</v>
      </c>
      <c r="G5446" s="311">
        <v>0</v>
      </c>
      <c r="H5446" s="311">
        <f t="shared" si="1913"/>
        <v>0</v>
      </c>
      <c r="I5446" s="733"/>
      <c r="J5446" s="669" t="s">
        <v>5805</v>
      </c>
    </row>
    <row r="5447" spans="1:29" x14ac:dyDescent="0.25">
      <c r="A5447" s="309" t="s">
        <v>1078</v>
      </c>
      <c r="B5447" s="310" t="s">
        <v>3374</v>
      </c>
      <c r="C5447" s="310"/>
      <c r="D5447" s="310" t="s">
        <v>1070</v>
      </c>
      <c r="E5447" s="310"/>
      <c r="F5447" s="475">
        <v>0</v>
      </c>
      <c r="G5447" s="311">
        <v>0</v>
      </c>
      <c r="H5447" s="311">
        <f t="shared" si="1913"/>
        <v>0</v>
      </c>
      <c r="I5447" s="733"/>
      <c r="J5447" s="669" t="s">
        <v>5805</v>
      </c>
    </row>
    <row r="5448" spans="1:29" x14ac:dyDescent="0.25">
      <c r="A5448" s="309" t="s">
        <v>1079</v>
      </c>
      <c r="B5448" s="310" t="s">
        <v>3382</v>
      </c>
      <c r="C5448" s="310"/>
      <c r="D5448" s="310" t="s">
        <v>1070</v>
      </c>
      <c r="E5448" s="310"/>
      <c r="F5448" s="475">
        <v>0</v>
      </c>
      <c r="G5448" s="311">
        <v>0</v>
      </c>
      <c r="H5448" s="311">
        <f t="shared" si="1913"/>
        <v>0</v>
      </c>
      <c r="I5448" s="733"/>
      <c r="J5448" s="669" t="s">
        <v>5805</v>
      </c>
    </row>
    <row r="5449" spans="1:29" x14ac:dyDescent="0.25">
      <c r="A5449" s="309" t="s">
        <v>1080</v>
      </c>
      <c r="B5449" s="310" t="s">
        <v>3390</v>
      </c>
      <c r="C5449" s="310"/>
      <c r="D5449" s="310" t="s">
        <v>1070</v>
      </c>
      <c r="E5449" s="310"/>
      <c r="F5449" s="475">
        <v>0</v>
      </c>
      <c r="G5449" s="311">
        <v>0</v>
      </c>
      <c r="H5449" s="311">
        <f t="shared" si="1913"/>
        <v>0</v>
      </c>
      <c r="I5449" s="733"/>
      <c r="J5449" s="669" t="s">
        <v>5805</v>
      </c>
    </row>
    <row r="5450" spans="1:29" x14ac:dyDescent="0.25">
      <c r="A5450" s="309" t="s">
        <v>1081</v>
      </c>
      <c r="B5450" s="310" t="s">
        <v>740</v>
      </c>
      <c r="C5450" s="310"/>
      <c r="D5450" s="310" t="s">
        <v>1070</v>
      </c>
      <c r="E5450" s="310"/>
      <c r="F5450" s="475">
        <v>0</v>
      </c>
      <c r="G5450" s="311">
        <v>0</v>
      </c>
      <c r="H5450" s="311">
        <f t="shared" si="1913"/>
        <v>0</v>
      </c>
      <c r="I5450" s="733"/>
      <c r="J5450" s="669" t="s">
        <v>5805</v>
      </c>
    </row>
    <row r="5451" spans="1:29" x14ac:dyDescent="0.25">
      <c r="A5451" s="309" t="s">
        <v>1082</v>
      </c>
      <c r="B5451" s="310" t="s">
        <v>5435</v>
      </c>
      <c r="C5451" s="310"/>
      <c r="D5451" s="310" t="s">
        <v>1070</v>
      </c>
      <c r="E5451" s="310"/>
      <c r="F5451" s="475">
        <v>0</v>
      </c>
      <c r="G5451" s="311">
        <v>0</v>
      </c>
      <c r="H5451" s="311">
        <f t="shared" si="1913"/>
        <v>0</v>
      </c>
      <c r="I5451" s="733"/>
      <c r="J5451" s="669" t="s">
        <v>5805</v>
      </c>
    </row>
    <row r="5452" spans="1:29" ht="25.5" customHeight="1" x14ac:dyDescent="0.25">
      <c r="H5452" s="15" t="str">
        <f t="shared" si="1913"/>
        <v/>
      </c>
      <c r="J5452" s="669" t="s">
        <v>4180</v>
      </c>
    </row>
    <row r="5453" spans="1:29" ht="23.25" x14ac:dyDescent="0.25">
      <c r="A5453" s="806" t="s">
        <v>8175</v>
      </c>
      <c r="B5453" s="65"/>
      <c r="C5453" s="65"/>
      <c r="D5453" s="65"/>
      <c r="E5453" s="65"/>
      <c r="F5453" s="443"/>
      <c r="G5453" s="65"/>
      <c r="H5453" s="74" t="str">
        <f t="shared" si="1913"/>
        <v/>
      </c>
      <c r="I5453" s="693"/>
      <c r="J5453" s="669">
        <v>42705</v>
      </c>
      <c r="O5453" s="238"/>
      <c r="P5453" s="238"/>
      <c r="Q5453" s="238"/>
      <c r="R5453" s="238"/>
      <c r="S5453" s="238"/>
      <c r="T5453" s="238"/>
    </row>
    <row r="5454" spans="1:29" s="238" customFormat="1" ht="18" customHeight="1" x14ac:dyDescent="0.25">
      <c r="A5454" s="1169" t="s">
        <v>1083</v>
      </c>
      <c r="B5454" s="1169"/>
      <c r="C5454" s="1169"/>
      <c r="D5454" s="1169"/>
      <c r="E5454" s="1169"/>
      <c r="F5454" s="1169"/>
      <c r="G5454" s="433"/>
      <c r="H5454" s="506" t="str">
        <f t="shared" si="1913"/>
        <v/>
      </c>
      <c r="I5454" s="734"/>
      <c r="J5454" s="669">
        <v>42705</v>
      </c>
      <c r="M5454"/>
      <c r="N5454"/>
      <c r="U5454"/>
      <c r="V5454"/>
      <c r="W5454"/>
      <c r="X5454"/>
      <c r="Y5454"/>
      <c r="Z5454"/>
      <c r="AA5454"/>
      <c r="AB5454"/>
      <c r="AC5454"/>
    </row>
    <row r="5455" spans="1:29" s="238" customFormat="1" ht="22.5" customHeight="1" x14ac:dyDescent="0.25">
      <c r="A5455" s="1166" t="s">
        <v>37</v>
      </c>
      <c r="B5455" s="1166"/>
      <c r="C5455" s="1166"/>
      <c r="D5455" s="1166"/>
      <c r="E5455" s="1166"/>
      <c r="F5455" s="1166"/>
      <c r="G5455" s="432"/>
      <c r="H5455" s="507" t="str">
        <f t="shared" si="1913"/>
        <v/>
      </c>
      <c r="I5455" s="735"/>
      <c r="J5455" s="669">
        <v>42705</v>
      </c>
      <c r="O5455"/>
      <c r="P5455"/>
      <c r="Q5455"/>
      <c r="R5455"/>
      <c r="S5455"/>
      <c r="T5455"/>
    </row>
    <row r="5456" spans="1:29" ht="35.25" customHeight="1" x14ac:dyDescent="0.25">
      <c r="A5456" s="1130" t="s">
        <v>8176</v>
      </c>
      <c r="B5456" s="1130"/>
      <c r="C5456" s="1130"/>
      <c r="D5456" s="1130"/>
      <c r="E5456" s="1130"/>
      <c r="F5456" s="1130"/>
      <c r="G5456" s="428"/>
      <c r="H5456" s="504" t="str">
        <f t="shared" si="1913"/>
        <v/>
      </c>
      <c r="I5456" s="731"/>
      <c r="J5456" s="669">
        <v>42705</v>
      </c>
      <c r="M5456" s="238"/>
      <c r="N5456" s="238"/>
      <c r="O5456" s="238"/>
      <c r="P5456" s="238"/>
      <c r="Q5456" s="238"/>
      <c r="R5456" s="238"/>
      <c r="S5456" s="238"/>
      <c r="T5456" s="238"/>
      <c r="U5456" s="238"/>
      <c r="V5456" s="238"/>
      <c r="W5456" s="238"/>
      <c r="X5456" s="238"/>
      <c r="Y5456" s="238"/>
      <c r="Z5456" s="238"/>
      <c r="AA5456" s="238"/>
      <c r="AB5456" s="238"/>
      <c r="AC5456" s="238"/>
    </row>
    <row r="5457" spans="1:29" ht="68.849999999999994" customHeight="1" x14ac:dyDescent="0.25">
      <c r="A5457" s="1128" t="s">
        <v>7712</v>
      </c>
      <c r="B5457" s="1134"/>
      <c r="C5457" s="1134"/>
      <c r="D5457" s="1134"/>
      <c r="E5457" s="1134"/>
      <c r="F5457" s="1134"/>
      <c r="G5457" s="431"/>
      <c r="H5457" s="505" t="str">
        <f t="shared" si="1913"/>
        <v/>
      </c>
      <c r="I5457" s="732"/>
      <c r="J5457" s="669">
        <v>44536</v>
      </c>
      <c r="O5457" s="238"/>
      <c r="P5457" s="238"/>
      <c r="Q5457" s="238"/>
      <c r="R5457" s="238"/>
      <c r="S5457" s="238"/>
      <c r="T5457" s="238"/>
    </row>
    <row r="5458" spans="1:29" s="238" customFormat="1" ht="51.75" customHeight="1" x14ac:dyDescent="0.25">
      <c r="A5458" s="1132" t="s">
        <v>8177</v>
      </c>
      <c r="B5458" s="1132"/>
      <c r="C5458" s="1132"/>
      <c r="D5458" s="1132"/>
      <c r="E5458" s="1132"/>
      <c r="F5458" s="1132"/>
      <c r="G5458" s="431"/>
      <c r="H5458" s="505" t="str">
        <f t="shared" si="1913"/>
        <v/>
      </c>
      <c r="I5458" s="732"/>
      <c r="J5458" s="669">
        <v>42705</v>
      </c>
      <c r="M5458"/>
      <c r="N5458"/>
      <c r="U5458"/>
      <c r="V5458"/>
      <c r="W5458"/>
      <c r="X5458"/>
      <c r="Y5458"/>
      <c r="Z5458"/>
      <c r="AA5458"/>
      <c r="AB5458"/>
      <c r="AC5458"/>
    </row>
    <row r="5459" spans="1:29" s="238" customFormat="1" ht="24.75" customHeight="1" x14ac:dyDescent="0.25">
      <c r="A5459" s="1134" t="s">
        <v>1374</v>
      </c>
      <c r="B5459" s="1134"/>
      <c r="C5459" s="1134"/>
      <c r="D5459" s="1134"/>
      <c r="E5459" s="1134"/>
      <c r="F5459" s="1134"/>
      <c r="G5459" s="431"/>
      <c r="H5459" s="505" t="str">
        <f t="shared" si="1913"/>
        <v/>
      </c>
      <c r="I5459" s="732"/>
      <c r="J5459" s="669">
        <v>42705</v>
      </c>
      <c r="O5459"/>
      <c r="P5459"/>
      <c r="Q5459"/>
      <c r="R5459"/>
      <c r="S5459"/>
      <c r="T5459"/>
    </row>
    <row r="5460" spans="1:29" x14ac:dyDescent="0.25">
      <c r="A5460" s="1134" t="s">
        <v>4255</v>
      </c>
      <c r="B5460" s="1134"/>
      <c r="C5460" s="1134"/>
      <c r="D5460" s="1134"/>
      <c r="E5460" s="1134"/>
      <c r="F5460" s="1134"/>
      <c r="G5460" s="431"/>
      <c r="H5460" s="505" t="str">
        <f t="shared" si="1913"/>
        <v/>
      </c>
      <c r="I5460" s="732"/>
      <c r="J5460" s="669">
        <v>42705</v>
      </c>
      <c r="M5460" s="238"/>
      <c r="N5460" s="238"/>
      <c r="U5460" s="238"/>
      <c r="V5460" s="238"/>
      <c r="W5460" s="238"/>
      <c r="X5460" s="238"/>
      <c r="Y5460" s="238"/>
      <c r="Z5460" s="238"/>
      <c r="AA5460" s="238"/>
      <c r="AB5460" s="238"/>
      <c r="AC5460" s="238"/>
    </row>
    <row r="5461" spans="1:29" x14ac:dyDescent="0.25">
      <c r="H5461" s="15" t="str">
        <f t="shared" si="1913"/>
        <v/>
      </c>
      <c r="J5461" s="669" t="s">
        <v>4180</v>
      </c>
    </row>
    <row r="5462" spans="1:29" x14ac:dyDescent="0.25">
      <c r="A5462" s="309" t="s">
        <v>1375</v>
      </c>
      <c r="B5462" s="310" t="s">
        <v>2269</v>
      </c>
      <c r="C5462" s="310"/>
      <c r="D5462" s="310" t="s">
        <v>1376</v>
      </c>
      <c r="E5462" s="310"/>
      <c r="F5462" s="475"/>
      <c r="G5462" s="475"/>
      <c r="H5462" s="671" t="str">
        <f t="shared" si="1913"/>
        <v/>
      </c>
      <c r="I5462" s="736"/>
      <c r="J5462" s="669" t="s">
        <v>5805</v>
      </c>
    </row>
    <row r="5463" spans="1:29" x14ac:dyDescent="0.25">
      <c r="A5463" s="309" t="s">
        <v>1377</v>
      </c>
      <c r="B5463" s="310" t="s">
        <v>2269</v>
      </c>
      <c r="C5463" s="310"/>
      <c r="D5463" s="310" t="s">
        <v>1378</v>
      </c>
      <c r="E5463" s="310"/>
      <c r="F5463" s="475"/>
      <c r="G5463" s="475"/>
      <c r="H5463" s="671" t="str">
        <f t="shared" si="1913"/>
        <v/>
      </c>
      <c r="I5463" s="736"/>
      <c r="J5463" s="669" t="s">
        <v>5805</v>
      </c>
    </row>
    <row r="5464" spans="1:29" x14ac:dyDescent="0.25">
      <c r="A5464" s="309" t="s">
        <v>1379</v>
      </c>
      <c r="B5464" s="310" t="s">
        <v>2269</v>
      </c>
      <c r="C5464" s="310"/>
      <c r="D5464" s="310" t="s">
        <v>1380</v>
      </c>
      <c r="E5464" s="310"/>
      <c r="F5464" s="475"/>
      <c r="G5464" s="475"/>
      <c r="H5464" s="671" t="str">
        <f t="shared" si="1913"/>
        <v/>
      </c>
      <c r="I5464" s="736"/>
      <c r="J5464" s="669" t="s">
        <v>5805</v>
      </c>
    </row>
    <row r="5465" spans="1:29" x14ac:dyDescent="0.25">
      <c r="A5465" s="309" t="s">
        <v>1381</v>
      </c>
      <c r="B5465" s="310" t="s">
        <v>2269</v>
      </c>
      <c r="C5465" s="310"/>
      <c r="D5465" s="310" t="s">
        <v>1382</v>
      </c>
      <c r="E5465" s="310"/>
      <c r="F5465" s="475"/>
      <c r="G5465" s="475"/>
      <c r="H5465" s="671" t="str">
        <f t="shared" si="1913"/>
        <v/>
      </c>
      <c r="I5465" s="736"/>
      <c r="J5465" s="669" t="s">
        <v>5805</v>
      </c>
    </row>
    <row r="5466" spans="1:29" x14ac:dyDescent="0.25">
      <c r="A5466" s="309" t="s">
        <v>1383</v>
      </c>
      <c r="B5466" s="310" t="s">
        <v>2269</v>
      </c>
      <c r="C5466" s="310"/>
      <c r="D5466" s="310" t="s">
        <v>1384</v>
      </c>
      <c r="E5466" s="310"/>
      <c r="F5466" s="475"/>
      <c r="G5466" s="475"/>
      <c r="H5466" s="671" t="str">
        <f t="shared" si="1913"/>
        <v/>
      </c>
      <c r="I5466" s="736"/>
      <c r="J5466" s="669" t="s">
        <v>5805</v>
      </c>
    </row>
    <row r="5467" spans="1:29" x14ac:dyDescent="0.25">
      <c r="A5467" s="309" t="s">
        <v>1385</v>
      </c>
      <c r="B5467" s="310" t="s">
        <v>2269</v>
      </c>
      <c r="C5467" s="310"/>
      <c r="D5467" s="310" t="s">
        <v>1386</v>
      </c>
      <c r="E5467" s="310"/>
      <c r="F5467" s="475"/>
      <c r="G5467" s="475"/>
      <c r="H5467" s="671" t="str">
        <f t="shared" si="1913"/>
        <v/>
      </c>
      <c r="I5467" s="736"/>
      <c r="J5467" s="669" t="s">
        <v>5805</v>
      </c>
    </row>
    <row r="5468" spans="1:29" x14ac:dyDescent="0.25">
      <c r="A5468" s="309" t="s">
        <v>1387</v>
      </c>
      <c r="B5468" s="310" t="s">
        <v>2269</v>
      </c>
      <c r="C5468" s="310"/>
      <c r="D5468" s="310" t="s">
        <v>1388</v>
      </c>
      <c r="E5468" s="310"/>
      <c r="F5468" s="475"/>
      <c r="G5468" s="475"/>
      <c r="H5468" s="671" t="str">
        <f t="shared" si="1913"/>
        <v/>
      </c>
      <c r="I5468" s="736"/>
      <c r="J5468" s="669" t="s">
        <v>5805</v>
      </c>
    </row>
    <row r="5469" spans="1:29" x14ac:dyDescent="0.25">
      <c r="A5469" s="309" t="s">
        <v>1389</v>
      </c>
      <c r="B5469" s="310" t="s">
        <v>2269</v>
      </c>
      <c r="C5469" s="310"/>
      <c r="D5469" s="310" t="s">
        <v>1390</v>
      </c>
      <c r="E5469" s="310"/>
      <c r="F5469" s="475"/>
      <c r="G5469" s="475"/>
      <c r="H5469" s="671" t="str">
        <f t="shared" si="1913"/>
        <v/>
      </c>
      <c r="I5469" s="736"/>
      <c r="J5469" s="669" t="s">
        <v>5805</v>
      </c>
    </row>
    <row r="5470" spans="1:29" x14ac:dyDescent="0.25">
      <c r="A5470" s="309" t="s">
        <v>1391</v>
      </c>
      <c r="B5470" s="310" t="s">
        <v>2269</v>
      </c>
      <c r="C5470" s="310"/>
      <c r="D5470" s="310" t="s">
        <v>1392</v>
      </c>
      <c r="E5470" s="310"/>
      <c r="F5470" s="475"/>
      <c r="G5470" s="475"/>
      <c r="H5470" s="671" t="str">
        <f t="shared" si="1913"/>
        <v/>
      </c>
      <c r="I5470" s="736"/>
      <c r="J5470" s="669" t="s">
        <v>5805</v>
      </c>
    </row>
    <row r="5471" spans="1:29" x14ac:dyDescent="0.25">
      <c r="A5471" s="309" t="s">
        <v>1393</v>
      </c>
      <c r="B5471" s="310" t="s">
        <v>2269</v>
      </c>
      <c r="C5471" s="310"/>
      <c r="D5471" s="310" t="s">
        <v>1394</v>
      </c>
      <c r="E5471" s="310"/>
      <c r="F5471" s="475"/>
      <c r="G5471" s="475"/>
      <c r="H5471" s="671" t="str">
        <f t="shared" si="1913"/>
        <v/>
      </c>
      <c r="I5471" s="736"/>
      <c r="J5471" s="669" t="s">
        <v>5805</v>
      </c>
    </row>
    <row r="5472" spans="1:29" x14ac:dyDescent="0.25">
      <c r="A5472" s="309" t="s">
        <v>1395</v>
      </c>
      <c r="B5472" s="310" t="s">
        <v>2269</v>
      </c>
      <c r="C5472" s="310"/>
      <c r="D5472" s="310" t="s">
        <v>1396</v>
      </c>
      <c r="E5472" s="310"/>
      <c r="F5472" s="475"/>
      <c r="G5472" s="475"/>
      <c r="H5472" s="671" t="str">
        <f t="shared" si="1913"/>
        <v/>
      </c>
      <c r="I5472" s="736"/>
      <c r="J5472" s="669" t="s">
        <v>5805</v>
      </c>
    </row>
    <row r="5473" spans="1:10" x14ac:dyDescent="0.25">
      <c r="A5473" s="309" t="s">
        <v>1397</v>
      </c>
      <c r="B5473" s="310" t="s">
        <v>2269</v>
      </c>
      <c r="C5473" s="310"/>
      <c r="D5473" s="310" t="s">
        <v>1398</v>
      </c>
      <c r="E5473" s="310"/>
      <c r="F5473" s="475"/>
      <c r="G5473" s="475"/>
      <c r="H5473" s="671" t="str">
        <f t="shared" si="1913"/>
        <v/>
      </c>
      <c r="I5473" s="736"/>
      <c r="J5473" s="669" t="s">
        <v>5805</v>
      </c>
    </row>
    <row r="5474" spans="1:10" x14ac:dyDescent="0.25">
      <c r="A5474" s="312"/>
      <c r="B5474" s="313"/>
      <c r="C5474" s="313"/>
      <c r="D5474" s="313"/>
      <c r="E5474" s="313"/>
      <c r="F5474" s="476"/>
      <c r="G5474" s="672"/>
      <c r="H5474" s="769" t="str">
        <f t="shared" si="1913"/>
        <v/>
      </c>
      <c r="J5474" s="669" t="s">
        <v>4180</v>
      </c>
    </row>
    <row r="5475" spans="1:10" x14ac:dyDescent="0.25">
      <c r="A5475" s="309" t="s">
        <v>1399</v>
      </c>
      <c r="B5475" s="310" t="s">
        <v>5548</v>
      </c>
      <c r="C5475" s="310"/>
      <c r="D5475" s="310" t="s">
        <v>1376</v>
      </c>
      <c r="E5475" s="310"/>
      <c r="F5475" s="475"/>
      <c r="G5475" s="475"/>
      <c r="H5475" s="671" t="str">
        <f t="shared" si="1913"/>
        <v/>
      </c>
      <c r="I5475" s="736"/>
      <c r="J5475" s="669" t="s">
        <v>5805</v>
      </c>
    </row>
    <row r="5476" spans="1:10" x14ac:dyDescent="0.25">
      <c r="A5476" s="309" t="s">
        <v>1400</v>
      </c>
      <c r="B5476" s="310" t="s">
        <v>5548</v>
      </c>
      <c r="C5476" s="310"/>
      <c r="D5476" s="310" t="s">
        <v>1378</v>
      </c>
      <c r="E5476" s="310"/>
      <c r="F5476" s="475"/>
      <c r="G5476" s="475"/>
      <c r="H5476" s="671" t="str">
        <f t="shared" si="1913"/>
        <v/>
      </c>
      <c r="I5476" s="736"/>
      <c r="J5476" s="669" t="s">
        <v>5805</v>
      </c>
    </row>
    <row r="5477" spans="1:10" x14ac:dyDescent="0.25">
      <c r="A5477" s="309" t="s">
        <v>1401</v>
      </c>
      <c r="B5477" s="310" t="s">
        <v>5548</v>
      </c>
      <c r="C5477" s="310"/>
      <c r="D5477" s="310" t="s">
        <v>1380</v>
      </c>
      <c r="E5477" s="310"/>
      <c r="F5477" s="475"/>
      <c r="G5477" s="475"/>
      <c r="H5477" s="671" t="str">
        <f t="shared" si="1913"/>
        <v/>
      </c>
      <c r="I5477" s="736"/>
      <c r="J5477" s="669" t="s">
        <v>5805</v>
      </c>
    </row>
    <row r="5478" spans="1:10" x14ac:dyDescent="0.25">
      <c r="A5478" s="309" t="s">
        <v>1402</v>
      </c>
      <c r="B5478" s="310" t="s">
        <v>5548</v>
      </c>
      <c r="C5478" s="310"/>
      <c r="D5478" s="310" t="s">
        <v>1382</v>
      </c>
      <c r="E5478" s="310"/>
      <c r="F5478" s="475"/>
      <c r="G5478" s="475"/>
      <c r="H5478" s="671" t="str">
        <f t="shared" si="1913"/>
        <v/>
      </c>
      <c r="I5478" s="736"/>
      <c r="J5478" s="669" t="s">
        <v>5805</v>
      </c>
    </row>
    <row r="5479" spans="1:10" x14ac:dyDescent="0.25">
      <c r="A5479" s="309" t="s">
        <v>1403</v>
      </c>
      <c r="B5479" s="310" t="s">
        <v>5548</v>
      </c>
      <c r="C5479" s="310"/>
      <c r="D5479" s="310" t="s">
        <v>1384</v>
      </c>
      <c r="E5479" s="310"/>
      <c r="F5479" s="475"/>
      <c r="G5479" s="475"/>
      <c r="H5479" s="671" t="str">
        <f t="shared" si="1913"/>
        <v/>
      </c>
      <c r="I5479" s="736"/>
      <c r="J5479" s="669" t="s">
        <v>5805</v>
      </c>
    </row>
    <row r="5480" spans="1:10" x14ac:dyDescent="0.25">
      <c r="A5480" s="309" t="s">
        <v>1404</v>
      </c>
      <c r="B5480" s="310" t="s">
        <v>5548</v>
      </c>
      <c r="C5480" s="310"/>
      <c r="D5480" s="310" t="s">
        <v>1386</v>
      </c>
      <c r="E5480" s="310"/>
      <c r="F5480" s="475"/>
      <c r="G5480" s="475"/>
      <c r="H5480" s="671" t="str">
        <f t="shared" si="1913"/>
        <v/>
      </c>
      <c r="I5480" s="736"/>
      <c r="J5480" s="669" t="s">
        <v>5805</v>
      </c>
    </row>
    <row r="5481" spans="1:10" x14ac:dyDescent="0.25">
      <c r="A5481" s="309" t="s">
        <v>1405</v>
      </c>
      <c r="B5481" s="310" t="s">
        <v>5548</v>
      </c>
      <c r="C5481" s="310"/>
      <c r="D5481" s="310" t="s">
        <v>1388</v>
      </c>
      <c r="E5481" s="310"/>
      <c r="F5481" s="475"/>
      <c r="G5481" s="475"/>
      <c r="H5481" s="671" t="str">
        <f t="shared" si="1913"/>
        <v/>
      </c>
      <c r="I5481" s="736"/>
      <c r="J5481" s="669" t="s">
        <v>5805</v>
      </c>
    </row>
    <row r="5482" spans="1:10" x14ac:dyDescent="0.25">
      <c r="A5482" s="309" t="s">
        <v>1406</v>
      </c>
      <c r="B5482" s="310" t="s">
        <v>5548</v>
      </c>
      <c r="C5482" s="310"/>
      <c r="D5482" s="310" t="s">
        <v>1390</v>
      </c>
      <c r="E5482" s="310"/>
      <c r="F5482" s="475"/>
      <c r="G5482" s="475"/>
      <c r="H5482" s="671" t="str">
        <f t="shared" si="1913"/>
        <v/>
      </c>
      <c r="I5482" s="736"/>
      <c r="J5482" s="669" t="s">
        <v>5805</v>
      </c>
    </row>
    <row r="5483" spans="1:10" x14ac:dyDescent="0.25">
      <c r="A5483" s="309" t="s">
        <v>1407</v>
      </c>
      <c r="B5483" s="310" t="s">
        <v>5548</v>
      </c>
      <c r="C5483" s="310"/>
      <c r="D5483" s="310" t="s">
        <v>1392</v>
      </c>
      <c r="E5483" s="310"/>
      <c r="F5483" s="475"/>
      <c r="G5483" s="475"/>
      <c r="H5483" s="671" t="str">
        <f t="shared" si="1913"/>
        <v/>
      </c>
      <c r="I5483" s="736"/>
      <c r="J5483" s="669" t="s">
        <v>5805</v>
      </c>
    </row>
    <row r="5484" spans="1:10" x14ac:dyDescent="0.25">
      <c r="A5484" s="309" t="s">
        <v>1408</v>
      </c>
      <c r="B5484" s="310" t="s">
        <v>5548</v>
      </c>
      <c r="C5484" s="310"/>
      <c r="D5484" s="310" t="s">
        <v>1394</v>
      </c>
      <c r="E5484" s="310"/>
      <c r="F5484" s="475"/>
      <c r="G5484" s="475"/>
      <c r="H5484" s="671" t="str">
        <f t="shared" si="1913"/>
        <v/>
      </c>
      <c r="I5484" s="736"/>
      <c r="J5484" s="669" t="s">
        <v>5805</v>
      </c>
    </row>
    <row r="5485" spans="1:10" x14ac:dyDescent="0.25">
      <c r="A5485" s="309" t="s">
        <v>1409</v>
      </c>
      <c r="B5485" s="310" t="s">
        <v>5548</v>
      </c>
      <c r="C5485" s="310"/>
      <c r="D5485" s="310" t="s">
        <v>1396</v>
      </c>
      <c r="E5485" s="310"/>
      <c r="F5485" s="475"/>
      <c r="G5485" s="475"/>
      <c r="H5485" s="671" t="str">
        <f t="shared" si="1913"/>
        <v/>
      </c>
      <c r="I5485" s="736"/>
      <c r="J5485" s="669" t="s">
        <v>5805</v>
      </c>
    </row>
    <row r="5486" spans="1:10" x14ac:dyDescent="0.25">
      <c r="A5486" s="309" t="s">
        <v>1410</v>
      </c>
      <c r="B5486" s="310" t="s">
        <v>5548</v>
      </c>
      <c r="C5486" s="310"/>
      <c r="D5486" s="310" t="s">
        <v>1398</v>
      </c>
      <c r="E5486" s="310"/>
      <c r="F5486" s="475"/>
      <c r="G5486" s="475"/>
      <c r="H5486" s="671" t="str">
        <f t="shared" si="1913"/>
        <v/>
      </c>
      <c r="I5486" s="736"/>
      <c r="J5486" s="669" t="s">
        <v>5805</v>
      </c>
    </row>
    <row r="5487" spans="1:10" x14ac:dyDescent="0.25">
      <c r="A5487" s="312"/>
      <c r="B5487" s="313"/>
      <c r="C5487" s="313"/>
      <c r="D5487" s="313"/>
      <c r="E5487" s="313"/>
      <c r="F5487" s="476"/>
      <c r="G5487" s="672"/>
      <c r="H5487" s="769" t="str">
        <f t="shared" si="1913"/>
        <v/>
      </c>
      <c r="J5487" s="669" t="s">
        <v>4180</v>
      </c>
    </row>
    <row r="5488" spans="1:10" x14ac:dyDescent="0.25">
      <c r="A5488" s="309" t="s">
        <v>1411</v>
      </c>
      <c r="B5488" s="310" t="s">
        <v>4847</v>
      </c>
      <c r="C5488" s="310"/>
      <c r="D5488" s="310" t="s">
        <v>1376</v>
      </c>
      <c r="E5488" s="310"/>
      <c r="F5488" s="475"/>
      <c r="G5488" s="475"/>
      <c r="H5488" s="671" t="str">
        <f t="shared" si="1913"/>
        <v/>
      </c>
      <c r="I5488" s="736"/>
      <c r="J5488" s="669" t="s">
        <v>5805</v>
      </c>
    </row>
    <row r="5489" spans="1:10" x14ac:dyDescent="0.25">
      <c r="A5489" s="309" t="s">
        <v>1412</v>
      </c>
      <c r="B5489" s="310" t="s">
        <v>4847</v>
      </c>
      <c r="C5489" s="310"/>
      <c r="D5489" s="310" t="s">
        <v>1378</v>
      </c>
      <c r="E5489" s="310"/>
      <c r="F5489" s="475"/>
      <c r="G5489" s="475"/>
      <c r="H5489" s="671" t="str">
        <f t="shared" si="1913"/>
        <v/>
      </c>
      <c r="I5489" s="736"/>
      <c r="J5489" s="669" t="s">
        <v>5805</v>
      </c>
    </row>
    <row r="5490" spans="1:10" x14ac:dyDescent="0.25">
      <c r="A5490" s="309" t="s">
        <v>1413</v>
      </c>
      <c r="B5490" s="310" t="s">
        <v>4847</v>
      </c>
      <c r="C5490" s="310"/>
      <c r="D5490" s="310" t="s">
        <v>1380</v>
      </c>
      <c r="E5490" s="310"/>
      <c r="F5490" s="475"/>
      <c r="G5490" s="475"/>
      <c r="H5490" s="671" t="str">
        <f t="shared" si="1913"/>
        <v/>
      </c>
      <c r="I5490" s="736"/>
      <c r="J5490" s="669" t="s">
        <v>5805</v>
      </c>
    </row>
    <row r="5491" spans="1:10" x14ac:dyDescent="0.25">
      <c r="A5491" s="309" t="s">
        <v>1414</v>
      </c>
      <c r="B5491" s="310" t="s">
        <v>4847</v>
      </c>
      <c r="C5491" s="310"/>
      <c r="D5491" s="310" t="s">
        <v>1382</v>
      </c>
      <c r="E5491" s="310"/>
      <c r="F5491" s="475"/>
      <c r="G5491" s="475"/>
      <c r="H5491" s="671" t="str">
        <f t="shared" si="1913"/>
        <v/>
      </c>
      <c r="I5491" s="736"/>
      <c r="J5491" s="669" t="s">
        <v>5805</v>
      </c>
    </row>
    <row r="5492" spans="1:10" x14ac:dyDescent="0.25">
      <c r="A5492" s="309" t="s">
        <v>1415</v>
      </c>
      <c r="B5492" s="310" t="s">
        <v>4847</v>
      </c>
      <c r="C5492" s="310"/>
      <c r="D5492" s="310" t="s">
        <v>1384</v>
      </c>
      <c r="E5492" s="310"/>
      <c r="F5492" s="475"/>
      <c r="G5492" s="475"/>
      <c r="H5492" s="671" t="str">
        <f t="shared" si="1913"/>
        <v/>
      </c>
      <c r="I5492" s="736"/>
      <c r="J5492" s="669" t="s">
        <v>5805</v>
      </c>
    </row>
    <row r="5493" spans="1:10" x14ac:dyDescent="0.25">
      <c r="A5493" s="309" t="s">
        <v>1416</v>
      </c>
      <c r="B5493" s="310" t="s">
        <v>4847</v>
      </c>
      <c r="C5493" s="310"/>
      <c r="D5493" s="310" t="s">
        <v>1386</v>
      </c>
      <c r="E5493" s="310"/>
      <c r="F5493" s="475"/>
      <c r="G5493" s="475"/>
      <c r="H5493" s="671" t="str">
        <f t="shared" si="1913"/>
        <v/>
      </c>
      <c r="I5493" s="736"/>
      <c r="J5493" s="669" t="s">
        <v>5805</v>
      </c>
    </row>
    <row r="5494" spans="1:10" x14ac:dyDescent="0.25">
      <c r="A5494" s="309" t="s">
        <v>1417</v>
      </c>
      <c r="B5494" s="310" t="s">
        <v>4847</v>
      </c>
      <c r="C5494" s="310"/>
      <c r="D5494" s="310" t="s">
        <v>1388</v>
      </c>
      <c r="E5494" s="310"/>
      <c r="F5494" s="475"/>
      <c r="G5494" s="475"/>
      <c r="H5494" s="671" t="str">
        <f t="shared" si="1913"/>
        <v/>
      </c>
      <c r="I5494" s="736"/>
      <c r="J5494" s="669" t="s">
        <v>5805</v>
      </c>
    </row>
    <row r="5495" spans="1:10" x14ac:dyDescent="0.25">
      <c r="A5495" s="309" t="s">
        <v>1418</v>
      </c>
      <c r="B5495" s="310" t="s">
        <v>4847</v>
      </c>
      <c r="C5495" s="310"/>
      <c r="D5495" s="310" t="s">
        <v>1390</v>
      </c>
      <c r="E5495" s="310"/>
      <c r="F5495" s="475"/>
      <c r="G5495" s="475"/>
      <c r="H5495" s="671" t="str">
        <f t="shared" si="1913"/>
        <v/>
      </c>
      <c r="I5495" s="736"/>
      <c r="J5495" s="669" t="s">
        <v>5805</v>
      </c>
    </row>
    <row r="5496" spans="1:10" x14ac:dyDescent="0.25">
      <c r="A5496" s="309" t="s">
        <v>1419</v>
      </c>
      <c r="B5496" s="310" t="s">
        <v>4847</v>
      </c>
      <c r="C5496" s="310"/>
      <c r="D5496" s="310" t="s">
        <v>1392</v>
      </c>
      <c r="E5496" s="310"/>
      <c r="F5496" s="475"/>
      <c r="G5496" s="475"/>
      <c r="H5496" s="671" t="str">
        <f t="shared" si="1913"/>
        <v/>
      </c>
      <c r="I5496" s="736"/>
      <c r="J5496" s="669" t="s">
        <v>5805</v>
      </c>
    </row>
    <row r="5497" spans="1:10" x14ac:dyDescent="0.25">
      <c r="A5497" s="309" t="s">
        <v>1420</v>
      </c>
      <c r="B5497" s="310" t="s">
        <v>4847</v>
      </c>
      <c r="C5497" s="310"/>
      <c r="D5497" s="310" t="s">
        <v>1394</v>
      </c>
      <c r="E5497" s="310"/>
      <c r="F5497" s="475"/>
      <c r="G5497" s="475"/>
      <c r="H5497" s="671" t="str">
        <f t="shared" si="1913"/>
        <v/>
      </c>
      <c r="I5497" s="736"/>
      <c r="J5497" s="669" t="s">
        <v>5805</v>
      </c>
    </row>
    <row r="5498" spans="1:10" x14ac:dyDescent="0.25">
      <c r="A5498" s="309" t="s">
        <v>1421</v>
      </c>
      <c r="B5498" s="310" t="s">
        <v>4847</v>
      </c>
      <c r="C5498" s="310"/>
      <c r="D5498" s="310" t="s">
        <v>1396</v>
      </c>
      <c r="E5498" s="310"/>
      <c r="F5498" s="475"/>
      <c r="G5498" s="475"/>
      <c r="H5498" s="671" t="str">
        <f t="shared" si="1913"/>
        <v/>
      </c>
      <c r="I5498" s="736"/>
      <c r="J5498" s="669" t="s">
        <v>5805</v>
      </c>
    </row>
    <row r="5499" spans="1:10" x14ac:dyDescent="0.25">
      <c r="A5499" s="309" t="s">
        <v>1422</v>
      </c>
      <c r="B5499" s="310" t="s">
        <v>4847</v>
      </c>
      <c r="C5499" s="310"/>
      <c r="D5499" s="310" t="s">
        <v>1398</v>
      </c>
      <c r="E5499" s="310"/>
      <c r="F5499" s="475"/>
      <c r="G5499" s="475"/>
      <c r="H5499" s="671" t="str">
        <f t="shared" si="1913"/>
        <v/>
      </c>
      <c r="I5499" s="736"/>
      <c r="J5499" s="669" t="s">
        <v>5805</v>
      </c>
    </row>
    <row r="5500" spans="1:10" x14ac:dyDescent="0.25">
      <c r="A5500" s="312"/>
      <c r="B5500" s="313"/>
      <c r="C5500" s="313"/>
      <c r="D5500" s="313"/>
      <c r="E5500" s="313"/>
      <c r="F5500" s="476"/>
      <c r="G5500" s="672"/>
      <c r="H5500" s="769" t="str">
        <f t="shared" si="1913"/>
        <v/>
      </c>
      <c r="J5500" s="669" t="s">
        <v>4180</v>
      </c>
    </row>
    <row r="5501" spans="1:10" x14ac:dyDescent="0.25">
      <c r="A5501" s="309" t="s">
        <v>1423</v>
      </c>
      <c r="B5501" s="310" t="s">
        <v>5406</v>
      </c>
      <c r="C5501" s="310"/>
      <c r="D5501" s="310" t="s">
        <v>1376</v>
      </c>
      <c r="E5501" s="310"/>
      <c r="F5501" s="475"/>
      <c r="G5501" s="475"/>
      <c r="H5501" s="671" t="str">
        <f t="shared" si="1913"/>
        <v/>
      </c>
      <c r="I5501" s="736"/>
      <c r="J5501" s="669" t="s">
        <v>5805</v>
      </c>
    </row>
    <row r="5502" spans="1:10" x14ac:dyDescent="0.25">
      <c r="A5502" s="309" t="s">
        <v>1424</v>
      </c>
      <c r="B5502" s="310" t="s">
        <v>5406</v>
      </c>
      <c r="C5502" s="310"/>
      <c r="D5502" s="310" t="s">
        <v>1378</v>
      </c>
      <c r="E5502" s="310"/>
      <c r="F5502" s="475"/>
      <c r="G5502" s="475"/>
      <c r="H5502" s="671" t="str">
        <f t="shared" si="1913"/>
        <v/>
      </c>
      <c r="I5502" s="736"/>
      <c r="J5502" s="669" t="s">
        <v>5805</v>
      </c>
    </row>
    <row r="5503" spans="1:10" x14ac:dyDescent="0.25">
      <c r="A5503" s="309" t="s">
        <v>1425</v>
      </c>
      <c r="B5503" s="310" t="s">
        <v>5406</v>
      </c>
      <c r="C5503" s="310"/>
      <c r="D5503" s="310" t="s">
        <v>1380</v>
      </c>
      <c r="E5503" s="310"/>
      <c r="F5503" s="475"/>
      <c r="G5503" s="475"/>
      <c r="H5503" s="671" t="str">
        <f t="shared" si="1913"/>
        <v/>
      </c>
      <c r="I5503" s="736"/>
      <c r="J5503" s="669" t="s">
        <v>5805</v>
      </c>
    </row>
    <row r="5504" spans="1:10" x14ac:dyDescent="0.25">
      <c r="A5504" s="309" t="s">
        <v>1426</v>
      </c>
      <c r="B5504" s="310" t="s">
        <v>5406</v>
      </c>
      <c r="C5504" s="310"/>
      <c r="D5504" s="310" t="s">
        <v>1382</v>
      </c>
      <c r="E5504" s="310"/>
      <c r="F5504" s="475"/>
      <c r="G5504" s="475"/>
      <c r="H5504" s="671" t="str">
        <f t="shared" ref="H5504:H5567" si="1914">IF(ISNUMBER(G5504),ROUND(0.8*G5504,2),"")</f>
        <v/>
      </c>
      <c r="I5504" s="736"/>
      <c r="J5504" s="669" t="s">
        <v>5805</v>
      </c>
    </row>
    <row r="5505" spans="1:10" x14ac:dyDescent="0.25">
      <c r="A5505" s="309" t="s">
        <v>1427</v>
      </c>
      <c r="B5505" s="310" t="s">
        <v>5406</v>
      </c>
      <c r="C5505" s="310"/>
      <c r="D5505" s="310" t="s">
        <v>1384</v>
      </c>
      <c r="E5505" s="310"/>
      <c r="F5505" s="475"/>
      <c r="G5505" s="475"/>
      <c r="H5505" s="671" t="str">
        <f t="shared" si="1914"/>
        <v/>
      </c>
      <c r="I5505" s="736"/>
      <c r="J5505" s="669" t="s">
        <v>5805</v>
      </c>
    </row>
    <row r="5506" spans="1:10" x14ac:dyDescent="0.25">
      <c r="A5506" s="309" t="s">
        <v>1428</v>
      </c>
      <c r="B5506" s="310" t="s">
        <v>5406</v>
      </c>
      <c r="C5506" s="310"/>
      <c r="D5506" s="310" t="s">
        <v>1386</v>
      </c>
      <c r="E5506" s="310"/>
      <c r="F5506" s="475"/>
      <c r="G5506" s="475"/>
      <c r="H5506" s="671" t="str">
        <f t="shared" si="1914"/>
        <v/>
      </c>
      <c r="I5506" s="736"/>
      <c r="J5506" s="669" t="s">
        <v>5805</v>
      </c>
    </row>
    <row r="5507" spans="1:10" x14ac:dyDescent="0.25">
      <c r="A5507" s="309" t="s">
        <v>1429</v>
      </c>
      <c r="B5507" s="310" t="s">
        <v>5406</v>
      </c>
      <c r="C5507" s="310"/>
      <c r="D5507" s="310" t="s">
        <v>1388</v>
      </c>
      <c r="E5507" s="310"/>
      <c r="F5507" s="475"/>
      <c r="G5507" s="475"/>
      <c r="H5507" s="671" t="str">
        <f t="shared" si="1914"/>
        <v/>
      </c>
      <c r="I5507" s="736"/>
      <c r="J5507" s="669" t="s">
        <v>5805</v>
      </c>
    </row>
    <row r="5508" spans="1:10" x14ac:dyDescent="0.25">
      <c r="A5508" s="309" t="s">
        <v>1430</v>
      </c>
      <c r="B5508" s="310" t="s">
        <v>5406</v>
      </c>
      <c r="C5508" s="310"/>
      <c r="D5508" s="310" t="s">
        <v>1390</v>
      </c>
      <c r="E5508" s="310"/>
      <c r="F5508" s="475"/>
      <c r="G5508" s="475"/>
      <c r="H5508" s="671" t="str">
        <f t="shared" si="1914"/>
        <v/>
      </c>
      <c r="I5508" s="736"/>
      <c r="J5508" s="669" t="s">
        <v>5805</v>
      </c>
    </row>
    <row r="5509" spans="1:10" x14ac:dyDescent="0.25">
      <c r="A5509" s="309" t="s">
        <v>1431</v>
      </c>
      <c r="B5509" s="310" t="s">
        <v>5406</v>
      </c>
      <c r="C5509" s="310"/>
      <c r="D5509" s="310" t="s">
        <v>1392</v>
      </c>
      <c r="E5509" s="310"/>
      <c r="F5509" s="475"/>
      <c r="G5509" s="475"/>
      <c r="H5509" s="671" t="str">
        <f t="shared" si="1914"/>
        <v/>
      </c>
      <c r="I5509" s="736"/>
      <c r="J5509" s="669" t="s">
        <v>5805</v>
      </c>
    </row>
    <row r="5510" spans="1:10" x14ac:dyDescent="0.25">
      <c r="A5510" s="309" t="s">
        <v>1432</v>
      </c>
      <c r="B5510" s="310" t="s">
        <v>5406</v>
      </c>
      <c r="C5510" s="310"/>
      <c r="D5510" s="310" t="s">
        <v>1394</v>
      </c>
      <c r="E5510" s="310"/>
      <c r="F5510" s="475"/>
      <c r="G5510" s="475"/>
      <c r="H5510" s="671" t="str">
        <f t="shared" si="1914"/>
        <v/>
      </c>
      <c r="I5510" s="736"/>
      <c r="J5510" s="669" t="s">
        <v>5805</v>
      </c>
    </row>
    <row r="5511" spans="1:10" x14ac:dyDescent="0.25">
      <c r="A5511" s="309" t="s">
        <v>1433</v>
      </c>
      <c r="B5511" s="310" t="s">
        <v>5406</v>
      </c>
      <c r="C5511" s="310"/>
      <c r="D5511" s="310" t="s">
        <v>1396</v>
      </c>
      <c r="E5511" s="310"/>
      <c r="F5511" s="475"/>
      <c r="G5511" s="475"/>
      <c r="H5511" s="671" t="str">
        <f t="shared" si="1914"/>
        <v/>
      </c>
      <c r="I5511" s="736"/>
      <c r="J5511" s="669" t="s">
        <v>5805</v>
      </c>
    </row>
    <row r="5512" spans="1:10" x14ac:dyDescent="0.25">
      <c r="A5512" s="309" t="s">
        <v>1434</v>
      </c>
      <c r="B5512" s="310" t="s">
        <v>5406</v>
      </c>
      <c r="C5512" s="310"/>
      <c r="D5512" s="310" t="s">
        <v>1398</v>
      </c>
      <c r="E5512" s="310"/>
      <c r="F5512" s="475"/>
      <c r="G5512" s="475"/>
      <c r="H5512" s="671" t="str">
        <f t="shared" si="1914"/>
        <v/>
      </c>
      <c r="I5512" s="736"/>
      <c r="J5512" s="669" t="s">
        <v>5805</v>
      </c>
    </row>
    <row r="5513" spans="1:10" x14ac:dyDescent="0.25">
      <c r="A5513" s="312"/>
      <c r="B5513" s="313"/>
      <c r="C5513" s="313"/>
      <c r="D5513" s="313"/>
      <c r="E5513" s="313"/>
      <c r="F5513" s="476"/>
      <c r="G5513" s="672"/>
      <c r="H5513" s="769" t="str">
        <f t="shared" si="1914"/>
        <v/>
      </c>
      <c r="J5513" s="669" t="s">
        <v>4180</v>
      </c>
    </row>
    <row r="5514" spans="1:10" x14ac:dyDescent="0.25">
      <c r="A5514" s="309" t="s">
        <v>1435</v>
      </c>
      <c r="B5514" s="310" t="s">
        <v>5411</v>
      </c>
      <c r="C5514" s="310"/>
      <c r="D5514" s="310" t="s">
        <v>1376</v>
      </c>
      <c r="E5514" s="310"/>
      <c r="F5514" s="475"/>
      <c r="G5514" s="475"/>
      <c r="H5514" s="671" t="str">
        <f t="shared" si="1914"/>
        <v/>
      </c>
      <c r="I5514" s="736"/>
      <c r="J5514" s="669" t="s">
        <v>5805</v>
      </c>
    </row>
    <row r="5515" spans="1:10" x14ac:dyDescent="0.25">
      <c r="A5515" s="309" t="s">
        <v>1436</v>
      </c>
      <c r="B5515" s="310" t="s">
        <v>5411</v>
      </c>
      <c r="C5515" s="310"/>
      <c r="D5515" s="310" t="s">
        <v>1378</v>
      </c>
      <c r="E5515" s="310"/>
      <c r="F5515" s="475"/>
      <c r="G5515" s="475"/>
      <c r="H5515" s="671" t="str">
        <f t="shared" si="1914"/>
        <v/>
      </c>
      <c r="I5515" s="736"/>
      <c r="J5515" s="669" t="s">
        <v>5805</v>
      </c>
    </row>
    <row r="5516" spans="1:10" x14ac:dyDescent="0.25">
      <c r="A5516" s="309" t="s">
        <v>1437</v>
      </c>
      <c r="B5516" s="310" t="s">
        <v>5411</v>
      </c>
      <c r="C5516" s="310"/>
      <c r="D5516" s="310" t="s">
        <v>1380</v>
      </c>
      <c r="E5516" s="310"/>
      <c r="F5516" s="475"/>
      <c r="G5516" s="475"/>
      <c r="H5516" s="671" t="str">
        <f t="shared" si="1914"/>
        <v/>
      </c>
      <c r="I5516" s="736"/>
      <c r="J5516" s="669" t="s">
        <v>5805</v>
      </c>
    </row>
    <row r="5517" spans="1:10" x14ac:dyDescent="0.25">
      <c r="A5517" s="309" t="s">
        <v>1438</v>
      </c>
      <c r="B5517" s="310" t="s">
        <v>5411</v>
      </c>
      <c r="C5517" s="310"/>
      <c r="D5517" s="310" t="s">
        <v>1382</v>
      </c>
      <c r="E5517" s="310"/>
      <c r="F5517" s="475"/>
      <c r="G5517" s="475"/>
      <c r="H5517" s="671" t="str">
        <f t="shared" si="1914"/>
        <v/>
      </c>
      <c r="I5517" s="736"/>
      <c r="J5517" s="669" t="s">
        <v>5805</v>
      </c>
    </row>
    <row r="5518" spans="1:10" x14ac:dyDescent="0.25">
      <c r="A5518" s="309" t="s">
        <v>5070</v>
      </c>
      <c r="B5518" s="310" t="s">
        <v>5411</v>
      </c>
      <c r="C5518" s="310"/>
      <c r="D5518" s="310" t="s">
        <v>1384</v>
      </c>
      <c r="E5518" s="310"/>
      <c r="F5518" s="475"/>
      <c r="G5518" s="475"/>
      <c r="H5518" s="671" t="str">
        <f t="shared" si="1914"/>
        <v/>
      </c>
      <c r="I5518" s="736"/>
      <c r="J5518" s="669" t="s">
        <v>5805</v>
      </c>
    </row>
    <row r="5519" spans="1:10" x14ac:dyDescent="0.25">
      <c r="A5519" s="309" t="s">
        <v>5071</v>
      </c>
      <c r="B5519" s="310" t="s">
        <v>5411</v>
      </c>
      <c r="C5519" s="310"/>
      <c r="D5519" s="310" t="s">
        <v>1386</v>
      </c>
      <c r="E5519" s="310"/>
      <c r="F5519" s="475"/>
      <c r="G5519" s="475"/>
      <c r="H5519" s="671" t="str">
        <f t="shared" si="1914"/>
        <v/>
      </c>
      <c r="I5519" s="736"/>
      <c r="J5519" s="669" t="s">
        <v>5805</v>
      </c>
    </row>
    <row r="5520" spans="1:10" x14ac:dyDescent="0.25">
      <c r="A5520" s="309" t="s">
        <v>5072</v>
      </c>
      <c r="B5520" s="310" t="s">
        <v>5411</v>
      </c>
      <c r="C5520" s="310"/>
      <c r="D5520" s="310" t="s">
        <v>1388</v>
      </c>
      <c r="E5520" s="310"/>
      <c r="F5520" s="475"/>
      <c r="G5520" s="475"/>
      <c r="H5520" s="671" t="str">
        <f t="shared" si="1914"/>
        <v/>
      </c>
      <c r="I5520" s="736"/>
      <c r="J5520" s="669" t="s">
        <v>5805</v>
      </c>
    </row>
    <row r="5521" spans="1:10" x14ac:dyDescent="0.25">
      <c r="A5521" s="309" t="s">
        <v>5073</v>
      </c>
      <c r="B5521" s="310" t="s">
        <v>5411</v>
      </c>
      <c r="C5521" s="310"/>
      <c r="D5521" s="310" t="s">
        <v>1390</v>
      </c>
      <c r="E5521" s="310"/>
      <c r="F5521" s="475"/>
      <c r="G5521" s="475"/>
      <c r="H5521" s="671" t="str">
        <f t="shared" si="1914"/>
        <v/>
      </c>
      <c r="I5521" s="736"/>
      <c r="J5521" s="669" t="s">
        <v>5805</v>
      </c>
    </row>
    <row r="5522" spans="1:10" x14ac:dyDescent="0.25">
      <c r="A5522" s="309" t="s">
        <v>5074</v>
      </c>
      <c r="B5522" s="310" t="s">
        <v>5411</v>
      </c>
      <c r="C5522" s="310"/>
      <c r="D5522" s="310" t="s">
        <v>1392</v>
      </c>
      <c r="E5522" s="310"/>
      <c r="F5522" s="475"/>
      <c r="G5522" s="475"/>
      <c r="H5522" s="671" t="str">
        <f t="shared" si="1914"/>
        <v/>
      </c>
      <c r="I5522" s="736"/>
      <c r="J5522" s="669" t="s">
        <v>5805</v>
      </c>
    </row>
    <row r="5523" spans="1:10" x14ac:dyDescent="0.25">
      <c r="A5523" s="309" t="s">
        <v>5075</v>
      </c>
      <c r="B5523" s="310" t="s">
        <v>5411</v>
      </c>
      <c r="C5523" s="310"/>
      <c r="D5523" s="310" t="s">
        <v>1394</v>
      </c>
      <c r="E5523" s="310"/>
      <c r="F5523" s="475"/>
      <c r="G5523" s="475"/>
      <c r="H5523" s="671" t="str">
        <f t="shared" si="1914"/>
        <v/>
      </c>
      <c r="I5523" s="736"/>
      <c r="J5523" s="669" t="s">
        <v>5805</v>
      </c>
    </row>
    <row r="5524" spans="1:10" x14ac:dyDescent="0.25">
      <c r="A5524" s="309" t="s">
        <v>5076</v>
      </c>
      <c r="B5524" s="310" t="s">
        <v>5411</v>
      </c>
      <c r="C5524" s="310"/>
      <c r="D5524" s="310" t="s">
        <v>1396</v>
      </c>
      <c r="E5524" s="310"/>
      <c r="F5524" s="475"/>
      <c r="G5524" s="475"/>
      <c r="H5524" s="671" t="str">
        <f t="shared" si="1914"/>
        <v/>
      </c>
      <c r="I5524" s="736"/>
      <c r="J5524" s="669" t="s">
        <v>5805</v>
      </c>
    </row>
    <row r="5525" spans="1:10" x14ac:dyDescent="0.25">
      <c r="A5525" s="309" t="s">
        <v>5077</v>
      </c>
      <c r="B5525" s="310" t="s">
        <v>5411</v>
      </c>
      <c r="C5525" s="310"/>
      <c r="D5525" s="310" t="s">
        <v>1398</v>
      </c>
      <c r="E5525" s="310"/>
      <c r="F5525" s="475"/>
      <c r="G5525" s="475"/>
      <c r="H5525" s="671" t="str">
        <f t="shared" si="1914"/>
        <v/>
      </c>
      <c r="I5525" s="736"/>
      <c r="J5525" s="669" t="s">
        <v>5805</v>
      </c>
    </row>
    <row r="5526" spans="1:10" x14ac:dyDescent="0.25">
      <c r="A5526" s="312"/>
      <c r="B5526" s="313"/>
      <c r="C5526" s="313"/>
      <c r="D5526" s="313"/>
      <c r="E5526" s="313"/>
      <c r="F5526" s="476"/>
      <c r="G5526" s="672"/>
      <c r="H5526" s="769" t="str">
        <f t="shared" si="1914"/>
        <v/>
      </c>
      <c r="J5526" s="669" t="s">
        <v>4180</v>
      </c>
    </row>
    <row r="5527" spans="1:10" x14ac:dyDescent="0.25">
      <c r="A5527" s="309" t="s">
        <v>5078</v>
      </c>
      <c r="B5527" s="310" t="s">
        <v>5412</v>
      </c>
      <c r="C5527" s="310"/>
      <c r="D5527" s="310" t="s">
        <v>1376</v>
      </c>
      <c r="E5527" s="310"/>
      <c r="F5527" s="475"/>
      <c r="G5527" s="475"/>
      <c r="H5527" s="671" t="str">
        <f t="shared" si="1914"/>
        <v/>
      </c>
      <c r="I5527" s="736"/>
      <c r="J5527" s="669" t="s">
        <v>5805</v>
      </c>
    </row>
    <row r="5528" spans="1:10" x14ac:dyDescent="0.25">
      <c r="A5528" s="309" t="s">
        <v>5079</v>
      </c>
      <c r="B5528" s="310" t="s">
        <v>5412</v>
      </c>
      <c r="C5528" s="310"/>
      <c r="D5528" s="310" t="s">
        <v>1378</v>
      </c>
      <c r="E5528" s="310"/>
      <c r="F5528" s="475"/>
      <c r="G5528" s="475"/>
      <c r="H5528" s="671" t="str">
        <f t="shared" si="1914"/>
        <v/>
      </c>
      <c r="I5528" s="736"/>
      <c r="J5528" s="669" t="s">
        <v>5805</v>
      </c>
    </row>
    <row r="5529" spans="1:10" x14ac:dyDescent="0.25">
      <c r="A5529" s="309" t="s">
        <v>5080</v>
      </c>
      <c r="B5529" s="310" t="s">
        <v>5412</v>
      </c>
      <c r="C5529" s="310"/>
      <c r="D5529" s="310" t="s">
        <v>1380</v>
      </c>
      <c r="E5529" s="310"/>
      <c r="F5529" s="475"/>
      <c r="G5529" s="475"/>
      <c r="H5529" s="671" t="str">
        <f t="shared" si="1914"/>
        <v/>
      </c>
      <c r="I5529" s="736"/>
      <c r="J5529" s="669" t="s">
        <v>5805</v>
      </c>
    </row>
    <row r="5530" spans="1:10" x14ac:dyDescent="0.25">
      <c r="A5530" s="309" t="s">
        <v>5081</v>
      </c>
      <c r="B5530" s="310" t="s">
        <v>5412</v>
      </c>
      <c r="C5530" s="310"/>
      <c r="D5530" s="310" t="s">
        <v>1382</v>
      </c>
      <c r="E5530" s="310"/>
      <c r="F5530" s="475"/>
      <c r="G5530" s="475"/>
      <c r="H5530" s="671" t="str">
        <f t="shared" si="1914"/>
        <v/>
      </c>
      <c r="I5530" s="736"/>
      <c r="J5530" s="669" t="s">
        <v>5805</v>
      </c>
    </row>
    <row r="5531" spans="1:10" x14ac:dyDescent="0.25">
      <c r="A5531" s="309" t="s">
        <v>5082</v>
      </c>
      <c r="B5531" s="310" t="s">
        <v>5412</v>
      </c>
      <c r="C5531" s="310"/>
      <c r="D5531" s="310" t="s">
        <v>1384</v>
      </c>
      <c r="E5531" s="310"/>
      <c r="F5531" s="475"/>
      <c r="G5531" s="475"/>
      <c r="H5531" s="671" t="str">
        <f t="shared" si="1914"/>
        <v/>
      </c>
      <c r="I5531" s="736"/>
      <c r="J5531" s="669" t="s">
        <v>5805</v>
      </c>
    </row>
    <row r="5532" spans="1:10" x14ac:dyDescent="0.25">
      <c r="A5532" s="309" t="s">
        <v>5083</v>
      </c>
      <c r="B5532" s="310" t="s">
        <v>5412</v>
      </c>
      <c r="C5532" s="310"/>
      <c r="D5532" s="310" t="s">
        <v>1386</v>
      </c>
      <c r="E5532" s="310"/>
      <c r="F5532" s="475"/>
      <c r="G5532" s="475"/>
      <c r="H5532" s="671" t="str">
        <f t="shared" si="1914"/>
        <v/>
      </c>
      <c r="I5532" s="736"/>
      <c r="J5532" s="669" t="s">
        <v>5805</v>
      </c>
    </row>
    <row r="5533" spans="1:10" x14ac:dyDescent="0.25">
      <c r="A5533" s="309" t="s">
        <v>5084</v>
      </c>
      <c r="B5533" s="310" t="s">
        <v>5412</v>
      </c>
      <c r="C5533" s="310"/>
      <c r="D5533" s="310" t="s">
        <v>1388</v>
      </c>
      <c r="E5533" s="310"/>
      <c r="F5533" s="475"/>
      <c r="G5533" s="475"/>
      <c r="H5533" s="671" t="str">
        <f t="shared" si="1914"/>
        <v/>
      </c>
      <c r="I5533" s="736"/>
      <c r="J5533" s="669" t="s">
        <v>5805</v>
      </c>
    </row>
    <row r="5534" spans="1:10" x14ac:dyDescent="0.25">
      <c r="A5534" s="309" t="s">
        <v>5085</v>
      </c>
      <c r="B5534" s="310" t="s">
        <v>5412</v>
      </c>
      <c r="C5534" s="310"/>
      <c r="D5534" s="310" t="s">
        <v>1390</v>
      </c>
      <c r="E5534" s="310"/>
      <c r="F5534" s="475"/>
      <c r="G5534" s="475"/>
      <c r="H5534" s="671" t="str">
        <f t="shared" si="1914"/>
        <v/>
      </c>
      <c r="I5534" s="736"/>
      <c r="J5534" s="669" t="s">
        <v>5805</v>
      </c>
    </row>
    <row r="5535" spans="1:10" x14ac:dyDescent="0.25">
      <c r="A5535" s="309" t="s">
        <v>5086</v>
      </c>
      <c r="B5535" s="310" t="s">
        <v>5412</v>
      </c>
      <c r="C5535" s="310"/>
      <c r="D5535" s="310" t="s">
        <v>1392</v>
      </c>
      <c r="E5535" s="310"/>
      <c r="F5535" s="475"/>
      <c r="G5535" s="475"/>
      <c r="H5535" s="671" t="str">
        <f t="shared" si="1914"/>
        <v/>
      </c>
      <c r="I5535" s="736"/>
      <c r="J5535" s="669" t="s">
        <v>5805</v>
      </c>
    </row>
    <row r="5536" spans="1:10" x14ac:dyDescent="0.25">
      <c r="A5536" s="309" t="s">
        <v>5087</v>
      </c>
      <c r="B5536" s="310" t="s">
        <v>5412</v>
      </c>
      <c r="C5536" s="310"/>
      <c r="D5536" s="310" t="s">
        <v>1394</v>
      </c>
      <c r="E5536" s="310"/>
      <c r="F5536" s="475"/>
      <c r="G5536" s="475"/>
      <c r="H5536" s="671" t="str">
        <f t="shared" si="1914"/>
        <v/>
      </c>
      <c r="I5536" s="736"/>
      <c r="J5536" s="669" t="s">
        <v>5805</v>
      </c>
    </row>
    <row r="5537" spans="1:10" x14ac:dyDescent="0.25">
      <c r="A5537" s="309" t="s">
        <v>5088</v>
      </c>
      <c r="B5537" s="310" t="s">
        <v>5412</v>
      </c>
      <c r="C5537" s="310"/>
      <c r="D5537" s="310" t="s">
        <v>1396</v>
      </c>
      <c r="E5537" s="310"/>
      <c r="F5537" s="475"/>
      <c r="G5537" s="475"/>
      <c r="H5537" s="671" t="str">
        <f t="shared" si="1914"/>
        <v/>
      </c>
      <c r="I5537" s="736"/>
      <c r="J5537" s="669" t="s">
        <v>5805</v>
      </c>
    </row>
    <row r="5538" spans="1:10" x14ac:dyDescent="0.25">
      <c r="A5538" s="309" t="s">
        <v>5089</v>
      </c>
      <c r="B5538" s="310" t="s">
        <v>5412</v>
      </c>
      <c r="C5538" s="310"/>
      <c r="D5538" s="310" t="s">
        <v>1398</v>
      </c>
      <c r="E5538" s="310"/>
      <c r="F5538" s="475"/>
      <c r="G5538" s="475"/>
      <c r="H5538" s="671" t="str">
        <f t="shared" si="1914"/>
        <v/>
      </c>
      <c r="I5538" s="736"/>
      <c r="J5538" s="669" t="s">
        <v>5805</v>
      </c>
    </row>
    <row r="5539" spans="1:10" x14ac:dyDescent="0.25">
      <c r="A5539" s="312"/>
      <c r="B5539" s="313"/>
      <c r="C5539" s="313"/>
      <c r="D5539" s="313"/>
      <c r="E5539" s="313"/>
      <c r="F5539" s="476"/>
      <c r="G5539" s="672"/>
      <c r="H5539" s="769" t="str">
        <f t="shared" si="1914"/>
        <v/>
      </c>
      <c r="J5539" s="669" t="s">
        <v>4180</v>
      </c>
    </row>
    <row r="5540" spans="1:10" x14ac:dyDescent="0.25">
      <c r="A5540" s="309" t="s">
        <v>5090</v>
      </c>
      <c r="B5540" s="310" t="s">
        <v>2034</v>
      </c>
      <c r="C5540" s="310"/>
      <c r="D5540" s="310" t="s">
        <v>1376</v>
      </c>
      <c r="E5540" s="310"/>
      <c r="F5540" s="475"/>
      <c r="G5540" s="475"/>
      <c r="H5540" s="671" t="str">
        <f t="shared" si="1914"/>
        <v/>
      </c>
      <c r="I5540" s="736"/>
      <c r="J5540" s="669" t="s">
        <v>5805</v>
      </c>
    </row>
    <row r="5541" spans="1:10" x14ac:dyDescent="0.25">
      <c r="A5541" s="309" t="s">
        <v>5091</v>
      </c>
      <c r="B5541" s="310" t="s">
        <v>2034</v>
      </c>
      <c r="C5541" s="310"/>
      <c r="D5541" s="310" t="s">
        <v>1378</v>
      </c>
      <c r="E5541" s="310"/>
      <c r="F5541" s="475"/>
      <c r="G5541" s="475"/>
      <c r="H5541" s="671" t="str">
        <f t="shared" si="1914"/>
        <v/>
      </c>
      <c r="I5541" s="736"/>
      <c r="J5541" s="669" t="s">
        <v>5805</v>
      </c>
    </row>
    <row r="5542" spans="1:10" x14ac:dyDescent="0.25">
      <c r="A5542" s="309" t="s">
        <v>5092</v>
      </c>
      <c r="B5542" s="310" t="s">
        <v>2034</v>
      </c>
      <c r="C5542" s="310"/>
      <c r="D5542" s="310" t="s">
        <v>1380</v>
      </c>
      <c r="E5542" s="310"/>
      <c r="F5542" s="475"/>
      <c r="G5542" s="475"/>
      <c r="H5542" s="671" t="str">
        <f t="shared" si="1914"/>
        <v/>
      </c>
      <c r="I5542" s="736"/>
      <c r="J5542" s="669" t="s">
        <v>5805</v>
      </c>
    </row>
    <row r="5543" spans="1:10" x14ac:dyDescent="0.25">
      <c r="A5543" s="309" t="s">
        <v>5093</v>
      </c>
      <c r="B5543" s="310" t="s">
        <v>2034</v>
      </c>
      <c r="C5543" s="310"/>
      <c r="D5543" s="310" t="s">
        <v>1382</v>
      </c>
      <c r="E5543" s="310"/>
      <c r="F5543" s="475"/>
      <c r="G5543" s="475"/>
      <c r="H5543" s="671" t="str">
        <f t="shared" si="1914"/>
        <v/>
      </c>
      <c r="I5543" s="736"/>
      <c r="J5543" s="669" t="s">
        <v>5805</v>
      </c>
    </row>
    <row r="5544" spans="1:10" x14ac:dyDescent="0.25">
      <c r="A5544" s="309" t="s">
        <v>5094</v>
      </c>
      <c r="B5544" s="310" t="s">
        <v>2034</v>
      </c>
      <c r="C5544" s="310"/>
      <c r="D5544" s="310" t="s">
        <v>1384</v>
      </c>
      <c r="E5544" s="310"/>
      <c r="F5544" s="475"/>
      <c r="G5544" s="475"/>
      <c r="H5544" s="671" t="str">
        <f t="shared" si="1914"/>
        <v/>
      </c>
      <c r="I5544" s="736"/>
      <c r="J5544" s="669" t="s">
        <v>5805</v>
      </c>
    </row>
    <row r="5545" spans="1:10" x14ac:dyDescent="0.25">
      <c r="A5545" s="309" t="s">
        <v>5095</v>
      </c>
      <c r="B5545" s="310" t="s">
        <v>2034</v>
      </c>
      <c r="C5545" s="310"/>
      <c r="D5545" s="310" t="s">
        <v>1386</v>
      </c>
      <c r="E5545" s="310"/>
      <c r="F5545" s="475"/>
      <c r="G5545" s="475"/>
      <c r="H5545" s="671" t="str">
        <f t="shared" si="1914"/>
        <v/>
      </c>
      <c r="I5545" s="736"/>
      <c r="J5545" s="669" t="s">
        <v>5805</v>
      </c>
    </row>
    <row r="5546" spans="1:10" x14ac:dyDescent="0.25">
      <c r="A5546" s="309" t="s">
        <v>5096</v>
      </c>
      <c r="B5546" s="310" t="s">
        <v>2034</v>
      </c>
      <c r="C5546" s="310"/>
      <c r="D5546" s="310" t="s">
        <v>1388</v>
      </c>
      <c r="E5546" s="310"/>
      <c r="F5546" s="475"/>
      <c r="G5546" s="475"/>
      <c r="H5546" s="671" t="str">
        <f t="shared" si="1914"/>
        <v/>
      </c>
      <c r="I5546" s="736"/>
      <c r="J5546" s="669" t="s">
        <v>5805</v>
      </c>
    </row>
    <row r="5547" spans="1:10" x14ac:dyDescent="0.25">
      <c r="A5547" s="309" t="s">
        <v>5097</v>
      </c>
      <c r="B5547" s="310" t="s">
        <v>2034</v>
      </c>
      <c r="C5547" s="310"/>
      <c r="D5547" s="310" t="s">
        <v>1390</v>
      </c>
      <c r="E5547" s="310"/>
      <c r="F5547" s="475"/>
      <c r="G5547" s="475"/>
      <c r="H5547" s="671" t="str">
        <f t="shared" si="1914"/>
        <v/>
      </c>
      <c r="I5547" s="736"/>
      <c r="J5547" s="669" t="s">
        <v>5805</v>
      </c>
    </row>
    <row r="5548" spans="1:10" x14ac:dyDescent="0.25">
      <c r="A5548" s="309" t="s">
        <v>5098</v>
      </c>
      <c r="B5548" s="310" t="s">
        <v>2034</v>
      </c>
      <c r="C5548" s="310"/>
      <c r="D5548" s="310" t="s">
        <v>1392</v>
      </c>
      <c r="E5548" s="310"/>
      <c r="F5548" s="475"/>
      <c r="G5548" s="475"/>
      <c r="H5548" s="671" t="str">
        <f t="shared" si="1914"/>
        <v/>
      </c>
      <c r="I5548" s="736"/>
      <c r="J5548" s="669" t="s">
        <v>5805</v>
      </c>
    </row>
    <row r="5549" spans="1:10" x14ac:dyDescent="0.25">
      <c r="A5549" s="309" t="s">
        <v>5099</v>
      </c>
      <c r="B5549" s="310" t="s">
        <v>2034</v>
      </c>
      <c r="C5549" s="310"/>
      <c r="D5549" s="310" t="s">
        <v>1394</v>
      </c>
      <c r="E5549" s="310"/>
      <c r="F5549" s="475"/>
      <c r="G5549" s="475"/>
      <c r="H5549" s="671" t="str">
        <f t="shared" si="1914"/>
        <v/>
      </c>
      <c r="I5549" s="736"/>
      <c r="J5549" s="669" t="s">
        <v>5805</v>
      </c>
    </row>
    <row r="5550" spans="1:10" x14ac:dyDescent="0.25">
      <c r="A5550" s="309" t="s">
        <v>5100</v>
      </c>
      <c r="B5550" s="310" t="s">
        <v>2034</v>
      </c>
      <c r="C5550" s="310"/>
      <c r="D5550" s="310" t="s">
        <v>1396</v>
      </c>
      <c r="E5550" s="310"/>
      <c r="F5550" s="475"/>
      <c r="G5550" s="475"/>
      <c r="H5550" s="671" t="str">
        <f t="shared" si="1914"/>
        <v/>
      </c>
      <c r="I5550" s="736"/>
      <c r="J5550" s="669" t="s">
        <v>5805</v>
      </c>
    </row>
    <row r="5551" spans="1:10" x14ac:dyDescent="0.25">
      <c r="A5551" s="309" t="s">
        <v>5101</v>
      </c>
      <c r="B5551" s="310" t="s">
        <v>2034</v>
      </c>
      <c r="C5551" s="310"/>
      <c r="D5551" s="310" t="s">
        <v>1398</v>
      </c>
      <c r="E5551" s="310"/>
      <c r="F5551" s="475"/>
      <c r="G5551" s="475"/>
      <c r="H5551" s="671" t="str">
        <f t="shared" si="1914"/>
        <v/>
      </c>
      <c r="I5551" s="736"/>
      <c r="J5551" s="669" t="s">
        <v>5805</v>
      </c>
    </row>
    <row r="5552" spans="1:10" x14ac:dyDescent="0.25">
      <c r="A5552" s="312"/>
      <c r="B5552" s="313"/>
      <c r="C5552" s="313"/>
      <c r="D5552" s="313"/>
      <c r="E5552" s="313"/>
      <c r="F5552" s="476"/>
      <c r="G5552" s="672"/>
      <c r="H5552" s="769" t="str">
        <f t="shared" si="1914"/>
        <v/>
      </c>
      <c r="J5552" s="669" t="s">
        <v>4180</v>
      </c>
    </row>
    <row r="5553" spans="1:10" x14ac:dyDescent="0.25">
      <c r="A5553" s="309" t="s">
        <v>5102</v>
      </c>
      <c r="B5553" s="310" t="s">
        <v>2067</v>
      </c>
      <c r="C5553" s="310"/>
      <c r="D5553" s="310" t="s">
        <v>1376</v>
      </c>
      <c r="E5553" s="310"/>
      <c r="F5553" s="475"/>
      <c r="G5553" s="475"/>
      <c r="H5553" s="671" t="str">
        <f t="shared" si="1914"/>
        <v/>
      </c>
      <c r="I5553" s="736"/>
      <c r="J5553" s="669">
        <v>42705</v>
      </c>
    </row>
    <row r="5554" spans="1:10" x14ac:dyDescent="0.25">
      <c r="A5554" s="309" t="s">
        <v>5103</v>
      </c>
      <c r="B5554" s="310" t="s">
        <v>2067</v>
      </c>
      <c r="C5554" s="310"/>
      <c r="D5554" s="310" t="s">
        <v>1378</v>
      </c>
      <c r="E5554" s="310"/>
      <c r="F5554" s="475"/>
      <c r="G5554" s="475"/>
      <c r="H5554" s="671" t="str">
        <f t="shared" si="1914"/>
        <v/>
      </c>
      <c r="I5554" s="736"/>
      <c r="J5554" s="669">
        <v>42705</v>
      </c>
    </row>
    <row r="5555" spans="1:10" x14ac:dyDescent="0.25">
      <c r="A5555" s="309" t="s">
        <v>5104</v>
      </c>
      <c r="B5555" s="310" t="s">
        <v>2067</v>
      </c>
      <c r="C5555" s="310"/>
      <c r="D5555" s="310" t="s">
        <v>1380</v>
      </c>
      <c r="E5555" s="310"/>
      <c r="F5555" s="475"/>
      <c r="G5555" s="475"/>
      <c r="H5555" s="671" t="str">
        <f t="shared" si="1914"/>
        <v/>
      </c>
      <c r="I5555" s="736"/>
      <c r="J5555" s="669">
        <v>42705</v>
      </c>
    </row>
    <row r="5556" spans="1:10" x14ac:dyDescent="0.25">
      <c r="A5556" s="309" t="s">
        <v>5105</v>
      </c>
      <c r="B5556" s="310" t="s">
        <v>2067</v>
      </c>
      <c r="C5556" s="310"/>
      <c r="D5556" s="310" t="s">
        <v>1382</v>
      </c>
      <c r="E5556" s="310"/>
      <c r="F5556" s="475"/>
      <c r="G5556" s="475"/>
      <c r="H5556" s="671" t="str">
        <f t="shared" si="1914"/>
        <v/>
      </c>
      <c r="I5556" s="736"/>
      <c r="J5556" s="669">
        <v>42705</v>
      </c>
    </row>
    <row r="5557" spans="1:10" x14ac:dyDescent="0.25">
      <c r="A5557" s="309" t="s">
        <v>5106</v>
      </c>
      <c r="B5557" s="310" t="s">
        <v>2067</v>
      </c>
      <c r="C5557" s="310"/>
      <c r="D5557" s="310" t="s">
        <v>1384</v>
      </c>
      <c r="E5557" s="310"/>
      <c r="F5557" s="475"/>
      <c r="G5557" s="475"/>
      <c r="H5557" s="671" t="str">
        <f t="shared" si="1914"/>
        <v/>
      </c>
      <c r="I5557" s="736"/>
      <c r="J5557" s="669">
        <v>42705</v>
      </c>
    </row>
    <row r="5558" spans="1:10" x14ac:dyDescent="0.25">
      <c r="A5558" s="309" t="s">
        <v>5107</v>
      </c>
      <c r="B5558" s="310" t="s">
        <v>2067</v>
      </c>
      <c r="C5558" s="310"/>
      <c r="D5558" s="310" t="s">
        <v>1386</v>
      </c>
      <c r="E5558" s="310"/>
      <c r="F5558" s="475"/>
      <c r="G5558" s="475"/>
      <c r="H5558" s="671" t="str">
        <f t="shared" si="1914"/>
        <v/>
      </c>
      <c r="I5558" s="736"/>
      <c r="J5558" s="669">
        <v>42705</v>
      </c>
    </row>
    <row r="5559" spans="1:10" x14ac:dyDescent="0.25">
      <c r="A5559" s="309" t="s">
        <v>5108</v>
      </c>
      <c r="B5559" s="310" t="s">
        <v>2067</v>
      </c>
      <c r="C5559" s="310"/>
      <c r="D5559" s="310" t="s">
        <v>1388</v>
      </c>
      <c r="E5559" s="310"/>
      <c r="F5559" s="475"/>
      <c r="G5559" s="475"/>
      <c r="H5559" s="671" t="str">
        <f t="shared" si="1914"/>
        <v/>
      </c>
      <c r="I5559" s="736"/>
      <c r="J5559" s="669">
        <v>42705</v>
      </c>
    </row>
    <row r="5560" spans="1:10" x14ac:dyDescent="0.25">
      <c r="A5560" s="309" t="s">
        <v>5109</v>
      </c>
      <c r="B5560" s="310" t="s">
        <v>2067</v>
      </c>
      <c r="C5560" s="310"/>
      <c r="D5560" s="310" t="s">
        <v>1390</v>
      </c>
      <c r="E5560" s="310"/>
      <c r="F5560" s="475"/>
      <c r="G5560" s="475"/>
      <c r="H5560" s="671" t="str">
        <f t="shared" si="1914"/>
        <v/>
      </c>
      <c r="I5560" s="736"/>
      <c r="J5560" s="669">
        <v>42705</v>
      </c>
    </row>
    <row r="5561" spans="1:10" x14ac:dyDescent="0.25">
      <c r="A5561" s="309" t="s">
        <v>5110</v>
      </c>
      <c r="B5561" s="310" t="s">
        <v>2067</v>
      </c>
      <c r="C5561" s="310"/>
      <c r="D5561" s="310" t="s">
        <v>1392</v>
      </c>
      <c r="E5561" s="310"/>
      <c r="F5561" s="475"/>
      <c r="G5561" s="475"/>
      <c r="H5561" s="671" t="str">
        <f t="shared" si="1914"/>
        <v/>
      </c>
      <c r="I5561" s="736"/>
      <c r="J5561" s="669">
        <v>42705</v>
      </c>
    </row>
    <row r="5562" spans="1:10" x14ac:dyDescent="0.25">
      <c r="A5562" s="309" t="s">
        <v>5111</v>
      </c>
      <c r="B5562" s="310" t="s">
        <v>2067</v>
      </c>
      <c r="C5562" s="310"/>
      <c r="D5562" s="310" t="s">
        <v>1394</v>
      </c>
      <c r="E5562" s="310"/>
      <c r="F5562" s="475"/>
      <c r="G5562" s="475"/>
      <c r="H5562" s="671" t="str">
        <f t="shared" si="1914"/>
        <v/>
      </c>
      <c r="I5562" s="736"/>
      <c r="J5562" s="669">
        <v>42705</v>
      </c>
    </row>
    <row r="5563" spans="1:10" x14ac:dyDescent="0.25">
      <c r="A5563" s="309" t="s">
        <v>5112</v>
      </c>
      <c r="B5563" s="310" t="s">
        <v>2067</v>
      </c>
      <c r="C5563" s="310"/>
      <c r="D5563" s="310" t="s">
        <v>1396</v>
      </c>
      <c r="E5563" s="310"/>
      <c r="F5563" s="475"/>
      <c r="G5563" s="475"/>
      <c r="H5563" s="671" t="str">
        <f t="shared" si="1914"/>
        <v/>
      </c>
      <c r="I5563" s="736"/>
      <c r="J5563" s="669">
        <v>42705</v>
      </c>
    </row>
    <row r="5564" spans="1:10" x14ac:dyDescent="0.25">
      <c r="A5564" s="309" t="s">
        <v>5113</v>
      </c>
      <c r="B5564" s="310" t="s">
        <v>2067</v>
      </c>
      <c r="C5564" s="310"/>
      <c r="D5564" s="310" t="s">
        <v>1398</v>
      </c>
      <c r="E5564" s="310"/>
      <c r="F5564" s="475"/>
      <c r="G5564" s="475"/>
      <c r="H5564" s="671" t="str">
        <f t="shared" si="1914"/>
        <v/>
      </c>
      <c r="I5564" s="736"/>
      <c r="J5564" s="669">
        <v>42705</v>
      </c>
    </row>
    <row r="5565" spans="1:10" x14ac:dyDescent="0.25">
      <c r="A5565" s="312"/>
      <c r="B5565" s="313"/>
      <c r="C5565" s="313"/>
      <c r="D5565" s="313"/>
      <c r="E5565" s="313"/>
      <c r="F5565" s="476"/>
      <c r="G5565" s="672"/>
      <c r="H5565" s="769" t="str">
        <f t="shared" si="1914"/>
        <v/>
      </c>
      <c r="J5565" s="669" t="s">
        <v>4180</v>
      </c>
    </row>
    <row r="5566" spans="1:10" x14ac:dyDescent="0.25">
      <c r="A5566" s="309" t="s">
        <v>5114</v>
      </c>
      <c r="B5566" s="310" t="s">
        <v>3374</v>
      </c>
      <c r="C5566" s="310"/>
      <c r="D5566" s="310" t="s">
        <v>1376</v>
      </c>
      <c r="E5566" s="310"/>
      <c r="F5566" s="475"/>
      <c r="G5566" s="475"/>
      <c r="H5566" s="671" t="str">
        <f t="shared" si="1914"/>
        <v/>
      </c>
      <c r="I5566" s="736"/>
      <c r="J5566" s="669">
        <v>42705</v>
      </c>
    </row>
    <row r="5567" spans="1:10" x14ac:dyDescent="0.25">
      <c r="A5567" s="309" t="s">
        <v>5115</v>
      </c>
      <c r="B5567" s="310" t="s">
        <v>3374</v>
      </c>
      <c r="C5567" s="310"/>
      <c r="D5567" s="310" t="s">
        <v>1378</v>
      </c>
      <c r="E5567" s="310"/>
      <c r="F5567" s="475"/>
      <c r="G5567" s="475"/>
      <c r="H5567" s="671" t="str">
        <f t="shared" si="1914"/>
        <v/>
      </c>
      <c r="I5567" s="736"/>
      <c r="J5567" s="669">
        <v>42705</v>
      </c>
    </row>
    <row r="5568" spans="1:10" x14ac:dyDescent="0.25">
      <c r="A5568" s="309" t="s">
        <v>5116</v>
      </c>
      <c r="B5568" s="310" t="s">
        <v>3374</v>
      </c>
      <c r="C5568" s="310"/>
      <c r="D5568" s="310" t="s">
        <v>1380</v>
      </c>
      <c r="E5568" s="310"/>
      <c r="F5568" s="475"/>
      <c r="G5568" s="475"/>
      <c r="H5568" s="671" t="str">
        <f t="shared" ref="H5568:H5590" si="1915">IF(ISNUMBER(G5568),ROUND(0.8*G5568,2),"")</f>
        <v/>
      </c>
      <c r="I5568" s="736"/>
      <c r="J5568" s="669">
        <v>42705</v>
      </c>
    </row>
    <row r="5569" spans="1:10" x14ac:dyDescent="0.25">
      <c r="A5569" s="309" t="s">
        <v>5117</v>
      </c>
      <c r="B5569" s="310" t="s">
        <v>3374</v>
      </c>
      <c r="C5569" s="310"/>
      <c r="D5569" s="310" t="s">
        <v>1382</v>
      </c>
      <c r="E5569" s="310"/>
      <c r="F5569" s="475"/>
      <c r="G5569" s="475"/>
      <c r="H5569" s="671" t="str">
        <f t="shared" si="1915"/>
        <v/>
      </c>
      <c r="I5569" s="736"/>
      <c r="J5569" s="669">
        <v>42705</v>
      </c>
    </row>
    <row r="5570" spans="1:10" x14ac:dyDescent="0.25">
      <c r="A5570" s="309" t="s">
        <v>5118</v>
      </c>
      <c r="B5570" s="310" t="s">
        <v>3374</v>
      </c>
      <c r="C5570" s="310"/>
      <c r="D5570" s="310" t="s">
        <v>1384</v>
      </c>
      <c r="E5570" s="310"/>
      <c r="F5570" s="475"/>
      <c r="G5570" s="475"/>
      <c r="H5570" s="671" t="str">
        <f t="shared" si="1915"/>
        <v/>
      </c>
      <c r="I5570" s="736"/>
      <c r="J5570" s="669">
        <v>42705</v>
      </c>
    </row>
    <row r="5571" spans="1:10" x14ac:dyDescent="0.25">
      <c r="A5571" s="309" t="s">
        <v>5119</v>
      </c>
      <c r="B5571" s="310" t="s">
        <v>3374</v>
      </c>
      <c r="C5571" s="310"/>
      <c r="D5571" s="310" t="s">
        <v>1386</v>
      </c>
      <c r="E5571" s="310"/>
      <c r="F5571" s="475"/>
      <c r="G5571" s="475"/>
      <c r="H5571" s="671" t="str">
        <f t="shared" si="1915"/>
        <v/>
      </c>
      <c r="I5571" s="736"/>
      <c r="J5571" s="669">
        <v>42705</v>
      </c>
    </row>
    <row r="5572" spans="1:10" x14ac:dyDescent="0.25">
      <c r="A5572" s="309" t="s">
        <v>5120</v>
      </c>
      <c r="B5572" s="310" t="s">
        <v>3374</v>
      </c>
      <c r="C5572" s="310"/>
      <c r="D5572" s="310" t="s">
        <v>1388</v>
      </c>
      <c r="E5572" s="310"/>
      <c r="F5572" s="475"/>
      <c r="G5572" s="475"/>
      <c r="H5572" s="671" t="str">
        <f t="shared" si="1915"/>
        <v/>
      </c>
      <c r="I5572" s="736"/>
      <c r="J5572" s="669">
        <v>42705</v>
      </c>
    </row>
    <row r="5573" spans="1:10" x14ac:dyDescent="0.25">
      <c r="A5573" s="309" t="s">
        <v>5121</v>
      </c>
      <c r="B5573" s="310" t="s">
        <v>3374</v>
      </c>
      <c r="C5573" s="310"/>
      <c r="D5573" s="310" t="s">
        <v>1390</v>
      </c>
      <c r="E5573" s="310"/>
      <c r="F5573" s="475"/>
      <c r="G5573" s="475"/>
      <c r="H5573" s="671" t="str">
        <f t="shared" si="1915"/>
        <v/>
      </c>
      <c r="I5573" s="736"/>
      <c r="J5573" s="669">
        <v>42705</v>
      </c>
    </row>
    <row r="5574" spans="1:10" x14ac:dyDescent="0.25">
      <c r="A5574" s="309" t="s">
        <v>5122</v>
      </c>
      <c r="B5574" s="310" t="s">
        <v>3374</v>
      </c>
      <c r="C5574" s="310"/>
      <c r="D5574" s="310" t="s">
        <v>1392</v>
      </c>
      <c r="E5574" s="310"/>
      <c r="F5574" s="475"/>
      <c r="G5574" s="475"/>
      <c r="H5574" s="671" t="str">
        <f t="shared" si="1915"/>
        <v/>
      </c>
      <c r="I5574" s="736"/>
      <c r="J5574" s="669">
        <v>42705</v>
      </c>
    </row>
    <row r="5575" spans="1:10" x14ac:dyDescent="0.25">
      <c r="A5575" s="309" t="s">
        <v>5123</v>
      </c>
      <c r="B5575" s="310" t="s">
        <v>3374</v>
      </c>
      <c r="C5575" s="310"/>
      <c r="D5575" s="310" t="s">
        <v>1394</v>
      </c>
      <c r="E5575" s="310"/>
      <c r="F5575" s="475"/>
      <c r="G5575" s="475"/>
      <c r="H5575" s="671" t="str">
        <f t="shared" si="1915"/>
        <v/>
      </c>
      <c r="I5575" s="736"/>
      <c r="J5575" s="669">
        <v>42705</v>
      </c>
    </row>
    <row r="5576" spans="1:10" x14ac:dyDescent="0.25">
      <c r="A5576" s="309" t="s">
        <v>5124</v>
      </c>
      <c r="B5576" s="310" t="s">
        <v>3374</v>
      </c>
      <c r="C5576" s="310"/>
      <c r="D5576" s="310" t="s">
        <v>1396</v>
      </c>
      <c r="E5576" s="310"/>
      <c r="F5576" s="475"/>
      <c r="G5576" s="475"/>
      <c r="H5576" s="671" t="str">
        <f t="shared" si="1915"/>
        <v/>
      </c>
      <c r="I5576" s="736"/>
      <c r="J5576" s="669">
        <v>42705</v>
      </c>
    </row>
    <row r="5577" spans="1:10" x14ac:dyDescent="0.25">
      <c r="A5577" s="309" t="s">
        <v>5125</v>
      </c>
      <c r="B5577" s="310" t="s">
        <v>3374</v>
      </c>
      <c r="C5577" s="310"/>
      <c r="D5577" s="310" t="s">
        <v>1398</v>
      </c>
      <c r="E5577" s="310"/>
      <c r="F5577" s="475"/>
      <c r="G5577" s="475"/>
      <c r="H5577" s="671" t="str">
        <f t="shared" si="1915"/>
        <v/>
      </c>
      <c r="I5577" s="736"/>
      <c r="J5577" s="669">
        <v>42705</v>
      </c>
    </row>
    <row r="5578" spans="1:10" x14ac:dyDescent="0.25">
      <c r="A5578" s="312"/>
      <c r="B5578" s="313"/>
      <c r="C5578" s="313"/>
      <c r="D5578" s="313"/>
      <c r="E5578" s="313"/>
      <c r="F5578" s="476"/>
      <c r="G5578" s="672"/>
      <c r="H5578" s="769" t="str">
        <f t="shared" si="1915"/>
        <v/>
      </c>
      <c r="J5578" s="669" t="s">
        <v>4180</v>
      </c>
    </row>
    <row r="5579" spans="1:10" x14ac:dyDescent="0.25">
      <c r="A5579" s="309" t="s">
        <v>5126</v>
      </c>
      <c r="B5579" s="310" t="s">
        <v>3382</v>
      </c>
      <c r="C5579" s="310"/>
      <c r="D5579" s="310" t="s">
        <v>1376</v>
      </c>
      <c r="E5579" s="310"/>
      <c r="F5579" s="475"/>
      <c r="G5579" s="475"/>
      <c r="H5579" s="671" t="str">
        <f t="shared" si="1915"/>
        <v/>
      </c>
      <c r="I5579" s="736"/>
      <c r="J5579" s="669">
        <v>42705</v>
      </c>
    </row>
    <row r="5580" spans="1:10" x14ac:dyDescent="0.25">
      <c r="A5580" s="309" t="s">
        <v>5127</v>
      </c>
      <c r="B5580" s="310" t="s">
        <v>3382</v>
      </c>
      <c r="C5580" s="310"/>
      <c r="D5580" s="310" t="s">
        <v>1378</v>
      </c>
      <c r="E5580" s="310"/>
      <c r="F5580" s="475"/>
      <c r="G5580" s="475"/>
      <c r="H5580" s="671" t="str">
        <f t="shared" si="1915"/>
        <v/>
      </c>
      <c r="I5580" s="736"/>
      <c r="J5580" s="669">
        <v>42705</v>
      </c>
    </row>
    <row r="5581" spans="1:10" x14ac:dyDescent="0.25">
      <c r="A5581" s="309" t="s">
        <v>5128</v>
      </c>
      <c r="B5581" s="310" t="s">
        <v>3382</v>
      </c>
      <c r="C5581" s="310"/>
      <c r="D5581" s="310" t="s">
        <v>1380</v>
      </c>
      <c r="E5581" s="310"/>
      <c r="F5581" s="475"/>
      <c r="G5581" s="475"/>
      <c r="H5581" s="671" t="str">
        <f t="shared" si="1915"/>
        <v/>
      </c>
      <c r="I5581" s="736"/>
      <c r="J5581" s="669">
        <v>42705</v>
      </c>
    </row>
    <row r="5582" spans="1:10" x14ac:dyDescent="0.25">
      <c r="A5582" s="309" t="s">
        <v>5129</v>
      </c>
      <c r="B5582" s="310" t="s">
        <v>3382</v>
      </c>
      <c r="C5582" s="310"/>
      <c r="D5582" s="310" t="s">
        <v>1382</v>
      </c>
      <c r="E5582" s="310"/>
      <c r="F5582" s="475"/>
      <c r="G5582" s="475"/>
      <c r="H5582" s="671" t="str">
        <f t="shared" si="1915"/>
        <v/>
      </c>
      <c r="I5582" s="736"/>
      <c r="J5582" s="669">
        <v>42705</v>
      </c>
    </row>
    <row r="5583" spans="1:10" x14ac:dyDescent="0.25">
      <c r="A5583" s="309" t="s">
        <v>5130</v>
      </c>
      <c r="B5583" s="310" t="s">
        <v>3382</v>
      </c>
      <c r="C5583" s="310"/>
      <c r="D5583" s="310" t="s">
        <v>1384</v>
      </c>
      <c r="E5583" s="310"/>
      <c r="F5583" s="475"/>
      <c r="G5583" s="475"/>
      <c r="H5583" s="671" t="str">
        <f t="shared" si="1915"/>
        <v/>
      </c>
      <c r="I5583" s="736"/>
      <c r="J5583" s="669">
        <v>42705</v>
      </c>
    </row>
    <row r="5584" spans="1:10" x14ac:dyDescent="0.25">
      <c r="A5584" s="309" t="s">
        <v>5131</v>
      </c>
      <c r="B5584" s="310" t="s">
        <v>3382</v>
      </c>
      <c r="C5584" s="310"/>
      <c r="D5584" s="310" t="s">
        <v>1386</v>
      </c>
      <c r="E5584" s="310"/>
      <c r="F5584" s="475"/>
      <c r="G5584" s="475"/>
      <c r="H5584" s="671" t="str">
        <f t="shared" si="1915"/>
        <v/>
      </c>
      <c r="I5584" s="736"/>
      <c r="J5584" s="669">
        <v>42705</v>
      </c>
    </row>
    <row r="5585" spans="1:10" x14ac:dyDescent="0.25">
      <c r="A5585" s="309" t="s">
        <v>5132</v>
      </c>
      <c r="B5585" s="310" t="s">
        <v>3382</v>
      </c>
      <c r="C5585" s="310"/>
      <c r="D5585" s="310" t="s">
        <v>1388</v>
      </c>
      <c r="E5585" s="310"/>
      <c r="F5585" s="475"/>
      <c r="G5585" s="475"/>
      <c r="H5585" s="671" t="str">
        <f t="shared" si="1915"/>
        <v/>
      </c>
      <c r="I5585" s="736"/>
      <c r="J5585" s="669">
        <v>42705</v>
      </c>
    </row>
    <row r="5586" spans="1:10" x14ac:dyDescent="0.25">
      <c r="A5586" s="309" t="s">
        <v>5133</v>
      </c>
      <c r="B5586" s="310" t="s">
        <v>3382</v>
      </c>
      <c r="C5586" s="310"/>
      <c r="D5586" s="310" t="s">
        <v>1390</v>
      </c>
      <c r="E5586" s="310"/>
      <c r="F5586" s="475"/>
      <c r="G5586" s="475"/>
      <c r="H5586" s="671" t="str">
        <f t="shared" si="1915"/>
        <v/>
      </c>
      <c r="I5586" s="736"/>
      <c r="J5586" s="669">
        <v>42705</v>
      </c>
    </row>
    <row r="5587" spans="1:10" x14ac:dyDescent="0.25">
      <c r="A5587" s="309" t="s">
        <v>5134</v>
      </c>
      <c r="B5587" s="310" t="s">
        <v>3382</v>
      </c>
      <c r="C5587" s="310"/>
      <c r="D5587" s="310" t="s">
        <v>1392</v>
      </c>
      <c r="E5587" s="310"/>
      <c r="F5587" s="475"/>
      <c r="G5587" s="475"/>
      <c r="H5587" s="671" t="str">
        <f t="shared" si="1915"/>
        <v/>
      </c>
      <c r="I5587" s="736"/>
      <c r="J5587" s="669">
        <v>42705</v>
      </c>
    </row>
    <row r="5588" spans="1:10" x14ac:dyDescent="0.25">
      <c r="A5588" s="309" t="s">
        <v>5135</v>
      </c>
      <c r="B5588" s="310" t="s">
        <v>3382</v>
      </c>
      <c r="C5588" s="310"/>
      <c r="D5588" s="310" t="s">
        <v>1394</v>
      </c>
      <c r="E5588" s="310"/>
      <c r="F5588" s="475"/>
      <c r="G5588" s="475"/>
      <c r="H5588" s="671" t="str">
        <f t="shared" si="1915"/>
        <v/>
      </c>
      <c r="I5588" s="736"/>
      <c r="J5588" s="669">
        <v>42705</v>
      </c>
    </row>
    <row r="5589" spans="1:10" x14ac:dyDescent="0.25">
      <c r="A5589" s="309" t="s">
        <v>5136</v>
      </c>
      <c r="B5589" s="310" t="s">
        <v>3382</v>
      </c>
      <c r="C5589" s="310"/>
      <c r="D5589" s="310" t="s">
        <v>1396</v>
      </c>
      <c r="E5589" s="310"/>
      <c r="F5589" s="475"/>
      <c r="G5589" s="475"/>
      <c r="H5589" s="671" t="str">
        <f t="shared" si="1915"/>
        <v/>
      </c>
      <c r="I5589" s="736"/>
      <c r="J5589" s="669">
        <v>42705</v>
      </c>
    </row>
    <row r="5590" spans="1:10" x14ac:dyDescent="0.25">
      <c r="A5590" s="309" t="s">
        <v>5137</v>
      </c>
      <c r="B5590" s="310" t="s">
        <v>3382</v>
      </c>
      <c r="C5590" s="310"/>
      <c r="D5590" s="310" t="s">
        <v>1398</v>
      </c>
      <c r="E5590" s="310"/>
      <c r="F5590" s="475"/>
      <c r="G5590" s="475"/>
      <c r="H5590" s="671" t="str">
        <f t="shared" si="1915"/>
        <v/>
      </c>
      <c r="I5590" s="736"/>
      <c r="J5590" s="669">
        <v>42705</v>
      </c>
    </row>
    <row r="5591" spans="1:10" x14ac:dyDescent="0.25">
      <c r="A5591" s="312"/>
      <c r="B5591" s="313"/>
      <c r="C5591" s="313"/>
      <c r="D5591" s="313"/>
      <c r="E5591" s="313"/>
      <c r="F5591" s="476"/>
      <c r="G5591" s="672"/>
      <c r="H5591" s="769"/>
      <c r="J5591" s="669" t="s">
        <v>4180</v>
      </c>
    </row>
    <row r="5592" spans="1:10" x14ac:dyDescent="0.25">
      <c r="A5592" s="309" t="s">
        <v>5138</v>
      </c>
      <c r="B5592" s="310" t="s">
        <v>3390</v>
      </c>
      <c r="C5592" s="310"/>
      <c r="D5592" s="310" t="s">
        <v>1376</v>
      </c>
      <c r="E5592" s="310"/>
      <c r="F5592" s="475"/>
      <c r="G5592" s="475"/>
      <c r="H5592" s="671" t="str">
        <f t="shared" ref="H5592:H5635" si="1916">IF(ISNUMBER(G5592),ROUND(0.8*G5592,2),"")</f>
        <v/>
      </c>
      <c r="I5592" s="736"/>
      <c r="J5592" s="669">
        <v>42705</v>
      </c>
    </row>
    <row r="5593" spans="1:10" x14ac:dyDescent="0.25">
      <c r="A5593" s="309" t="s">
        <v>5139</v>
      </c>
      <c r="B5593" s="310" t="s">
        <v>3390</v>
      </c>
      <c r="C5593" s="310"/>
      <c r="D5593" s="310" t="s">
        <v>1378</v>
      </c>
      <c r="E5593" s="310"/>
      <c r="F5593" s="475"/>
      <c r="G5593" s="475"/>
      <c r="H5593" s="671" t="str">
        <f t="shared" si="1916"/>
        <v/>
      </c>
      <c r="I5593" s="736"/>
      <c r="J5593" s="669">
        <v>42705</v>
      </c>
    </row>
    <row r="5594" spans="1:10" x14ac:dyDescent="0.25">
      <c r="A5594" s="309" t="s">
        <v>5140</v>
      </c>
      <c r="B5594" s="310" t="s">
        <v>3390</v>
      </c>
      <c r="C5594" s="310"/>
      <c r="D5594" s="310" t="s">
        <v>1380</v>
      </c>
      <c r="E5594" s="310"/>
      <c r="F5594" s="475"/>
      <c r="G5594" s="475"/>
      <c r="H5594" s="671" t="str">
        <f t="shared" si="1916"/>
        <v/>
      </c>
      <c r="I5594" s="736"/>
      <c r="J5594" s="669">
        <v>42705</v>
      </c>
    </row>
    <row r="5595" spans="1:10" x14ac:dyDescent="0.25">
      <c r="A5595" s="309" t="s">
        <v>5141</v>
      </c>
      <c r="B5595" s="310" t="s">
        <v>3390</v>
      </c>
      <c r="C5595" s="310"/>
      <c r="D5595" s="310" t="s">
        <v>1382</v>
      </c>
      <c r="E5595" s="310"/>
      <c r="F5595" s="475"/>
      <c r="G5595" s="475"/>
      <c r="H5595" s="671" t="str">
        <f t="shared" si="1916"/>
        <v/>
      </c>
      <c r="I5595" s="736"/>
      <c r="J5595" s="669">
        <v>42705</v>
      </c>
    </row>
    <row r="5596" spans="1:10" x14ac:dyDescent="0.25">
      <c r="A5596" s="309" t="s">
        <v>5142</v>
      </c>
      <c r="B5596" s="310" t="s">
        <v>3390</v>
      </c>
      <c r="C5596" s="310"/>
      <c r="D5596" s="310" t="s">
        <v>1384</v>
      </c>
      <c r="E5596" s="310"/>
      <c r="F5596" s="475"/>
      <c r="G5596" s="475"/>
      <c r="H5596" s="671" t="str">
        <f t="shared" si="1916"/>
        <v/>
      </c>
      <c r="I5596" s="736"/>
      <c r="J5596" s="669">
        <v>42705</v>
      </c>
    </row>
    <row r="5597" spans="1:10" x14ac:dyDescent="0.25">
      <c r="A5597" s="309" t="s">
        <v>5143</v>
      </c>
      <c r="B5597" s="310" t="s">
        <v>3390</v>
      </c>
      <c r="C5597" s="310"/>
      <c r="D5597" s="310" t="s">
        <v>1386</v>
      </c>
      <c r="E5597" s="310"/>
      <c r="F5597" s="475"/>
      <c r="G5597" s="475"/>
      <c r="H5597" s="671" t="str">
        <f t="shared" si="1916"/>
        <v/>
      </c>
      <c r="I5597" s="736"/>
      <c r="J5597" s="669">
        <v>42705</v>
      </c>
    </row>
    <row r="5598" spans="1:10" x14ac:dyDescent="0.25">
      <c r="A5598" s="309" t="s">
        <v>5144</v>
      </c>
      <c r="B5598" s="310" t="s">
        <v>3390</v>
      </c>
      <c r="C5598" s="310"/>
      <c r="D5598" s="310" t="s">
        <v>1388</v>
      </c>
      <c r="E5598" s="310"/>
      <c r="F5598" s="475"/>
      <c r="G5598" s="475"/>
      <c r="H5598" s="671" t="str">
        <f t="shared" si="1916"/>
        <v/>
      </c>
      <c r="I5598" s="736"/>
      <c r="J5598" s="669">
        <v>42705</v>
      </c>
    </row>
    <row r="5599" spans="1:10" x14ac:dyDescent="0.25">
      <c r="A5599" s="309" t="s">
        <v>5145</v>
      </c>
      <c r="B5599" s="310" t="s">
        <v>3390</v>
      </c>
      <c r="C5599" s="310"/>
      <c r="D5599" s="310" t="s">
        <v>1390</v>
      </c>
      <c r="E5599" s="310"/>
      <c r="F5599" s="475"/>
      <c r="G5599" s="475"/>
      <c r="H5599" s="671" t="str">
        <f t="shared" si="1916"/>
        <v/>
      </c>
      <c r="I5599" s="736"/>
      <c r="J5599" s="669">
        <v>42705</v>
      </c>
    </row>
    <row r="5600" spans="1:10" x14ac:dyDescent="0.25">
      <c r="A5600" s="309" t="s">
        <v>5146</v>
      </c>
      <c r="B5600" s="310" t="s">
        <v>3390</v>
      </c>
      <c r="C5600" s="310"/>
      <c r="D5600" s="310" t="s">
        <v>1392</v>
      </c>
      <c r="E5600" s="310"/>
      <c r="F5600" s="475"/>
      <c r="G5600" s="475"/>
      <c r="H5600" s="671" t="str">
        <f t="shared" si="1916"/>
        <v/>
      </c>
      <c r="I5600" s="736"/>
      <c r="J5600" s="669">
        <v>42705</v>
      </c>
    </row>
    <row r="5601" spans="1:10" x14ac:dyDescent="0.25">
      <c r="A5601" s="309" t="s">
        <v>5147</v>
      </c>
      <c r="B5601" s="310" t="s">
        <v>3390</v>
      </c>
      <c r="C5601" s="310"/>
      <c r="D5601" s="310" t="s">
        <v>1394</v>
      </c>
      <c r="E5601" s="310"/>
      <c r="F5601" s="475"/>
      <c r="G5601" s="475"/>
      <c r="H5601" s="671" t="str">
        <f t="shared" si="1916"/>
        <v/>
      </c>
      <c r="I5601" s="736"/>
      <c r="J5601" s="669">
        <v>42705</v>
      </c>
    </row>
    <row r="5602" spans="1:10" x14ac:dyDescent="0.25">
      <c r="A5602" s="309" t="s">
        <v>5148</v>
      </c>
      <c r="B5602" s="310" t="s">
        <v>3390</v>
      </c>
      <c r="C5602" s="310"/>
      <c r="D5602" s="310" t="s">
        <v>1396</v>
      </c>
      <c r="E5602" s="310"/>
      <c r="F5602" s="475"/>
      <c r="G5602" s="475"/>
      <c r="H5602" s="671" t="str">
        <f t="shared" si="1916"/>
        <v/>
      </c>
      <c r="I5602" s="736"/>
      <c r="J5602" s="669">
        <v>42705</v>
      </c>
    </row>
    <row r="5603" spans="1:10" x14ac:dyDescent="0.25">
      <c r="A5603" s="309" t="s">
        <v>5149</v>
      </c>
      <c r="B5603" s="310" t="s">
        <v>3390</v>
      </c>
      <c r="C5603" s="310"/>
      <c r="D5603" s="310" t="s">
        <v>1398</v>
      </c>
      <c r="E5603" s="310"/>
      <c r="F5603" s="475"/>
      <c r="G5603" s="475"/>
      <c r="H5603" s="671" t="str">
        <f t="shared" si="1916"/>
        <v/>
      </c>
      <c r="I5603" s="736"/>
      <c r="J5603" s="669">
        <v>42705</v>
      </c>
    </row>
    <row r="5604" spans="1:10" x14ac:dyDescent="0.25">
      <c r="A5604" s="312"/>
      <c r="B5604" s="313"/>
      <c r="C5604" s="313"/>
      <c r="D5604" s="313"/>
      <c r="E5604" s="313"/>
      <c r="F5604" s="476"/>
      <c r="G5604" s="672"/>
      <c r="H5604" s="769" t="str">
        <f t="shared" si="1916"/>
        <v/>
      </c>
      <c r="J5604" s="669" t="s">
        <v>4180</v>
      </c>
    </row>
    <row r="5605" spans="1:10" x14ac:dyDescent="0.25">
      <c r="A5605" s="309" t="s">
        <v>5150</v>
      </c>
      <c r="B5605" s="310" t="s">
        <v>740</v>
      </c>
      <c r="C5605" s="310"/>
      <c r="D5605" s="310" t="s">
        <v>1376</v>
      </c>
      <c r="E5605" s="310"/>
      <c r="F5605" s="475"/>
      <c r="G5605" s="475"/>
      <c r="H5605" s="671" t="str">
        <f t="shared" si="1916"/>
        <v/>
      </c>
      <c r="I5605" s="736"/>
      <c r="J5605" s="669">
        <v>42705</v>
      </c>
    </row>
    <row r="5606" spans="1:10" x14ac:dyDescent="0.25">
      <c r="A5606" s="309" t="s">
        <v>5151</v>
      </c>
      <c r="B5606" s="310" t="s">
        <v>740</v>
      </c>
      <c r="C5606" s="310"/>
      <c r="D5606" s="310" t="s">
        <v>1378</v>
      </c>
      <c r="E5606" s="310"/>
      <c r="F5606" s="475"/>
      <c r="G5606" s="475"/>
      <c r="H5606" s="671" t="str">
        <f t="shared" si="1916"/>
        <v/>
      </c>
      <c r="I5606" s="736"/>
      <c r="J5606" s="669">
        <v>42705</v>
      </c>
    </row>
    <row r="5607" spans="1:10" x14ac:dyDescent="0.25">
      <c r="A5607" s="309" t="s">
        <v>5152</v>
      </c>
      <c r="B5607" s="310" t="s">
        <v>740</v>
      </c>
      <c r="C5607" s="310"/>
      <c r="D5607" s="310" t="s">
        <v>1380</v>
      </c>
      <c r="E5607" s="310"/>
      <c r="F5607" s="475"/>
      <c r="G5607" s="475"/>
      <c r="H5607" s="671" t="str">
        <f t="shared" si="1916"/>
        <v/>
      </c>
      <c r="I5607" s="736"/>
      <c r="J5607" s="669">
        <v>42705</v>
      </c>
    </row>
    <row r="5608" spans="1:10" x14ac:dyDescent="0.25">
      <c r="A5608" s="309" t="s">
        <v>5153</v>
      </c>
      <c r="B5608" s="310" t="s">
        <v>740</v>
      </c>
      <c r="C5608" s="310"/>
      <c r="D5608" s="310" t="s">
        <v>1382</v>
      </c>
      <c r="E5608" s="310"/>
      <c r="F5608" s="475"/>
      <c r="G5608" s="475"/>
      <c r="H5608" s="671" t="str">
        <f t="shared" si="1916"/>
        <v/>
      </c>
      <c r="I5608" s="736"/>
      <c r="J5608" s="669">
        <v>42705</v>
      </c>
    </row>
    <row r="5609" spans="1:10" x14ac:dyDescent="0.25">
      <c r="A5609" s="309" t="s">
        <v>5154</v>
      </c>
      <c r="B5609" s="310" t="s">
        <v>740</v>
      </c>
      <c r="C5609" s="310"/>
      <c r="D5609" s="310" t="s">
        <v>1384</v>
      </c>
      <c r="E5609" s="310"/>
      <c r="F5609" s="475"/>
      <c r="G5609" s="475"/>
      <c r="H5609" s="671" t="str">
        <f t="shared" si="1916"/>
        <v/>
      </c>
      <c r="I5609" s="736"/>
      <c r="J5609" s="669">
        <v>42705</v>
      </c>
    </row>
    <row r="5610" spans="1:10" x14ac:dyDescent="0.25">
      <c r="A5610" s="309" t="s">
        <v>5155</v>
      </c>
      <c r="B5610" s="310" t="s">
        <v>740</v>
      </c>
      <c r="C5610" s="310"/>
      <c r="D5610" s="310" t="s">
        <v>1386</v>
      </c>
      <c r="E5610" s="310"/>
      <c r="F5610" s="475"/>
      <c r="G5610" s="475"/>
      <c r="H5610" s="671" t="str">
        <f t="shared" si="1916"/>
        <v/>
      </c>
      <c r="I5610" s="736"/>
      <c r="J5610" s="669">
        <v>42705</v>
      </c>
    </row>
    <row r="5611" spans="1:10" x14ac:dyDescent="0.25">
      <c r="A5611" s="309" t="s">
        <v>5156</v>
      </c>
      <c r="B5611" s="310" t="s">
        <v>740</v>
      </c>
      <c r="C5611" s="310"/>
      <c r="D5611" s="310" t="s">
        <v>1388</v>
      </c>
      <c r="E5611" s="310"/>
      <c r="F5611" s="475"/>
      <c r="G5611" s="475"/>
      <c r="H5611" s="671" t="str">
        <f t="shared" si="1916"/>
        <v/>
      </c>
      <c r="I5611" s="736"/>
      <c r="J5611" s="669">
        <v>42705</v>
      </c>
    </row>
    <row r="5612" spans="1:10" x14ac:dyDescent="0.25">
      <c r="A5612" s="309" t="s">
        <v>5157</v>
      </c>
      <c r="B5612" s="310" t="s">
        <v>740</v>
      </c>
      <c r="C5612" s="310"/>
      <c r="D5612" s="310" t="s">
        <v>1390</v>
      </c>
      <c r="E5612" s="310"/>
      <c r="F5612" s="475"/>
      <c r="G5612" s="475"/>
      <c r="H5612" s="671" t="str">
        <f t="shared" si="1916"/>
        <v/>
      </c>
      <c r="I5612" s="736"/>
      <c r="J5612" s="669">
        <v>42705</v>
      </c>
    </row>
    <row r="5613" spans="1:10" x14ac:dyDescent="0.25">
      <c r="A5613" s="309" t="s">
        <v>5158</v>
      </c>
      <c r="B5613" s="310" t="s">
        <v>740</v>
      </c>
      <c r="C5613" s="310"/>
      <c r="D5613" s="310" t="s">
        <v>1392</v>
      </c>
      <c r="E5613" s="310"/>
      <c r="F5613" s="475"/>
      <c r="G5613" s="475"/>
      <c r="H5613" s="671" t="str">
        <f t="shared" si="1916"/>
        <v/>
      </c>
      <c r="I5613" s="736"/>
      <c r="J5613" s="669">
        <v>42705</v>
      </c>
    </row>
    <row r="5614" spans="1:10" x14ac:dyDescent="0.25">
      <c r="A5614" s="309" t="s">
        <v>5159</v>
      </c>
      <c r="B5614" s="310" t="s">
        <v>740</v>
      </c>
      <c r="C5614" s="310"/>
      <c r="D5614" s="310" t="s">
        <v>1394</v>
      </c>
      <c r="E5614" s="310"/>
      <c r="F5614" s="475"/>
      <c r="G5614" s="475"/>
      <c r="H5614" s="671" t="str">
        <f t="shared" si="1916"/>
        <v/>
      </c>
      <c r="I5614" s="736"/>
      <c r="J5614" s="669">
        <v>42705</v>
      </c>
    </row>
    <row r="5615" spans="1:10" x14ac:dyDescent="0.25">
      <c r="A5615" s="309" t="s">
        <v>5160</v>
      </c>
      <c r="B5615" s="310" t="s">
        <v>740</v>
      </c>
      <c r="C5615" s="310"/>
      <c r="D5615" s="310" t="s">
        <v>1396</v>
      </c>
      <c r="E5615" s="310"/>
      <c r="F5615" s="475"/>
      <c r="G5615" s="475"/>
      <c r="H5615" s="671" t="str">
        <f t="shared" si="1916"/>
        <v/>
      </c>
      <c r="I5615" s="736"/>
      <c r="J5615" s="669">
        <v>42705</v>
      </c>
    </row>
    <row r="5616" spans="1:10" x14ac:dyDescent="0.25">
      <c r="A5616" s="309" t="s">
        <v>5161</v>
      </c>
      <c r="B5616" s="310" t="s">
        <v>740</v>
      </c>
      <c r="C5616" s="310"/>
      <c r="D5616" s="310" t="s">
        <v>1398</v>
      </c>
      <c r="E5616" s="310"/>
      <c r="F5616" s="475"/>
      <c r="G5616" s="475"/>
      <c r="H5616" s="671" t="str">
        <f t="shared" si="1916"/>
        <v/>
      </c>
      <c r="I5616" s="736"/>
      <c r="J5616" s="669">
        <v>42705</v>
      </c>
    </row>
    <row r="5617" spans="1:10" x14ac:dyDescent="0.25">
      <c r="A5617" s="312"/>
      <c r="B5617" s="313"/>
      <c r="C5617" s="313"/>
      <c r="D5617" s="313"/>
      <c r="E5617" s="313"/>
      <c r="F5617" s="476"/>
      <c r="G5617" s="672"/>
      <c r="H5617" s="769" t="str">
        <f t="shared" si="1916"/>
        <v/>
      </c>
      <c r="J5617" s="669" t="s">
        <v>4180</v>
      </c>
    </row>
    <row r="5618" spans="1:10" x14ac:dyDescent="0.25">
      <c r="A5618" s="315" t="s">
        <v>5162</v>
      </c>
      <c r="B5618" s="316" t="s">
        <v>5435</v>
      </c>
      <c r="C5618" s="316"/>
      <c r="D5618" s="310" t="s">
        <v>1376</v>
      </c>
      <c r="E5618" s="310"/>
      <c r="F5618" s="475"/>
      <c r="G5618" s="475"/>
      <c r="H5618" s="671" t="str">
        <f t="shared" si="1916"/>
        <v/>
      </c>
      <c r="I5618" s="736"/>
      <c r="J5618" s="669">
        <v>42705</v>
      </c>
    </row>
    <row r="5619" spans="1:10" x14ac:dyDescent="0.25">
      <c r="A5619" s="315" t="s">
        <v>5163</v>
      </c>
      <c r="B5619" s="316" t="s">
        <v>5435</v>
      </c>
      <c r="C5619" s="316"/>
      <c r="D5619" s="310" t="s">
        <v>1378</v>
      </c>
      <c r="E5619" s="310"/>
      <c r="F5619" s="475"/>
      <c r="G5619" s="475"/>
      <c r="H5619" s="671" t="str">
        <f t="shared" si="1916"/>
        <v/>
      </c>
      <c r="I5619" s="736"/>
      <c r="J5619" s="669">
        <v>42705</v>
      </c>
    </row>
    <row r="5620" spans="1:10" x14ac:dyDescent="0.25">
      <c r="A5620" s="315" t="s">
        <v>5164</v>
      </c>
      <c r="B5620" s="316" t="s">
        <v>5435</v>
      </c>
      <c r="C5620" s="316"/>
      <c r="D5620" s="310" t="s">
        <v>1380</v>
      </c>
      <c r="E5620" s="310"/>
      <c r="F5620" s="475"/>
      <c r="G5620" s="475"/>
      <c r="H5620" s="671" t="str">
        <f t="shared" si="1916"/>
        <v/>
      </c>
      <c r="I5620" s="736"/>
      <c r="J5620" s="669">
        <v>42705</v>
      </c>
    </row>
    <row r="5621" spans="1:10" x14ac:dyDescent="0.25">
      <c r="A5621" s="315" t="s">
        <v>5165</v>
      </c>
      <c r="B5621" s="316" t="s">
        <v>5435</v>
      </c>
      <c r="C5621" s="316"/>
      <c r="D5621" s="310" t="s">
        <v>1382</v>
      </c>
      <c r="E5621" s="310"/>
      <c r="F5621" s="475"/>
      <c r="G5621" s="475"/>
      <c r="H5621" s="671" t="str">
        <f t="shared" si="1916"/>
        <v/>
      </c>
      <c r="I5621" s="736"/>
      <c r="J5621" s="669">
        <v>42705</v>
      </c>
    </row>
    <row r="5622" spans="1:10" x14ac:dyDescent="0.25">
      <c r="A5622" s="315" t="s">
        <v>5166</v>
      </c>
      <c r="B5622" s="316" t="s">
        <v>5435</v>
      </c>
      <c r="C5622" s="316"/>
      <c r="D5622" s="310" t="s">
        <v>1384</v>
      </c>
      <c r="E5622" s="310"/>
      <c r="F5622" s="475"/>
      <c r="G5622" s="475"/>
      <c r="H5622" s="671" t="str">
        <f t="shared" si="1916"/>
        <v/>
      </c>
      <c r="I5622" s="736"/>
      <c r="J5622" s="669">
        <v>42705</v>
      </c>
    </row>
    <row r="5623" spans="1:10" x14ac:dyDescent="0.25">
      <c r="A5623" s="315" t="s">
        <v>5167</v>
      </c>
      <c r="B5623" s="316" t="s">
        <v>5435</v>
      </c>
      <c r="C5623" s="316"/>
      <c r="D5623" s="310" t="s">
        <v>1386</v>
      </c>
      <c r="E5623" s="310"/>
      <c r="F5623" s="475"/>
      <c r="G5623" s="475"/>
      <c r="H5623" s="671" t="str">
        <f t="shared" si="1916"/>
        <v/>
      </c>
      <c r="I5623" s="736"/>
      <c r="J5623" s="669">
        <v>42705</v>
      </c>
    </row>
    <row r="5624" spans="1:10" x14ac:dyDescent="0.25">
      <c r="A5624" s="315" t="s">
        <v>5168</v>
      </c>
      <c r="B5624" s="316" t="s">
        <v>5435</v>
      </c>
      <c r="C5624" s="316"/>
      <c r="D5624" s="310" t="s">
        <v>1388</v>
      </c>
      <c r="E5624" s="310"/>
      <c r="F5624" s="475"/>
      <c r="G5624" s="475"/>
      <c r="H5624" s="671" t="str">
        <f t="shared" si="1916"/>
        <v/>
      </c>
      <c r="I5624" s="736"/>
      <c r="J5624" s="669">
        <v>42705</v>
      </c>
    </row>
    <row r="5625" spans="1:10" x14ac:dyDescent="0.25">
      <c r="A5625" s="315" t="s">
        <v>5169</v>
      </c>
      <c r="B5625" s="316" t="s">
        <v>5435</v>
      </c>
      <c r="C5625" s="316"/>
      <c r="D5625" s="310" t="s">
        <v>1390</v>
      </c>
      <c r="E5625" s="310"/>
      <c r="F5625" s="475"/>
      <c r="G5625" s="475"/>
      <c r="H5625" s="671" t="str">
        <f t="shared" si="1916"/>
        <v/>
      </c>
      <c r="I5625" s="736"/>
      <c r="J5625" s="669">
        <v>42705</v>
      </c>
    </row>
    <row r="5626" spans="1:10" x14ac:dyDescent="0.25">
      <c r="A5626" s="315" t="s">
        <v>5170</v>
      </c>
      <c r="B5626" s="316" t="s">
        <v>5435</v>
      </c>
      <c r="C5626" s="316"/>
      <c r="D5626" s="310" t="s">
        <v>1392</v>
      </c>
      <c r="E5626" s="310"/>
      <c r="F5626" s="475"/>
      <c r="G5626" s="475"/>
      <c r="H5626" s="671" t="str">
        <f t="shared" si="1916"/>
        <v/>
      </c>
      <c r="I5626" s="736"/>
      <c r="J5626" s="669">
        <v>42705</v>
      </c>
    </row>
    <row r="5627" spans="1:10" x14ac:dyDescent="0.25">
      <c r="A5627" s="315" t="s">
        <v>5171</v>
      </c>
      <c r="B5627" s="316" t="s">
        <v>5435</v>
      </c>
      <c r="C5627" s="316"/>
      <c r="D5627" s="310" t="s">
        <v>1394</v>
      </c>
      <c r="E5627" s="310"/>
      <c r="F5627" s="475"/>
      <c r="G5627" s="475"/>
      <c r="H5627" s="671" t="str">
        <f t="shared" si="1916"/>
        <v/>
      </c>
      <c r="I5627" s="736"/>
      <c r="J5627" s="669">
        <v>42705</v>
      </c>
    </row>
    <row r="5628" spans="1:10" x14ac:dyDescent="0.25">
      <c r="A5628" s="315" t="s">
        <v>5172</v>
      </c>
      <c r="B5628" s="316" t="s">
        <v>5435</v>
      </c>
      <c r="C5628" s="316"/>
      <c r="D5628" s="310" t="s">
        <v>1396</v>
      </c>
      <c r="E5628" s="310"/>
      <c r="F5628" s="475"/>
      <c r="G5628" s="475"/>
      <c r="H5628" s="671" t="str">
        <f t="shared" si="1916"/>
        <v/>
      </c>
      <c r="I5628" s="736"/>
      <c r="J5628" s="669">
        <v>42705</v>
      </c>
    </row>
    <row r="5629" spans="1:10" x14ac:dyDescent="0.25">
      <c r="A5629" s="315" t="s">
        <v>5173</v>
      </c>
      <c r="B5629" s="316" t="s">
        <v>5435</v>
      </c>
      <c r="C5629" s="316"/>
      <c r="D5629" s="310" t="s">
        <v>1398</v>
      </c>
      <c r="E5629" s="310"/>
      <c r="F5629" s="475"/>
      <c r="G5629" s="475"/>
      <c r="H5629" s="671" t="str">
        <f t="shared" si="1916"/>
        <v/>
      </c>
      <c r="I5629" s="736"/>
      <c r="J5629" s="669">
        <v>42705</v>
      </c>
    </row>
    <row r="5630" spans="1:10" s="774" customFormat="1" x14ac:dyDescent="0.25">
      <c r="A5630" s="254"/>
      <c r="B5630" s="828"/>
      <c r="C5630" s="828"/>
      <c r="D5630" s="828"/>
      <c r="E5630" s="828"/>
      <c r="F5630" s="476"/>
      <c r="G5630" s="672"/>
      <c r="H5630" s="769" t="str">
        <f t="shared" si="1916"/>
        <v/>
      </c>
      <c r="I5630" s="691"/>
      <c r="J5630" s="669" t="s">
        <v>4180</v>
      </c>
    </row>
    <row r="5631" spans="1:10" s="259" customFormat="1" ht="33" customHeight="1" x14ac:dyDescent="0.25">
      <c r="A5631" s="806" t="s">
        <v>8178</v>
      </c>
      <c r="B5631" s="605"/>
      <c r="C5631" s="605"/>
      <c r="D5631" s="605"/>
      <c r="E5631" s="605"/>
      <c r="F5631" s="829"/>
      <c r="G5631" s="605"/>
      <c r="H5631" s="664" t="str">
        <f t="shared" si="1916"/>
        <v/>
      </c>
      <c r="I5631" s="729"/>
      <c r="J5631" s="669">
        <v>44536</v>
      </c>
    </row>
    <row r="5632" spans="1:10" s="238" customFormat="1" ht="77.099999999999994" customHeight="1" x14ac:dyDescent="0.25">
      <c r="A5632" s="1130" t="s">
        <v>8179</v>
      </c>
      <c r="B5632" s="1130"/>
      <c r="C5632" s="1130"/>
      <c r="D5632" s="1130"/>
      <c r="E5632" s="1130"/>
      <c r="F5632" s="1130"/>
      <c r="G5632" s="428"/>
      <c r="H5632" s="504" t="str">
        <f t="shared" si="1916"/>
        <v/>
      </c>
      <c r="I5632" s="731"/>
      <c r="J5632" s="669">
        <v>44536</v>
      </c>
    </row>
    <row r="5633" spans="1:29" s="238" customFormat="1" ht="61.35" customHeight="1" x14ac:dyDescent="0.25">
      <c r="A5633" s="1132" t="s">
        <v>7716</v>
      </c>
      <c r="B5633" s="1132"/>
      <c r="C5633" s="1132"/>
      <c r="D5633" s="1132"/>
      <c r="E5633" s="1132"/>
      <c r="F5633" s="1132"/>
      <c r="G5633" s="827"/>
      <c r="H5633" s="830" t="str">
        <f t="shared" si="1916"/>
        <v/>
      </c>
      <c r="I5633" s="831"/>
      <c r="J5633" s="669">
        <v>44536</v>
      </c>
      <c r="O5633" s="774"/>
      <c r="P5633" s="774"/>
      <c r="Q5633" s="774"/>
      <c r="R5633" s="774"/>
      <c r="S5633" s="774"/>
      <c r="T5633" s="774"/>
    </row>
    <row r="5634" spans="1:29" s="774" customFormat="1" ht="17.850000000000001" customHeight="1" x14ac:dyDescent="0.25">
      <c r="A5634" s="1132" t="s">
        <v>7706</v>
      </c>
      <c r="B5634" s="1132"/>
      <c r="C5634" s="1132"/>
      <c r="D5634" s="1132"/>
      <c r="E5634" s="1132"/>
      <c r="F5634" s="1132"/>
      <c r="G5634" s="827"/>
      <c r="H5634" s="830" t="str">
        <f t="shared" si="1916"/>
        <v/>
      </c>
      <c r="I5634" s="831"/>
      <c r="J5634" s="669">
        <v>44536</v>
      </c>
      <c r="M5634" s="238"/>
      <c r="N5634" s="238"/>
      <c r="U5634" s="238"/>
      <c r="V5634" s="238"/>
      <c r="W5634" s="238"/>
      <c r="X5634" s="238"/>
      <c r="Y5634" s="238"/>
      <c r="Z5634" s="238"/>
      <c r="AA5634" s="238"/>
      <c r="AB5634" s="238"/>
      <c r="AC5634" s="238"/>
    </row>
    <row r="5635" spans="1:29" s="774" customFormat="1" x14ac:dyDescent="0.25">
      <c r="F5635" s="832"/>
      <c r="G5635" s="769"/>
      <c r="H5635" s="769" t="str">
        <f t="shared" si="1916"/>
        <v/>
      </c>
      <c r="I5635" s="691"/>
      <c r="J5635" s="669" t="s">
        <v>4180</v>
      </c>
    </row>
    <row r="5636" spans="1:29" s="774" customFormat="1" x14ac:dyDescent="0.25">
      <c r="A5636" s="807" t="s">
        <v>7566</v>
      </c>
      <c r="B5636" s="645" t="s">
        <v>2269</v>
      </c>
      <c r="C5636" s="645"/>
      <c r="D5636" s="645" t="s">
        <v>7650</v>
      </c>
      <c r="E5636" s="656"/>
      <c r="F5636" s="657"/>
      <c r="G5636" s="657"/>
      <c r="H5636" s="656"/>
      <c r="I5636" s="701"/>
      <c r="J5636" s="669">
        <v>44536</v>
      </c>
    </row>
    <row r="5637" spans="1:29" s="774" customFormat="1" x14ac:dyDescent="0.25">
      <c r="A5637" s="807" t="s">
        <v>7567</v>
      </c>
      <c r="B5637" s="645" t="s">
        <v>5548</v>
      </c>
      <c r="C5637" s="645"/>
      <c r="D5637" s="645" t="s">
        <v>7650</v>
      </c>
      <c r="E5637" s="656"/>
      <c r="F5637" s="657"/>
      <c r="G5637" s="657"/>
      <c r="H5637" s="656"/>
      <c r="I5637" s="701"/>
      <c r="J5637" s="669">
        <v>44536</v>
      </c>
    </row>
    <row r="5638" spans="1:29" s="774" customFormat="1" x14ac:dyDescent="0.25">
      <c r="A5638" s="807" t="s">
        <v>7568</v>
      </c>
      <c r="B5638" s="645" t="s">
        <v>4847</v>
      </c>
      <c r="C5638" s="645"/>
      <c r="D5638" s="645" t="s">
        <v>7650</v>
      </c>
      <c r="E5638" s="656"/>
      <c r="F5638" s="657"/>
      <c r="G5638" s="657"/>
      <c r="H5638" s="656"/>
      <c r="I5638" s="701"/>
      <c r="J5638" s="669">
        <v>44536</v>
      </c>
    </row>
    <row r="5639" spans="1:29" s="774" customFormat="1" x14ac:dyDescent="0.25">
      <c r="A5639" s="807" t="s">
        <v>7569</v>
      </c>
      <c r="B5639" s="645" t="s">
        <v>5406</v>
      </c>
      <c r="C5639" s="645"/>
      <c r="D5639" s="645" t="s">
        <v>7650</v>
      </c>
      <c r="E5639" s="656"/>
      <c r="F5639" s="657"/>
      <c r="G5639" s="657"/>
      <c r="H5639" s="656"/>
      <c r="I5639" s="701"/>
      <c r="J5639" s="669">
        <v>44536</v>
      </c>
    </row>
    <row r="5640" spans="1:29" s="774" customFormat="1" x14ac:dyDescent="0.25">
      <c r="A5640" s="807" t="s">
        <v>7570</v>
      </c>
      <c r="B5640" s="645" t="s">
        <v>5411</v>
      </c>
      <c r="C5640" s="645"/>
      <c r="D5640" s="645" t="s">
        <v>7650</v>
      </c>
      <c r="E5640" s="656"/>
      <c r="F5640" s="657"/>
      <c r="G5640" s="657"/>
      <c r="H5640" s="656"/>
      <c r="I5640" s="701"/>
      <c r="J5640" s="669">
        <v>44536</v>
      </c>
    </row>
    <row r="5641" spans="1:29" s="774" customFormat="1" x14ac:dyDescent="0.25">
      <c r="A5641" s="807" t="s">
        <v>7571</v>
      </c>
      <c r="B5641" s="645" t="s">
        <v>5412</v>
      </c>
      <c r="C5641" s="645"/>
      <c r="D5641" s="645" t="s">
        <v>7650</v>
      </c>
      <c r="E5641" s="656"/>
      <c r="F5641" s="657"/>
      <c r="G5641" s="657"/>
      <c r="H5641" s="656"/>
      <c r="I5641" s="701"/>
      <c r="J5641" s="669">
        <v>44536</v>
      </c>
    </row>
    <row r="5642" spans="1:29" s="774" customFormat="1" x14ac:dyDescent="0.25">
      <c r="A5642" s="807" t="s">
        <v>7572</v>
      </c>
      <c r="B5642" s="645" t="s">
        <v>2034</v>
      </c>
      <c r="C5642" s="645"/>
      <c r="D5642" s="645" t="s">
        <v>7650</v>
      </c>
      <c r="E5642" s="656"/>
      <c r="F5642" s="657"/>
      <c r="G5642" s="657"/>
      <c r="H5642" s="656"/>
      <c r="I5642" s="701"/>
      <c r="J5642" s="669">
        <v>44536</v>
      </c>
    </row>
    <row r="5643" spans="1:29" s="774" customFormat="1" x14ac:dyDescent="0.25">
      <c r="A5643" s="807" t="s">
        <v>7573</v>
      </c>
      <c r="B5643" s="645" t="s">
        <v>2067</v>
      </c>
      <c r="C5643" s="645"/>
      <c r="D5643" s="645" t="s">
        <v>7650</v>
      </c>
      <c r="E5643" s="656"/>
      <c r="F5643" s="657"/>
      <c r="G5643" s="657"/>
      <c r="H5643" s="656"/>
      <c r="I5643" s="701"/>
      <c r="J5643" s="669">
        <v>44536</v>
      </c>
    </row>
    <row r="5644" spans="1:29" s="774" customFormat="1" x14ac:dyDescent="0.25">
      <c r="A5644" s="807" t="s">
        <v>7574</v>
      </c>
      <c r="B5644" s="645" t="s">
        <v>3374</v>
      </c>
      <c r="C5644" s="645"/>
      <c r="D5644" s="645" t="s">
        <v>7650</v>
      </c>
      <c r="E5644" s="656"/>
      <c r="F5644" s="657"/>
      <c r="G5644" s="657"/>
      <c r="H5644" s="656"/>
      <c r="I5644" s="701"/>
      <c r="J5644" s="669">
        <v>44536</v>
      </c>
    </row>
    <row r="5645" spans="1:29" s="774" customFormat="1" x14ac:dyDescent="0.25">
      <c r="A5645" s="807" t="s">
        <v>7575</v>
      </c>
      <c r="B5645" s="645" t="s">
        <v>3382</v>
      </c>
      <c r="C5645" s="645"/>
      <c r="D5645" s="645" t="s">
        <v>7650</v>
      </c>
      <c r="E5645" s="656"/>
      <c r="F5645" s="657"/>
      <c r="G5645" s="657"/>
      <c r="H5645" s="656"/>
      <c r="I5645" s="701"/>
      <c r="J5645" s="669">
        <v>44536</v>
      </c>
    </row>
    <row r="5646" spans="1:29" s="774" customFormat="1" x14ac:dyDescent="0.25">
      <c r="A5646" s="807" t="s">
        <v>7576</v>
      </c>
      <c r="B5646" s="645" t="s">
        <v>3390</v>
      </c>
      <c r="C5646" s="645"/>
      <c r="D5646" s="645" t="s">
        <v>7650</v>
      </c>
      <c r="E5646" s="656"/>
      <c r="F5646" s="657"/>
      <c r="G5646" s="657"/>
      <c r="H5646" s="656"/>
      <c r="I5646" s="701"/>
      <c r="J5646" s="669">
        <v>44536</v>
      </c>
    </row>
    <row r="5647" spans="1:29" s="774" customFormat="1" x14ac:dyDescent="0.25">
      <c r="A5647" s="807" t="s">
        <v>7577</v>
      </c>
      <c r="B5647" s="645" t="s">
        <v>740</v>
      </c>
      <c r="C5647" s="645"/>
      <c r="D5647" s="645" t="s">
        <v>7650</v>
      </c>
      <c r="E5647" s="656"/>
      <c r="F5647" s="657"/>
      <c r="G5647" s="657"/>
      <c r="H5647" s="656"/>
      <c r="I5647" s="701"/>
      <c r="J5647" s="669">
        <v>44536</v>
      </c>
      <c r="O5647" s="12"/>
      <c r="P5647" s="12"/>
      <c r="Q5647" s="12"/>
      <c r="R5647" s="12"/>
      <c r="S5647" s="12"/>
      <c r="T5647" s="12"/>
    </row>
    <row r="5648" spans="1:29" s="12" customFormat="1" x14ac:dyDescent="0.25">
      <c r="A5648" s="807" t="s">
        <v>7578</v>
      </c>
      <c r="B5648" s="645" t="s">
        <v>5435</v>
      </c>
      <c r="C5648" s="645"/>
      <c r="D5648" s="645" t="s">
        <v>7650</v>
      </c>
      <c r="E5648" s="656"/>
      <c r="F5648" s="657"/>
      <c r="G5648" s="657"/>
      <c r="H5648" s="656"/>
      <c r="I5648" s="701"/>
      <c r="J5648" s="669">
        <v>44536</v>
      </c>
      <c r="M5648" s="774"/>
      <c r="N5648" s="774"/>
      <c r="O5648" s="774"/>
      <c r="P5648" s="774"/>
      <c r="Q5648" s="774"/>
      <c r="R5648" s="774"/>
      <c r="S5648" s="774"/>
      <c r="T5648" s="774"/>
      <c r="U5648" s="774"/>
      <c r="V5648" s="774"/>
      <c r="W5648" s="774"/>
      <c r="X5648" s="774"/>
      <c r="Y5648" s="774"/>
      <c r="Z5648" s="774"/>
      <c r="AA5648" s="774"/>
      <c r="AB5648" s="774"/>
      <c r="AC5648" s="774"/>
    </row>
    <row r="5649" spans="1:29" x14ac:dyDescent="0.25">
      <c r="A5649" s="312"/>
      <c r="B5649" s="313"/>
      <c r="C5649" s="313"/>
      <c r="D5649" s="313"/>
      <c r="E5649" s="313"/>
      <c r="F5649" s="476"/>
      <c r="G5649" s="314"/>
      <c r="H5649" s="15" t="str">
        <f t="shared" ref="H5649:H5678" si="1917">IF(ISNUMBER(G5649),ROUND(0.8*G5649,2),"")</f>
        <v/>
      </c>
      <c r="J5649" s="669" t="s">
        <v>4180</v>
      </c>
    </row>
    <row r="5650" spans="1:29" s="259" customFormat="1" ht="33" customHeight="1" x14ac:dyDescent="0.25">
      <c r="A5650" s="806" t="s">
        <v>8141</v>
      </c>
      <c r="B5650" s="605"/>
      <c r="C5650" s="605"/>
      <c r="D5650" s="605"/>
      <c r="E5650" s="605"/>
      <c r="F5650" s="606"/>
      <c r="G5650" s="605"/>
      <c r="H5650" s="664" t="str">
        <f t="shared" si="1917"/>
        <v/>
      </c>
      <c r="I5650" s="729"/>
      <c r="J5650" s="669">
        <v>42705</v>
      </c>
    </row>
    <row r="5651" spans="1:29" s="238" customFormat="1" ht="37.5" customHeight="1" x14ac:dyDescent="0.25">
      <c r="A5651" s="1130" t="s">
        <v>8142</v>
      </c>
      <c r="B5651" s="1130"/>
      <c r="C5651" s="1130"/>
      <c r="D5651" s="1130"/>
      <c r="E5651" s="1130"/>
      <c r="F5651" s="1130"/>
      <c r="G5651" s="428"/>
      <c r="H5651" s="504" t="str">
        <f t="shared" si="1917"/>
        <v/>
      </c>
      <c r="I5651" s="731"/>
      <c r="J5651" s="669">
        <v>42705</v>
      </c>
    </row>
    <row r="5652" spans="1:29" s="238" customFormat="1" ht="22.5" customHeight="1" x14ac:dyDescent="0.25">
      <c r="A5652" s="1132" t="s">
        <v>1374</v>
      </c>
      <c r="B5652" s="1132"/>
      <c r="C5652" s="1132"/>
      <c r="D5652" s="1132"/>
      <c r="E5652" s="1132"/>
      <c r="F5652" s="1132"/>
      <c r="G5652" s="431"/>
      <c r="H5652" s="505" t="str">
        <f t="shared" si="1917"/>
        <v/>
      </c>
      <c r="I5652" s="732"/>
      <c r="J5652" s="669">
        <v>42705</v>
      </c>
      <c r="O5652"/>
      <c r="P5652"/>
      <c r="Q5652"/>
      <c r="R5652"/>
      <c r="S5652"/>
      <c r="T5652"/>
    </row>
    <row r="5653" spans="1:29" ht="62.25" customHeight="1" x14ac:dyDescent="0.25">
      <c r="A5653" s="1132" t="s">
        <v>8143</v>
      </c>
      <c r="B5653" s="1132"/>
      <c r="C5653" s="1132"/>
      <c r="D5653" s="1132"/>
      <c r="E5653" s="1132"/>
      <c r="F5653" s="1132"/>
      <c r="G5653" s="431"/>
      <c r="H5653" s="505" t="str">
        <f t="shared" si="1917"/>
        <v/>
      </c>
      <c r="I5653" s="732"/>
      <c r="J5653" s="669">
        <v>44896</v>
      </c>
      <c r="M5653" s="238"/>
      <c r="N5653" s="238"/>
      <c r="U5653" s="238"/>
      <c r="V5653" s="238"/>
      <c r="W5653" s="238"/>
      <c r="X5653" s="238"/>
      <c r="Y5653" s="238"/>
      <c r="Z5653" s="238"/>
      <c r="AA5653" s="238"/>
      <c r="AB5653" s="238"/>
      <c r="AC5653" s="238"/>
    </row>
    <row r="5654" spans="1:29" x14ac:dyDescent="0.25">
      <c r="H5654" s="15" t="str">
        <f t="shared" si="1917"/>
        <v/>
      </c>
      <c r="J5654" s="669" t="s">
        <v>4180</v>
      </c>
    </row>
    <row r="5655" spans="1:29" x14ac:dyDescent="0.25">
      <c r="A5655" s="317" t="s">
        <v>3879</v>
      </c>
      <c r="B5655" s="310" t="s">
        <v>2269</v>
      </c>
      <c r="C5655" s="310"/>
      <c r="D5655" s="310" t="s">
        <v>3880</v>
      </c>
      <c r="E5655" s="310"/>
      <c r="F5655" s="475">
        <v>0</v>
      </c>
      <c r="G5655" s="311">
        <v>0</v>
      </c>
      <c r="H5655" s="311">
        <f t="shared" si="1917"/>
        <v>0</v>
      </c>
      <c r="I5655" s="733"/>
      <c r="J5655" s="669" t="s">
        <v>5805</v>
      </c>
    </row>
    <row r="5656" spans="1:29" x14ac:dyDescent="0.25">
      <c r="A5656" s="317" t="s">
        <v>3881</v>
      </c>
      <c r="B5656" s="310" t="s">
        <v>5548</v>
      </c>
      <c r="C5656" s="310"/>
      <c r="D5656" s="310" t="s">
        <v>3880</v>
      </c>
      <c r="E5656" s="310"/>
      <c r="F5656" s="475">
        <v>0</v>
      </c>
      <c r="G5656" s="311">
        <v>0</v>
      </c>
      <c r="H5656" s="311">
        <f t="shared" si="1917"/>
        <v>0</v>
      </c>
      <c r="I5656" s="733"/>
      <c r="J5656" s="669" t="s">
        <v>5805</v>
      </c>
    </row>
    <row r="5657" spans="1:29" x14ac:dyDescent="0.25">
      <c r="A5657" s="317" t="s">
        <v>3882</v>
      </c>
      <c r="B5657" s="310" t="s">
        <v>4847</v>
      </c>
      <c r="C5657" s="310"/>
      <c r="D5657" s="310" t="s">
        <v>3880</v>
      </c>
      <c r="E5657" s="310"/>
      <c r="F5657" s="475">
        <v>0</v>
      </c>
      <c r="G5657" s="311">
        <v>0</v>
      </c>
      <c r="H5657" s="311">
        <f t="shared" si="1917"/>
        <v>0</v>
      </c>
      <c r="I5657" s="733"/>
      <c r="J5657" s="669" t="s">
        <v>5805</v>
      </c>
    </row>
    <row r="5658" spans="1:29" x14ac:dyDescent="0.25">
      <c r="A5658" s="317" t="s">
        <v>3883</v>
      </c>
      <c r="B5658" s="310" t="s">
        <v>5406</v>
      </c>
      <c r="C5658" s="310"/>
      <c r="D5658" s="310" t="s">
        <v>3880</v>
      </c>
      <c r="E5658" s="310"/>
      <c r="F5658" s="475">
        <v>0</v>
      </c>
      <c r="G5658" s="311">
        <v>0</v>
      </c>
      <c r="H5658" s="311">
        <f t="shared" si="1917"/>
        <v>0</v>
      </c>
      <c r="I5658" s="733"/>
      <c r="J5658" s="669" t="s">
        <v>5805</v>
      </c>
    </row>
    <row r="5659" spans="1:29" x14ac:dyDescent="0.25">
      <c r="A5659" s="317" t="s">
        <v>3884</v>
      </c>
      <c r="B5659" s="310" t="s">
        <v>5411</v>
      </c>
      <c r="C5659" s="310"/>
      <c r="D5659" s="310" t="s">
        <v>3880</v>
      </c>
      <c r="E5659" s="310"/>
      <c r="F5659" s="475">
        <v>0</v>
      </c>
      <c r="G5659" s="311">
        <v>0</v>
      </c>
      <c r="H5659" s="311">
        <f t="shared" si="1917"/>
        <v>0</v>
      </c>
      <c r="I5659" s="733"/>
      <c r="J5659" s="669" t="s">
        <v>5805</v>
      </c>
    </row>
    <row r="5660" spans="1:29" x14ac:dyDescent="0.25">
      <c r="A5660" s="317" t="s">
        <v>3885</v>
      </c>
      <c r="B5660" s="310" t="s">
        <v>5412</v>
      </c>
      <c r="C5660" s="310"/>
      <c r="D5660" s="310" t="s">
        <v>3880</v>
      </c>
      <c r="E5660" s="310"/>
      <c r="F5660" s="475">
        <v>0</v>
      </c>
      <c r="G5660" s="311">
        <v>0</v>
      </c>
      <c r="H5660" s="311">
        <f t="shared" si="1917"/>
        <v>0</v>
      </c>
      <c r="I5660" s="733"/>
      <c r="J5660" s="669" t="s">
        <v>5805</v>
      </c>
    </row>
    <row r="5661" spans="1:29" x14ac:dyDescent="0.25">
      <c r="A5661" s="317" t="s">
        <v>3886</v>
      </c>
      <c r="B5661" s="310" t="s">
        <v>2034</v>
      </c>
      <c r="C5661" s="310"/>
      <c r="D5661" s="310" t="s">
        <v>3880</v>
      </c>
      <c r="E5661" s="310"/>
      <c r="F5661" s="475">
        <v>0</v>
      </c>
      <c r="G5661" s="311">
        <v>0</v>
      </c>
      <c r="H5661" s="311">
        <f t="shared" si="1917"/>
        <v>0</v>
      </c>
      <c r="I5661" s="733"/>
      <c r="J5661" s="669" t="s">
        <v>5805</v>
      </c>
    </row>
    <row r="5662" spans="1:29" x14ac:dyDescent="0.25">
      <c r="A5662" s="317" t="s">
        <v>3887</v>
      </c>
      <c r="B5662" s="310" t="s">
        <v>2067</v>
      </c>
      <c r="C5662" s="310"/>
      <c r="D5662" s="310" t="s">
        <v>3880</v>
      </c>
      <c r="E5662" s="310"/>
      <c r="F5662" s="475">
        <v>0</v>
      </c>
      <c r="G5662" s="311">
        <v>0</v>
      </c>
      <c r="H5662" s="311">
        <f t="shared" si="1917"/>
        <v>0</v>
      </c>
      <c r="I5662" s="733"/>
      <c r="J5662" s="669" t="s">
        <v>5805</v>
      </c>
    </row>
    <row r="5663" spans="1:29" x14ac:dyDescent="0.25">
      <c r="A5663" s="317" t="s">
        <v>3888</v>
      </c>
      <c r="B5663" s="310" t="s">
        <v>3374</v>
      </c>
      <c r="C5663" s="310"/>
      <c r="D5663" s="310" t="s">
        <v>3880</v>
      </c>
      <c r="E5663" s="310"/>
      <c r="F5663" s="475">
        <v>0</v>
      </c>
      <c r="G5663" s="311">
        <v>0</v>
      </c>
      <c r="H5663" s="311">
        <f t="shared" si="1917"/>
        <v>0</v>
      </c>
      <c r="I5663" s="733"/>
      <c r="J5663" s="669" t="s">
        <v>5805</v>
      </c>
    </row>
    <row r="5664" spans="1:29" x14ac:dyDescent="0.25">
      <c r="A5664" s="317" t="s">
        <v>3889</v>
      </c>
      <c r="B5664" s="310" t="s">
        <v>3382</v>
      </c>
      <c r="C5664" s="310"/>
      <c r="D5664" s="310" t="s">
        <v>3880</v>
      </c>
      <c r="E5664" s="310"/>
      <c r="F5664" s="475">
        <v>0</v>
      </c>
      <c r="G5664" s="311">
        <v>0</v>
      </c>
      <c r="H5664" s="311">
        <f t="shared" si="1917"/>
        <v>0</v>
      </c>
      <c r="I5664" s="733"/>
      <c r="J5664" s="669" t="s">
        <v>5805</v>
      </c>
    </row>
    <row r="5665" spans="1:29" x14ac:dyDescent="0.25">
      <c r="A5665" s="317" t="s">
        <v>3890</v>
      </c>
      <c r="B5665" s="310" t="s">
        <v>3390</v>
      </c>
      <c r="C5665" s="310"/>
      <c r="D5665" s="310" t="s">
        <v>3880</v>
      </c>
      <c r="E5665" s="310"/>
      <c r="F5665" s="475">
        <v>0</v>
      </c>
      <c r="G5665" s="311">
        <v>0</v>
      </c>
      <c r="H5665" s="311">
        <f t="shared" si="1917"/>
        <v>0</v>
      </c>
      <c r="I5665" s="733"/>
      <c r="J5665" s="669" t="s">
        <v>5805</v>
      </c>
    </row>
    <row r="5666" spans="1:29" x14ac:dyDescent="0.25">
      <c r="A5666" s="317" t="s">
        <v>3891</v>
      </c>
      <c r="B5666" s="310" t="s">
        <v>740</v>
      </c>
      <c r="C5666" s="310"/>
      <c r="D5666" s="310" t="s">
        <v>3880</v>
      </c>
      <c r="E5666" s="310"/>
      <c r="F5666" s="475">
        <v>0</v>
      </c>
      <c r="G5666" s="311">
        <v>0</v>
      </c>
      <c r="H5666" s="311">
        <f t="shared" si="1917"/>
        <v>0</v>
      </c>
      <c r="I5666" s="733"/>
      <c r="J5666" s="669" t="s">
        <v>5805</v>
      </c>
      <c r="O5666" s="12"/>
      <c r="P5666" s="12"/>
      <c r="Q5666" s="12"/>
      <c r="R5666" s="12"/>
      <c r="S5666" s="12"/>
      <c r="T5666" s="12"/>
    </row>
    <row r="5667" spans="1:29" s="12" customFormat="1" x14ac:dyDescent="0.25">
      <c r="A5667" s="317" t="s">
        <v>3892</v>
      </c>
      <c r="B5667" s="310" t="s">
        <v>5435</v>
      </c>
      <c r="C5667" s="310"/>
      <c r="D5667" s="310" t="s">
        <v>3880</v>
      </c>
      <c r="E5667" s="310"/>
      <c r="F5667" s="475">
        <v>0</v>
      </c>
      <c r="G5667" s="311">
        <v>0</v>
      </c>
      <c r="H5667" s="311">
        <f t="shared" si="1917"/>
        <v>0</v>
      </c>
      <c r="I5667" s="733"/>
      <c r="J5667" s="669" t="s">
        <v>5805</v>
      </c>
      <c r="M5667"/>
      <c r="N5667"/>
      <c r="O5667"/>
      <c r="P5667"/>
      <c r="Q5667"/>
      <c r="R5667"/>
      <c r="S5667"/>
      <c r="T5667"/>
      <c r="U5667"/>
      <c r="V5667"/>
      <c r="W5667"/>
      <c r="X5667"/>
      <c r="Y5667"/>
      <c r="Z5667"/>
      <c r="AA5667"/>
      <c r="AB5667"/>
      <c r="AC5667"/>
    </row>
    <row r="5668" spans="1:29" x14ac:dyDescent="0.25">
      <c r="A5668" s="318"/>
      <c r="B5668" s="319"/>
      <c r="C5668" s="319"/>
      <c r="D5668" s="319"/>
      <c r="E5668" s="319"/>
      <c r="F5668" s="478"/>
      <c r="G5668" s="320"/>
      <c r="H5668" s="320" t="str">
        <f t="shared" si="1917"/>
        <v/>
      </c>
      <c r="I5668" s="737"/>
      <c r="J5668" s="669" t="s">
        <v>4180</v>
      </c>
      <c r="N5668" s="12"/>
      <c r="O5668" s="238"/>
      <c r="P5668" s="238"/>
      <c r="Q5668" s="238"/>
      <c r="R5668" s="238"/>
      <c r="S5668" s="238"/>
      <c r="T5668" s="238"/>
      <c r="U5668" s="12"/>
      <c r="V5668" s="12"/>
      <c r="W5668" s="12"/>
      <c r="X5668" s="12"/>
      <c r="Y5668" s="12"/>
      <c r="Z5668" s="12"/>
      <c r="AA5668" s="12"/>
      <c r="AB5668" s="12"/>
      <c r="AC5668" s="12"/>
    </row>
    <row r="5669" spans="1:29" ht="26.25" customHeight="1" x14ac:dyDescent="0.25">
      <c r="A5669" s="806" t="s">
        <v>8180</v>
      </c>
      <c r="B5669" s="65"/>
      <c r="C5669" s="65"/>
      <c r="D5669" s="65"/>
      <c r="E5669" s="65"/>
      <c r="F5669" s="443"/>
      <c r="G5669" s="65"/>
      <c r="H5669" s="74" t="str">
        <f t="shared" si="1917"/>
        <v/>
      </c>
      <c r="I5669" s="693"/>
      <c r="J5669" s="669">
        <v>42705</v>
      </c>
      <c r="O5669" s="238"/>
      <c r="P5669" s="238"/>
      <c r="Q5669" s="238"/>
      <c r="R5669" s="238"/>
      <c r="S5669" s="238"/>
      <c r="T5669" s="238"/>
    </row>
    <row r="5670" spans="1:29" s="238" customFormat="1" ht="22.5" customHeight="1" x14ac:dyDescent="0.25">
      <c r="A5670" s="1171" t="s">
        <v>1083</v>
      </c>
      <c r="B5670" s="1171"/>
      <c r="C5670" s="1171"/>
      <c r="D5670" s="1171"/>
      <c r="E5670" s="1171"/>
      <c r="F5670" s="1171"/>
      <c r="G5670" s="433"/>
      <c r="H5670" s="506" t="str">
        <f t="shared" si="1917"/>
        <v/>
      </c>
      <c r="I5670" s="734"/>
      <c r="J5670" s="669">
        <v>42705</v>
      </c>
      <c r="M5670"/>
      <c r="N5670"/>
      <c r="U5670"/>
      <c r="V5670"/>
      <c r="W5670"/>
      <c r="X5670"/>
      <c r="Y5670"/>
      <c r="Z5670"/>
      <c r="AA5670"/>
      <c r="AB5670"/>
      <c r="AC5670"/>
    </row>
    <row r="5671" spans="1:29" s="259" customFormat="1" ht="22.5" customHeight="1" x14ac:dyDescent="0.25">
      <c r="A5671" s="1166" t="s">
        <v>37</v>
      </c>
      <c r="B5671" s="1166"/>
      <c r="C5671" s="1166"/>
      <c r="D5671" s="1166"/>
      <c r="E5671" s="1166"/>
      <c r="F5671" s="1166"/>
      <c r="G5671" s="432"/>
      <c r="H5671" s="507" t="str">
        <f t="shared" si="1917"/>
        <v/>
      </c>
      <c r="I5671" s="735"/>
      <c r="J5671" s="669">
        <v>42705</v>
      </c>
      <c r="M5671" s="238"/>
      <c r="N5671" s="238"/>
      <c r="O5671"/>
      <c r="P5671"/>
      <c r="Q5671"/>
      <c r="R5671"/>
      <c r="S5671"/>
      <c r="T5671"/>
      <c r="U5671" s="238"/>
      <c r="V5671" s="238"/>
      <c r="W5671" s="238"/>
      <c r="X5671" s="238"/>
      <c r="Y5671" s="238"/>
      <c r="Z5671" s="238"/>
      <c r="AA5671" s="238"/>
      <c r="AB5671" s="238"/>
      <c r="AC5671" s="238"/>
    </row>
    <row r="5672" spans="1:29" s="238" customFormat="1" ht="93.75" customHeight="1" x14ac:dyDescent="0.25">
      <c r="A5672" s="1130" t="s">
        <v>474</v>
      </c>
      <c r="B5672" s="1130"/>
      <c r="C5672" s="1130"/>
      <c r="D5672" s="1130"/>
      <c r="E5672" s="1130"/>
      <c r="F5672" s="1130"/>
      <c r="G5672" s="630"/>
      <c r="H5672" s="631" t="str">
        <f t="shared" si="1917"/>
        <v/>
      </c>
      <c r="I5672" s="738"/>
      <c r="J5672" s="669">
        <v>42705</v>
      </c>
      <c r="M5672" s="259"/>
      <c r="N5672" s="259"/>
      <c r="O5672" s="259"/>
      <c r="P5672" s="259"/>
      <c r="Q5672" s="259"/>
      <c r="R5672" s="259"/>
      <c r="S5672" s="259"/>
      <c r="T5672" s="259"/>
      <c r="U5672" s="259"/>
      <c r="V5672" s="259"/>
      <c r="W5672" s="259"/>
      <c r="X5672" s="259"/>
      <c r="Y5672" s="259"/>
      <c r="Z5672" s="259"/>
      <c r="AA5672" s="259"/>
      <c r="AB5672" s="259"/>
      <c r="AC5672" s="259"/>
    </row>
    <row r="5673" spans="1:29" s="238" customFormat="1" ht="64.5" customHeight="1" x14ac:dyDescent="0.25">
      <c r="A5673" s="1128" t="s">
        <v>476</v>
      </c>
      <c r="B5673" s="1134"/>
      <c r="C5673" s="1134"/>
      <c r="D5673" s="1134"/>
      <c r="E5673" s="1134"/>
      <c r="F5673" s="1134"/>
      <c r="G5673" s="431"/>
      <c r="H5673" s="505" t="str">
        <f t="shared" si="1917"/>
        <v/>
      </c>
      <c r="I5673" s="732"/>
      <c r="J5673" s="669">
        <v>42705</v>
      </c>
      <c r="O5673"/>
      <c r="P5673"/>
      <c r="Q5673"/>
      <c r="R5673"/>
      <c r="S5673"/>
      <c r="T5673"/>
    </row>
    <row r="5674" spans="1:29" s="238" customFormat="1" ht="51.75" customHeight="1" x14ac:dyDescent="0.25">
      <c r="A5674" s="1128" t="s">
        <v>477</v>
      </c>
      <c r="B5674" s="1134"/>
      <c r="C5674" s="1134"/>
      <c r="D5674" s="1134"/>
      <c r="E5674" s="1134"/>
      <c r="F5674" s="1134"/>
      <c r="G5674" s="431"/>
      <c r="H5674" s="505" t="str">
        <f t="shared" si="1917"/>
        <v/>
      </c>
      <c r="I5674" s="732"/>
      <c r="J5674" s="669">
        <v>42705</v>
      </c>
    </row>
    <row r="5675" spans="1:29" s="238" customFormat="1" ht="65.25" customHeight="1" x14ac:dyDescent="0.25">
      <c r="A5675" s="1132" t="s">
        <v>8181</v>
      </c>
      <c r="B5675" s="1132"/>
      <c r="C5675" s="1132"/>
      <c r="D5675" s="1132"/>
      <c r="E5675" s="1132"/>
      <c r="F5675" s="1132"/>
      <c r="G5675" s="431"/>
      <c r="H5675" s="505" t="str">
        <f t="shared" si="1917"/>
        <v/>
      </c>
      <c r="I5675" s="732"/>
      <c r="J5675" s="669">
        <v>43318</v>
      </c>
    </row>
    <row r="5676" spans="1:29" s="238" customFormat="1" ht="24.75" customHeight="1" x14ac:dyDescent="0.25">
      <c r="A5676" s="1128" t="s">
        <v>475</v>
      </c>
      <c r="B5676" s="1134"/>
      <c r="C5676" s="1134"/>
      <c r="D5676" s="1134"/>
      <c r="E5676" s="1134"/>
      <c r="F5676" s="1134"/>
      <c r="G5676" s="431"/>
      <c r="H5676" s="505" t="str">
        <f t="shared" si="1917"/>
        <v/>
      </c>
      <c r="I5676" s="732"/>
      <c r="J5676" s="669">
        <v>42705</v>
      </c>
      <c r="O5676"/>
      <c r="P5676"/>
      <c r="Q5676"/>
      <c r="R5676"/>
      <c r="S5676"/>
      <c r="T5676"/>
    </row>
    <row r="5677" spans="1:29" ht="22.5" customHeight="1" x14ac:dyDescent="0.25">
      <c r="A5677" s="1134" t="s">
        <v>4255</v>
      </c>
      <c r="B5677" s="1134"/>
      <c r="C5677" s="1134"/>
      <c r="D5677" s="1134"/>
      <c r="E5677" s="1134"/>
      <c r="F5677" s="1134"/>
      <c r="G5677" s="431"/>
      <c r="H5677" s="505" t="str">
        <f t="shared" si="1917"/>
        <v/>
      </c>
      <c r="I5677" s="732"/>
      <c r="J5677" s="669">
        <v>42705</v>
      </c>
      <c r="M5677" s="238"/>
      <c r="N5677" s="238"/>
      <c r="U5677" s="238"/>
      <c r="V5677" s="238"/>
      <c r="W5677" s="238"/>
      <c r="X5677" s="238"/>
      <c r="Y5677" s="238"/>
      <c r="Z5677" s="238"/>
      <c r="AA5677" s="238"/>
      <c r="AB5677" s="238"/>
      <c r="AC5677" s="238"/>
    </row>
    <row r="5678" spans="1:29" x14ac:dyDescent="0.25">
      <c r="H5678" s="15" t="str">
        <f t="shared" si="1917"/>
        <v/>
      </c>
      <c r="J5678" s="669" t="s">
        <v>4180</v>
      </c>
    </row>
    <row r="5679" spans="1:29" x14ac:dyDescent="0.25">
      <c r="A5679" s="607" t="s">
        <v>478</v>
      </c>
      <c r="B5679" s="563" t="s">
        <v>2269</v>
      </c>
      <c r="C5679" s="563"/>
      <c r="D5679" s="565" t="s">
        <v>8182</v>
      </c>
      <c r="E5679" s="563"/>
      <c r="F5679" s="564"/>
      <c r="G5679" s="564"/>
      <c r="H5679" s="564"/>
      <c r="I5679" s="739"/>
      <c r="J5679" s="669">
        <v>44896</v>
      </c>
    </row>
    <row r="5680" spans="1:29" x14ac:dyDescent="0.25">
      <c r="A5680" s="607" t="s">
        <v>479</v>
      </c>
      <c r="B5680" s="563" t="s">
        <v>5548</v>
      </c>
      <c r="C5680" s="563"/>
      <c r="D5680" s="565" t="s">
        <v>8182</v>
      </c>
      <c r="E5680" s="563"/>
      <c r="F5680" s="564"/>
      <c r="G5680" s="564"/>
      <c r="H5680" s="564"/>
      <c r="I5680" s="739"/>
      <c r="J5680" s="669">
        <v>44896</v>
      </c>
    </row>
    <row r="5681" spans="1:20" x14ac:dyDescent="0.25">
      <c r="A5681" s="607" t="s">
        <v>480</v>
      </c>
      <c r="B5681" s="563" t="s">
        <v>4847</v>
      </c>
      <c r="C5681" s="563"/>
      <c r="D5681" s="565" t="s">
        <v>8182</v>
      </c>
      <c r="E5681" s="563"/>
      <c r="F5681" s="564"/>
      <c r="G5681" s="564"/>
      <c r="H5681" s="564"/>
      <c r="I5681" s="739"/>
      <c r="J5681" s="669">
        <v>44896</v>
      </c>
    </row>
    <row r="5682" spans="1:20" x14ac:dyDescent="0.25">
      <c r="A5682" s="607" t="s">
        <v>481</v>
      </c>
      <c r="B5682" s="563" t="s">
        <v>5406</v>
      </c>
      <c r="C5682" s="563"/>
      <c r="D5682" s="565" t="s">
        <v>8182</v>
      </c>
      <c r="E5682" s="563"/>
      <c r="F5682" s="564"/>
      <c r="G5682" s="564"/>
      <c r="H5682" s="564"/>
      <c r="I5682" s="739"/>
      <c r="J5682" s="669">
        <v>44896</v>
      </c>
    </row>
    <row r="5683" spans="1:20" x14ac:dyDescent="0.25">
      <c r="A5683" s="607" t="s">
        <v>482</v>
      </c>
      <c r="B5683" s="563" t="s">
        <v>5411</v>
      </c>
      <c r="C5683" s="563"/>
      <c r="D5683" s="565" t="s">
        <v>8182</v>
      </c>
      <c r="E5683" s="563"/>
      <c r="F5683" s="564"/>
      <c r="G5683" s="564"/>
      <c r="H5683" s="564"/>
      <c r="I5683" s="739"/>
      <c r="J5683" s="669">
        <v>44896</v>
      </c>
    </row>
    <row r="5684" spans="1:20" x14ac:dyDescent="0.25">
      <c r="A5684" s="607" t="s">
        <v>483</v>
      </c>
      <c r="B5684" s="563" t="s">
        <v>5412</v>
      </c>
      <c r="C5684" s="563"/>
      <c r="D5684" s="565" t="s">
        <v>8182</v>
      </c>
      <c r="E5684" s="563"/>
      <c r="F5684" s="564"/>
      <c r="G5684" s="564"/>
      <c r="H5684" s="564"/>
      <c r="I5684" s="739"/>
      <c r="J5684" s="669">
        <v>44896</v>
      </c>
    </row>
    <row r="5685" spans="1:20" x14ac:dyDescent="0.25">
      <c r="A5685" s="607" t="s">
        <v>484</v>
      </c>
      <c r="B5685" s="563" t="s">
        <v>2034</v>
      </c>
      <c r="C5685" s="563"/>
      <c r="D5685" s="565" t="s">
        <v>8182</v>
      </c>
      <c r="E5685" s="563"/>
      <c r="F5685" s="564"/>
      <c r="G5685" s="564"/>
      <c r="H5685" s="564"/>
      <c r="I5685" s="739"/>
      <c r="J5685" s="669">
        <v>44896</v>
      </c>
    </row>
    <row r="5686" spans="1:20" x14ac:dyDescent="0.25">
      <c r="A5686" s="607" t="s">
        <v>485</v>
      </c>
      <c r="B5686" s="563" t="s">
        <v>2067</v>
      </c>
      <c r="C5686" s="563"/>
      <c r="D5686" s="565" t="s">
        <v>8182</v>
      </c>
      <c r="E5686" s="563"/>
      <c r="F5686" s="564"/>
      <c r="G5686" s="564"/>
      <c r="H5686" s="564"/>
      <c r="I5686" s="739"/>
      <c r="J5686" s="669">
        <v>44896</v>
      </c>
    </row>
    <row r="5687" spans="1:20" x14ac:dyDescent="0.25">
      <c r="A5687" s="607" t="s">
        <v>486</v>
      </c>
      <c r="B5687" s="563" t="s">
        <v>3374</v>
      </c>
      <c r="C5687" s="563"/>
      <c r="D5687" s="565" t="s">
        <v>8182</v>
      </c>
      <c r="E5687" s="563"/>
      <c r="F5687" s="564"/>
      <c r="G5687" s="564"/>
      <c r="H5687" s="564"/>
      <c r="I5687" s="739"/>
      <c r="J5687" s="669">
        <v>44896</v>
      </c>
    </row>
    <row r="5688" spans="1:20" x14ac:dyDescent="0.25">
      <c r="A5688" s="607" t="s">
        <v>487</v>
      </c>
      <c r="B5688" s="563" t="s">
        <v>3382</v>
      </c>
      <c r="C5688" s="563"/>
      <c r="D5688" s="565" t="s">
        <v>8182</v>
      </c>
      <c r="E5688" s="563"/>
      <c r="F5688" s="564"/>
      <c r="G5688" s="564"/>
      <c r="H5688" s="564"/>
      <c r="I5688" s="739"/>
      <c r="J5688" s="669">
        <v>44896</v>
      </c>
    </row>
    <row r="5689" spans="1:20" x14ac:dyDescent="0.25">
      <c r="A5689" s="607" t="s">
        <v>488</v>
      </c>
      <c r="B5689" s="563" t="s">
        <v>3390</v>
      </c>
      <c r="C5689" s="563"/>
      <c r="D5689" s="565" t="s">
        <v>8182</v>
      </c>
      <c r="E5689" s="563"/>
      <c r="F5689" s="564"/>
      <c r="G5689" s="564"/>
      <c r="H5689" s="564"/>
      <c r="I5689" s="739"/>
      <c r="J5689" s="669">
        <v>44896</v>
      </c>
    </row>
    <row r="5690" spans="1:20" x14ac:dyDescent="0.25">
      <c r="A5690" s="607" t="s">
        <v>489</v>
      </c>
      <c r="B5690" s="563" t="s">
        <v>740</v>
      </c>
      <c r="C5690" s="563"/>
      <c r="D5690" s="565" t="s">
        <v>8182</v>
      </c>
      <c r="E5690" s="563"/>
      <c r="F5690" s="564"/>
      <c r="G5690" s="564"/>
      <c r="H5690" s="564"/>
      <c r="I5690" s="739"/>
      <c r="J5690" s="669">
        <v>44896</v>
      </c>
    </row>
    <row r="5691" spans="1:20" x14ac:dyDescent="0.25">
      <c r="A5691" s="607" t="s">
        <v>490</v>
      </c>
      <c r="B5691" s="563" t="s">
        <v>5435</v>
      </c>
      <c r="C5691" s="563"/>
      <c r="D5691" s="565" t="s">
        <v>8182</v>
      </c>
      <c r="E5691" s="563"/>
      <c r="F5691" s="564"/>
      <c r="G5691" s="564"/>
      <c r="H5691" s="564"/>
      <c r="I5691" s="739"/>
      <c r="J5691" s="669">
        <v>44896</v>
      </c>
    </row>
    <row r="5692" spans="1:20" x14ac:dyDescent="0.25">
      <c r="H5692" s="15" t="str">
        <f>IF(ISNUMBER(G5692),ROUND(0.8*G5692,2),"")</f>
        <v/>
      </c>
      <c r="J5692" s="669" t="s">
        <v>4180</v>
      </c>
    </row>
    <row r="5693" spans="1:20" s="259" customFormat="1" ht="30.75" customHeight="1" x14ac:dyDescent="0.25">
      <c r="A5693" s="806" t="s">
        <v>8183</v>
      </c>
      <c r="B5693" s="605"/>
      <c r="C5693" s="605"/>
      <c r="D5693" s="605"/>
      <c r="E5693" s="605"/>
      <c r="F5693" s="606"/>
      <c r="G5693" s="605"/>
      <c r="H5693" s="664" t="str">
        <f>IF(ISNUMBER(G5693),ROUND(0.8*G5693,2),"")</f>
        <v/>
      </c>
      <c r="I5693" s="664"/>
      <c r="J5693" s="669">
        <v>42705</v>
      </c>
    </row>
    <row r="5694" spans="1:20" ht="50.25" customHeight="1" x14ac:dyDescent="0.25">
      <c r="A5694" s="1130" t="s">
        <v>8184</v>
      </c>
      <c r="B5694" s="1130"/>
      <c r="C5694" s="1130"/>
      <c r="D5694" s="1130"/>
      <c r="E5694" s="1130"/>
      <c r="F5694" s="1130"/>
      <c r="G5694" s="428"/>
      <c r="H5694" s="504" t="str">
        <f>IF(ISNUMBER(G5694),ROUND(0.8*G5694,2),"")</f>
        <v/>
      </c>
      <c r="I5694" s="731"/>
      <c r="J5694" s="669">
        <v>42705</v>
      </c>
      <c r="O5694" s="238"/>
      <c r="P5694" s="238"/>
      <c r="Q5694" s="238"/>
      <c r="R5694" s="238"/>
      <c r="S5694" s="238"/>
      <c r="T5694" s="238"/>
    </row>
    <row r="5695" spans="1:20" x14ac:dyDescent="0.25">
      <c r="A5695" s="1130" t="s">
        <v>6710</v>
      </c>
      <c r="B5695" s="1130"/>
      <c r="C5695" s="1130"/>
      <c r="D5695" s="1130"/>
      <c r="E5695" s="1130"/>
      <c r="F5695" s="1130"/>
      <c r="G5695" s="428"/>
      <c r="H5695" s="504" t="str">
        <f>IF(ISNUMBER(G5695),ROUND(0.8*G5695,2),"")</f>
        <v/>
      </c>
      <c r="I5695" s="731"/>
      <c r="J5695" s="669">
        <v>42705</v>
      </c>
      <c r="O5695" s="238"/>
      <c r="P5695" s="238"/>
      <c r="Q5695" s="238"/>
      <c r="R5695" s="238"/>
      <c r="S5695" s="238"/>
      <c r="T5695" s="238"/>
    </row>
    <row r="5696" spans="1:20" s="774" customFormat="1" x14ac:dyDescent="0.25">
      <c r="A5696" s="1130" t="s">
        <v>6711</v>
      </c>
      <c r="B5696" s="1130"/>
      <c r="C5696" s="1130"/>
      <c r="D5696" s="1130"/>
      <c r="E5696" s="1130"/>
      <c r="F5696" s="1130"/>
      <c r="G5696" s="428"/>
      <c r="H5696" s="504"/>
      <c r="I5696" s="731"/>
      <c r="J5696" s="669">
        <v>44196</v>
      </c>
      <c r="O5696" s="238"/>
      <c r="P5696" s="238"/>
      <c r="Q5696" s="238"/>
      <c r="R5696" s="238"/>
      <c r="S5696" s="238"/>
      <c r="T5696" s="238"/>
    </row>
    <row r="5697" spans="1:29" x14ac:dyDescent="0.25">
      <c r="A5697" s="1165" t="s">
        <v>6011</v>
      </c>
      <c r="B5697" s="1165"/>
      <c r="C5697" s="1165"/>
      <c r="D5697" s="1165"/>
      <c r="E5697" s="1165"/>
      <c r="F5697" s="1165"/>
      <c r="G5697" s="428"/>
      <c r="H5697" s="504" t="str">
        <f>IF(ISNUMBER(G5697),ROUND(0.8*G5697,2),"")</f>
        <v/>
      </c>
      <c r="I5697" s="731"/>
      <c r="J5697" s="669">
        <v>42705</v>
      </c>
      <c r="O5697" s="238"/>
      <c r="P5697" s="238"/>
      <c r="Q5697" s="238"/>
      <c r="R5697" s="238"/>
      <c r="S5697" s="238"/>
      <c r="T5697" s="238"/>
    </row>
    <row r="5698" spans="1:29" x14ac:dyDescent="0.25">
      <c r="H5698" s="15" t="str">
        <f>IF(ISNUMBER(G5698),ROUND(0.8*G5698,2),"")</f>
        <v/>
      </c>
      <c r="J5698" s="669" t="s">
        <v>4180</v>
      </c>
      <c r="O5698" s="238"/>
      <c r="P5698" s="238"/>
      <c r="Q5698" s="238"/>
      <c r="R5698" s="238"/>
      <c r="S5698" s="238"/>
      <c r="T5698" s="238"/>
    </row>
    <row r="5699" spans="1:29" x14ac:dyDescent="0.25">
      <c r="A5699" s="607" t="s">
        <v>278</v>
      </c>
      <c r="B5699" s="435" t="s">
        <v>5548</v>
      </c>
      <c r="C5699" s="436"/>
      <c r="D5699" s="436" t="s">
        <v>277</v>
      </c>
      <c r="E5699" s="435"/>
      <c r="F5699" s="450"/>
      <c r="G5699" s="450"/>
      <c r="H5699" s="450"/>
      <c r="I5699" s="740"/>
      <c r="J5699" s="669" t="s">
        <v>5805</v>
      </c>
      <c r="O5699" s="238"/>
      <c r="P5699" s="238"/>
      <c r="Q5699" s="238"/>
      <c r="R5699" s="238"/>
      <c r="S5699" s="238"/>
      <c r="T5699" s="238"/>
    </row>
    <row r="5700" spans="1:29" x14ac:dyDescent="0.25">
      <c r="J5700" s="669" t="s">
        <v>4180</v>
      </c>
      <c r="O5700" s="238"/>
      <c r="P5700" s="238"/>
      <c r="Q5700" s="238"/>
      <c r="R5700" s="238"/>
      <c r="S5700" s="238"/>
      <c r="T5700" s="238"/>
    </row>
    <row r="5701" spans="1:29" ht="33.75" customHeight="1" x14ac:dyDescent="0.25">
      <c r="A5701" s="806" t="s">
        <v>8185</v>
      </c>
      <c r="B5701" s="65"/>
      <c r="C5701" s="65"/>
      <c r="D5701" s="65"/>
      <c r="E5701" s="65"/>
      <c r="F5701" s="443"/>
      <c r="G5701" s="65"/>
      <c r="H5701" s="74" t="str">
        <f>IF(ISNUMBER(G5701),ROUND(0.8*G5701,2),"")</f>
        <v/>
      </c>
      <c r="I5701" s="693"/>
      <c r="J5701" s="669">
        <v>42705</v>
      </c>
      <c r="O5701" s="238"/>
      <c r="P5701" s="238"/>
      <c r="Q5701" s="238"/>
      <c r="R5701" s="238"/>
      <c r="S5701" s="238"/>
      <c r="T5701" s="238"/>
    </row>
    <row r="5702" spans="1:29" ht="38.25" customHeight="1" x14ac:dyDescent="0.25">
      <c r="A5702" s="1130" t="s">
        <v>8186</v>
      </c>
      <c r="B5702" s="1130"/>
      <c r="C5702" s="1130"/>
      <c r="D5702" s="1130"/>
      <c r="E5702" s="1130"/>
      <c r="F5702" s="1130"/>
      <c r="G5702" s="428"/>
      <c r="H5702" s="504" t="str">
        <f>IF(ISNUMBER(G5702),ROUND(0.8*G5702,2),"")</f>
        <v/>
      </c>
      <c r="I5702" s="731"/>
      <c r="J5702" s="669">
        <v>42705</v>
      </c>
      <c r="O5702" s="238"/>
      <c r="P5702" s="238"/>
      <c r="Q5702" s="238"/>
      <c r="R5702" s="238"/>
      <c r="S5702" s="238"/>
      <c r="T5702" s="238"/>
    </row>
    <row r="5703" spans="1:29" ht="48" customHeight="1" x14ac:dyDescent="0.25">
      <c r="A5703" s="1130" t="s">
        <v>8187</v>
      </c>
      <c r="B5703" s="1130"/>
      <c r="C5703" s="1130"/>
      <c r="D5703" s="1130"/>
      <c r="E5703" s="1130"/>
      <c r="F5703" s="1130"/>
      <c r="G5703" s="428"/>
      <c r="H5703" s="504" t="str">
        <f>IF(ISNUMBER(G5703),ROUND(0.8*G5703,2),"")</f>
        <v/>
      </c>
      <c r="I5703" s="731"/>
      <c r="J5703" s="669">
        <v>42705</v>
      </c>
      <c r="O5703" s="238"/>
      <c r="P5703" s="238"/>
      <c r="Q5703" s="238"/>
      <c r="R5703" s="238"/>
      <c r="S5703" s="238"/>
      <c r="T5703" s="238"/>
    </row>
    <row r="5704" spans="1:29" ht="30" customHeight="1" x14ac:dyDescent="0.25">
      <c r="A5704" s="1130" t="s">
        <v>274</v>
      </c>
      <c r="B5704" s="1130"/>
      <c r="C5704" s="1130"/>
      <c r="D5704" s="1130"/>
      <c r="E5704" s="1130"/>
      <c r="F5704" s="1130"/>
      <c r="G5704" s="428"/>
      <c r="H5704" s="504" t="str">
        <f>IF(ISNUMBER(G5704),ROUND(0.8*G5704,2),"")</f>
        <v/>
      </c>
      <c r="I5704" s="731"/>
      <c r="J5704" s="669">
        <v>42705</v>
      </c>
      <c r="O5704" s="238"/>
      <c r="P5704" s="238"/>
      <c r="Q5704" s="238"/>
      <c r="R5704" s="238"/>
      <c r="S5704" s="238"/>
      <c r="T5704" s="238"/>
    </row>
    <row r="5705" spans="1:29" x14ac:dyDescent="0.25">
      <c r="H5705" s="15" t="str">
        <f>IF(ISNUMBER(G5705),ROUND(0.8*G5705,2),"")</f>
        <v/>
      </c>
      <c r="J5705" s="669" t="s">
        <v>4180</v>
      </c>
      <c r="O5705" s="238"/>
      <c r="P5705" s="238"/>
      <c r="Q5705" s="238"/>
      <c r="R5705" s="238"/>
      <c r="S5705" s="238"/>
      <c r="T5705" s="238"/>
    </row>
    <row r="5706" spans="1:29" x14ac:dyDescent="0.25">
      <c r="A5706" s="607" t="s">
        <v>279</v>
      </c>
      <c r="B5706" s="435" t="s">
        <v>5548</v>
      </c>
      <c r="C5706" s="436"/>
      <c r="D5706" s="436" t="s">
        <v>275</v>
      </c>
      <c r="E5706" s="435"/>
      <c r="F5706" s="450"/>
      <c r="G5706" s="450"/>
      <c r="H5706" s="450"/>
      <c r="I5706" s="740"/>
      <c r="J5706" s="669" t="s">
        <v>5805</v>
      </c>
      <c r="O5706" s="238"/>
      <c r="P5706" s="238"/>
      <c r="Q5706" s="238"/>
      <c r="R5706" s="238"/>
      <c r="S5706" s="238"/>
      <c r="T5706" s="238"/>
    </row>
    <row r="5707" spans="1:29" x14ac:dyDescent="0.25">
      <c r="A5707" s="607" t="s">
        <v>280</v>
      </c>
      <c r="B5707" s="435" t="s">
        <v>5548</v>
      </c>
      <c r="C5707" s="436"/>
      <c r="D5707" s="436" t="s">
        <v>276</v>
      </c>
      <c r="E5707" s="435"/>
      <c r="F5707" s="450"/>
      <c r="G5707" s="450"/>
      <c r="H5707" s="450"/>
      <c r="I5707" s="740"/>
      <c r="J5707" s="669" t="s">
        <v>5805</v>
      </c>
      <c r="O5707" s="238"/>
      <c r="P5707" s="238"/>
      <c r="Q5707" s="238"/>
      <c r="R5707" s="238"/>
      <c r="S5707" s="238"/>
      <c r="T5707" s="238"/>
    </row>
    <row r="5708" spans="1:29" x14ac:dyDescent="0.25">
      <c r="H5708" s="15" t="str">
        <f>IF(ISNUMBER(G5708),ROUND(0.8*G5708,2),"")</f>
        <v/>
      </c>
      <c r="J5708" s="669"/>
      <c r="O5708" s="238"/>
      <c r="P5708" s="238"/>
      <c r="Q5708" s="238"/>
      <c r="R5708" s="238"/>
      <c r="S5708" s="238"/>
      <c r="T5708" s="238"/>
    </row>
    <row r="5709" spans="1:29" s="259" customFormat="1" ht="33" customHeight="1" x14ac:dyDescent="0.25">
      <c r="A5709" s="806" t="s">
        <v>4274</v>
      </c>
      <c r="B5709" s="605"/>
      <c r="C5709" s="605"/>
      <c r="D5709" s="605"/>
      <c r="E5709" s="605"/>
      <c r="F5709" s="606"/>
      <c r="G5709" s="605"/>
      <c r="H5709" s="664" t="str">
        <f>IF(ISNUMBER(G5709),ROUND(0.8*G5709,2),"")</f>
        <v/>
      </c>
      <c r="I5709" s="664"/>
      <c r="J5709" s="669" t="s">
        <v>4180</v>
      </c>
    </row>
    <row r="5710" spans="1:29" ht="78" customHeight="1" x14ac:dyDescent="0.25">
      <c r="A5710" s="1130" t="s">
        <v>8119</v>
      </c>
      <c r="B5710" s="1130"/>
      <c r="C5710" s="1130"/>
      <c r="D5710" s="1130"/>
      <c r="E5710" s="1130"/>
      <c r="F5710" s="1130"/>
      <c r="G5710" s="428"/>
      <c r="H5710" s="504" t="str">
        <f>IF(ISNUMBER(G5710),ROUND(0.8*G5710,2),"")</f>
        <v/>
      </c>
      <c r="I5710" s="731"/>
      <c r="J5710" s="669">
        <v>44896</v>
      </c>
      <c r="N5710" s="238"/>
      <c r="O5710" s="238"/>
      <c r="P5710" s="238"/>
      <c r="Q5710" s="238"/>
      <c r="R5710" s="238"/>
      <c r="S5710" s="238"/>
      <c r="T5710" s="238"/>
      <c r="U5710" s="238"/>
      <c r="V5710" s="238"/>
      <c r="W5710" s="238"/>
      <c r="X5710" s="238"/>
      <c r="Y5710" s="238"/>
      <c r="Z5710" s="238"/>
      <c r="AA5710" s="238"/>
      <c r="AB5710" s="238"/>
      <c r="AC5710" s="238"/>
    </row>
    <row r="5711" spans="1:29" s="238" customFormat="1" ht="30" customHeight="1" x14ac:dyDescent="0.25">
      <c r="A5711" s="1130" t="s">
        <v>3074</v>
      </c>
      <c r="B5711" s="1130"/>
      <c r="C5711" s="1130"/>
      <c r="D5711" s="1130"/>
      <c r="E5711" s="1130"/>
      <c r="F5711" s="1130"/>
      <c r="G5711" s="428"/>
      <c r="H5711" s="504" t="str">
        <f>IF(ISNUMBER(G5711),ROUND(0.8*G5711,2),"")</f>
        <v/>
      </c>
      <c r="I5711" s="731"/>
      <c r="J5711" s="669" t="s">
        <v>4180</v>
      </c>
      <c r="M5711"/>
    </row>
    <row r="5712" spans="1:29" s="238" customFormat="1" ht="30" customHeight="1" x14ac:dyDescent="0.25">
      <c r="A5712" s="1130" t="s">
        <v>8131</v>
      </c>
      <c r="B5712" s="1130"/>
      <c r="C5712" s="1130"/>
      <c r="D5712" s="1130"/>
      <c r="E5712" s="1130"/>
      <c r="F5712" s="1130"/>
      <c r="G5712" s="1084"/>
      <c r="H5712" s="504"/>
      <c r="I5712" s="731"/>
      <c r="J5712" s="669">
        <v>44896</v>
      </c>
      <c r="M5712" s="774"/>
    </row>
    <row r="5713" spans="1:29" s="238" customFormat="1" x14ac:dyDescent="0.25">
      <c r="A5713"/>
      <c r="B5713"/>
      <c r="C5713"/>
      <c r="D5713"/>
      <c r="E5713"/>
      <c r="F5713" s="471"/>
      <c r="G5713" s="15"/>
      <c r="H5713" s="15" t="str">
        <f>IF(ISNUMBER(G5713),ROUND(0.8*G5713,2),"")</f>
        <v/>
      </c>
      <c r="I5713" s="691"/>
      <c r="J5713" s="669" t="s">
        <v>4180</v>
      </c>
      <c r="M5713"/>
      <c r="N5713"/>
      <c r="O5713"/>
      <c r="P5713"/>
      <c r="Q5713"/>
      <c r="R5713"/>
      <c r="S5713"/>
      <c r="T5713"/>
      <c r="U5713"/>
      <c r="V5713"/>
      <c r="W5713"/>
      <c r="X5713"/>
      <c r="Y5713"/>
      <c r="Z5713"/>
      <c r="AA5713"/>
      <c r="AB5713"/>
      <c r="AC5713"/>
    </row>
    <row r="5714" spans="1:29" ht="285.75" customHeight="1" x14ac:dyDescent="0.25">
      <c r="A5714" s="1135" t="s">
        <v>8120</v>
      </c>
      <c r="B5714" s="1135"/>
      <c r="C5714" s="1135"/>
      <c r="D5714" s="1135"/>
      <c r="E5714" s="1135"/>
      <c r="F5714" s="1135"/>
      <c r="G5714" s="429"/>
      <c r="H5714" s="508"/>
      <c r="I5714" s="741"/>
      <c r="J5714" s="669">
        <v>44592</v>
      </c>
    </row>
    <row r="5715" spans="1:29" x14ac:dyDescent="0.25">
      <c r="J5715" s="669" t="s">
        <v>4180</v>
      </c>
    </row>
    <row r="5716" spans="1:29" x14ac:dyDescent="0.25">
      <c r="A5716" s="607" t="s">
        <v>6105</v>
      </c>
      <c r="B5716" s="435" t="s">
        <v>2269</v>
      </c>
      <c r="C5716" s="436"/>
      <c r="D5716" s="436" t="s">
        <v>7835</v>
      </c>
      <c r="E5716" s="435"/>
      <c r="F5716" s="450">
        <v>0</v>
      </c>
      <c r="G5716" s="437">
        <v>0</v>
      </c>
      <c r="H5716" s="437">
        <v>0</v>
      </c>
      <c r="I5716" s="700"/>
      <c r="J5716" s="669">
        <v>44592</v>
      </c>
    </row>
    <row r="5717" spans="1:29" x14ac:dyDescent="0.25">
      <c r="A5717" s="607" t="s">
        <v>6106</v>
      </c>
      <c r="B5717" s="435" t="s">
        <v>5548</v>
      </c>
      <c r="C5717" s="436"/>
      <c r="D5717" s="436" t="s">
        <v>7835</v>
      </c>
      <c r="E5717" s="435"/>
      <c r="F5717" s="450">
        <v>0</v>
      </c>
      <c r="G5717" s="437">
        <v>0</v>
      </c>
      <c r="H5717" s="437">
        <v>0</v>
      </c>
      <c r="I5717" s="700"/>
      <c r="J5717" s="669">
        <v>44592</v>
      </c>
    </row>
    <row r="5718" spans="1:29" x14ac:dyDescent="0.25">
      <c r="A5718" s="607" t="s">
        <v>6107</v>
      </c>
      <c r="B5718" s="435" t="s">
        <v>5406</v>
      </c>
      <c r="C5718" s="436"/>
      <c r="D5718" s="436" t="s">
        <v>7835</v>
      </c>
      <c r="E5718" s="435"/>
      <c r="F5718" s="450">
        <v>0</v>
      </c>
      <c r="G5718" s="437">
        <v>0</v>
      </c>
      <c r="H5718" s="437">
        <v>0</v>
      </c>
      <c r="I5718" s="700"/>
      <c r="J5718" s="669">
        <v>44592</v>
      </c>
    </row>
    <row r="5719" spans="1:29" x14ac:dyDescent="0.25">
      <c r="A5719" s="607" t="s">
        <v>6108</v>
      </c>
      <c r="B5719" s="435" t="s">
        <v>5411</v>
      </c>
      <c r="C5719" s="436"/>
      <c r="D5719" s="436" t="s">
        <v>7835</v>
      </c>
      <c r="E5719" s="435"/>
      <c r="F5719" s="450">
        <v>0</v>
      </c>
      <c r="G5719" s="437">
        <v>0</v>
      </c>
      <c r="H5719" s="437">
        <v>0</v>
      </c>
      <c r="I5719" s="700"/>
      <c r="J5719" s="669">
        <v>44592</v>
      </c>
    </row>
    <row r="5720" spans="1:29" x14ac:dyDescent="0.25">
      <c r="A5720" s="607" t="s">
        <v>6109</v>
      </c>
      <c r="B5720" s="435" t="s">
        <v>5412</v>
      </c>
      <c r="C5720" s="436"/>
      <c r="D5720" s="436" t="s">
        <v>7835</v>
      </c>
      <c r="E5720" s="435"/>
      <c r="F5720" s="450">
        <v>0</v>
      </c>
      <c r="G5720" s="437">
        <v>0</v>
      </c>
      <c r="H5720" s="437">
        <v>0</v>
      </c>
      <c r="I5720" s="700"/>
      <c r="J5720" s="669">
        <v>44592</v>
      </c>
    </row>
    <row r="5721" spans="1:29" x14ac:dyDescent="0.25">
      <c r="A5721" s="607" t="s">
        <v>6110</v>
      </c>
      <c r="B5721" s="435" t="s">
        <v>2034</v>
      </c>
      <c r="C5721" s="436"/>
      <c r="D5721" s="436" t="s">
        <v>7835</v>
      </c>
      <c r="E5721" s="435"/>
      <c r="F5721" s="450">
        <v>0</v>
      </c>
      <c r="G5721" s="437">
        <v>0</v>
      </c>
      <c r="H5721" s="437">
        <v>0</v>
      </c>
      <c r="I5721" s="700"/>
      <c r="J5721" s="669">
        <v>44592</v>
      </c>
    </row>
    <row r="5722" spans="1:29" x14ac:dyDescent="0.25">
      <c r="A5722" s="607" t="s">
        <v>6111</v>
      </c>
      <c r="B5722" s="435" t="s">
        <v>3374</v>
      </c>
      <c r="C5722" s="436"/>
      <c r="D5722" s="436" t="s">
        <v>7835</v>
      </c>
      <c r="E5722" s="435"/>
      <c r="F5722" s="450">
        <v>0</v>
      </c>
      <c r="G5722" s="437">
        <v>0</v>
      </c>
      <c r="H5722" s="437">
        <v>0</v>
      </c>
      <c r="I5722" s="700"/>
      <c r="J5722" s="669">
        <v>44592</v>
      </c>
    </row>
    <row r="5723" spans="1:29" x14ac:dyDescent="0.25">
      <c r="A5723" s="607" t="s">
        <v>6112</v>
      </c>
      <c r="B5723" s="435" t="s">
        <v>3390</v>
      </c>
      <c r="C5723" s="436"/>
      <c r="D5723" s="436" t="s">
        <v>7835</v>
      </c>
      <c r="E5723" s="435"/>
      <c r="F5723" s="450">
        <v>0</v>
      </c>
      <c r="G5723" s="437">
        <v>0</v>
      </c>
      <c r="H5723" s="437">
        <v>0</v>
      </c>
      <c r="I5723" s="700"/>
      <c r="J5723" s="669">
        <v>44592</v>
      </c>
    </row>
    <row r="5724" spans="1:29" x14ac:dyDescent="0.25">
      <c r="A5724" s="607" t="s">
        <v>6113</v>
      </c>
      <c r="B5724" s="435" t="s">
        <v>740</v>
      </c>
      <c r="C5724" s="436"/>
      <c r="D5724" s="436" t="s">
        <v>7835</v>
      </c>
      <c r="E5724" s="435"/>
      <c r="F5724" s="450">
        <v>0</v>
      </c>
      <c r="G5724" s="437">
        <v>0</v>
      </c>
      <c r="H5724" s="437">
        <v>0</v>
      </c>
      <c r="I5724" s="700"/>
      <c r="J5724" s="669">
        <v>44592</v>
      </c>
    </row>
    <row r="5725" spans="1:29" x14ac:dyDescent="0.25">
      <c r="A5725" s="607" t="s">
        <v>6114</v>
      </c>
      <c r="B5725" s="435" t="s">
        <v>5435</v>
      </c>
      <c r="C5725" s="436"/>
      <c r="D5725" s="436" t="s">
        <v>7835</v>
      </c>
      <c r="E5725" s="435"/>
      <c r="F5725" s="450">
        <v>0</v>
      </c>
      <c r="G5725" s="437">
        <v>0</v>
      </c>
      <c r="H5725" s="437">
        <v>0</v>
      </c>
      <c r="I5725" s="756"/>
      <c r="J5725" s="669">
        <v>44592</v>
      </c>
    </row>
    <row r="5726" spans="1:29" x14ac:dyDescent="0.25">
      <c r="D5726" s="774"/>
      <c r="J5726" s="669"/>
    </row>
    <row r="5727" spans="1:29" x14ac:dyDescent="0.25">
      <c r="A5727" s="607" t="s">
        <v>5770</v>
      </c>
      <c r="B5727" s="435" t="s">
        <v>2269</v>
      </c>
      <c r="C5727" s="436"/>
      <c r="D5727" s="436" t="s">
        <v>7835</v>
      </c>
      <c r="E5727" s="435"/>
      <c r="F5727" s="450">
        <v>0</v>
      </c>
      <c r="G5727" s="437">
        <v>0</v>
      </c>
      <c r="H5727" s="437">
        <v>0</v>
      </c>
      <c r="I5727" s="700"/>
      <c r="J5727" s="669">
        <v>44592</v>
      </c>
    </row>
    <row r="5728" spans="1:29" x14ac:dyDescent="0.25">
      <c r="A5728" s="607" t="s">
        <v>5771</v>
      </c>
      <c r="B5728" s="435" t="s">
        <v>5548</v>
      </c>
      <c r="C5728" s="436"/>
      <c r="D5728" s="436" t="s">
        <v>7835</v>
      </c>
      <c r="E5728" s="435"/>
      <c r="F5728" s="450">
        <v>0</v>
      </c>
      <c r="G5728" s="437">
        <v>0</v>
      </c>
      <c r="H5728" s="437">
        <v>0</v>
      </c>
      <c r="I5728" s="700"/>
      <c r="J5728" s="669">
        <v>44592</v>
      </c>
    </row>
    <row r="5729" spans="1:10" x14ac:dyDescent="0.25">
      <c r="A5729" s="607" t="s">
        <v>5772</v>
      </c>
      <c r="B5729" s="435" t="s">
        <v>5406</v>
      </c>
      <c r="C5729" s="436"/>
      <c r="D5729" s="436" t="s">
        <v>7835</v>
      </c>
      <c r="E5729" s="435"/>
      <c r="F5729" s="450">
        <v>0</v>
      </c>
      <c r="G5729" s="437">
        <v>0</v>
      </c>
      <c r="H5729" s="437">
        <v>0</v>
      </c>
      <c r="I5729" s="700"/>
      <c r="J5729" s="669">
        <v>44592</v>
      </c>
    </row>
    <row r="5730" spans="1:10" x14ac:dyDescent="0.25">
      <c r="A5730" s="607" t="s">
        <v>5773</v>
      </c>
      <c r="B5730" s="435" t="s">
        <v>5411</v>
      </c>
      <c r="C5730" s="436"/>
      <c r="D5730" s="436" t="s">
        <v>7835</v>
      </c>
      <c r="E5730" s="435"/>
      <c r="F5730" s="450">
        <v>0</v>
      </c>
      <c r="G5730" s="437">
        <v>0</v>
      </c>
      <c r="H5730" s="437">
        <v>0</v>
      </c>
      <c r="I5730" s="700"/>
      <c r="J5730" s="669">
        <v>44592</v>
      </c>
    </row>
    <row r="5731" spans="1:10" x14ac:dyDescent="0.25">
      <c r="A5731" s="607" t="s">
        <v>5774</v>
      </c>
      <c r="B5731" s="435" t="s">
        <v>5412</v>
      </c>
      <c r="C5731" s="436"/>
      <c r="D5731" s="436" t="s">
        <v>7835</v>
      </c>
      <c r="E5731" s="435"/>
      <c r="F5731" s="450">
        <v>0</v>
      </c>
      <c r="G5731" s="437">
        <v>0</v>
      </c>
      <c r="H5731" s="437">
        <v>0</v>
      </c>
      <c r="I5731" s="700"/>
      <c r="J5731" s="669">
        <v>44592</v>
      </c>
    </row>
    <row r="5732" spans="1:10" x14ac:dyDescent="0.25">
      <c r="A5732" s="607" t="s">
        <v>5775</v>
      </c>
      <c r="B5732" s="435" t="s">
        <v>2034</v>
      </c>
      <c r="C5732" s="436"/>
      <c r="D5732" s="436" t="s">
        <v>7835</v>
      </c>
      <c r="E5732" s="435"/>
      <c r="F5732" s="450">
        <v>0</v>
      </c>
      <c r="G5732" s="437">
        <v>0</v>
      </c>
      <c r="H5732" s="437">
        <v>0</v>
      </c>
      <c r="I5732" s="700"/>
      <c r="J5732" s="669">
        <v>44592</v>
      </c>
    </row>
    <row r="5733" spans="1:10" x14ac:dyDescent="0.25">
      <c r="A5733" s="607" t="s">
        <v>5776</v>
      </c>
      <c r="B5733" s="435" t="s">
        <v>3374</v>
      </c>
      <c r="C5733" s="436"/>
      <c r="D5733" s="436" t="s">
        <v>7835</v>
      </c>
      <c r="E5733" s="435"/>
      <c r="F5733" s="450">
        <v>0</v>
      </c>
      <c r="G5733" s="437">
        <v>0</v>
      </c>
      <c r="H5733" s="437">
        <v>0</v>
      </c>
      <c r="I5733" s="700"/>
      <c r="J5733" s="669">
        <v>44592</v>
      </c>
    </row>
    <row r="5734" spans="1:10" x14ac:dyDescent="0.25">
      <c r="A5734" s="607" t="s">
        <v>5777</v>
      </c>
      <c r="B5734" s="435" t="s">
        <v>3390</v>
      </c>
      <c r="C5734" s="436"/>
      <c r="D5734" s="436" t="s">
        <v>7835</v>
      </c>
      <c r="E5734" s="435"/>
      <c r="F5734" s="450">
        <v>0</v>
      </c>
      <c r="G5734" s="437">
        <v>0</v>
      </c>
      <c r="H5734" s="437">
        <v>0</v>
      </c>
      <c r="I5734" s="700"/>
      <c r="J5734" s="669">
        <v>44592</v>
      </c>
    </row>
    <row r="5735" spans="1:10" x14ac:dyDescent="0.25">
      <c r="A5735" s="607" t="s">
        <v>5778</v>
      </c>
      <c r="B5735" s="435" t="s">
        <v>740</v>
      </c>
      <c r="C5735" s="436"/>
      <c r="D5735" s="436" t="s">
        <v>7835</v>
      </c>
      <c r="E5735" s="435"/>
      <c r="F5735" s="450">
        <v>0</v>
      </c>
      <c r="G5735" s="437">
        <v>0</v>
      </c>
      <c r="H5735" s="437">
        <v>0</v>
      </c>
      <c r="I5735" s="700"/>
      <c r="J5735" s="669">
        <v>44592</v>
      </c>
    </row>
    <row r="5736" spans="1:10" x14ac:dyDescent="0.25">
      <c r="A5736" s="607" t="s">
        <v>5779</v>
      </c>
      <c r="B5736" s="435" t="s">
        <v>5435</v>
      </c>
      <c r="C5736" s="436"/>
      <c r="D5736" s="436" t="s">
        <v>7835</v>
      </c>
      <c r="E5736" s="435"/>
      <c r="F5736" s="450">
        <v>0</v>
      </c>
      <c r="G5736" s="437">
        <v>0</v>
      </c>
      <c r="H5736" s="437">
        <v>0</v>
      </c>
      <c r="I5736" s="756"/>
      <c r="J5736" s="669">
        <v>44592</v>
      </c>
    </row>
    <row r="5737" spans="1:10" s="766" customFormat="1" x14ac:dyDescent="0.25">
      <c r="F5737" s="574"/>
      <c r="G5737" s="1028"/>
    </row>
    <row r="5738" spans="1:10" s="766" customFormat="1" ht="99.75" customHeight="1" x14ac:dyDescent="0.25">
      <c r="A5738" s="1167" t="s">
        <v>7446</v>
      </c>
      <c r="B5738" s="1167"/>
      <c r="C5738" s="1167"/>
      <c r="D5738" s="1167"/>
      <c r="E5738" s="1167"/>
      <c r="F5738" s="1167"/>
      <c r="G5738" s="1080"/>
      <c r="H5738" s="1061"/>
      <c r="I5738" s="1062"/>
      <c r="J5738" s="669" t="s">
        <v>5805</v>
      </c>
    </row>
    <row r="5739" spans="1:10" s="766" customFormat="1" x14ac:dyDescent="0.25">
      <c r="F5739" s="574"/>
      <c r="G5739" s="1028"/>
    </row>
    <row r="5740" spans="1:10" s="766" customFormat="1" x14ac:dyDescent="0.25">
      <c r="A5740" s="607" t="s">
        <v>171</v>
      </c>
      <c r="B5740" s="435" t="s">
        <v>5548</v>
      </c>
      <c r="C5740" s="436"/>
      <c r="D5740" s="436" t="s">
        <v>183</v>
      </c>
      <c r="E5740" s="435"/>
      <c r="F5740" s="450">
        <v>0</v>
      </c>
      <c r="G5740" s="437">
        <v>0</v>
      </c>
      <c r="H5740" s="437">
        <v>0</v>
      </c>
      <c r="I5740" s="756"/>
      <c r="J5740" s="669" t="s">
        <v>5805</v>
      </c>
    </row>
    <row r="5741" spans="1:10" s="766" customFormat="1" x14ac:dyDescent="0.25">
      <c r="F5741" s="574"/>
      <c r="G5741" s="1028"/>
    </row>
    <row r="5742" spans="1:10" s="766" customFormat="1" ht="45.75" customHeight="1" x14ac:dyDescent="0.25">
      <c r="A5742" s="1167" t="s">
        <v>34</v>
      </c>
      <c r="B5742" s="1167"/>
      <c r="C5742" s="1167"/>
      <c r="D5742" s="1167"/>
      <c r="E5742" s="1167"/>
      <c r="F5742" s="1167"/>
      <c r="G5742" s="1080"/>
      <c r="H5742" s="1061" t="str">
        <f>IF(ISNUMBER(G5742),ROUND(0.8*G5742,2),"")</f>
        <v/>
      </c>
      <c r="I5742" s="1062"/>
      <c r="J5742" s="669" t="s">
        <v>5805</v>
      </c>
    </row>
    <row r="5743" spans="1:10" s="766" customFormat="1" x14ac:dyDescent="0.25">
      <c r="F5743" s="574"/>
      <c r="G5743" s="1028"/>
    </row>
    <row r="5744" spans="1:10" s="766" customFormat="1" x14ac:dyDescent="0.25">
      <c r="A5744" s="607" t="s">
        <v>249</v>
      </c>
      <c r="B5744" s="435" t="s">
        <v>2269</v>
      </c>
      <c r="C5744" s="436"/>
      <c r="D5744" s="436" t="s">
        <v>313</v>
      </c>
      <c r="E5744" s="435"/>
      <c r="F5744" s="450">
        <v>0</v>
      </c>
      <c r="G5744" s="437">
        <v>0</v>
      </c>
      <c r="H5744" s="437">
        <v>0</v>
      </c>
      <c r="I5744" s="756"/>
      <c r="J5744" s="669" t="s">
        <v>5805</v>
      </c>
    </row>
    <row r="5745" spans="1:10" s="766" customFormat="1" x14ac:dyDescent="0.25">
      <c r="A5745" s="607" t="s">
        <v>250</v>
      </c>
      <c r="B5745" s="435" t="s">
        <v>5548</v>
      </c>
      <c r="C5745" s="436"/>
      <c r="D5745" s="436" t="s">
        <v>313</v>
      </c>
      <c r="E5745" s="435"/>
      <c r="F5745" s="450">
        <v>0</v>
      </c>
      <c r="G5745" s="437">
        <v>0</v>
      </c>
      <c r="H5745" s="437">
        <v>0</v>
      </c>
      <c r="I5745" s="756"/>
      <c r="J5745" s="669" t="s">
        <v>5805</v>
      </c>
    </row>
    <row r="5746" spans="1:10" s="766" customFormat="1" x14ac:dyDescent="0.25">
      <c r="A5746" s="607" t="s">
        <v>251</v>
      </c>
      <c r="B5746" s="435" t="s">
        <v>4847</v>
      </c>
      <c r="C5746" s="436"/>
      <c r="D5746" s="436" t="s">
        <v>313</v>
      </c>
      <c r="E5746" s="435"/>
      <c r="F5746" s="450">
        <v>0</v>
      </c>
      <c r="G5746" s="437">
        <v>0</v>
      </c>
      <c r="H5746" s="437">
        <v>0</v>
      </c>
      <c r="I5746" s="756"/>
      <c r="J5746" s="669" t="s">
        <v>5805</v>
      </c>
    </row>
    <row r="5747" spans="1:10" s="766" customFormat="1" x14ac:dyDescent="0.25">
      <c r="A5747" s="607" t="s">
        <v>252</v>
      </c>
      <c r="B5747" s="435" t="s">
        <v>5406</v>
      </c>
      <c r="C5747" s="436"/>
      <c r="D5747" s="436" t="s">
        <v>313</v>
      </c>
      <c r="E5747" s="435"/>
      <c r="F5747" s="450">
        <v>0</v>
      </c>
      <c r="G5747" s="437">
        <v>0</v>
      </c>
      <c r="H5747" s="437">
        <v>0</v>
      </c>
      <c r="I5747" s="756"/>
      <c r="J5747" s="669" t="s">
        <v>5805</v>
      </c>
    </row>
    <row r="5748" spans="1:10" s="766" customFormat="1" x14ac:dyDescent="0.25">
      <c r="A5748" s="607" t="s">
        <v>253</v>
      </c>
      <c r="B5748" s="435" t="s">
        <v>5411</v>
      </c>
      <c r="C5748" s="436"/>
      <c r="D5748" s="436" t="s">
        <v>313</v>
      </c>
      <c r="E5748" s="435"/>
      <c r="F5748" s="450">
        <v>0</v>
      </c>
      <c r="G5748" s="437">
        <v>0</v>
      </c>
      <c r="H5748" s="437">
        <v>0</v>
      </c>
      <c r="I5748" s="756"/>
      <c r="J5748" s="669" t="s">
        <v>5805</v>
      </c>
    </row>
    <row r="5749" spans="1:10" s="766" customFormat="1" x14ac:dyDescent="0.25">
      <c r="A5749" s="607" t="s">
        <v>254</v>
      </c>
      <c r="B5749" s="435" t="s">
        <v>5412</v>
      </c>
      <c r="C5749" s="436"/>
      <c r="D5749" s="436" t="s">
        <v>313</v>
      </c>
      <c r="E5749" s="435"/>
      <c r="F5749" s="450">
        <v>0</v>
      </c>
      <c r="G5749" s="437">
        <v>0</v>
      </c>
      <c r="H5749" s="437">
        <v>0</v>
      </c>
      <c r="I5749" s="756"/>
      <c r="J5749" s="669" t="s">
        <v>5805</v>
      </c>
    </row>
    <row r="5750" spans="1:10" s="766" customFormat="1" x14ac:dyDescent="0.25">
      <c r="A5750" s="607" t="s">
        <v>255</v>
      </c>
      <c r="B5750" s="435" t="s">
        <v>2034</v>
      </c>
      <c r="C5750" s="436"/>
      <c r="D5750" s="436" t="s">
        <v>313</v>
      </c>
      <c r="E5750" s="435"/>
      <c r="F5750" s="450">
        <v>0</v>
      </c>
      <c r="G5750" s="437">
        <v>0</v>
      </c>
      <c r="H5750" s="437">
        <v>0</v>
      </c>
      <c r="I5750" s="756"/>
      <c r="J5750" s="669" t="s">
        <v>5805</v>
      </c>
    </row>
    <row r="5751" spans="1:10" s="766" customFormat="1" x14ac:dyDescent="0.25">
      <c r="A5751" s="607" t="s">
        <v>256</v>
      </c>
      <c r="B5751" s="435" t="s">
        <v>2067</v>
      </c>
      <c r="C5751" s="436"/>
      <c r="D5751" s="436" t="s">
        <v>313</v>
      </c>
      <c r="E5751" s="435"/>
      <c r="F5751" s="450">
        <v>0</v>
      </c>
      <c r="G5751" s="437">
        <v>0</v>
      </c>
      <c r="H5751" s="437">
        <v>0</v>
      </c>
      <c r="I5751" s="756"/>
      <c r="J5751" s="669" t="s">
        <v>5805</v>
      </c>
    </row>
    <row r="5752" spans="1:10" s="766" customFormat="1" x14ac:dyDescent="0.25">
      <c r="A5752" s="607" t="s">
        <v>257</v>
      </c>
      <c r="B5752" s="435" t="s">
        <v>3374</v>
      </c>
      <c r="C5752" s="436"/>
      <c r="D5752" s="436" t="s">
        <v>313</v>
      </c>
      <c r="E5752" s="435"/>
      <c r="F5752" s="450">
        <v>0</v>
      </c>
      <c r="G5752" s="437">
        <v>0</v>
      </c>
      <c r="H5752" s="437">
        <v>0</v>
      </c>
      <c r="I5752" s="756"/>
      <c r="J5752" s="669" t="s">
        <v>5805</v>
      </c>
    </row>
    <row r="5753" spans="1:10" s="766" customFormat="1" x14ac:dyDescent="0.25">
      <c r="A5753" s="607" t="s">
        <v>258</v>
      </c>
      <c r="B5753" s="435" t="s">
        <v>3382</v>
      </c>
      <c r="C5753" s="436"/>
      <c r="D5753" s="436" t="s">
        <v>313</v>
      </c>
      <c r="E5753" s="435"/>
      <c r="F5753" s="450">
        <v>0</v>
      </c>
      <c r="G5753" s="437">
        <v>0</v>
      </c>
      <c r="H5753" s="437">
        <v>0</v>
      </c>
      <c r="I5753" s="756"/>
      <c r="J5753" s="669" t="s">
        <v>5805</v>
      </c>
    </row>
    <row r="5754" spans="1:10" s="766" customFormat="1" x14ac:dyDescent="0.25">
      <c r="A5754" s="607" t="s">
        <v>259</v>
      </c>
      <c r="B5754" s="435" t="s">
        <v>3390</v>
      </c>
      <c r="C5754" s="436"/>
      <c r="D5754" s="436" t="s">
        <v>313</v>
      </c>
      <c r="E5754" s="435"/>
      <c r="F5754" s="450">
        <v>0</v>
      </c>
      <c r="G5754" s="437">
        <v>0</v>
      </c>
      <c r="H5754" s="437">
        <v>0</v>
      </c>
      <c r="I5754" s="756"/>
      <c r="J5754" s="669" t="s">
        <v>5805</v>
      </c>
    </row>
    <row r="5755" spans="1:10" s="766" customFormat="1" x14ac:dyDescent="0.25">
      <c r="A5755" s="607" t="s">
        <v>260</v>
      </c>
      <c r="B5755" s="435" t="s">
        <v>740</v>
      </c>
      <c r="C5755" s="436"/>
      <c r="D5755" s="436" t="s">
        <v>313</v>
      </c>
      <c r="E5755" s="435"/>
      <c r="F5755" s="450">
        <v>0</v>
      </c>
      <c r="G5755" s="437">
        <v>0</v>
      </c>
      <c r="H5755" s="437">
        <v>0</v>
      </c>
      <c r="I5755" s="756"/>
      <c r="J5755" s="669" t="s">
        <v>5805</v>
      </c>
    </row>
    <row r="5756" spans="1:10" s="766" customFormat="1" x14ac:dyDescent="0.25">
      <c r="A5756" s="607" t="s">
        <v>261</v>
      </c>
      <c r="B5756" s="435" t="s">
        <v>5435</v>
      </c>
      <c r="C5756" s="436"/>
      <c r="D5756" s="436" t="s">
        <v>313</v>
      </c>
      <c r="E5756" s="435"/>
      <c r="F5756" s="450">
        <v>0</v>
      </c>
      <c r="G5756" s="437">
        <v>0</v>
      </c>
      <c r="H5756" s="437">
        <v>0</v>
      </c>
      <c r="I5756" s="756"/>
      <c r="J5756" s="669" t="s">
        <v>5805</v>
      </c>
    </row>
    <row r="5757" spans="1:10" s="766" customFormat="1" x14ac:dyDescent="0.25">
      <c r="A5757" s="607" t="s">
        <v>270</v>
      </c>
      <c r="B5757" s="435" t="s">
        <v>5435</v>
      </c>
      <c r="C5757" s="436"/>
      <c r="D5757" s="436" t="s">
        <v>313</v>
      </c>
      <c r="E5757" s="435" t="s">
        <v>1053</v>
      </c>
      <c r="F5757" s="450">
        <v>0</v>
      </c>
      <c r="G5757" s="437">
        <v>0</v>
      </c>
      <c r="H5757" s="437">
        <v>0</v>
      </c>
      <c r="I5757" s="756"/>
      <c r="J5757" s="669" t="s">
        <v>5805</v>
      </c>
    </row>
    <row r="5758" spans="1:10" s="766" customFormat="1" x14ac:dyDescent="0.25">
      <c r="F5758" s="574"/>
      <c r="G5758" s="1028"/>
    </row>
    <row r="5759" spans="1:10" s="766" customFormat="1" ht="77.099999999999994" customHeight="1" x14ac:dyDescent="0.25">
      <c r="A5759" s="1167" t="s">
        <v>8209</v>
      </c>
      <c r="B5759" s="1167"/>
      <c r="C5759" s="1167"/>
      <c r="D5759" s="1167"/>
      <c r="E5759" s="1167"/>
      <c r="F5759" s="1167"/>
      <c r="G5759" s="1108"/>
      <c r="H5759" s="1061" t="str">
        <f>IF(ISNUMBER(G5759),ROUND(0.8*G5759,2),"")</f>
        <v/>
      </c>
      <c r="I5759" s="1062"/>
      <c r="J5759" s="669">
        <v>44938</v>
      </c>
    </row>
    <row r="5760" spans="1:10" s="766" customFormat="1" x14ac:dyDescent="0.25">
      <c r="F5760" s="574"/>
      <c r="G5760" s="1028"/>
      <c r="J5760" s="669"/>
    </row>
    <row r="5761" spans="1:10" s="766" customFormat="1" x14ac:dyDescent="0.25">
      <c r="A5761" s="644" t="s">
        <v>7421</v>
      </c>
      <c r="B5761" s="645" t="s">
        <v>2269</v>
      </c>
      <c r="C5761" s="643"/>
      <c r="D5761" s="643" t="s">
        <v>7434</v>
      </c>
      <c r="E5761" s="645"/>
      <c r="F5761" s="657">
        <v>0</v>
      </c>
      <c r="G5761" s="657">
        <v>0</v>
      </c>
      <c r="H5761" s="657">
        <f t="shared" ref="H5761:H5773" si="1918">IF(ISNUMBER(G5761),ROUND(0.8*G5761,2),"")</f>
        <v>0</v>
      </c>
      <c r="I5761" s="1066"/>
      <c r="J5761" s="669">
        <v>44938</v>
      </c>
    </row>
    <row r="5762" spans="1:10" s="766" customFormat="1" x14ac:dyDescent="0.25">
      <c r="A5762" s="644" t="s">
        <v>7422</v>
      </c>
      <c r="B5762" s="645" t="s">
        <v>5548</v>
      </c>
      <c r="C5762" s="643"/>
      <c r="D5762" s="643" t="s">
        <v>7434</v>
      </c>
      <c r="E5762" s="645"/>
      <c r="F5762" s="657">
        <v>0</v>
      </c>
      <c r="G5762" s="657">
        <v>0</v>
      </c>
      <c r="H5762" s="657">
        <f t="shared" si="1918"/>
        <v>0</v>
      </c>
      <c r="I5762" s="1066"/>
      <c r="J5762" s="669">
        <v>44938</v>
      </c>
    </row>
    <row r="5763" spans="1:10" s="766" customFormat="1" x14ac:dyDescent="0.25">
      <c r="A5763" s="644" t="s">
        <v>7423</v>
      </c>
      <c r="B5763" s="645" t="s">
        <v>4847</v>
      </c>
      <c r="C5763" s="643"/>
      <c r="D5763" s="643" t="s">
        <v>7434</v>
      </c>
      <c r="E5763" s="645"/>
      <c r="F5763" s="657">
        <v>0</v>
      </c>
      <c r="G5763" s="657">
        <v>0</v>
      </c>
      <c r="H5763" s="657">
        <f t="shared" si="1918"/>
        <v>0</v>
      </c>
      <c r="I5763" s="1066"/>
      <c r="J5763" s="669">
        <v>44938</v>
      </c>
    </row>
    <row r="5764" spans="1:10" s="766" customFormat="1" x14ac:dyDescent="0.25">
      <c r="A5764" s="644" t="s">
        <v>7424</v>
      </c>
      <c r="B5764" s="645" t="s">
        <v>5406</v>
      </c>
      <c r="C5764" s="643"/>
      <c r="D5764" s="643" t="s">
        <v>7434</v>
      </c>
      <c r="E5764" s="645"/>
      <c r="F5764" s="657">
        <v>0</v>
      </c>
      <c r="G5764" s="657">
        <v>0</v>
      </c>
      <c r="H5764" s="657">
        <f t="shared" si="1918"/>
        <v>0</v>
      </c>
      <c r="I5764" s="1066"/>
      <c r="J5764" s="669">
        <v>44938</v>
      </c>
    </row>
    <row r="5765" spans="1:10" s="766" customFormat="1" x14ac:dyDescent="0.25">
      <c r="A5765" s="644" t="s">
        <v>7425</v>
      </c>
      <c r="B5765" s="645" t="s">
        <v>5411</v>
      </c>
      <c r="C5765" s="643"/>
      <c r="D5765" s="643" t="s">
        <v>7434</v>
      </c>
      <c r="E5765" s="645"/>
      <c r="F5765" s="657">
        <v>0</v>
      </c>
      <c r="G5765" s="657">
        <v>0</v>
      </c>
      <c r="H5765" s="657">
        <f t="shared" si="1918"/>
        <v>0</v>
      </c>
      <c r="I5765" s="1066"/>
      <c r="J5765" s="669">
        <v>44938</v>
      </c>
    </row>
    <row r="5766" spans="1:10" s="766" customFormat="1" x14ac:dyDescent="0.25">
      <c r="A5766" s="644" t="s">
        <v>7426</v>
      </c>
      <c r="B5766" s="645" t="s">
        <v>5412</v>
      </c>
      <c r="C5766" s="643"/>
      <c r="D5766" s="643" t="s">
        <v>7434</v>
      </c>
      <c r="E5766" s="645"/>
      <c r="F5766" s="657">
        <v>0</v>
      </c>
      <c r="G5766" s="657">
        <v>0</v>
      </c>
      <c r="H5766" s="657">
        <f t="shared" si="1918"/>
        <v>0</v>
      </c>
      <c r="I5766" s="1066"/>
      <c r="J5766" s="669">
        <v>44938</v>
      </c>
    </row>
    <row r="5767" spans="1:10" s="766" customFormat="1" x14ac:dyDescent="0.25">
      <c r="A5767" s="644" t="s">
        <v>7427</v>
      </c>
      <c r="B5767" s="645" t="s">
        <v>2034</v>
      </c>
      <c r="C5767" s="643"/>
      <c r="D5767" s="643" t="s">
        <v>7434</v>
      </c>
      <c r="E5767" s="645"/>
      <c r="F5767" s="657">
        <v>0</v>
      </c>
      <c r="G5767" s="657">
        <v>0</v>
      </c>
      <c r="H5767" s="657">
        <f t="shared" si="1918"/>
        <v>0</v>
      </c>
      <c r="I5767" s="1066"/>
      <c r="J5767" s="669">
        <v>44938</v>
      </c>
    </row>
    <row r="5768" spans="1:10" s="766" customFormat="1" x14ac:dyDescent="0.25">
      <c r="A5768" s="644" t="s">
        <v>7428</v>
      </c>
      <c r="B5768" s="645" t="s">
        <v>2067</v>
      </c>
      <c r="C5768" s="643"/>
      <c r="D5768" s="643" t="s">
        <v>7434</v>
      </c>
      <c r="E5768" s="645"/>
      <c r="F5768" s="657">
        <v>0</v>
      </c>
      <c r="G5768" s="657">
        <v>0</v>
      </c>
      <c r="H5768" s="657">
        <f t="shared" si="1918"/>
        <v>0</v>
      </c>
      <c r="I5768" s="1066"/>
      <c r="J5768" s="669">
        <v>44938</v>
      </c>
    </row>
    <row r="5769" spans="1:10" s="766" customFormat="1" x14ac:dyDescent="0.25">
      <c r="A5769" s="644" t="s">
        <v>7429</v>
      </c>
      <c r="B5769" s="645" t="s">
        <v>3374</v>
      </c>
      <c r="C5769" s="643"/>
      <c r="D5769" s="643" t="s">
        <v>7434</v>
      </c>
      <c r="E5769" s="645"/>
      <c r="F5769" s="657">
        <v>0</v>
      </c>
      <c r="G5769" s="657">
        <v>0</v>
      </c>
      <c r="H5769" s="657">
        <f t="shared" si="1918"/>
        <v>0</v>
      </c>
      <c r="I5769" s="1066"/>
      <c r="J5769" s="669">
        <v>44938</v>
      </c>
    </row>
    <row r="5770" spans="1:10" s="766" customFormat="1" x14ac:dyDescent="0.25">
      <c r="A5770" s="644" t="s">
        <v>7430</v>
      </c>
      <c r="B5770" s="645" t="s">
        <v>3382</v>
      </c>
      <c r="C5770" s="643"/>
      <c r="D5770" s="643" t="s">
        <v>7434</v>
      </c>
      <c r="E5770" s="645"/>
      <c r="F5770" s="657">
        <v>0</v>
      </c>
      <c r="G5770" s="657">
        <v>0</v>
      </c>
      <c r="H5770" s="657">
        <f t="shared" si="1918"/>
        <v>0</v>
      </c>
      <c r="I5770" s="1066"/>
      <c r="J5770" s="669">
        <v>44938</v>
      </c>
    </row>
    <row r="5771" spans="1:10" s="766" customFormat="1" x14ac:dyDescent="0.25">
      <c r="A5771" s="644" t="s">
        <v>7431</v>
      </c>
      <c r="B5771" s="645" t="s">
        <v>3390</v>
      </c>
      <c r="C5771" s="643"/>
      <c r="D5771" s="643" t="s">
        <v>7434</v>
      </c>
      <c r="E5771" s="645"/>
      <c r="F5771" s="657">
        <v>0</v>
      </c>
      <c r="G5771" s="657">
        <v>0</v>
      </c>
      <c r="H5771" s="657">
        <f t="shared" si="1918"/>
        <v>0</v>
      </c>
      <c r="I5771" s="1066"/>
      <c r="J5771" s="669">
        <v>44938</v>
      </c>
    </row>
    <row r="5772" spans="1:10" s="766" customFormat="1" x14ac:dyDescent="0.25">
      <c r="A5772" s="644" t="s">
        <v>7432</v>
      </c>
      <c r="B5772" s="645" t="s">
        <v>740</v>
      </c>
      <c r="C5772" s="643"/>
      <c r="D5772" s="643" t="s">
        <v>7434</v>
      </c>
      <c r="E5772" s="645"/>
      <c r="F5772" s="657">
        <v>0</v>
      </c>
      <c r="G5772" s="657">
        <v>0</v>
      </c>
      <c r="H5772" s="657">
        <f t="shared" si="1918"/>
        <v>0</v>
      </c>
      <c r="I5772" s="1066"/>
      <c r="J5772" s="669">
        <v>44938</v>
      </c>
    </row>
    <row r="5773" spans="1:10" s="766" customFormat="1" x14ac:dyDescent="0.25">
      <c r="A5773" s="644" t="s">
        <v>7433</v>
      </c>
      <c r="B5773" s="645" t="s">
        <v>5435</v>
      </c>
      <c r="C5773" s="643"/>
      <c r="D5773" s="643" t="s">
        <v>7434</v>
      </c>
      <c r="E5773" s="645"/>
      <c r="F5773" s="657">
        <v>0</v>
      </c>
      <c r="G5773" s="657">
        <v>0</v>
      </c>
      <c r="H5773" s="657">
        <f t="shared" si="1918"/>
        <v>0</v>
      </c>
      <c r="I5773" s="1066"/>
      <c r="J5773" s="669">
        <v>44938</v>
      </c>
    </row>
    <row r="5774" spans="1:10" s="766" customFormat="1" x14ac:dyDescent="0.25">
      <c r="F5774" s="574"/>
      <c r="G5774" s="1028"/>
    </row>
    <row r="5775" spans="1:10" s="766" customFormat="1" ht="63.75" customHeight="1" x14ac:dyDescent="0.25">
      <c r="A5775" s="1133" t="s">
        <v>7445</v>
      </c>
      <c r="B5775" s="1133"/>
      <c r="C5775" s="1133"/>
      <c r="D5775" s="1133"/>
      <c r="E5775" s="1133"/>
      <c r="F5775" s="1133"/>
      <c r="G5775" s="1064"/>
      <c r="H5775" s="1061" t="str">
        <f t="shared" ref="H5775:H5781" si="1919">IF(ISNUMBER(G5775),ROUND(0.8*G5775,2),"")</f>
        <v/>
      </c>
      <c r="I5775" s="1062"/>
      <c r="J5775" s="669">
        <v>42705</v>
      </c>
    </row>
    <row r="5776" spans="1:10" s="766" customFormat="1" x14ac:dyDescent="0.25">
      <c r="F5776" s="574"/>
      <c r="G5776" s="191"/>
      <c r="H5776" s="191" t="str">
        <f t="shared" si="1919"/>
        <v/>
      </c>
      <c r="I5776" s="1065"/>
      <c r="J5776" s="669" t="s">
        <v>4180</v>
      </c>
    </row>
    <row r="5777" spans="1:10" s="766" customFormat="1" x14ac:dyDescent="0.25">
      <c r="A5777" s="644" t="s">
        <v>6014</v>
      </c>
      <c r="B5777" s="645" t="s">
        <v>5548</v>
      </c>
      <c r="C5777" s="643"/>
      <c r="D5777" s="643" t="s">
        <v>6026</v>
      </c>
      <c r="E5777" s="645"/>
      <c r="F5777" s="657">
        <v>0</v>
      </c>
      <c r="G5777" s="657">
        <v>0</v>
      </c>
      <c r="H5777" s="657">
        <f t="shared" si="1919"/>
        <v>0</v>
      </c>
      <c r="I5777" s="1066"/>
      <c r="J5777" s="669">
        <v>42705</v>
      </c>
    </row>
    <row r="5778" spans="1:10" s="766" customFormat="1" x14ac:dyDescent="0.25">
      <c r="A5778" s="644" t="s">
        <v>6021</v>
      </c>
      <c r="B5778" s="645" t="s">
        <v>3374</v>
      </c>
      <c r="C5778" s="643"/>
      <c r="D5778" s="643" t="s">
        <v>6026</v>
      </c>
      <c r="E5778" s="645"/>
      <c r="F5778" s="657">
        <v>0</v>
      </c>
      <c r="G5778" s="657">
        <v>0</v>
      </c>
      <c r="H5778" s="657">
        <f t="shared" si="1919"/>
        <v>0</v>
      </c>
      <c r="I5778" s="1066"/>
      <c r="J5778" s="669">
        <v>42705</v>
      </c>
    </row>
    <row r="5779" spans="1:10" s="766" customFormat="1" x14ac:dyDescent="0.25">
      <c r="A5779" s="644" t="s">
        <v>6023</v>
      </c>
      <c r="B5779" s="645" t="s">
        <v>3390</v>
      </c>
      <c r="C5779" s="643"/>
      <c r="D5779" s="643" t="s">
        <v>6026</v>
      </c>
      <c r="E5779" s="645"/>
      <c r="F5779" s="657">
        <v>0</v>
      </c>
      <c r="G5779" s="657">
        <v>0</v>
      </c>
      <c r="H5779" s="657">
        <f t="shared" si="1919"/>
        <v>0</v>
      </c>
      <c r="I5779" s="1066"/>
      <c r="J5779" s="669">
        <v>42705</v>
      </c>
    </row>
    <row r="5780" spans="1:10" s="766" customFormat="1" x14ac:dyDescent="0.25">
      <c r="A5780" s="644" t="s">
        <v>6024</v>
      </c>
      <c r="B5780" s="645" t="s">
        <v>740</v>
      </c>
      <c r="C5780" s="643"/>
      <c r="D5780" s="643" t="s">
        <v>6026</v>
      </c>
      <c r="E5780" s="645"/>
      <c r="F5780" s="657">
        <v>0</v>
      </c>
      <c r="G5780" s="657">
        <v>0</v>
      </c>
      <c r="H5780" s="657">
        <f t="shared" si="1919"/>
        <v>0</v>
      </c>
      <c r="I5780" s="1066"/>
      <c r="J5780" s="669">
        <v>42705</v>
      </c>
    </row>
    <row r="5781" spans="1:10" s="766" customFormat="1" x14ac:dyDescent="0.25">
      <c r="A5781" s="644" t="s">
        <v>6025</v>
      </c>
      <c r="B5781" s="645" t="s">
        <v>5435</v>
      </c>
      <c r="C5781" s="643"/>
      <c r="D5781" s="643" t="s">
        <v>6026</v>
      </c>
      <c r="E5781" s="645"/>
      <c r="F5781" s="657">
        <v>0</v>
      </c>
      <c r="G5781" s="657">
        <v>0</v>
      </c>
      <c r="H5781" s="657">
        <f t="shared" si="1919"/>
        <v>0</v>
      </c>
      <c r="I5781" s="1066"/>
      <c r="J5781" s="669">
        <v>42705</v>
      </c>
    </row>
    <row r="5782" spans="1:10" s="766" customFormat="1" x14ac:dyDescent="0.25">
      <c r="F5782" s="574"/>
      <c r="G5782" s="191"/>
      <c r="H5782" s="191"/>
      <c r="I5782" s="1065"/>
      <c r="J5782" s="669"/>
    </row>
    <row r="5783" spans="1:10" s="766" customFormat="1" ht="147.6" customHeight="1" x14ac:dyDescent="0.25">
      <c r="A5783" s="1133" t="s">
        <v>8208</v>
      </c>
      <c r="B5783" s="1133"/>
      <c r="C5783" s="1133"/>
      <c r="D5783" s="1133"/>
      <c r="E5783" s="1133"/>
      <c r="F5783" s="1133"/>
      <c r="G5783" s="1108"/>
      <c r="H5783" s="1061" t="str">
        <f>IF(ISNUMBER(G5783),ROUND(0.8*G5783,2),"")</f>
        <v/>
      </c>
      <c r="I5783" s="1062"/>
      <c r="J5783" s="669">
        <v>44938</v>
      </c>
    </row>
    <row r="5784" spans="1:10" s="766" customFormat="1" x14ac:dyDescent="0.25">
      <c r="F5784" s="574"/>
      <c r="G5784" s="1028"/>
    </row>
    <row r="5785" spans="1:10" s="766" customFormat="1" x14ac:dyDescent="0.25">
      <c r="A5785" s="644" t="s">
        <v>6030</v>
      </c>
      <c r="B5785" s="645" t="s">
        <v>2269</v>
      </c>
      <c r="C5785" s="643"/>
      <c r="D5785" s="643" t="s">
        <v>6029</v>
      </c>
      <c r="E5785" s="645"/>
      <c r="F5785" s="657"/>
      <c r="G5785" s="657"/>
      <c r="H5785" s="657"/>
      <c r="I5785" s="1066"/>
      <c r="J5785" s="669">
        <v>44938</v>
      </c>
    </row>
    <row r="5786" spans="1:10" s="766" customFormat="1" x14ac:dyDescent="0.25">
      <c r="A5786" s="644" t="s">
        <v>6031</v>
      </c>
      <c r="B5786" s="645" t="s">
        <v>5548</v>
      </c>
      <c r="C5786" s="643"/>
      <c r="D5786" s="643" t="s">
        <v>6029</v>
      </c>
      <c r="E5786" s="645"/>
      <c r="F5786" s="657"/>
      <c r="G5786" s="657"/>
      <c r="H5786" s="657"/>
      <c r="I5786" s="1066"/>
      <c r="J5786" s="669">
        <v>44938</v>
      </c>
    </row>
    <row r="5787" spans="1:10" s="766" customFormat="1" x14ac:dyDescent="0.25">
      <c r="A5787" s="644" t="s">
        <v>6033</v>
      </c>
      <c r="B5787" s="645" t="s">
        <v>5406</v>
      </c>
      <c r="C5787" s="643"/>
      <c r="D5787" s="643" t="s">
        <v>6029</v>
      </c>
      <c r="E5787" s="645"/>
      <c r="F5787" s="657"/>
      <c r="G5787" s="657"/>
      <c r="H5787" s="657"/>
      <c r="I5787" s="1066"/>
      <c r="J5787" s="669">
        <v>44938</v>
      </c>
    </row>
    <row r="5788" spans="1:10" s="766" customFormat="1" x14ac:dyDescent="0.25">
      <c r="A5788" s="644" t="s">
        <v>6034</v>
      </c>
      <c r="B5788" s="645" t="s">
        <v>5411</v>
      </c>
      <c r="C5788" s="643"/>
      <c r="D5788" s="643" t="s">
        <v>6029</v>
      </c>
      <c r="E5788" s="645"/>
      <c r="F5788" s="657"/>
      <c r="G5788" s="657"/>
      <c r="H5788" s="657"/>
      <c r="I5788" s="1066"/>
      <c r="J5788" s="669">
        <v>44938</v>
      </c>
    </row>
    <row r="5789" spans="1:10" s="766" customFormat="1" x14ac:dyDescent="0.25">
      <c r="A5789" s="644" t="s">
        <v>6035</v>
      </c>
      <c r="B5789" s="645" t="s">
        <v>5412</v>
      </c>
      <c r="C5789" s="643"/>
      <c r="D5789" s="643" t="s">
        <v>6029</v>
      </c>
      <c r="E5789" s="645"/>
      <c r="F5789" s="657"/>
      <c r="G5789" s="657"/>
      <c r="H5789" s="657"/>
      <c r="I5789" s="1066"/>
      <c r="J5789" s="669">
        <v>44938</v>
      </c>
    </row>
    <row r="5790" spans="1:10" s="766" customFormat="1" x14ac:dyDescent="0.25">
      <c r="A5790" s="644" t="s">
        <v>6036</v>
      </c>
      <c r="B5790" s="645" t="s">
        <v>2034</v>
      </c>
      <c r="C5790" s="643"/>
      <c r="D5790" s="643" t="s">
        <v>6029</v>
      </c>
      <c r="E5790" s="645"/>
      <c r="F5790" s="657"/>
      <c r="G5790" s="657"/>
      <c r="H5790" s="657"/>
      <c r="I5790" s="1066"/>
      <c r="J5790" s="669">
        <v>44938</v>
      </c>
    </row>
    <row r="5791" spans="1:10" s="766" customFormat="1" x14ac:dyDescent="0.25">
      <c r="A5791" s="644" t="s">
        <v>6038</v>
      </c>
      <c r="B5791" s="645" t="s">
        <v>3374</v>
      </c>
      <c r="C5791" s="643"/>
      <c r="D5791" s="643" t="s">
        <v>6029</v>
      </c>
      <c r="E5791" s="645"/>
      <c r="F5791" s="657"/>
      <c r="G5791" s="657"/>
      <c r="H5791" s="657"/>
      <c r="I5791" s="1066"/>
      <c r="J5791" s="669">
        <v>44938</v>
      </c>
    </row>
    <row r="5792" spans="1:10" s="766" customFormat="1" x14ac:dyDescent="0.25">
      <c r="A5792" s="644" t="s">
        <v>6040</v>
      </c>
      <c r="B5792" s="645" t="s">
        <v>3390</v>
      </c>
      <c r="C5792" s="643"/>
      <c r="D5792" s="643" t="s">
        <v>6029</v>
      </c>
      <c r="E5792" s="645"/>
      <c r="F5792" s="657"/>
      <c r="G5792" s="657"/>
      <c r="H5792" s="657"/>
      <c r="I5792" s="1066"/>
      <c r="J5792" s="669">
        <v>44938</v>
      </c>
    </row>
    <row r="5793" spans="1:29" s="766" customFormat="1" x14ac:dyDescent="0.25">
      <c r="A5793" s="644" t="s">
        <v>6041</v>
      </c>
      <c r="B5793" s="645" t="s">
        <v>740</v>
      </c>
      <c r="C5793" s="643"/>
      <c r="D5793" s="643" t="s">
        <v>6029</v>
      </c>
      <c r="E5793" s="645"/>
      <c r="F5793" s="657"/>
      <c r="G5793" s="657"/>
      <c r="H5793" s="657"/>
      <c r="I5793" s="1066"/>
      <c r="J5793" s="669">
        <v>44938</v>
      </c>
    </row>
    <row r="5794" spans="1:29" s="766" customFormat="1" x14ac:dyDescent="0.25">
      <c r="A5794" s="644" t="s">
        <v>6042</v>
      </c>
      <c r="B5794" s="645" t="s">
        <v>5435</v>
      </c>
      <c r="C5794" s="643"/>
      <c r="D5794" s="643" t="s">
        <v>6029</v>
      </c>
      <c r="E5794" s="645"/>
      <c r="F5794" s="657"/>
      <c r="G5794" s="657"/>
      <c r="H5794" s="657"/>
      <c r="I5794" s="1066"/>
      <c r="J5794" s="669">
        <v>44938</v>
      </c>
    </row>
    <row r="5795" spans="1:29" s="766" customFormat="1" x14ac:dyDescent="0.25">
      <c r="F5795" s="574"/>
      <c r="G5795" s="1028"/>
    </row>
    <row r="5796" spans="1:29" ht="47.25" customHeight="1" x14ac:dyDescent="0.25">
      <c r="A5796" s="1136" t="s">
        <v>473</v>
      </c>
      <c r="B5796" s="1136"/>
      <c r="C5796" s="1136"/>
      <c r="D5796" s="1136"/>
      <c r="E5796" s="1136"/>
      <c r="F5796" s="1136"/>
      <c r="G5796" s="429"/>
      <c r="H5796" s="508" t="str">
        <f>IF(ISNUMBER(G5796),ROUND(0.8*G5796,2),"")</f>
        <v/>
      </c>
      <c r="I5796" s="741"/>
      <c r="J5796" s="669" t="s">
        <v>4180</v>
      </c>
      <c r="N5796" s="238"/>
      <c r="U5796" s="238"/>
      <c r="V5796" s="238"/>
      <c r="W5796" s="238"/>
      <c r="X5796" s="238"/>
      <c r="Y5796" s="238"/>
      <c r="Z5796" s="238"/>
      <c r="AA5796" s="238"/>
      <c r="AB5796" s="238"/>
      <c r="AC5796" s="238"/>
    </row>
    <row r="5797" spans="1:29" x14ac:dyDescent="0.25">
      <c r="H5797" s="15" t="str">
        <f>IF(ISNUMBER(G5797),ROUND(0.8*G5797,2),"")</f>
        <v/>
      </c>
      <c r="J5797" s="669" t="s">
        <v>4180</v>
      </c>
    </row>
    <row r="5798" spans="1:29" x14ac:dyDescent="0.25">
      <c r="A5798" s="290" t="s">
        <v>2560</v>
      </c>
      <c r="B5798" s="289" t="s">
        <v>5548</v>
      </c>
      <c r="C5798" s="289"/>
      <c r="D5798" s="289" t="s">
        <v>2555</v>
      </c>
      <c r="E5798" s="289"/>
      <c r="F5798" s="480"/>
      <c r="G5798" s="480"/>
      <c r="H5798" s="480"/>
      <c r="I5798" s="742"/>
      <c r="J5798" s="669" t="s">
        <v>5805</v>
      </c>
      <c r="O5798" s="238"/>
      <c r="P5798" s="238"/>
      <c r="Q5798" s="238"/>
      <c r="R5798" s="238"/>
      <c r="S5798" s="238"/>
      <c r="T5798" s="238"/>
    </row>
    <row r="5799" spans="1:29" x14ac:dyDescent="0.25">
      <c r="A5799" s="290" t="s">
        <v>938</v>
      </c>
      <c r="B5799" s="566" t="s">
        <v>5548</v>
      </c>
      <c r="C5799" s="566"/>
      <c r="D5799" s="566" t="s">
        <v>35</v>
      </c>
      <c r="E5799" s="566"/>
      <c r="F5799" s="480"/>
      <c r="G5799" s="480"/>
      <c r="H5799" s="480"/>
      <c r="I5799" s="742"/>
      <c r="J5799" s="669" t="s">
        <v>5805</v>
      </c>
      <c r="O5799" s="238"/>
      <c r="P5799" s="238"/>
      <c r="Q5799" s="238"/>
      <c r="R5799" s="238"/>
      <c r="S5799" s="238"/>
      <c r="T5799" s="238"/>
    </row>
    <row r="5800" spans="1:29" s="238" customFormat="1" x14ac:dyDescent="0.25">
      <c r="A5800"/>
      <c r="B5800"/>
      <c r="C5800"/>
      <c r="D5800"/>
      <c r="E5800"/>
      <c r="F5800" s="471"/>
      <c r="G5800" s="15"/>
      <c r="H5800" s="15" t="str">
        <f>IF(ISNUMBER(G5800),ROUND(0.8*G5800,2),"")</f>
        <v/>
      </c>
      <c r="I5800" s="691"/>
      <c r="J5800" s="669" t="s">
        <v>4180</v>
      </c>
      <c r="M5800"/>
      <c r="N5800"/>
      <c r="O5800"/>
      <c r="P5800"/>
      <c r="Q5800"/>
      <c r="R5800"/>
      <c r="S5800"/>
      <c r="T5800"/>
      <c r="U5800"/>
      <c r="V5800"/>
      <c r="W5800"/>
      <c r="X5800"/>
      <c r="Y5800"/>
      <c r="Z5800"/>
      <c r="AA5800"/>
      <c r="AB5800"/>
      <c r="AC5800"/>
    </row>
    <row r="5801" spans="1:29" ht="222.75" customHeight="1" x14ac:dyDescent="0.25">
      <c r="A5801" s="1136" t="s">
        <v>7458</v>
      </c>
      <c r="B5801" s="1136"/>
      <c r="C5801" s="1136"/>
      <c r="D5801" s="1136"/>
      <c r="E5801" s="1136"/>
      <c r="F5801" s="1136"/>
      <c r="G5801" s="429"/>
      <c r="H5801" s="508" t="str">
        <f>IF(ISNUMBER(G5801),ROUND(0.8*G5801,2),"")</f>
        <v/>
      </c>
      <c r="I5801" s="741"/>
      <c r="J5801" s="669">
        <v>42705</v>
      </c>
      <c r="M5801" s="238"/>
      <c r="N5801" s="411"/>
      <c r="O5801" s="412"/>
      <c r="P5801" s="412"/>
      <c r="Q5801" s="412"/>
      <c r="R5801" s="412"/>
      <c r="S5801" s="412"/>
      <c r="T5801" s="412"/>
      <c r="U5801" s="412"/>
      <c r="V5801" s="238"/>
      <c r="W5801" s="238"/>
      <c r="X5801" s="238"/>
      <c r="Y5801" s="238"/>
      <c r="Z5801" s="238"/>
      <c r="AA5801" s="238"/>
      <c r="AB5801" s="238"/>
      <c r="AC5801" s="238"/>
    </row>
    <row r="5802" spans="1:29" x14ac:dyDescent="0.25">
      <c r="H5802" s="15" t="str">
        <f>IF(ISNUMBER(G5802),ROUND(0.8*G5802,2),"")</f>
        <v/>
      </c>
      <c r="J5802" s="669" t="s">
        <v>4180</v>
      </c>
      <c r="N5802" s="259"/>
    </row>
    <row r="5803" spans="1:29" x14ac:dyDescent="0.25">
      <c r="A5803" s="416" t="s">
        <v>3949</v>
      </c>
      <c r="B5803" s="417" t="s">
        <v>5435</v>
      </c>
      <c r="C5803" s="417"/>
      <c r="D5803" s="417" t="s">
        <v>3951</v>
      </c>
      <c r="E5803" s="417"/>
      <c r="F5803" s="481"/>
      <c r="G5803" s="481"/>
      <c r="H5803" s="481"/>
      <c r="I5803" s="743"/>
      <c r="J5803" s="669" t="s">
        <v>5805</v>
      </c>
      <c r="N5803" s="411"/>
      <c r="O5803" s="412"/>
      <c r="P5803" s="412"/>
      <c r="Q5803" s="412"/>
      <c r="R5803" s="412"/>
      <c r="S5803" s="412"/>
      <c r="T5803" s="412"/>
      <c r="U5803" s="412"/>
    </row>
    <row r="5804" spans="1:29" x14ac:dyDescent="0.25">
      <c r="A5804" s="416" t="s">
        <v>3950</v>
      </c>
      <c r="B5804" s="417" t="s">
        <v>5435</v>
      </c>
      <c r="C5804" s="417"/>
      <c r="D5804" s="417" t="s">
        <v>2134</v>
      </c>
      <c r="E5804" s="417"/>
      <c r="F5804" s="481"/>
      <c r="G5804" s="481"/>
      <c r="H5804" s="481"/>
      <c r="I5804" s="743"/>
      <c r="J5804" s="669" t="s">
        <v>5805</v>
      </c>
      <c r="N5804" s="411"/>
      <c r="O5804" s="412"/>
      <c r="P5804" s="412"/>
      <c r="Q5804" s="412"/>
      <c r="R5804" s="412"/>
      <c r="S5804" s="412"/>
      <c r="T5804" s="412"/>
      <c r="U5804" s="412"/>
    </row>
    <row r="5805" spans="1:29" x14ac:dyDescent="0.25">
      <c r="A5805" s="416" t="s">
        <v>647</v>
      </c>
      <c r="B5805" s="417" t="s">
        <v>5435</v>
      </c>
      <c r="C5805" s="417"/>
      <c r="D5805" s="417" t="s">
        <v>653</v>
      </c>
      <c r="E5805" s="417"/>
      <c r="F5805" s="481"/>
      <c r="G5805" s="481"/>
      <c r="H5805" s="481"/>
      <c r="I5805" s="743"/>
      <c r="J5805" s="669" t="s">
        <v>5805</v>
      </c>
      <c r="N5805" s="412"/>
      <c r="O5805" s="412"/>
      <c r="P5805" s="412"/>
      <c r="Q5805" s="412"/>
      <c r="R5805" s="412"/>
      <c r="S5805" s="412"/>
      <c r="T5805" s="412"/>
      <c r="U5805" s="412"/>
    </row>
    <row r="5806" spans="1:29" s="238" customFormat="1" x14ac:dyDescent="0.25">
      <c r="A5806"/>
      <c r="B5806"/>
      <c r="C5806"/>
      <c r="D5806"/>
      <c r="E5806"/>
      <c r="F5806" s="471"/>
      <c r="G5806" s="15"/>
      <c r="H5806" s="15" t="str">
        <f>IF(ISNUMBER(G5806),ROUND(0.8*G5806,2),"")</f>
        <v/>
      </c>
      <c r="I5806" s="691"/>
      <c r="J5806" s="669" t="s">
        <v>4180</v>
      </c>
      <c r="M5806"/>
      <c r="N5806" s="259"/>
      <c r="O5806"/>
      <c r="P5806"/>
      <c r="Q5806"/>
      <c r="R5806"/>
      <c r="S5806"/>
      <c r="T5806"/>
      <c r="U5806"/>
      <c r="V5806"/>
      <c r="W5806"/>
      <c r="X5806"/>
      <c r="Y5806"/>
      <c r="Z5806"/>
      <c r="AA5806"/>
      <c r="AB5806"/>
      <c r="AC5806"/>
    </row>
    <row r="5807" spans="1:29" ht="190.35" customHeight="1" x14ac:dyDescent="0.25">
      <c r="A5807" s="1136" t="s">
        <v>7459</v>
      </c>
      <c r="B5807" s="1136"/>
      <c r="C5807" s="1136"/>
      <c r="D5807" s="1136"/>
      <c r="E5807" s="1136"/>
      <c r="F5807" s="1136"/>
      <c r="G5807" s="429"/>
      <c r="H5807" s="508" t="str">
        <f>IF(ISNUMBER(G5807),ROUND(0.8*G5807,2),"")</f>
        <v/>
      </c>
      <c r="I5807" s="741"/>
      <c r="J5807" s="669" t="s">
        <v>5805</v>
      </c>
      <c r="M5807" s="238"/>
      <c r="N5807" s="411"/>
      <c r="O5807" s="412"/>
      <c r="P5807" s="412"/>
      <c r="Q5807" s="412"/>
      <c r="R5807" s="412"/>
      <c r="S5807" s="412"/>
      <c r="T5807" s="412"/>
      <c r="U5807" s="412"/>
      <c r="V5807" s="238"/>
      <c r="W5807" s="238"/>
      <c r="X5807" s="238"/>
      <c r="Y5807" s="238"/>
      <c r="Z5807" s="238"/>
      <c r="AA5807" s="238"/>
      <c r="AB5807" s="238"/>
      <c r="AC5807" s="238"/>
    </row>
    <row r="5808" spans="1:29" x14ac:dyDescent="0.25">
      <c r="H5808" s="15" t="str">
        <f>IF(ISNUMBER(G5808),ROUND(0.8*G5808,2),"")</f>
        <v/>
      </c>
      <c r="J5808" s="669" t="s">
        <v>4180</v>
      </c>
    </row>
    <row r="5809" spans="1:21" x14ac:dyDescent="0.25">
      <c r="A5809" s="416" t="s">
        <v>2132</v>
      </c>
      <c r="B5809" s="417" t="s">
        <v>740</v>
      </c>
      <c r="C5809" s="417"/>
      <c r="D5809" s="417" t="s">
        <v>2133</v>
      </c>
      <c r="E5809" s="417"/>
      <c r="F5809" s="481"/>
      <c r="G5809" s="481"/>
      <c r="H5809" s="481"/>
      <c r="I5809" s="743"/>
      <c r="J5809" s="669" t="s">
        <v>5805</v>
      </c>
      <c r="N5809" s="412"/>
      <c r="O5809" s="412"/>
      <c r="P5809" s="412"/>
      <c r="Q5809" s="412"/>
      <c r="R5809" s="412"/>
      <c r="S5809" s="412"/>
      <c r="T5809" s="412"/>
      <c r="U5809" s="412"/>
    </row>
    <row r="5810" spans="1:21" x14ac:dyDescent="0.25">
      <c r="A5810" s="416" t="s">
        <v>2131</v>
      </c>
      <c r="B5810" s="417" t="s">
        <v>5435</v>
      </c>
      <c r="C5810" s="417"/>
      <c r="D5810" s="417" t="s">
        <v>2133</v>
      </c>
      <c r="E5810" s="417"/>
      <c r="F5810" s="481"/>
      <c r="G5810" s="481"/>
      <c r="H5810" s="481"/>
      <c r="I5810" s="743"/>
      <c r="J5810" s="669" t="s">
        <v>5805</v>
      </c>
      <c r="N5810" s="412"/>
      <c r="O5810" s="412"/>
      <c r="P5810" s="412"/>
      <c r="Q5810" s="412"/>
      <c r="R5810" s="412"/>
      <c r="S5810" s="412"/>
      <c r="T5810" s="412"/>
      <c r="U5810" s="412"/>
    </row>
    <row r="5811" spans="1:21" x14ac:dyDescent="0.25">
      <c r="A5811" s="416" t="s">
        <v>645</v>
      </c>
      <c r="B5811" s="417" t="s">
        <v>5435</v>
      </c>
      <c r="C5811" s="417"/>
      <c r="D5811" s="417" t="s">
        <v>646</v>
      </c>
      <c r="E5811" s="417" t="s">
        <v>1053</v>
      </c>
      <c r="F5811" s="482">
        <v>0</v>
      </c>
      <c r="G5811" s="418">
        <v>0</v>
      </c>
      <c r="H5811" s="509">
        <f>IF(ISNUMBER(G5811),ROUND(0.8*G5811,2),"")</f>
        <v>0</v>
      </c>
      <c r="I5811" s="744"/>
      <c r="J5811" s="669" t="s">
        <v>5805</v>
      </c>
      <c r="N5811" s="412"/>
      <c r="O5811" s="412"/>
      <c r="P5811" s="412"/>
      <c r="Q5811" s="412"/>
      <c r="R5811" s="412"/>
      <c r="S5811" s="412"/>
      <c r="T5811" s="412"/>
      <c r="U5811" s="412"/>
    </row>
    <row r="5812" spans="1:21" x14ac:dyDescent="0.25">
      <c r="A5812" s="416" t="s">
        <v>654</v>
      </c>
      <c r="B5812" s="417" t="s">
        <v>740</v>
      </c>
      <c r="C5812" s="417"/>
      <c r="D5812" s="417" t="s">
        <v>651</v>
      </c>
      <c r="E5812" s="417"/>
      <c r="F5812" s="481"/>
      <c r="G5812" s="481"/>
      <c r="H5812" s="481"/>
      <c r="I5812" s="743"/>
      <c r="J5812" s="669" t="s">
        <v>5805</v>
      </c>
      <c r="N5812" s="412"/>
      <c r="O5812" s="412"/>
      <c r="P5812" s="412"/>
      <c r="Q5812" s="412"/>
      <c r="R5812" s="412"/>
      <c r="S5812" s="412"/>
      <c r="T5812" s="412"/>
      <c r="U5812" s="412"/>
    </row>
    <row r="5813" spans="1:21" x14ac:dyDescent="0.25">
      <c r="A5813" s="416" t="s">
        <v>649</v>
      </c>
      <c r="B5813" s="417" t="s">
        <v>5435</v>
      </c>
      <c r="C5813" s="417"/>
      <c r="D5813" s="417" t="s">
        <v>651</v>
      </c>
      <c r="E5813" s="417"/>
      <c r="F5813" s="481"/>
      <c r="G5813" s="481"/>
      <c r="H5813" s="481"/>
      <c r="I5813" s="743"/>
      <c r="J5813" s="669" t="s">
        <v>5805</v>
      </c>
      <c r="N5813" s="412"/>
      <c r="O5813" s="412"/>
      <c r="P5813" s="412"/>
      <c r="Q5813" s="412"/>
      <c r="R5813" s="412"/>
      <c r="S5813" s="412"/>
      <c r="T5813" s="412"/>
      <c r="U5813" s="412"/>
    </row>
    <row r="5814" spans="1:21" s="774" customFormat="1" x14ac:dyDescent="0.25">
      <c r="A5814" s="312"/>
      <c r="B5814" s="313"/>
      <c r="C5814" s="313"/>
      <c r="D5814" s="313"/>
      <c r="E5814" s="313"/>
      <c r="F5814" s="476"/>
      <c r="G5814" s="314"/>
      <c r="H5814" s="769" t="str">
        <f t="shared" ref="H5814:H5829" si="1920">IF(ISNUMBER(G5814),ROUND(0.8*G5814,2),"")</f>
        <v/>
      </c>
      <c r="I5814" s="691"/>
      <c r="J5814" s="669" t="s">
        <v>4180</v>
      </c>
    </row>
    <row r="5815" spans="1:21" ht="184.5" customHeight="1" x14ac:dyDescent="0.25">
      <c r="A5815" s="1135" t="s">
        <v>7460</v>
      </c>
      <c r="B5815" s="1135"/>
      <c r="C5815" s="1135"/>
      <c r="D5815" s="1135"/>
      <c r="E5815" s="1135"/>
      <c r="F5815" s="1135"/>
      <c r="G5815" s="429"/>
      <c r="H5815" s="508" t="str">
        <f t="shared" si="1920"/>
        <v/>
      </c>
      <c r="I5815" s="741"/>
      <c r="J5815" s="669">
        <v>42705</v>
      </c>
    </row>
    <row r="5816" spans="1:21" x14ac:dyDescent="0.25">
      <c r="H5816" s="15" t="str">
        <f t="shared" si="1920"/>
        <v/>
      </c>
      <c r="J5816" s="669" t="s">
        <v>4180</v>
      </c>
    </row>
    <row r="5817" spans="1:21" x14ac:dyDescent="0.25">
      <c r="A5817" s="607" t="s">
        <v>306</v>
      </c>
      <c r="B5817" s="435" t="s">
        <v>2269</v>
      </c>
      <c r="C5817" s="436"/>
      <c r="D5817" s="436" t="s">
        <v>307</v>
      </c>
      <c r="E5817" s="435"/>
      <c r="F5817" s="450">
        <v>0</v>
      </c>
      <c r="G5817" s="437">
        <v>0</v>
      </c>
      <c r="H5817" s="437">
        <f t="shared" si="1920"/>
        <v>0</v>
      </c>
      <c r="I5817" s="700"/>
      <c r="J5817" s="669" t="s">
        <v>5805</v>
      </c>
    </row>
    <row r="5818" spans="1:21" x14ac:dyDescent="0.25">
      <c r="A5818" s="607" t="s">
        <v>294</v>
      </c>
      <c r="B5818" s="435" t="s">
        <v>5548</v>
      </c>
      <c r="C5818" s="436"/>
      <c r="D5818" s="436" t="s">
        <v>307</v>
      </c>
      <c r="E5818" s="435"/>
      <c r="F5818" s="450">
        <v>0</v>
      </c>
      <c r="G5818" s="437">
        <v>0</v>
      </c>
      <c r="H5818" s="437">
        <f t="shared" si="1920"/>
        <v>0</v>
      </c>
      <c r="I5818" s="700"/>
      <c r="J5818" s="669" t="s">
        <v>5805</v>
      </c>
    </row>
    <row r="5819" spans="1:21" x14ac:dyDescent="0.25">
      <c r="A5819" s="607" t="s">
        <v>295</v>
      </c>
      <c r="B5819" s="435" t="s">
        <v>4847</v>
      </c>
      <c r="C5819" s="436"/>
      <c r="D5819" s="436" t="s">
        <v>307</v>
      </c>
      <c r="E5819" s="435"/>
      <c r="F5819" s="450">
        <v>0</v>
      </c>
      <c r="G5819" s="437">
        <v>0</v>
      </c>
      <c r="H5819" s="437">
        <f t="shared" si="1920"/>
        <v>0</v>
      </c>
      <c r="I5819" s="700"/>
      <c r="J5819" s="669" t="s">
        <v>5805</v>
      </c>
    </row>
    <row r="5820" spans="1:21" x14ac:dyDescent="0.25">
      <c r="A5820" s="607" t="s">
        <v>296</v>
      </c>
      <c r="B5820" s="435" t="s">
        <v>5406</v>
      </c>
      <c r="C5820" s="436"/>
      <c r="D5820" s="436" t="s">
        <v>307</v>
      </c>
      <c r="E5820" s="435"/>
      <c r="F5820" s="450">
        <v>0</v>
      </c>
      <c r="G5820" s="437">
        <v>0</v>
      </c>
      <c r="H5820" s="437">
        <f t="shared" si="1920"/>
        <v>0</v>
      </c>
      <c r="I5820" s="700"/>
      <c r="J5820" s="669" t="s">
        <v>5805</v>
      </c>
    </row>
    <row r="5821" spans="1:21" x14ac:dyDescent="0.25">
      <c r="A5821" s="607" t="s">
        <v>297</v>
      </c>
      <c r="B5821" s="435" t="s">
        <v>5411</v>
      </c>
      <c r="C5821" s="436"/>
      <c r="D5821" s="436" t="s">
        <v>307</v>
      </c>
      <c r="E5821" s="435"/>
      <c r="F5821" s="450">
        <v>0</v>
      </c>
      <c r="G5821" s="437">
        <v>0</v>
      </c>
      <c r="H5821" s="437">
        <f t="shared" si="1920"/>
        <v>0</v>
      </c>
      <c r="I5821" s="700"/>
      <c r="J5821" s="669" t="s">
        <v>5805</v>
      </c>
    </row>
    <row r="5822" spans="1:21" x14ac:dyDescent="0.25">
      <c r="A5822" s="607" t="s">
        <v>298</v>
      </c>
      <c r="B5822" s="435" t="s">
        <v>5412</v>
      </c>
      <c r="C5822" s="436"/>
      <c r="D5822" s="436" t="s">
        <v>307</v>
      </c>
      <c r="E5822" s="435"/>
      <c r="F5822" s="450">
        <v>0</v>
      </c>
      <c r="G5822" s="437">
        <v>0</v>
      </c>
      <c r="H5822" s="437">
        <f t="shared" si="1920"/>
        <v>0</v>
      </c>
      <c r="I5822" s="700"/>
      <c r="J5822" s="669" t="s">
        <v>5805</v>
      </c>
    </row>
    <row r="5823" spans="1:21" x14ac:dyDescent="0.25">
      <c r="A5823" s="607" t="s">
        <v>299</v>
      </c>
      <c r="B5823" s="435" t="s">
        <v>2034</v>
      </c>
      <c r="C5823" s="436"/>
      <c r="D5823" s="436" t="s">
        <v>307</v>
      </c>
      <c r="E5823" s="435"/>
      <c r="F5823" s="450">
        <v>0</v>
      </c>
      <c r="G5823" s="437">
        <v>0</v>
      </c>
      <c r="H5823" s="437">
        <f t="shared" si="1920"/>
        <v>0</v>
      </c>
      <c r="I5823" s="700"/>
      <c r="J5823" s="669" t="s">
        <v>5805</v>
      </c>
    </row>
    <row r="5824" spans="1:21" x14ac:dyDescent="0.25">
      <c r="A5824" s="607" t="s">
        <v>300</v>
      </c>
      <c r="B5824" s="435" t="s">
        <v>2067</v>
      </c>
      <c r="C5824" s="436"/>
      <c r="D5824" s="436" t="s">
        <v>307</v>
      </c>
      <c r="E5824" s="435"/>
      <c r="F5824" s="450">
        <v>0</v>
      </c>
      <c r="G5824" s="437">
        <v>0</v>
      </c>
      <c r="H5824" s="437">
        <f t="shared" si="1920"/>
        <v>0</v>
      </c>
      <c r="I5824" s="700"/>
      <c r="J5824" s="669" t="s">
        <v>5805</v>
      </c>
    </row>
    <row r="5825" spans="1:10" x14ac:dyDescent="0.25">
      <c r="A5825" s="607" t="s">
        <v>301</v>
      </c>
      <c r="B5825" s="435" t="s">
        <v>3374</v>
      </c>
      <c r="C5825" s="436"/>
      <c r="D5825" s="436" t="s">
        <v>307</v>
      </c>
      <c r="E5825" s="435"/>
      <c r="F5825" s="450">
        <v>0</v>
      </c>
      <c r="G5825" s="437">
        <v>0</v>
      </c>
      <c r="H5825" s="437">
        <f t="shared" si="1920"/>
        <v>0</v>
      </c>
      <c r="I5825" s="700"/>
      <c r="J5825" s="669" t="s">
        <v>5805</v>
      </c>
    </row>
    <row r="5826" spans="1:10" x14ac:dyDescent="0.25">
      <c r="A5826" s="607" t="s">
        <v>302</v>
      </c>
      <c r="B5826" s="435" t="s">
        <v>3382</v>
      </c>
      <c r="C5826" s="436"/>
      <c r="D5826" s="436" t="s">
        <v>307</v>
      </c>
      <c r="E5826" s="435"/>
      <c r="F5826" s="450">
        <v>0</v>
      </c>
      <c r="G5826" s="437">
        <v>0</v>
      </c>
      <c r="H5826" s="437">
        <f t="shared" si="1920"/>
        <v>0</v>
      </c>
      <c r="I5826" s="700"/>
      <c r="J5826" s="669" t="s">
        <v>5805</v>
      </c>
    </row>
    <row r="5827" spans="1:10" x14ac:dyDescent="0.25">
      <c r="A5827" s="607" t="s">
        <v>303</v>
      </c>
      <c r="B5827" s="435" t="s">
        <v>3390</v>
      </c>
      <c r="C5827" s="436"/>
      <c r="D5827" s="436" t="s">
        <v>307</v>
      </c>
      <c r="E5827" s="435"/>
      <c r="F5827" s="450">
        <v>0</v>
      </c>
      <c r="G5827" s="437">
        <v>0</v>
      </c>
      <c r="H5827" s="437">
        <f t="shared" si="1920"/>
        <v>0</v>
      </c>
      <c r="I5827" s="700"/>
      <c r="J5827" s="669" t="s">
        <v>5805</v>
      </c>
    </row>
    <row r="5828" spans="1:10" x14ac:dyDescent="0.25">
      <c r="A5828" s="607" t="s">
        <v>304</v>
      </c>
      <c r="B5828" s="435" t="s">
        <v>740</v>
      </c>
      <c r="C5828" s="436"/>
      <c r="D5828" s="436" t="s">
        <v>307</v>
      </c>
      <c r="E5828" s="435"/>
      <c r="F5828" s="450">
        <v>0</v>
      </c>
      <c r="G5828" s="437">
        <v>0</v>
      </c>
      <c r="H5828" s="437">
        <f t="shared" si="1920"/>
        <v>0</v>
      </c>
      <c r="I5828" s="700"/>
      <c r="J5828" s="669" t="s">
        <v>5805</v>
      </c>
    </row>
    <row r="5829" spans="1:10" x14ac:dyDescent="0.25">
      <c r="A5829" s="607" t="s">
        <v>305</v>
      </c>
      <c r="B5829" s="435" t="s">
        <v>5435</v>
      </c>
      <c r="C5829" s="436"/>
      <c r="D5829" s="436" t="s">
        <v>307</v>
      </c>
      <c r="E5829" s="435"/>
      <c r="F5829" s="450">
        <v>0</v>
      </c>
      <c r="G5829" s="437">
        <v>0</v>
      </c>
      <c r="H5829" s="437">
        <f t="shared" si="1920"/>
        <v>0</v>
      </c>
      <c r="I5829" s="700"/>
      <c r="J5829" s="669" t="s">
        <v>5805</v>
      </c>
    </row>
    <row r="5830" spans="1:10" x14ac:dyDescent="0.25">
      <c r="J5830" s="669" t="s">
        <v>4180</v>
      </c>
    </row>
    <row r="5831" spans="1:10" ht="170.25" customHeight="1" x14ac:dyDescent="0.25">
      <c r="A5831" s="1135" t="s">
        <v>7940</v>
      </c>
      <c r="B5831" s="1135"/>
      <c r="C5831" s="1135"/>
      <c r="D5831" s="1135"/>
      <c r="E5831" s="1135"/>
      <c r="F5831" s="1135"/>
      <c r="G5831" s="429"/>
      <c r="H5831" s="508" t="str">
        <f>IF(ISNUMBER(G5831),ROUND(0.8*G5831,2),"")</f>
        <v/>
      </c>
      <c r="I5831" s="741"/>
      <c r="J5831" s="669">
        <f>J$31</f>
        <v>44896</v>
      </c>
    </row>
    <row r="5832" spans="1:10" x14ac:dyDescent="0.25">
      <c r="H5832" s="15" t="str">
        <f>IF(ISNUMBER(G5832),ROUND(0.8*G5832,2),"")</f>
        <v/>
      </c>
      <c r="J5832" s="669" t="s">
        <v>4180</v>
      </c>
    </row>
    <row r="5833" spans="1:10" x14ac:dyDescent="0.25">
      <c r="A5833" s="607" t="s">
        <v>271</v>
      </c>
      <c r="B5833" s="435" t="s">
        <v>5548</v>
      </c>
      <c r="C5833" s="436"/>
      <c r="D5833" s="436" t="s">
        <v>7448</v>
      </c>
      <c r="E5833" s="435"/>
      <c r="F5833" s="673"/>
      <c r="G5833" s="673"/>
      <c r="H5833" s="673"/>
      <c r="I5833" s="745"/>
      <c r="J5833" s="669" t="s">
        <v>5805</v>
      </c>
    </row>
    <row r="5834" spans="1:10" x14ac:dyDescent="0.25">
      <c r="A5834" s="607" t="s">
        <v>1486</v>
      </c>
      <c r="B5834" s="435" t="s">
        <v>5548</v>
      </c>
      <c r="C5834" s="436"/>
      <c r="D5834" s="436" t="s">
        <v>7447</v>
      </c>
      <c r="E5834" s="435"/>
      <c r="F5834" s="450">
        <v>0</v>
      </c>
      <c r="G5834" s="437">
        <v>0</v>
      </c>
      <c r="H5834" s="437">
        <f>IF(ISNUMBER(G5834),ROUND(0.8*G5834,2),"")</f>
        <v>0</v>
      </c>
      <c r="I5834" s="700"/>
      <c r="J5834" s="669" t="s">
        <v>5805</v>
      </c>
    </row>
    <row r="5835" spans="1:10" x14ac:dyDescent="0.25">
      <c r="J5835" s="669" t="s">
        <v>4180</v>
      </c>
    </row>
    <row r="5836" spans="1:10" ht="123.75" customHeight="1" x14ac:dyDescent="0.25">
      <c r="A5836" s="1135" t="s">
        <v>7939</v>
      </c>
      <c r="B5836" s="1135"/>
      <c r="C5836" s="1135"/>
      <c r="D5836" s="1135"/>
      <c r="E5836" s="1135"/>
      <c r="F5836" s="1135"/>
      <c r="G5836" s="429"/>
      <c r="H5836" s="508" t="str">
        <f>IF(ISNUMBER(G5836),ROUND(0.8*G5836,2),"")</f>
        <v/>
      </c>
      <c r="I5836" s="741"/>
      <c r="J5836" s="669">
        <v>42705</v>
      </c>
    </row>
    <row r="5837" spans="1:10" x14ac:dyDescent="0.25">
      <c r="H5837" s="15" t="str">
        <f>IF(ISNUMBER(G5837),ROUND(0.8*G5837,2),"")</f>
        <v/>
      </c>
      <c r="J5837" s="669" t="s">
        <v>4180</v>
      </c>
    </row>
    <row r="5838" spans="1:10" x14ac:dyDescent="0.25">
      <c r="A5838" s="607" t="s">
        <v>272</v>
      </c>
      <c r="B5838" s="435" t="s">
        <v>5548</v>
      </c>
      <c r="C5838" s="436"/>
      <c r="D5838" s="436" t="s">
        <v>6100</v>
      </c>
      <c r="E5838" s="435"/>
      <c r="F5838" s="450">
        <v>0</v>
      </c>
      <c r="G5838" s="437">
        <v>0</v>
      </c>
      <c r="H5838" s="437">
        <f>IF(ISNUMBER(G5838),ROUND(0.8*G5838,2),"")</f>
        <v>0</v>
      </c>
      <c r="I5838" s="700"/>
      <c r="J5838" s="669" t="s">
        <v>5805</v>
      </c>
    </row>
    <row r="5839" spans="1:10" x14ac:dyDescent="0.25">
      <c r="A5839" s="607" t="s">
        <v>1487</v>
      </c>
      <c r="B5839" s="435" t="s">
        <v>5548</v>
      </c>
      <c r="C5839" s="436"/>
      <c r="D5839" s="436" t="s">
        <v>6101</v>
      </c>
      <c r="E5839" s="435"/>
      <c r="F5839" s="450">
        <v>0</v>
      </c>
      <c r="G5839" s="437">
        <v>0</v>
      </c>
      <c r="H5839" s="437">
        <f>IF(ISNUMBER(G5839),ROUND(0.8*G5839,2),"")</f>
        <v>0</v>
      </c>
      <c r="I5839" s="700"/>
      <c r="J5839" s="669" t="s">
        <v>5805</v>
      </c>
    </row>
    <row r="5840" spans="1:10" x14ac:dyDescent="0.25">
      <c r="J5840" s="669" t="s">
        <v>4180</v>
      </c>
    </row>
    <row r="5841" spans="1:10" ht="127.5" customHeight="1" x14ac:dyDescent="0.25">
      <c r="A5841" s="1135" t="s">
        <v>7941</v>
      </c>
      <c r="B5841" s="1135"/>
      <c r="C5841" s="1135"/>
      <c r="D5841" s="1135"/>
      <c r="E5841" s="1135"/>
      <c r="F5841" s="1135"/>
      <c r="G5841" s="429"/>
      <c r="H5841" s="508" t="str">
        <f>IF(ISNUMBER(G5841),ROUND(0.8*G5841,2),"")</f>
        <v/>
      </c>
      <c r="I5841" s="741"/>
      <c r="J5841" s="669">
        <v>42705</v>
      </c>
    </row>
    <row r="5842" spans="1:10" x14ac:dyDescent="0.25">
      <c r="H5842" s="15" t="str">
        <f>IF(ISNUMBER(G5842),ROUND(0.8*G5842,2),"")</f>
        <v/>
      </c>
      <c r="J5842" s="669" t="s">
        <v>4180</v>
      </c>
    </row>
    <row r="5843" spans="1:10" x14ac:dyDescent="0.25">
      <c r="A5843" s="607" t="s">
        <v>273</v>
      </c>
      <c r="B5843" s="435" t="s">
        <v>5548</v>
      </c>
      <c r="C5843" s="436"/>
      <c r="D5843" s="436" t="s">
        <v>1489</v>
      </c>
      <c r="E5843" s="435"/>
      <c r="F5843" s="450"/>
      <c r="G5843" s="450"/>
      <c r="H5843" s="450"/>
      <c r="I5843" s="740"/>
      <c r="J5843" s="669" t="s">
        <v>5805</v>
      </c>
    </row>
    <row r="5844" spans="1:10" x14ac:dyDescent="0.25">
      <c r="A5844" s="607" t="s">
        <v>1488</v>
      </c>
      <c r="B5844" s="435" t="s">
        <v>5548</v>
      </c>
      <c r="C5844" s="436"/>
      <c r="D5844" s="436" t="s">
        <v>1490</v>
      </c>
      <c r="E5844" s="435"/>
      <c r="F5844" s="450">
        <v>0</v>
      </c>
      <c r="G5844" s="437">
        <v>0</v>
      </c>
      <c r="H5844" s="437">
        <f>IF(ISNUMBER(G5844),ROUND(0.8*G5844,2),"")</f>
        <v>0</v>
      </c>
      <c r="I5844" s="700"/>
      <c r="J5844" s="669" t="s">
        <v>5805</v>
      </c>
    </row>
    <row r="5845" spans="1:10" x14ac:dyDescent="0.25">
      <c r="J5845" s="669" t="s">
        <v>4180</v>
      </c>
    </row>
    <row r="5846" spans="1:10" s="774" customFormat="1" ht="90.75" customHeight="1" x14ac:dyDescent="0.25">
      <c r="A5846" s="1135" t="s">
        <v>8123</v>
      </c>
      <c r="B5846" s="1135"/>
      <c r="C5846" s="1135"/>
      <c r="D5846" s="1135"/>
      <c r="E5846" s="1135"/>
      <c r="F5846" s="1135"/>
      <c r="G5846" s="429"/>
      <c r="H5846" s="508" t="str">
        <f>IF(ISNUMBER(G5846),ROUND(0.8*G5846,2),"")</f>
        <v/>
      </c>
      <c r="I5846" s="741"/>
      <c r="J5846" s="669">
        <f>J$31</f>
        <v>44896</v>
      </c>
    </row>
    <row r="5847" spans="1:10" s="774" customFormat="1" x14ac:dyDescent="0.25">
      <c r="F5847" s="471"/>
      <c r="G5847" s="769"/>
      <c r="H5847" s="769" t="str">
        <f>IF(ISNUMBER(G5847),ROUND(0.8*G5847,2),"")</f>
        <v/>
      </c>
      <c r="I5847" s="691"/>
      <c r="J5847" s="669" t="s">
        <v>4180</v>
      </c>
    </row>
    <row r="5848" spans="1:10" s="774" customFormat="1" x14ac:dyDescent="0.25">
      <c r="A5848" s="644" t="s">
        <v>6689</v>
      </c>
      <c r="B5848" s="645" t="s">
        <v>5435</v>
      </c>
      <c r="C5848" s="643" t="s">
        <v>7930</v>
      </c>
      <c r="D5848" s="643" t="s">
        <v>7932</v>
      </c>
      <c r="E5848" s="645"/>
      <c r="F5848" s="657">
        <v>0</v>
      </c>
      <c r="G5848" s="657">
        <v>0</v>
      </c>
      <c r="H5848" s="657">
        <v>0</v>
      </c>
      <c r="I5848" s="657"/>
      <c r="J5848" s="669">
        <f>J$31</f>
        <v>44896</v>
      </c>
    </row>
    <row r="5849" spans="1:10" s="774" customFormat="1" x14ac:dyDescent="0.25">
      <c r="A5849" s="644" t="s">
        <v>6690</v>
      </c>
      <c r="B5849" s="645" t="s">
        <v>5435</v>
      </c>
      <c r="C5849" s="643" t="s">
        <v>7930</v>
      </c>
      <c r="D5849" s="643" t="s">
        <v>7931</v>
      </c>
      <c r="E5849" s="645"/>
      <c r="F5849" s="657">
        <v>0</v>
      </c>
      <c r="G5849" s="657">
        <v>0</v>
      </c>
      <c r="H5849" s="657">
        <f>IF(ISNUMBER(G5849),ROUND(0.8*G5849,2),"")</f>
        <v>0</v>
      </c>
      <c r="I5849" s="657"/>
      <c r="J5849" s="669">
        <f>J$31</f>
        <v>44896</v>
      </c>
    </row>
    <row r="5850" spans="1:10" s="774" customFormat="1" x14ac:dyDescent="0.25">
      <c r="F5850" s="471"/>
      <c r="G5850" s="769"/>
      <c r="H5850" s="769"/>
      <c r="I5850" s="691"/>
      <c r="J5850" s="669"/>
    </row>
    <row r="5851" spans="1:10" s="766" customFormat="1" ht="54.75" customHeight="1" x14ac:dyDescent="0.25">
      <c r="A5851" s="1133" t="s">
        <v>8124</v>
      </c>
      <c r="B5851" s="1133"/>
      <c r="C5851" s="1133"/>
      <c r="D5851" s="1133"/>
      <c r="E5851" s="1133"/>
      <c r="F5851" s="1133"/>
      <c r="G5851" s="1059"/>
      <c r="H5851" s="1061" t="str">
        <f>IF(ISNUMBER(G5851),ROUND(0.8*G5851,2),"")</f>
        <v/>
      </c>
      <c r="I5851" s="1062"/>
      <c r="J5851" s="669">
        <f>$J$31</f>
        <v>44896</v>
      </c>
    </row>
    <row r="5852" spans="1:10" s="774" customFormat="1" x14ac:dyDescent="0.25">
      <c r="F5852" s="471"/>
      <c r="G5852" s="769"/>
      <c r="H5852" s="769"/>
      <c r="I5852" s="691"/>
      <c r="J5852" s="669"/>
    </row>
    <row r="5853" spans="1:10" s="774" customFormat="1" ht="15" customHeight="1" x14ac:dyDescent="0.25">
      <c r="A5853" s="646" t="s">
        <v>7957</v>
      </c>
      <c r="B5853" s="645" t="s">
        <v>2269</v>
      </c>
      <c r="C5853" s="647"/>
      <c r="D5853" s="643" t="s">
        <v>8126</v>
      </c>
      <c r="E5853" s="647"/>
      <c r="F5853" s="648"/>
      <c r="G5853" s="649"/>
      <c r="H5853" s="650"/>
      <c r="I5853" s="746"/>
      <c r="J5853" s="669">
        <f t="shared" ref="J5853:J5869" si="1921">$J$31</f>
        <v>44896</v>
      </c>
    </row>
    <row r="5854" spans="1:10" s="774" customFormat="1" ht="15" customHeight="1" x14ac:dyDescent="0.25">
      <c r="A5854" s="646" t="s">
        <v>7958</v>
      </c>
      <c r="B5854" s="645" t="s">
        <v>5548</v>
      </c>
      <c r="C5854" s="647"/>
      <c r="D5854" s="643" t="s">
        <v>8126</v>
      </c>
      <c r="E5854" s="647"/>
      <c r="F5854" s="648"/>
      <c r="G5854" s="649"/>
      <c r="H5854" s="650"/>
      <c r="I5854" s="746"/>
      <c r="J5854" s="669">
        <f t="shared" si="1921"/>
        <v>44896</v>
      </c>
    </row>
    <row r="5855" spans="1:10" s="766" customFormat="1" ht="15" customHeight="1" x14ac:dyDescent="0.25">
      <c r="A5855" s="646" t="s">
        <v>7959</v>
      </c>
      <c r="B5855" s="645" t="s">
        <v>4847</v>
      </c>
      <c r="C5855" s="647"/>
      <c r="D5855" s="643" t="s">
        <v>8126</v>
      </c>
      <c r="E5855" s="647"/>
      <c r="F5855" s="648"/>
      <c r="G5855" s="649"/>
      <c r="H5855" s="650"/>
      <c r="I5855" s="746"/>
      <c r="J5855" s="669">
        <f t="shared" si="1921"/>
        <v>44896</v>
      </c>
    </row>
    <row r="5856" spans="1:10" s="766" customFormat="1" ht="15" customHeight="1" x14ac:dyDescent="0.25">
      <c r="A5856" s="646" t="s">
        <v>7960</v>
      </c>
      <c r="B5856" s="645" t="s">
        <v>5406</v>
      </c>
      <c r="C5856" s="647"/>
      <c r="D5856" s="643" t="s">
        <v>8126</v>
      </c>
      <c r="E5856" s="647"/>
      <c r="F5856" s="648"/>
      <c r="G5856" s="649"/>
      <c r="H5856" s="650"/>
      <c r="I5856" s="746"/>
      <c r="J5856" s="669">
        <f t="shared" si="1921"/>
        <v>44896</v>
      </c>
    </row>
    <row r="5857" spans="1:10" s="766" customFormat="1" ht="15" customHeight="1" x14ac:dyDescent="0.25">
      <c r="A5857" s="646" t="s">
        <v>7961</v>
      </c>
      <c r="B5857" s="645" t="s">
        <v>5411</v>
      </c>
      <c r="C5857" s="647"/>
      <c r="D5857" s="643" t="s">
        <v>8126</v>
      </c>
      <c r="E5857" s="647"/>
      <c r="F5857" s="648"/>
      <c r="G5857" s="649"/>
      <c r="H5857" s="650"/>
      <c r="I5857" s="746"/>
      <c r="J5857" s="669">
        <f t="shared" si="1921"/>
        <v>44896</v>
      </c>
    </row>
    <row r="5858" spans="1:10" s="766" customFormat="1" ht="15" customHeight="1" x14ac:dyDescent="0.25">
      <c r="A5858" s="646" t="s">
        <v>7962</v>
      </c>
      <c r="B5858" s="645" t="s">
        <v>5412</v>
      </c>
      <c r="C5858" s="647"/>
      <c r="D5858" s="643" t="s">
        <v>8126</v>
      </c>
      <c r="E5858" s="647"/>
      <c r="F5858" s="648"/>
      <c r="G5858" s="649"/>
      <c r="H5858" s="650"/>
      <c r="I5858" s="746"/>
      <c r="J5858" s="669">
        <f t="shared" si="1921"/>
        <v>44896</v>
      </c>
    </row>
    <row r="5859" spans="1:10" s="766" customFormat="1" ht="15" customHeight="1" x14ac:dyDescent="0.25">
      <c r="A5859" s="646" t="s">
        <v>7963</v>
      </c>
      <c r="B5859" s="645" t="s">
        <v>2034</v>
      </c>
      <c r="C5859" s="647"/>
      <c r="D5859" s="643" t="s">
        <v>8126</v>
      </c>
      <c r="E5859" s="647"/>
      <c r="F5859" s="648"/>
      <c r="G5859" s="649"/>
      <c r="H5859" s="650"/>
      <c r="I5859" s="746"/>
      <c r="J5859" s="669">
        <f t="shared" si="1921"/>
        <v>44896</v>
      </c>
    </row>
    <row r="5860" spans="1:10" s="766" customFormat="1" ht="15" customHeight="1" x14ac:dyDescent="0.25">
      <c r="A5860" s="646" t="s">
        <v>7964</v>
      </c>
      <c r="B5860" s="645" t="s">
        <v>2067</v>
      </c>
      <c r="C5860" s="647"/>
      <c r="D5860" s="643" t="s">
        <v>8126</v>
      </c>
      <c r="E5860" s="647"/>
      <c r="F5860" s="648"/>
      <c r="G5860" s="649"/>
      <c r="H5860" s="650"/>
      <c r="I5860" s="746"/>
      <c r="J5860" s="669">
        <f t="shared" si="1921"/>
        <v>44896</v>
      </c>
    </row>
    <row r="5861" spans="1:10" s="766" customFormat="1" ht="15" customHeight="1" x14ac:dyDescent="0.25">
      <c r="A5861" s="646" t="s">
        <v>7965</v>
      </c>
      <c r="B5861" s="645" t="s">
        <v>3374</v>
      </c>
      <c r="C5861" s="647"/>
      <c r="D5861" s="643" t="s">
        <v>8126</v>
      </c>
      <c r="E5861" s="647"/>
      <c r="F5861" s="648"/>
      <c r="G5861" s="649"/>
      <c r="H5861" s="650"/>
      <c r="I5861" s="746"/>
      <c r="J5861" s="669">
        <f t="shared" si="1921"/>
        <v>44896</v>
      </c>
    </row>
    <row r="5862" spans="1:10" s="766" customFormat="1" ht="15" customHeight="1" x14ac:dyDescent="0.25">
      <c r="A5862" s="646" t="s">
        <v>7966</v>
      </c>
      <c r="B5862" s="645" t="s">
        <v>3382</v>
      </c>
      <c r="C5862" s="647"/>
      <c r="D5862" s="643" t="s">
        <v>8126</v>
      </c>
      <c r="E5862" s="647"/>
      <c r="F5862" s="648"/>
      <c r="G5862" s="649"/>
      <c r="H5862" s="650"/>
      <c r="I5862" s="746"/>
      <c r="J5862" s="669">
        <f t="shared" si="1921"/>
        <v>44896</v>
      </c>
    </row>
    <row r="5863" spans="1:10" s="766" customFormat="1" ht="15" customHeight="1" x14ac:dyDescent="0.25">
      <c r="A5863" s="646" t="s">
        <v>7967</v>
      </c>
      <c r="B5863" s="645" t="s">
        <v>3390</v>
      </c>
      <c r="C5863" s="647"/>
      <c r="D5863" s="643" t="s">
        <v>8126</v>
      </c>
      <c r="E5863" s="647"/>
      <c r="F5863" s="648"/>
      <c r="G5863" s="649"/>
      <c r="H5863" s="650"/>
      <c r="I5863" s="746"/>
      <c r="J5863" s="669">
        <f t="shared" si="1921"/>
        <v>44896</v>
      </c>
    </row>
    <row r="5864" spans="1:10" s="766" customFormat="1" ht="15" customHeight="1" x14ac:dyDescent="0.25">
      <c r="A5864" s="646" t="s">
        <v>7968</v>
      </c>
      <c r="B5864" s="645" t="s">
        <v>740</v>
      </c>
      <c r="C5864" s="647"/>
      <c r="D5864" s="643" t="s">
        <v>8126</v>
      </c>
      <c r="E5864" s="647"/>
      <c r="F5864" s="648"/>
      <c r="G5864" s="649"/>
      <c r="H5864" s="650"/>
      <c r="I5864" s="746"/>
      <c r="J5864" s="669">
        <f t="shared" si="1921"/>
        <v>44896</v>
      </c>
    </row>
    <row r="5865" spans="1:10" s="766" customFormat="1" ht="15" customHeight="1" x14ac:dyDescent="0.25">
      <c r="A5865" s="646" t="s">
        <v>7969</v>
      </c>
      <c r="B5865" s="645" t="s">
        <v>5435</v>
      </c>
      <c r="C5865" s="647"/>
      <c r="D5865" s="643" t="s">
        <v>8126</v>
      </c>
      <c r="E5865" s="647"/>
      <c r="F5865" s="648"/>
      <c r="G5865" s="649"/>
      <c r="H5865" s="650"/>
      <c r="I5865" s="746"/>
      <c r="J5865" s="669">
        <f t="shared" si="1921"/>
        <v>44896</v>
      </c>
    </row>
    <row r="5866" spans="1:10" s="774" customFormat="1" x14ac:dyDescent="0.25">
      <c r="F5866" s="471"/>
      <c r="G5866" s="769"/>
      <c r="H5866" s="769"/>
      <c r="I5866" s="691"/>
      <c r="J5866" s="669"/>
    </row>
    <row r="5867" spans="1:10" s="766" customFormat="1" ht="54.75" customHeight="1" x14ac:dyDescent="0.25">
      <c r="A5867" s="1133" t="s">
        <v>8125</v>
      </c>
      <c r="B5867" s="1133"/>
      <c r="C5867" s="1133"/>
      <c r="D5867" s="1133"/>
      <c r="E5867" s="1133"/>
      <c r="F5867" s="1133"/>
      <c r="G5867" s="1059"/>
      <c r="H5867" s="1061" t="str">
        <f>IF(ISNUMBER(G5867),ROUND(0.8*G5867,2),"")</f>
        <v/>
      </c>
      <c r="I5867" s="1062"/>
      <c r="J5867" s="669">
        <f>$J$31</f>
        <v>44896</v>
      </c>
    </row>
    <row r="5868" spans="1:10" s="774" customFormat="1" x14ac:dyDescent="0.25">
      <c r="F5868" s="471"/>
      <c r="G5868" s="769"/>
      <c r="H5868" s="769"/>
      <c r="I5868" s="691"/>
      <c r="J5868" s="669"/>
    </row>
    <row r="5869" spans="1:10" s="774" customFormat="1" ht="15" customHeight="1" x14ac:dyDescent="0.25">
      <c r="A5869" s="646" t="s">
        <v>7970</v>
      </c>
      <c r="B5869" s="643" t="s">
        <v>5548</v>
      </c>
      <c r="C5869" s="643"/>
      <c r="D5869" s="643" t="s">
        <v>8127</v>
      </c>
      <c r="E5869" s="647"/>
      <c r="F5869" s="648"/>
      <c r="G5869" s="649"/>
      <c r="H5869" s="650"/>
      <c r="I5869" s="746"/>
      <c r="J5869" s="669">
        <f t="shared" si="1921"/>
        <v>44896</v>
      </c>
    </row>
    <row r="5870" spans="1:10" s="774" customFormat="1" x14ac:dyDescent="0.25">
      <c r="F5870" s="471"/>
      <c r="G5870" s="769"/>
      <c r="H5870" s="769"/>
      <c r="I5870" s="691"/>
      <c r="J5870" s="669"/>
    </row>
    <row r="5871" spans="1:10" s="766" customFormat="1" ht="54.75" customHeight="1" x14ac:dyDescent="0.25">
      <c r="A5871" s="1133" t="s">
        <v>8129</v>
      </c>
      <c r="B5871" s="1133"/>
      <c r="C5871" s="1133"/>
      <c r="D5871" s="1133"/>
      <c r="E5871" s="1133"/>
      <c r="F5871" s="1133"/>
      <c r="G5871" s="1059"/>
      <c r="H5871" s="1061" t="str">
        <f>IF(ISNUMBER(G5871),ROUND(0.8*G5871,2),"")</f>
        <v/>
      </c>
      <c r="I5871" s="1062"/>
      <c r="J5871" s="669">
        <f>$J$31</f>
        <v>44896</v>
      </c>
    </row>
    <row r="5872" spans="1:10" s="774" customFormat="1" x14ac:dyDescent="0.25">
      <c r="F5872" s="471"/>
      <c r="G5872" s="769"/>
      <c r="H5872" s="769"/>
      <c r="I5872" s="691"/>
      <c r="J5872" s="669"/>
    </row>
    <row r="5873" spans="1:10" s="641" customFormat="1" ht="15" customHeight="1" x14ac:dyDescent="0.25">
      <c r="A5873" s="1086" t="s">
        <v>7971</v>
      </c>
      <c r="B5873" s="757" t="s">
        <v>2067</v>
      </c>
      <c r="C5873" s="757"/>
      <c r="D5873" s="757" t="s">
        <v>8128</v>
      </c>
      <c r="E5873" s="757"/>
      <c r="F5873" s="758"/>
      <c r="G5873" s="759"/>
      <c r="H5873" s="759"/>
      <c r="I5873" s="1087"/>
      <c r="J5873" s="1088">
        <f t="shared" ref="J5873:J5874" si="1922">$J$31</f>
        <v>44896</v>
      </c>
    </row>
    <row r="5874" spans="1:10" s="1089" customFormat="1" ht="15" customHeight="1" x14ac:dyDescent="0.25">
      <c r="A5874" s="1086" t="s">
        <v>7972</v>
      </c>
      <c r="B5874" s="757" t="s">
        <v>3390</v>
      </c>
      <c r="C5874" s="757"/>
      <c r="D5874" s="757" t="s">
        <v>8128</v>
      </c>
      <c r="E5874" s="757"/>
      <c r="F5874" s="758"/>
      <c r="G5874" s="759"/>
      <c r="H5874" s="759"/>
      <c r="I5874" s="1087"/>
      <c r="J5874" s="1088">
        <f t="shared" si="1922"/>
        <v>44896</v>
      </c>
    </row>
    <row r="5875" spans="1:10" s="774" customFormat="1" x14ac:dyDescent="0.25">
      <c r="F5875" s="471"/>
      <c r="G5875" s="769"/>
      <c r="H5875" s="769"/>
      <c r="I5875" s="691"/>
      <c r="J5875" s="669"/>
    </row>
    <row r="5876" spans="1:10" s="766" customFormat="1" ht="87.95" customHeight="1" x14ac:dyDescent="0.25">
      <c r="A5876" s="1133" t="s">
        <v>8205</v>
      </c>
      <c r="B5876" s="1133"/>
      <c r="C5876" s="1133"/>
      <c r="D5876" s="1133"/>
      <c r="E5876" s="1133"/>
      <c r="F5876" s="1133"/>
      <c r="G5876" s="1059"/>
      <c r="H5876" s="1061" t="str">
        <f>IF(ISNUMBER(G5876),ROUND(0.8*G5876,2),"")</f>
        <v/>
      </c>
      <c r="I5876" s="1062"/>
      <c r="J5876" s="669">
        <v>44938</v>
      </c>
    </row>
    <row r="5877" spans="1:10" s="774" customFormat="1" x14ac:dyDescent="0.25">
      <c r="F5877" s="471"/>
      <c r="G5877" s="769"/>
      <c r="H5877" s="769"/>
      <c r="I5877" s="691"/>
      <c r="J5877" s="669"/>
    </row>
    <row r="5878" spans="1:10" s="641" customFormat="1" ht="15" customHeight="1" x14ac:dyDescent="0.25">
      <c r="A5878" s="1086" t="s">
        <v>7973</v>
      </c>
      <c r="B5878" s="757" t="s">
        <v>2269</v>
      </c>
      <c r="C5878" s="757"/>
      <c r="D5878" s="757" t="s">
        <v>8130</v>
      </c>
      <c r="E5878" s="757"/>
      <c r="F5878" s="758"/>
      <c r="G5878" s="759"/>
      <c r="H5878" s="759"/>
      <c r="I5878" s="1087"/>
      <c r="J5878" s="1088">
        <f t="shared" ref="J5878:J5890" si="1923">$J$31</f>
        <v>44896</v>
      </c>
    </row>
    <row r="5879" spans="1:10" s="641" customFormat="1" ht="15" customHeight="1" x14ac:dyDescent="0.25">
      <c r="A5879" s="1086" t="s">
        <v>7974</v>
      </c>
      <c r="B5879" s="757" t="s">
        <v>5548</v>
      </c>
      <c r="C5879" s="757"/>
      <c r="D5879" s="757" t="s">
        <v>8130</v>
      </c>
      <c r="E5879" s="757"/>
      <c r="F5879" s="758"/>
      <c r="G5879" s="759"/>
      <c r="H5879" s="759"/>
      <c r="I5879" s="1087"/>
      <c r="J5879" s="1088">
        <f t="shared" si="1923"/>
        <v>44896</v>
      </c>
    </row>
    <row r="5880" spans="1:10" s="1089" customFormat="1" ht="15" customHeight="1" x14ac:dyDescent="0.25">
      <c r="A5880" s="1086" t="s">
        <v>7975</v>
      </c>
      <c r="B5880" s="757" t="s">
        <v>4847</v>
      </c>
      <c r="C5880" s="757"/>
      <c r="D5880" s="757" t="s">
        <v>8130</v>
      </c>
      <c r="E5880" s="757"/>
      <c r="F5880" s="758"/>
      <c r="G5880" s="759"/>
      <c r="H5880" s="759"/>
      <c r="I5880" s="1087"/>
      <c r="J5880" s="1088">
        <f t="shared" si="1923"/>
        <v>44896</v>
      </c>
    </row>
    <row r="5881" spans="1:10" s="1089" customFormat="1" ht="15" customHeight="1" x14ac:dyDescent="0.25">
      <c r="A5881" s="1086" t="s">
        <v>7976</v>
      </c>
      <c r="B5881" s="757" t="s">
        <v>5406</v>
      </c>
      <c r="C5881" s="757"/>
      <c r="D5881" s="757" t="s">
        <v>8130</v>
      </c>
      <c r="E5881" s="757"/>
      <c r="F5881" s="758"/>
      <c r="G5881" s="759"/>
      <c r="H5881" s="759"/>
      <c r="I5881" s="1087"/>
      <c r="J5881" s="1088">
        <f t="shared" si="1923"/>
        <v>44896</v>
      </c>
    </row>
    <row r="5882" spans="1:10" s="1089" customFormat="1" ht="15" customHeight="1" x14ac:dyDescent="0.25">
      <c r="A5882" s="1086" t="s">
        <v>7977</v>
      </c>
      <c r="B5882" s="757" t="s">
        <v>5411</v>
      </c>
      <c r="C5882" s="757"/>
      <c r="D5882" s="757" t="s">
        <v>8130</v>
      </c>
      <c r="E5882" s="757"/>
      <c r="F5882" s="758"/>
      <c r="G5882" s="759"/>
      <c r="H5882" s="759"/>
      <c r="I5882" s="1087"/>
      <c r="J5882" s="1088">
        <f t="shared" si="1923"/>
        <v>44896</v>
      </c>
    </row>
    <row r="5883" spans="1:10" s="1089" customFormat="1" ht="15" customHeight="1" x14ac:dyDescent="0.25">
      <c r="A5883" s="1086" t="s">
        <v>7978</v>
      </c>
      <c r="B5883" s="757" t="s">
        <v>5412</v>
      </c>
      <c r="C5883" s="757"/>
      <c r="D5883" s="757" t="s">
        <v>8130</v>
      </c>
      <c r="E5883" s="757"/>
      <c r="F5883" s="758"/>
      <c r="G5883" s="759"/>
      <c r="H5883" s="759"/>
      <c r="I5883" s="1087"/>
      <c r="J5883" s="1088">
        <f t="shared" si="1923"/>
        <v>44896</v>
      </c>
    </row>
    <row r="5884" spans="1:10" s="1089" customFormat="1" ht="15" customHeight="1" x14ac:dyDescent="0.25">
      <c r="A5884" s="1086" t="s">
        <v>7979</v>
      </c>
      <c r="B5884" s="757" t="s">
        <v>2034</v>
      </c>
      <c r="C5884" s="757"/>
      <c r="D5884" s="757" t="s">
        <v>8130</v>
      </c>
      <c r="E5884" s="757"/>
      <c r="F5884" s="758"/>
      <c r="G5884" s="759"/>
      <c r="H5884" s="759"/>
      <c r="I5884" s="1087"/>
      <c r="J5884" s="1088">
        <f t="shared" si="1923"/>
        <v>44896</v>
      </c>
    </row>
    <row r="5885" spans="1:10" s="1089" customFormat="1" ht="15" customHeight="1" x14ac:dyDescent="0.25">
      <c r="A5885" s="1086" t="s">
        <v>7980</v>
      </c>
      <c r="B5885" s="757" t="s">
        <v>2067</v>
      </c>
      <c r="C5885" s="757"/>
      <c r="D5885" s="757" t="s">
        <v>8130</v>
      </c>
      <c r="E5885" s="757"/>
      <c r="F5885" s="758"/>
      <c r="G5885" s="759"/>
      <c r="H5885" s="759"/>
      <c r="I5885" s="1087"/>
      <c r="J5885" s="1088">
        <f t="shared" si="1923"/>
        <v>44896</v>
      </c>
    </row>
    <row r="5886" spans="1:10" s="1089" customFormat="1" ht="15" customHeight="1" x14ac:dyDescent="0.25">
      <c r="A5886" s="1086" t="s">
        <v>7981</v>
      </c>
      <c r="B5886" s="757" t="s">
        <v>3374</v>
      </c>
      <c r="C5886" s="757"/>
      <c r="D5886" s="757" t="s">
        <v>8130</v>
      </c>
      <c r="E5886" s="757"/>
      <c r="F5886" s="758"/>
      <c r="G5886" s="759"/>
      <c r="H5886" s="759"/>
      <c r="I5886" s="1087"/>
      <c r="J5886" s="1088">
        <f t="shared" si="1923"/>
        <v>44896</v>
      </c>
    </row>
    <row r="5887" spans="1:10" s="1089" customFormat="1" ht="15" customHeight="1" x14ac:dyDescent="0.25">
      <c r="A5887" s="1086" t="s">
        <v>7982</v>
      </c>
      <c r="B5887" s="757" t="s">
        <v>3382</v>
      </c>
      <c r="C5887" s="757"/>
      <c r="D5887" s="757" t="s">
        <v>8130</v>
      </c>
      <c r="E5887" s="757"/>
      <c r="F5887" s="758"/>
      <c r="G5887" s="759"/>
      <c r="H5887" s="759"/>
      <c r="I5887" s="1087"/>
      <c r="J5887" s="1088">
        <f t="shared" si="1923"/>
        <v>44896</v>
      </c>
    </row>
    <row r="5888" spans="1:10" s="1089" customFormat="1" ht="15" customHeight="1" x14ac:dyDescent="0.25">
      <c r="A5888" s="1086" t="s">
        <v>7983</v>
      </c>
      <c r="B5888" s="757" t="s">
        <v>3390</v>
      </c>
      <c r="C5888" s="757"/>
      <c r="D5888" s="757" t="s">
        <v>8130</v>
      </c>
      <c r="E5888" s="757"/>
      <c r="F5888" s="758"/>
      <c r="G5888" s="759"/>
      <c r="H5888" s="759"/>
      <c r="I5888" s="1087"/>
      <c r="J5888" s="1088">
        <f t="shared" si="1923"/>
        <v>44896</v>
      </c>
    </row>
    <row r="5889" spans="1:10" s="1089" customFormat="1" ht="15" customHeight="1" x14ac:dyDescent="0.25">
      <c r="A5889" s="1086" t="s">
        <v>7984</v>
      </c>
      <c r="B5889" s="757" t="s">
        <v>740</v>
      </c>
      <c r="C5889" s="757"/>
      <c r="D5889" s="757" t="s">
        <v>8130</v>
      </c>
      <c r="E5889" s="757"/>
      <c r="F5889" s="758"/>
      <c r="G5889" s="759"/>
      <c r="H5889" s="759"/>
      <c r="I5889" s="1087"/>
      <c r="J5889" s="1088">
        <f t="shared" si="1923"/>
        <v>44896</v>
      </c>
    </row>
    <row r="5890" spans="1:10" s="1089" customFormat="1" ht="15" customHeight="1" x14ac:dyDescent="0.25">
      <c r="A5890" s="1086" t="s">
        <v>7985</v>
      </c>
      <c r="B5890" s="757" t="s">
        <v>5435</v>
      </c>
      <c r="C5890" s="757"/>
      <c r="D5890" s="757" t="s">
        <v>8130</v>
      </c>
      <c r="E5890" s="757"/>
      <c r="F5890" s="758"/>
      <c r="G5890" s="759"/>
      <c r="H5890" s="759"/>
      <c r="I5890" s="1087"/>
      <c r="J5890" s="1088">
        <f t="shared" si="1923"/>
        <v>44896</v>
      </c>
    </row>
    <row r="5891" spans="1:10" s="774" customFormat="1" x14ac:dyDescent="0.25">
      <c r="F5891" s="471"/>
      <c r="G5891" s="769"/>
      <c r="H5891" s="769"/>
      <c r="I5891" s="691"/>
      <c r="J5891" s="669"/>
    </row>
    <row r="5892" spans="1:10" s="766" customFormat="1" ht="75.95" customHeight="1" x14ac:dyDescent="0.25">
      <c r="A5892" s="1133" t="s">
        <v>8206</v>
      </c>
      <c r="B5892" s="1133"/>
      <c r="C5892" s="1133"/>
      <c r="D5892" s="1133"/>
      <c r="E5892" s="1133"/>
      <c r="F5892" s="1133"/>
      <c r="G5892" s="1059"/>
      <c r="H5892" s="1061" t="str">
        <f>IF(ISNUMBER(G5892),ROUND(0.8*G5892,2),"")</f>
        <v/>
      </c>
      <c r="I5892" s="1062"/>
      <c r="J5892" s="669">
        <v>44938</v>
      </c>
    </row>
    <row r="5893" spans="1:10" s="774" customFormat="1" x14ac:dyDescent="0.25">
      <c r="F5893" s="471"/>
      <c r="G5893" s="769"/>
      <c r="H5893" s="769"/>
      <c r="I5893" s="691"/>
      <c r="J5893" s="669"/>
    </row>
    <row r="5894" spans="1:10" s="641" customFormat="1" ht="15" customHeight="1" x14ac:dyDescent="0.25">
      <c r="A5894" s="1086" t="s">
        <v>7986</v>
      </c>
      <c r="B5894" s="757" t="s">
        <v>2269</v>
      </c>
      <c r="C5894" s="757"/>
      <c r="D5894" s="757" t="s">
        <v>8132</v>
      </c>
      <c r="E5894" s="757"/>
      <c r="F5894" s="758"/>
      <c r="G5894" s="759"/>
      <c r="H5894" s="759"/>
      <c r="I5894" s="1087"/>
      <c r="J5894" s="1088">
        <f t="shared" ref="J5894:J5906" si="1924">$J$31</f>
        <v>44896</v>
      </c>
    </row>
    <row r="5895" spans="1:10" s="641" customFormat="1" ht="15" customHeight="1" x14ac:dyDescent="0.25">
      <c r="A5895" s="1086" t="s">
        <v>7987</v>
      </c>
      <c r="B5895" s="757" t="s">
        <v>5548</v>
      </c>
      <c r="C5895" s="757"/>
      <c r="D5895" s="757" t="s">
        <v>8132</v>
      </c>
      <c r="E5895" s="757"/>
      <c r="F5895" s="758"/>
      <c r="G5895" s="759"/>
      <c r="H5895" s="759"/>
      <c r="I5895" s="1087"/>
      <c r="J5895" s="1088">
        <f t="shared" si="1924"/>
        <v>44896</v>
      </c>
    </row>
    <row r="5896" spans="1:10" s="1089" customFormat="1" ht="15" customHeight="1" x14ac:dyDescent="0.25">
      <c r="A5896" s="1086" t="s">
        <v>7988</v>
      </c>
      <c r="B5896" s="757" t="s">
        <v>4847</v>
      </c>
      <c r="C5896" s="757"/>
      <c r="D5896" s="757" t="s">
        <v>8132</v>
      </c>
      <c r="E5896" s="757"/>
      <c r="F5896" s="758"/>
      <c r="G5896" s="759"/>
      <c r="H5896" s="759"/>
      <c r="I5896" s="1087"/>
      <c r="J5896" s="1088">
        <f t="shared" si="1924"/>
        <v>44896</v>
      </c>
    </row>
    <row r="5897" spans="1:10" s="1089" customFormat="1" ht="15" customHeight="1" x14ac:dyDescent="0.25">
      <c r="A5897" s="1086" t="s">
        <v>7989</v>
      </c>
      <c r="B5897" s="757" t="s">
        <v>5406</v>
      </c>
      <c r="C5897" s="757"/>
      <c r="D5897" s="757" t="s">
        <v>8132</v>
      </c>
      <c r="E5897" s="757"/>
      <c r="F5897" s="758"/>
      <c r="G5897" s="759"/>
      <c r="H5897" s="759"/>
      <c r="I5897" s="1087"/>
      <c r="J5897" s="1088">
        <f t="shared" si="1924"/>
        <v>44896</v>
      </c>
    </row>
    <row r="5898" spans="1:10" s="1089" customFormat="1" ht="15" customHeight="1" x14ac:dyDescent="0.25">
      <c r="A5898" s="1086" t="s">
        <v>7990</v>
      </c>
      <c r="B5898" s="757" t="s">
        <v>5411</v>
      </c>
      <c r="C5898" s="757"/>
      <c r="D5898" s="757" t="s">
        <v>8132</v>
      </c>
      <c r="E5898" s="757"/>
      <c r="F5898" s="758"/>
      <c r="G5898" s="759"/>
      <c r="H5898" s="759"/>
      <c r="I5898" s="1087"/>
      <c r="J5898" s="1088">
        <f t="shared" si="1924"/>
        <v>44896</v>
      </c>
    </row>
    <row r="5899" spans="1:10" s="1089" customFormat="1" ht="15" customHeight="1" x14ac:dyDescent="0.25">
      <c r="A5899" s="1086" t="s">
        <v>7991</v>
      </c>
      <c r="B5899" s="757" t="s">
        <v>5412</v>
      </c>
      <c r="C5899" s="757"/>
      <c r="D5899" s="757" t="s">
        <v>8132</v>
      </c>
      <c r="E5899" s="757"/>
      <c r="F5899" s="758"/>
      <c r="G5899" s="759"/>
      <c r="H5899" s="759"/>
      <c r="I5899" s="1087"/>
      <c r="J5899" s="1088">
        <f t="shared" si="1924"/>
        <v>44896</v>
      </c>
    </row>
    <row r="5900" spans="1:10" s="1089" customFormat="1" ht="15" customHeight="1" x14ac:dyDescent="0.25">
      <c r="A5900" s="1086" t="s">
        <v>7992</v>
      </c>
      <c r="B5900" s="757" t="s">
        <v>2034</v>
      </c>
      <c r="C5900" s="757"/>
      <c r="D5900" s="757" t="s">
        <v>8132</v>
      </c>
      <c r="E5900" s="757"/>
      <c r="F5900" s="758"/>
      <c r="G5900" s="759"/>
      <c r="H5900" s="759"/>
      <c r="I5900" s="1087"/>
      <c r="J5900" s="1088">
        <f t="shared" si="1924"/>
        <v>44896</v>
      </c>
    </row>
    <row r="5901" spans="1:10" s="1089" customFormat="1" ht="15" customHeight="1" x14ac:dyDescent="0.25">
      <c r="A5901" s="1086" t="s">
        <v>7993</v>
      </c>
      <c r="B5901" s="757" t="s">
        <v>2067</v>
      </c>
      <c r="C5901" s="757"/>
      <c r="D5901" s="757" t="s">
        <v>8132</v>
      </c>
      <c r="E5901" s="757"/>
      <c r="F5901" s="758"/>
      <c r="G5901" s="759"/>
      <c r="H5901" s="759"/>
      <c r="I5901" s="1087"/>
      <c r="J5901" s="1088">
        <f t="shared" si="1924"/>
        <v>44896</v>
      </c>
    </row>
    <row r="5902" spans="1:10" s="1089" customFormat="1" ht="15" customHeight="1" x14ac:dyDescent="0.25">
      <c r="A5902" s="1086" t="s">
        <v>7994</v>
      </c>
      <c r="B5902" s="757" t="s">
        <v>3374</v>
      </c>
      <c r="C5902" s="757"/>
      <c r="D5902" s="757" t="s">
        <v>8132</v>
      </c>
      <c r="E5902" s="757"/>
      <c r="F5902" s="758"/>
      <c r="G5902" s="759"/>
      <c r="H5902" s="759"/>
      <c r="I5902" s="1087"/>
      <c r="J5902" s="1088">
        <f t="shared" si="1924"/>
        <v>44896</v>
      </c>
    </row>
    <row r="5903" spans="1:10" s="1089" customFormat="1" ht="15" customHeight="1" x14ac:dyDescent="0.25">
      <c r="A5903" s="1086" t="s">
        <v>7995</v>
      </c>
      <c r="B5903" s="757" t="s">
        <v>3382</v>
      </c>
      <c r="C5903" s="757"/>
      <c r="D5903" s="757" t="s">
        <v>8132</v>
      </c>
      <c r="E5903" s="757"/>
      <c r="F5903" s="758"/>
      <c r="G5903" s="759"/>
      <c r="H5903" s="759"/>
      <c r="I5903" s="1087"/>
      <c r="J5903" s="1088">
        <f t="shared" si="1924"/>
        <v>44896</v>
      </c>
    </row>
    <row r="5904" spans="1:10" s="1089" customFormat="1" ht="15" customHeight="1" x14ac:dyDescent="0.25">
      <c r="A5904" s="1086" t="s">
        <v>7996</v>
      </c>
      <c r="B5904" s="757" t="s">
        <v>3390</v>
      </c>
      <c r="C5904" s="757"/>
      <c r="D5904" s="757" t="s">
        <v>8132</v>
      </c>
      <c r="E5904" s="757"/>
      <c r="F5904" s="758"/>
      <c r="G5904" s="759"/>
      <c r="H5904" s="759"/>
      <c r="I5904" s="1087"/>
      <c r="J5904" s="1088">
        <f t="shared" si="1924"/>
        <v>44896</v>
      </c>
    </row>
    <row r="5905" spans="1:10" s="1089" customFormat="1" ht="15" customHeight="1" x14ac:dyDescent="0.25">
      <c r="A5905" s="1086" t="s">
        <v>7997</v>
      </c>
      <c r="B5905" s="757" t="s">
        <v>740</v>
      </c>
      <c r="C5905" s="757"/>
      <c r="D5905" s="757" t="s">
        <v>8132</v>
      </c>
      <c r="E5905" s="757"/>
      <c r="F5905" s="758"/>
      <c r="G5905" s="759"/>
      <c r="H5905" s="759"/>
      <c r="I5905" s="1087"/>
      <c r="J5905" s="1088">
        <f t="shared" si="1924"/>
        <v>44896</v>
      </c>
    </row>
    <row r="5906" spans="1:10" s="1089" customFormat="1" ht="15" customHeight="1" x14ac:dyDescent="0.25">
      <c r="A5906" s="1086" t="s">
        <v>7998</v>
      </c>
      <c r="B5906" s="757" t="s">
        <v>5435</v>
      </c>
      <c r="C5906" s="757"/>
      <c r="D5906" s="757" t="s">
        <v>8132</v>
      </c>
      <c r="E5906" s="757"/>
      <c r="F5906" s="758"/>
      <c r="G5906" s="759"/>
      <c r="H5906" s="759"/>
      <c r="I5906" s="1087"/>
      <c r="J5906" s="1088">
        <f t="shared" si="1924"/>
        <v>44896</v>
      </c>
    </row>
    <row r="5907" spans="1:10" s="774" customFormat="1" x14ac:dyDescent="0.25">
      <c r="F5907" s="471"/>
      <c r="G5907" s="769"/>
      <c r="H5907" s="769"/>
      <c r="I5907" s="691"/>
      <c r="J5907" s="669"/>
    </row>
    <row r="5908" spans="1:10" s="766" customFormat="1" ht="54.75" customHeight="1" x14ac:dyDescent="0.25">
      <c r="A5908" s="1133" t="s">
        <v>7933</v>
      </c>
      <c r="B5908" s="1133"/>
      <c r="C5908" s="1133"/>
      <c r="D5908" s="1133"/>
      <c r="E5908" s="1133"/>
      <c r="F5908" s="1133"/>
      <c r="G5908" s="1059"/>
      <c r="H5908" s="1061" t="str">
        <f>IF(ISNUMBER(G5908),ROUND(0.8*G5908,2),"")</f>
        <v/>
      </c>
      <c r="I5908" s="1062"/>
      <c r="J5908" s="669">
        <f>$J$31</f>
        <v>44896</v>
      </c>
    </row>
    <row r="5909" spans="1:10" s="774" customFormat="1" x14ac:dyDescent="0.25">
      <c r="F5909" s="471"/>
      <c r="G5909" s="769"/>
      <c r="H5909" s="769"/>
      <c r="I5909" s="691"/>
      <c r="J5909" s="669"/>
    </row>
    <row r="5910" spans="1:10" s="641" customFormat="1" ht="15" customHeight="1" x14ac:dyDescent="0.25">
      <c r="A5910" s="1086" t="s">
        <v>7999</v>
      </c>
      <c r="B5910" s="757" t="s">
        <v>2269</v>
      </c>
      <c r="C5910" s="757"/>
      <c r="D5910" s="757" t="s">
        <v>8133</v>
      </c>
      <c r="E5910" s="757"/>
      <c r="F5910" s="758"/>
      <c r="G5910" s="759"/>
      <c r="H5910" s="759"/>
      <c r="I5910" s="1087"/>
      <c r="J5910" s="1088">
        <f t="shared" ref="J5910:J5922" si="1925">$J$31</f>
        <v>44896</v>
      </c>
    </row>
    <row r="5911" spans="1:10" s="641" customFormat="1" ht="15" customHeight="1" x14ac:dyDescent="0.25">
      <c r="A5911" s="1086" t="s">
        <v>8000</v>
      </c>
      <c r="B5911" s="757" t="s">
        <v>5548</v>
      </c>
      <c r="C5911" s="757"/>
      <c r="D5911" s="757" t="s">
        <v>8133</v>
      </c>
      <c r="E5911" s="757"/>
      <c r="F5911" s="758"/>
      <c r="G5911" s="759"/>
      <c r="H5911" s="759"/>
      <c r="I5911" s="1087"/>
      <c r="J5911" s="1088">
        <f t="shared" si="1925"/>
        <v>44896</v>
      </c>
    </row>
    <row r="5912" spans="1:10" s="1089" customFormat="1" ht="15" customHeight="1" x14ac:dyDescent="0.25">
      <c r="A5912" s="1086" t="s">
        <v>8001</v>
      </c>
      <c r="B5912" s="757" t="s">
        <v>4847</v>
      </c>
      <c r="C5912" s="757"/>
      <c r="D5912" s="757" t="s">
        <v>8133</v>
      </c>
      <c r="E5912" s="757"/>
      <c r="F5912" s="758"/>
      <c r="G5912" s="759"/>
      <c r="H5912" s="759"/>
      <c r="I5912" s="1087"/>
      <c r="J5912" s="1088">
        <f t="shared" si="1925"/>
        <v>44896</v>
      </c>
    </row>
    <row r="5913" spans="1:10" s="1089" customFormat="1" ht="15" customHeight="1" x14ac:dyDescent="0.25">
      <c r="A5913" s="1086" t="s">
        <v>8002</v>
      </c>
      <c r="B5913" s="757" t="s">
        <v>5406</v>
      </c>
      <c r="C5913" s="757"/>
      <c r="D5913" s="757" t="s">
        <v>8133</v>
      </c>
      <c r="E5913" s="757"/>
      <c r="F5913" s="758"/>
      <c r="G5913" s="759"/>
      <c r="H5913" s="759"/>
      <c r="I5913" s="1087"/>
      <c r="J5913" s="1088">
        <f t="shared" si="1925"/>
        <v>44896</v>
      </c>
    </row>
    <row r="5914" spans="1:10" s="1089" customFormat="1" ht="15" customHeight="1" x14ac:dyDescent="0.25">
      <c r="A5914" s="1086" t="s">
        <v>8003</v>
      </c>
      <c r="B5914" s="757" t="s">
        <v>5411</v>
      </c>
      <c r="C5914" s="757"/>
      <c r="D5914" s="757" t="s">
        <v>8133</v>
      </c>
      <c r="E5914" s="757"/>
      <c r="F5914" s="758"/>
      <c r="G5914" s="759"/>
      <c r="H5914" s="759"/>
      <c r="I5914" s="1087"/>
      <c r="J5914" s="1088">
        <f t="shared" si="1925"/>
        <v>44896</v>
      </c>
    </row>
    <row r="5915" spans="1:10" s="1089" customFormat="1" ht="15" customHeight="1" x14ac:dyDescent="0.25">
      <c r="A5915" s="1086" t="s">
        <v>8004</v>
      </c>
      <c r="B5915" s="757" t="s">
        <v>5412</v>
      </c>
      <c r="C5915" s="757"/>
      <c r="D5915" s="757" t="s">
        <v>8133</v>
      </c>
      <c r="E5915" s="757"/>
      <c r="F5915" s="758"/>
      <c r="G5915" s="759"/>
      <c r="H5915" s="759"/>
      <c r="I5915" s="1087"/>
      <c r="J5915" s="1088">
        <f t="shared" si="1925"/>
        <v>44896</v>
      </c>
    </row>
    <row r="5916" spans="1:10" s="1089" customFormat="1" ht="15" customHeight="1" x14ac:dyDescent="0.25">
      <c r="A5916" s="1086" t="s">
        <v>8005</v>
      </c>
      <c r="B5916" s="757" t="s">
        <v>2034</v>
      </c>
      <c r="C5916" s="757"/>
      <c r="D5916" s="757" t="s">
        <v>8133</v>
      </c>
      <c r="E5916" s="757"/>
      <c r="F5916" s="758"/>
      <c r="G5916" s="759"/>
      <c r="H5916" s="759"/>
      <c r="I5916" s="1087"/>
      <c r="J5916" s="1088">
        <f t="shared" si="1925"/>
        <v>44896</v>
      </c>
    </row>
    <row r="5917" spans="1:10" s="1089" customFormat="1" ht="15" customHeight="1" x14ac:dyDescent="0.25">
      <c r="A5917" s="1086" t="s">
        <v>8006</v>
      </c>
      <c r="B5917" s="757" t="s">
        <v>2067</v>
      </c>
      <c r="C5917" s="757"/>
      <c r="D5917" s="757" t="s">
        <v>8133</v>
      </c>
      <c r="E5917" s="757"/>
      <c r="F5917" s="758"/>
      <c r="G5917" s="759"/>
      <c r="H5917" s="759"/>
      <c r="I5917" s="1087"/>
      <c r="J5917" s="1088">
        <f t="shared" si="1925"/>
        <v>44896</v>
      </c>
    </row>
    <row r="5918" spans="1:10" s="1089" customFormat="1" ht="15" customHeight="1" x14ac:dyDescent="0.25">
      <c r="A5918" s="1086" t="s">
        <v>8007</v>
      </c>
      <c r="B5918" s="757" t="s">
        <v>3374</v>
      </c>
      <c r="C5918" s="757"/>
      <c r="D5918" s="757" t="s">
        <v>8133</v>
      </c>
      <c r="E5918" s="757"/>
      <c r="F5918" s="758"/>
      <c r="G5918" s="759"/>
      <c r="H5918" s="759"/>
      <c r="I5918" s="1087"/>
      <c r="J5918" s="1088">
        <f t="shared" si="1925"/>
        <v>44896</v>
      </c>
    </row>
    <row r="5919" spans="1:10" s="1089" customFormat="1" ht="15" customHeight="1" x14ac:dyDescent="0.25">
      <c r="A5919" s="1086" t="s">
        <v>8008</v>
      </c>
      <c r="B5919" s="757" t="s">
        <v>3382</v>
      </c>
      <c r="C5919" s="757"/>
      <c r="D5919" s="757" t="s">
        <v>8133</v>
      </c>
      <c r="E5919" s="757"/>
      <c r="F5919" s="758"/>
      <c r="G5919" s="759"/>
      <c r="H5919" s="759"/>
      <c r="I5919" s="1087"/>
      <c r="J5919" s="1088">
        <f t="shared" si="1925"/>
        <v>44896</v>
      </c>
    </row>
    <row r="5920" spans="1:10" s="1089" customFormat="1" ht="15" customHeight="1" x14ac:dyDescent="0.25">
      <c r="A5920" s="1086" t="s">
        <v>8009</v>
      </c>
      <c r="B5920" s="757" t="s">
        <v>3390</v>
      </c>
      <c r="C5920" s="757"/>
      <c r="D5920" s="757" t="s">
        <v>8133</v>
      </c>
      <c r="E5920" s="757"/>
      <c r="F5920" s="758"/>
      <c r="G5920" s="759"/>
      <c r="H5920" s="759"/>
      <c r="I5920" s="1087"/>
      <c r="J5920" s="1088">
        <f t="shared" si="1925"/>
        <v>44896</v>
      </c>
    </row>
    <row r="5921" spans="1:10" s="1089" customFormat="1" ht="15" customHeight="1" x14ac:dyDescent="0.25">
      <c r="A5921" s="1086" t="s">
        <v>8010</v>
      </c>
      <c r="B5921" s="757" t="s">
        <v>740</v>
      </c>
      <c r="C5921" s="757"/>
      <c r="D5921" s="757" t="s">
        <v>8133</v>
      </c>
      <c r="E5921" s="757"/>
      <c r="F5921" s="758"/>
      <c r="G5921" s="759"/>
      <c r="H5921" s="759"/>
      <c r="I5921" s="1087"/>
      <c r="J5921" s="1088">
        <f t="shared" si="1925"/>
        <v>44896</v>
      </c>
    </row>
    <row r="5922" spans="1:10" s="1089" customFormat="1" ht="15" customHeight="1" x14ac:dyDescent="0.25">
      <c r="A5922" s="1086" t="s">
        <v>8011</v>
      </c>
      <c r="B5922" s="757" t="s">
        <v>5435</v>
      </c>
      <c r="C5922" s="757"/>
      <c r="D5922" s="757" t="s">
        <v>8133</v>
      </c>
      <c r="E5922" s="757"/>
      <c r="F5922" s="758"/>
      <c r="G5922" s="759"/>
      <c r="H5922" s="759"/>
      <c r="I5922" s="1087"/>
      <c r="J5922" s="1088">
        <f t="shared" si="1925"/>
        <v>44896</v>
      </c>
    </row>
    <row r="5923" spans="1:10" s="774" customFormat="1" x14ac:dyDescent="0.25">
      <c r="F5923" s="471"/>
      <c r="G5923" s="769"/>
      <c r="H5923" s="769"/>
      <c r="I5923" s="691"/>
      <c r="J5923" s="669"/>
    </row>
    <row r="5924" spans="1:10" s="766" customFormat="1" ht="54.75" customHeight="1" x14ac:dyDescent="0.25">
      <c r="A5924" s="1133" t="s">
        <v>7937</v>
      </c>
      <c r="B5924" s="1133"/>
      <c r="C5924" s="1133"/>
      <c r="D5924" s="1133"/>
      <c r="E5924" s="1133"/>
      <c r="F5924" s="1133"/>
      <c r="G5924" s="1059"/>
      <c r="H5924" s="1061" t="str">
        <f>IF(ISNUMBER(G5924),ROUND(0.8*G5924,2),"")</f>
        <v/>
      </c>
      <c r="I5924" s="1062"/>
      <c r="J5924" s="669">
        <f>$J$31</f>
        <v>44896</v>
      </c>
    </row>
    <row r="5925" spans="1:10" s="774" customFormat="1" x14ac:dyDescent="0.25">
      <c r="F5925" s="471"/>
      <c r="G5925" s="769"/>
      <c r="H5925" s="769"/>
      <c r="I5925" s="691"/>
      <c r="J5925" s="669"/>
    </row>
    <row r="5926" spans="1:10" s="641" customFormat="1" ht="15" customHeight="1" x14ac:dyDescent="0.25">
      <c r="A5926" s="1086" t="s">
        <v>8012</v>
      </c>
      <c r="B5926" s="757" t="s">
        <v>2269</v>
      </c>
      <c r="C5926" s="757"/>
      <c r="D5926" s="757" t="s">
        <v>8134</v>
      </c>
      <c r="E5926" s="757"/>
      <c r="F5926" s="758"/>
      <c r="G5926" s="759"/>
      <c r="H5926" s="759"/>
      <c r="I5926" s="1087"/>
      <c r="J5926" s="1088">
        <f t="shared" ref="J5926:J5938" si="1926">$J$31</f>
        <v>44896</v>
      </c>
    </row>
    <row r="5927" spans="1:10" s="641" customFormat="1" ht="15" customHeight="1" x14ac:dyDescent="0.25">
      <c r="A5927" s="1086" t="s">
        <v>8013</v>
      </c>
      <c r="B5927" s="757" t="s">
        <v>5548</v>
      </c>
      <c r="C5927" s="757"/>
      <c r="D5927" s="757" t="s">
        <v>8134</v>
      </c>
      <c r="E5927" s="757"/>
      <c r="F5927" s="758"/>
      <c r="G5927" s="759"/>
      <c r="H5927" s="759"/>
      <c r="I5927" s="1087"/>
      <c r="J5927" s="1088">
        <f t="shared" si="1926"/>
        <v>44896</v>
      </c>
    </row>
    <row r="5928" spans="1:10" s="1089" customFormat="1" ht="15" customHeight="1" x14ac:dyDescent="0.25">
      <c r="A5928" s="1086" t="s">
        <v>8014</v>
      </c>
      <c r="B5928" s="757" t="s">
        <v>4847</v>
      </c>
      <c r="C5928" s="757"/>
      <c r="D5928" s="757" t="s">
        <v>8134</v>
      </c>
      <c r="E5928" s="757"/>
      <c r="F5928" s="758"/>
      <c r="G5928" s="759"/>
      <c r="H5928" s="759"/>
      <c r="I5928" s="1087"/>
      <c r="J5928" s="1088">
        <f t="shared" si="1926"/>
        <v>44896</v>
      </c>
    </row>
    <row r="5929" spans="1:10" s="1089" customFormat="1" ht="15" customHeight="1" x14ac:dyDescent="0.25">
      <c r="A5929" s="1086" t="s">
        <v>8015</v>
      </c>
      <c r="B5929" s="757" t="s">
        <v>5406</v>
      </c>
      <c r="C5929" s="757"/>
      <c r="D5929" s="757" t="s">
        <v>8134</v>
      </c>
      <c r="E5929" s="757"/>
      <c r="F5929" s="758"/>
      <c r="G5929" s="759"/>
      <c r="H5929" s="759"/>
      <c r="I5929" s="1087"/>
      <c r="J5929" s="1088">
        <f t="shared" si="1926"/>
        <v>44896</v>
      </c>
    </row>
    <row r="5930" spans="1:10" s="1089" customFormat="1" ht="15" customHeight="1" x14ac:dyDescent="0.25">
      <c r="A5930" s="1086" t="s">
        <v>8016</v>
      </c>
      <c r="B5930" s="757" t="s">
        <v>5411</v>
      </c>
      <c r="C5930" s="757"/>
      <c r="D5930" s="757" t="s">
        <v>8134</v>
      </c>
      <c r="E5930" s="757"/>
      <c r="F5930" s="758"/>
      <c r="G5930" s="759"/>
      <c r="H5930" s="759"/>
      <c r="I5930" s="1087"/>
      <c r="J5930" s="1088">
        <f t="shared" si="1926"/>
        <v>44896</v>
      </c>
    </row>
    <row r="5931" spans="1:10" s="1089" customFormat="1" ht="15" customHeight="1" x14ac:dyDescent="0.25">
      <c r="A5931" s="1086" t="s">
        <v>8017</v>
      </c>
      <c r="B5931" s="757" t="s">
        <v>5412</v>
      </c>
      <c r="C5931" s="757"/>
      <c r="D5931" s="757" t="s">
        <v>8134</v>
      </c>
      <c r="E5931" s="757"/>
      <c r="F5931" s="758"/>
      <c r="G5931" s="759"/>
      <c r="H5931" s="759"/>
      <c r="I5931" s="1087"/>
      <c r="J5931" s="1088">
        <f t="shared" si="1926"/>
        <v>44896</v>
      </c>
    </row>
    <row r="5932" spans="1:10" s="1089" customFormat="1" ht="15" customHeight="1" x14ac:dyDescent="0.25">
      <c r="A5932" s="1086" t="s">
        <v>8018</v>
      </c>
      <c r="B5932" s="757" t="s">
        <v>2034</v>
      </c>
      <c r="C5932" s="757"/>
      <c r="D5932" s="757" t="s">
        <v>8134</v>
      </c>
      <c r="E5932" s="757"/>
      <c r="F5932" s="758"/>
      <c r="G5932" s="759"/>
      <c r="H5932" s="759"/>
      <c r="I5932" s="1087"/>
      <c r="J5932" s="1088">
        <f t="shared" si="1926"/>
        <v>44896</v>
      </c>
    </row>
    <row r="5933" spans="1:10" s="1089" customFormat="1" ht="15" customHeight="1" x14ac:dyDescent="0.25">
      <c r="A5933" s="1086" t="s">
        <v>8019</v>
      </c>
      <c r="B5933" s="757" t="s">
        <v>2067</v>
      </c>
      <c r="C5933" s="757"/>
      <c r="D5933" s="757" t="s">
        <v>8134</v>
      </c>
      <c r="E5933" s="757"/>
      <c r="F5933" s="758"/>
      <c r="G5933" s="759"/>
      <c r="H5933" s="759"/>
      <c r="I5933" s="1087"/>
      <c r="J5933" s="1088">
        <f t="shared" si="1926"/>
        <v>44896</v>
      </c>
    </row>
    <row r="5934" spans="1:10" s="1089" customFormat="1" ht="15" customHeight="1" x14ac:dyDescent="0.25">
      <c r="A5934" s="1086" t="s">
        <v>8020</v>
      </c>
      <c r="B5934" s="757" t="s">
        <v>3374</v>
      </c>
      <c r="C5934" s="757"/>
      <c r="D5934" s="757" t="s">
        <v>8134</v>
      </c>
      <c r="E5934" s="757"/>
      <c r="F5934" s="758"/>
      <c r="G5934" s="759"/>
      <c r="H5934" s="759"/>
      <c r="I5934" s="1087"/>
      <c r="J5934" s="1088">
        <f t="shared" si="1926"/>
        <v>44896</v>
      </c>
    </row>
    <row r="5935" spans="1:10" s="1089" customFormat="1" ht="15" customHeight="1" x14ac:dyDescent="0.25">
      <c r="A5935" s="1086" t="s">
        <v>8021</v>
      </c>
      <c r="B5935" s="757" t="s">
        <v>3382</v>
      </c>
      <c r="C5935" s="757"/>
      <c r="D5935" s="757" t="s">
        <v>8134</v>
      </c>
      <c r="E5935" s="757"/>
      <c r="F5935" s="758"/>
      <c r="G5935" s="759"/>
      <c r="H5935" s="759"/>
      <c r="I5935" s="1087"/>
      <c r="J5935" s="1088">
        <f t="shared" si="1926"/>
        <v>44896</v>
      </c>
    </row>
    <row r="5936" spans="1:10" s="1089" customFormat="1" ht="15" customHeight="1" x14ac:dyDescent="0.25">
      <c r="A5936" s="1086" t="s">
        <v>8022</v>
      </c>
      <c r="B5936" s="757" t="s">
        <v>3390</v>
      </c>
      <c r="C5936" s="757"/>
      <c r="D5936" s="757" t="s">
        <v>8134</v>
      </c>
      <c r="E5936" s="757"/>
      <c r="F5936" s="758"/>
      <c r="G5936" s="759"/>
      <c r="H5936" s="759"/>
      <c r="I5936" s="1087"/>
      <c r="J5936" s="1088">
        <f t="shared" si="1926"/>
        <v>44896</v>
      </c>
    </row>
    <row r="5937" spans="1:10" s="1089" customFormat="1" ht="15" customHeight="1" x14ac:dyDescent="0.25">
      <c r="A5937" s="1086" t="s">
        <v>8023</v>
      </c>
      <c r="B5937" s="757" t="s">
        <v>740</v>
      </c>
      <c r="C5937" s="757"/>
      <c r="D5937" s="757" t="s">
        <v>8134</v>
      </c>
      <c r="E5937" s="757"/>
      <c r="F5937" s="758"/>
      <c r="G5937" s="759"/>
      <c r="H5937" s="759"/>
      <c r="I5937" s="1087"/>
      <c r="J5937" s="1088">
        <f t="shared" si="1926"/>
        <v>44896</v>
      </c>
    </row>
    <row r="5938" spans="1:10" s="1089" customFormat="1" ht="15" customHeight="1" x14ac:dyDescent="0.25">
      <c r="A5938" s="1086" t="s">
        <v>8024</v>
      </c>
      <c r="B5938" s="757" t="s">
        <v>5435</v>
      </c>
      <c r="C5938" s="757"/>
      <c r="D5938" s="757" t="s">
        <v>8134</v>
      </c>
      <c r="E5938" s="757"/>
      <c r="F5938" s="758"/>
      <c r="G5938" s="759"/>
      <c r="H5938" s="759"/>
      <c r="I5938" s="1087"/>
      <c r="J5938" s="1088">
        <f t="shared" si="1926"/>
        <v>44896</v>
      </c>
    </row>
    <row r="5939" spans="1:10" s="774" customFormat="1" x14ac:dyDescent="0.25">
      <c r="F5939" s="471"/>
      <c r="G5939" s="769"/>
      <c r="H5939" s="769"/>
      <c r="I5939" s="691"/>
      <c r="J5939" s="669"/>
    </row>
    <row r="5940" spans="1:10" s="766" customFormat="1" ht="54.75" customHeight="1" x14ac:dyDescent="0.25">
      <c r="A5940" s="1133" t="s">
        <v>7934</v>
      </c>
      <c r="B5940" s="1133"/>
      <c r="C5940" s="1133"/>
      <c r="D5940" s="1133"/>
      <c r="E5940" s="1133"/>
      <c r="F5940" s="1133"/>
      <c r="G5940" s="1059"/>
      <c r="H5940" s="1061" t="str">
        <f>IF(ISNUMBER(G5940),ROUND(0.8*G5940,2),"")</f>
        <v/>
      </c>
      <c r="I5940" s="1062"/>
      <c r="J5940" s="669">
        <f>$J$31</f>
        <v>44896</v>
      </c>
    </row>
    <row r="5941" spans="1:10" s="774" customFormat="1" x14ac:dyDescent="0.25">
      <c r="F5941" s="471"/>
      <c r="G5941" s="769"/>
      <c r="H5941" s="769"/>
      <c r="I5941" s="691"/>
      <c r="J5941" s="669"/>
    </row>
    <row r="5942" spans="1:10" s="641" customFormat="1" ht="15" customHeight="1" x14ac:dyDescent="0.25">
      <c r="A5942" s="1086" t="s">
        <v>8025</v>
      </c>
      <c r="B5942" s="757" t="s">
        <v>2269</v>
      </c>
      <c r="C5942" s="757"/>
      <c r="D5942" s="757" t="s">
        <v>8135</v>
      </c>
      <c r="E5942" s="757"/>
      <c r="F5942" s="758"/>
      <c r="G5942" s="759"/>
      <c r="H5942" s="759"/>
      <c r="I5942" s="1087"/>
      <c r="J5942" s="1088">
        <f t="shared" ref="J5942:J5954" si="1927">$J$31</f>
        <v>44896</v>
      </c>
    </row>
    <row r="5943" spans="1:10" s="641" customFormat="1" ht="15" customHeight="1" x14ac:dyDescent="0.25">
      <c r="A5943" s="1086" t="s">
        <v>8026</v>
      </c>
      <c r="B5943" s="757" t="s">
        <v>5548</v>
      </c>
      <c r="C5943" s="757"/>
      <c r="D5943" s="757" t="s">
        <v>8135</v>
      </c>
      <c r="E5943" s="757"/>
      <c r="F5943" s="758"/>
      <c r="G5943" s="759"/>
      <c r="H5943" s="759"/>
      <c r="I5943" s="1087"/>
      <c r="J5943" s="1088">
        <f t="shared" si="1927"/>
        <v>44896</v>
      </c>
    </row>
    <row r="5944" spans="1:10" s="1089" customFormat="1" ht="15" customHeight="1" x14ac:dyDescent="0.25">
      <c r="A5944" s="1086" t="s">
        <v>8027</v>
      </c>
      <c r="B5944" s="757" t="s">
        <v>4847</v>
      </c>
      <c r="C5944" s="757"/>
      <c r="D5944" s="757" t="s">
        <v>8135</v>
      </c>
      <c r="E5944" s="757"/>
      <c r="F5944" s="758"/>
      <c r="G5944" s="759"/>
      <c r="H5944" s="759"/>
      <c r="I5944" s="1087"/>
      <c r="J5944" s="1088">
        <f t="shared" si="1927"/>
        <v>44896</v>
      </c>
    </row>
    <row r="5945" spans="1:10" s="1089" customFormat="1" ht="15" customHeight="1" x14ac:dyDescent="0.25">
      <c r="A5945" s="1086" t="s">
        <v>8028</v>
      </c>
      <c r="B5945" s="757" t="s">
        <v>5406</v>
      </c>
      <c r="C5945" s="757"/>
      <c r="D5945" s="757" t="s">
        <v>8135</v>
      </c>
      <c r="E5945" s="757"/>
      <c r="F5945" s="758"/>
      <c r="G5945" s="759"/>
      <c r="H5945" s="759"/>
      <c r="I5945" s="1087"/>
      <c r="J5945" s="1088">
        <f t="shared" si="1927"/>
        <v>44896</v>
      </c>
    </row>
    <row r="5946" spans="1:10" s="1089" customFormat="1" ht="15" customHeight="1" x14ac:dyDescent="0.25">
      <c r="A5946" s="1086" t="s">
        <v>8029</v>
      </c>
      <c r="B5946" s="757" t="s">
        <v>5411</v>
      </c>
      <c r="C5946" s="757"/>
      <c r="D5946" s="757" t="s">
        <v>8135</v>
      </c>
      <c r="E5946" s="757"/>
      <c r="F5946" s="758"/>
      <c r="G5946" s="759"/>
      <c r="H5946" s="759"/>
      <c r="I5946" s="1087"/>
      <c r="J5946" s="1088">
        <f t="shared" si="1927"/>
        <v>44896</v>
      </c>
    </row>
    <row r="5947" spans="1:10" s="1089" customFormat="1" ht="15" customHeight="1" x14ac:dyDescent="0.25">
      <c r="A5947" s="1086" t="s">
        <v>8030</v>
      </c>
      <c r="B5947" s="757" t="s">
        <v>5412</v>
      </c>
      <c r="C5947" s="757"/>
      <c r="D5947" s="757" t="s">
        <v>8135</v>
      </c>
      <c r="E5947" s="757"/>
      <c r="F5947" s="758"/>
      <c r="G5947" s="759"/>
      <c r="H5947" s="759"/>
      <c r="I5947" s="1087"/>
      <c r="J5947" s="1088">
        <f t="shared" si="1927"/>
        <v>44896</v>
      </c>
    </row>
    <row r="5948" spans="1:10" s="1089" customFormat="1" ht="15" customHeight="1" x14ac:dyDescent="0.25">
      <c r="A5948" s="1086" t="s">
        <v>8031</v>
      </c>
      <c r="B5948" s="757" t="s">
        <v>2034</v>
      </c>
      <c r="C5948" s="757"/>
      <c r="D5948" s="757" t="s">
        <v>8135</v>
      </c>
      <c r="E5948" s="757"/>
      <c r="F5948" s="758"/>
      <c r="G5948" s="759"/>
      <c r="H5948" s="759"/>
      <c r="I5948" s="1087"/>
      <c r="J5948" s="1088">
        <f t="shared" si="1927"/>
        <v>44896</v>
      </c>
    </row>
    <row r="5949" spans="1:10" s="1089" customFormat="1" ht="15" customHeight="1" x14ac:dyDescent="0.25">
      <c r="A5949" s="1086" t="s">
        <v>8032</v>
      </c>
      <c r="B5949" s="757" t="s">
        <v>2067</v>
      </c>
      <c r="C5949" s="757"/>
      <c r="D5949" s="757" t="s">
        <v>8135</v>
      </c>
      <c r="E5949" s="757"/>
      <c r="F5949" s="758"/>
      <c r="G5949" s="759"/>
      <c r="H5949" s="759"/>
      <c r="I5949" s="1087"/>
      <c r="J5949" s="1088">
        <f t="shared" si="1927"/>
        <v>44896</v>
      </c>
    </row>
    <row r="5950" spans="1:10" s="1089" customFormat="1" ht="15" customHeight="1" x14ac:dyDescent="0.25">
      <c r="A5950" s="1086" t="s">
        <v>8033</v>
      </c>
      <c r="B5950" s="757" t="s">
        <v>3374</v>
      </c>
      <c r="C5950" s="757"/>
      <c r="D5950" s="757" t="s">
        <v>8135</v>
      </c>
      <c r="E5950" s="757"/>
      <c r="F5950" s="758"/>
      <c r="G5950" s="759"/>
      <c r="H5950" s="759"/>
      <c r="I5950" s="1087"/>
      <c r="J5950" s="1088">
        <f t="shared" si="1927"/>
        <v>44896</v>
      </c>
    </row>
    <row r="5951" spans="1:10" s="1089" customFormat="1" ht="15" customHeight="1" x14ac:dyDescent="0.25">
      <c r="A5951" s="1086" t="s">
        <v>8034</v>
      </c>
      <c r="B5951" s="757" t="s">
        <v>3382</v>
      </c>
      <c r="C5951" s="757"/>
      <c r="D5951" s="757" t="s">
        <v>8135</v>
      </c>
      <c r="E5951" s="757"/>
      <c r="F5951" s="758"/>
      <c r="G5951" s="759"/>
      <c r="H5951" s="759"/>
      <c r="I5951" s="1087"/>
      <c r="J5951" s="1088">
        <f t="shared" si="1927"/>
        <v>44896</v>
      </c>
    </row>
    <row r="5952" spans="1:10" s="1089" customFormat="1" ht="15" customHeight="1" x14ac:dyDescent="0.25">
      <c r="A5952" s="1086" t="s">
        <v>8035</v>
      </c>
      <c r="B5952" s="757" t="s">
        <v>3390</v>
      </c>
      <c r="C5952" s="757"/>
      <c r="D5952" s="757" t="s">
        <v>8135</v>
      </c>
      <c r="E5952" s="757"/>
      <c r="F5952" s="758"/>
      <c r="G5952" s="759"/>
      <c r="H5952" s="759"/>
      <c r="I5952" s="1087"/>
      <c r="J5952" s="1088">
        <f t="shared" si="1927"/>
        <v>44896</v>
      </c>
    </row>
    <row r="5953" spans="1:10" s="1089" customFormat="1" ht="15" customHeight="1" x14ac:dyDescent="0.25">
      <c r="A5953" s="1086" t="s">
        <v>8036</v>
      </c>
      <c r="B5953" s="757" t="s">
        <v>740</v>
      </c>
      <c r="C5953" s="757"/>
      <c r="D5953" s="757" t="s">
        <v>8135</v>
      </c>
      <c r="E5953" s="757"/>
      <c r="F5953" s="758"/>
      <c r="G5953" s="759"/>
      <c r="H5953" s="759"/>
      <c r="I5953" s="1087"/>
      <c r="J5953" s="1088">
        <f t="shared" si="1927"/>
        <v>44896</v>
      </c>
    </row>
    <row r="5954" spans="1:10" s="1089" customFormat="1" ht="15" customHeight="1" x14ac:dyDescent="0.25">
      <c r="A5954" s="1086" t="s">
        <v>8037</v>
      </c>
      <c r="B5954" s="757" t="s">
        <v>5435</v>
      </c>
      <c r="C5954" s="757"/>
      <c r="D5954" s="757" t="s">
        <v>8135</v>
      </c>
      <c r="E5954" s="757"/>
      <c r="F5954" s="758"/>
      <c r="G5954" s="759"/>
      <c r="H5954" s="759"/>
      <c r="I5954" s="1087"/>
      <c r="J5954" s="1088">
        <f t="shared" si="1927"/>
        <v>44896</v>
      </c>
    </row>
    <row r="5955" spans="1:10" s="774" customFormat="1" x14ac:dyDescent="0.25">
      <c r="F5955" s="471"/>
      <c r="G5955" s="769"/>
      <c r="H5955" s="769"/>
      <c r="I5955" s="691"/>
      <c r="J5955" s="669"/>
    </row>
    <row r="5956" spans="1:10" s="766" customFormat="1" ht="54.75" customHeight="1" x14ac:dyDescent="0.25">
      <c r="A5956" s="1133" t="s">
        <v>7935</v>
      </c>
      <c r="B5956" s="1133"/>
      <c r="C5956" s="1133"/>
      <c r="D5956" s="1133"/>
      <c r="E5956" s="1133"/>
      <c r="F5956" s="1133"/>
      <c r="G5956" s="1059"/>
      <c r="H5956" s="1061" t="str">
        <f>IF(ISNUMBER(G5956),ROUND(0.8*G5956,2),"")</f>
        <v/>
      </c>
      <c r="I5956" s="1062"/>
      <c r="J5956" s="669">
        <f>$J$31</f>
        <v>44896</v>
      </c>
    </row>
    <row r="5957" spans="1:10" s="774" customFormat="1" x14ac:dyDescent="0.25">
      <c r="F5957" s="471"/>
      <c r="G5957" s="769"/>
      <c r="H5957" s="769"/>
      <c r="I5957" s="691"/>
      <c r="J5957" s="669"/>
    </row>
    <row r="5958" spans="1:10" s="641" customFormat="1" ht="15" customHeight="1" x14ac:dyDescent="0.25">
      <c r="A5958" s="1086" t="s">
        <v>8038</v>
      </c>
      <c r="B5958" s="757" t="s">
        <v>2269</v>
      </c>
      <c r="C5958" s="757"/>
      <c r="D5958" s="757" t="s">
        <v>8136</v>
      </c>
      <c r="E5958" s="757"/>
      <c r="F5958" s="758"/>
      <c r="G5958" s="759"/>
      <c r="H5958" s="759"/>
      <c r="I5958" s="1087"/>
      <c r="J5958" s="1088">
        <f t="shared" ref="J5958:J5970" si="1928">$J$31</f>
        <v>44896</v>
      </c>
    </row>
    <row r="5959" spans="1:10" s="641" customFormat="1" ht="15" customHeight="1" x14ac:dyDescent="0.25">
      <c r="A5959" s="1086" t="s">
        <v>8039</v>
      </c>
      <c r="B5959" s="757" t="s">
        <v>5548</v>
      </c>
      <c r="C5959" s="757"/>
      <c r="D5959" s="757" t="s">
        <v>8136</v>
      </c>
      <c r="E5959" s="757"/>
      <c r="F5959" s="758"/>
      <c r="G5959" s="759"/>
      <c r="H5959" s="759"/>
      <c r="I5959" s="1087"/>
      <c r="J5959" s="1088">
        <f t="shared" si="1928"/>
        <v>44896</v>
      </c>
    </row>
    <row r="5960" spans="1:10" s="1089" customFormat="1" ht="15" customHeight="1" x14ac:dyDescent="0.25">
      <c r="A5960" s="1086" t="s">
        <v>8040</v>
      </c>
      <c r="B5960" s="757" t="s">
        <v>4847</v>
      </c>
      <c r="C5960" s="757"/>
      <c r="D5960" s="757" t="s">
        <v>8136</v>
      </c>
      <c r="E5960" s="757"/>
      <c r="F5960" s="758"/>
      <c r="G5960" s="759"/>
      <c r="H5960" s="759"/>
      <c r="I5960" s="1087"/>
      <c r="J5960" s="1088">
        <f t="shared" si="1928"/>
        <v>44896</v>
      </c>
    </row>
    <row r="5961" spans="1:10" s="1089" customFormat="1" ht="15" customHeight="1" x14ac:dyDescent="0.25">
      <c r="A5961" s="1086" t="s">
        <v>8041</v>
      </c>
      <c r="B5961" s="757" t="s">
        <v>5406</v>
      </c>
      <c r="C5961" s="757"/>
      <c r="D5961" s="757" t="s">
        <v>8136</v>
      </c>
      <c r="E5961" s="757"/>
      <c r="F5961" s="758"/>
      <c r="G5961" s="759"/>
      <c r="H5961" s="759"/>
      <c r="I5961" s="1087"/>
      <c r="J5961" s="1088">
        <f t="shared" si="1928"/>
        <v>44896</v>
      </c>
    </row>
    <row r="5962" spans="1:10" s="1089" customFormat="1" ht="15" customHeight="1" x14ac:dyDescent="0.25">
      <c r="A5962" s="1086" t="s">
        <v>8042</v>
      </c>
      <c r="B5962" s="757" t="s">
        <v>5411</v>
      </c>
      <c r="C5962" s="757"/>
      <c r="D5962" s="757" t="s">
        <v>8136</v>
      </c>
      <c r="E5962" s="757"/>
      <c r="F5962" s="758"/>
      <c r="G5962" s="759"/>
      <c r="H5962" s="759"/>
      <c r="I5962" s="1087"/>
      <c r="J5962" s="1088">
        <f t="shared" si="1928"/>
        <v>44896</v>
      </c>
    </row>
    <row r="5963" spans="1:10" s="1089" customFormat="1" ht="15" customHeight="1" x14ac:dyDescent="0.25">
      <c r="A5963" s="1086" t="s">
        <v>8043</v>
      </c>
      <c r="B5963" s="757" t="s">
        <v>5412</v>
      </c>
      <c r="C5963" s="757"/>
      <c r="D5963" s="757" t="s">
        <v>8136</v>
      </c>
      <c r="E5963" s="757"/>
      <c r="F5963" s="758"/>
      <c r="G5963" s="759"/>
      <c r="H5963" s="759"/>
      <c r="I5963" s="1087"/>
      <c r="J5963" s="1088">
        <f t="shared" si="1928"/>
        <v>44896</v>
      </c>
    </row>
    <row r="5964" spans="1:10" s="1089" customFormat="1" ht="15" customHeight="1" x14ac:dyDescent="0.25">
      <c r="A5964" s="1086" t="s">
        <v>8044</v>
      </c>
      <c r="B5964" s="757" t="s">
        <v>2034</v>
      </c>
      <c r="C5964" s="757"/>
      <c r="D5964" s="757" t="s">
        <v>8136</v>
      </c>
      <c r="E5964" s="757"/>
      <c r="F5964" s="758"/>
      <c r="G5964" s="759"/>
      <c r="H5964" s="759"/>
      <c r="I5964" s="1087"/>
      <c r="J5964" s="1088">
        <f t="shared" si="1928"/>
        <v>44896</v>
      </c>
    </row>
    <row r="5965" spans="1:10" s="1089" customFormat="1" ht="15" customHeight="1" x14ac:dyDescent="0.25">
      <c r="A5965" s="1086" t="s">
        <v>8045</v>
      </c>
      <c r="B5965" s="757" t="s">
        <v>2067</v>
      </c>
      <c r="C5965" s="757"/>
      <c r="D5965" s="757" t="s">
        <v>8136</v>
      </c>
      <c r="E5965" s="757"/>
      <c r="F5965" s="758"/>
      <c r="G5965" s="759"/>
      <c r="H5965" s="759"/>
      <c r="I5965" s="1087"/>
      <c r="J5965" s="1088">
        <f t="shared" si="1928"/>
        <v>44896</v>
      </c>
    </row>
    <row r="5966" spans="1:10" s="1089" customFormat="1" ht="15" customHeight="1" x14ac:dyDescent="0.25">
      <c r="A5966" s="1086" t="s">
        <v>8046</v>
      </c>
      <c r="B5966" s="757" t="s">
        <v>3374</v>
      </c>
      <c r="C5966" s="757"/>
      <c r="D5966" s="757" t="s">
        <v>8136</v>
      </c>
      <c r="E5966" s="757"/>
      <c r="F5966" s="758"/>
      <c r="G5966" s="759"/>
      <c r="H5966" s="759"/>
      <c r="I5966" s="1087"/>
      <c r="J5966" s="1088">
        <f t="shared" si="1928"/>
        <v>44896</v>
      </c>
    </row>
    <row r="5967" spans="1:10" s="1089" customFormat="1" ht="15" customHeight="1" x14ac:dyDescent="0.25">
      <c r="A5967" s="1086" t="s">
        <v>8047</v>
      </c>
      <c r="B5967" s="757" t="s">
        <v>3382</v>
      </c>
      <c r="C5967" s="757"/>
      <c r="D5967" s="757" t="s">
        <v>8136</v>
      </c>
      <c r="E5967" s="757"/>
      <c r="F5967" s="758"/>
      <c r="G5967" s="759"/>
      <c r="H5967" s="759"/>
      <c r="I5967" s="1087"/>
      <c r="J5967" s="1088">
        <f t="shared" si="1928"/>
        <v>44896</v>
      </c>
    </row>
    <row r="5968" spans="1:10" s="1089" customFormat="1" ht="15" customHeight="1" x14ac:dyDescent="0.25">
      <c r="A5968" s="1086" t="s">
        <v>8048</v>
      </c>
      <c r="B5968" s="757" t="s">
        <v>3390</v>
      </c>
      <c r="C5968" s="757"/>
      <c r="D5968" s="757" t="s">
        <v>8136</v>
      </c>
      <c r="E5968" s="757"/>
      <c r="F5968" s="758"/>
      <c r="G5968" s="759"/>
      <c r="H5968" s="759"/>
      <c r="I5968" s="1087"/>
      <c r="J5968" s="1088">
        <f t="shared" si="1928"/>
        <v>44896</v>
      </c>
    </row>
    <row r="5969" spans="1:10" s="1089" customFormat="1" ht="15" customHeight="1" x14ac:dyDescent="0.25">
      <c r="A5969" s="1086" t="s">
        <v>8049</v>
      </c>
      <c r="B5969" s="757" t="s">
        <v>740</v>
      </c>
      <c r="C5969" s="757"/>
      <c r="D5969" s="757" t="s">
        <v>8136</v>
      </c>
      <c r="E5969" s="757"/>
      <c r="F5969" s="758"/>
      <c r="G5969" s="759"/>
      <c r="H5969" s="759"/>
      <c r="I5969" s="1087"/>
      <c r="J5969" s="1088">
        <f t="shared" si="1928"/>
        <v>44896</v>
      </c>
    </row>
    <row r="5970" spans="1:10" s="1089" customFormat="1" ht="15" customHeight="1" x14ac:dyDescent="0.25">
      <c r="A5970" s="1086" t="s">
        <v>8050</v>
      </c>
      <c r="B5970" s="757" t="s">
        <v>5435</v>
      </c>
      <c r="C5970" s="757"/>
      <c r="D5970" s="757" t="s">
        <v>8136</v>
      </c>
      <c r="E5970" s="757"/>
      <c r="F5970" s="758"/>
      <c r="G5970" s="759"/>
      <c r="H5970" s="759"/>
      <c r="I5970" s="1087"/>
      <c r="J5970" s="1088">
        <f t="shared" si="1928"/>
        <v>44896</v>
      </c>
    </row>
    <row r="5971" spans="1:10" s="774" customFormat="1" x14ac:dyDescent="0.25">
      <c r="F5971" s="471"/>
      <c r="G5971" s="769"/>
      <c r="H5971" s="769"/>
      <c r="I5971" s="691"/>
      <c r="J5971" s="669"/>
    </row>
    <row r="5972" spans="1:10" s="766" customFormat="1" ht="54.75" customHeight="1" x14ac:dyDescent="0.25">
      <c r="A5972" s="1133" t="s">
        <v>7936</v>
      </c>
      <c r="B5972" s="1133"/>
      <c r="C5972" s="1133"/>
      <c r="D5972" s="1133"/>
      <c r="E5972" s="1133"/>
      <c r="F5972" s="1133"/>
      <c r="G5972" s="1059"/>
      <c r="H5972" s="1061" t="str">
        <f>IF(ISNUMBER(G5972),ROUND(0.8*G5972,2),"")</f>
        <v/>
      </c>
      <c r="I5972" s="1062"/>
      <c r="J5972" s="669">
        <f>$J$31</f>
        <v>44896</v>
      </c>
    </row>
    <row r="5973" spans="1:10" s="774" customFormat="1" x14ac:dyDescent="0.25">
      <c r="F5973" s="471"/>
      <c r="G5973" s="769"/>
      <c r="H5973" s="769"/>
      <c r="I5973" s="691"/>
      <c r="J5973" s="669"/>
    </row>
    <row r="5974" spans="1:10" s="1089" customFormat="1" ht="15" customHeight="1" x14ac:dyDescent="0.25">
      <c r="A5974" s="1086" t="s">
        <v>8051</v>
      </c>
      <c r="B5974" s="757" t="s">
        <v>5435</v>
      </c>
      <c r="C5974" s="757"/>
      <c r="D5974" s="757" t="s">
        <v>8137</v>
      </c>
      <c r="E5974" s="757"/>
      <c r="F5974" s="758"/>
      <c r="G5974" s="759"/>
      <c r="H5974" s="759"/>
      <c r="I5974" s="1087"/>
      <c r="J5974" s="1088">
        <f t="shared" ref="J5974" si="1929">$J$31</f>
        <v>44896</v>
      </c>
    </row>
    <row r="5975" spans="1:10" s="774" customFormat="1" x14ac:dyDescent="0.25">
      <c r="F5975" s="471"/>
      <c r="G5975" s="769"/>
      <c r="H5975" s="769"/>
      <c r="I5975" s="691"/>
      <c r="J5975" s="669"/>
    </row>
    <row r="5976" spans="1:10" s="766" customFormat="1" ht="85.5" customHeight="1" x14ac:dyDescent="0.25">
      <c r="A5976" s="1133" t="s">
        <v>8207</v>
      </c>
      <c r="B5976" s="1133"/>
      <c r="C5976" s="1133"/>
      <c r="D5976" s="1133"/>
      <c r="E5976" s="1133"/>
      <c r="F5976" s="1133"/>
      <c r="G5976" s="1059"/>
      <c r="H5976" s="1061" t="str">
        <f>IF(ISNUMBER(G5976),ROUND(0.8*G5976,2),"")</f>
        <v/>
      </c>
      <c r="I5976" s="1062"/>
      <c r="J5976" s="669">
        <v>44938</v>
      </c>
    </row>
    <row r="5977" spans="1:10" s="774" customFormat="1" x14ac:dyDescent="0.25">
      <c r="F5977" s="471"/>
      <c r="G5977" s="769"/>
      <c r="H5977" s="769"/>
      <c r="I5977" s="691"/>
      <c r="J5977" s="669"/>
    </row>
    <row r="5978" spans="1:10" s="641" customFormat="1" ht="15" customHeight="1" x14ac:dyDescent="0.25">
      <c r="A5978" s="1086" t="s">
        <v>8052</v>
      </c>
      <c r="B5978" s="757" t="s">
        <v>2269</v>
      </c>
      <c r="C5978" s="757"/>
      <c r="D5978" s="757" t="s">
        <v>8210</v>
      </c>
      <c r="E5978" s="757"/>
      <c r="F5978" s="758"/>
      <c r="G5978" s="759"/>
      <c r="H5978" s="759"/>
      <c r="I5978" s="1087"/>
      <c r="J5978" s="1088">
        <v>44938</v>
      </c>
    </row>
    <row r="5979" spans="1:10" s="641" customFormat="1" ht="15" customHeight="1" x14ac:dyDescent="0.25">
      <c r="A5979" s="1086" t="s">
        <v>8053</v>
      </c>
      <c r="B5979" s="757" t="s">
        <v>5548</v>
      </c>
      <c r="C5979" s="757"/>
      <c r="D5979" s="757" t="s">
        <v>8210</v>
      </c>
      <c r="E5979" s="757"/>
      <c r="F5979" s="758"/>
      <c r="G5979" s="759"/>
      <c r="H5979" s="759"/>
      <c r="I5979" s="1087"/>
      <c r="J5979" s="1088">
        <v>44938</v>
      </c>
    </row>
    <row r="5980" spans="1:10" s="1089" customFormat="1" ht="15" customHeight="1" x14ac:dyDescent="0.25">
      <c r="A5980" s="1086" t="s">
        <v>8054</v>
      </c>
      <c r="B5980" s="757" t="s">
        <v>4847</v>
      </c>
      <c r="C5980" s="757"/>
      <c r="D5980" s="757" t="s">
        <v>8210</v>
      </c>
      <c r="E5980" s="757"/>
      <c r="F5980" s="758"/>
      <c r="G5980" s="759"/>
      <c r="H5980" s="759"/>
      <c r="I5980" s="1087"/>
      <c r="J5980" s="1088">
        <v>44938</v>
      </c>
    </row>
    <row r="5981" spans="1:10" s="1089" customFormat="1" ht="15" customHeight="1" x14ac:dyDescent="0.25">
      <c r="A5981" s="1086" t="s">
        <v>8055</v>
      </c>
      <c r="B5981" s="757" t="s">
        <v>5406</v>
      </c>
      <c r="C5981" s="757"/>
      <c r="D5981" s="757" t="s">
        <v>8210</v>
      </c>
      <c r="E5981" s="757"/>
      <c r="F5981" s="758"/>
      <c r="G5981" s="759"/>
      <c r="H5981" s="759"/>
      <c r="I5981" s="1087"/>
      <c r="J5981" s="1088">
        <v>44938</v>
      </c>
    </row>
    <row r="5982" spans="1:10" s="1089" customFormat="1" ht="15" customHeight="1" x14ac:dyDescent="0.25">
      <c r="A5982" s="1086" t="s">
        <v>8056</v>
      </c>
      <c r="B5982" s="757" t="s">
        <v>5411</v>
      </c>
      <c r="C5982" s="757"/>
      <c r="D5982" s="757" t="s">
        <v>8210</v>
      </c>
      <c r="E5982" s="757"/>
      <c r="F5982" s="758"/>
      <c r="G5982" s="759"/>
      <c r="H5982" s="759"/>
      <c r="I5982" s="1087"/>
      <c r="J5982" s="1088">
        <v>44938</v>
      </c>
    </row>
    <row r="5983" spans="1:10" s="1089" customFormat="1" ht="15" customHeight="1" x14ac:dyDescent="0.25">
      <c r="A5983" s="1086" t="s">
        <v>8057</v>
      </c>
      <c r="B5983" s="757" t="s">
        <v>5412</v>
      </c>
      <c r="C5983" s="757"/>
      <c r="D5983" s="757" t="s">
        <v>8210</v>
      </c>
      <c r="E5983" s="757"/>
      <c r="F5983" s="758"/>
      <c r="G5983" s="759"/>
      <c r="H5983" s="759"/>
      <c r="I5983" s="1087"/>
      <c r="J5983" s="1088">
        <v>44938</v>
      </c>
    </row>
    <row r="5984" spans="1:10" s="1089" customFormat="1" ht="15" customHeight="1" x14ac:dyDescent="0.25">
      <c r="A5984" s="1086" t="s">
        <v>8058</v>
      </c>
      <c r="B5984" s="757" t="s">
        <v>2034</v>
      </c>
      <c r="C5984" s="757"/>
      <c r="D5984" s="757" t="s">
        <v>8210</v>
      </c>
      <c r="E5984" s="757"/>
      <c r="F5984" s="758"/>
      <c r="G5984" s="759"/>
      <c r="H5984" s="759"/>
      <c r="I5984" s="1087"/>
      <c r="J5984" s="1088">
        <v>44938</v>
      </c>
    </row>
    <row r="5985" spans="1:10" s="1089" customFormat="1" ht="15" customHeight="1" x14ac:dyDescent="0.25">
      <c r="A5985" s="1086" t="s">
        <v>8059</v>
      </c>
      <c r="B5985" s="757" t="s">
        <v>2067</v>
      </c>
      <c r="C5985" s="757"/>
      <c r="D5985" s="757" t="s">
        <v>8210</v>
      </c>
      <c r="E5985" s="757"/>
      <c r="F5985" s="758"/>
      <c r="G5985" s="759"/>
      <c r="H5985" s="759"/>
      <c r="I5985" s="1087"/>
      <c r="J5985" s="1088">
        <v>44938</v>
      </c>
    </row>
    <row r="5986" spans="1:10" s="1089" customFormat="1" ht="15" customHeight="1" x14ac:dyDescent="0.25">
      <c r="A5986" s="1086" t="s">
        <v>8060</v>
      </c>
      <c r="B5986" s="757" t="s">
        <v>3374</v>
      </c>
      <c r="C5986" s="757"/>
      <c r="D5986" s="757" t="s">
        <v>8210</v>
      </c>
      <c r="E5986" s="757"/>
      <c r="F5986" s="758"/>
      <c r="G5986" s="759"/>
      <c r="H5986" s="759"/>
      <c r="I5986" s="1087"/>
      <c r="J5986" s="1088">
        <v>44938</v>
      </c>
    </row>
    <row r="5987" spans="1:10" s="1089" customFormat="1" ht="15" customHeight="1" x14ac:dyDescent="0.25">
      <c r="A5987" s="1086" t="s">
        <v>8061</v>
      </c>
      <c r="B5987" s="757" t="s">
        <v>3382</v>
      </c>
      <c r="C5987" s="757"/>
      <c r="D5987" s="757" t="s">
        <v>8210</v>
      </c>
      <c r="E5987" s="757"/>
      <c r="F5987" s="758"/>
      <c r="G5987" s="759"/>
      <c r="H5987" s="759"/>
      <c r="I5987" s="1087"/>
      <c r="J5987" s="1088">
        <v>44938</v>
      </c>
    </row>
    <row r="5988" spans="1:10" s="1089" customFormat="1" ht="15" customHeight="1" x14ac:dyDescent="0.25">
      <c r="A5988" s="1086" t="s">
        <v>8062</v>
      </c>
      <c r="B5988" s="757" t="s">
        <v>3390</v>
      </c>
      <c r="C5988" s="757"/>
      <c r="D5988" s="757" t="s">
        <v>8210</v>
      </c>
      <c r="E5988" s="757"/>
      <c r="F5988" s="758"/>
      <c r="G5988" s="759"/>
      <c r="H5988" s="759"/>
      <c r="I5988" s="1087"/>
      <c r="J5988" s="1088">
        <v>44938</v>
      </c>
    </row>
    <row r="5989" spans="1:10" s="1089" customFormat="1" ht="15" customHeight="1" x14ac:dyDescent="0.25">
      <c r="A5989" s="1086" t="s">
        <v>8063</v>
      </c>
      <c r="B5989" s="757" t="s">
        <v>740</v>
      </c>
      <c r="C5989" s="757"/>
      <c r="D5989" s="757" t="s">
        <v>8210</v>
      </c>
      <c r="E5989" s="757"/>
      <c r="F5989" s="758"/>
      <c r="G5989" s="759"/>
      <c r="H5989" s="759"/>
      <c r="I5989" s="1087"/>
      <c r="J5989" s="1088">
        <v>44938</v>
      </c>
    </row>
    <row r="5990" spans="1:10" s="1089" customFormat="1" ht="15" customHeight="1" x14ac:dyDescent="0.25">
      <c r="A5990" s="1086" t="s">
        <v>8064</v>
      </c>
      <c r="B5990" s="757" t="s">
        <v>5435</v>
      </c>
      <c r="C5990" s="757"/>
      <c r="D5990" s="757" t="s">
        <v>8210</v>
      </c>
      <c r="E5990" s="757"/>
      <c r="F5990" s="758"/>
      <c r="G5990" s="759"/>
      <c r="H5990" s="759"/>
      <c r="I5990" s="1087"/>
      <c r="J5990" s="1088">
        <v>44938</v>
      </c>
    </row>
    <row r="5991" spans="1:10" s="774" customFormat="1" x14ac:dyDescent="0.25">
      <c r="F5991" s="471"/>
      <c r="G5991" s="769"/>
      <c r="H5991" s="769"/>
      <c r="I5991" s="691"/>
      <c r="J5991" s="669"/>
    </row>
    <row r="5992" spans="1:10" s="766" customFormat="1" ht="54.75" customHeight="1" x14ac:dyDescent="0.25">
      <c r="A5992" s="1133" t="s">
        <v>7938</v>
      </c>
      <c r="B5992" s="1133"/>
      <c r="C5992" s="1133"/>
      <c r="D5992" s="1133"/>
      <c r="E5992" s="1133"/>
      <c r="F5992" s="1133"/>
      <c r="G5992" s="1059"/>
      <c r="H5992" s="1061" t="str">
        <f>IF(ISNUMBER(G5992),ROUND(0.8*G5992,2),"")</f>
        <v/>
      </c>
      <c r="I5992" s="1062"/>
      <c r="J5992" s="669">
        <f>$J$31</f>
        <v>44896</v>
      </c>
    </row>
    <row r="5993" spans="1:10" s="774" customFormat="1" x14ac:dyDescent="0.25">
      <c r="F5993" s="471"/>
      <c r="G5993" s="769"/>
      <c r="H5993" s="769"/>
      <c r="I5993" s="691"/>
      <c r="J5993" s="669"/>
    </row>
    <row r="5994" spans="1:10" s="641" customFormat="1" ht="15" customHeight="1" x14ac:dyDescent="0.25">
      <c r="A5994" s="1086" t="s">
        <v>8065</v>
      </c>
      <c r="B5994" s="757" t="s">
        <v>2269</v>
      </c>
      <c r="C5994" s="757"/>
      <c r="D5994" s="757" t="s">
        <v>8138</v>
      </c>
      <c r="E5994" s="757"/>
      <c r="F5994" s="758"/>
      <c r="G5994" s="759"/>
      <c r="H5994" s="759"/>
      <c r="I5994" s="1087"/>
      <c r="J5994" s="1088">
        <f t="shared" ref="J5994:J6006" si="1930">$J$31</f>
        <v>44896</v>
      </c>
    </row>
    <row r="5995" spans="1:10" s="641" customFormat="1" ht="15" customHeight="1" x14ac:dyDescent="0.25">
      <c r="A5995" s="1086" t="s">
        <v>8066</v>
      </c>
      <c r="B5995" s="757" t="s">
        <v>5548</v>
      </c>
      <c r="C5995" s="757"/>
      <c r="D5995" s="757" t="s">
        <v>8138</v>
      </c>
      <c r="E5995" s="757"/>
      <c r="F5995" s="758"/>
      <c r="G5995" s="759"/>
      <c r="H5995" s="759"/>
      <c r="I5995" s="1087"/>
      <c r="J5995" s="1088">
        <f t="shared" si="1930"/>
        <v>44896</v>
      </c>
    </row>
    <row r="5996" spans="1:10" s="1089" customFormat="1" ht="15" customHeight="1" x14ac:dyDescent="0.25">
      <c r="A5996" s="1086" t="s">
        <v>8067</v>
      </c>
      <c r="B5996" s="757" t="s">
        <v>4847</v>
      </c>
      <c r="C5996" s="757"/>
      <c r="D5996" s="757" t="s">
        <v>8138</v>
      </c>
      <c r="E5996" s="757"/>
      <c r="F5996" s="758"/>
      <c r="G5996" s="759"/>
      <c r="H5996" s="759"/>
      <c r="I5996" s="1087"/>
      <c r="J5996" s="1088">
        <f t="shared" si="1930"/>
        <v>44896</v>
      </c>
    </row>
    <row r="5997" spans="1:10" s="1089" customFormat="1" ht="15" customHeight="1" x14ac:dyDescent="0.25">
      <c r="A5997" s="1086" t="s">
        <v>8068</v>
      </c>
      <c r="B5997" s="757" t="s">
        <v>5406</v>
      </c>
      <c r="C5997" s="757"/>
      <c r="D5997" s="757" t="s">
        <v>8138</v>
      </c>
      <c r="E5997" s="757"/>
      <c r="F5997" s="758"/>
      <c r="G5997" s="759"/>
      <c r="H5997" s="759"/>
      <c r="I5997" s="1087"/>
      <c r="J5997" s="1088">
        <f t="shared" si="1930"/>
        <v>44896</v>
      </c>
    </row>
    <row r="5998" spans="1:10" s="1089" customFormat="1" ht="15" customHeight="1" x14ac:dyDescent="0.25">
      <c r="A5998" s="1086" t="s">
        <v>8069</v>
      </c>
      <c r="B5998" s="757" t="s">
        <v>5411</v>
      </c>
      <c r="C5998" s="757"/>
      <c r="D5998" s="757" t="s">
        <v>8138</v>
      </c>
      <c r="E5998" s="757"/>
      <c r="F5998" s="758"/>
      <c r="G5998" s="759"/>
      <c r="H5998" s="759"/>
      <c r="I5998" s="1087"/>
      <c r="J5998" s="1088">
        <f t="shared" si="1930"/>
        <v>44896</v>
      </c>
    </row>
    <row r="5999" spans="1:10" s="1089" customFormat="1" ht="15" customHeight="1" x14ac:dyDescent="0.25">
      <c r="A5999" s="1086" t="s">
        <v>8070</v>
      </c>
      <c r="B5999" s="757" t="s">
        <v>5412</v>
      </c>
      <c r="C5999" s="757"/>
      <c r="D5999" s="757" t="s">
        <v>8138</v>
      </c>
      <c r="E5999" s="757"/>
      <c r="F5999" s="758"/>
      <c r="G5999" s="759"/>
      <c r="H5999" s="759"/>
      <c r="I5999" s="1087"/>
      <c r="J5999" s="1088">
        <f t="shared" si="1930"/>
        <v>44896</v>
      </c>
    </row>
    <row r="6000" spans="1:10" s="1089" customFormat="1" ht="15" customHeight="1" x14ac:dyDescent="0.25">
      <c r="A6000" s="1086" t="s">
        <v>8071</v>
      </c>
      <c r="B6000" s="757" t="s">
        <v>2034</v>
      </c>
      <c r="C6000" s="757"/>
      <c r="D6000" s="757" t="s">
        <v>8138</v>
      </c>
      <c r="E6000" s="757"/>
      <c r="F6000" s="758"/>
      <c r="G6000" s="759"/>
      <c r="H6000" s="759"/>
      <c r="I6000" s="1087"/>
      <c r="J6000" s="1088">
        <f t="shared" si="1930"/>
        <v>44896</v>
      </c>
    </row>
    <row r="6001" spans="1:10" s="1089" customFormat="1" ht="15" customHeight="1" x14ac:dyDescent="0.25">
      <c r="A6001" s="1086" t="s">
        <v>8072</v>
      </c>
      <c r="B6001" s="757" t="s">
        <v>2067</v>
      </c>
      <c r="C6001" s="757"/>
      <c r="D6001" s="757" t="s">
        <v>8138</v>
      </c>
      <c r="E6001" s="757"/>
      <c r="F6001" s="758"/>
      <c r="G6001" s="759"/>
      <c r="H6001" s="759"/>
      <c r="I6001" s="1087"/>
      <c r="J6001" s="1088">
        <f t="shared" si="1930"/>
        <v>44896</v>
      </c>
    </row>
    <row r="6002" spans="1:10" s="1089" customFormat="1" ht="15" customHeight="1" x14ac:dyDescent="0.25">
      <c r="A6002" s="1086" t="s">
        <v>8073</v>
      </c>
      <c r="B6002" s="757" t="s">
        <v>3374</v>
      </c>
      <c r="C6002" s="757"/>
      <c r="D6002" s="757" t="s">
        <v>8138</v>
      </c>
      <c r="E6002" s="757"/>
      <c r="F6002" s="758"/>
      <c r="G6002" s="759"/>
      <c r="H6002" s="759"/>
      <c r="I6002" s="1087"/>
      <c r="J6002" s="1088">
        <f t="shared" si="1930"/>
        <v>44896</v>
      </c>
    </row>
    <row r="6003" spans="1:10" s="1089" customFormat="1" ht="15" customHeight="1" x14ac:dyDescent="0.25">
      <c r="A6003" s="1086" t="s">
        <v>8074</v>
      </c>
      <c r="B6003" s="757" t="s">
        <v>3382</v>
      </c>
      <c r="C6003" s="757"/>
      <c r="D6003" s="757" t="s">
        <v>8138</v>
      </c>
      <c r="E6003" s="757"/>
      <c r="F6003" s="758"/>
      <c r="G6003" s="759"/>
      <c r="H6003" s="759"/>
      <c r="I6003" s="1087"/>
      <c r="J6003" s="1088">
        <f t="shared" si="1930"/>
        <v>44896</v>
      </c>
    </row>
    <row r="6004" spans="1:10" s="1089" customFormat="1" ht="15" customHeight="1" x14ac:dyDescent="0.25">
      <c r="A6004" s="1086" t="s">
        <v>8075</v>
      </c>
      <c r="B6004" s="757" t="s">
        <v>3390</v>
      </c>
      <c r="C6004" s="757"/>
      <c r="D6004" s="757" t="s">
        <v>8138</v>
      </c>
      <c r="E6004" s="757"/>
      <c r="F6004" s="758"/>
      <c r="G6004" s="759"/>
      <c r="H6004" s="759"/>
      <c r="I6004" s="1087"/>
      <c r="J6004" s="1088">
        <f t="shared" si="1930"/>
        <v>44896</v>
      </c>
    </row>
    <row r="6005" spans="1:10" s="1089" customFormat="1" ht="15" customHeight="1" x14ac:dyDescent="0.25">
      <c r="A6005" s="1086" t="s">
        <v>8076</v>
      </c>
      <c r="B6005" s="757" t="s">
        <v>740</v>
      </c>
      <c r="C6005" s="757"/>
      <c r="D6005" s="757" t="s">
        <v>8138</v>
      </c>
      <c r="E6005" s="757"/>
      <c r="F6005" s="758"/>
      <c r="G6005" s="759"/>
      <c r="H6005" s="759"/>
      <c r="I6005" s="1087"/>
      <c r="J6005" s="1088">
        <f t="shared" si="1930"/>
        <v>44896</v>
      </c>
    </row>
    <row r="6006" spans="1:10" s="1089" customFormat="1" ht="15" customHeight="1" x14ac:dyDescent="0.25">
      <c r="A6006" s="1086" t="s">
        <v>8077</v>
      </c>
      <c r="B6006" s="757" t="s">
        <v>5435</v>
      </c>
      <c r="C6006" s="757"/>
      <c r="D6006" s="757" t="s">
        <v>8138</v>
      </c>
      <c r="E6006" s="757"/>
      <c r="F6006" s="758"/>
      <c r="G6006" s="759"/>
      <c r="H6006" s="759"/>
      <c r="I6006" s="1087"/>
      <c r="J6006" s="1088">
        <f t="shared" si="1930"/>
        <v>44896</v>
      </c>
    </row>
    <row r="6007" spans="1:10" s="774" customFormat="1" x14ac:dyDescent="0.25">
      <c r="F6007" s="471"/>
      <c r="G6007" s="769"/>
      <c r="H6007" s="769"/>
      <c r="I6007" s="691"/>
      <c r="J6007" s="669"/>
    </row>
    <row r="6008" spans="1:10" s="766" customFormat="1" ht="54.75" customHeight="1" x14ac:dyDescent="0.25">
      <c r="A6008" s="1133" t="s">
        <v>7949</v>
      </c>
      <c r="B6008" s="1133"/>
      <c r="C6008" s="1133"/>
      <c r="D6008" s="1133"/>
      <c r="E6008" s="1133"/>
      <c r="F6008" s="1133"/>
      <c r="G6008" s="1059"/>
      <c r="H6008" s="1061" t="str">
        <f>IF(ISNUMBER(G6008),ROUND(0.8*G6008,2),"")</f>
        <v/>
      </c>
      <c r="I6008" s="1062"/>
      <c r="J6008" s="669">
        <f>$J$31</f>
        <v>44896</v>
      </c>
    </row>
    <row r="6009" spans="1:10" s="774" customFormat="1" x14ac:dyDescent="0.25">
      <c r="F6009" s="471"/>
      <c r="G6009" s="769"/>
      <c r="H6009" s="769"/>
      <c r="I6009" s="691"/>
      <c r="J6009" s="669"/>
    </row>
    <row r="6010" spans="1:10" s="641" customFormat="1" ht="15" customHeight="1" x14ac:dyDescent="0.25">
      <c r="A6010" s="1086" t="s">
        <v>8078</v>
      </c>
      <c r="B6010" s="757" t="s">
        <v>2269</v>
      </c>
      <c r="C6010" s="757"/>
      <c r="D6010" s="757" t="s">
        <v>7954</v>
      </c>
      <c r="E6010" s="757"/>
      <c r="F6010" s="758"/>
      <c r="G6010" s="759"/>
      <c r="H6010" s="759"/>
      <c r="I6010" s="1087"/>
      <c r="J6010" s="1088">
        <f t="shared" ref="J6010:J6022" si="1931">$J$31</f>
        <v>44896</v>
      </c>
    </row>
    <row r="6011" spans="1:10" s="641" customFormat="1" ht="15" customHeight="1" x14ac:dyDescent="0.25">
      <c r="A6011" s="1086" t="s">
        <v>8079</v>
      </c>
      <c r="B6011" s="757" t="s">
        <v>5548</v>
      </c>
      <c r="C6011" s="757"/>
      <c r="D6011" s="757" t="s">
        <v>7954</v>
      </c>
      <c r="E6011" s="757"/>
      <c r="F6011" s="758"/>
      <c r="G6011" s="759"/>
      <c r="H6011" s="759"/>
      <c r="I6011" s="1087"/>
      <c r="J6011" s="1088">
        <f t="shared" si="1931"/>
        <v>44896</v>
      </c>
    </row>
    <row r="6012" spans="1:10" s="1089" customFormat="1" ht="15" customHeight="1" x14ac:dyDescent="0.25">
      <c r="A6012" s="1086" t="s">
        <v>8080</v>
      </c>
      <c r="B6012" s="757" t="s">
        <v>4847</v>
      </c>
      <c r="C6012" s="757"/>
      <c r="D6012" s="757" t="s">
        <v>7954</v>
      </c>
      <c r="E6012" s="757"/>
      <c r="F6012" s="758"/>
      <c r="G6012" s="759"/>
      <c r="H6012" s="759"/>
      <c r="I6012" s="1087"/>
      <c r="J6012" s="1088">
        <f t="shared" si="1931"/>
        <v>44896</v>
      </c>
    </row>
    <row r="6013" spans="1:10" s="1089" customFormat="1" ht="15" customHeight="1" x14ac:dyDescent="0.25">
      <c r="A6013" s="1086" t="s">
        <v>8081</v>
      </c>
      <c r="B6013" s="757" t="s">
        <v>5406</v>
      </c>
      <c r="C6013" s="757"/>
      <c r="D6013" s="757" t="s">
        <v>7954</v>
      </c>
      <c r="E6013" s="757"/>
      <c r="F6013" s="758"/>
      <c r="G6013" s="759"/>
      <c r="H6013" s="759"/>
      <c r="I6013" s="1087"/>
      <c r="J6013" s="1088">
        <f t="shared" si="1931"/>
        <v>44896</v>
      </c>
    </row>
    <row r="6014" spans="1:10" s="1089" customFormat="1" ht="15" customHeight="1" x14ac:dyDescent="0.25">
      <c r="A6014" s="1086" t="s">
        <v>8082</v>
      </c>
      <c r="B6014" s="757" t="s">
        <v>5411</v>
      </c>
      <c r="C6014" s="757"/>
      <c r="D6014" s="757" t="s">
        <v>7954</v>
      </c>
      <c r="E6014" s="757"/>
      <c r="F6014" s="758"/>
      <c r="G6014" s="759"/>
      <c r="H6014" s="759"/>
      <c r="I6014" s="1087"/>
      <c r="J6014" s="1088">
        <f t="shared" si="1931"/>
        <v>44896</v>
      </c>
    </row>
    <row r="6015" spans="1:10" s="1089" customFormat="1" ht="15" customHeight="1" x14ac:dyDescent="0.25">
      <c r="A6015" s="1086" t="s">
        <v>8083</v>
      </c>
      <c r="B6015" s="757" t="s">
        <v>5412</v>
      </c>
      <c r="C6015" s="757"/>
      <c r="D6015" s="757" t="s">
        <v>7954</v>
      </c>
      <c r="E6015" s="757"/>
      <c r="F6015" s="758"/>
      <c r="G6015" s="759"/>
      <c r="H6015" s="759"/>
      <c r="I6015" s="1087"/>
      <c r="J6015" s="1088">
        <f t="shared" si="1931"/>
        <v>44896</v>
      </c>
    </row>
    <row r="6016" spans="1:10" s="1089" customFormat="1" ht="15" customHeight="1" x14ac:dyDescent="0.25">
      <c r="A6016" s="1086" t="s">
        <v>8084</v>
      </c>
      <c r="B6016" s="757" t="s">
        <v>2034</v>
      </c>
      <c r="C6016" s="757"/>
      <c r="D6016" s="757" t="s">
        <v>7954</v>
      </c>
      <c r="E6016" s="757"/>
      <c r="F6016" s="758"/>
      <c r="G6016" s="759"/>
      <c r="H6016" s="759"/>
      <c r="I6016" s="1087"/>
      <c r="J6016" s="1088">
        <f t="shared" si="1931"/>
        <v>44896</v>
      </c>
    </row>
    <row r="6017" spans="1:10" s="1089" customFormat="1" ht="15" customHeight="1" x14ac:dyDescent="0.25">
      <c r="A6017" s="1086" t="s">
        <v>8085</v>
      </c>
      <c r="B6017" s="757" t="s">
        <v>2067</v>
      </c>
      <c r="C6017" s="757"/>
      <c r="D6017" s="757" t="s">
        <v>7954</v>
      </c>
      <c r="E6017" s="757"/>
      <c r="F6017" s="758"/>
      <c r="G6017" s="759"/>
      <c r="H6017" s="759"/>
      <c r="I6017" s="1087"/>
      <c r="J6017" s="1088">
        <f t="shared" si="1931"/>
        <v>44896</v>
      </c>
    </row>
    <row r="6018" spans="1:10" s="1089" customFormat="1" ht="15" customHeight="1" x14ac:dyDescent="0.25">
      <c r="A6018" s="1086" t="s">
        <v>8086</v>
      </c>
      <c r="B6018" s="757" t="s">
        <v>3374</v>
      </c>
      <c r="C6018" s="757"/>
      <c r="D6018" s="757" t="s">
        <v>7954</v>
      </c>
      <c r="E6018" s="757"/>
      <c r="F6018" s="758"/>
      <c r="G6018" s="759"/>
      <c r="H6018" s="759"/>
      <c r="I6018" s="1087"/>
      <c r="J6018" s="1088">
        <f t="shared" si="1931"/>
        <v>44896</v>
      </c>
    </row>
    <row r="6019" spans="1:10" s="1089" customFormat="1" ht="15" customHeight="1" x14ac:dyDescent="0.25">
      <c r="A6019" s="1086" t="s">
        <v>8087</v>
      </c>
      <c r="B6019" s="757" t="s">
        <v>3382</v>
      </c>
      <c r="C6019" s="757"/>
      <c r="D6019" s="757" t="s">
        <v>7954</v>
      </c>
      <c r="E6019" s="757"/>
      <c r="F6019" s="758"/>
      <c r="G6019" s="759"/>
      <c r="H6019" s="759"/>
      <c r="I6019" s="1087"/>
      <c r="J6019" s="1088">
        <f t="shared" si="1931"/>
        <v>44896</v>
      </c>
    </row>
    <row r="6020" spans="1:10" s="1089" customFormat="1" ht="15" customHeight="1" x14ac:dyDescent="0.25">
      <c r="A6020" s="1086" t="s">
        <v>8088</v>
      </c>
      <c r="B6020" s="757" t="s">
        <v>3390</v>
      </c>
      <c r="C6020" s="757"/>
      <c r="D6020" s="757" t="s">
        <v>7954</v>
      </c>
      <c r="E6020" s="757"/>
      <c r="F6020" s="758"/>
      <c r="G6020" s="759"/>
      <c r="H6020" s="759"/>
      <c r="I6020" s="1087"/>
      <c r="J6020" s="1088">
        <f t="shared" si="1931"/>
        <v>44896</v>
      </c>
    </row>
    <row r="6021" spans="1:10" s="1089" customFormat="1" ht="15" customHeight="1" x14ac:dyDescent="0.25">
      <c r="A6021" s="1086" t="s">
        <v>8089</v>
      </c>
      <c r="B6021" s="757" t="s">
        <v>740</v>
      </c>
      <c r="C6021" s="757"/>
      <c r="D6021" s="757" t="s">
        <v>7954</v>
      </c>
      <c r="E6021" s="757"/>
      <c r="F6021" s="758"/>
      <c r="G6021" s="759"/>
      <c r="H6021" s="759"/>
      <c r="I6021" s="1087"/>
      <c r="J6021" s="1088">
        <f t="shared" si="1931"/>
        <v>44896</v>
      </c>
    </row>
    <row r="6022" spans="1:10" s="1089" customFormat="1" ht="15" customHeight="1" x14ac:dyDescent="0.25">
      <c r="A6022" s="1086" t="s">
        <v>8090</v>
      </c>
      <c r="B6022" s="757" t="s">
        <v>5435</v>
      </c>
      <c r="C6022" s="757"/>
      <c r="D6022" s="757" t="s">
        <v>7954</v>
      </c>
      <c r="E6022" s="757"/>
      <c r="F6022" s="758"/>
      <c r="G6022" s="759"/>
      <c r="H6022" s="759"/>
      <c r="I6022" s="1087"/>
      <c r="J6022" s="1088">
        <f t="shared" si="1931"/>
        <v>44896</v>
      </c>
    </row>
    <row r="6023" spans="1:10" x14ac:dyDescent="0.25">
      <c r="J6023" s="669"/>
    </row>
    <row r="6024" spans="1:10" ht="224.25" customHeight="1" x14ac:dyDescent="0.25">
      <c r="A6024" s="1135" t="s">
        <v>7449</v>
      </c>
      <c r="B6024" s="1135"/>
      <c r="C6024" s="1135"/>
      <c r="D6024" s="1135"/>
      <c r="E6024" s="1135"/>
      <c r="F6024" s="1135"/>
      <c r="G6024" s="429"/>
      <c r="H6024" s="508" t="str">
        <f>IF(ISNUMBER(G6024),ROUND(0.8*G6024,2),"")</f>
        <v/>
      </c>
      <c r="I6024" s="741"/>
      <c r="J6024" s="669">
        <v>42705</v>
      </c>
    </row>
    <row r="6025" spans="1:10" x14ac:dyDescent="0.25">
      <c r="J6025" s="669"/>
    </row>
    <row r="6026" spans="1:10" s="641" customFormat="1" ht="13.5" x14ac:dyDescent="0.25">
      <c r="A6026" s="1086" t="s">
        <v>6069</v>
      </c>
      <c r="B6026" s="757" t="s">
        <v>3374</v>
      </c>
      <c r="C6026" s="757"/>
      <c r="D6026" s="757" t="s">
        <v>6074</v>
      </c>
      <c r="E6026" s="757"/>
      <c r="F6026" s="758">
        <v>0</v>
      </c>
      <c r="G6026" s="759">
        <v>0</v>
      </c>
      <c r="H6026" s="759">
        <v>0</v>
      </c>
      <c r="I6026" s="1087"/>
      <c r="J6026" s="1088">
        <v>42705</v>
      </c>
    </row>
    <row r="6027" spans="1:10" s="641" customFormat="1" ht="13.5" x14ac:dyDescent="0.25">
      <c r="A6027" s="1086" t="s">
        <v>6070</v>
      </c>
      <c r="B6027" s="757" t="s">
        <v>3374</v>
      </c>
      <c r="C6027" s="757"/>
      <c r="D6027" s="757" t="s">
        <v>6075</v>
      </c>
      <c r="E6027" s="757"/>
      <c r="F6027" s="758">
        <v>0</v>
      </c>
      <c r="G6027" s="759">
        <v>0</v>
      </c>
      <c r="H6027" s="759">
        <v>0</v>
      </c>
      <c r="I6027" s="1087"/>
      <c r="J6027" s="1088">
        <v>42705</v>
      </c>
    </row>
    <row r="6028" spans="1:10" x14ac:dyDescent="0.25">
      <c r="J6028" s="669"/>
    </row>
    <row r="6029" spans="1:10" ht="159.75" customHeight="1" x14ac:dyDescent="0.25">
      <c r="A6029" s="1135" t="s">
        <v>8188</v>
      </c>
      <c r="B6029" s="1135"/>
      <c r="C6029" s="1135"/>
      <c r="D6029" s="1135"/>
      <c r="E6029" s="1135"/>
      <c r="F6029" s="1135"/>
      <c r="G6029" s="429"/>
      <c r="H6029" s="508" t="str">
        <f>IF(ISNUMBER(G6029),ROUND(0.8*G6029,2),"")</f>
        <v/>
      </c>
      <c r="I6029" s="741"/>
      <c r="J6029" s="669">
        <v>42644</v>
      </c>
    </row>
    <row r="6030" spans="1:10" x14ac:dyDescent="0.25">
      <c r="J6030" s="669"/>
    </row>
    <row r="6031" spans="1:10" s="641" customFormat="1" ht="13.5" x14ac:dyDescent="0.25">
      <c r="A6031" s="1086" t="s">
        <v>5832</v>
      </c>
      <c r="B6031" s="757" t="s">
        <v>2269</v>
      </c>
      <c r="C6031" s="757"/>
      <c r="D6031" s="757" t="s">
        <v>6091</v>
      </c>
      <c r="E6031" s="757"/>
      <c r="F6031" s="758"/>
      <c r="G6031" s="759">
        <v>-0.1</v>
      </c>
      <c r="H6031" s="759"/>
      <c r="I6031" s="1087"/>
      <c r="J6031" s="1088">
        <v>42644</v>
      </c>
    </row>
    <row r="6032" spans="1:10" s="641" customFormat="1" ht="13.5" x14ac:dyDescent="0.25">
      <c r="A6032" s="1086" t="s">
        <v>5833</v>
      </c>
      <c r="B6032" s="757" t="s">
        <v>5548</v>
      </c>
      <c r="C6032" s="757"/>
      <c r="D6032" s="757" t="s">
        <v>6091</v>
      </c>
      <c r="E6032" s="757"/>
      <c r="F6032" s="758"/>
      <c r="G6032" s="759">
        <v>-0.1</v>
      </c>
      <c r="H6032" s="759"/>
      <c r="I6032" s="1087"/>
      <c r="J6032" s="1088">
        <v>42644</v>
      </c>
    </row>
    <row r="6033" spans="1:10" s="641" customFormat="1" ht="13.5" x14ac:dyDescent="0.25">
      <c r="A6033" s="1086" t="s">
        <v>5834</v>
      </c>
      <c r="B6033" s="757" t="s">
        <v>4847</v>
      </c>
      <c r="C6033" s="757"/>
      <c r="D6033" s="757" t="s">
        <v>6091</v>
      </c>
      <c r="E6033" s="757"/>
      <c r="F6033" s="758"/>
      <c r="G6033" s="759">
        <v>-0.1</v>
      </c>
      <c r="H6033" s="759"/>
      <c r="I6033" s="1087"/>
      <c r="J6033" s="1088">
        <v>42644</v>
      </c>
    </row>
    <row r="6034" spans="1:10" s="641" customFormat="1" ht="13.5" x14ac:dyDescent="0.25">
      <c r="A6034" s="1086" t="s">
        <v>5835</v>
      </c>
      <c r="B6034" s="757" t="s">
        <v>5406</v>
      </c>
      <c r="C6034" s="757"/>
      <c r="D6034" s="757" t="s">
        <v>6091</v>
      </c>
      <c r="E6034" s="757"/>
      <c r="F6034" s="758"/>
      <c r="G6034" s="759">
        <v>-0.1</v>
      </c>
      <c r="H6034" s="759"/>
      <c r="I6034" s="1087"/>
      <c r="J6034" s="1088">
        <v>42644</v>
      </c>
    </row>
    <row r="6035" spans="1:10" s="641" customFormat="1" ht="13.5" x14ac:dyDescent="0.25">
      <c r="A6035" s="1086" t="s">
        <v>5836</v>
      </c>
      <c r="B6035" s="757" t="s">
        <v>5411</v>
      </c>
      <c r="C6035" s="757"/>
      <c r="D6035" s="757" t="s">
        <v>6091</v>
      </c>
      <c r="E6035" s="757"/>
      <c r="F6035" s="758"/>
      <c r="G6035" s="759">
        <v>-0.1</v>
      </c>
      <c r="H6035" s="759"/>
      <c r="I6035" s="1087"/>
      <c r="J6035" s="1088">
        <v>42644</v>
      </c>
    </row>
    <row r="6036" spans="1:10" s="641" customFormat="1" ht="13.5" x14ac:dyDescent="0.25">
      <c r="A6036" s="1086" t="s">
        <v>5837</v>
      </c>
      <c r="B6036" s="757" t="s">
        <v>5412</v>
      </c>
      <c r="C6036" s="757"/>
      <c r="D6036" s="757" t="s">
        <v>6091</v>
      </c>
      <c r="E6036" s="757"/>
      <c r="F6036" s="758"/>
      <c r="G6036" s="759">
        <v>-0.1</v>
      </c>
      <c r="H6036" s="759"/>
      <c r="I6036" s="1087"/>
      <c r="J6036" s="1088">
        <v>42644</v>
      </c>
    </row>
    <row r="6037" spans="1:10" s="641" customFormat="1" ht="13.5" x14ac:dyDescent="0.25">
      <c r="A6037" s="1086" t="s">
        <v>5838</v>
      </c>
      <c r="B6037" s="757" t="s">
        <v>2034</v>
      </c>
      <c r="C6037" s="757"/>
      <c r="D6037" s="757" t="s">
        <v>6091</v>
      </c>
      <c r="E6037" s="757"/>
      <c r="F6037" s="758"/>
      <c r="G6037" s="759">
        <v>-0.1</v>
      </c>
      <c r="H6037" s="759"/>
      <c r="I6037" s="1087"/>
      <c r="J6037" s="1088">
        <v>42644</v>
      </c>
    </row>
    <row r="6038" spans="1:10" s="641" customFormat="1" ht="13.5" x14ac:dyDescent="0.25">
      <c r="A6038" s="1086" t="s">
        <v>5839</v>
      </c>
      <c r="B6038" s="757" t="s">
        <v>2067</v>
      </c>
      <c r="C6038" s="757"/>
      <c r="D6038" s="757" t="s">
        <v>6091</v>
      </c>
      <c r="E6038" s="757"/>
      <c r="F6038" s="758"/>
      <c r="G6038" s="759">
        <v>-0.1</v>
      </c>
      <c r="H6038" s="759"/>
      <c r="I6038" s="1087"/>
      <c r="J6038" s="1088">
        <v>42644</v>
      </c>
    </row>
    <row r="6039" spans="1:10" s="641" customFormat="1" ht="13.5" x14ac:dyDescent="0.25">
      <c r="A6039" s="1086" t="s">
        <v>5840</v>
      </c>
      <c r="B6039" s="757" t="s">
        <v>3374</v>
      </c>
      <c r="C6039" s="757"/>
      <c r="D6039" s="757" t="s">
        <v>6091</v>
      </c>
      <c r="E6039" s="757"/>
      <c r="F6039" s="758"/>
      <c r="G6039" s="759">
        <v>-0.1</v>
      </c>
      <c r="H6039" s="759"/>
      <c r="I6039" s="1087"/>
      <c r="J6039" s="1088">
        <v>42644</v>
      </c>
    </row>
    <row r="6040" spans="1:10" s="641" customFormat="1" ht="13.5" x14ac:dyDescent="0.25">
      <c r="A6040" s="1086" t="s">
        <v>5841</v>
      </c>
      <c r="B6040" s="757" t="s">
        <v>3382</v>
      </c>
      <c r="C6040" s="757"/>
      <c r="D6040" s="757" t="s">
        <v>6091</v>
      </c>
      <c r="E6040" s="757"/>
      <c r="F6040" s="758"/>
      <c r="G6040" s="759">
        <v>-0.1</v>
      </c>
      <c r="H6040" s="759"/>
      <c r="I6040" s="1087"/>
      <c r="J6040" s="1088">
        <v>42644</v>
      </c>
    </row>
    <row r="6041" spans="1:10" s="641" customFormat="1" ht="13.5" x14ac:dyDescent="0.25">
      <c r="A6041" s="1086" t="s">
        <v>5842</v>
      </c>
      <c r="B6041" s="757" t="s">
        <v>3390</v>
      </c>
      <c r="C6041" s="757"/>
      <c r="D6041" s="757" t="s">
        <v>6091</v>
      </c>
      <c r="E6041" s="757"/>
      <c r="F6041" s="758"/>
      <c r="G6041" s="759">
        <v>-0.1</v>
      </c>
      <c r="H6041" s="759"/>
      <c r="I6041" s="1087"/>
      <c r="J6041" s="1088">
        <v>42644</v>
      </c>
    </row>
    <row r="6042" spans="1:10" s="641" customFormat="1" ht="13.5" x14ac:dyDescent="0.25">
      <c r="A6042" s="1086" t="s">
        <v>5843</v>
      </c>
      <c r="B6042" s="757" t="s">
        <v>740</v>
      </c>
      <c r="C6042" s="757"/>
      <c r="D6042" s="757" t="s">
        <v>6091</v>
      </c>
      <c r="E6042" s="757"/>
      <c r="F6042" s="758"/>
      <c r="G6042" s="759">
        <v>-0.1</v>
      </c>
      <c r="H6042" s="759"/>
      <c r="I6042" s="1087"/>
      <c r="J6042" s="1088">
        <v>42644</v>
      </c>
    </row>
    <row r="6043" spans="1:10" s="641" customFormat="1" ht="13.5" x14ac:dyDescent="0.25">
      <c r="A6043" s="1086" t="s">
        <v>5844</v>
      </c>
      <c r="B6043" s="757" t="s">
        <v>5435</v>
      </c>
      <c r="C6043" s="757"/>
      <c r="D6043" s="757" t="s">
        <v>6091</v>
      </c>
      <c r="E6043" s="757"/>
      <c r="F6043" s="758"/>
      <c r="G6043" s="759">
        <v>-0.1</v>
      </c>
      <c r="H6043" s="759"/>
      <c r="I6043" s="1087"/>
      <c r="J6043" s="1088">
        <v>42644</v>
      </c>
    </row>
    <row r="6044" spans="1:10" s="641" customFormat="1" ht="12.75" x14ac:dyDescent="0.2">
      <c r="F6044" s="1090"/>
      <c r="G6044" s="1091"/>
      <c r="H6044" s="1091"/>
      <c r="I6044" s="1092"/>
      <c r="J6044" s="1088"/>
    </row>
    <row r="6045" spans="1:10" s="641" customFormat="1" ht="13.5" x14ac:dyDescent="0.25">
      <c r="A6045" s="1086" t="s">
        <v>5815</v>
      </c>
      <c r="B6045" s="757" t="s">
        <v>2269</v>
      </c>
      <c r="C6045" s="757"/>
      <c r="D6045" s="757" t="s">
        <v>6092</v>
      </c>
      <c r="E6045" s="757"/>
      <c r="F6045" s="758"/>
      <c r="G6045" s="759">
        <v>0</v>
      </c>
      <c r="H6045" s="759"/>
      <c r="I6045" s="1087"/>
      <c r="J6045" s="1088">
        <v>42644</v>
      </c>
    </row>
    <row r="6046" spans="1:10" s="641" customFormat="1" ht="13.5" x14ac:dyDescent="0.25">
      <c r="A6046" s="1086" t="s">
        <v>5816</v>
      </c>
      <c r="B6046" s="757" t="s">
        <v>5548</v>
      </c>
      <c r="C6046" s="757"/>
      <c r="D6046" s="757" t="s">
        <v>6092</v>
      </c>
      <c r="E6046" s="757"/>
      <c r="F6046" s="758"/>
      <c r="G6046" s="759">
        <v>0</v>
      </c>
      <c r="H6046" s="759"/>
      <c r="I6046" s="1087"/>
      <c r="J6046" s="1088">
        <v>42644</v>
      </c>
    </row>
    <row r="6047" spans="1:10" s="641" customFormat="1" ht="13.5" x14ac:dyDescent="0.25">
      <c r="A6047" s="1086" t="s">
        <v>5817</v>
      </c>
      <c r="B6047" s="757" t="s">
        <v>4847</v>
      </c>
      <c r="C6047" s="757"/>
      <c r="D6047" s="757" t="s">
        <v>6092</v>
      </c>
      <c r="E6047" s="757"/>
      <c r="F6047" s="758"/>
      <c r="G6047" s="759">
        <v>0</v>
      </c>
      <c r="H6047" s="759"/>
      <c r="I6047" s="1087"/>
      <c r="J6047" s="1088">
        <v>42644</v>
      </c>
    </row>
    <row r="6048" spans="1:10" s="641" customFormat="1" ht="13.5" x14ac:dyDescent="0.25">
      <c r="A6048" s="1086" t="s">
        <v>5818</v>
      </c>
      <c r="B6048" s="757" t="s">
        <v>5406</v>
      </c>
      <c r="C6048" s="757"/>
      <c r="D6048" s="757" t="s">
        <v>6092</v>
      </c>
      <c r="E6048" s="757"/>
      <c r="F6048" s="758"/>
      <c r="G6048" s="759">
        <v>0</v>
      </c>
      <c r="H6048" s="759"/>
      <c r="I6048" s="1087"/>
      <c r="J6048" s="1088">
        <v>42644</v>
      </c>
    </row>
    <row r="6049" spans="1:10" s="641" customFormat="1" ht="13.5" x14ac:dyDescent="0.25">
      <c r="A6049" s="1086" t="s">
        <v>5819</v>
      </c>
      <c r="B6049" s="757" t="s">
        <v>5411</v>
      </c>
      <c r="C6049" s="757"/>
      <c r="D6049" s="757" t="s">
        <v>6092</v>
      </c>
      <c r="E6049" s="757"/>
      <c r="F6049" s="758"/>
      <c r="G6049" s="759">
        <v>0</v>
      </c>
      <c r="H6049" s="759"/>
      <c r="I6049" s="1087"/>
      <c r="J6049" s="1088">
        <v>42644</v>
      </c>
    </row>
    <row r="6050" spans="1:10" s="641" customFormat="1" ht="13.5" x14ac:dyDescent="0.25">
      <c r="A6050" s="1086" t="s">
        <v>5820</v>
      </c>
      <c r="B6050" s="757" t="s">
        <v>5412</v>
      </c>
      <c r="C6050" s="757"/>
      <c r="D6050" s="757" t="s">
        <v>6092</v>
      </c>
      <c r="E6050" s="757"/>
      <c r="F6050" s="758"/>
      <c r="G6050" s="759">
        <v>0</v>
      </c>
      <c r="H6050" s="759"/>
      <c r="I6050" s="1087"/>
      <c r="J6050" s="1088">
        <v>42644</v>
      </c>
    </row>
    <row r="6051" spans="1:10" s="641" customFormat="1" ht="13.5" x14ac:dyDescent="0.25">
      <c r="A6051" s="1086" t="s">
        <v>5821</v>
      </c>
      <c r="B6051" s="757" t="s">
        <v>2034</v>
      </c>
      <c r="C6051" s="757"/>
      <c r="D6051" s="757" t="s">
        <v>6092</v>
      </c>
      <c r="E6051" s="757"/>
      <c r="F6051" s="758"/>
      <c r="G6051" s="759">
        <v>0</v>
      </c>
      <c r="H6051" s="759"/>
      <c r="I6051" s="1087"/>
      <c r="J6051" s="1088">
        <v>42644</v>
      </c>
    </row>
    <row r="6052" spans="1:10" s="641" customFormat="1" ht="13.5" x14ac:dyDescent="0.25">
      <c r="A6052" s="1086" t="s">
        <v>5822</v>
      </c>
      <c r="B6052" s="757" t="s">
        <v>2067</v>
      </c>
      <c r="C6052" s="757"/>
      <c r="D6052" s="757" t="s">
        <v>6092</v>
      </c>
      <c r="E6052" s="757"/>
      <c r="F6052" s="758"/>
      <c r="G6052" s="759">
        <v>0</v>
      </c>
      <c r="H6052" s="759"/>
      <c r="I6052" s="1087"/>
      <c r="J6052" s="1088">
        <v>42644</v>
      </c>
    </row>
    <row r="6053" spans="1:10" s="641" customFormat="1" ht="13.5" x14ac:dyDescent="0.25">
      <c r="A6053" s="1086" t="s">
        <v>5823</v>
      </c>
      <c r="B6053" s="757" t="s">
        <v>3374</v>
      </c>
      <c r="C6053" s="757"/>
      <c r="D6053" s="757" t="s">
        <v>6092</v>
      </c>
      <c r="E6053" s="757"/>
      <c r="F6053" s="758"/>
      <c r="G6053" s="759">
        <v>0</v>
      </c>
      <c r="H6053" s="759"/>
      <c r="I6053" s="1087"/>
      <c r="J6053" s="1088">
        <v>42644</v>
      </c>
    </row>
    <row r="6054" spans="1:10" s="641" customFormat="1" ht="13.5" x14ac:dyDescent="0.25">
      <c r="A6054" s="1086" t="s">
        <v>5824</v>
      </c>
      <c r="B6054" s="757" t="s">
        <v>3382</v>
      </c>
      <c r="C6054" s="757"/>
      <c r="D6054" s="757" t="s">
        <v>6092</v>
      </c>
      <c r="E6054" s="757"/>
      <c r="F6054" s="758"/>
      <c r="G6054" s="759">
        <v>0</v>
      </c>
      <c r="H6054" s="759"/>
      <c r="I6054" s="1087"/>
      <c r="J6054" s="1088">
        <v>42644</v>
      </c>
    </row>
    <row r="6055" spans="1:10" s="641" customFormat="1" ht="13.5" x14ac:dyDescent="0.25">
      <c r="A6055" s="1086" t="s">
        <v>5825</v>
      </c>
      <c r="B6055" s="757" t="s">
        <v>3390</v>
      </c>
      <c r="C6055" s="757"/>
      <c r="D6055" s="757" t="s">
        <v>6092</v>
      </c>
      <c r="E6055" s="757"/>
      <c r="F6055" s="758"/>
      <c r="G6055" s="759">
        <v>0</v>
      </c>
      <c r="H6055" s="759"/>
      <c r="I6055" s="1087"/>
      <c r="J6055" s="1088">
        <v>42644</v>
      </c>
    </row>
    <row r="6056" spans="1:10" s="641" customFormat="1" ht="13.5" x14ac:dyDescent="0.25">
      <c r="A6056" s="1086" t="s">
        <v>5826</v>
      </c>
      <c r="B6056" s="757" t="s">
        <v>740</v>
      </c>
      <c r="C6056" s="757"/>
      <c r="D6056" s="757" t="s">
        <v>6092</v>
      </c>
      <c r="E6056" s="757"/>
      <c r="F6056" s="758"/>
      <c r="G6056" s="759">
        <v>0</v>
      </c>
      <c r="H6056" s="759"/>
      <c r="I6056" s="1087"/>
      <c r="J6056" s="1088">
        <v>42644</v>
      </c>
    </row>
    <row r="6057" spans="1:10" s="641" customFormat="1" ht="13.5" x14ac:dyDescent="0.25">
      <c r="A6057" s="1086" t="s">
        <v>5827</v>
      </c>
      <c r="B6057" s="757" t="s">
        <v>5435</v>
      </c>
      <c r="C6057" s="757"/>
      <c r="D6057" s="757" t="s">
        <v>6092</v>
      </c>
      <c r="E6057" s="757"/>
      <c r="F6057" s="758"/>
      <c r="G6057" s="759">
        <v>0</v>
      </c>
      <c r="H6057" s="759"/>
      <c r="I6057" s="760"/>
      <c r="J6057" s="1088">
        <v>42644</v>
      </c>
    </row>
    <row r="6058" spans="1:10" x14ac:dyDescent="0.25">
      <c r="J6058" s="669"/>
    </row>
    <row r="6059" spans="1:10" ht="207.75" customHeight="1" x14ac:dyDescent="0.25">
      <c r="A6059" s="1135" t="s">
        <v>8189</v>
      </c>
      <c r="B6059" s="1135"/>
      <c r="C6059" s="1135"/>
      <c r="D6059" s="1135"/>
      <c r="E6059" s="1135"/>
      <c r="F6059" s="1135"/>
      <c r="G6059" s="429"/>
      <c r="H6059" s="508" t="str">
        <f>IF(ISNUMBER(G6059),ROUND(0.8*G6059,2),"")</f>
        <v/>
      </c>
      <c r="I6059" s="741"/>
      <c r="J6059" s="669">
        <v>42766</v>
      </c>
    </row>
    <row r="6060" spans="1:10" x14ac:dyDescent="0.25">
      <c r="J6060" s="669"/>
    </row>
    <row r="6061" spans="1:10" s="641" customFormat="1" ht="13.5" x14ac:dyDescent="0.25">
      <c r="A6061" s="1086" t="s">
        <v>6136</v>
      </c>
      <c r="B6061" s="757" t="s">
        <v>2269</v>
      </c>
      <c r="C6061" s="757"/>
      <c r="D6061" s="757" t="s">
        <v>6120</v>
      </c>
      <c r="E6061" s="757"/>
      <c r="F6061" s="758"/>
      <c r="G6061" s="759"/>
      <c r="H6061" s="759"/>
      <c r="I6061" s="1087"/>
      <c r="J6061" s="1088">
        <v>42766</v>
      </c>
    </row>
    <row r="6062" spans="1:10" s="641" customFormat="1" ht="13.5" x14ac:dyDescent="0.25">
      <c r="A6062" s="1086" t="s">
        <v>6137</v>
      </c>
      <c r="B6062" s="757" t="s">
        <v>5548</v>
      </c>
      <c r="C6062" s="757"/>
      <c r="D6062" s="757" t="s">
        <v>6120</v>
      </c>
      <c r="E6062" s="757"/>
      <c r="F6062" s="758"/>
      <c r="G6062" s="759"/>
      <c r="H6062" s="759"/>
      <c r="I6062" s="1087"/>
      <c r="J6062" s="1088">
        <v>42766</v>
      </c>
    </row>
    <row r="6063" spans="1:10" s="641" customFormat="1" ht="13.5" x14ac:dyDescent="0.25">
      <c r="A6063" s="1086" t="s">
        <v>6138</v>
      </c>
      <c r="B6063" s="757" t="s">
        <v>4847</v>
      </c>
      <c r="C6063" s="757"/>
      <c r="D6063" s="757" t="s">
        <v>6120</v>
      </c>
      <c r="E6063" s="757"/>
      <c r="F6063" s="758"/>
      <c r="G6063" s="759"/>
      <c r="H6063" s="759"/>
      <c r="I6063" s="1087"/>
      <c r="J6063" s="1088">
        <v>42766</v>
      </c>
    </row>
    <row r="6064" spans="1:10" s="641" customFormat="1" ht="13.5" x14ac:dyDescent="0.25">
      <c r="A6064" s="1086" t="s">
        <v>6139</v>
      </c>
      <c r="B6064" s="757" t="s">
        <v>5406</v>
      </c>
      <c r="C6064" s="757"/>
      <c r="D6064" s="757" t="s">
        <v>6120</v>
      </c>
      <c r="E6064" s="757"/>
      <c r="F6064" s="758"/>
      <c r="G6064" s="759"/>
      <c r="H6064" s="759"/>
      <c r="I6064" s="1087"/>
      <c r="J6064" s="1088">
        <v>42766</v>
      </c>
    </row>
    <row r="6065" spans="1:10" s="641" customFormat="1" ht="13.5" x14ac:dyDescent="0.25">
      <c r="A6065" s="1086" t="s">
        <v>6140</v>
      </c>
      <c r="B6065" s="757" t="s">
        <v>5411</v>
      </c>
      <c r="C6065" s="757"/>
      <c r="D6065" s="757" t="s">
        <v>6120</v>
      </c>
      <c r="E6065" s="757"/>
      <c r="F6065" s="758"/>
      <c r="G6065" s="759"/>
      <c r="H6065" s="759"/>
      <c r="I6065" s="1087"/>
      <c r="J6065" s="1088">
        <v>42766</v>
      </c>
    </row>
    <row r="6066" spans="1:10" s="641" customFormat="1" ht="13.5" x14ac:dyDescent="0.25">
      <c r="A6066" s="1086" t="s">
        <v>6141</v>
      </c>
      <c r="B6066" s="757" t="s">
        <v>5412</v>
      </c>
      <c r="C6066" s="757"/>
      <c r="D6066" s="757" t="s">
        <v>6120</v>
      </c>
      <c r="E6066" s="757"/>
      <c r="F6066" s="758"/>
      <c r="G6066" s="759"/>
      <c r="H6066" s="759"/>
      <c r="I6066" s="1087"/>
      <c r="J6066" s="1088">
        <v>42766</v>
      </c>
    </row>
    <row r="6067" spans="1:10" s="641" customFormat="1" ht="13.5" x14ac:dyDescent="0.25">
      <c r="A6067" s="1086" t="s">
        <v>6142</v>
      </c>
      <c r="B6067" s="757" t="s">
        <v>2034</v>
      </c>
      <c r="C6067" s="757"/>
      <c r="D6067" s="757" t="s">
        <v>6120</v>
      </c>
      <c r="E6067" s="757"/>
      <c r="F6067" s="758"/>
      <c r="G6067" s="759"/>
      <c r="H6067" s="759"/>
      <c r="I6067" s="1087"/>
      <c r="J6067" s="1088">
        <v>42766</v>
      </c>
    </row>
    <row r="6068" spans="1:10" s="641" customFormat="1" ht="13.5" x14ac:dyDescent="0.25">
      <c r="A6068" s="1086" t="s">
        <v>6143</v>
      </c>
      <c r="B6068" s="757" t="s">
        <v>2067</v>
      </c>
      <c r="C6068" s="757"/>
      <c r="D6068" s="757" t="s">
        <v>6120</v>
      </c>
      <c r="E6068" s="757"/>
      <c r="F6068" s="758"/>
      <c r="G6068" s="759"/>
      <c r="H6068" s="759"/>
      <c r="I6068" s="1087"/>
      <c r="J6068" s="1088">
        <v>42766</v>
      </c>
    </row>
    <row r="6069" spans="1:10" s="641" customFormat="1" ht="13.5" x14ac:dyDescent="0.25">
      <c r="A6069" s="1086" t="s">
        <v>6144</v>
      </c>
      <c r="B6069" s="757" t="s">
        <v>3374</v>
      </c>
      <c r="C6069" s="757"/>
      <c r="D6069" s="757" t="s">
        <v>6120</v>
      </c>
      <c r="E6069" s="757"/>
      <c r="F6069" s="758"/>
      <c r="G6069" s="759"/>
      <c r="H6069" s="759"/>
      <c r="I6069" s="1087"/>
      <c r="J6069" s="1088">
        <v>42766</v>
      </c>
    </row>
    <row r="6070" spans="1:10" s="641" customFormat="1" ht="13.5" x14ac:dyDescent="0.25">
      <c r="A6070" s="1086" t="s">
        <v>6145</v>
      </c>
      <c r="B6070" s="757" t="s">
        <v>3382</v>
      </c>
      <c r="C6070" s="757"/>
      <c r="D6070" s="757" t="s">
        <v>6120</v>
      </c>
      <c r="E6070" s="757"/>
      <c r="F6070" s="758"/>
      <c r="G6070" s="759"/>
      <c r="H6070" s="759"/>
      <c r="I6070" s="1087"/>
      <c r="J6070" s="1088">
        <v>42766</v>
      </c>
    </row>
    <row r="6071" spans="1:10" s="641" customFormat="1" ht="13.5" x14ac:dyDescent="0.25">
      <c r="A6071" s="1086" t="s">
        <v>6146</v>
      </c>
      <c r="B6071" s="757" t="s">
        <v>3390</v>
      </c>
      <c r="C6071" s="757"/>
      <c r="D6071" s="757" t="s">
        <v>6120</v>
      </c>
      <c r="E6071" s="757"/>
      <c r="F6071" s="758"/>
      <c r="G6071" s="759"/>
      <c r="H6071" s="759"/>
      <c r="I6071" s="1087"/>
      <c r="J6071" s="1088">
        <v>42766</v>
      </c>
    </row>
    <row r="6072" spans="1:10" s="641" customFormat="1" ht="13.5" x14ac:dyDescent="0.25">
      <c r="A6072" s="1086" t="s">
        <v>6147</v>
      </c>
      <c r="B6072" s="757" t="s">
        <v>740</v>
      </c>
      <c r="C6072" s="757"/>
      <c r="D6072" s="757" t="s">
        <v>6120</v>
      </c>
      <c r="E6072" s="757"/>
      <c r="F6072" s="758"/>
      <c r="G6072" s="759"/>
      <c r="H6072" s="759"/>
      <c r="I6072" s="1087"/>
      <c r="J6072" s="1088">
        <v>42766</v>
      </c>
    </row>
    <row r="6073" spans="1:10" s="641" customFormat="1" ht="13.5" x14ac:dyDescent="0.25">
      <c r="A6073" s="1086" t="s">
        <v>6148</v>
      </c>
      <c r="B6073" s="757" t="s">
        <v>5435</v>
      </c>
      <c r="C6073" s="757"/>
      <c r="D6073" s="757" t="s">
        <v>6120</v>
      </c>
      <c r="E6073" s="757"/>
      <c r="F6073" s="758"/>
      <c r="G6073" s="759"/>
      <c r="H6073" s="759"/>
      <c r="I6073" s="1087"/>
      <c r="J6073" s="1088">
        <v>42766</v>
      </c>
    </row>
    <row r="6074" spans="1:10" x14ac:dyDescent="0.25">
      <c r="J6074" s="669"/>
    </row>
    <row r="6075" spans="1:10" s="641" customFormat="1" ht="13.5" x14ac:dyDescent="0.25">
      <c r="A6075" s="1086" t="s">
        <v>6128</v>
      </c>
      <c r="B6075" s="757" t="s">
        <v>2269</v>
      </c>
      <c r="C6075" s="757"/>
      <c r="D6075" s="757" t="s">
        <v>6121</v>
      </c>
      <c r="E6075" s="757"/>
      <c r="F6075" s="758"/>
      <c r="G6075" s="759"/>
      <c r="H6075" s="759"/>
      <c r="I6075" s="1087"/>
      <c r="J6075" s="1088">
        <v>42766</v>
      </c>
    </row>
    <row r="6076" spans="1:10" s="641" customFormat="1" ht="13.5" x14ac:dyDescent="0.25">
      <c r="A6076" s="1086" t="s">
        <v>6129</v>
      </c>
      <c r="B6076" s="757" t="s">
        <v>5548</v>
      </c>
      <c r="C6076" s="757"/>
      <c r="D6076" s="757" t="s">
        <v>6121</v>
      </c>
      <c r="E6076" s="757"/>
      <c r="F6076" s="758"/>
      <c r="G6076" s="759"/>
      <c r="H6076" s="759"/>
      <c r="I6076" s="1087"/>
      <c r="J6076" s="1088">
        <v>42766</v>
      </c>
    </row>
    <row r="6077" spans="1:10" s="641" customFormat="1" ht="13.5" x14ac:dyDescent="0.25">
      <c r="A6077" s="1086" t="s">
        <v>6130</v>
      </c>
      <c r="B6077" s="757" t="s">
        <v>4847</v>
      </c>
      <c r="C6077" s="757"/>
      <c r="D6077" s="757" t="s">
        <v>6121</v>
      </c>
      <c r="E6077" s="757"/>
      <c r="F6077" s="758"/>
      <c r="G6077" s="759"/>
      <c r="H6077" s="759"/>
      <c r="I6077" s="1087"/>
      <c r="J6077" s="1088">
        <v>42766</v>
      </c>
    </row>
    <row r="6078" spans="1:10" s="641" customFormat="1" ht="13.5" x14ac:dyDescent="0.25">
      <c r="A6078" s="1086" t="s">
        <v>6131</v>
      </c>
      <c r="B6078" s="757" t="s">
        <v>5406</v>
      </c>
      <c r="C6078" s="757"/>
      <c r="D6078" s="757" t="s">
        <v>6121</v>
      </c>
      <c r="E6078" s="757"/>
      <c r="F6078" s="758"/>
      <c r="G6078" s="759"/>
      <c r="H6078" s="759"/>
      <c r="I6078" s="1087"/>
      <c r="J6078" s="1088">
        <v>42766</v>
      </c>
    </row>
    <row r="6079" spans="1:10" s="641" customFormat="1" ht="13.5" x14ac:dyDescent="0.25">
      <c r="A6079" s="1086" t="s">
        <v>6132</v>
      </c>
      <c r="B6079" s="757" t="s">
        <v>5411</v>
      </c>
      <c r="C6079" s="757"/>
      <c r="D6079" s="757" t="s">
        <v>6121</v>
      </c>
      <c r="E6079" s="757"/>
      <c r="F6079" s="758"/>
      <c r="G6079" s="759"/>
      <c r="H6079" s="759"/>
      <c r="I6079" s="1087"/>
      <c r="J6079" s="1088">
        <v>42766</v>
      </c>
    </row>
    <row r="6080" spans="1:10" s="641" customFormat="1" ht="13.5" x14ac:dyDescent="0.25">
      <c r="A6080" s="1086" t="s">
        <v>6133</v>
      </c>
      <c r="B6080" s="757" t="s">
        <v>5412</v>
      </c>
      <c r="C6080" s="757"/>
      <c r="D6080" s="757" t="s">
        <v>6121</v>
      </c>
      <c r="E6080" s="757"/>
      <c r="F6080" s="758"/>
      <c r="G6080" s="759"/>
      <c r="H6080" s="759"/>
      <c r="I6080" s="1087"/>
      <c r="J6080" s="1088">
        <v>42766</v>
      </c>
    </row>
    <row r="6081" spans="1:13" s="641" customFormat="1" ht="13.5" x14ac:dyDescent="0.25">
      <c r="A6081" s="1086" t="s">
        <v>6134</v>
      </c>
      <c r="B6081" s="757" t="s">
        <v>2034</v>
      </c>
      <c r="C6081" s="757"/>
      <c r="D6081" s="757" t="s">
        <v>6121</v>
      </c>
      <c r="E6081" s="757"/>
      <c r="F6081" s="758"/>
      <c r="G6081" s="759"/>
      <c r="H6081" s="759"/>
      <c r="I6081" s="1087"/>
      <c r="J6081" s="1088">
        <v>42766</v>
      </c>
    </row>
    <row r="6082" spans="1:13" s="641" customFormat="1" ht="13.5" x14ac:dyDescent="0.25">
      <c r="A6082" s="1086" t="s">
        <v>6135</v>
      </c>
      <c r="B6082" s="757" t="s">
        <v>2067</v>
      </c>
      <c r="C6082" s="757"/>
      <c r="D6082" s="757" t="s">
        <v>6121</v>
      </c>
      <c r="E6082" s="757"/>
      <c r="F6082" s="758"/>
      <c r="G6082" s="759"/>
      <c r="H6082" s="759"/>
      <c r="I6082" s="1087"/>
      <c r="J6082" s="1088">
        <v>42766</v>
      </c>
    </row>
    <row r="6083" spans="1:13" s="641" customFormat="1" ht="13.5" x14ac:dyDescent="0.25">
      <c r="A6083" s="1086" t="s">
        <v>6127</v>
      </c>
      <c r="B6083" s="757" t="s">
        <v>3374</v>
      </c>
      <c r="C6083" s="757"/>
      <c r="D6083" s="757" t="s">
        <v>6121</v>
      </c>
      <c r="E6083" s="757"/>
      <c r="F6083" s="758"/>
      <c r="G6083" s="759"/>
      <c r="H6083" s="759"/>
      <c r="I6083" s="1087"/>
      <c r="J6083" s="1088">
        <v>42766</v>
      </c>
    </row>
    <row r="6084" spans="1:13" s="641" customFormat="1" ht="13.5" x14ac:dyDescent="0.25">
      <c r="A6084" s="1086" t="s">
        <v>6126</v>
      </c>
      <c r="B6084" s="757" t="s">
        <v>3382</v>
      </c>
      <c r="C6084" s="757"/>
      <c r="D6084" s="757" t="s">
        <v>6121</v>
      </c>
      <c r="E6084" s="757"/>
      <c r="F6084" s="758"/>
      <c r="G6084" s="759"/>
      <c r="H6084" s="759"/>
      <c r="I6084" s="1087"/>
      <c r="J6084" s="1088">
        <v>42766</v>
      </c>
    </row>
    <row r="6085" spans="1:13" s="641" customFormat="1" ht="13.5" x14ac:dyDescent="0.25">
      <c r="A6085" s="1086" t="s">
        <v>6125</v>
      </c>
      <c r="B6085" s="757" t="s">
        <v>3390</v>
      </c>
      <c r="C6085" s="757"/>
      <c r="D6085" s="757" t="s">
        <v>6121</v>
      </c>
      <c r="E6085" s="757"/>
      <c r="F6085" s="758"/>
      <c r="G6085" s="759"/>
      <c r="H6085" s="759"/>
      <c r="I6085" s="1087"/>
      <c r="J6085" s="1088">
        <v>42766</v>
      </c>
    </row>
    <row r="6086" spans="1:13" s="641" customFormat="1" ht="13.5" x14ac:dyDescent="0.25">
      <c r="A6086" s="1086" t="s">
        <v>6124</v>
      </c>
      <c r="B6086" s="757" t="s">
        <v>740</v>
      </c>
      <c r="C6086" s="757"/>
      <c r="D6086" s="757" t="s">
        <v>6121</v>
      </c>
      <c r="E6086" s="757"/>
      <c r="F6086" s="758"/>
      <c r="G6086" s="759"/>
      <c r="H6086" s="759"/>
      <c r="I6086" s="1087"/>
      <c r="J6086" s="1088">
        <v>42766</v>
      </c>
    </row>
    <row r="6087" spans="1:13" s="641" customFormat="1" ht="13.5" x14ac:dyDescent="0.25">
      <c r="A6087" s="1086" t="s">
        <v>6123</v>
      </c>
      <c r="B6087" s="757" t="s">
        <v>5435</v>
      </c>
      <c r="C6087" s="757"/>
      <c r="D6087" s="757" t="s">
        <v>6121</v>
      </c>
      <c r="E6087" s="757"/>
      <c r="F6087" s="758"/>
      <c r="G6087" s="759"/>
      <c r="H6087" s="759"/>
      <c r="I6087" s="1087"/>
      <c r="J6087" s="1088">
        <v>42766</v>
      </c>
    </row>
    <row r="6088" spans="1:13" x14ac:dyDescent="0.25">
      <c r="J6088" s="669"/>
      <c r="K6088" s="238"/>
      <c r="L6088" s="238"/>
    </row>
    <row r="6089" spans="1:13" ht="192" customHeight="1" x14ac:dyDescent="0.25">
      <c r="A6089" s="1136" t="s">
        <v>945</v>
      </c>
      <c r="B6089" s="1136"/>
      <c r="C6089" s="1136"/>
      <c r="D6089" s="1136"/>
      <c r="E6089" s="1136"/>
      <c r="F6089" s="1136"/>
      <c r="G6089" s="429"/>
      <c r="H6089" s="508" t="str">
        <f>IF(ISNUMBER(G6089),ROUND(0.8*G6089,2),"")</f>
        <v/>
      </c>
      <c r="I6089" s="741"/>
      <c r="J6089" s="669" t="s">
        <v>4180</v>
      </c>
      <c r="M6089" s="238"/>
    </row>
    <row r="6090" spans="1:13" x14ac:dyDescent="0.25">
      <c r="H6090" s="15" t="str">
        <f>IF(ISNUMBER(G6090),ROUND(0.8*G6090,2),"")</f>
        <v/>
      </c>
      <c r="J6090" s="669" t="s">
        <v>4180</v>
      </c>
    </row>
    <row r="6091" spans="1:13" s="641" customFormat="1" ht="13.5" x14ac:dyDescent="0.25">
      <c r="A6091" s="1093" t="s">
        <v>4233</v>
      </c>
      <c r="B6091" s="1094" t="s">
        <v>5548</v>
      </c>
      <c r="C6091" s="1094"/>
      <c r="D6091" s="1094" t="s">
        <v>2946</v>
      </c>
      <c r="E6091" s="1094"/>
      <c r="F6091" s="1095"/>
      <c r="G6091" s="1095"/>
      <c r="H6091" s="1095"/>
      <c r="I6091" s="1096"/>
      <c r="J6091" s="1088" t="s">
        <v>5805</v>
      </c>
    </row>
    <row r="6092" spans="1:13" x14ac:dyDescent="0.25">
      <c r="H6092" s="15" t="str">
        <f t="shared" ref="H6092:H6124" si="1932">IF(ISNUMBER(G6092),ROUND(0.8*G6092,2),"")</f>
        <v/>
      </c>
      <c r="J6092" s="669" t="s">
        <v>4180</v>
      </c>
    </row>
    <row r="6093" spans="1:13" ht="210" customHeight="1" x14ac:dyDescent="0.25">
      <c r="A6093" s="1136" t="s">
        <v>7450</v>
      </c>
      <c r="B6093" s="1136"/>
      <c r="C6093" s="1136"/>
      <c r="D6093" s="1136"/>
      <c r="E6093" s="1136"/>
      <c r="F6093" s="1136"/>
      <c r="G6093" s="429"/>
      <c r="H6093" s="508" t="str">
        <f t="shared" si="1932"/>
        <v/>
      </c>
      <c r="I6093" s="741"/>
      <c r="J6093" s="669">
        <v>42705</v>
      </c>
    </row>
    <row r="6094" spans="1:13" x14ac:dyDescent="0.25">
      <c r="H6094" s="15" t="str">
        <f t="shared" si="1932"/>
        <v/>
      </c>
      <c r="J6094" s="669" t="s">
        <v>4180</v>
      </c>
    </row>
    <row r="6095" spans="1:13" x14ac:dyDescent="0.25">
      <c r="A6095" s="607" t="s">
        <v>283</v>
      </c>
      <c r="B6095" s="435" t="s">
        <v>2269</v>
      </c>
      <c r="C6095" s="436"/>
      <c r="D6095" s="436" t="s">
        <v>1505</v>
      </c>
      <c r="E6095" s="435"/>
      <c r="F6095" s="450">
        <v>0</v>
      </c>
      <c r="G6095" s="450">
        <v>0</v>
      </c>
      <c r="H6095" s="450">
        <f t="shared" si="1932"/>
        <v>0</v>
      </c>
      <c r="I6095" s="740"/>
      <c r="J6095" s="669" t="s">
        <v>5805</v>
      </c>
    </row>
    <row r="6096" spans="1:13" x14ac:dyDescent="0.25">
      <c r="A6096" s="607" t="s">
        <v>284</v>
      </c>
      <c r="B6096" s="435" t="s">
        <v>5548</v>
      </c>
      <c r="C6096" s="436"/>
      <c r="D6096" s="436" t="s">
        <v>1505</v>
      </c>
      <c r="E6096" s="435"/>
      <c r="F6096" s="450">
        <v>0</v>
      </c>
      <c r="G6096" s="450">
        <v>0</v>
      </c>
      <c r="H6096" s="450">
        <f t="shared" si="1932"/>
        <v>0</v>
      </c>
      <c r="I6096" s="740"/>
      <c r="J6096" s="669" t="s">
        <v>5805</v>
      </c>
    </row>
    <row r="6097" spans="1:10" x14ac:dyDescent="0.25">
      <c r="A6097" s="607" t="s">
        <v>285</v>
      </c>
      <c r="B6097" s="435" t="s">
        <v>4847</v>
      </c>
      <c r="C6097" s="436"/>
      <c r="D6097" s="436" t="s">
        <v>1505</v>
      </c>
      <c r="E6097" s="435"/>
      <c r="F6097" s="450">
        <v>0</v>
      </c>
      <c r="G6097" s="450">
        <v>0</v>
      </c>
      <c r="H6097" s="450">
        <f t="shared" si="1932"/>
        <v>0</v>
      </c>
      <c r="I6097" s="740"/>
      <c r="J6097" s="669" t="s">
        <v>5805</v>
      </c>
    </row>
    <row r="6098" spans="1:10" x14ac:dyDescent="0.25">
      <c r="A6098" s="607" t="s">
        <v>286</v>
      </c>
      <c r="B6098" s="435" t="s">
        <v>5406</v>
      </c>
      <c r="C6098" s="436"/>
      <c r="D6098" s="436" t="s">
        <v>1505</v>
      </c>
      <c r="E6098" s="435"/>
      <c r="F6098" s="450">
        <v>0</v>
      </c>
      <c r="G6098" s="450">
        <v>0</v>
      </c>
      <c r="H6098" s="450">
        <f t="shared" si="1932"/>
        <v>0</v>
      </c>
      <c r="I6098" s="740"/>
      <c r="J6098" s="669" t="s">
        <v>5805</v>
      </c>
    </row>
    <row r="6099" spans="1:10" x14ac:dyDescent="0.25">
      <c r="A6099" s="607" t="s">
        <v>287</v>
      </c>
      <c r="B6099" s="435" t="s">
        <v>5411</v>
      </c>
      <c r="C6099" s="436"/>
      <c r="D6099" s="436" t="s">
        <v>1505</v>
      </c>
      <c r="E6099" s="435"/>
      <c r="F6099" s="450">
        <v>0</v>
      </c>
      <c r="G6099" s="450">
        <v>0</v>
      </c>
      <c r="H6099" s="450">
        <f t="shared" si="1932"/>
        <v>0</v>
      </c>
      <c r="I6099" s="740"/>
      <c r="J6099" s="669" t="s">
        <v>5805</v>
      </c>
    </row>
    <row r="6100" spans="1:10" x14ac:dyDescent="0.25">
      <c r="A6100" s="607" t="s">
        <v>288</v>
      </c>
      <c r="B6100" s="435" t="s">
        <v>5412</v>
      </c>
      <c r="C6100" s="436"/>
      <c r="D6100" s="436" t="s">
        <v>1505</v>
      </c>
      <c r="E6100" s="435"/>
      <c r="F6100" s="450">
        <v>0</v>
      </c>
      <c r="G6100" s="450">
        <v>0</v>
      </c>
      <c r="H6100" s="450">
        <f t="shared" si="1932"/>
        <v>0</v>
      </c>
      <c r="I6100" s="740"/>
      <c r="J6100" s="669" t="s">
        <v>5805</v>
      </c>
    </row>
    <row r="6101" spans="1:10" x14ac:dyDescent="0.25">
      <c r="A6101" s="607" t="s">
        <v>289</v>
      </c>
      <c r="B6101" s="435" t="s">
        <v>2034</v>
      </c>
      <c r="C6101" s="436"/>
      <c r="D6101" s="436" t="s">
        <v>1505</v>
      </c>
      <c r="E6101" s="435"/>
      <c r="F6101" s="450">
        <v>0</v>
      </c>
      <c r="G6101" s="450">
        <v>0</v>
      </c>
      <c r="H6101" s="450">
        <f t="shared" si="1932"/>
        <v>0</v>
      </c>
      <c r="I6101" s="740"/>
      <c r="J6101" s="669" t="s">
        <v>5805</v>
      </c>
    </row>
    <row r="6102" spans="1:10" x14ac:dyDescent="0.25">
      <c r="A6102" s="607" t="s">
        <v>290</v>
      </c>
      <c r="B6102" s="435" t="s">
        <v>2067</v>
      </c>
      <c r="C6102" s="436"/>
      <c r="D6102" s="436" t="s">
        <v>1505</v>
      </c>
      <c r="E6102" s="435"/>
      <c r="F6102" s="450">
        <v>0</v>
      </c>
      <c r="G6102" s="450">
        <v>0</v>
      </c>
      <c r="H6102" s="450">
        <f t="shared" si="1932"/>
        <v>0</v>
      </c>
      <c r="I6102" s="740"/>
      <c r="J6102" s="669" t="s">
        <v>5805</v>
      </c>
    </row>
    <row r="6103" spans="1:10" x14ac:dyDescent="0.25">
      <c r="A6103" s="607" t="s">
        <v>291</v>
      </c>
      <c r="B6103" s="435" t="s">
        <v>3374</v>
      </c>
      <c r="C6103" s="436"/>
      <c r="D6103" s="436" t="s">
        <v>1505</v>
      </c>
      <c r="E6103" s="435"/>
      <c r="F6103" s="450">
        <v>0</v>
      </c>
      <c r="G6103" s="450">
        <v>0</v>
      </c>
      <c r="H6103" s="450">
        <f t="shared" si="1932"/>
        <v>0</v>
      </c>
      <c r="I6103" s="740"/>
      <c r="J6103" s="669" t="s">
        <v>5805</v>
      </c>
    </row>
    <row r="6104" spans="1:10" x14ac:dyDescent="0.25">
      <c r="A6104" s="607" t="s">
        <v>292</v>
      </c>
      <c r="B6104" s="435" t="s">
        <v>3382</v>
      </c>
      <c r="C6104" s="436"/>
      <c r="D6104" s="436" t="s">
        <v>1505</v>
      </c>
      <c r="E6104" s="435"/>
      <c r="F6104" s="450">
        <v>0</v>
      </c>
      <c r="G6104" s="450">
        <v>0</v>
      </c>
      <c r="H6104" s="450">
        <f t="shared" si="1932"/>
        <v>0</v>
      </c>
      <c r="I6104" s="740"/>
      <c r="J6104" s="669" t="s">
        <v>5805</v>
      </c>
    </row>
    <row r="6105" spans="1:10" x14ac:dyDescent="0.25">
      <c r="A6105" s="607" t="s">
        <v>293</v>
      </c>
      <c r="B6105" s="435" t="s">
        <v>3390</v>
      </c>
      <c r="C6105" s="436"/>
      <c r="D6105" s="436" t="s">
        <v>1505</v>
      </c>
      <c r="E6105" s="435"/>
      <c r="F6105" s="450">
        <v>0</v>
      </c>
      <c r="G6105" s="450">
        <v>0</v>
      </c>
      <c r="H6105" s="450">
        <f t="shared" si="1932"/>
        <v>0</v>
      </c>
      <c r="I6105" s="740"/>
      <c r="J6105" s="669" t="s">
        <v>5805</v>
      </c>
    </row>
    <row r="6106" spans="1:10" x14ac:dyDescent="0.25">
      <c r="A6106" s="607" t="s">
        <v>281</v>
      </c>
      <c r="B6106" s="435" t="s">
        <v>740</v>
      </c>
      <c r="C6106" s="436"/>
      <c r="D6106" s="436" t="s">
        <v>1505</v>
      </c>
      <c r="E6106" s="435"/>
      <c r="F6106" s="450">
        <v>0</v>
      </c>
      <c r="G6106" s="450">
        <v>0</v>
      </c>
      <c r="H6106" s="450">
        <f t="shared" si="1932"/>
        <v>0</v>
      </c>
      <c r="I6106" s="740"/>
      <c r="J6106" s="669" t="s">
        <v>5805</v>
      </c>
    </row>
    <row r="6107" spans="1:10" x14ac:dyDescent="0.25">
      <c r="A6107" s="607" t="s">
        <v>282</v>
      </c>
      <c r="B6107" s="435" t="s">
        <v>5435</v>
      </c>
      <c r="C6107" s="436"/>
      <c r="D6107" s="436" t="s">
        <v>1505</v>
      </c>
      <c r="E6107" s="435"/>
      <c r="F6107" s="450">
        <v>0</v>
      </c>
      <c r="G6107" s="450">
        <v>0</v>
      </c>
      <c r="H6107" s="450">
        <f t="shared" si="1932"/>
        <v>0</v>
      </c>
      <c r="I6107" s="740"/>
      <c r="J6107" s="669" t="s">
        <v>5805</v>
      </c>
    </row>
    <row r="6108" spans="1:10" x14ac:dyDescent="0.25">
      <c r="A6108" s="607" t="s">
        <v>331</v>
      </c>
      <c r="B6108" s="435" t="s">
        <v>5435</v>
      </c>
      <c r="C6108" s="436"/>
      <c r="D6108" s="436" t="s">
        <v>1505</v>
      </c>
      <c r="E6108" s="435" t="s">
        <v>1053</v>
      </c>
      <c r="F6108" s="450">
        <v>0</v>
      </c>
      <c r="G6108" s="450">
        <v>0</v>
      </c>
      <c r="H6108" s="450">
        <f t="shared" si="1932"/>
        <v>0</v>
      </c>
      <c r="I6108" s="740"/>
      <c r="J6108" s="669" t="s">
        <v>5805</v>
      </c>
    </row>
    <row r="6109" spans="1:10" x14ac:dyDescent="0.25">
      <c r="A6109" s="254"/>
      <c r="H6109" s="15" t="str">
        <f t="shared" si="1932"/>
        <v/>
      </c>
      <c r="J6109" s="669" t="s">
        <v>4180</v>
      </c>
    </row>
    <row r="6110" spans="1:10" x14ac:dyDescent="0.25">
      <c r="A6110" s="607" t="s">
        <v>1492</v>
      </c>
      <c r="B6110" s="435" t="s">
        <v>2269</v>
      </c>
      <c r="C6110" s="436"/>
      <c r="D6110" s="436" t="s">
        <v>1506</v>
      </c>
      <c r="E6110" s="435"/>
      <c r="F6110" s="450">
        <v>0</v>
      </c>
      <c r="G6110" s="450">
        <v>0</v>
      </c>
      <c r="H6110" s="450">
        <f t="shared" si="1932"/>
        <v>0</v>
      </c>
      <c r="I6110" s="740"/>
      <c r="J6110" s="669" t="s">
        <v>5805</v>
      </c>
    </row>
    <row r="6111" spans="1:10" x14ac:dyDescent="0.25">
      <c r="A6111" s="607" t="s">
        <v>1493</v>
      </c>
      <c r="B6111" s="435" t="s">
        <v>5548</v>
      </c>
      <c r="C6111" s="436"/>
      <c r="D6111" s="436" t="s">
        <v>1506</v>
      </c>
      <c r="E6111" s="435"/>
      <c r="F6111" s="450">
        <v>0</v>
      </c>
      <c r="G6111" s="450">
        <v>0</v>
      </c>
      <c r="H6111" s="450">
        <f t="shared" si="1932"/>
        <v>0</v>
      </c>
      <c r="I6111" s="740"/>
      <c r="J6111" s="669" t="s">
        <v>5805</v>
      </c>
    </row>
    <row r="6112" spans="1:10" x14ac:dyDescent="0.25">
      <c r="A6112" s="607" t="s">
        <v>1494</v>
      </c>
      <c r="B6112" s="435" t="s">
        <v>4847</v>
      </c>
      <c r="C6112" s="436"/>
      <c r="D6112" s="436" t="s">
        <v>1506</v>
      </c>
      <c r="E6112" s="435"/>
      <c r="F6112" s="450">
        <v>0</v>
      </c>
      <c r="G6112" s="450">
        <v>0</v>
      </c>
      <c r="H6112" s="450">
        <f t="shared" si="1932"/>
        <v>0</v>
      </c>
      <c r="I6112" s="740"/>
      <c r="J6112" s="669" t="s">
        <v>5805</v>
      </c>
    </row>
    <row r="6113" spans="1:10" x14ac:dyDescent="0.25">
      <c r="A6113" s="607" t="s">
        <v>1495</v>
      </c>
      <c r="B6113" s="435" t="s">
        <v>5406</v>
      </c>
      <c r="C6113" s="436"/>
      <c r="D6113" s="436" t="s">
        <v>1506</v>
      </c>
      <c r="E6113" s="435"/>
      <c r="F6113" s="450">
        <v>0</v>
      </c>
      <c r="G6113" s="450">
        <v>0</v>
      </c>
      <c r="H6113" s="450">
        <f t="shared" si="1932"/>
        <v>0</v>
      </c>
      <c r="I6113" s="740"/>
      <c r="J6113" s="669" t="s">
        <v>5805</v>
      </c>
    </row>
    <row r="6114" spans="1:10" x14ac:dyDescent="0.25">
      <c r="A6114" s="607" t="s">
        <v>1496</v>
      </c>
      <c r="B6114" s="435" t="s">
        <v>5411</v>
      </c>
      <c r="C6114" s="436"/>
      <c r="D6114" s="436" t="s">
        <v>1506</v>
      </c>
      <c r="E6114" s="435"/>
      <c r="F6114" s="450">
        <v>0</v>
      </c>
      <c r="G6114" s="450">
        <v>0</v>
      </c>
      <c r="H6114" s="450">
        <f t="shared" si="1932"/>
        <v>0</v>
      </c>
      <c r="I6114" s="740"/>
      <c r="J6114" s="669" t="s">
        <v>5805</v>
      </c>
    </row>
    <row r="6115" spans="1:10" x14ac:dyDescent="0.25">
      <c r="A6115" s="607" t="s">
        <v>1497</v>
      </c>
      <c r="B6115" s="435" t="s">
        <v>5412</v>
      </c>
      <c r="C6115" s="436"/>
      <c r="D6115" s="436" t="s">
        <v>1506</v>
      </c>
      <c r="E6115" s="435"/>
      <c r="F6115" s="450">
        <v>0</v>
      </c>
      <c r="G6115" s="450">
        <v>0</v>
      </c>
      <c r="H6115" s="450">
        <f t="shared" si="1932"/>
        <v>0</v>
      </c>
      <c r="I6115" s="740"/>
      <c r="J6115" s="669" t="s">
        <v>5805</v>
      </c>
    </row>
    <row r="6116" spans="1:10" x14ac:dyDescent="0.25">
      <c r="A6116" s="607" t="s">
        <v>1498</v>
      </c>
      <c r="B6116" s="435" t="s">
        <v>2034</v>
      </c>
      <c r="C6116" s="436"/>
      <c r="D6116" s="436" t="s">
        <v>1506</v>
      </c>
      <c r="E6116" s="435"/>
      <c r="F6116" s="450">
        <v>0</v>
      </c>
      <c r="G6116" s="450">
        <v>0</v>
      </c>
      <c r="H6116" s="450">
        <f t="shared" si="1932"/>
        <v>0</v>
      </c>
      <c r="I6116" s="740"/>
      <c r="J6116" s="669" t="s">
        <v>5805</v>
      </c>
    </row>
    <row r="6117" spans="1:10" x14ac:dyDescent="0.25">
      <c r="A6117" s="607" t="s">
        <v>1499</v>
      </c>
      <c r="B6117" s="435" t="s">
        <v>2067</v>
      </c>
      <c r="C6117" s="436"/>
      <c r="D6117" s="436" t="s">
        <v>1506</v>
      </c>
      <c r="E6117" s="435"/>
      <c r="F6117" s="450">
        <v>0</v>
      </c>
      <c r="G6117" s="450">
        <v>0</v>
      </c>
      <c r="H6117" s="450">
        <f t="shared" si="1932"/>
        <v>0</v>
      </c>
      <c r="I6117" s="740"/>
      <c r="J6117" s="669" t="s">
        <v>5805</v>
      </c>
    </row>
    <row r="6118" spans="1:10" x14ac:dyDescent="0.25">
      <c r="A6118" s="607" t="s">
        <v>1500</v>
      </c>
      <c r="B6118" s="435" t="s">
        <v>3374</v>
      </c>
      <c r="C6118" s="436"/>
      <c r="D6118" s="436" t="s">
        <v>1506</v>
      </c>
      <c r="E6118" s="435"/>
      <c r="F6118" s="450">
        <v>0</v>
      </c>
      <c r="G6118" s="450">
        <v>0</v>
      </c>
      <c r="H6118" s="450">
        <f t="shared" si="1932"/>
        <v>0</v>
      </c>
      <c r="I6118" s="740"/>
      <c r="J6118" s="669" t="s">
        <v>5805</v>
      </c>
    </row>
    <row r="6119" spans="1:10" x14ac:dyDescent="0.25">
      <c r="A6119" s="607" t="s">
        <v>1501</v>
      </c>
      <c r="B6119" s="435" t="s">
        <v>3382</v>
      </c>
      <c r="C6119" s="436"/>
      <c r="D6119" s="436" t="s">
        <v>1506</v>
      </c>
      <c r="E6119" s="435"/>
      <c r="F6119" s="450">
        <v>0</v>
      </c>
      <c r="G6119" s="450">
        <v>0</v>
      </c>
      <c r="H6119" s="450">
        <f t="shared" si="1932"/>
        <v>0</v>
      </c>
      <c r="I6119" s="740"/>
      <c r="J6119" s="669" t="s">
        <v>5805</v>
      </c>
    </row>
    <row r="6120" spans="1:10" x14ac:dyDescent="0.25">
      <c r="A6120" s="607" t="s">
        <v>1502</v>
      </c>
      <c r="B6120" s="435" t="s">
        <v>3390</v>
      </c>
      <c r="C6120" s="436"/>
      <c r="D6120" s="436" t="s">
        <v>1506</v>
      </c>
      <c r="E6120" s="435"/>
      <c r="F6120" s="450">
        <v>0</v>
      </c>
      <c r="G6120" s="450">
        <v>0</v>
      </c>
      <c r="H6120" s="450">
        <f t="shared" si="1932"/>
        <v>0</v>
      </c>
      <c r="I6120" s="740"/>
      <c r="J6120" s="669" t="s">
        <v>5805</v>
      </c>
    </row>
    <row r="6121" spans="1:10" x14ac:dyDescent="0.25">
      <c r="A6121" s="607" t="s">
        <v>1503</v>
      </c>
      <c r="B6121" s="435" t="s">
        <v>740</v>
      </c>
      <c r="C6121" s="436"/>
      <c r="D6121" s="436" t="s">
        <v>1506</v>
      </c>
      <c r="E6121" s="435"/>
      <c r="F6121" s="450">
        <v>0</v>
      </c>
      <c r="G6121" s="450">
        <v>0</v>
      </c>
      <c r="H6121" s="450">
        <f t="shared" si="1932"/>
        <v>0</v>
      </c>
      <c r="I6121" s="740"/>
      <c r="J6121" s="669" t="s">
        <v>5805</v>
      </c>
    </row>
    <row r="6122" spans="1:10" x14ac:dyDescent="0.25">
      <c r="A6122" s="607" t="s">
        <v>1504</v>
      </c>
      <c r="B6122" s="435" t="s">
        <v>5435</v>
      </c>
      <c r="C6122" s="436"/>
      <c r="D6122" s="436" t="s">
        <v>1506</v>
      </c>
      <c r="E6122" s="435"/>
      <c r="F6122" s="450">
        <v>0</v>
      </c>
      <c r="G6122" s="450">
        <v>0</v>
      </c>
      <c r="H6122" s="450">
        <f t="shared" si="1932"/>
        <v>0</v>
      </c>
      <c r="I6122" s="740"/>
      <c r="J6122" s="669" t="s">
        <v>5805</v>
      </c>
    </row>
    <row r="6123" spans="1:10" s="774" customFormat="1" x14ac:dyDescent="0.25">
      <c r="F6123" s="471"/>
      <c r="G6123" s="769"/>
      <c r="H6123" s="769" t="str">
        <f t="shared" si="1932"/>
        <v/>
      </c>
      <c r="I6123" s="691"/>
      <c r="J6123" s="669" t="s">
        <v>4180</v>
      </c>
    </row>
    <row r="6124" spans="1:10" ht="76.5" customHeight="1" x14ac:dyDescent="0.25">
      <c r="A6124" s="1136" t="s">
        <v>7451</v>
      </c>
      <c r="B6124" s="1136"/>
      <c r="C6124" s="1136"/>
      <c r="D6124" s="1136"/>
      <c r="E6124" s="1136"/>
      <c r="F6124" s="1136"/>
      <c r="G6124" s="65"/>
      <c r="H6124" s="74" t="str">
        <f t="shared" si="1932"/>
        <v/>
      </c>
      <c r="I6124" s="693"/>
      <c r="J6124" s="669" t="s">
        <v>5805</v>
      </c>
    </row>
    <row r="6125" spans="1:10" x14ac:dyDescent="0.25">
      <c r="J6125" s="669" t="s">
        <v>4180</v>
      </c>
    </row>
    <row r="6126" spans="1:10" x14ac:dyDescent="0.25">
      <c r="A6126" s="607" t="s">
        <v>1483</v>
      </c>
      <c r="B6126" s="435" t="s">
        <v>5548</v>
      </c>
      <c r="C6126" s="436"/>
      <c r="D6126" s="436" t="s">
        <v>6076</v>
      </c>
      <c r="E6126" s="435"/>
      <c r="F6126" s="673"/>
      <c r="G6126" s="673"/>
      <c r="H6126" s="673"/>
      <c r="I6126" s="745"/>
      <c r="J6126" s="669" t="s">
        <v>5805</v>
      </c>
    </row>
    <row r="6127" spans="1:10" x14ac:dyDescent="0.25">
      <c r="A6127" s="607" t="s">
        <v>335</v>
      </c>
      <c r="B6127" s="435" t="s">
        <v>5548</v>
      </c>
      <c r="C6127" s="436"/>
      <c r="D6127" s="436" t="s">
        <v>336</v>
      </c>
      <c r="E6127" s="435"/>
      <c r="F6127" s="673"/>
      <c r="G6127" s="673"/>
      <c r="H6127" s="673"/>
      <c r="I6127" s="745"/>
      <c r="J6127" s="669" t="s">
        <v>5805</v>
      </c>
    </row>
    <row r="6128" spans="1:10" x14ac:dyDescent="0.25">
      <c r="H6128" s="15" t="str">
        <f t="shared" ref="H6128:H6134" si="1933">IF(ISNUMBER(G6128),ROUND(0.8*G6128,2),"")</f>
        <v/>
      </c>
      <c r="J6128" s="669" t="s">
        <v>4180</v>
      </c>
    </row>
    <row r="6129" spans="1:29" s="259" customFormat="1" ht="33" customHeight="1" x14ac:dyDescent="0.25">
      <c r="A6129" s="806" t="s">
        <v>7707</v>
      </c>
      <c r="B6129" s="806"/>
      <c r="C6129" s="806"/>
      <c r="D6129" s="806"/>
      <c r="E6129" s="806"/>
      <c r="F6129" s="806"/>
      <c r="G6129" s="806"/>
      <c r="H6129" s="806"/>
      <c r="I6129" s="729"/>
      <c r="J6129" s="669">
        <v>44536</v>
      </c>
    </row>
    <row r="6130" spans="1:29" s="238" customFormat="1" ht="62.85" customHeight="1" x14ac:dyDescent="0.25">
      <c r="A6130" s="1130" t="s">
        <v>8190</v>
      </c>
      <c r="B6130" s="1130"/>
      <c r="C6130" s="1130"/>
      <c r="D6130" s="1130"/>
      <c r="E6130" s="1130"/>
      <c r="F6130" s="1130"/>
      <c r="G6130" s="428"/>
      <c r="H6130" s="504" t="str">
        <f t="shared" si="1933"/>
        <v/>
      </c>
      <c r="I6130" s="731"/>
      <c r="J6130" s="669">
        <v>44536</v>
      </c>
    </row>
    <row r="6131" spans="1:29" s="238" customFormat="1" ht="35.25" customHeight="1" x14ac:dyDescent="0.25">
      <c r="A6131" s="1130" t="s">
        <v>8191</v>
      </c>
      <c r="B6131" s="1130"/>
      <c r="C6131" s="1130"/>
      <c r="D6131" s="1130"/>
      <c r="E6131" s="1130"/>
      <c r="F6131" s="1130"/>
      <c r="G6131" s="1130"/>
      <c r="H6131" s="1130"/>
      <c r="I6131" s="1130"/>
      <c r="J6131" s="669">
        <v>44592</v>
      </c>
    </row>
    <row r="6132" spans="1:29" s="238" customFormat="1" ht="35.1" customHeight="1" x14ac:dyDescent="0.25">
      <c r="A6132" s="1131" t="s">
        <v>7711</v>
      </c>
      <c r="B6132" s="1131"/>
      <c r="C6132" s="1131"/>
      <c r="D6132" s="1131"/>
      <c r="E6132" s="1131"/>
      <c r="F6132" s="1131"/>
      <c r="G6132" s="827"/>
      <c r="H6132" s="830" t="str">
        <f t="shared" si="1933"/>
        <v/>
      </c>
      <c r="I6132" s="831"/>
      <c r="J6132" s="669">
        <v>44536</v>
      </c>
      <c r="O6132" s="774"/>
      <c r="P6132" s="774"/>
      <c r="Q6132" s="774"/>
      <c r="R6132" s="774"/>
      <c r="S6132" s="774"/>
      <c r="T6132" s="774"/>
    </row>
    <row r="6133" spans="1:29" s="774" customFormat="1" ht="22.5" customHeight="1" x14ac:dyDescent="0.25">
      <c r="A6133" s="1132" t="s">
        <v>7706</v>
      </c>
      <c r="B6133" s="1132"/>
      <c r="C6133" s="1132"/>
      <c r="D6133" s="1132"/>
      <c r="E6133" s="1132"/>
      <c r="F6133" s="1132"/>
      <c r="G6133" s="827"/>
      <c r="H6133" s="830" t="str">
        <f t="shared" si="1933"/>
        <v/>
      </c>
      <c r="I6133" s="831"/>
      <c r="J6133" s="669">
        <v>44536</v>
      </c>
      <c r="M6133" s="238"/>
      <c r="N6133" s="238"/>
      <c r="U6133" s="238"/>
      <c r="V6133" s="238"/>
      <c r="W6133" s="238"/>
      <c r="X6133" s="238"/>
      <c r="Y6133" s="238"/>
      <c r="Z6133" s="238"/>
      <c r="AA6133" s="238"/>
      <c r="AB6133" s="238"/>
      <c r="AC6133" s="238"/>
    </row>
    <row r="6134" spans="1:29" s="774" customFormat="1" x14ac:dyDescent="0.25">
      <c r="F6134" s="832"/>
      <c r="G6134" s="769"/>
      <c r="H6134" s="769" t="str">
        <f t="shared" si="1933"/>
        <v/>
      </c>
      <c r="I6134" s="691"/>
      <c r="J6134" s="669" t="s">
        <v>4180</v>
      </c>
    </row>
    <row r="6135" spans="1:29" s="774" customFormat="1" x14ac:dyDescent="0.25">
      <c r="A6135" s="807" t="s">
        <v>7649</v>
      </c>
      <c r="B6135" s="645" t="s">
        <v>2269</v>
      </c>
      <c r="C6135" s="645"/>
      <c r="D6135" s="645" t="s">
        <v>7749</v>
      </c>
      <c r="E6135" s="656"/>
      <c r="F6135" s="657"/>
      <c r="G6135" s="657"/>
      <c r="H6135" s="657"/>
      <c r="I6135" s="701"/>
      <c r="J6135" s="669">
        <v>44536</v>
      </c>
    </row>
    <row r="6136" spans="1:29" s="774" customFormat="1" x14ac:dyDescent="0.25">
      <c r="A6136" s="807" t="s">
        <v>7648</v>
      </c>
      <c r="B6136" s="645" t="s">
        <v>5548</v>
      </c>
      <c r="C6136" s="645"/>
      <c r="D6136" s="645" t="s">
        <v>7749</v>
      </c>
      <c r="E6136" s="656"/>
      <c r="F6136" s="657"/>
      <c r="G6136" s="657"/>
      <c r="H6136" s="657"/>
      <c r="I6136" s="701"/>
      <c r="J6136" s="669">
        <v>44536</v>
      </c>
    </row>
    <row r="6137" spans="1:29" s="774" customFormat="1" x14ac:dyDescent="0.25">
      <c r="A6137" s="807" t="s">
        <v>7647</v>
      </c>
      <c r="B6137" s="645" t="s">
        <v>4847</v>
      </c>
      <c r="C6137" s="645"/>
      <c r="D6137" s="645" t="s">
        <v>7749</v>
      </c>
      <c r="E6137" s="656"/>
      <c r="F6137" s="657"/>
      <c r="G6137" s="657"/>
      <c r="H6137" s="657"/>
      <c r="I6137" s="701"/>
      <c r="J6137" s="669">
        <v>44536</v>
      </c>
    </row>
    <row r="6138" spans="1:29" s="774" customFormat="1" x14ac:dyDescent="0.25">
      <c r="A6138" s="807" t="s">
        <v>7646</v>
      </c>
      <c r="B6138" s="645" t="s">
        <v>5406</v>
      </c>
      <c r="C6138" s="645"/>
      <c r="D6138" s="645" t="s">
        <v>7749</v>
      </c>
      <c r="E6138" s="656"/>
      <c r="F6138" s="657"/>
      <c r="G6138" s="657"/>
      <c r="H6138" s="657"/>
      <c r="I6138" s="701"/>
      <c r="J6138" s="669">
        <v>44536</v>
      </c>
    </row>
    <row r="6139" spans="1:29" s="774" customFormat="1" x14ac:dyDescent="0.25">
      <c r="A6139" s="807" t="s">
        <v>7645</v>
      </c>
      <c r="B6139" s="645" t="s">
        <v>5411</v>
      </c>
      <c r="C6139" s="645"/>
      <c r="D6139" s="645" t="s">
        <v>7749</v>
      </c>
      <c r="E6139" s="656"/>
      <c r="F6139" s="657"/>
      <c r="G6139" s="657"/>
      <c r="H6139" s="657"/>
      <c r="I6139" s="701"/>
      <c r="J6139" s="669">
        <v>44536</v>
      </c>
    </row>
    <row r="6140" spans="1:29" s="774" customFormat="1" x14ac:dyDescent="0.25">
      <c r="A6140" s="807" t="s">
        <v>7644</v>
      </c>
      <c r="B6140" s="645" t="s">
        <v>5412</v>
      </c>
      <c r="C6140" s="645"/>
      <c r="D6140" s="645" t="s">
        <v>7749</v>
      </c>
      <c r="E6140" s="656"/>
      <c r="F6140" s="657"/>
      <c r="G6140" s="657"/>
      <c r="H6140" s="657"/>
      <c r="I6140" s="701"/>
      <c r="J6140" s="669">
        <v>44536</v>
      </c>
    </row>
    <row r="6141" spans="1:29" s="774" customFormat="1" x14ac:dyDescent="0.25">
      <c r="A6141" s="807" t="s">
        <v>7643</v>
      </c>
      <c r="B6141" s="645" t="s">
        <v>2034</v>
      </c>
      <c r="C6141" s="645"/>
      <c r="D6141" s="645" t="s">
        <v>7749</v>
      </c>
      <c r="E6141" s="656"/>
      <c r="F6141" s="657"/>
      <c r="G6141" s="657"/>
      <c r="H6141" s="657"/>
      <c r="I6141" s="701"/>
      <c r="J6141" s="669">
        <v>44536</v>
      </c>
    </row>
    <row r="6142" spans="1:29" s="774" customFormat="1" x14ac:dyDescent="0.25">
      <c r="A6142" s="807" t="s">
        <v>7642</v>
      </c>
      <c r="B6142" s="645" t="s">
        <v>2067</v>
      </c>
      <c r="C6142" s="645"/>
      <c r="D6142" s="645" t="s">
        <v>7749</v>
      </c>
      <c r="E6142" s="656"/>
      <c r="F6142" s="657"/>
      <c r="G6142" s="657"/>
      <c r="H6142" s="657"/>
      <c r="I6142" s="701"/>
      <c r="J6142" s="669">
        <v>44536</v>
      </c>
    </row>
    <row r="6143" spans="1:29" s="774" customFormat="1" x14ac:dyDescent="0.25">
      <c r="A6143" s="807" t="s">
        <v>7641</v>
      </c>
      <c r="B6143" s="645" t="s">
        <v>3374</v>
      </c>
      <c r="C6143" s="645"/>
      <c r="D6143" s="645" t="s">
        <v>7749</v>
      </c>
      <c r="E6143" s="656"/>
      <c r="F6143" s="657"/>
      <c r="G6143" s="657"/>
      <c r="H6143" s="657"/>
      <c r="I6143" s="701"/>
      <c r="J6143" s="669">
        <v>44536</v>
      </c>
    </row>
    <row r="6144" spans="1:29" s="774" customFormat="1" x14ac:dyDescent="0.25">
      <c r="A6144" s="807" t="s">
        <v>7640</v>
      </c>
      <c r="B6144" s="645" t="s">
        <v>3382</v>
      </c>
      <c r="C6144" s="645"/>
      <c r="D6144" s="645" t="s">
        <v>7749</v>
      </c>
      <c r="E6144" s="656"/>
      <c r="F6144" s="657"/>
      <c r="G6144" s="657"/>
      <c r="H6144" s="657"/>
      <c r="I6144" s="701"/>
      <c r="J6144" s="669">
        <v>44536</v>
      </c>
    </row>
    <row r="6145" spans="1:29" s="774" customFormat="1" x14ac:dyDescent="0.25">
      <c r="A6145" s="807" t="s">
        <v>7639</v>
      </c>
      <c r="B6145" s="645" t="s">
        <v>3390</v>
      </c>
      <c r="C6145" s="645"/>
      <c r="D6145" s="645" t="s">
        <v>7749</v>
      </c>
      <c r="E6145" s="656"/>
      <c r="F6145" s="657"/>
      <c r="G6145" s="657"/>
      <c r="H6145" s="657"/>
      <c r="I6145" s="701"/>
      <c r="J6145" s="669">
        <v>44536</v>
      </c>
    </row>
    <row r="6146" spans="1:29" s="774" customFormat="1" x14ac:dyDescent="0.25">
      <c r="A6146" s="807" t="s">
        <v>7638</v>
      </c>
      <c r="B6146" s="645" t="s">
        <v>740</v>
      </c>
      <c r="C6146" s="645"/>
      <c r="D6146" s="645" t="s">
        <v>7749</v>
      </c>
      <c r="E6146" s="656"/>
      <c r="F6146" s="657"/>
      <c r="G6146" s="657"/>
      <c r="H6146" s="657"/>
      <c r="I6146" s="701"/>
      <c r="J6146" s="669">
        <v>44536</v>
      </c>
      <c r="O6146" s="12"/>
      <c r="P6146" s="12"/>
      <c r="Q6146" s="12"/>
      <c r="R6146" s="12"/>
      <c r="S6146" s="12"/>
      <c r="T6146" s="12"/>
    </row>
    <row r="6147" spans="1:29" s="12" customFormat="1" x14ac:dyDescent="0.25">
      <c r="A6147" s="807" t="s">
        <v>7637</v>
      </c>
      <c r="B6147" s="645" t="s">
        <v>5435</v>
      </c>
      <c r="C6147" s="645"/>
      <c r="D6147" s="645" t="s">
        <v>7749</v>
      </c>
      <c r="E6147" s="656"/>
      <c r="F6147" s="657"/>
      <c r="G6147" s="657"/>
      <c r="H6147" s="657"/>
      <c r="I6147" s="701"/>
      <c r="J6147" s="669">
        <v>44536</v>
      </c>
      <c r="M6147" s="774"/>
      <c r="N6147" s="774"/>
      <c r="O6147" s="774"/>
      <c r="P6147" s="774"/>
      <c r="Q6147" s="774"/>
      <c r="R6147" s="774"/>
      <c r="S6147" s="774"/>
      <c r="T6147" s="774"/>
      <c r="U6147" s="774"/>
      <c r="V6147" s="774"/>
      <c r="W6147" s="774"/>
      <c r="X6147" s="774"/>
      <c r="Y6147" s="774"/>
      <c r="Z6147" s="774"/>
      <c r="AA6147" s="774"/>
      <c r="AB6147" s="774"/>
      <c r="AC6147" s="774"/>
    </row>
    <row r="6148" spans="1:29" x14ac:dyDescent="0.25">
      <c r="J6148" s="669" t="s">
        <v>4180</v>
      </c>
    </row>
    <row r="6149" spans="1:29" ht="239.25" customHeight="1" x14ac:dyDescent="0.25">
      <c r="A6149" s="1135" t="s">
        <v>8192</v>
      </c>
      <c r="B6149" s="1135"/>
      <c r="C6149" s="1135"/>
      <c r="D6149" s="1135"/>
      <c r="E6149" s="1135"/>
      <c r="F6149" s="1135"/>
      <c r="G6149" s="429"/>
      <c r="H6149" s="508" t="str">
        <f t="shared" ref="H6149:H6162" si="1934">IF(ISNUMBER(G6149),ROUND(0.8*G6149,2),"")</f>
        <v/>
      </c>
      <c r="I6149" s="741"/>
      <c r="J6149" s="669">
        <v>43404</v>
      </c>
    </row>
    <row r="6150" spans="1:29" x14ac:dyDescent="0.25">
      <c r="H6150" s="15" t="str">
        <f t="shared" si="1934"/>
        <v/>
      </c>
      <c r="J6150" s="669" t="s">
        <v>4180</v>
      </c>
    </row>
    <row r="6151" spans="1:29" x14ac:dyDescent="0.25">
      <c r="A6151" s="607" t="s">
        <v>3</v>
      </c>
      <c r="B6151" s="435" t="s">
        <v>2269</v>
      </c>
      <c r="C6151" s="436"/>
      <c r="D6151" s="436" t="s">
        <v>5831</v>
      </c>
      <c r="E6151" s="435"/>
      <c r="F6151" s="450">
        <v>0</v>
      </c>
      <c r="G6151" s="450">
        <v>0</v>
      </c>
      <c r="H6151" s="450">
        <f t="shared" si="1934"/>
        <v>0</v>
      </c>
      <c r="I6151" s="740"/>
      <c r="J6151" s="669">
        <v>42644</v>
      </c>
    </row>
    <row r="6152" spans="1:29" x14ac:dyDescent="0.25">
      <c r="A6152" s="607" t="s">
        <v>5</v>
      </c>
      <c r="B6152" s="435" t="s">
        <v>5548</v>
      </c>
      <c r="C6152" s="436"/>
      <c r="D6152" s="436" t="s">
        <v>5829</v>
      </c>
      <c r="E6152" s="435"/>
      <c r="F6152" s="450">
        <v>0</v>
      </c>
      <c r="G6152" s="450">
        <v>0</v>
      </c>
      <c r="H6152" s="450">
        <f t="shared" si="1934"/>
        <v>0</v>
      </c>
      <c r="I6152" s="740"/>
      <c r="J6152" s="669">
        <v>42644</v>
      </c>
    </row>
    <row r="6153" spans="1:29" x14ac:dyDescent="0.25">
      <c r="A6153" s="607" t="s">
        <v>6</v>
      </c>
      <c r="B6153" s="435" t="s">
        <v>4847</v>
      </c>
      <c r="C6153" s="436"/>
      <c r="D6153" s="436" t="s">
        <v>5829</v>
      </c>
      <c r="E6153" s="435"/>
      <c r="F6153" s="450">
        <v>0</v>
      </c>
      <c r="G6153" s="450">
        <v>0</v>
      </c>
      <c r="H6153" s="450">
        <f t="shared" si="1934"/>
        <v>0</v>
      </c>
      <c r="I6153" s="740"/>
      <c r="J6153" s="669">
        <v>42644</v>
      </c>
    </row>
    <row r="6154" spans="1:29" x14ac:dyDescent="0.25">
      <c r="A6154" s="607" t="s">
        <v>7</v>
      </c>
      <c r="B6154" s="435" t="s">
        <v>5406</v>
      </c>
      <c r="C6154" s="436"/>
      <c r="D6154" s="436" t="s">
        <v>5829</v>
      </c>
      <c r="E6154" s="435"/>
      <c r="F6154" s="450">
        <v>0</v>
      </c>
      <c r="G6154" s="450">
        <v>0</v>
      </c>
      <c r="H6154" s="450">
        <f t="shared" si="1934"/>
        <v>0</v>
      </c>
      <c r="I6154" s="740"/>
      <c r="J6154" s="669">
        <v>42644</v>
      </c>
    </row>
    <row r="6155" spans="1:29" x14ac:dyDescent="0.25">
      <c r="A6155" s="607" t="s">
        <v>8</v>
      </c>
      <c r="B6155" s="435" t="s">
        <v>5411</v>
      </c>
      <c r="C6155" s="436"/>
      <c r="D6155" s="436" t="s">
        <v>5829</v>
      </c>
      <c r="E6155" s="435"/>
      <c r="F6155" s="450">
        <v>0</v>
      </c>
      <c r="G6155" s="450">
        <v>0</v>
      </c>
      <c r="H6155" s="450">
        <f t="shared" si="1934"/>
        <v>0</v>
      </c>
      <c r="I6155" s="740"/>
      <c r="J6155" s="669">
        <v>42644</v>
      </c>
    </row>
    <row r="6156" spans="1:29" x14ac:dyDescent="0.25">
      <c r="A6156" s="607" t="s">
        <v>9</v>
      </c>
      <c r="B6156" s="435" t="s">
        <v>5412</v>
      </c>
      <c r="C6156" s="436"/>
      <c r="D6156" s="436" t="s">
        <v>5829</v>
      </c>
      <c r="E6156" s="435"/>
      <c r="F6156" s="450">
        <v>0</v>
      </c>
      <c r="G6156" s="450">
        <v>0</v>
      </c>
      <c r="H6156" s="450">
        <f t="shared" si="1934"/>
        <v>0</v>
      </c>
      <c r="I6156" s="740"/>
      <c r="J6156" s="669">
        <v>42644</v>
      </c>
    </row>
    <row r="6157" spans="1:29" x14ac:dyDescent="0.25">
      <c r="A6157" s="607" t="s">
        <v>10</v>
      </c>
      <c r="B6157" s="435" t="s">
        <v>2034</v>
      </c>
      <c r="C6157" s="436"/>
      <c r="D6157" s="436" t="s">
        <v>5829</v>
      </c>
      <c r="E6157" s="435"/>
      <c r="F6157" s="450">
        <v>0</v>
      </c>
      <c r="G6157" s="450">
        <v>0</v>
      </c>
      <c r="H6157" s="450">
        <f t="shared" si="1934"/>
        <v>0</v>
      </c>
      <c r="I6157" s="740"/>
      <c r="J6157" s="669">
        <v>42644</v>
      </c>
    </row>
    <row r="6158" spans="1:29" x14ac:dyDescent="0.25">
      <c r="A6158" s="607" t="s">
        <v>12</v>
      </c>
      <c r="B6158" s="435" t="s">
        <v>2067</v>
      </c>
      <c r="C6158" s="436"/>
      <c r="D6158" s="436" t="s">
        <v>5829</v>
      </c>
      <c r="E6158" s="435"/>
      <c r="F6158" s="450">
        <v>0</v>
      </c>
      <c r="G6158" s="450">
        <v>0</v>
      </c>
      <c r="H6158" s="450">
        <f t="shared" si="1934"/>
        <v>0</v>
      </c>
      <c r="I6158" s="740"/>
      <c r="J6158" s="669">
        <v>42644</v>
      </c>
    </row>
    <row r="6159" spans="1:29" x14ac:dyDescent="0.25">
      <c r="A6159" s="607" t="s">
        <v>11</v>
      </c>
      <c r="B6159" s="435" t="s">
        <v>3374</v>
      </c>
      <c r="C6159" s="436"/>
      <c r="D6159" s="436" t="s">
        <v>5829</v>
      </c>
      <c r="E6159" s="435"/>
      <c r="F6159" s="450">
        <v>0</v>
      </c>
      <c r="G6159" s="450">
        <v>0</v>
      </c>
      <c r="H6159" s="450">
        <f t="shared" si="1934"/>
        <v>0</v>
      </c>
      <c r="I6159" s="740"/>
      <c r="J6159" s="669">
        <v>42644</v>
      </c>
    </row>
    <row r="6160" spans="1:29" x14ac:dyDescent="0.25">
      <c r="A6160" s="607" t="s">
        <v>13</v>
      </c>
      <c r="B6160" s="435" t="s">
        <v>3382</v>
      </c>
      <c r="C6160" s="436"/>
      <c r="D6160" s="436" t="s">
        <v>5829</v>
      </c>
      <c r="E6160" s="435"/>
      <c r="F6160" s="450">
        <v>0</v>
      </c>
      <c r="G6160" s="450">
        <v>0</v>
      </c>
      <c r="H6160" s="450">
        <f t="shared" si="1934"/>
        <v>0</v>
      </c>
      <c r="I6160" s="740"/>
      <c r="J6160" s="669">
        <v>42644</v>
      </c>
    </row>
    <row r="6161" spans="1:10" x14ac:dyDescent="0.25">
      <c r="A6161" s="607" t="s">
        <v>14</v>
      </c>
      <c r="B6161" s="435" t="s">
        <v>3390</v>
      </c>
      <c r="C6161" s="436"/>
      <c r="D6161" s="436" t="s">
        <v>5829</v>
      </c>
      <c r="E6161" s="435"/>
      <c r="F6161" s="450">
        <v>0</v>
      </c>
      <c r="G6161" s="450">
        <v>0</v>
      </c>
      <c r="H6161" s="450">
        <f t="shared" si="1934"/>
        <v>0</v>
      </c>
      <c r="I6161" s="740"/>
      <c r="J6161" s="669">
        <v>42644</v>
      </c>
    </row>
    <row r="6162" spans="1:10" x14ac:dyDescent="0.25">
      <c r="A6162" s="607" t="s">
        <v>15</v>
      </c>
      <c r="B6162" s="435" t="s">
        <v>740</v>
      </c>
      <c r="C6162" s="436"/>
      <c r="D6162" s="436" t="s">
        <v>5829</v>
      </c>
      <c r="E6162" s="435"/>
      <c r="F6162" s="450">
        <v>0</v>
      </c>
      <c r="G6162" s="450">
        <v>0</v>
      </c>
      <c r="H6162" s="450">
        <f t="shared" si="1934"/>
        <v>0</v>
      </c>
      <c r="I6162" s="740"/>
      <c r="J6162" s="669">
        <v>42644</v>
      </c>
    </row>
    <row r="6163" spans="1:10" s="774" customFormat="1" x14ac:dyDescent="0.25">
      <c r="A6163" s="607" t="s">
        <v>16</v>
      </c>
      <c r="B6163" s="435" t="s">
        <v>5435</v>
      </c>
      <c r="C6163" s="436"/>
      <c r="D6163" s="436" t="s">
        <v>5829</v>
      </c>
      <c r="E6163" s="435"/>
      <c r="F6163" s="450">
        <v>0</v>
      </c>
      <c r="G6163" s="450">
        <v>0</v>
      </c>
      <c r="H6163" s="450">
        <f>IF(ISNUMBER(G6163),ROUND(0.8*G6163,2),"")</f>
        <v>0</v>
      </c>
      <c r="I6163" s="740"/>
      <c r="J6163" s="669">
        <v>42644</v>
      </c>
    </row>
    <row r="6164" spans="1:10" x14ac:dyDescent="0.25">
      <c r="A6164" s="607" t="s">
        <v>6476</v>
      </c>
      <c r="B6164" s="435" t="s">
        <v>5435</v>
      </c>
      <c r="C6164" s="436"/>
      <c r="D6164" s="436" t="s">
        <v>5829</v>
      </c>
      <c r="E6164" s="435" t="s">
        <v>1053</v>
      </c>
      <c r="F6164" s="450">
        <v>0</v>
      </c>
      <c r="G6164" s="450">
        <v>0</v>
      </c>
      <c r="H6164" s="450">
        <f>IF(ISNUMBER(G6164),ROUND(0.8*G6164,2),"")</f>
        <v>0</v>
      </c>
      <c r="I6164" s="740"/>
      <c r="J6164" s="669">
        <v>43404</v>
      </c>
    </row>
    <row r="6165" spans="1:10" x14ac:dyDescent="0.25">
      <c r="A6165" s="254"/>
      <c r="H6165" s="15" t="str">
        <f t="shared" ref="H6165:H6177" si="1935">IF(ISNUMBER(G6165),ROUND(0.8*G6165,2),"")</f>
        <v/>
      </c>
      <c r="J6165" s="669" t="s">
        <v>4180</v>
      </c>
    </row>
    <row r="6166" spans="1:10" x14ac:dyDescent="0.25">
      <c r="A6166" s="607" t="s">
        <v>4</v>
      </c>
      <c r="B6166" s="435" t="s">
        <v>2269</v>
      </c>
      <c r="C6166" s="436"/>
      <c r="D6166" s="436" t="s">
        <v>5830</v>
      </c>
      <c r="E6166" s="435"/>
      <c r="F6166" s="450">
        <v>0</v>
      </c>
      <c r="G6166" s="450">
        <v>0</v>
      </c>
      <c r="H6166" s="450">
        <f t="shared" si="1935"/>
        <v>0</v>
      </c>
      <c r="I6166" s="740"/>
      <c r="J6166" s="669">
        <v>42644</v>
      </c>
    </row>
    <row r="6167" spans="1:10" x14ac:dyDescent="0.25">
      <c r="A6167" s="607" t="s">
        <v>17</v>
      </c>
      <c r="B6167" s="435" t="s">
        <v>5548</v>
      </c>
      <c r="C6167" s="436"/>
      <c r="D6167" s="436" t="s">
        <v>5830</v>
      </c>
      <c r="E6167" s="435"/>
      <c r="F6167" s="450">
        <v>0</v>
      </c>
      <c r="G6167" s="450">
        <v>0</v>
      </c>
      <c r="H6167" s="450">
        <f t="shared" si="1935"/>
        <v>0</v>
      </c>
      <c r="I6167" s="740"/>
      <c r="J6167" s="669">
        <v>42644</v>
      </c>
    </row>
    <row r="6168" spans="1:10" x14ac:dyDescent="0.25">
      <c r="A6168" s="607" t="s">
        <v>18</v>
      </c>
      <c r="B6168" s="435" t="s">
        <v>4847</v>
      </c>
      <c r="C6168" s="436"/>
      <c r="D6168" s="436" t="s">
        <v>5830</v>
      </c>
      <c r="E6168" s="435"/>
      <c r="F6168" s="450">
        <v>0</v>
      </c>
      <c r="G6168" s="450">
        <v>0</v>
      </c>
      <c r="H6168" s="450">
        <f t="shared" si="1935"/>
        <v>0</v>
      </c>
      <c r="I6168" s="740"/>
      <c r="J6168" s="669">
        <v>42644</v>
      </c>
    </row>
    <row r="6169" spans="1:10" x14ac:dyDescent="0.25">
      <c r="A6169" s="607" t="s">
        <v>19</v>
      </c>
      <c r="B6169" s="435" t="s">
        <v>5406</v>
      </c>
      <c r="C6169" s="436"/>
      <c r="D6169" s="436" t="s">
        <v>5830</v>
      </c>
      <c r="E6169" s="435"/>
      <c r="F6169" s="450">
        <v>0</v>
      </c>
      <c r="G6169" s="450">
        <v>0</v>
      </c>
      <c r="H6169" s="450">
        <f t="shared" si="1935"/>
        <v>0</v>
      </c>
      <c r="I6169" s="740"/>
      <c r="J6169" s="669">
        <v>42644</v>
      </c>
    </row>
    <row r="6170" spans="1:10" x14ac:dyDescent="0.25">
      <c r="A6170" s="607" t="s">
        <v>20</v>
      </c>
      <c r="B6170" s="435" t="s">
        <v>5411</v>
      </c>
      <c r="C6170" s="436"/>
      <c r="D6170" s="436" t="s">
        <v>5830</v>
      </c>
      <c r="E6170" s="435"/>
      <c r="F6170" s="450">
        <v>0</v>
      </c>
      <c r="G6170" s="450">
        <v>0</v>
      </c>
      <c r="H6170" s="450">
        <f t="shared" si="1935"/>
        <v>0</v>
      </c>
      <c r="I6170" s="740"/>
      <c r="J6170" s="669">
        <v>42644</v>
      </c>
    </row>
    <row r="6171" spans="1:10" x14ac:dyDescent="0.25">
      <c r="A6171" s="607" t="s">
        <v>21</v>
      </c>
      <c r="B6171" s="435" t="s">
        <v>5412</v>
      </c>
      <c r="C6171" s="436"/>
      <c r="D6171" s="436" t="s">
        <v>5830</v>
      </c>
      <c r="E6171" s="435"/>
      <c r="F6171" s="450">
        <v>0</v>
      </c>
      <c r="G6171" s="450">
        <v>0</v>
      </c>
      <c r="H6171" s="450">
        <f t="shared" si="1935"/>
        <v>0</v>
      </c>
      <c r="I6171" s="740"/>
      <c r="J6171" s="669">
        <v>42644</v>
      </c>
    </row>
    <row r="6172" spans="1:10" x14ac:dyDescent="0.25">
      <c r="A6172" s="607" t="s">
        <v>22</v>
      </c>
      <c r="B6172" s="435" t="s">
        <v>2034</v>
      </c>
      <c r="C6172" s="436"/>
      <c r="D6172" s="436" t="s">
        <v>5830</v>
      </c>
      <c r="E6172" s="435"/>
      <c r="F6172" s="450">
        <v>0</v>
      </c>
      <c r="G6172" s="450">
        <v>0</v>
      </c>
      <c r="H6172" s="450">
        <f t="shared" si="1935"/>
        <v>0</v>
      </c>
      <c r="I6172" s="740"/>
      <c r="J6172" s="669">
        <v>42644</v>
      </c>
    </row>
    <row r="6173" spans="1:10" x14ac:dyDescent="0.25">
      <c r="A6173" s="607" t="s">
        <v>23</v>
      </c>
      <c r="B6173" s="435" t="s">
        <v>2067</v>
      </c>
      <c r="C6173" s="436"/>
      <c r="D6173" s="436" t="s">
        <v>5830</v>
      </c>
      <c r="E6173" s="435"/>
      <c r="F6173" s="450">
        <v>0</v>
      </c>
      <c r="G6173" s="450">
        <v>0</v>
      </c>
      <c r="H6173" s="450">
        <f t="shared" si="1935"/>
        <v>0</v>
      </c>
      <c r="I6173" s="740"/>
      <c r="J6173" s="669">
        <v>42644</v>
      </c>
    </row>
    <row r="6174" spans="1:10" x14ac:dyDescent="0.25">
      <c r="A6174" s="607" t="s">
        <v>24</v>
      </c>
      <c r="B6174" s="435" t="s">
        <v>3374</v>
      </c>
      <c r="C6174" s="436"/>
      <c r="D6174" s="436" t="s">
        <v>5830</v>
      </c>
      <c r="E6174" s="435"/>
      <c r="F6174" s="450">
        <v>0</v>
      </c>
      <c r="G6174" s="450">
        <v>0</v>
      </c>
      <c r="H6174" s="450">
        <f t="shared" si="1935"/>
        <v>0</v>
      </c>
      <c r="I6174" s="740"/>
      <c r="J6174" s="669">
        <v>42644</v>
      </c>
    </row>
    <row r="6175" spans="1:10" x14ac:dyDescent="0.25">
      <c r="A6175" s="607" t="s">
        <v>25</v>
      </c>
      <c r="B6175" s="435" t="s">
        <v>3382</v>
      </c>
      <c r="C6175" s="436"/>
      <c r="D6175" s="436" t="s">
        <v>5830</v>
      </c>
      <c r="E6175" s="435"/>
      <c r="F6175" s="450">
        <v>0</v>
      </c>
      <c r="G6175" s="450">
        <v>0</v>
      </c>
      <c r="H6175" s="450">
        <f t="shared" si="1935"/>
        <v>0</v>
      </c>
      <c r="I6175" s="740"/>
      <c r="J6175" s="669">
        <v>42644</v>
      </c>
    </row>
    <row r="6176" spans="1:10" x14ac:dyDescent="0.25">
      <c r="A6176" s="607" t="s">
        <v>26</v>
      </c>
      <c r="B6176" s="435" t="s">
        <v>3390</v>
      </c>
      <c r="C6176" s="436"/>
      <c r="D6176" s="436" t="s">
        <v>5830</v>
      </c>
      <c r="E6176" s="435"/>
      <c r="F6176" s="450">
        <v>0</v>
      </c>
      <c r="G6176" s="450">
        <v>0</v>
      </c>
      <c r="H6176" s="450">
        <f t="shared" si="1935"/>
        <v>0</v>
      </c>
      <c r="I6176" s="740"/>
      <c r="J6176" s="669">
        <v>42644</v>
      </c>
    </row>
    <row r="6177" spans="1:29" x14ac:dyDescent="0.25">
      <c r="A6177" s="607" t="s">
        <v>27</v>
      </c>
      <c r="B6177" s="435" t="s">
        <v>740</v>
      </c>
      <c r="C6177" s="436"/>
      <c r="D6177" s="436" t="s">
        <v>5830</v>
      </c>
      <c r="E6177" s="435"/>
      <c r="F6177" s="450">
        <v>0</v>
      </c>
      <c r="G6177" s="450">
        <v>0</v>
      </c>
      <c r="H6177" s="450">
        <f t="shared" si="1935"/>
        <v>0</v>
      </c>
      <c r="I6177" s="740"/>
      <c r="J6177" s="669">
        <v>42644</v>
      </c>
    </row>
    <row r="6178" spans="1:29" x14ac:dyDescent="0.25">
      <c r="A6178" s="607" t="s">
        <v>28</v>
      </c>
      <c r="B6178" s="435" t="s">
        <v>5435</v>
      </c>
      <c r="C6178" s="436"/>
      <c r="D6178" s="436" t="s">
        <v>5830</v>
      </c>
      <c r="E6178" s="435"/>
      <c r="F6178" s="450">
        <v>0</v>
      </c>
      <c r="G6178" s="450">
        <v>0</v>
      </c>
      <c r="H6178" s="450">
        <f t="shared" ref="H6178:H6236" si="1936">IF(ISNUMBER(G6178),ROUND(0.8*G6178,2),"")</f>
        <v>0</v>
      </c>
      <c r="I6178" s="740"/>
      <c r="J6178" s="669">
        <v>42644</v>
      </c>
    </row>
    <row r="6179" spans="1:29" x14ac:dyDescent="0.25">
      <c r="H6179" s="15" t="str">
        <f t="shared" si="1936"/>
        <v/>
      </c>
      <c r="J6179" s="669" t="s">
        <v>4180</v>
      </c>
    </row>
    <row r="6180" spans="1:29" s="238" customFormat="1" ht="30.75" customHeight="1" x14ac:dyDescent="0.25">
      <c r="A6180" s="604" t="s">
        <v>2135</v>
      </c>
      <c r="B6180" s="65"/>
      <c r="C6180" s="65"/>
      <c r="D6180" s="65"/>
      <c r="E6180" s="65"/>
      <c r="F6180" s="443"/>
      <c r="G6180" s="65"/>
      <c r="H6180" s="74" t="str">
        <f t="shared" si="1936"/>
        <v/>
      </c>
      <c r="I6180" s="693"/>
      <c r="J6180" s="669" t="s">
        <v>4180</v>
      </c>
      <c r="M6180"/>
      <c r="N6180"/>
      <c r="O6180"/>
      <c r="P6180"/>
      <c r="Q6180"/>
      <c r="R6180"/>
      <c r="S6180"/>
      <c r="T6180"/>
      <c r="U6180"/>
      <c r="V6180"/>
      <c r="W6180"/>
      <c r="X6180"/>
      <c r="Y6180"/>
      <c r="Z6180"/>
      <c r="AA6180"/>
      <c r="AB6180"/>
      <c r="AC6180"/>
    </row>
    <row r="6181" spans="1:29" ht="42.75" customHeight="1" x14ac:dyDescent="0.25">
      <c r="A6181" s="1136" t="s">
        <v>1491</v>
      </c>
      <c r="B6181" s="1174"/>
      <c r="C6181" s="1174"/>
      <c r="D6181" s="1174"/>
      <c r="E6181" s="1174"/>
      <c r="F6181" s="1174"/>
      <c r="G6181" s="430"/>
      <c r="H6181" s="510" t="str">
        <f t="shared" si="1936"/>
        <v/>
      </c>
      <c r="I6181" s="748"/>
      <c r="J6181" s="669" t="s">
        <v>4180</v>
      </c>
      <c r="M6181" s="238"/>
      <c r="N6181" s="238"/>
      <c r="O6181" s="238"/>
      <c r="P6181" s="238"/>
      <c r="Q6181" s="238"/>
      <c r="R6181" s="238"/>
      <c r="S6181" s="238"/>
      <c r="T6181" s="238"/>
      <c r="U6181" s="238"/>
      <c r="V6181" s="238"/>
      <c r="W6181" s="238"/>
      <c r="X6181" s="238"/>
      <c r="Y6181" s="238"/>
      <c r="Z6181" s="238"/>
      <c r="AA6181" s="238"/>
      <c r="AB6181" s="238"/>
      <c r="AC6181" s="238"/>
    </row>
    <row r="6182" spans="1:29" x14ac:dyDescent="0.25">
      <c r="H6182" s="15" t="str">
        <f t="shared" si="1936"/>
        <v/>
      </c>
      <c r="J6182" s="669" t="s">
        <v>4180</v>
      </c>
    </row>
    <row r="6183" spans="1:29" x14ac:dyDescent="0.25">
      <c r="A6183" s="338" t="s">
        <v>4637</v>
      </c>
      <c r="B6183" s="339" t="s">
        <v>740</v>
      </c>
      <c r="C6183" s="339" t="s">
        <v>1304</v>
      </c>
      <c r="D6183" s="339" t="s">
        <v>4638</v>
      </c>
      <c r="E6183" s="339"/>
      <c r="F6183" s="483">
        <v>33.18</v>
      </c>
      <c r="G6183" s="340">
        <v>33.18</v>
      </c>
      <c r="H6183" s="340">
        <f t="shared" si="1936"/>
        <v>26.54</v>
      </c>
      <c r="I6183" s="749"/>
      <c r="J6183" s="669" t="s">
        <v>5805</v>
      </c>
    </row>
    <row r="6184" spans="1:29" s="238" customFormat="1" x14ac:dyDescent="0.25">
      <c r="A6184"/>
      <c r="B6184"/>
      <c r="C6184"/>
      <c r="D6184"/>
      <c r="E6184"/>
      <c r="F6184" s="471"/>
      <c r="G6184" s="15"/>
      <c r="H6184" s="15" t="str">
        <f t="shared" si="1936"/>
        <v/>
      </c>
      <c r="I6184" s="691"/>
      <c r="J6184" s="669" t="s">
        <v>4180</v>
      </c>
      <c r="M6184"/>
      <c r="N6184"/>
      <c r="O6184"/>
      <c r="P6184"/>
      <c r="Q6184"/>
      <c r="R6184"/>
      <c r="S6184"/>
      <c r="T6184"/>
      <c r="U6184"/>
      <c r="V6184"/>
      <c r="W6184"/>
      <c r="X6184"/>
      <c r="Y6184"/>
      <c r="Z6184"/>
      <c r="AA6184"/>
      <c r="AB6184"/>
      <c r="AC6184"/>
    </row>
    <row r="6185" spans="1:29" s="238" customFormat="1" ht="91.5" customHeight="1" x14ac:dyDescent="0.25">
      <c r="A6185" s="1135" t="s">
        <v>8193</v>
      </c>
      <c r="B6185" s="1135"/>
      <c r="C6185" s="1135"/>
      <c r="D6185" s="1135"/>
      <c r="E6185" s="1135"/>
      <c r="F6185" s="1135"/>
      <c r="G6185" s="430"/>
      <c r="H6185" s="510" t="str">
        <f t="shared" si="1936"/>
        <v/>
      </c>
      <c r="I6185" s="748"/>
      <c r="J6185" s="669">
        <v>42644</v>
      </c>
    </row>
    <row r="6186" spans="1:29" s="238" customFormat="1" ht="78" customHeight="1" x14ac:dyDescent="0.25">
      <c r="A6186" s="1135" t="s">
        <v>8194</v>
      </c>
      <c r="B6186" s="1135"/>
      <c r="C6186" s="1135"/>
      <c r="D6186" s="1135"/>
      <c r="E6186" s="1135"/>
      <c r="F6186" s="1135"/>
      <c r="G6186" s="431"/>
      <c r="H6186" s="505" t="str">
        <f t="shared" si="1936"/>
        <v/>
      </c>
      <c r="I6186" s="732"/>
      <c r="J6186" s="669">
        <v>42644</v>
      </c>
    </row>
    <row r="6187" spans="1:29" ht="64.5" customHeight="1" x14ac:dyDescent="0.25">
      <c r="A6187" s="1174" t="s">
        <v>2285</v>
      </c>
      <c r="B6187" s="1174"/>
      <c r="C6187" s="1174"/>
      <c r="D6187" s="1174"/>
      <c r="E6187" s="1174"/>
      <c r="F6187" s="1174"/>
      <c r="G6187" s="431"/>
      <c r="H6187" s="505" t="str">
        <f t="shared" si="1936"/>
        <v/>
      </c>
      <c r="I6187" s="732"/>
      <c r="J6187" s="669" t="s">
        <v>4180</v>
      </c>
      <c r="M6187" s="238"/>
      <c r="N6187" s="238"/>
      <c r="O6187" s="238"/>
      <c r="P6187" s="238"/>
      <c r="Q6187" s="238"/>
      <c r="R6187" s="238"/>
      <c r="S6187" s="238"/>
      <c r="T6187" s="238"/>
      <c r="U6187" s="238"/>
      <c r="V6187" s="238"/>
      <c r="W6187" s="238"/>
      <c r="X6187" s="238"/>
      <c r="Y6187" s="238"/>
      <c r="Z6187" s="238"/>
      <c r="AA6187" s="238"/>
      <c r="AB6187" s="238"/>
      <c r="AC6187" s="238"/>
    </row>
    <row r="6188" spans="1:29" x14ac:dyDescent="0.25">
      <c r="H6188" s="15" t="str">
        <f t="shared" si="1936"/>
        <v/>
      </c>
      <c r="J6188" s="669" t="s">
        <v>4180</v>
      </c>
    </row>
    <row r="6189" spans="1:29" x14ac:dyDescent="0.25">
      <c r="A6189" s="383" t="s">
        <v>2272</v>
      </c>
      <c r="B6189" s="384" t="s">
        <v>2269</v>
      </c>
      <c r="C6189" s="384"/>
      <c r="D6189" s="386" t="s">
        <v>423</v>
      </c>
      <c r="E6189" s="384"/>
      <c r="F6189" s="479"/>
      <c r="G6189" s="385"/>
      <c r="H6189" s="385" t="str">
        <f t="shared" si="1936"/>
        <v/>
      </c>
      <c r="I6189" s="750"/>
      <c r="J6189" s="669" t="s">
        <v>5805</v>
      </c>
    </row>
    <row r="6190" spans="1:29" x14ac:dyDescent="0.25">
      <c r="A6190" s="383" t="s">
        <v>2273</v>
      </c>
      <c r="B6190" s="384" t="s">
        <v>5548</v>
      </c>
      <c r="C6190" s="383"/>
      <c r="D6190" s="386" t="s">
        <v>423</v>
      </c>
      <c r="E6190" s="384"/>
      <c r="F6190" s="479"/>
      <c r="G6190" s="385"/>
      <c r="H6190" s="385" t="str">
        <f t="shared" si="1936"/>
        <v/>
      </c>
      <c r="I6190" s="750"/>
      <c r="J6190" s="669" t="s">
        <v>5805</v>
      </c>
    </row>
    <row r="6191" spans="1:29" x14ac:dyDescent="0.25">
      <c r="A6191" s="383" t="s">
        <v>2274</v>
      </c>
      <c r="B6191" s="384" t="s">
        <v>4847</v>
      </c>
      <c r="C6191" s="383"/>
      <c r="D6191" s="386" t="s">
        <v>423</v>
      </c>
      <c r="E6191" s="384"/>
      <c r="F6191" s="479"/>
      <c r="G6191" s="385"/>
      <c r="H6191" s="385" t="str">
        <f t="shared" si="1936"/>
        <v/>
      </c>
      <c r="I6191" s="750"/>
      <c r="J6191" s="669" t="s">
        <v>5805</v>
      </c>
    </row>
    <row r="6192" spans="1:29" x14ac:dyDescent="0.25">
      <c r="A6192" s="383" t="s">
        <v>2275</v>
      </c>
      <c r="B6192" s="384" t="s">
        <v>5406</v>
      </c>
      <c r="C6192" s="383"/>
      <c r="D6192" s="386" t="s">
        <v>423</v>
      </c>
      <c r="E6192" s="384"/>
      <c r="F6192" s="479"/>
      <c r="G6192" s="385"/>
      <c r="H6192" s="385" t="str">
        <f t="shared" si="1936"/>
        <v/>
      </c>
      <c r="I6192" s="750"/>
      <c r="J6192" s="669" t="s">
        <v>5805</v>
      </c>
    </row>
    <row r="6193" spans="1:20" x14ac:dyDescent="0.25">
      <c r="A6193" s="383" t="s">
        <v>2276</v>
      </c>
      <c r="B6193" s="384" t="s">
        <v>5411</v>
      </c>
      <c r="C6193" s="383"/>
      <c r="D6193" s="386" t="s">
        <v>423</v>
      </c>
      <c r="E6193" s="384"/>
      <c r="F6193" s="479"/>
      <c r="G6193" s="385"/>
      <c r="H6193" s="385" t="str">
        <f t="shared" si="1936"/>
        <v/>
      </c>
      <c r="I6193" s="750"/>
      <c r="J6193" s="669" t="s">
        <v>5805</v>
      </c>
    </row>
    <row r="6194" spans="1:20" x14ac:dyDescent="0.25">
      <c r="A6194" s="383" t="s">
        <v>2277</v>
      </c>
      <c r="B6194" s="384" t="s">
        <v>5412</v>
      </c>
      <c r="C6194" s="383"/>
      <c r="D6194" s="386" t="s">
        <v>423</v>
      </c>
      <c r="E6194" s="384"/>
      <c r="F6194" s="479"/>
      <c r="G6194" s="385"/>
      <c r="H6194" s="385" t="str">
        <f t="shared" si="1936"/>
        <v/>
      </c>
      <c r="I6194" s="750"/>
      <c r="J6194" s="669" t="s">
        <v>5805</v>
      </c>
    </row>
    <row r="6195" spans="1:20" x14ac:dyDescent="0.25">
      <c r="A6195" s="383" t="s">
        <v>2278</v>
      </c>
      <c r="B6195" s="384" t="s">
        <v>2034</v>
      </c>
      <c r="C6195" s="383"/>
      <c r="D6195" s="386" t="s">
        <v>423</v>
      </c>
      <c r="E6195" s="384"/>
      <c r="F6195" s="479"/>
      <c r="G6195" s="385"/>
      <c r="H6195" s="385" t="str">
        <f t="shared" si="1936"/>
        <v/>
      </c>
      <c r="I6195" s="750"/>
      <c r="J6195" s="669" t="s">
        <v>5805</v>
      </c>
    </row>
    <row r="6196" spans="1:20" x14ac:dyDescent="0.25">
      <c r="A6196" s="383" t="s">
        <v>2279</v>
      </c>
      <c r="B6196" s="384" t="s">
        <v>2067</v>
      </c>
      <c r="C6196" s="383"/>
      <c r="D6196" s="386" t="s">
        <v>423</v>
      </c>
      <c r="E6196" s="384"/>
      <c r="F6196" s="479"/>
      <c r="G6196" s="385"/>
      <c r="H6196" s="385" t="str">
        <f t="shared" si="1936"/>
        <v/>
      </c>
      <c r="I6196" s="750"/>
      <c r="J6196" s="669" t="s">
        <v>5805</v>
      </c>
    </row>
    <row r="6197" spans="1:20" x14ac:dyDescent="0.25">
      <c r="A6197" s="383" t="s">
        <v>2280</v>
      </c>
      <c r="B6197" s="384" t="s">
        <v>3374</v>
      </c>
      <c r="C6197" s="383"/>
      <c r="D6197" s="386" t="s">
        <v>423</v>
      </c>
      <c r="E6197" s="384"/>
      <c r="F6197" s="479"/>
      <c r="G6197" s="385"/>
      <c r="H6197" s="385" t="str">
        <f t="shared" si="1936"/>
        <v/>
      </c>
      <c r="I6197" s="750"/>
      <c r="J6197" s="669" t="s">
        <v>5805</v>
      </c>
    </row>
    <row r="6198" spans="1:20" x14ac:dyDescent="0.25">
      <c r="A6198" s="383" t="s">
        <v>2281</v>
      </c>
      <c r="B6198" s="384" t="s">
        <v>3382</v>
      </c>
      <c r="C6198" s="383"/>
      <c r="D6198" s="386" t="s">
        <v>423</v>
      </c>
      <c r="E6198" s="384"/>
      <c r="F6198" s="479"/>
      <c r="G6198" s="385"/>
      <c r="H6198" s="385" t="str">
        <f t="shared" si="1936"/>
        <v/>
      </c>
      <c r="I6198" s="750"/>
      <c r="J6198" s="669" t="s">
        <v>5805</v>
      </c>
    </row>
    <row r="6199" spans="1:20" x14ac:dyDescent="0.25">
      <c r="A6199" s="383" t="s">
        <v>2282</v>
      </c>
      <c r="B6199" s="384" t="s">
        <v>3390</v>
      </c>
      <c r="C6199" s="383"/>
      <c r="D6199" s="386" t="s">
        <v>423</v>
      </c>
      <c r="E6199" s="384"/>
      <c r="F6199" s="479"/>
      <c r="G6199" s="385"/>
      <c r="H6199" s="385" t="str">
        <f t="shared" si="1936"/>
        <v/>
      </c>
      <c r="I6199" s="750"/>
      <c r="J6199" s="669" t="s">
        <v>5805</v>
      </c>
    </row>
    <row r="6200" spans="1:20" x14ac:dyDescent="0.25">
      <c r="A6200" s="383" t="s">
        <v>2283</v>
      </c>
      <c r="B6200" s="384" t="s">
        <v>740</v>
      </c>
      <c r="C6200" s="383"/>
      <c r="D6200" s="386" t="s">
        <v>423</v>
      </c>
      <c r="E6200" s="384"/>
      <c r="F6200" s="479"/>
      <c r="G6200" s="385"/>
      <c r="H6200" s="385" t="str">
        <f t="shared" si="1936"/>
        <v/>
      </c>
      <c r="I6200" s="750"/>
      <c r="J6200" s="669" t="s">
        <v>5805</v>
      </c>
    </row>
    <row r="6201" spans="1:20" x14ac:dyDescent="0.25">
      <c r="A6201" s="383" t="s">
        <v>2284</v>
      </c>
      <c r="B6201" s="384" t="s">
        <v>5435</v>
      </c>
      <c r="C6201" s="383"/>
      <c r="D6201" s="386" t="s">
        <v>423</v>
      </c>
      <c r="E6201" s="384"/>
      <c r="F6201" s="479"/>
      <c r="G6201" s="385"/>
      <c r="H6201" s="385" t="str">
        <f t="shared" si="1936"/>
        <v/>
      </c>
      <c r="I6201" s="750"/>
      <c r="J6201" s="669" t="s">
        <v>5805</v>
      </c>
      <c r="O6201" s="238"/>
      <c r="P6201" s="238"/>
      <c r="Q6201" s="238"/>
      <c r="R6201" s="238"/>
      <c r="S6201" s="238"/>
      <c r="T6201" s="238"/>
    </row>
    <row r="6202" spans="1:20" x14ac:dyDescent="0.25">
      <c r="H6202" s="15" t="str">
        <f t="shared" si="1936"/>
        <v/>
      </c>
      <c r="J6202" s="669" t="s">
        <v>4180</v>
      </c>
    </row>
    <row r="6203" spans="1:20" x14ac:dyDescent="0.25">
      <c r="A6203" s="383" t="s">
        <v>2286</v>
      </c>
      <c r="B6203" s="384" t="s">
        <v>2269</v>
      </c>
      <c r="C6203" s="384"/>
      <c r="D6203" s="386" t="s">
        <v>424</v>
      </c>
      <c r="E6203" s="384"/>
      <c r="F6203" s="479"/>
      <c r="G6203" s="385"/>
      <c r="H6203" s="385" t="str">
        <f t="shared" si="1936"/>
        <v/>
      </c>
      <c r="I6203" s="750"/>
      <c r="J6203" s="669" t="s">
        <v>5805</v>
      </c>
    </row>
    <row r="6204" spans="1:20" x14ac:dyDescent="0.25">
      <c r="A6204" s="383" t="s">
        <v>2287</v>
      </c>
      <c r="B6204" s="384" t="s">
        <v>5548</v>
      </c>
      <c r="C6204" s="383"/>
      <c r="D6204" s="386" t="s">
        <v>424</v>
      </c>
      <c r="E6204" s="384"/>
      <c r="F6204" s="479"/>
      <c r="G6204" s="385"/>
      <c r="H6204" s="385" t="str">
        <f t="shared" si="1936"/>
        <v/>
      </c>
      <c r="I6204" s="750"/>
      <c r="J6204" s="669" t="s">
        <v>5805</v>
      </c>
    </row>
    <row r="6205" spans="1:20" x14ac:dyDescent="0.25">
      <c r="A6205" s="383" t="s">
        <v>2288</v>
      </c>
      <c r="B6205" s="384" t="s">
        <v>4847</v>
      </c>
      <c r="C6205" s="383"/>
      <c r="D6205" s="386" t="s">
        <v>424</v>
      </c>
      <c r="E6205" s="384"/>
      <c r="F6205" s="479"/>
      <c r="G6205" s="385"/>
      <c r="H6205" s="385" t="str">
        <f t="shared" si="1936"/>
        <v/>
      </c>
      <c r="I6205" s="750"/>
      <c r="J6205" s="669" t="s">
        <v>5805</v>
      </c>
    </row>
    <row r="6206" spans="1:20" x14ac:dyDescent="0.25">
      <c r="A6206" s="383" t="s">
        <v>2289</v>
      </c>
      <c r="B6206" s="384" t="s">
        <v>5406</v>
      </c>
      <c r="C6206" s="383"/>
      <c r="D6206" s="386" t="s">
        <v>424</v>
      </c>
      <c r="E6206" s="384"/>
      <c r="F6206" s="479"/>
      <c r="G6206" s="385"/>
      <c r="H6206" s="385" t="str">
        <f t="shared" si="1936"/>
        <v/>
      </c>
      <c r="I6206" s="750"/>
      <c r="J6206" s="669" t="s">
        <v>5805</v>
      </c>
    </row>
    <row r="6207" spans="1:20" x14ac:dyDescent="0.25">
      <c r="A6207" s="383" t="s">
        <v>2290</v>
      </c>
      <c r="B6207" s="384" t="s">
        <v>5411</v>
      </c>
      <c r="C6207" s="383"/>
      <c r="D6207" s="386" t="s">
        <v>424</v>
      </c>
      <c r="E6207" s="384"/>
      <c r="F6207" s="479"/>
      <c r="G6207" s="385"/>
      <c r="H6207" s="385" t="str">
        <f t="shared" si="1936"/>
        <v/>
      </c>
      <c r="I6207" s="750"/>
      <c r="J6207" s="669" t="s">
        <v>5805</v>
      </c>
    </row>
    <row r="6208" spans="1:20" x14ac:dyDescent="0.25">
      <c r="A6208" s="383" t="s">
        <v>2291</v>
      </c>
      <c r="B6208" s="384" t="s">
        <v>5412</v>
      </c>
      <c r="C6208" s="383"/>
      <c r="D6208" s="386" t="s">
        <v>424</v>
      </c>
      <c r="E6208" s="384"/>
      <c r="F6208" s="479"/>
      <c r="G6208" s="385"/>
      <c r="H6208" s="385" t="str">
        <f t="shared" si="1936"/>
        <v/>
      </c>
      <c r="I6208" s="750"/>
      <c r="J6208" s="669" t="s">
        <v>5805</v>
      </c>
    </row>
    <row r="6209" spans="1:29" x14ac:dyDescent="0.25">
      <c r="A6209" s="383" t="s">
        <v>2292</v>
      </c>
      <c r="B6209" s="384" t="s">
        <v>2034</v>
      </c>
      <c r="C6209" s="383"/>
      <c r="D6209" s="386" t="s">
        <v>424</v>
      </c>
      <c r="E6209" s="384"/>
      <c r="F6209" s="479"/>
      <c r="G6209" s="385"/>
      <c r="H6209" s="385" t="str">
        <f t="shared" si="1936"/>
        <v/>
      </c>
      <c r="I6209" s="750"/>
      <c r="J6209" s="669" t="s">
        <v>5805</v>
      </c>
    </row>
    <row r="6210" spans="1:29" x14ac:dyDescent="0.25">
      <c r="A6210" s="383" t="s">
        <v>2293</v>
      </c>
      <c r="B6210" s="384" t="s">
        <v>2067</v>
      </c>
      <c r="C6210" s="383"/>
      <c r="D6210" s="386" t="s">
        <v>424</v>
      </c>
      <c r="E6210" s="384"/>
      <c r="F6210" s="479"/>
      <c r="G6210" s="385"/>
      <c r="H6210" s="385" t="str">
        <f t="shared" si="1936"/>
        <v/>
      </c>
      <c r="I6210" s="750"/>
      <c r="J6210" s="669" t="s">
        <v>5805</v>
      </c>
    </row>
    <row r="6211" spans="1:29" x14ac:dyDescent="0.25">
      <c r="A6211" s="383" t="s">
        <v>2294</v>
      </c>
      <c r="B6211" s="384" t="s">
        <v>3374</v>
      </c>
      <c r="C6211" s="383"/>
      <c r="D6211" s="386" t="s">
        <v>424</v>
      </c>
      <c r="E6211" s="384"/>
      <c r="F6211" s="479"/>
      <c r="G6211" s="385"/>
      <c r="H6211" s="385" t="str">
        <f t="shared" si="1936"/>
        <v/>
      </c>
      <c r="I6211" s="750"/>
      <c r="J6211" s="669" t="s">
        <v>5805</v>
      </c>
    </row>
    <row r="6212" spans="1:29" x14ac:dyDescent="0.25">
      <c r="A6212" s="383" t="s">
        <v>2295</v>
      </c>
      <c r="B6212" s="384" t="s">
        <v>3382</v>
      </c>
      <c r="C6212" s="383"/>
      <c r="D6212" s="386" t="s">
        <v>424</v>
      </c>
      <c r="E6212" s="384"/>
      <c r="F6212" s="479"/>
      <c r="G6212" s="385"/>
      <c r="H6212" s="385" t="str">
        <f t="shared" si="1936"/>
        <v/>
      </c>
      <c r="I6212" s="750"/>
      <c r="J6212" s="669" t="s">
        <v>5805</v>
      </c>
    </row>
    <row r="6213" spans="1:29" x14ac:dyDescent="0.25">
      <c r="A6213" s="383" t="s">
        <v>2296</v>
      </c>
      <c r="B6213" s="384" t="s">
        <v>3390</v>
      </c>
      <c r="C6213" s="383"/>
      <c r="D6213" s="386" t="s">
        <v>424</v>
      </c>
      <c r="E6213" s="384"/>
      <c r="F6213" s="479"/>
      <c r="G6213" s="385"/>
      <c r="H6213" s="385" t="str">
        <f t="shared" si="1936"/>
        <v/>
      </c>
      <c r="I6213" s="750"/>
      <c r="J6213" s="669" t="s">
        <v>5805</v>
      </c>
    </row>
    <row r="6214" spans="1:29" x14ac:dyDescent="0.25">
      <c r="A6214" s="383" t="s">
        <v>2297</v>
      </c>
      <c r="B6214" s="384" t="s">
        <v>740</v>
      </c>
      <c r="C6214" s="383"/>
      <c r="D6214" s="386" t="s">
        <v>424</v>
      </c>
      <c r="E6214" s="384"/>
      <c r="F6214" s="479"/>
      <c r="G6214" s="385"/>
      <c r="H6214" s="385" t="str">
        <f t="shared" si="1936"/>
        <v/>
      </c>
      <c r="I6214" s="750"/>
      <c r="J6214" s="669" t="s">
        <v>5805</v>
      </c>
    </row>
    <row r="6215" spans="1:29" x14ac:dyDescent="0.25">
      <c r="A6215" s="383" t="s">
        <v>2298</v>
      </c>
      <c r="B6215" s="384" t="s">
        <v>5435</v>
      </c>
      <c r="C6215" s="383"/>
      <c r="D6215" s="386" t="s">
        <v>424</v>
      </c>
      <c r="E6215" s="384"/>
      <c r="F6215" s="479"/>
      <c r="G6215" s="385"/>
      <c r="H6215" s="385" t="str">
        <f t="shared" si="1936"/>
        <v/>
      </c>
      <c r="I6215" s="750"/>
      <c r="J6215" s="669" t="s">
        <v>5805</v>
      </c>
      <c r="O6215" s="238"/>
      <c r="P6215" s="238"/>
      <c r="Q6215" s="238"/>
      <c r="R6215" s="238"/>
      <c r="S6215" s="238"/>
      <c r="T6215" s="238"/>
    </row>
    <row r="6216" spans="1:29" x14ac:dyDescent="0.25">
      <c r="H6216" s="15" t="str">
        <f t="shared" si="1936"/>
        <v/>
      </c>
      <c r="J6216" s="669"/>
    </row>
    <row r="6217" spans="1:29" s="774" customFormat="1" ht="23.25" x14ac:dyDescent="0.25">
      <c r="A6217" s="1172" t="s">
        <v>7827</v>
      </c>
      <c r="B6217" s="1172"/>
      <c r="C6217" s="1172"/>
      <c r="D6217" s="1172"/>
      <c r="E6217" s="1172"/>
      <c r="F6217" s="1172"/>
      <c r="G6217" s="1172"/>
      <c r="H6217" s="1172"/>
      <c r="I6217" s="741"/>
      <c r="J6217" s="669">
        <v>44545</v>
      </c>
      <c r="N6217" s="238"/>
      <c r="U6217" s="238"/>
      <c r="V6217" s="238"/>
      <c r="W6217" s="238"/>
      <c r="X6217" s="238"/>
      <c r="Y6217" s="238"/>
      <c r="Z6217" s="238"/>
      <c r="AA6217" s="238"/>
      <c r="AB6217" s="238"/>
      <c r="AC6217" s="238"/>
    </row>
    <row r="6218" spans="1:29" s="774" customFormat="1" ht="188.45" customHeight="1" x14ac:dyDescent="0.25">
      <c r="A6218" s="1128" t="s">
        <v>7825</v>
      </c>
      <c r="B6218" s="1128"/>
      <c r="C6218" s="1128"/>
      <c r="D6218" s="1128"/>
      <c r="E6218" s="1128"/>
      <c r="F6218" s="1128"/>
      <c r="G6218" s="429"/>
      <c r="H6218" s="508" t="str">
        <f t="shared" si="1936"/>
        <v/>
      </c>
      <c r="I6218" s="741"/>
      <c r="J6218" s="669">
        <v>44545</v>
      </c>
      <c r="N6218" s="238"/>
      <c r="U6218" s="238"/>
      <c r="V6218" s="238"/>
      <c r="W6218" s="238"/>
      <c r="X6218" s="238"/>
      <c r="Y6218" s="238"/>
      <c r="Z6218" s="238"/>
      <c r="AA6218" s="238"/>
      <c r="AB6218" s="238"/>
      <c r="AC6218" s="238"/>
    </row>
    <row r="6219" spans="1:29" s="774" customFormat="1" ht="90" customHeight="1" x14ac:dyDescent="0.25">
      <c r="A6219" s="1128" t="s">
        <v>7818</v>
      </c>
      <c r="B6219" s="1128"/>
      <c r="C6219" s="1128"/>
      <c r="D6219" s="1128"/>
      <c r="E6219" s="1128"/>
      <c r="F6219" s="1128"/>
      <c r="G6219" s="429"/>
      <c r="H6219" s="508" t="str">
        <f>IF(ISNUMBER(G6219),ROUND(0.8*G6219,2),"")</f>
        <v/>
      </c>
      <c r="I6219" s="741"/>
      <c r="J6219" s="669">
        <v>44545</v>
      </c>
      <c r="N6219" s="238"/>
      <c r="U6219" s="238"/>
      <c r="V6219" s="238"/>
      <c r="W6219" s="238"/>
      <c r="X6219" s="238"/>
      <c r="Y6219" s="238"/>
      <c r="Z6219" s="238"/>
      <c r="AA6219" s="238"/>
      <c r="AB6219" s="238"/>
      <c r="AC6219" s="238"/>
    </row>
    <row r="6220" spans="1:29" s="774" customFormat="1" ht="93" customHeight="1" x14ac:dyDescent="0.25">
      <c r="A6220" s="1128" t="s">
        <v>7814</v>
      </c>
      <c r="B6220" s="1128"/>
      <c r="C6220" s="1128"/>
      <c r="D6220" s="1128"/>
      <c r="E6220" s="1128"/>
      <c r="F6220" s="1128"/>
      <c r="G6220" s="429"/>
      <c r="H6220" s="508" t="str">
        <f t="shared" si="1936"/>
        <v/>
      </c>
      <c r="I6220" s="741"/>
      <c r="J6220" s="669">
        <v>44545</v>
      </c>
      <c r="N6220" s="238"/>
      <c r="U6220" s="238"/>
      <c r="V6220" s="238"/>
      <c r="W6220" s="238"/>
      <c r="X6220" s="238"/>
      <c r="Y6220" s="238"/>
      <c r="Z6220" s="238"/>
      <c r="AA6220" s="238"/>
      <c r="AB6220" s="238"/>
      <c r="AC6220" s="238"/>
    </row>
    <row r="6221" spans="1:29" s="774" customFormat="1" ht="90" customHeight="1" x14ac:dyDescent="0.25">
      <c r="A6221" s="1128" t="s">
        <v>7789</v>
      </c>
      <c r="B6221" s="1128"/>
      <c r="C6221" s="1128"/>
      <c r="D6221" s="1128"/>
      <c r="E6221" s="1128"/>
      <c r="F6221" s="1128"/>
      <c r="G6221" s="429"/>
      <c r="H6221" s="508"/>
      <c r="I6221" s="741"/>
      <c r="J6221" s="669"/>
      <c r="N6221" s="238"/>
      <c r="U6221" s="238"/>
      <c r="V6221" s="238"/>
      <c r="W6221" s="238"/>
      <c r="X6221" s="238"/>
      <c r="Y6221" s="238"/>
      <c r="Z6221" s="238"/>
      <c r="AA6221" s="238"/>
      <c r="AB6221" s="238"/>
      <c r="AC6221" s="238"/>
    </row>
    <row r="6222" spans="1:29" s="774" customFormat="1" ht="52.5" customHeight="1" x14ac:dyDescent="0.25">
      <c r="A6222" s="1128" t="s">
        <v>7819</v>
      </c>
      <c r="B6222" s="1128"/>
      <c r="C6222" s="1128"/>
      <c r="D6222" s="1128"/>
      <c r="E6222" s="1128"/>
      <c r="F6222" s="1128"/>
      <c r="G6222" s="429"/>
      <c r="H6222" s="508" t="str">
        <f>IF(ISNUMBER(G6222),ROUND(0.8*G6222,2),"")</f>
        <v/>
      </c>
      <c r="I6222" s="741"/>
      <c r="J6222" s="669">
        <v>44545</v>
      </c>
      <c r="N6222" s="238"/>
      <c r="U6222" s="238"/>
      <c r="V6222" s="238"/>
      <c r="W6222" s="238"/>
      <c r="X6222" s="238"/>
      <c r="Y6222" s="238"/>
      <c r="Z6222" s="238"/>
      <c r="AA6222" s="238"/>
      <c r="AB6222" s="238"/>
      <c r="AC6222" s="238"/>
    </row>
    <row r="6223" spans="1:29" s="774" customFormat="1" x14ac:dyDescent="0.25">
      <c r="F6223" s="471"/>
      <c r="G6223" s="769"/>
      <c r="H6223" s="769" t="str">
        <f t="shared" si="1936"/>
        <v/>
      </c>
      <c r="I6223" s="691"/>
      <c r="J6223" s="669" t="s">
        <v>4180</v>
      </c>
    </row>
    <row r="6224" spans="1:29" s="774" customFormat="1" x14ac:dyDescent="0.25">
      <c r="A6224" s="646" t="s">
        <v>7407</v>
      </c>
      <c r="B6224" s="647" t="s">
        <v>2269</v>
      </c>
      <c r="C6224" s="647"/>
      <c r="D6224" s="651" t="s">
        <v>7420</v>
      </c>
      <c r="E6224" s="647"/>
      <c r="F6224" s="648">
        <v>0</v>
      </c>
      <c r="G6224" s="649">
        <v>0</v>
      </c>
      <c r="H6224" s="649">
        <f t="shared" si="1936"/>
        <v>0</v>
      </c>
      <c r="I6224" s="747"/>
      <c r="J6224" s="669">
        <v>44196</v>
      </c>
    </row>
    <row r="6225" spans="1:10" s="774" customFormat="1" x14ac:dyDescent="0.25">
      <c r="A6225" s="646" t="s">
        <v>7408</v>
      </c>
      <c r="B6225" s="647" t="s">
        <v>5548</v>
      </c>
      <c r="C6225" s="647"/>
      <c r="D6225" s="651" t="s">
        <v>7420</v>
      </c>
      <c r="E6225" s="647"/>
      <c r="F6225" s="648">
        <v>0</v>
      </c>
      <c r="G6225" s="649">
        <v>0</v>
      </c>
      <c r="H6225" s="649">
        <f t="shared" si="1936"/>
        <v>0</v>
      </c>
      <c r="I6225" s="747"/>
      <c r="J6225" s="669">
        <v>44196</v>
      </c>
    </row>
    <row r="6226" spans="1:10" s="774" customFormat="1" x14ac:dyDescent="0.25">
      <c r="A6226" s="646" t="s">
        <v>7409</v>
      </c>
      <c r="B6226" s="647" t="s">
        <v>4847</v>
      </c>
      <c r="C6226" s="647"/>
      <c r="D6226" s="651" t="s">
        <v>7420</v>
      </c>
      <c r="E6226" s="647"/>
      <c r="F6226" s="648">
        <v>0</v>
      </c>
      <c r="G6226" s="649">
        <v>0</v>
      </c>
      <c r="H6226" s="649">
        <f t="shared" si="1936"/>
        <v>0</v>
      </c>
      <c r="I6226" s="747"/>
      <c r="J6226" s="669">
        <v>44196</v>
      </c>
    </row>
    <row r="6227" spans="1:10" s="774" customFormat="1" x14ac:dyDescent="0.25">
      <c r="A6227" s="646" t="s">
        <v>7410</v>
      </c>
      <c r="B6227" s="647" t="s">
        <v>5406</v>
      </c>
      <c r="C6227" s="647"/>
      <c r="D6227" s="651" t="s">
        <v>7420</v>
      </c>
      <c r="E6227" s="647"/>
      <c r="F6227" s="648">
        <v>0</v>
      </c>
      <c r="G6227" s="649">
        <v>0</v>
      </c>
      <c r="H6227" s="649">
        <f t="shared" si="1936"/>
        <v>0</v>
      </c>
      <c r="I6227" s="747"/>
      <c r="J6227" s="669">
        <v>44196</v>
      </c>
    </row>
    <row r="6228" spans="1:10" s="774" customFormat="1" x14ac:dyDescent="0.25">
      <c r="A6228" s="646" t="s">
        <v>7411</v>
      </c>
      <c r="B6228" s="647" t="s">
        <v>5411</v>
      </c>
      <c r="C6228" s="647"/>
      <c r="D6228" s="651" t="s">
        <v>7420</v>
      </c>
      <c r="E6228" s="647"/>
      <c r="F6228" s="648">
        <v>0</v>
      </c>
      <c r="G6228" s="649">
        <v>0</v>
      </c>
      <c r="H6228" s="649">
        <f t="shared" si="1936"/>
        <v>0</v>
      </c>
      <c r="I6228" s="747"/>
      <c r="J6228" s="669">
        <v>44196</v>
      </c>
    </row>
    <row r="6229" spans="1:10" s="774" customFormat="1" x14ac:dyDescent="0.25">
      <c r="A6229" s="646" t="s">
        <v>7412</v>
      </c>
      <c r="B6229" s="647" t="s">
        <v>5412</v>
      </c>
      <c r="C6229" s="647"/>
      <c r="D6229" s="651" t="s">
        <v>7420</v>
      </c>
      <c r="E6229" s="647"/>
      <c r="F6229" s="648">
        <v>0</v>
      </c>
      <c r="G6229" s="649">
        <v>0</v>
      </c>
      <c r="H6229" s="649">
        <f t="shared" si="1936"/>
        <v>0</v>
      </c>
      <c r="I6229" s="747"/>
      <c r="J6229" s="669">
        <v>44196</v>
      </c>
    </row>
    <row r="6230" spans="1:10" s="774" customFormat="1" x14ac:dyDescent="0.25">
      <c r="A6230" s="646" t="s">
        <v>7413</v>
      </c>
      <c r="B6230" s="647" t="s">
        <v>2034</v>
      </c>
      <c r="C6230" s="647"/>
      <c r="D6230" s="651" t="s">
        <v>7420</v>
      </c>
      <c r="E6230" s="647"/>
      <c r="F6230" s="648">
        <v>0</v>
      </c>
      <c r="G6230" s="649">
        <v>0</v>
      </c>
      <c r="H6230" s="649">
        <f t="shared" si="1936"/>
        <v>0</v>
      </c>
      <c r="I6230" s="747"/>
      <c r="J6230" s="669">
        <v>44196</v>
      </c>
    </row>
    <row r="6231" spans="1:10" s="774" customFormat="1" x14ac:dyDescent="0.25">
      <c r="A6231" s="646" t="s">
        <v>7414</v>
      </c>
      <c r="B6231" s="647" t="s">
        <v>2067</v>
      </c>
      <c r="C6231" s="647"/>
      <c r="D6231" s="651" t="s">
        <v>7420</v>
      </c>
      <c r="E6231" s="647"/>
      <c r="F6231" s="648">
        <v>0</v>
      </c>
      <c r="G6231" s="649">
        <v>0</v>
      </c>
      <c r="H6231" s="649">
        <f t="shared" si="1936"/>
        <v>0</v>
      </c>
      <c r="I6231" s="747"/>
      <c r="J6231" s="669">
        <v>44196</v>
      </c>
    </row>
    <row r="6232" spans="1:10" s="774" customFormat="1" x14ac:dyDescent="0.25">
      <c r="A6232" s="646" t="s">
        <v>7415</v>
      </c>
      <c r="B6232" s="647" t="s">
        <v>3374</v>
      </c>
      <c r="C6232" s="647"/>
      <c r="D6232" s="651" t="s">
        <v>7420</v>
      </c>
      <c r="E6232" s="647"/>
      <c r="F6232" s="648">
        <v>0</v>
      </c>
      <c r="G6232" s="649">
        <v>0</v>
      </c>
      <c r="H6232" s="649">
        <f t="shared" si="1936"/>
        <v>0</v>
      </c>
      <c r="I6232" s="747"/>
      <c r="J6232" s="669">
        <v>44196</v>
      </c>
    </row>
    <row r="6233" spans="1:10" s="774" customFormat="1" x14ac:dyDescent="0.25">
      <c r="A6233" s="646" t="s">
        <v>7416</v>
      </c>
      <c r="B6233" s="647" t="s">
        <v>3382</v>
      </c>
      <c r="C6233" s="647"/>
      <c r="D6233" s="651" t="s">
        <v>7420</v>
      </c>
      <c r="E6233" s="647"/>
      <c r="F6233" s="648">
        <v>0</v>
      </c>
      <c r="G6233" s="649">
        <v>0</v>
      </c>
      <c r="H6233" s="649">
        <f t="shared" si="1936"/>
        <v>0</v>
      </c>
      <c r="I6233" s="747"/>
      <c r="J6233" s="669">
        <v>44196</v>
      </c>
    </row>
    <row r="6234" spans="1:10" s="774" customFormat="1" x14ac:dyDescent="0.25">
      <c r="A6234" s="646" t="s">
        <v>7417</v>
      </c>
      <c r="B6234" s="647" t="s">
        <v>3390</v>
      </c>
      <c r="C6234" s="647"/>
      <c r="D6234" s="651" t="s">
        <v>7420</v>
      </c>
      <c r="E6234" s="647"/>
      <c r="F6234" s="648">
        <v>0</v>
      </c>
      <c r="G6234" s="649">
        <v>0</v>
      </c>
      <c r="H6234" s="649">
        <f t="shared" si="1936"/>
        <v>0</v>
      </c>
      <c r="I6234" s="747"/>
      <c r="J6234" s="669">
        <v>44196</v>
      </c>
    </row>
    <row r="6235" spans="1:10" s="774" customFormat="1" x14ac:dyDescent="0.25">
      <c r="A6235" s="646" t="s">
        <v>7418</v>
      </c>
      <c r="B6235" s="647" t="s">
        <v>740</v>
      </c>
      <c r="C6235" s="647"/>
      <c r="D6235" s="651" t="s">
        <v>7420</v>
      </c>
      <c r="E6235" s="647"/>
      <c r="F6235" s="648">
        <v>0</v>
      </c>
      <c r="G6235" s="649">
        <v>0</v>
      </c>
      <c r="H6235" s="649">
        <f t="shared" si="1936"/>
        <v>0</v>
      </c>
      <c r="I6235" s="747"/>
      <c r="J6235" s="669">
        <v>44196</v>
      </c>
    </row>
    <row r="6236" spans="1:10" s="774" customFormat="1" x14ac:dyDescent="0.25">
      <c r="A6236" s="646" t="s">
        <v>7419</v>
      </c>
      <c r="B6236" s="647" t="s">
        <v>5435</v>
      </c>
      <c r="C6236" s="647"/>
      <c r="D6236" s="651" t="s">
        <v>7420</v>
      </c>
      <c r="E6236" s="647"/>
      <c r="F6236" s="648">
        <v>0</v>
      </c>
      <c r="G6236" s="649">
        <v>0</v>
      </c>
      <c r="H6236" s="649">
        <f t="shared" si="1936"/>
        <v>0</v>
      </c>
      <c r="I6236" s="747"/>
      <c r="J6236" s="669">
        <v>44196</v>
      </c>
    </row>
    <row r="6237" spans="1:10" x14ac:dyDescent="0.25">
      <c r="A6237" s="646" t="s">
        <v>7548</v>
      </c>
      <c r="B6237" s="647" t="s">
        <v>5435</v>
      </c>
      <c r="C6237" s="651"/>
      <c r="D6237" s="651" t="s">
        <v>7820</v>
      </c>
      <c r="E6237" s="651" t="s">
        <v>1053</v>
      </c>
      <c r="F6237" s="648">
        <v>0</v>
      </c>
      <c r="G6237" s="649">
        <v>0</v>
      </c>
      <c r="H6237" s="649">
        <f>IF(ISNUMBER(G6237),ROUND(0.8*G6237,2),"")</f>
        <v>0</v>
      </c>
      <c r="I6237" s="747"/>
      <c r="J6237" s="669">
        <v>44477</v>
      </c>
    </row>
    <row r="6238" spans="1:10" s="774" customFormat="1" x14ac:dyDescent="0.25">
      <c r="F6238" s="471"/>
      <c r="G6238" s="769"/>
      <c r="H6238" s="769" t="str">
        <f>IF(ISNUMBER(G6238),ROUND(0.8*G6238,2),"")</f>
        <v/>
      </c>
      <c r="I6238" s="691"/>
      <c r="J6238" s="669" t="s">
        <v>4180</v>
      </c>
    </row>
    <row r="6239" spans="1:10" s="774" customFormat="1" x14ac:dyDescent="0.25">
      <c r="A6239" s="646" t="str">
        <f>LEFT(A6224,2) &amp; "K23MSRV-FGAB"</f>
        <v>WaK23MSRV-FGAB</v>
      </c>
      <c r="B6239" s="647" t="s">
        <v>2269</v>
      </c>
      <c r="C6239" s="647"/>
      <c r="D6239" s="651" t="s">
        <v>7758</v>
      </c>
      <c r="E6239" s="647"/>
      <c r="F6239" s="648"/>
      <c r="G6239" s="649"/>
      <c r="H6239" s="649"/>
      <c r="I6239" s="747"/>
      <c r="J6239" s="669">
        <v>44545</v>
      </c>
    </row>
    <row r="6240" spans="1:10" s="774" customFormat="1" x14ac:dyDescent="0.25">
      <c r="A6240" s="646" t="str">
        <f t="shared" ref="A6240:A6251" si="1937">LEFT(A6225,2) &amp; "K23MSRV-FGAB"</f>
        <v>BiK23MSRV-FGAB</v>
      </c>
      <c r="B6240" s="647" t="s">
        <v>5548</v>
      </c>
      <c r="C6240" s="647"/>
      <c r="D6240" s="651" t="s">
        <v>7758</v>
      </c>
      <c r="E6240" s="647"/>
      <c r="F6240" s="648"/>
      <c r="G6240" s="649"/>
      <c r="H6240" s="649"/>
      <c r="I6240" s="747"/>
      <c r="J6240" s="669">
        <v>44545</v>
      </c>
    </row>
    <row r="6241" spans="1:10" s="774" customFormat="1" x14ac:dyDescent="0.25">
      <c r="A6241" s="646" t="str">
        <f t="shared" si="1937"/>
        <v>GaK23MSRV-FGAB</v>
      </c>
      <c r="B6241" s="647" t="s">
        <v>4847</v>
      </c>
      <c r="C6241" s="647"/>
      <c r="D6241" s="651" t="s">
        <v>7758</v>
      </c>
      <c r="E6241" s="647"/>
      <c r="F6241" s="648"/>
      <c r="G6241" s="649"/>
      <c r="H6241" s="649"/>
      <c r="I6241" s="747"/>
      <c r="J6241" s="669">
        <v>44545</v>
      </c>
    </row>
    <row r="6242" spans="1:10" s="774" customFormat="1" x14ac:dyDescent="0.25">
      <c r="A6242" s="646" t="str">
        <f t="shared" si="1937"/>
        <v>DeK23MSRV-FGAB</v>
      </c>
      <c r="B6242" s="647" t="s">
        <v>5406</v>
      </c>
      <c r="C6242" s="647"/>
      <c r="D6242" s="651" t="s">
        <v>7758</v>
      </c>
      <c r="E6242" s="647"/>
      <c r="F6242" s="648"/>
      <c r="G6242" s="649"/>
      <c r="H6242" s="649"/>
      <c r="I6242" s="747"/>
      <c r="J6242" s="669">
        <v>44545</v>
      </c>
    </row>
    <row r="6243" spans="1:10" s="774" customFormat="1" x14ac:dyDescent="0.25">
      <c r="A6243" s="646" t="str">
        <f t="shared" si="1937"/>
        <v>KlK23MSRV-FGAB</v>
      </c>
      <c r="B6243" s="647" t="s">
        <v>5411</v>
      </c>
      <c r="C6243" s="647"/>
      <c r="D6243" s="651" t="s">
        <v>7758</v>
      </c>
      <c r="E6243" s="647"/>
      <c r="F6243" s="648"/>
      <c r="G6243" s="649"/>
      <c r="H6243" s="649"/>
      <c r="I6243" s="747"/>
      <c r="J6243" s="669">
        <v>44545</v>
      </c>
    </row>
    <row r="6244" spans="1:10" s="774" customFormat="1" x14ac:dyDescent="0.25">
      <c r="A6244" s="646" t="str">
        <f t="shared" si="1937"/>
        <v>GrK23MSRV-FGAB</v>
      </c>
      <c r="B6244" s="647" t="s">
        <v>5412</v>
      </c>
      <c r="C6244" s="647"/>
      <c r="D6244" s="651" t="s">
        <v>7758</v>
      </c>
      <c r="E6244" s="647"/>
      <c r="F6244" s="648"/>
      <c r="G6244" s="649"/>
      <c r="H6244" s="649"/>
      <c r="I6244" s="747"/>
      <c r="J6244" s="669">
        <v>44545</v>
      </c>
    </row>
    <row r="6245" spans="1:10" s="774" customFormat="1" x14ac:dyDescent="0.25">
      <c r="A6245" s="646" t="str">
        <f t="shared" si="1937"/>
        <v>GeK23MSRV-FGAB</v>
      </c>
      <c r="B6245" s="647" t="s">
        <v>2034</v>
      </c>
      <c r="C6245" s="647"/>
      <c r="D6245" s="651" t="s">
        <v>7758</v>
      </c>
      <c r="E6245" s="647"/>
      <c r="F6245" s="648"/>
      <c r="G6245" s="649"/>
      <c r="H6245" s="649"/>
      <c r="I6245" s="747"/>
      <c r="J6245" s="669">
        <v>44545</v>
      </c>
    </row>
    <row r="6246" spans="1:10" s="774" customFormat="1" x14ac:dyDescent="0.25">
      <c r="A6246" s="646" t="str">
        <f t="shared" si="1937"/>
        <v>WiK23MSRV-FGAB</v>
      </c>
      <c r="B6246" s="647" t="s">
        <v>2067</v>
      </c>
      <c r="C6246" s="647"/>
      <c r="D6246" s="651" t="s">
        <v>7758</v>
      </c>
      <c r="E6246" s="647"/>
      <c r="F6246" s="648"/>
      <c r="G6246" s="649"/>
      <c r="H6246" s="649"/>
      <c r="I6246" s="747"/>
      <c r="J6246" s="669">
        <v>44545</v>
      </c>
    </row>
    <row r="6247" spans="1:10" s="774" customFormat="1" x14ac:dyDescent="0.25">
      <c r="A6247" s="646" t="str">
        <f t="shared" si="1937"/>
        <v>WnK23MSRV-FGAB</v>
      </c>
      <c r="B6247" s="647" t="s">
        <v>3374</v>
      </c>
      <c r="C6247" s="647"/>
      <c r="D6247" s="651" t="s">
        <v>7758</v>
      </c>
      <c r="E6247" s="647"/>
      <c r="F6247" s="648"/>
      <c r="G6247" s="649"/>
      <c r="H6247" s="649"/>
      <c r="I6247" s="747"/>
      <c r="J6247" s="669">
        <v>44545</v>
      </c>
    </row>
    <row r="6248" spans="1:10" s="774" customFormat="1" x14ac:dyDescent="0.25">
      <c r="A6248" s="646" t="str">
        <f t="shared" si="1937"/>
        <v>WrK23MSRV-FGAB</v>
      </c>
      <c r="B6248" s="647" t="s">
        <v>3382</v>
      </c>
      <c r="C6248" s="647"/>
      <c r="D6248" s="651" t="s">
        <v>7758</v>
      </c>
      <c r="E6248" s="647"/>
      <c r="F6248" s="648"/>
      <c r="G6248" s="649"/>
      <c r="H6248" s="649"/>
      <c r="I6248" s="747"/>
      <c r="J6248" s="669">
        <v>44545</v>
      </c>
    </row>
    <row r="6249" spans="1:10" s="774" customFormat="1" x14ac:dyDescent="0.25">
      <c r="A6249" s="646" t="str">
        <f t="shared" si="1937"/>
        <v>WfK23MSRV-FGAB</v>
      </c>
      <c r="B6249" s="647" t="s">
        <v>3390</v>
      </c>
      <c r="C6249" s="647"/>
      <c r="D6249" s="651" t="s">
        <v>7758</v>
      </c>
      <c r="E6249" s="647"/>
      <c r="F6249" s="648"/>
      <c r="G6249" s="649"/>
      <c r="H6249" s="649"/>
      <c r="I6249" s="747"/>
      <c r="J6249" s="669">
        <v>44545</v>
      </c>
    </row>
    <row r="6250" spans="1:10" s="774" customFormat="1" x14ac:dyDescent="0.25">
      <c r="A6250" s="646" t="str">
        <f t="shared" si="1937"/>
        <v>SoK23MSRV-FGAB</v>
      </c>
      <c r="B6250" s="647" t="s">
        <v>740</v>
      </c>
      <c r="C6250" s="647"/>
      <c r="D6250" s="651" t="s">
        <v>7758</v>
      </c>
      <c r="E6250" s="647"/>
      <c r="F6250" s="648"/>
      <c r="G6250" s="649"/>
      <c r="H6250" s="649"/>
      <c r="I6250" s="747"/>
      <c r="J6250" s="669">
        <v>44545</v>
      </c>
    </row>
    <row r="6251" spans="1:10" s="774" customFormat="1" x14ac:dyDescent="0.25">
      <c r="A6251" s="646" t="str">
        <f t="shared" si="1937"/>
        <v>SgK23MSRV-FGAB</v>
      </c>
      <c r="B6251" s="647" t="s">
        <v>5435</v>
      </c>
      <c r="C6251" s="647"/>
      <c r="D6251" s="651" t="s">
        <v>7758</v>
      </c>
      <c r="E6251" s="647"/>
      <c r="F6251" s="648"/>
      <c r="G6251" s="649"/>
      <c r="H6251" s="649"/>
      <c r="I6251" s="747"/>
      <c r="J6251" s="669">
        <v>44545</v>
      </c>
    </row>
    <row r="6252" spans="1:10" s="774" customFormat="1" x14ac:dyDescent="0.25">
      <c r="A6252" s="646" t="str">
        <f>LEFT(A6253,2) &amp; "K23MSRV-SVAB"</f>
        <v>SgK23MSRV-SVAB</v>
      </c>
      <c r="B6252" s="647" t="s">
        <v>5435</v>
      </c>
      <c r="C6252" s="651"/>
      <c r="D6252" s="651" t="s">
        <v>7756</v>
      </c>
      <c r="E6252" s="651" t="s">
        <v>1053</v>
      </c>
      <c r="F6252" s="648"/>
      <c r="G6252" s="649"/>
      <c r="H6252" s="649"/>
      <c r="I6252" s="747"/>
      <c r="J6252" s="669">
        <v>44545</v>
      </c>
    </row>
    <row r="6253" spans="1:10" s="774" customFormat="1" x14ac:dyDescent="0.25">
      <c r="A6253" s="646" t="s">
        <v>7750</v>
      </c>
      <c r="B6253" s="647" t="s">
        <v>5435</v>
      </c>
      <c r="C6253" s="651"/>
      <c r="D6253" s="651" t="s">
        <v>7757</v>
      </c>
      <c r="E6253" s="954" t="s">
        <v>6320</v>
      </c>
      <c r="F6253" s="648"/>
      <c r="G6253" s="649"/>
      <c r="H6253" s="649"/>
      <c r="I6253" s="747"/>
      <c r="J6253" s="669">
        <v>44545</v>
      </c>
    </row>
    <row r="6254" spans="1:10" s="774" customFormat="1" x14ac:dyDescent="0.25">
      <c r="F6254" s="471"/>
      <c r="G6254" s="769"/>
      <c r="H6254" s="769"/>
      <c r="I6254" s="691"/>
      <c r="J6254" s="669" t="s">
        <v>4180</v>
      </c>
    </row>
    <row r="6255" spans="1:10" s="774" customFormat="1" x14ac:dyDescent="0.25">
      <c r="A6255" s="646" t="str">
        <f>LEFT(A6239,2) &amp; "K23MSRVMPMAB"</f>
        <v>WaK23MSRVMPMAB</v>
      </c>
      <c r="B6255" s="647" t="s">
        <v>2269</v>
      </c>
      <c r="C6255" s="647"/>
      <c r="D6255" s="651" t="s">
        <v>7754</v>
      </c>
      <c r="E6255" s="647"/>
      <c r="F6255" s="648"/>
      <c r="G6255" s="649"/>
      <c r="H6255" s="649"/>
      <c r="I6255" s="747"/>
      <c r="J6255" s="669">
        <v>44545</v>
      </c>
    </row>
    <row r="6256" spans="1:10" s="774" customFormat="1" x14ac:dyDescent="0.25">
      <c r="A6256" s="646" t="str">
        <f t="shared" ref="A6256:A6267" si="1938">LEFT(A6240,2) &amp; "K23MSRVMPMAB"</f>
        <v>BiK23MSRVMPMAB</v>
      </c>
      <c r="B6256" s="647" t="s">
        <v>5548</v>
      </c>
      <c r="C6256" s="647"/>
      <c r="D6256" s="651" t="s">
        <v>7754</v>
      </c>
      <c r="E6256" s="647"/>
      <c r="F6256" s="648"/>
      <c r="G6256" s="649"/>
      <c r="H6256" s="649"/>
      <c r="I6256" s="747"/>
      <c r="J6256" s="669">
        <v>44545</v>
      </c>
    </row>
    <row r="6257" spans="1:236" s="774" customFormat="1" x14ac:dyDescent="0.25">
      <c r="A6257" s="646" t="str">
        <f t="shared" si="1938"/>
        <v>GaK23MSRVMPMAB</v>
      </c>
      <c r="B6257" s="647" t="s">
        <v>4847</v>
      </c>
      <c r="C6257" s="647"/>
      <c r="D6257" s="651" t="s">
        <v>7754</v>
      </c>
      <c r="E6257" s="647"/>
      <c r="F6257" s="648"/>
      <c r="G6257" s="649"/>
      <c r="H6257" s="649"/>
      <c r="I6257" s="747"/>
      <c r="J6257" s="669">
        <v>44545</v>
      </c>
    </row>
    <row r="6258" spans="1:236" s="774" customFormat="1" x14ac:dyDescent="0.25">
      <c r="A6258" s="646" t="str">
        <f t="shared" si="1938"/>
        <v>DeK23MSRVMPMAB</v>
      </c>
      <c r="B6258" s="647" t="s">
        <v>5406</v>
      </c>
      <c r="C6258" s="647"/>
      <c r="D6258" s="651" t="s">
        <v>7754</v>
      </c>
      <c r="E6258" s="647"/>
      <c r="F6258" s="648"/>
      <c r="G6258" s="649"/>
      <c r="H6258" s="649"/>
      <c r="I6258" s="747"/>
      <c r="J6258" s="669">
        <v>44545</v>
      </c>
    </row>
    <row r="6259" spans="1:236" s="774" customFormat="1" x14ac:dyDescent="0.25">
      <c r="A6259" s="646" t="str">
        <f t="shared" si="1938"/>
        <v>KlK23MSRVMPMAB</v>
      </c>
      <c r="B6259" s="647" t="s">
        <v>5411</v>
      </c>
      <c r="C6259" s="647"/>
      <c r="D6259" s="651" t="s">
        <v>7754</v>
      </c>
      <c r="E6259" s="647"/>
      <c r="F6259" s="648"/>
      <c r="G6259" s="649"/>
      <c r="H6259" s="649"/>
      <c r="I6259" s="747"/>
      <c r="J6259" s="669">
        <v>44545</v>
      </c>
    </row>
    <row r="6260" spans="1:236" s="774" customFormat="1" x14ac:dyDescent="0.25">
      <c r="A6260" s="646" t="str">
        <f t="shared" si="1938"/>
        <v>GrK23MSRVMPMAB</v>
      </c>
      <c r="B6260" s="647" t="s">
        <v>5412</v>
      </c>
      <c r="C6260" s="647"/>
      <c r="D6260" s="651" t="s">
        <v>7754</v>
      </c>
      <c r="E6260" s="647"/>
      <c r="F6260" s="648"/>
      <c r="G6260" s="649"/>
      <c r="H6260" s="649"/>
      <c r="I6260" s="747"/>
      <c r="J6260" s="669">
        <v>44545</v>
      </c>
    </row>
    <row r="6261" spans="1:236" s="774" customFormat="1" x14ac:dyDescent="0.25">
      <c r="A6261" s="646" t="str">
        <f t="shared" si="1938"/>
        <v>GeK23MSRVMPMAB</v>
      </c>
      <c r="B6261" s="647" t="s">
        <v>2034</v>
      </c>
      <c r="C6261" s="647"/>
      <c r="D6261" s="651" t="s">
        <v>7754</v>
      </c>
      <c r="E6261" s="647"/>
      <c r="F6261" s="648"/>
      <c r="G6261" s="649"/>
      <c r="H6261" s="649"/>
      <c r="I6261" s="747"/>
      <c r="J6261" s="669">
        <v>44545</v>
      </c>
    </row>
    <row r="6262" spans="1:236" s="774" customFormat="1" x14ac:dyDescent="0.25">
      <c r="A6262" s="646" t="str">
        <f t="shared" si="1938"/>
        <v>WiK23MSRVMPMAB</v>
      </c>
      <c r="B6262" s="647" t="s">
        <v>2067</v>
      </c>
      <c r="C6262" s="647"/>
      <c r="D6262" s="651" t="s">
        <v>7754</v>
      </c>
      <c r="E6262" s="647"/>
      <c r="F6262" s="648"/>
      <c r="G6262" s="649"/>
      <c r="H6262" s="649"/>
      <c r="I6262" s="747"/>
      <c r="J6262" s="669">
        <v>44545</v>
      </c>
    </row>
    <row r="6263" spans="1:236" s="774" customFormat="1" x14ac:dyDescent="0.25">
      <c r="A6263" s="646" t="str">
        <f t="shared" si="1938"/>
        <v>WnK23MSRVMPMAB</v>
      </c>
      <c r="B6263" s="647" t="s">
        <v>3374</v>
      </c>
      <c r="C6263" s="647"/>
      <c r="D6263" s="651" t="s">
        <v>7754</v>
      </c>
      <c r="E6263" s="647"/>
      <c r="F6263" s="648"/>
      <c r="G6263" s="649"/>
      <c r="H6263" s="649"/>
      <c r="I6263" s="747"/>
      <c r="J6263" s="669">
        <v>44545</v>
      </c>
    </row>
    <row r="6264" spans="1:236" s="774" customFormat="1" x14ac:dyDescent="0.25">
      <c r="A6264" s="646" t="str">
        <f t="shared" si="1938"/>
        <v>WrK23MSRVMPMAB</v>
      </c>
      <c r="B6264" s="647" t="s">
        <v>3382</v>
      </c>
      <c r="C6264" s="647"/>
      <c r="D6264" s="651" t="s">
        <v>7754</v>
      </c>
      <c r="E6264" s="647"/>
      <c r="F6264" s="648"/>
      <c r="G6264" s="649"/>
      <c r="H6264" s="649"/>
      <c r="I6264" s="747"/>
      <c r="J6264" s="669">
        <v>44545</v>
      </c>
    </row>
    <row r="6265" spans="1:236" s="774" customFormat="1" x14ac:dyDescent="0.25">
      <c r="A6265" s="646" t="str">
        <f t="shared" si="1938"/>
        <v>WfK23MSRVMPMAB</v>
      </c>
      <c r="B6265" s="647" t="s">
        <v>3390</v>
      </c>
      <c r="C6265" s="647"/>
      <c r="D6265" s="651" t="s">
        <v>7754</v>
      </c>
      <c r="E6265" s="647"/>
      <c r="F6265" s="648"/>
      <c r="G6265" s="649"/>
      <c r="H6265" s="649"/>
      <c r="I6265" s="747"/>
      <c r="J6265" s="669">
        <v>44545</v>
      </c>
    </row>
    <row r="6266" spans="1:236" s="774" customFormat="1" x14ac:dyDescent="0.25">
      <c r="A6266" s="646" t="str">
        <f t="shared" si="1938"/>
        <v>SoK23MSRVMPMAB</v>
      </c>
      <c r="B6266" s="647" t="s">
        <v>740</v>
      </c>
      <c r="C6266" s="647"/>
      <c r="D6266" s="651" t="s">
        <v>7754</v>
      </c>
      <c r="E6266" s="647"/>
      <c r="F6266" s="648"/>
      <c r="G6266" s="649"/>
      <c r="H6266" s="649"/>
      <c r="I6266" s="747"/>
      <c r="J6266" s="669">
        <v>44545</v>
      </c>
    </row>
    <row r="6267" spans="1:236" s="774" customFormat="1" x14ac:dyDescent="0.25">
      <c r="A6267" s="646" t="str">
        <f t="shared" si="1938"/>
        <v>SgK23MSRVMPMAB</v>
      </c>
      <c r="B6267" s="647" t="s">
        <v>5435</v>
      </c>
      <c r="C6267" s="647"/>
      <c r="D6267" s="651" t="s">
        <v>7754</v>
      </c>
      <c r="E6267" s="647"/>
      <c r="F6267" s="648"/>
      <c r="G6267" s="649"/>
      <c r="H6267" s="649"/>
      <c r="I6267" s="747"/>
      <c r="J6267" s="669">
        <v>44545</v>
      </c>
    </row>
    <row r="6268" spans="1:236" x14ac:dyDescent="0.25">
      <c r="A6268" s="774"/>
      <c r="B6268" s="774"/>
      <c r="C6268" s="774"/>
      <c r="D6268" s="774"/>
      <c r="E6268" s="774"/>
      <c r="G6268" s="769"/>
      <c r="H6268" s="769"/>
      <c r="J6268" s="669"/>
      <c r="K6268" s="774"/>
      <c r="L6268" s="774"/>
      <c r="M6268" s="774"/>
      <c r="N6268" s="774"/>
      <c r="O6268" s="774"/>
      <c r="P6268" s="774"/>
      <c r="Q6268" s="774"/>
      <c r="R6268" s="774"/>
      <c r="S6268" s="774"/>
      <c r="T6268" s="774"/>
      <c r="U6268" s="774"/>
      <c r="V6268" s="774"/>
      <c r="W6268" s="774"/>
      <c r="X6268" s="774"/>
      <c r="Y6268" s="774"/>
      <c r="Z6268" s="774"/>
      <c r="AA6268" s="774"/>
      <c r="AB6268" s="774"/>
      <c r="AC6268" s="774"/>
      <c r="AD6268" s="774"/>
      <c r="AE6268" s="774"/>
      <c r="AF6268" s="774"/>
      <c r="AG6268" s="774"/>
      <c r="AH6268" s="774"/>
      <c r="AI6268" s="774"/>
      <c r="AJ6268" s="774"/>
      <c r="AK6268" s="774"/>
      <c r="AL6268" s="774"/>
      <c r="AM6268" s="774"/>
      <c r="AN6268" s="774"/>
      <c r="AO6268" s="774"/>
      <c r="AP6268" s="774"/>
      <c r="AQ6268" s="774"/>
      <c r="AR6268" s="774"/>
      <c r="AS6268" s="774"/>
      <c r="AT6268" s="774"/>
      <c r="AU6268" s="774"/>
      <c r="AV6268" s="774"/>
      <c r="AW6268" s="774"/>
      <c r="AX6268" s="774"/>
      <c r="AY6268" s="774"/>
      <c r="AZ6268" s="774"/>
      <c r="BA6268" s="774"/>
      <c r="BB6268" s="774"/>
      <c r="BC6268" s="774"/>
      <c r="BD6268" s="774"/>
      <c r="BE6268" s="774"/>
      <c r="BF6268" s="774"/>
      <c r="BG6268" s="774"/>
      <c r="BH6268" s="774"/>
      <c r="BI6268" s="774"/>
      <c r="BJ6268" s="774"/>
      <c r="BK6268" s="774"/>
      <c r="BL6268" s="774"/>
      <c r="BM6268" s="774"/>
      <c r="BN6268" s="774"/>
      <c r="BO6268" s="774"/>
      <c r="BP6268" s="774"/>
      <c r="BQ6268" s="774"/>
      <c r="BR6268" s="774"/>
      <c r="BS6268" s="774"/>
      <c r="BT6268" s="774"/>
      <c r="BU6268" s="774"/>
      <c r="BV6268" s="774"/>
      <c r="BW6268" s="774"/>
      <c r="BX6268" s="774"/>
      <c r="BY6268" s="774"/>
      <c r="BZ6268" s="774"/>
      <c r="CA6268" s="774"/>
      <c r="CB6268" s="774"/>
      <c r="CC6268" s="774"/>
      <c r="CD6268" s="774"/>
      <c r="CE6268" s="774"/>
      <c r="CF6268" s="774"/>
      <c r="CG6268" s="774"/>
      <c r="CH6268" s="774"/>
      <c r="CI6268" s="774"/>
      <c r="CJ6268" s="774"/>
      <c r="CK6268" s="774"/>
      <c r="CL6268" s="774"/>
      <c r="CM6268" s="774"/>
      <c r="CN6268" s="774"/>
      <c r="CO6268" s="774"/>
      <c r="CP6268" s="774"/>
      <c r="CQ6268" s="774"/>
      <c r="CR6268" s="774"/>
      <c r="CS6268" s="774"/>
      <c r="CT6268" s="774"/>
      <c r="CU6268" s="774"/>
      <c r="CV6268" s="774"/>
      <c r="CW6268" s="774"/>
      <c r="CX6268" s="774"/>
      <c r="CY6268" s="774"/>
      <c r="CZ6268" s="774"/>
      <c r="DA6268" s="774"/>
      <c r="DB6268" s="774"/>
      <c r="DC6268" s="774"/>
      <c r="DD6268" s="774"/>
      <c r="DE6268" s="774"/>
      <c r="DF6268" s="774"/>
      <c r="DG6268" s="774"/>
      <c r="DH6268" s="774"/>
      <c r="DI6268" s="774"/>
      <c r="DJ6268" s="774"/>
      <c r="DK6268" s="774"/>
      <c r="DL6268" s="774"/>
      <c r="DM6268" s="774"/>
      <c r="DN6268" s="774"/>
      <c r="DO6268" s="774"/>
      <c r="DP6268" s="774"/>
      <c r="DQ6268" s="774"/>
      <c r="DR6268" s="774"/>
      <c r="DS6268" s="774"/>
      <c r="DT6268" s="774"/>
      <c r="DU6268" s="774"/>
      <c r="DV6268" s="774"/>
      <c r="DW6268" s="774"/>
      <c r="DX6268" s="774"/>
      <c r="DY6268" s="774"/>
      <c r="DZ6268" s="774"/>
      <c r="EA6268" s="774"/>
      <c r="EB6268" s="774"/>
      <c r="EC6268" s="774"/>
      <c r="ED6268" s="774"/>
      <c r="EE6268" s="774"/>
      <c r="EF6268" s="774"/>
      <c r="EG6268" s="774"/>
      <c r="EH6268" s="774"/>
      <c r="EI6268" s="774"/>
      <c r="EJ6268" s="774"/>
      <c r="EK6268" s="774"/>
      <c r="EL6268" s="774"/>
      <c r="EM6268" s="774"/>
      <c r="EN6268" s="774"/>
      <c r="EO6268" s="774"/>
      <c r="EP6268" s="774"/>
      <c r="EQ6268" s="774"/>
      <c r="ER6268" s="774"/>
      <c r="ES6268" s="774"/>
      <c r="ET6268" s="774"/>
      <c r="EU6268" s="774"/>
      <c r="EV6268" s="774"/>
      <c r="EW6268" s="774"/>
      <c r="EX6268" s="774"/>
      <c r="EY6268" s="774"/>
      <c r="EZ6268" s="774"/>
      <c r="FA6268" s="774"/>
      <c r="FB6268" s="774"/>
      <c r="FC6268" s="774"/>
      <c r="FD6268" s="774"/>
      <c r="FE6268" s="774"/>
      <c r="FF6268" s="774"/>
      <c r="FG6268" s="774"/>
      <c r="FH6268" s="774"/>
      <c r="FI6268" s="774"/>
      <c r="FJ6268" s="774"/>
      <c r="FK6268" s="774"/>
      <c r="FL6268" s="774"/>
      <c r="FM6268" s="774"/>
      <c r="FN6268" s="774"/>
      <c r="FO6268" s="774"/>
      <c r="FP6268" s="774"/>
      <c r="FQ6268" s="774"/>
      <c r="FR6268" s="774"/>
      <c r="FS6268" s="774"/>
      <c r="FT6268" s="774"/>
      <c r="FU6268" s="774"/>
      <c r="FV6268" s="774"/>
      <c r="FW6268" s="774"/>
      <c r="FX6268" s="774"/>
      <c r="FY6268" s="774"/>
      <c r="FZ6268" s="774"/>
      <c r="GA6268" s="774"/>
      <c r="GB6268" s="774"/>
      <c r="GC6268" s="774"/>
      <c r="GD6268" s="774"/>
      <c r="GE6268" s="774"/>
      <c r="GF6268" s="774"/>
      <c r="GG6268" s="774"/>
      <c r="GH6268" s="774"/>
      <c r="GI6268" s="774"/>
      <c r="GJ6268" s="774"/>
      <c r="GK6268" s="774"/>
      <c r="GL6268" s="774"/>
      <c r="GM6268" s="774"/>
      <c r="GN6268" s="774"/>
      <c r="GO6268" s="774"/>
      <c r="GP6268" s="774"/>
      <c r="GQ6268" s="774"/>
      <c r="GR6268" s="774"/>
      <c r="GS6268" s="774"/>
      <c r="GT6268" s="774"/>
      <c r="GU6268" s="774"/>
      <c r="GV6268" s="774"/>
      <c r="GW6268" s="774"/>
      <c r="GX6268" s="774"/>
      <c r="GY6268" s="774"/>
      <c r="GZ6268" s="774"/>
      <c r="HA6268" s="774"/>
      <c r="HB6268" s="774"/>
      <c r="HC6268" s="774"/>
      <c r="HD6268" s="774"/>
      <c r="HE6268" s="774"/>
      <c r="HF6268" s="774"/>
      <c r="HG6268" s="774"/>
      <c r="HH6268" s="774"/>
      <c r="HI6268" s="774"/>
      <c r="HJ6268" s="774"/>
      <c r="HK6268" s="774"/>
      <c r="HL6268" s="774"/>
      <c r="HM6268" s="774"/>
      <c r="HN6268" s="774"/>
      <c r="HO6268" s="774"/>
      <c r="HP6268" s="774"/>
      <c r="HQ6268" s="774"/>
      <c r="HR6268" s="774"/>
      <c r="HS6268" s="774"/>
      <c r="HT6268" s="774"/>
      <c r="HU6268" s="774"/>
      <c r="HV6268" s="774"/>
      <c r="HW6268" s="774"/>
      <c r="HX6268" s="774"/>
      <c r="HY6268" s="774"/>
      <c r="HZ6268" s="774"/>
      <c r="IA6268" s="774"/>
      <c r="IB6268" s="774"/>
    </row>
    <row r="6269" spans="1:236" s="774" customFormat="1" x14ac:dyDescent="0.25">
      <c r="A6269" s="646" t="s">
        <v>7752</v>
      </c>
      <c r="B6269" s="647" t="s">
        <v>5548</v>
      </c>
      <c r="C6269" s="647"/>
      <c r="D6269" s="651" t="s">
        <v>7755</v>
      </c>
      <c r="E6269" s="647"/>
      <c r="F6269" s="648"/>
      <c r="G6269" s="649"/>
      <c r="H6269" s="649"/>
      <c r="I6269" s="747"/>
      <c r="J6269" s="669">
        <v>44545</v>
      </c>
    </row>
    <row r="6270" spans="1:236" x14ac:dyDescent="0.25">
      <c r="A6270" s="646" t="s">
        <v>7751</v>
      </c>
      <c r="B6270" s="647" t="s">
        <v>5548</v>
      </c>
      <c r="C6270" s="647"/>
      <c r="D6270" s="651" t="s">
        <v>7753</v>
      </c>
      <c r="E6270" s="647"/>
      <c r="F6270" s="648"/>
      <c r="G6270" s="649"/>
      <c r="H6270" s="649"/>
      <c r="I6270" s="747"/>
      <c r="J6270" s="669">
        <v>44545</v>
      </c>
    </row>
    <row r="6271" spans="1:236" s="774" customFormat="1" x14ac:dyDescent="0.25">
      <c r="F6271" s="471"/>
      <c r="G6271" s="769"/>
      <c r="H6271" s="769" t="str">
        <f>IF(ISNUMBER(G6271),ROUND(0.8*G6271,2),"")</f>
        <v/>
      </c>
      <c r="I6271" s="691"/>
      <c r="J6271" s="669" t="s">
        <v>4180</v>
      </c>
    </row>
    <row r="6272" spans="1:236" s="774" customFormat="1" x14ac:dyDescent="0.25">
      <c r="A6272" s="646" t="str">
        <f>LEFT(A6239,12) &amp; "NZ"</f>
        <v>WaK23MSRV-FGNZ</v>
      </c>
      <c r="B6272" s="647" t="s">
        <v>2269</v>
      </c>
      <c r="C6272" s="647"/>
      <c r="D6272" s="651" t="s">
        <v>7759</v>
      </c>
      <c r="E6272" s="647"/>
      <c r="F6272" s="648"/>
      <c r="G6272" s="649"/>
      <c r="H6272" s="649"/>
      <c r="I6272" s="747"/>
      <c r="J6272" s="669">
        <v>44545</v>
      </c>
    </row>
    <row r="6273" spans="1:10" s="774" customFormat="1" x14ac:dyDescent="0.25">
      <c r="A6273" s="646" t="str">
        <f t="shared" ref="A6273:A6286" si="1939">LEFT(A6240,12) &amp; "NZ"</f>
        <v>BiK23MSRV-FGNZ</v>
      </c>
      <c r="B6273" s="647" t="s">
        <v>5548</v>
      </c>
      <c r="C6273" s="647"/>
      <c r="D6273" s="651" t="s">
        <v>7759</v>
      </c>
      <c r="E6273" s="647"/>
      <c r="F6273" s="648"/>
      <c r="G6273" s="649"/>
      <c r="H6273" s="649"/>
      <c r="I6273" s="747"/>
      <c r="J6273" s="669">
        <v>44545</v>
      </c>
    </row>
    <row r="6274" spans="1:10" s="774" customFormat="1" x14ac:dyDescent="0.25">
      <c r="A6274" s="646" t="str">
        <f t="shared" si="1939"/>
        <v>GaK23MSRV-FGNZ</v>
      </c>
      <c r="B6274" s="647" t="s">
        <v>4847</v>
      </c>
      <c r="C6274" s="647"/>
      <c r="D6274" s="651" t="s">
        <v>7759</v>
      </c>
      <c r="E6274" s="647"/>
      <c r="F6274" s="648"/>
      <c r="G6274" s="649"/>
      <c r="H6274" s="649"/>
      <c r="I6274" s="747"/>
      <c r="J6274" s="669">
        <v>44545</v>
      </c>
    </row>
    <row r="6275" spans="1:10" s="774" customFormat="1" x14ac:dyDescent="0.25">
      <c r="A6275" s="646" t="str">
        <f t="shared" si="1939"/>
        <v>DeK23MSRV-FGNZ</v>
      </c>
      <c r="B6275" s="647" t="s">
        <v>5406</v>
      </c>
      <c r="C6275" s="647"/>
      <c r="D6275" s="651" t="s">
        <v>7759</v>
      </c>
      <c r="E6275" s="647"/>
      <c r="F6275" s="648"/>
      <c r="G6275" s="649"/>
      <c r="H6275" s="649"/>
      <c r="I6275" s="747"/>
      <c r="J6275" s="669">
        <v>44545</v>
      </c>
    </row>
    <row r="6276" spans="1:10" s="774" customFormat="1" x14ac:dyDescent="0.25">
      <c r="A6276" s="646" t="str">
        <f t="shared" si="1939"/>
        <v>KlK23MSRV-FGNZ</v>
      </c>
      <c r="B6276" s="647" t="s">
        <v>5411</v>
      </c>
      <c r="C6276" s="647"/>
      <c r="D6276" s="651" t="s">
        <v>7759</v>
      </c>
      <c r="E6276" s="647"/>
      <c r="F6276" s="648"/>
      <c r="G6276" s="649"/>
      <c r="H6276" s="649"/>
      <c r="I6276" s="747"/>
      <c r="J6276" s="669">
        <v>44545</v>
      </c>
    </row>
    <row r="6277" spans="1:10" s="774" customFormat="1" x14ac:dyDescent="0.25">
      <c r="A6277" s="646" t="str">
        <f t="shared" si="1939"/>
        <v>GrK23MSRV-FGNZ</v>
      </c>
      <c r="B6277" s="647" t="s">
        <v>5412</v>
      </c>
      <c r="C6277" s="647"/>
      <c r="D6277" s="651" t="s">
        <v>7759</v>
      </c>
      <c r="E6277" s="647"/>
      <c r="F6277" s="648"/>
      <c r="G6277" s="649"/>
      <c r="H6277" s="649"/>
      <c r="I6277" s="747"/>
      <c r="J6277" s="669">
        <v>44545</v>
      </c>
    </row>
    <row r="6278" spans="1:10" s="774" customFormat="1" x14ac:dyDescent="0.25">
      <c r="A6278" s="646" t="str">
        <f t="shared" si="1939"/>
        <v>GeK23MSRV-FGNZ</v>
      </c>
      <c r="B6278" s="647" t="s">
        <v>2034</v>
      </c>
      <c r="C6278" s="647"/>
      <c r="D6278" s="651" t="s">
        <v>7759</v>
      </c>
      <c r="E6278" s="647"/>
      <c r="F6278" s="648"/>
      <c r="G6278" s="649"/>
      <c r="H6278" s="649"/>
      <c r="I6278" s="747"/>
      <c r="J6278" s="669">
        <v>44545</v>
      </c>
    </row>
    <row r="6279" spans="1:10" s="774" customFormat="1" x14ac:dyDescent="0.25">
      <c r="A6279" s="646" t="str">
        <f t="shared" si="1939"/>
        <v>WiK23MSRV-FGNZ</v>
      </c>
      <c r="B6279" s="647" t="s">
        <v>2067</v>
      </c>
      <c r="C6279" s="647"/>
      <c r="D6279" s="651" t="s">
        <v>7759</v>
      </c>
      <c r="E6279" s="647"/>
      <c r="F6279" s="648"/>
      <c r="G6279" s="649"/>
      <c r="H6279" s="649"/>
      <c r="I6279" s="747"/>
      <c r="J6279" s="669">
        <v>44545</v>
      </c>
    </row>
    <row r="6280" spans="1:10" s="774" customFormat="1" x14ac:dyDescent="0.25">
      <c r="A6280" s="646" t="str">
        <f t="shared" si="1939"/>
        <v>WnK23MSRV-FGNZ</v>
      </c>
      <c r="B6280" s="647" t="s">
        <v>3374</v>
      </c>
      <c r="C6280" s="647"/>
      <c r="D6280" s="651" t="s">
        <v>7759</v>
      </c>
      <c r="E6280" s="647"/>
      <c r="F6280" s="648"/>
      <c r="G6280" s="649"/>
      <c r="H6280" s="649"/>
      <c r="I6280" s="747"/>
      <c r="J6280" s="669">
        <v>44545</v>
      </c>
    </row>
    <row r="6281" spans="1:10" s="774" customFormat="1" x14ac:dyDescent="0.25">
      <c r="A6281" s="646" t="str">
        <f t="shared" si="1939"/>
        <v>WrK23MSRV-FGNZ</v>
      </c>
      <c r="B6281" s="647" t="s">
        <v>3382</v>
      </c>
      <c r="C6281" s="647"/>
      <c r="D6281" s="651" t="s">
        <v>7759</v>
      </c>
      <c r="E6281" s="647"/>
      <c r="F6281" s="648"/>
      <c r="G6281" s="649"/>
      <c r="H6281" s="649"/>
      <c r="I6281" s="747"/>
      <c r="J6281" s="669">
        <v>44545</v>
      </c>
    </row>
    <row r="6282" spans="1:10" s="774" customFormat="1" x14ac:dyDescent="0.25">
      <c r="A6282" s="646" t="str">
        <f t="shared" si="1939"/>
        <v>WfK23MSRV-FGNZ</v>
      </c>
      <c r="B6282" s="647" t="s">
        <v>3390</v>
      </c>
      <c r="C6282" s="647"/>
      <c r="D6282" s="651" t="s">
        <v>7759</v>
      </c>
      <c r="E6282" s="647"/>
      <c r="F6282" s="648"/>
      <c r="G6282" s="649"/>
      <c r="H6282" s="649"/>
      <c r="I6282" s="747"/>
      <c r="J6282" s="669">
        <v>44545</v>
      </c>
    </row>
    <row r="6283" spans="1:10" s="774" customFormat="1" x14ac:dyDescent="0.25">
      <c r="A6283" s="646" t="str">
        <f t="shared" si="1939"/>
        <v>SoK23MSRV-FGNZ</v>
      </c>
      <c r="B6283" s="647" t="s">
        <v>740</v>
      </c>
      <c r="C6283" s="647"/>
      <c r="D6283" s="651" t="s">
        <v>7759</v>
      </c>
      <c r="E6283" s="647"/>
      <c r="F6283" s="648"/>
      <c r="G6283" s="649"/>
      <c r="H6283" s="649"/>
      <c r="I6283" s="747"/>
      <c r="J6283" s="669">
        <v>44545</v>
      </c>
    </row>
    <row r="6284" spans="1:10" s="774" customFormat="1" x14ac:dyDescent="0.25">
      <c r="A6284" s="646" t="str">
        <f t="shared" si="1939"/>
        <v>SgK23MSRV-FGNZ</v>
      </c>
      <c r="B6284" s="647" t="s">
        <v>5435</v>
      </c>
      <c r="C6284" s="647"/>
      <c r="D6284" s="651" t="s">
        <v>7759</v>
      </c>
      <c r="E6284" s="647"/>
      <c r="F6284" s="648"/>
      <c r="G6284" s="649"/>
      <c r="H6284" s="649"/>
      <c r="I6284" s="747"/>
      <c r="J6284" s="669">
        <v>44545</v>
      </c>
    </row>
    <row r="6285" spans="1:10" s="774" customFormat="1" x14ac:dyDescent="0.25">
      <c r="A6285" s="646" t="str">
        <f t="shared" si="1939"/>
        <v>SgK23MSRV-SVNZ</v>
      </c>
      <c r="B6285" s="647" t="s">
        <v>5435</v>
      </c>
      <c r="C6285" s="651"/>
      <c r="D6285" s="651" t="s">
        <v>7760</v>
      </c>
      <c r="E6285" s="651" t="s">
        <v>1053</v>
      </c>
      <c r="F6285" s="648"/>
      <c r="G6285" s="649"/>
      <c r="H6285" s="649"/>
      <c r="I6285" s="747"/>
      <c r="J6285" s="669">
        <v>44545</v>
      </c>
    </row>
    <row r="6286" spans="1:10" s="774" customFormat="1" x14ac:dyDescent="0.25">
      <c r="A6286" s="646" t="str">
        <f t="shared" si="1939"/>
        <v>SgK23MSRVMSZNZ</v>
      </c>
      <c r="B6286" s="647" t="s">
        <v>5435</v>
      </c>
      <c r="C6286" s="651"/>
      <c r="D6286" s="651" t="s">
        <v>7761</v>
      </c>
      <c r="E6286" s="954" t="s">
        <v>6320</v>
      </c>
      <c r="F6286" s="648"/>
      <c r="G6286" s="649"/>
      <c r="H6286" s="649"/>
      <c r="I6286" s="747"/>
      <c r="J6286" s="669">
        <v>44545</v>
      </c>
    </row>
    <row r="6287" spans="1:10" s="774" customFormat="1" x14ac:dyDescent="0.25">
      <c r="F6287" s="471"/>
      <c r="G6287" s="769"/>
      <c r="H6287" s="769"/>
      <c r="I6287" s="691"/>
      <c r="J6287" s="669" t="s">
        <v>4180</v>
      </c>
    </row>
    <row r="6288" spans="1:10" s="774" customFormat="1" x14ac:dyDescent="0.25">
      <c r="A6288" s="646" t="str">
        <f t="shared" ref="A6288:A6300" si="1940">LEFT(A6255,12) &amp; "NZ"</f>
        <v>WaK23MSRVMPMNZ</v>
      </c>
      <c r="B6288" s="647" t="s">
        <v>2269</v>
      </c>
      <c r="C6288" s="647"/>
      <c r="D6288" s="651" t="s">
        <v>7762</v>
      </c>
      <c r="E6288" s="647"/>
      <c r="F6288" s="648"/>
      <c r="G6288" s="649"/>
      <c r="H6288" s="649"/>
      <c r="I6288" s="747"/>
      <c r="J6288" s="669">
        <v>44545</v>
      </c>
    </row>
    <row r="6289" spans="1:10" s="774" customFormat="1" x14ac:dyDescent="0.25">
      <c r="A6289" s="646" t="str">
        <f t="shared" si="1940"/>
        <v>BiK23MSRVMPMNZ</v>
      </c>
      <c r="B6289" s="647" t="s">
        <v>5548</v>
      </c>
      <c r="C6289" s="647"/>
      <c r="D6289" s="651" t="s">
        <v>7762</v>
      </c>
      <c r="E6289" s="647"/>
      <c r="F6289" s="648"/>
      <c r="G6289" s="649"/>
      <c r="H6289" s="649"/>
      <c r="I6289" s="747"/>
      <c r="J6289" s="669">
        <v>44545</v>
      </c>
    </row>
    <row r="6290" spans="1:10" s="774" customFormat="1" x14ac:dyDescent="0.25">
      <c r="A6290" s="646" t="str">
        <f t="shared" si="1940"/>
        <v>GaK23MSRVMPMNZ</v>
      </c>
      <c r="B6290" s="647" t="s">
        <v>4847</v>
      </c>
      <c r="C6290" s="647"/>
      <c r="D6290" s="651" t="s">
        <v>7762</v>
      </c>
      <c r="E6290" s="647"/>
      <c r="F6290" s="648"/>
      <c r="G6290" s="649"/>
      <c r="H6290" s="649"/>
      <c r="I6290" s="747"/>
      <c r="J6290" s="669">
        <v>44545</v>
      </c>
    </row>
    <row r="6291" spans="1:10" s="774" customFormat="1" x14ac:dyDescent="0.25">
      <c r="A6291" s="646" t="str">
        <f t="shared" si="1940"/>
        <v>DeK23MSRVMPMNZ</v>
      </c>
      <c r="B6291" s="647" t="s">
        <v>5406</v>
      </c>
      <c r="C6291" s="647"/>
      <c r="D6291" s="651" t="s">
        <v>7762</v>
      </c>
      <c r="E6291" s="647"/>
      <c r="F6291" s="648"/>
      <c r="G6291" s="649"/>
      <c r="H6291" s="649"/>
      <c r="I6291" s="747"/>
      <c r="J6291" s="669">
        <v>44545</v>
      </c>
    </row>
    <row r="6292" spans="1:10" s="774" customFormat="1" x14ac:dyDescent="0.25">
      <c r="A6292" s="646" t="str">
        <f t="shared" si="1940"/>
        <v>KlK23MSRVMPMNZ</v>
      </c>
      <c r="B6292" s="647" t="s">
        <v>5411</v>
      </c>
      <c r="C6292" s="647"/>
      <c r="D6292" s="651" t="s">
        <v>7762</v>
      </c>
      <c r="E6292" s="647"/>
      <c r="F6292" s="648"/>
      <c r="G6292" s="649"/>
      <c r="H6292" s="649"/>
      <c r="I6292" s="747"/>
      <c r="J6292" s="669">
        <v>44545</v>
      </c>
    </row>
    <row r="6293" spans="1:10" s="774" customFormat="1" x14ac:dyDescent="0.25">
      <c r="A6293" s="646" t="str">
        <f t="shared" si="1940"/>
        <v>GrK23MSRVMPMNZ</v>
      </c>
      <c r="B6293" s="647" t="s">
        <v>5412</v>
      </c>
      <c r="C6293" s="647"/>
      <c r="D6293" s="651" t="s">
        <v>7762</v>
      </c>
      <c r="E6293" s="647"/>
      <c r="F6293" s="648"/>
      <c r="G6293" s="649"/>
      <c r="H6293" s="649"/>
      <c r="I6293" s="747"/>
      <c r="J6293" s="669">
        <v>44545</v>
      </c>
    </row>
    <row r="6294" spans="1:10" s="774" customFormat="1" x14ac:dyDescent="0.25">
      <c r="A6294" s="646" t="str">
        <f t="shared" si="1940"/>
        <v>GeK23MSRVMPMNZ</v>
      </c>
      <c r="B6294" s="647" t="s">
        <v>2034</v>
      </c>
      <c r="C6294" s="647"/>
      <c r="D6294" s="651" t="s">
        <v>7762</v>
      </c>
      <c r="E6294" s="647"/>
      <c r="F6294" s="648"/>
      <c r="G6294" s="649"/>
      <c r="H6294" s="649"/>
      <c r="I6294" s="747"/>
      <c r="J6294" s="669">
        <v>44545</v>
      </c>
    </row>
    <row r="6295" spans="1:10" s="774" customFormat="1" x14ac:dyDescent="0.25">
      <c r="A6295" s="646" t="str">
        <f t="shared" si="1940"/>
        <v>WiK23MSRVMPMNZ</v>
      </c>
      <c r="B6295" s="647" t="s">
        <v>2067</v>
      </c>
      <c r="C6295" s="647"/>
      <c r="D6295" s="651" t="s">
        <v>7762</v>
      </c>
      <c r="E6295" s="647"/>
      <c r="F6295" s="648"/>
      <c r="G6295" s="649"/>
      <c r="H6295" s="649"/>
      <c r="I6295" s="747"/>
      <c r="J6295" s="669">
        <v>44545</v>
      </c>
    </row>
    <row r="6296" spans="1:10" s="774" customFormat="1" x14ac:dyDescent="0.25">
      <c r="A6296" s="646" t="str">
        <f t="shared" si="1940"/>
        <v>WnK23MSRVMPMNZ</v>
      </c>
      <c r="B6296" s="647" t="s">
        <v>3374</v>
      </c>
      <c r="C6296" s="647"/>
      <c r="D6296" s="651" t="s">
        <v>7762</v>
      </c>
      <c r="E6296" s="647"/>
      <c r="F6296" s="648"/>
      <c r="G6296" s="649"/>
      <c r="H6296" s="649"/>
      <c r="I6296" s="747"/>
      <c r="J6296" s="669">
        <v>44545</v>
      </c>
    </row>
    <row r="6297" spans="1:10" s="774" customFormat="1" x14ac:dyDescent="0.25">
      <c r="A6297" s="646" t="str">
        <f t="shared" si="1940"/>
        <v>WrK23MSRVMPMNZ</v>
      </c>
      <c r="B6297" s="647" t="s">
        <v>3382</v>
      </c>
      <c r="C6297" s="647"/>
      <c r="D6297" s="651" t="s">
        <v>7762</v>
      </c>
      <c r="E6297" s="647"/>
      <c r="F6297" s="648"/>
      <c r="G6297" s="649"/>
      <c r="H6297" s="649"/>
      <c r="I6297" s="747"/>
      <c r="J6297" s="669">
        <v>44545</v>
      </c>
    </row>
    <row r="6298" spans="1:10" s="774" customFormat="1" x14ac:dyDescent="0.25">
      <c r="A6298" s="646" t="str">
        <f t="shared" si="1940"/>
        <v>WfK23MSRVMPMNZ</v>
      </c>
      <c r="B6298" s="647" t="s">
        <v>3390</v>
      </c>
      <c r="C6298" s="647"/>
      <c r="D6298" s="651" t="s">
        <v>7762</v>
      </c>
      <c r="E6298" s="647"/>
      <c r="F6298" s="648"/>
      <c r="G6298" s="649"/>
      <c r="H6298" s="649"/>
      <c r="I6298" s="747"/>
      <c r="J6298" s="669">
        <v>44545</v>
      </c>
    </row>
    <row r="6299" spans="1:10" s="774" customFormat="1" x14ac:dyDescent="0.25">
      <c r="A6299" s="646" t="str">
        <f t="shared" si="1940"/>
        <v>SoK23MSRVMPMNZ</v>
      </c>
      <c r="B6299" s="647" t="s">
        <v>740</v>
      </c>
      <c r="C6299" s="647"/>
      <c r="D6299" s="651" t="s">
        <v>7762</v>
      </c>
      <c r="E6299" s="647"/>
      <c r="F6299" s="648"/>
      <c r="G6299" s="649"/>
      <c r="H6299" s="649"/>
      <c r="I6299" s="747"/>
      <c r="J6299" s="669">
        <v>44545</v>
      </c>
    </row>
    <row r="6300" spans="1:10" s="774" customFormat="1" x14ac:dyDescent="0.25">
      <c r="A6300" s="646" t="str">
        <f t="shared" si="1940"/>
        <v>SgK23MSRVMPMNZ</v>
      </c>
      <c r="B6300" s="647" t="s">
        <v>5435</v>
      </c>
      <c r="C6300" s="647"/>
      <c r="D6300" s="651" t="s">
        <v>7762</v>
      </c>
      <c r="E6300" s="647"/>
      <c r="F6300" s="648"/>
      <c r="G6300" s="649"/>
      <c r="H6300" s="649"/>
      <c r="I6300" s="747"/>
      <c r="J6300" s="669">
        <v>44545</v>
      </c>
    </row>
    <row r="6301" spans="1:10" s="774" customFormat="1" x14ac:dyDescent="0.25">
      <c r="F6301" s="471"/>
      <c r="G6301" s="769"/>
      <c r="H6301" s="769"/>
      <c r="I6301" s="691"/>
      <c r="J6301" s="669"/>
    </row>
    <row r="6302" spans="1:10" s="774" customFormat="1" x14ac:dyDescent="0.25">
      <c r="A6302" s="646" t="str">
        <f>LEFT(A6269,12) &amp; "NZ"</f>
        <v>BiK23MSRVFLZNZ</v>
      </c>
      <c r="B6302" s="647" t="s">
        <v>5548</v>
      </c>
      <c r="C6302" s="647"/>
      <c r="D6302" s="651" t="s">
        <v>7763</v>
      </c>
      <c r="E6302" s="647"/>
      <c r="F6302" s="648"/>
      <c r="G6302" s="649"/>
      <c r="H6302" s="649"/>
      <c r="I6302" s="747"/>
      <c r="J6302" s="669">
        <v>44545</v>
      </c>
    </row>
    <row r="6303" spans="1:10" s="774" customFormat="1" x14ac:dyDescent="0.25">
      <c r="A6303" s="646" t="str">
        <f>LEFT(A6270,12) &amp; "NZ"</f>
        <v>BiK23MSRVFLPNZ</v>
      </c>
      <c r="B6303" s="647" t="s">
        <v>5548</v>
      </c>
      <c r="C6303" s="647"/>
      <c r="D6303" s="651" t="s">
        <v>7764</v>
      </c>
      <c r="E6303" s="647"/>
      <c r="F6303" s="648"/>
      <c r="G6303" s="649"/>
      <c r="H6303" s="649"/>
      <c r="I6303" s="747"/>
      <c r="J6303" s="669">
        <v>44545</v>
      </c>
    </row>
  </sheetData>
  <sheetProtection autoFilter="0"/>
  <autoFilter ref="A2:J6303"/>
  <mergeCells count="124">
    <mergeCell ref="A6217:H6217"/>
    <mergeCell ref="A6222:F6222"/>
    <mergeCell ref="A6220:F6220"/>
    <mergeCell ref="A6219:F6219"/>
    <mergeCell ref="A5370:F5370"/>
    <mergeCell ref="A5371:F5371"/>
    <mergeCell ref="A5702:F5702"/>
    <mergeCell ref="A5634:F5634"/>
    <mergeCell ref="A5831:F5831"/>
    <mergeCell ref="A6218:F6218"/>
    <mergeCell ref="A6187:F6187"/>
    <mergeCell ref="A6185:F6185"/>
    <mergeCell ref="A6186:F6186"/>
    <mergeCell ref="A6131:F6131"/>
    <mergeCell ref="A5711:F5711"/>
    <mergeCell ref="A5714:F5714"/>
    <mergeCell ref="A6181:F6181"/>
    <mergeCell ref="A5710:F5710"/>
    <mergeCell ref="A5703:F5703"/>
    <mergeCell ref="A6149:F6149"/>
    <mergeCell ref="A5815:F5815"/>
    <mergeCell ref="A5738:F5738"/>
    <mergeCell ref="A5742:F5742"/>
    <mergeCell ref="G6131:I6131"/>
    <mergeCell ref="A1:D1"/>
    <mergeCell ref="A5437:F5437"/>
    <mergeCell ref="A5651:F5651"/>
    <mergeCell ref="A5459:F5459"/>
    <mergeCell ref="A5456:F5456"/>
    <mergeCell ref="A5455:F5455"/>
    <mergeCell ref="A5454:F5454"/>
    <mergeCell ref="A5460:F5460"/>
    <mergeCell ref="A5674:F5674"/>
    <mergeCell ref="A5653:F5653"/>
    <mergeCell ref="A280:F280"/>
    <mergeCell ref="A5355:H5355"/>
    <mergeCell ref="A5231:F5231"/>
    <mergeCell ref="A5346:F5346"/>
    <mergeCell ref="A5652:F5652"/>
    <mergeCell ref="A5632:F5632"/>
    <mergeCell ref="A5633:F5633"/>
    <mergeCell ref="A5670:F5670"/>
    <mergeCell ref="A5457:F5457"/>
    <mergeCell ref="O4185:Q4185"/>
    <mergeCell ref="A5435:F5435"/>
    <mergeCell ref="A5436:F5436"/>
    <mergeCell ref="A5352:H5352"/>
    <mergeCell ref="A5316:F5316"/>
    <mergeCell ref="A5230:F5230"/>
    <mergeCell ref="O4186:Q4186"/>
    <mergeCell ref="A6059:F6059"/>
    <mergeCell ref="A5846:F5846"/>
    <mergeCell ref="A5697:F5697"/>
    <mergeCell ref="A5671:F5671"/>
    <mergeCell ref="A5694:F5694"/>
    <mergeCell ref="A5675:F5675"/>
    <mergeCell ref="A5696:F5696"/>
    <mergeCell ref="A5672:F5672"/>
    <mergeCell ref="A5673:F5673"/>
    <mergeCell ref="A5704:F5704"/>
    <mergeCell ref="A6029:F6029"/>
    <mergeCell ref="A5807:F5807"/>
    <mergeCell ref="A5695:F5695"/>
    <mergeCell ref="A5801:F5801"/>
    <mergeCell ref="A5759:F5759"/>
    <mergeCell ref="A5783:F5783"/>
    <mergeCell ref="V3278:X3278"/>
    <mergeCell ref="O3622:Q3622"/>
    <mergeCell ref="S3357:U3357"/>
    <mergeCell ref="O3946:Q3946"/>
    <mergeCell ref="V3357:X3357"/>
    <mergeCell ref="O3278:R3278"/>
    <mergeCell ref="O3850:Q3850"/>
    <mergeCell ref="V3436:X3436"/>
    <mergeCell ref="O4183:Q4183"/>
    <mergeCell ref="O4182:Q4182"/>
    <mergeCell ref="A6124:F6124"/>
    <mergeCell ref="A5836:F5836"/>
    <mergeCell ref="A6089:F6089"/>
    <mergeCell ref="A6008:F6008"/>
    <mergeCell ref="S3278:U3278"/>
    <mergeCell ref="O3357:R3357"/>
    <mergeCell ref="O3436:R3436"/>
    <mergeCell ref="O4181:Q4181"/>
    <mergeCell ref="S3436:U3436"/>
    <mergeCell ref="A5434:F5434"/>
    <mergeCell ref="A5458:F5458"/>
    <mergeCell ref="A5223:F5223"/>
    <mergeCell ref="O4188:Q4188"/>
    <mergeCell ref="O4191:Q4191"/>
    <mergeCell ref="A5353:H5353"/>
    <mergeCell ref="A4354:F4354"/>
    <mergeCell ref="A5229:F5229"/>
    <mergeCell ref="A5232:F5232"/>
    <mergeCell ref="A5333:F5333"/>
    <mergeCell ref="O4184:Q4184"/>
    <mergeCell ref="O4189:Q4189"/>
    <mergeCell ref="O4190:Q4190"/>
    <mergeCell ref="A5712:F5712"/>
    <mergeCell ref="O4187:Q4187"/>
    <mergeCell ref="A6221:F6221"/>
    <mergeCell ref="A5341:F5341"/>
    <mergeCell ref="A6130:F6130"/>
    <mergeCell ref="A6132:F6132"/>
    <mergeCell ref="A6133:F6133"/>
    <mergeCell ref="A5775:F5775"/>
    <mergeCell ref="A5676:F5676"/>
    <mergeCell ref="A5677:F5677"/>
    <mergeCell ref="A5841:F5841"/>
    <mergeCell ref="A5851:F5851"/>
    <mergeCell ref="A5867:F5867"/>
    <mergeCell ref="A5871:F5871"/>
    <mergeCell ref="A5876:F5876"/>
    <mergeCell ref="A5892:F5892"/>
    <mergeCell ref="A5908:F5908"/>
    <mergeCell ref="A5924:F5924"/>
    <mergeCell ref="A5940:F5940"/>
    <mergeCell ref="A5956:F5956"/>
    <mergeCell ref="A5972:F5972"/>
    <mergeCell ref="A5976:F5976"/>
    <mergeCell ref="A5992:F5992"/>
    <mergeCell ref="A6093:F6093"/>
    <mergeCell ref="A5796:F5796"/>
    <mergeCell ref="A6024:F6024"/>
  </mergeCells>
  <phoneticPr fontId="11" type="noConversion"/>
  <conditionalFormatting sqref="K4705:K4875 K4518:K4562 K2097:K2127 K1699:K1702 K1268:K1269 K1273:K1274 K1736:K2093 K2129:K2130 K2132 K1306:K1695 K462 K4998:K5021 K5318 K1271 K1276 K865:K866 K882:K1265 K1697 K1704:K1711 K868:K870 K1285 K2148 K1280 K1287 K1299 K1293 K1289 K1295:K1296 K5314:K5316 K5325:K5329 K2159:K2553 K468:K470 K459:K460 K457 K2145 K2153:K2154 K2150:K2151 K473:K862 K280:K454 K2557:K2562">
    <cfRule type="cellIs" dxfId="233" priority="533" stopIfTrue="1" operator="notEqual">
      <formula>0</formula>
    </cfRule>
  </conditionalFormatting>
  <conditionalFormatting sqref="K4900:K4927">
    <cfRule type="cellIs" dxfId="232" priority="156" stopIfTrue="1" operator="notEqual">
      <formula>0</formula>
    </cfRule>
  </conditionalFormatting>
  <conditionalFormatting sqref="K1267">
    <cfRule type="cellIs" dxfId="231" priority="155" stopIfTrue="1" operator="notEqual">
      <formula>0</formula>
    </cfRule>
  </conditionalFormatting>
  <conditionalFormatting sqref="K1272">
    <cfRule type="cellIs" dxfId="230" priority="154" stopIfTrue="1" operator="notEqual">
      <formula>0</formula>
    </cfRule>
  </conditionalFormatting>
  <conditionalFormatting sqref="K1714:K1715">
    <cfRule type="cellIs" dxfId="229" priority="153" stopIfTrue="1" operator="notEqual">
      <formula>0</formula>
    </cfRule>
  </conditionalFormatting>
  <conditionalFormatting sqref="K1712:K1713">
    <cfRule type="cellIs" dxfId="228" priority="152" stopIfTrue="1" operator="notEqual">
      <formula>0</formula>
    </cfRule>
  </conditionalFormatting>
  <conditionalFormatting sqref="K872">
    <cfRule type="cellIs" dxfId="227" priority="151" stopIfTrue="1" operator="notEqual">
      <formula>0</formula>
    </cfRule>
  </conditionalFormatting>
  <conditionalFormatting sqref="K2134">
    <cfRule type="cellIs" dxfId="226" priority="148" stopIfTrue="1" operator="notEqual">
      <formula>0</formula>
    </cfRule>
  </conditionalFormatting>
  <conditionalFormatting sqref="K2137">
    <cfRule type="cellIs" dxfId="225" priority="147" stopIfTrue="1" operator="notEqual">
      <formula>0</formula>
    </cfRule>
  </conditionalFormatting>
  <conditionalFormatting sqref="K2128">
    <cfRule type="cellIs" dxfId="224" priority="146" stopIfTrue="1" operator="notEqual">
      <formula>0</formula>
    </cfRule>
  </conditionalFormatting>
  <conditionalFormatting sqref="K2131">
    <cfRule type="cellIs" dxfId="223" priority="145" stopIfTrue="1" operator="notEqual">
      <formula>0</formula>
    </cfRule>
  </conditionalFormatting>
  <conditionalFormatting sqref="K1277">
    <cfRule type="cellIs" dxfId="222" priority="144" stopIfTrue="1" operator="notEqual">
      <formula>0</formula>
    </cfRule>
  </conditionalFormatting>
  <conditionalFormatting sqref="K1279">
    <cfRule type="cellIs" dxfId="221" priority="143" stopIfTrue="1" operator="notEqual">
      <formula>0</formula>
    </cfRule>
  </conditionalFormatting>
  <conditionalFormatting sqref="K1278">
    <cfRule type="cellIs" dxfId="220" priority="142" stopIfTrue="1" operator="notEqual">
      <formula>0</formula>
    </cfRule>
  </conditionalFormatting>
  <conditionalFormatting sqref="K2555:K2556">
    <cfRule type="cellIs" dxfId="219" priority="141" stopIfTrue="1" operator="notEqual">
      <formula>0</formula>
    </cfRule>
  </conditionalFormatting>
  <conditionalFormatting sqref="K2570">
    <cfRule type="cellIs" dxfId="218" priority="139" stopIfTrue="1" operator="notEqual">
      <formula>0</formula>
    </cfRule>
  </conditionalFormatting>
  <conditionalFormatting sqref="K874">
    <cfRule type="cellIs" dxfId="217" priority="138" stopIfTrue="1" operator="notEqual">
      <formula>0</formula>
    </cfRule>
  </conditionalFormatting>
  <conditionalFormatting sqref="K4949:K4976">
    <cfRule type="cellIs" dxfId="216" priority="137" stopIfTrue="1" operator="notEqual">
      <formula>0</formula>
    </cfRule>
  </conditionalFormatting>
  <conditionalFormatting sqref="K455 K461 K463">
    <cfRule type="cellIs" dxfId="215" priority="136" stopIfTrue="1" operator="notEqual">
      <formula>0</formula>
    </cfRule>
  </conditionalFormatting>
  <conditionalFormatting sqref="K458">
    <cfRule type="cellIs" dxfId="214" priority="132" stopIfTrue="1" operator="notEqual">
      <formula>0</formula>
    </cfRule>
  </conditionalFormatting>
  <conditionalFormatting sqref="K456">
    <cfRule type="cellIs" dxfId="213" priority="131" stopIfTrue="1" operator="notEqual">
      <formula>0</formula>
    </cfRule>
  </conditionalFormatting>
  <conditionalFormatting sqref="K1720:K1722">
    <cfRule type="cellIs" dxfId="212" priority="130" stopIfTrue="1" operator="notEqual">
      <formula>0</formula>
    </cfRule>
  </conditionalFormatting>
  <conditionalFormatting sqref="K1717">
    <cfRule type="cellIs" dxfId="211" priority="129" stopIfTrue="1" operator="notEqual">
      <formula>0</formula>
    </cfRule>
  </conditionalFormatting>
  <conditionalFormatting sqref="K1719">
    <cfRule type="cellIs" dxfId="210" priority="128" stopIfTrue="1" operator="notEqual">
      <formula>0</formula>
    </cfRule>
  </conditionalFormatting>
  <conditionalFormatting sqref="K2136">
    <cfRule type="cellIs" dxfId="209" priority="127" stopIfTrue="1" operator="notEqual">
      <formula>0</formula>
    </cfRule>
  </conditionalFormatting>
  <conditionalFormatting sqref="K2139">
    <cfRule type="cellIs" dxfId="208" priority="126" stopIfTrue="1" operator="notEqual">
      <formula>0</formula>
    </cfRule>
  </conditionalFormatting>
  <conditionalFormatting sqref="K2135">
    <cfRule type="cellIs" dxfId="207" priority="125" stopIfTrue="1" operator="notEqual">
      <formula>0</formula>
    </cfRule>
  </conditionalFormatting>
  <conditionalFormatting sqref="K2138">
    <cfRule type="cellIs" dxfId="206" priority="124" stopIfTrue="1" operator="notEqual">
      <formula>0</formula>
    </cfRule>
  </conditionalFormatting>
  <conditionalFormatting sqref="K875">
    <cfRule type="cellIs" dxfId="205" priority="122" stopIfTrue="1" operator="notEqual">
      <formula>0</formula>
    </cfRule>
  </conditionalFormatting>
  <conditionalFormatting sqref="N4308 N4310 N4312 N4314">
    <cfRule type="timePeriod" dxfId="204" priority="117" stopIfTrue="1" timePeriod="lastMonth">
      <formula>AND(MONTH(N4308)=MONTH(EDATE(TODAY(),0-1)),YEAR(N4308)=YEAR(EDATE(TODAY(),0-1)))</formula>
    </cfRule>
  </conditionalFormatting>
  <conditionalFormatting sqref="K1281 K1283">
    <cfRule type="cellIs" dxfId="203" priority="114" stopIfTrue="1" operator="notEqual">
      <formula>0</formula>
    </cfRule>
  </conditionalFormatting>
  <conditionalFormatting sqref="K1282">
    <cfRule type="cellIs" dxfId="202" priority="113" stopIfTrue="1" operator="notEqual">
      <formula>0</formula>
    </cfRule>
  </conditionalFormatting>
  <conditionalFormatting sqref="K1305">
    <cfRule type="cellIs" dxfId="201" priority="112" stopIfTrue="1" operator="notEqual">
      <formula>0</formula>
    </cfRule>
  </conditionalFormatting>
  <conditionalFormatting sqref="K2146">
    <cfRule type="cellIs" dxfId="200" priority="105" stopIfTrue="1" operator="notEqual">
      <formula>0</formula>
    </cfRule>
  </conditionalFormatting>
  <conditionalFormatting sqref="K1275">
    <cfRule type="cellIs" dxfId="199" priority="102" stopIfTrue="1" operator="notEqual">
      <formula>0</formula>
    </cfRule>
  </conditionalFormatting>
  <conditionalFormatting sqref="K1270">
    <cfRule type="cellIs" dxfId="198" priority="103" stopIfTrue="1" operator="notEqual">
      <formula>0</formula>
    </cfRule>
  </conditionalFormatting>
  <conditionalFormatting sqref="K2142">
    <cfRule type="cellIs" dxfId="197" priority="101" stopIfTrue="1" operator="notEqual">
      <formula>0</formula>
    </cfRule>
  </conditionalFormatting>
  <conditionalFormatting sqref="K2140">
    <cfRule type="cellIs" dxfId="196" priority="100" stopIfTrue="1" operator="notEqual">
      <formula>0</formula>
    </cfRule>
  </conditionalFormatting>
  <conditionalFormatting sqref="K864">
    <cfRule type="cellIs" dxfId="195" priority="98" stopIfTrue="1" operator="notEqual">
      <formula>0</formula>
    </cfRule>
  </conditionalFormatting>
  <conditionalFormatting sqref="K867">
    <cfRule type="cellIs" dxfId="194" priority="96" stopIfTrue="1" operator="notEqual">
      <formula>0</formula>
    </cfRule>
  </conditionalFormatting>
  <conditionalFormatting sqref="K880:K881">
    <cfRule type="cellIs" dxfId="193" priority="95" stopIfTrue="1" operator="notEqual">
      <formula>0</formula>
    </cfRule>
  </conditionalFormatting>
  <conditionalFormatting sqref="K876:K879">
    <cfRule type="cellIs" dxfId="192" priority="93" stopIfTrue="1" operator="notEqual">
      <formula>0</formula>
    </cfRule>
  </conditionalFormatting>
  <conditionalFormatting sqref="K1696">
    <cfRule type="cellIs" dxfId="191" priority="92" stopIfTrue="1" operator="notEqual">
      <formula>0</formula>
    </cfRule>
  </conditionalFormatting>
  <conditionalFormatting sqref="K1703">
    <cfRule type="cellIs" dxfId="190" priority="91" stopIfTrue="1" operator="notEqual">
      <formula>0</formula>
    </cfRule>
  </conditionalFormatting>
  <conditionalFormatting sqref="K1284">
    <cfRule type="cellIs" dxfId="189" priority="90" stopIfTrue="1" operator="notEqual">
      <formula>0</formula>
    </cfRule>
  </conditionalFormatting>
  <conditionalFormatting sqref="K1286">
    <cfRule type="cellIs" dxfId="188" priority="89" stopIfTrue="1" operator="notEqual">
      <formula>0</formula>
    </cfRule>
  </conditionalFormatting>
  <conditionalFormatting sqref="K1291">
    <cfRule type="cellIs" dxfId="187" priority="87" stopIfTrue="1" operator="notEqual">
      <formula>0</formula>
    </cfRule>
  </conditionalFormatting>
  <conditionalFormatting sqref="N4333 N4335 N4337 N4339">
    <cfRule type="timePeriod" dxfId="186" priority="85" stopIfTrue="1" timePeriod="lastMonth">
      <formula>AND(MONTH(N4333)=MONTH(EDATE(TODAY(),0-1)),YEAR(N4333)=YEAR(EDATE(TODAY(),0-1)))</formula>
    </cfRule>
  </conditionalFormatting>
  <conditionalFormatting sqref="K5035:K5058">
    <cfRule type="cellIs" dxfId="185" priority="84" stopIfTrue="1" operator="notEqual">
      <formula>0</formula>
    </cfRule>
  </conditionalFormatting>
  <conditionalFormatting sqref="K5330 K5345:K5346">
    <cfRule type="cellIs" dxfId="184" priority="83" stopIfTrue="1" operator="notEqual">
      <formula>0</formula>
    </cfRule>
  </conditionalFormatting>
  <conditionalFormatting sqref="K465">
    <cfRule type="cellIs" dxfId="183" priority="79" stopIfTrue="1" operator="notEqual">
      <formula>0</formula>
    </cfRule>
  </conditionalFormatting>
  <conditionalFormatting sqref="K467">
    <cfRule type="cellIs" dxfId="182" priority="78" stopIfTrue="1" operator="notEqual">
      <formula>0</formula>
    </cfRule>
  </conditionalFormatting>
  <conditionalFormatting sqref="K2147">
    <cfRule type="cellIs" dxfId="181" priority="75" stopIfTrue="1" operator="notEqual">
      <formula>0</formula>
    </cfRule>
  </conditionalFormatting>
  <conditionalFormatting sqref="K2152">
    <cfRule type="cellIs" dxfId="180" priority="74" stopIfTrue="1" operator="notEqual">
      <formula>0</formula>
    </cfRule>
  </conditionalFormatting>
  <conditionalFormatting sqref="K2149">
    <cfRule type="cellIs" dxfId="179" priority="73" stopIfTrue="1" operator="notEqual">
      <formula>0</formula>
    </cfRule>
  </conditionalFormatting>
  <conditionalFormatting sqref="K2141">
    <cfRule type="cellIs" dxfId="178" priority="72" stopIfTrue="1" operator="notEqual">
      <formula>0</formula>
    </cfRule>
  </conditionalFormatting>
  <conditionalFormatting sqref="K2143">
    <cfRule type="cellIs" dxfId="177" priority="71" stopIfTrue="1" operator="notEqual">
      <formula>0</formula>
    </cfRule>
  </conditionalFormatting>
  <conditionalFormatting sqref="K2144">
    <cfRule type="cellIs" dxfId="176" priority="70" stopIfTrue="1" operator="notEqual">
      <formula>0</formula>
    </cfRule>
  </conditionalFormatting>
  <conditionalFormatting sqref="K2563:K2564">
    <cfRule type="cellIs" dxfId="175" priority="69" stopIfTrue="1" operator="notEqual">
      <formula>0</formula>
    </cfRule>
  </conditionalFormatting>
  <conditionalFormatting sqref="K1723">
    <cfRule type="cellIs" dxfId="174" priority="68" stopIfTrue="1" operator="notEqual">
      <formula>0</formula>
    </cfRule>
  </conditionalFormatting>
  <conditionalFormatting sqref="K1724">
    <cfRule type="cellIs" dxfId="173" priority="67" stopIfTrue="1" operator="notEqual">
      <formula>0</formula>
    </cfRule>
  </conditionalFormatting>
  <conditionalFormatting sqref="K5072:K5095">
    <cfRule type="cellIs" dxfId="172" priority="65" stopIfTrue="1" operator="notEqual">
      <formula>0</formula>
    </cfRule>
  </conditionalFormatting>
  <conditionalFormatting sqref="K2155">
    <cfRule type="cellIs" dxfId="171" priority="64" stopIfTrue="1" operator="notEqual">
      <formula>0</formula>
    </cfRule>
  </conditionalFormatting>
  <conditionalFormatting sqref="K2156">
    <cfRule type="cellIs" dxfId="170" priority="63" stopIfTrue="1" operator="notEqual">
      <formula>0</formula>
    </cfRule>
  </conditionalFormatting>
  <conditionalFormatting sqref="K1297">
    <cfRule type="cellIs" dxfId="169" priority="62" stopIfTrue="1" operator="notEqual">
      <formula>0</formula>
    </cfRule>
  </conditionalFormatting>
  <conditionalFormatting sqref="K1298">
    <cfRule type="cellIs" dxfId="168" priority="61" stopIfTrue="1" operator="notEqual">
      <formula>0</formula>
    </cfRule>
  </conditionalFormatting>
  <conditionalFormatting sqref="K2133">
    <cfRule type="cellIs" dxfId="167" priority="57" stopIfTrue="1" operator="notEqual">
      <formula>0</formula>
    </cfRule>
  </conditionalFormatting>
  <conditionalFormatting sqref="K1726 K1728">
    <cfRule type="cellIs" dxfId="166" priority="56" stopIfTrue="1" operator="notEqual">
      <formula>0</formula>
    </cfRule>
  </conditionalFormatting>
  <conditionalFormatting sqref="K5109:K5132">
    <cfRule type="cellIs" dxfId="165" priority="55" stopIfTrue="1" operator="notEqual">
      <formula>0</formula>
    </cfRule>
  </conditionalFormatting>
  <conditionalFormatting sqref="K2157">
    <cfRule type="cellIs" dxfId="164" priority="54" stopIfTrue="1" operator="notEqual">
      <formula>0</formula>
    </cfRule>
  </conditionalFormatting>
  <conditionalFormatting sqref="K2158">
    <cfRule type="cellIs" dxfId="163" priority="53" stopIfTrue="1" operator="notEqual">
      <formula>0</formula>
    </cfRule>
  </conditionalFormatting>
  <conditionalFormatting sqref="K2565:K2566">
    <cfRule type="cellIs" dxfId="162" priority="51" stopIfTrue="1" operator="notEqual">
      <formula>0</formula>
    </cfRule>
  </conditionalFormatting>
  <conditionalFormatting sqref="K1729 K1731">
    <cfRule type="cellIs" dxfId="161" priority="49" stopIfTrue="1" operator="notEqual">
      <formula>0</formula>
    </cfRule>
  </conditionalFormatting>
  <conditionalFormatting sqref="K1733">
    <cfRule type="cellIs" dxfId="160" priority="48" stopIfTrue="1" operator="notEqual">
      <formula>0</formula>
    </cfRule>
  </conditionalFormatting>
  <conditionalFormatting sqref="K1732">
    <cfRule type="cellIs" dxfId="159" priority="47" stopIfTrue="1" operator="notEqual">
      <formula>0</formula>
    </cfRule>
  </conditionalFormatting>
  <conditionalFormatting sqref="K1716">
    <cfRule type="cellIs" dxfId="158" priority="46" stopIfTrue="1" operator="notEqual">
      <formula>0</formula>
    </cfRule>
  </conditionalFormatting>
  <conditionalFormatting sqref="K1718">
    <cfRule type="cellIs" dxfId="157" priority="45" stopIfTrue="1" operator="notEqual">
      <formula>0</formula>
    </cfRule>
  </conditionalFormatting>
  <conditionalFormatting sqref="K1725">
    <cfRule type="cellIs" dxfId="156" priority="44" stopIfTrue="1" operator="notEqual">
      <formula>0</formula>
    </cfRule>
  </conditionalFormatting>
  <conditionalFormatting sqref="K1727">
    <cfRule type="cellIs" dxfId="155" priority="43" stopIfTrue="1" operator="notEqual">
      <formula>0</formula>
    </cfRule>
  </conditionalFormatting>
  <conditionalFormatting sqref="K1730">
    <cfRule type="cellIs" dxfId="154" priority="42" stopIfTrue="1" operator="notEqual">
      <formula>0</formula>
    </cfRule>
  </conditionalFormatting>
  <conditionalFormatting sqref="K1288">
    <cfRule type="cellIs" dxfId="153" priority="41" stopIfTrue="1" operator="notEqual">
      <formula>0</formula>
    </cfRule>
  </conditionalFormatting>
  <conditionalFormatting sqref="K1292">
    <cfRule type="cellIs" dxfId="152" priority="40" stopIfTrue="1" operator="notEqual">
      <formula>0</formula>
    </cfRule>
  </conditionalFormatting>
  <conditionalFormatting sqref="K1290">
    <cfRule type="cellIs" dxfId="151" priority="39" stopIfTrue="1" operator="notEqual">
      <formula>0</formula>
    </cfRule>
  </conditionalFormatting>
  <conditionalFormatting sqref="K1294">
    <cfRule type="cellIs" dxfId="150" priority="38" stopIfTrue="1" operator="notEqual">
      <formula>0</formula>
    </cfRule>
  </conditionalFormatting>
  <conditionalFormatting sqref="K5146:K5169">
    <cfRule type="cellIs" dxfId="149" priority="37" stopIfTrue="1" operator="notEqual">
      <formula>0</formula>
    </cfRule>
  </conditionalFormatting>
  <conditionalFormatting sqref="K5236:K5259">
    <cfRule type="cellIs" dxfId="148" priority="36" stopIfTrue="1" operator="notEqual">
      <formula>0</formula>
    </cfRule>
  </conditionalFormatting>
  <conditionalFormatting sqref="K5319:K5323">
    <cfRule type="cellIs" dxfId="147" priority="35" stopIfTrue="1" operator="notEqual">
      <formula>0</formula>
    </cfRule>
  </conditionalFormatting>
  <conditionalFormatting sqref="K5324">
    <cfRule type="cellIs" dxfId="146" priority="34" stopIfTrue="1" operator="notEqual">
      <formula>0</formula>
    </cfRule>
  </conditionalFormatting>
  <conditionalFormatting sqref="K5348:K5349">
    <cfRule type="cellIs" dxfId="145" priority="33" stopIfTrue="1" operator="notEqual">
      <formula>0</formula>
    </cfRule>
  </conditionalFormatting>
  <conditionalFormatting sqref="K5347">
    <cfRule type="cellIs" dxfId="144" priority="32" stopIfTrue="1" operator="notEqual">
      <formula>0</formula>
    </cfRule>
  </conditionalFormatting>
  <conditionalFormatting sqref="K1300">
    <cfRule type="cellIs" dxfId="143" priority="31" stopIfTrue="1" operator="notEqual">
      <formula>0</formula>
    </cfRule>
  </conditionalFormatting>
  <conditionalFormatting sqref="K1301">
    <cfRule type="cellIs" dxfId="142" priority="30" stopIfTrue="1" operator="notEqual">
      <formula>0</formula>
    </cfRule>
  </conditionalFormatting>
  <conditionalFormatting sqref="K1302">
    <cfRule type="cellIs" dxfId="141" priority="29" stopIfTrue="1" operator="notEqual">
      <formula>0</formula>
    </cfRule>
  </conditionalFormatting>
  <conditionalFormatting sqref="K1303">
    <cfRule type="cellIs" dxfId="140" priority="28" stopIfTrue="1" operator="notEqual">
      <formula>0</formula>
    </cfRule>
  </conditionalFormatting>
  <conditionalFormatting sqref="K1304">
    <cfRule type="cellIs" dxfId="139" priority="27" stopIfTrue="1" operator="notEqual">
      <formula>0</formula>
    </cfRule>
  </conditionalFormatting>
  <conditionalFormatting sqref="K1734">
    <cfRule type="cellIs" dxfId="138" priority="24" stopIfTrue="1" operator="notEqual">
      <formula>0</formula>
    </cfRule>
  </conditionalFormatting>
  <conditionalFormatting sqref="K1735">
    <cfRule type="cellIs" dxfId="137" priority="23" stopIfTrue="1" operator="notEqual">
      <formula>0</formula>
    </cfRule>
  </conditionalFormatting>
  <conditionalFormatting sqref="K464">
    <cfRule type="cellIs" dxfId="136" priority="22" stopIfTrue="1" operator="notEqual">
      <formula>0</formula>
    </cfRule>
  </conditionalFormatting>
  <conditionalFormatting sqref="K466">
    <cfRule type="cellIs" dxfId="135" priority="21" stopIfTrue="1" operator="notEqual">
      <formula>0</formula>
    </cfRule>
  </conditionalFormatting>
  <conditionalFormatting sqref="K471">
    <cfRule type="cellIs" dxfId="134" priority="20" stopIfTrue="1" operator="notEqual">
      <formula>0</formula>
    </cfRule>
  </conditionalFormatting>
  <conditionalFormatting sqref="K472">
    <cfRule type="cellIs" dxfId="133" priority="19" stopIfTrue="1" operator="notEqual">
      <formula>0</formula>
    </cfRule>
  </conditionalFormatting>
  <conditionalFormatting sqref="K5183:K5204">
    <cfRule type="cellIs" dxfId="132" priority="18" stopIfTrue="1" operator="notEqual">
      <formula>0</formula>
    </cfRule>
  </conditionalFormatting>
  <conditionalFormatting sqref="K5273:K5296">
    <cfRule type="cellIs" dxfId="131" priority="17" stopIfTrue="1" operator="notEqual">
      <formula>0</formula>
    </cfRule>
  </conditionalFormatting>
  <conditionalFormatting sqref="K5343 K5340:K5341">
    <cfRule type="cellIs" dxfId="130" priority="15" stopIfTrue="1" operator="notEqual">
      <formula>0</formula>
    </cfRule>
  </conditionalFormatting>
  <conditionalFormatting sqref="K5335 K5332:K5333">
    <cfRule type="cellIs" dxfId="129" priority="14" stopIfTrue="1" operator="notEqual">
      <formula>0</formula>
    </cfRule>
  </conditionalFormatting>
  <conditionalFormatting sqref="K5339">
    <cfRule type="cellIs" dxfId="128" priority="13" stopIfTrue="1" operator="notEqual">
      <formula>0</formula>
    </cfRule>
  </conditionalFormatting>
  <conditionalFormatting sqref="K5336">
    <cfRule type="cellIs" dxfId="127" priority="12" stopIfTrue="1" operator="notEqual">
      <formula>0</formula>
    </cfRule>
  </conditionalFormatting>
  <conditionalFormatting sqref="K5337">
    <cfRule type="cellIs" dxfId="126" priority="11" stopIfTrue="1" operator="notEqual">
      <formula>0</formula>
    </cfRule>
  </conditionalFormatting>
  <conditionalFormatting sqref="K5338">
    <cfRule type="cellIs" dxfId="125" priority="10" stopIfTrue="1" operator="notEqual">
      <formula>0</formula>
    </cfRule>
  </conditionalFormatting>
  <conditionalFormatting sqref="K2567:K2568">
    <cfRule type="cellIs" dxfId="124" priority="9" stopIfTrue="1" operator="notEqual">
      <formula>0</formula>
    </cfRule>
  </conditionalFormatting>
  <conditionalFormatting sqref="K2569">
    <cfRule type="cellIs" dxfId="123" priority="8" stopIfTrue="1" operator="notEqual">
      <formula>0</formula>
    </cfRule>
  </conditionalFormatting>
  <conditionalFormatting sqref="K5205:K5207">
    <cfRule type="cellIs" dxfId="122" priority="7" stopIfTrue="1" operator="notEqual">
      <formula>0</formula>
    </cfRule>
  </conditionalFormatting>
  <conditionalFormatting sqref="K5208 K5211">
    <cfRule type="cellIs" dxfId="121" priority="6" stopIfTrue="1" operator="notEqual">
      <formula>0</formula>
    </cfRule>
  </conditionalFormatting>
  <conditionalFormatting sqref="K5209">
    <cfRule type="cellIs" dxfId="120" priority="5" stopIfTrue="1" operator="notEqual">
      <formula>0</formula>
    </cfRule>
  </conditionalFormatting>
  <conditionalFormatting sqref="K5210">
    <cfRule type="cellIs" dxfId="119" priority="4" stopIfTrue="1" operator="notEqual">
      <formula>0</formula>
    </cfRule>
  </conditionalFormatting>
  <conditionalFormatting sqref="K5212">
    <cfRule type="cellIs" dxfId="118" priority="3" stopIfTrue="1" operator="notEqual">
      <formula>0</formula>
    </cfRule>
  </conditionalFormatting>
  <conditionalFormatting sqref="K5310">
    <cfRule type="cellIs" dxfId="117" priority="2" stopIfTrue="1" operator="notEqual">
      <formula>0</formula>
    </cfRule>
  </conditionalFormatting>
  <conditionalFormatting sqref="K5221">
    <cfRule type="cellIs" dxfId="116" priority="1" stopIfTrue="1" operator="notEqual">
      <formula>0</formula>
    </cfRule>
  </conditionalFormatting>
  <hyperlinks>
    <hyperlink ref="N4364" r:id="rId1"/>
  </hyperlinks>
  <pageMargins left="0.70866141732283472" right="0.70866141732283472" top="0.78740157480314965" bottom="0.59055118110236227" header="0.31496062992125984" footer="0.31496062992125984"/>
  <pageSetup paperSize="9" scale="74" fitToHeight="1000" orientation="landscape" r:id="rId2"/>
  <headerFooter alignWithMargins="0"/>
  <ignoredErrors>
    <ignoredError sqref="D3626 D3630 D3354 D3854 D3858" formulaRange="1"/>
    <ignoredError sqref="H5035 I5075" formula="1"/>
  </ignoredError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Z734"/>
  <sheetViews>
    <sheetView workbookViewId="0">
      <selection sqref="A1:G1"/>
    </sheetView>
  </sheetViews>
  <sheetFormatPr baseColWidth="10" defaultRowHeight="15" x14ac:dyDescent="0.25"/>
  <cols>
    <col min="1" max="1" width="21.42578125" customWidth="1"/>
    <col min="2" max="2" width="17.42578125" customWidth="1"/>
    <col min="3" max="3" width="26.42578125" customWidth="1"/>
    <col min="4" max="4" width="71" customWidth="1"/>
    <col min="5" max="5" width="28.5703125" customWidth="1"/>
    <col min="6" max="6" width="19.42578125" customWidth="1"/>
    <col min="7" max="7" width="36.5703125" style="940" customWidth="1"/>
  </cols>
  <sheetData>
    <row r="1" spans="1:7" ht="26.25" x14ac:dyDescent="0.4">
      <c r="A1" s="1114" t="s">
        <v>450</v>
      </c>
      <c r="B1" s="1114"/>
      <c r="C1" s="1114"/>
      <c r="D1" s="1114"/>
      <c r="E1" s="1114"/>
      <c r="F1" s="1114"/>
      <c r="G1" s="1114"/>
    </row>
    <row r="2" spans="1:7" x14ac:dyDescent="0.25">
      <c r="G2" s="662"/>
    </row>
    <row r="3" spans="1:7" s="259" customFormat="1" ht="51" x14ac:dyDescent="0.25">
      <c r="A3" s="376" t="s">
        <v>2263</v>
      </c>
      <c r="B3" s="377" t="s">
        <v>2264</v>
      </c>
      <c r="C3" s="377" t="s">
        <v>2265</v>
      </c>
      <c r="D3" s="377" t="s">
        <v>2266</v>
      </c>
      <c r="E3" s="377" t="s">
        <v>2267</v>
      </c>
      <c r="F3" s="378" t="s">
        <v>451</v>
      </c>
      <c r="G3" s="555" t="s">
        <v>7829</v>
      </c>
    </row>
    <row r="4" spans="1:7" x14ac:dyDescent="0.25">
      <c r="G4" s="938" t="s">
        <v>6027</v>
      </c>
    </row>
    <row r="5" spans="1:7" ht="114" customHeight="1" x14ac:dyDescent="0.25">
      <c r="A5" s="1174" t="s">
        <v>2944</v>
      </c>
      <c r="B5" s="1174"/>
      <c r="C5" s="1174"/>
      <c r="D5" s="1174"/>
      <c r="E5" s="1174"/>
      <c r="F5" s="1174"/>
      <c r="G5" s="938" t="s">
        <v>6027</v>
      </c>
    </row>
    <row r="6" spans="1:7" x14ac:dyDescent="0.25">
      <c r="F6" s="15"/>
      <c r="G6" s="938" t="s">
        <v>6027</v>
      </c>
    </row>
    <row r="7" spans="1:7" x14ac:dyDescent="0.25">
      <c r="A7" s="610" t="s">
        <v>4644</v>
      </c>
      <c r="B7" s="17" t="s">
        <v>3374</v>
      </c>
      <c r="C7" s="30" t="s">
        <v>5405</v>
      </c>
      <c r="D7" s="17" t="s">
        <v>4645</v>
      </c>
      <c r="E7" s="17"/>
      <c r="F7" s="343">
        <v>0.5</v>
      </c>
      <c r="G7" s="938" t="s">
        <v>6027</v>
      </c>
    </row>
    <row r="8" spans="1:7" x14ac:dyDescent="0.25">
      <c r="A8" s="610" t="s">
        <v>4646</v>
      </c>
      <c r="B8" s="17" t="s">
        <v>3374</v>
      </c>
      <c r="C8" s="30" t="s">
        <v>2385</v>
      </c>
      <c r="D8" s="17" t="s">
        <v>4645</v>
      </c>
      <c r="E8" s="17"/>
      <c r="F8" s="343">
        <v>0.5</v>
      </c>
      <c r="G8" s="938" t="s">
        <v>6027</v>
      </c>
    </row>
    <row r="9" spans="1:7" x14ac:dyDescent="0.25">
      <c r="A9" s="610" t="s">
        <v>4647</v>
      </c>
      <c r="B9" s="17" t="s">
        <v>3382</v>
      </c>
      <c r="C9" s="30" t="s">
        <v>5405</v>
      </c>
      <c r="D9" s="17" t="s">
        <v>4649</v>
      </c>
      <c r="E9" s="17"/>
      <c r="F9" s="343">
        <v>0.5</v>
      </c>
      <c r="G9" s="938" t="s">
        <v>6027</v>
      </c>
    </row>
    <row r="10" spans="1:7" x14ac:dyDescent="0.25">
      <c r="A10" s="610" t="s">
        <v>4648</v>
      </c>
      <c r="B10" s="17" t="s">
        <v>3382</v>
      </c>
      <c r="C10" s="30" t="s">
        <v>2385</v>
      </c>
      <c r="D10" s="17" t="s">
        <v>4649</v>
      </c>
      <c r="E10" s="17"/>
      <c r="F10" s="343">
        <v>0.5</v>
      </c>
      <c r="G10" s="938" t="s">
        <v>6027</v>
      </c>
    </row>
    <row r="11" spans="1:7" x14ac:dyDescent="0.25">
      <c r="G11" s="938" t="s">
        <v>6027</v>
      </c>
    </row>
    <row r="12" spans="1:7" ht="75.75" customHeight="1" x14ac:dyDescent="0.25">
      <c r="A12" s="1174" t="s">
        <v>4232</v>
      </c>
      <c r="B12" s="1174"/>
      <c r="C12" s="1174"/>
      <c r="D12" s="1174"/>
      <c r="E12" s="1174"/>
      <c r="F12" s="1174"/>
      <c r="G12" s="938" t="s">
        <v>6027</v>
      </c>
    </row>
    <row r="13" spans="1:7" x14ac:dyDescent="0.25">
      <c r="F13" s="15"/>
      <c r="G13" s="938" t="s">
        <v>6027</v>
      </c>
    </row>
    <row r="14" spans="1:7" x14ac:dyDescent="0.25">
      <c r="A14" s="335" t="s">
        <v>3941</v>
      </c>
      <c r="B14" s="336" t="s">
        <v>740</v>
      </c>
      <c r="C14" s="336"/>
      <c r="D14" s="336" t="s">
        <v>3942</v>
      </c>
      <c r="E14" s="336"/>
      <c r="F14" s="337"/>
      <c r="G14" s="938" t="s">
        <v>6027</v>
      </c>
    </row>
    <row r="15" spans="1:7" s="92" customFormat="1" x14ac:dyDescent="0.25">
      <c r="F15" s="574"/>
      <c r="G15" s="938" t="s">
        <v>6027</v>
      </c>
    </row>
    <row r="16" spans="1:7" ht="86.25" customHeight="1" x14ac:dyDescent="0.25">
      <c r="A16" s="1187" t="s">
        <v>452</v>
      </c>
      <c r="B16" s="1188"/>
      <c r="C16" s="1188"/>
      <c r="D16" s="1188"/>
      <c r="E16" s="1188"/>
      <c r="F16" s="1189"/>
      <c r="G16" s="938" t="s">
        <v>6027</v>
      </c>
    </row>
    <row r="17" spans="1:14" s="92" customFormat="1" x14ac:dyDescent="0.25">
      <c r="F17" s="574"/>
      <c r="G17" s="938" t="s">
        <v>6027</v>
      </c>
    </row>
    <row r="18" spans="1:14" x14ac:dyDescent="0.25">
      <c r="A18" s="615" t="s">
        <v>1702</v>
      </c>
      <c r="B18" s="372" t="s">
        <v>5435</v>
      </c>
      <c r="C18" s="375" t="s">
        <v>108</v>
      </c>
      <c r="D18" s="372" t="s">
        <v>3919</v>
      </c>
      <c r="E18" s="372"/>
      <c r="F18" s="449"/>
      <c r="G18" s="938" t="s">
        <v>6027</v>
      </c>
      <c r="I18" s="325"/>
      <c r="J18" s="12"/>
      <c r="K18" s="12"/>
      <c r="L18" s="12"/>
      <c r="M18" s="12"/>
      <c r="N18" s="12"/>
    </row>
    <row r="19" spans="1:14" x14ac:dyDescent="0.25">
      <c r="A19" s="615" t="s">
        <v>458</v>
      </c>
      <c r="B19" s="372" t="s">
        <v>5435</v>
      </c>
      <c r="C19" s="375" t="s">
        <v>108</v>
      </c>
      <c r="D19" s="372" t="s">
        <v>3920</v>
      </c>
      <c r="E19" s="372"/>
      <c r="F19" s="449"/>
      <c r="G19" s="938" t="s">
        <v>6027</v>
      </c>
      <c r="I19" s="325"/>
      <c r="J19" s="12"/>
      <c r="K19" s="12"/>
      <c r="L19" s="12"/>
      <c r="M19" s="12"/>
      <c r="N19" s="12"/>
    </row>
    <row r="20" spans="1:14" x14ac:dyDescent="0.25">
      <c r="A20" s="615" t="s">
        <v>459</v>
      </c>
      <c r="B20" s="372" t="s">
        <v>5435</v>
      </c>
      <c r="C20" s="375" t="s">
        <v>108</v>
      </c>
      <c r="D20" s="372" t="s">
        <v>3921</v>
      </c>
      <c r="E20" s="372"/>
      <c r="F20" s="449"/>
      <c r="G20" s="938" t="s">
        <v>6027</v>
      </c>
      <c r="I20" s="333"/>
      <c r="J20" s="12"/>
      <c r="K20" s="12"/>
      <c r="L20" s="12"/>
      <c r="M20" s="12"/>
      <c r="N20" s="12"/>
    </row>
    <row r="21" spans="1:14" x14ac:dyDescent="0.25">
      <c r="A21" s="615" t="s">
        <v>460</v>
      </c>
      <c r="B21" s="372" t="s">
        <v>5435</v>
      </c>
      <c r="C21" s="375" t="s">
        <v>108</v>
      </c>
      <c r="D21" s="372" t="s">
        <v>3922</v>
      </c>
      <c r="E21" s="372"/>
      <c r="F21" s="449"/>
      <c r="G21" s="938" t="s">
        <v>6027</v>
      </c>
      <c r="I21" s="325"/>
      <c r="J21" s="12"/>
      <c r="K21" s="12"/>
      <c r="L21" s="12"/>
      <c r="M21" s="12"/>
      <c r="N21" s="12"/>
    </row>
    <row r="22" spans="1:14" x14ac:dyDescent="0.25">
      <c r="A22" s="615" t="s">
        <v>1703</v>
      </c>
      <c r="B22" s="372" t="s">
        <v>5435</v>
      </c>
      <c r="C22" s="375" t="s">
        <v>109</v>
      </c>
      <c r="D22" s="372" t="s">
        <v>3919</v>
      </c>
      <c r="E22" s="372"/>
      <c r="F22" s="449"/>
      <c r="G22" s="938" t="s">
        <v>6027</v>
      </c>
      <c r="I22" s="325"/>
      <c r="J22" s="12"/>
      <c r="K22" s="12"/>
      <c r="L22" s="12"/>
      <c r="M22" s="12"/>
      <c r="N22" s="12"/>
    </row>
    <row r="23" spans="1:14" x14ac:dyDescent="0.25">
      <c r="A23" s="615" t="s">
        <v>461</v>
      </c>
      <c r="B23" s="372" t="s">
        <v>5435</v>
      </c>
      <c r="C23" s="375" t="s">
        <v>109</v>
      </c>
      <c r="D23" s="372" t="s">
        <v>3920</v>
      </c>
      <c r="E23" s="372"/>
      <c r="F23" s="449"/>
      <c r="G23" s="938" t="s">
        <v>6027</v>
      </c>
      <c r="I23" s="325"/>
      <c r="J23" s="12"/>
      <c r="K23" s="12"/>
      <c r="L23" s="12"/>
      <c r="M23" s="12"/>
      <c r="N23" s="12"/>
    </row>
    <row r="24" spans="1:14" x14ac:dyDescent="0.25">
      <c r="A24" s="615" t="s">
        <v>462</v>
      </c>
      <c r="B24" s="372" t="s">
        <v>5435</v>
      </c>
      <c r="C24" s="375" t="s">
        <v>109</v>
      </c>
      <c r="D24" s="372" t="s">
        <v>3921</v>
      </c>
      <c r="E24" s="372"/>
      <c r="F24" s="449"/>
      <c r="G24" s="938" t="s">
        <v>6027</v>
      </c>
      <c r="I24" s="325"/>
      <c r="J24" s="12"/>
      <c r="K24" s="12"/>
      <c r="L24" s="12"/>
      <c r="M24" s="12"/>
      <c r="N24" s="12"/>
    </row>
    <row r="25" spans="1:14" x14ac:dyDescent="0.25">
      <c r="A25" s="615" t="s">
        <v>463</v>
      </c>
      <c r="B25" s="372" t="s">
        <v>5435</v>
      </c>
      <c r="C25" s="375" t="s">
        <v>109</v>
      </c>
      <c r="D25" s="372" t="s">
        <v>3922</v>
      </c>
      <c r="E25" s="372"/>
      <c r="F25" s="449"/>
      <c r="G25" s="938" t="s">
        <v>6027</v>
      </c>
      <c r="I25" s="325"/>
      <c r="J25" s="12"/>
      <c r="K25" s="12"/>
      <c r="L25" s="12"/>
      <c r="M25" s="12"/>
      <c r="N25" s="12"/>
    </row>
    <row r="26" spans="1:14" x14ac:dyDescent="0.25">
      <c r="A26" s="615" t="s">
        <v>1704</v>
      </c>
      <c r="B26" s="372" t="s">
        <v>5435</v>
      </c>
      <c r="C26" s="375" t="s">
        <v>110</v>
      </c>
      <c r="D26" s="372" t="s">
        <v>3919</v>
      </c>
      <c r="E26" s="372"/>
      <c r="F26" s="449"/>
      <c r="G26" s="938" t="s">
        <v>6027</v>
      </c>
      <c r="I26" s="325"/>
      <c r="J26" s="12"/>
      <c r="K26" s="12"/>
      <c r="L26" s="12"/>
      <c r="M26" s="12"/>
      <c r="N26" s="12"/>
    </row>
    <row r="27" spans="1:14" x14ac:dyDescent="0.25">
      <c r="A27" s="615" t="s">
        <v>464</v>
      </c>
      <c r="B27" s="372" t="s">
        <v>5435</v>
      </c>
      <c r="C27" s="375" t="s">
        <v>110</v>
      </c>
      <c r="D27" s="372" t="s">
        <v>3920</v>
      </c>
      <c r="E27" s="372"/>
      <c r="F27" s="449"/>
      <c r="G27" s="938" t="s">
        <v>6027</v>
      </c>
      <c r="I27" s="325"/>
      <c r="J27" s="12"/>
      <c r="K27" s="12"/>
      <c r="L27" s="12"/>
      <c r="M27" s="12"/>
      <c r="N27" s="12"/>
    </row>
    <row r="28" spans="1:14" x14ac:dyDescent="0.25">
      <c r="A28" s="615" t="s">
        <v>465</v>
      </c>
      <c r="B28" s="372" t="s">
        <v>5435</v>
      </c>
      <c r="C28" s="375" t="s">
        <v>110</v>
      </c>
      <c r="D28" s="372" t="s">
        <v>3921</v>
      </c>
      <c r="E28" s="372"/>
      <c r="F28" s="449"/>
      <c r="G28" s="938" t="s">
        <v>6027</v>
      </c>
      <c r="I28" s="325"/>
      <c r="J28" s="174"/>
      <c r="K28" s="12"/>
      <c r="L28" s="12"/>
      <c r="M28" s="12"/>
      <c r="N28" s="12"/>
    </row>
    <row r="29" spans="1:14" x14ac:dyDescent="0.25">
      <c r="A29" s="615" t="s">
        <v>466</v>
      </c>
      <c r="B29" s="372" t="s">
        <v>5435</v>
      </c>
      <c r="C29" s="375" t="s">
        <v>110</v>
      </c>
      <c r="D29" s="372" t="s">
        <v>3922</v>
      </c>
      <c r="E29" s="372"/>
      <c r="F29" s="449"/>
      <c r="G29" s="938" t="s">
        <v>6027</v>
      </c>
      <c r="I29" s="325"/>
      <c r="J29" s="174"/>
      <c r="K29" s="12"/>
      <c r="L29" s="12"/>
      <c r="M29" s="12"/>
      <c r="N29" s="12"/>
    </row>
    <row r="30" spans="1:14" x14ac:dyDescent="0.25">
      <c r="A30" s="615" t="s">
        <v>1705</v>
      </c>
      <c r="B30" s="372" t="s">
        <v>5435</v>
      </c>
      <c r="C30" s="375" t="s">
        <v>117</v>
      </c>
      <c r="D30" s="372" t="s">
        <v>3919</v>
      </c>
      <c r="E30" s="372"/>
      <c r="F30" s="449"/>
      <c r="G30" s="938" t="s">
        <v>6027</v>
      </c>
      <c r="H30" s="410"/>
      <c r="I30" s="137"/>
      <c r="J30" s="174"/>
      <c r="K30" s="174"/>
      <c r="L30" s="174"/>
      <c r="M30" s="174"/>
      <c r="N30" s="174"/>
    </row>
    <row r="31" spans="1:14" x14ac:dyDescent="0.25">
      <c r="A31" s="615" t="s">
        <v>467</v>
      </c>
      <c r="B31" s="372" t="s">
        <v>5435</v>
      </c>
      <c r="C31" s="375" t="s">
        <v>117</v>
      </c>
      <c r="D31" s="372" t="s">
        <v>3920</v>
      </c>
      <c r="E31" s="372"/>
      <c r="F31" s="449"/>
      <c r="G31" s="938" t="s">
        <v>6027</v>
      </c>
      <c r="H31" s="410"/>
      <c r="I31" s="325"/>
      <c r="J31" s="174"/>
      <c r="K31" s="12"/>
      <c r="L31" s="12"/>
      <c r="M31" s="12"/>
      <c r="N31" s="12"/>
    </row>
    <row r="32" spans="1:14" x14ac:dyDescent="0.25">
      <c r="A32" s="615" t="s">
        <v>468</v>
      </c>
      <c r="B32" s="372" t="s">
        <v>5435</v>
      </c>
      <c r="C32" s="375" t="s">
        <v>117</v>
      </c>
      <c r="D32" s="372" t="s">
        <v>3921</v>
      </c>
      <c r="E32" s="372"/>
      <c r="F32" s="449"/>
      <c r="G32" s="938" t="s">
        <v>6027</v>
      </c>
      <c r="H32" s="410"/>
      <c r="I32" s="325"/>
      <c r="J32" s="174"/>
      <c r="K32" s="12"/>
      <c r="L32" s="12"/>
      <c r="M32" s="12"/>
      <c r="N32" s="12"/>
    </row>
    <row r="33" spans="1:17" x14ac:dyDescent="0.25">
      <c r="A33" s="615" t="s">
        <v>469</v>
      </c>
      <c r="B33" s="372" t="s">
        <v>5435</v>
      </c>
      <c r="C33" s="375" t="s">
        <v>117</v>
      </c>
      <c r="D33" s="372" t="s">
        <v>3922</v>
      </c>
      <c r="E33" s="372"/>
      <c r="F33" s="449"/>
      <c r="G33" s="938" t="s">
        <v>6027</v>
      </c>
      <c r="H33" s="410"/>
      <c r="I33" s="137"/>
      <c r="J33" s="174"/>
      <c r="K33" s="174"/>
      <c r="L33" s="174"/>
      <c r="M33" s="174"/>
      <c r="N33" s="174"/>
    </row>
    <row r="34" spans="1:17" x14ac:dyDescent="0.25">
      <c r="A34" s="615" t="s">
        <v>1706</v>
      </c>
      <c r="B34" s="372" t="s">
        <v>5435</v>
      </c>
      <c r="C34" s="375" t="s">
        <v>118</v>
      </c>
      <c r="D34" s="372" t="s">
        <v>3919</v>
      </c>
      <c r="E34" s="372"/>
      <c r="F34" s="449"/>
      <c r="G34" s="938" t="s">
        <v>6027</v>
      </c>
      <c r="H34" s="410"/>
      <c r="I34" s="137"/>
      <c r="J34" s="113"/>
      <c r="K34" s="113"/>
      <c r="L34" s="113"/>
      <c r="M34" s="113"/>
      <c r="N34" s="113"/>
    </row>
    <row r="35" spans="1:17" x14ac:dyDescent="0.25">
      <c r="A35" s="615" t="s">
        <v>470</v>
      </c>
      <c r="B35" s="372" t="s">
        <v>5435</v>
      </c>
      <c r="C35" s="375" t="s">
        <v>118</v>
      </c>
      <c r="D35" s="372" t="s">
        <v>3920</v>
      </c>
      <c r="E35" s="372"/>
      <c r="F35" s="449"/>
      <c r="G35" s="938" t="s">
        <v>6027</v>
      </c>
      <c r="H35" s="410"/>
      <c r="I35" s="325"/>
      <c r="J35" s="174"/>
      <c r="K35" s="12"/>
      <c r="L35" s="12"/>
      <c r="M35" s="12"/>
      <c r="N35" s="12"/>
    </row>
    <row r="36" spans="1:17" x14ac:dyDescent="0.25">
      <c r="A36" s="615" t="s">
        <v>471</v>
      </c>
      <c r="B36" s="372" t="s">
        <v>5435</v>
      </c>
      <c r="C36" s="375" t="s">
        <v>118</v>
      </c>
      <c r="D36" s="372" t="s">
        <v>3921</v>
      </c>
      <c r="E36" s="372"/>
      <c r="F36" s="449"/>
      <c r="G36" s="938" t="s">
        <v>6027</v>
      </c>
      <c r="H36" s="410"/>
    </row>
    <row r="37" spans="1:17" x14ac:dyDescent="0.25">
      <c r="A37" s="615" t="s">
        <v>472</v>
      </c>
      <c r="B37" s="372" t="s">
        <v>5435</v>
      </c>
      <c r="C37" s="375" t="s">
        <v>118</v>
      </c>
      <c r="D37" s="372" t="s">
        <v>3922</v>
      </c>
      <c r="E37" s="372"/>
      <c r="F37" s="449"/>
      <c r="G37" s="938" t="s">
        <v>6027</v>
      </c>
      <c r="H37" s="410"/>
    </row>
    <row r="38" spans="1:17" x14ac:dyDescent="0.25">
      <c r="A38" s="254"/>
      <c r="G38" s="938" t="s">
        <v>6027</v>
      </c>
    </row>
    <row r="39" spans="1:17" x14ac:dyDescent="0.25">
      <c r="A39" s="615" t="s">
        <v>1690</v>
      </c>
      <c r="B39" s="372" t="s">
        <v>740</v>
      </c>
      <c r="C39" s="375" t="s">
        <v>108</v>
      </c>
      <c r="D39" s="372" t="s">
        <v>3904</v>
      </c>
      <c r="E39" s="372"/>
      <c r="F39" s="449" t="s">
        <v>4180</v>
      </c>
      <c r="G39" s="938" t="s">
        <v>6027</v>
      </c>
      <c r="H39" s="281"/>
      <c r="I39" s="333"/>
      <c r="J39" s="344"/>
      <c r="K39" s="327" t="str">
        <f>IF(J39&lt;&gt;"",'EEG-Vergütungen und vNNE'!Q4563*(100%-$J39),"")</f>
        <v/>
      </c>
    </row>
    <row r="40" spans="1:17" x14ac:dyDescent="0.25">
      <c r="A40" s="615" t="s">
        <v>1691</v>
      </c>
      <c r="B40" s="372" t="s">
        <v>740</v>
      </c>
      <c r="C40" s="375" t="s">
        <v>109</v>
      </c>
      <c r="D40" s="372" t="s">
        <v>3904</v>
      </c>
      <c r="E40" s="372"/>
      <c r="F40" s="449" t="s">
        <v>4180</v>
      </c>
      <c r="G40" s="938" t="s">
        <v>6027</v>
      </c>
      <c r="H40" s="281"/>
      <c r="I40" s="333"/>
      <c r="J40" s="344"/>
      <c r="K40" s="327" t="str">
        <f>IF(J40&lt;&gt;"",K39*(100%-$J40),"")</f>
        <v/>
      </c>
    </row>
    <row r="41" spans="1:17" x14ac:dyDescent="0.25">
      <c r="A41" s="615" t="s">
        <v>1692</v>
      </c>
      <c r="B41" s="372" t="s">
        <v>740</v>
      </c>
      <c r="C41" s="375" t="s">
        <v>110</v>
      </c>
      <c r="D41" s="372" t="s">
        <v>3904</v>
      </c>
      <c r="E41" s="372"/>
      <c r="F41" s="449" t="s">
        <v>4180</v>
      </c>
      <c r="G41" s="938" t="s">
        <v>6027</v>
      </c>
      <c r="H41" s="281"/>
      <c r="I41" s="333"/>
      <c r="J41" s="344"/>
      <c r="K41" s="327" t="str">
        <f>IF(J41&lt;&gt;"",K40*(100%-$J41),"")</f>
        <v/>
      </c>
    </row>
    <row r="42" spans="1:17" x14ac:dyDescent="0.25">
      <c r="A42" s="615" t="s">
        <v>1693</v>
      </c>
      <c r="B42" s="372" t="s">
        <v>740</v>
      </c>
      <c r="C42" s="375" t="s">
        <v>117</v>
      </c>
      <c r="D42" s="372" t="s">
        <v>3904</v>
      </c>
      <c r="E42" s="372"/>
      <c r="F42" s="449" t="s">
        <v>4180</v>
      </c>
      <c r="G42" s="938" t="s">
        <v>6027</v>
      </c>
      <c r="H42" s="281"/>
      <c r="I42" s="333"/>
      <c r="J42" s="344"/>
      <c r="K42" s="327" t="str">
        <f>IF(J42&lt;&gt;"",K41*(100%-$J42),"")</f>
        <v/>
      </c>
    </row>
    <row r="43" spans="1:17" x14ac:dyDescent="0.25">
      <c r="A43" s="615" t="s">
        <v>1694</v>
      </c>
      <c r="B43" s="372" t="s">
        <v>740</v>
      </c>
      <c r="C43" s="375" t="s">
        <v>118</v>
      </c>
      <c r="D43" s="372" t="s">
        <v>3904</v>
      </c>
      <c r="E43" s="372"/>
      <c r="F43" s="449" t="s">
        <v>4180</v>
      </c>
      <c r="G43" s="938" t="s">
        <v>6027</v>
      </c>
      <c r="H43" s="281"/>
      <c r="I43" s="333"/>
      <c r="J43" s="344"/>
      <c r="K43" s="327" t="str">
        <f>IF(J43&lt;&gt;"",K42*(100%-$J43),"")</f>
        <v/>
      </c>
    </row>
    <row r="44" spans="1:17" x14ac:dyDescent="0.25">
      <c r="G44" s="938"/>
    </row>
    <row r="45" spans="1:17" ht="23.25" x14ac:dyDescent="0.35">
      <c r="A45" s="110" t="s">
        <v>6078</v>
      </c>
      <c r="B45" s="65"/>
      <c r="C45" s="65"/>
      <c r="D45" s="65"/>
      <c r="E45" s="65"/>
      <c r="F45" s="443"/>
      <c r="G45" s="939">
        <v>42705</v>
      </c>
      <c r="L45" s="238"/>
      <c r="M45" s="238"/>
      <c r="N45" s="238"/>
      <c r="O45" s="238"/>
      <c r="P45" s="238"/>
      <c r="Q45" s="238"/>
    </row>
    <row r="46" spans="1:17" ht="77.25" customHeight="1" x14ac:dyDescent="0.25">
      <c r="A46" s="1128" t="s">
        <v>6079</v>
      </c>
      <c r="B46" s="1134"/>
      <c r="C46" s="1134"/>
      <c r="D46" s="1134"/>
      <c r="E46" s="1134"/>
      <c r="F46" s="1134"/>
      <c r="G46" s="939">
        <v>42705</v>
      </c>
      <c r="L46" s="238"/>
      <c r="M46" s="238"/>
      <c r="N46" s="238"/>
      <c r="O46" s="238"/>
      <c r="P46" s="238"/>
      <c r="Q46" s="238"/>
    </row>
    <row r="47" spans="1:17" x14ac:dyDescent="0.25">
      <c r="F47" s="471"/>
      <c r="G47" s="939" t="s">
        <v>4180</v>
      </c>
    </row>
    <row r="48" spans="1:17" x14ac:dyDescent="0.25">
      <c r="A48" s="371" t="s">
        <v>2197</v>
      </c>
      <c r="B48" s="370" t="s">
        <v>2067</v>
      </c>
      <c r="C48" s="370"/>
      <c r="D48" s="370" t="s">
        <v>2209</v>
      </c>
      <c r="E48" s="370"/>
      <c r="F48" s="477"/>
      <c r="G48" s="939">
        <v>42705</v>
      </c>
    </row>
    <row r="49" spans="1:7" x14ac:dyDescent="0.25">
      <c r="A49" s="371" t="s">
        <v>2198</v>
      </c>
      <c r="B49" s="370" t="s">
        <v>2067</v>
      </c>
      <c r="C49" s="370"/>
      <c r="D49" s="370" t="s">
        <v>2210</v>
      </c>
      <c r="E49" s="370"/>
      <c r="F49" s="477"/>
      <c r="G49" s="939">
        <v>42705</v>
      </c>
    </row>
    <row r="50" spans="1:7" x14ac:dyDescent="0.25">
      <c r="A50" s="371" t="s">
        <v>2199</v>
      </c>
      <c r="B50" s="370" t="s">
        <v>2067</v>
      </c>
      <c r="C50" s="370"/>
      <c r="D50" s="370" t="s">
        <v>2211</v>
      </c>
      <c r="E50" s="370"/>
      <c r="F50" s="477"/>
      <c r="G50" s="939">
        <v>42705</v>
      </c>
    </row>
    <row r="51" spans="1:7" x14ac:dyDescent="0.25">
      <c r="A51" s="371" t="s">
        <v>2200</v>
      </c>
      <c r="B51" s="370" t="s">
        <v>2067</v>
      </c>
      <c r="C51" s="370"/>
      <c r="D51" s="370" t="s">
        <v>2212</v>
      </c>
      <c r="E51" s="370"/>
      <c r="F51" s="477"/>
      <c r="G51" s="939">
        <v>42705</v>
      </c>
    </row>
    <row r="52" spans="1:7" x14ac:dyDescent="0.25">
      <c r="A52" s="371" t="s">
        <v>2201</v>
      </c>
      <c r="B52" s="370" t="s">
        <v>2067</v>
      </c>
      <c r="C52" s="370"/>
      <c r="D52" s="370" t="s">
        <v>2213</v>
      </c>
      <c r="E52" s="370"/>
      <c r="F52" s="477"/>
      <c r="G52" s="939">
        <v>42705</v>
      </c>
    </row>
    <row r="53" spans="1:7" x14ac:dyDescent="0.25">
      <c r="A53" s="371" t="s">
        <v>2202</v>
      </c>
      <c r="B53" s="370" t="s">
        <v>2067</v>
      </c>
      <c r="C53" s="370"/>
      <c r="D53" s="370" t="s">
        <v>2214</v>
      </c>
      <c r="E53" s="370"/>
      <c r="F53" s="477"/>
      <c r="G53" s="939">
        <v>42705</v>
      </c>
    </row>
    <row r="54" spans="1:7" x14ac:dyDescent="0.25">
      <c r="A54" s="371" t="s">
        <v>2203</v>
      </c>
      <c r="B54" s="370" t="s">
        <v>2067</v>
      </c>
      <c r="C54" s="370"/>
      <c r="D54" s="370" t="s">
        <v>2215</v>
      </c>
      <c r="E54" s="370"/>
      <c r="F54" s="477"/>
      <c r="G54" s="939">
        <v>42705</v>
      </c>
    </row>
    <row r="55" spans="1:7" x14ac:dyDescent="0.25">
      <c r="A55" s="371" t="s">
        <v>2204</v>
      </c>
      <c r="B55" s="370" t="s">
        <v>2067</v>
      </c>
      <c r="C55" s="370"/>
      <c r="D55" s="370" t="s">
        <v>2216</v>
      </c>
      <c r="E55" s="370"/>
      <c r="F55" s="477"/>
      <c r="G55" s="939">
        <v>42705</v>
      </c>
    </row>
    <row r="56" spans="1:7" x14ac:dyDescent="0.25">
      <c r="A56" s="371" t="s">
        <v>2205</v>
      </c>
      <c r="B56" s="370" t="s">
        <v>2067</v>
      </c>
      <c r="C56" s="370"/>
      <c r="D56" s="370" t="s">
        <v>2217</v>
      </c>
      <c r="E56" s="370"/>
      <c r="F56" s="477"/>
      <c r="G56" s="939">
        <v>42705</v>
      </c>
    </row>
    <row r="57" spans="1:7" x14ac:dyDescent="0.25">
      <c r="A57" s="371" t="s">
        <v>2206</v>
      </c>
      <c r="B57" s="370" t="s">
        <v>2067</v>
      </c>
      <c r="C57" s="370"/>
      <c r="D57" s="370" t="s">
        <v>2218</v>
      </c>
      <c r="E57" s="370"/>
      <c r="F57" s="477"/>
      <c r="G57" s="939">
        <v>42705</v>
      </c>
    </row>
    <row r="58" spans="1:7" x14ac:dyDescent="0.25">
      <c r="A58" s="371" t="s">
        <v>2207</v>
      </c>
      <c r="B58" s="370" t="s">
        <v>2067</v>
      </c>
      <c r="C58" s="370"/>
      <c r="D58" s="370" t="s">
        <v>2219</v>
      </c>
      <c r="E58" s="370"/>
      <c r="F58" s="477"/>
      <c r="G58" s="939">
        <v>42705</v>
      </c>
    </row>
    <row r="59" spans="1:7" x14ac:dyDescent="0.25">
      <c r="A59" s="371" t="s">
        <v>2208</v>
      </c>
      <c r="B59" s="370" t="s">
        <v>2067</v>
      </c>
      <c r="C59" s="370"/>
      <c r="D59" s="370" t="s">
        <v>2220</v>
      </c>
      <c r="E59" s="370"/>
      <c r="F59" s="477"/>
      <c r="G59" s="939">
        <v>42705</v>
      </c>
    </row>
    <row r="60" spans="1:7" x14ac:dyDescent="0.25">
      <c r="A60" s="312"/>
      <c r="B60" s="313"/>
      <c r="C60" s="313"/>
      <c r="D60" s="313"/>
      <c r="E60" s="313"/>
      <c r="F60" s="476"/>
      <c r="G60" s="939" t="s">
        <v>4180</v>
      </c>
    </row>
    <row r="61" spans="1:7" x14ac:dyDescent="0.25">
      <c r="A61" s="371" t="s">
        <v>2947</v>
      </c>
      <c r="B61" s="370" t="s">
        <v>3374</v>
      </c>
      <c r="C61" s="370"/>
      <c r="D61" s="370" t="s">
        <v>2209</v>
      </c>
      <c r="E61" s="370"/>
      <c r="F61" s="477"/>
      <c r="G61" s="939">
        <v>42705</v>
      </c>
    </row>
    <row r="62" spans="1:7" x14ac:dyDescent="0.25">
      <c r="A62" s="371" t="s">
        <v>2948</v>
      </c>
      <c r="B62" s="370" t="s">
        <v>3374</v>
      </c>
      <c r="C62" s="370"/>
      <c r="D62" s="370" t="s">
        <v>2210</v>
      </c>
      <c r="E62" s="370"/>
      <c r="F62" s="477"/>
      <c r="G62" s="939">
        <v>42705</v>
      </c>
    </row>
    <row r="63" spans="1:7" x14ac:dyDescent="0.25">
      <c r="A63" s="371" t="s">
        <v>2949</v>
      </c>
      <c r="B63" s="370" t="s">
        <v>3374</v>
      </c>
      <c r="C63" s="370"/>
      <c r="D63" s="370" t="s">
        <v>2211</v>
      </c>
      <c r="E63" s="370"/>
      <c r="F63" s="477"/>
      <c r="G63" s="939">
        <v>42705</v>
      </c>
    </row>
    <row r="64" spans="1:7" x14ac:dyDescent="0.25">
      <c r="A64" s="371" t="s">
        <v>2950</v>
      </c>
      <c r="B64" s="370" t="s">
        <v>3374</v>
      </c>
      <c r="C64" s="370"/>
      <c r="D64" s="370" t="s">
        <v>2212</v>
      </c>
      <c r="E64" s="370"/>
      <c r="F64" s="477"/>
      <c r="G64" s="939">
        <v>42705</v>
      </c>
    </row>
    <row r="65" spans="1:7" x14ac:dyDescent="0.25">
      <c r="A65" s="371" t="s">
        <v>2951</v>
      </c>
      <c r="B65" s="370" t="s">
        <v>3374</v>
      </c>
      <c r="C65" s="370"/>
      <c r="D65" s="370" t="s">
        <v>2213</v>
      </c>
      <c r="E65" s="370"/>
      <c r="F65" s="477"/>
      <c r="G65" s="939">
        <v>42705</v>
      </c>
    </row>
    <row r="66" spans="1:7" x14ac:dyDescent="0.25">
      <c r="A66" s="371" t="s">
        <v>2952</v>
      </c>
      <c r="B66" s="370" t="s">
        <v>3374</v>
      </c>
      <c r="C66" s="370"/>
      <c r="D66" s="370" t="s">
        <v>2214</v>
      </c>
      <c r="E66" s="370"/>
      <c r="F66" s="477"/>
      <c r="G66" s="939">
        <v>42705</v>
      </c>
    </row>
    <row r="67" spans="1:7" x14ac:dyDescent="0.25">
      <c r="A67" s="371" t="s">
        <v>2953</v>
      </c>
      <c r="B67" s="370" t="s">
        <v>3374</v>
      </c>
      <c r="C67" s="370"/>
      <c r="D67" s="370" t="s">
        <v>2215</v>
      </c>
      <c r="E67" s="370"/>
      <c r="F67" s="477"/>
      <c r="G67" s="939">
        <v>42705</v>
      </c>
    </row>
    <row r="68" spans="1:7" x14ac:dyDescent="0.25">
      <c r="A68" s="371" t="s">
        <v>2954</v>
      </c>
      <c r="B68" s="370" t="s">
        <v>3374</v>
      </c>
      <c r="C68" s="370"/>
      <c r="D68" s="370" t="s">
        <v>2216</v>
      </c>
      <c r="E68" s="370"/>
      <c r="F68" s="477"/>
      <c r="G68" s="939">
        <v>42705</v>
      </c>
    </row>
    <row r="69" spans="1:7" x14ac:dyDescent="0.25">
      <c r="A69" s="371" t="s">
        <v>2955</v>
      </c>
      <c r="B69" s="370" t="s">
        <v>3374</v>
      </c>
      <c r="C69" s="370"/>
      <c r="D69" s="370" t="s">
        <v>2217</v>
      </c>
      <c r="E69" s="370"/>
      <c r="F69" s="477"/>
      <c r="G69" s="939">
        <v>42705</v>
      </c>
    </row>
    <row r="70" spans="1:7" x14ac:dyDescent="0.25">
      <c r="A70" s="371" t="s">
        <v>2956</v>
      </c>
      <c r="B70" s="370" t="s">
        <v>3374</v>
      </c>
      <c r="C70" s="370"/>
      <c r="D70" s="370" t="s">
        <v>2218</v>
      </c>
      <c r="E70" s="370"/>
      <c r="F70" s="477"/>
      <c r="G70" s="939">
        <v>42705</v>
      </c>
    </row>
    <row r="71" spans="1:7" x14ac:dyDescent="0.25">
      <c r="A71" s="371" t="s">
        <v>2957</v>
      </c>
      <c r="B71" s="370" t="s">
        <v>3374</v>
      </c>
      <c r="C71" s="370"/>
      <c r="D71" s="370" t="s">
        <v>2219</v>
      </c>
      <c r="E71" s="370"/>
      <c r="F71" s="477"/>
      <c r="G71" s="939">
        <v>42705</v>
      </c>
    </row>
    <row r="72" spans="1:7" x14ac:dyDescent="0.25">
      <c r="A72" s="371" t="s">
        <v>2958</v>
      </c>
      <c r="B72" s="370" t="s">
        <v>3374</v>
      </c>
      <c r="C72" s="370"/>
      <c r="D72" s="370" t="s">
        <v>2220</v>
      </c>
      <c r="E72" s="370"/>
      <c r="F72" s="477"/>
      <c r="G72" s="939">
        <v>42705</v>
      </c>
    </row>
    <row r="73" spans="1:7" x14ac:dyDescent="0.25">
      <c r="A73" s="312"/>
      <c r="B73" s="313"/>
      <c r="C73" s="313"/>
      <c r="D73" s="313"/>
      <c r="E73" s="313"/>
      <c r="F73" s="476"/>
      <c r="G73" s="939" t="s">
        <v>4180</v>
      </c>
    </row>
    <row r="74" spans="1:7" x14ac:dyDescent="0.25">
      <c r="A74" s="371" t="s">
        <v>2959</v>
      </c>
      <c r="B74" s="370" t="s">
        <v>3382</v>
      </c>
      <c r="C74" s="370"/>
      <c r="D74" s="370" t="s">
        <v>2209</v>
      </c>
      <c r="E74" s="370"/>
      <c r="F74" s="477"/>
      <c r="G74" s="939">
        <v>42705</v>
      </c>
    </row>
    <row r="75" spans="1:7" x14ac:dyDescent="0.25">
      <c r="A75" s="371" t="s">
        <v>2960</v>
      </c>
      <c r="B75" s="370" t="s">
        <v>3382</v>
      </c>
      <c r="C75" s="370"/>
      <c r="D75" s="370" t="s">
        <v>2210</v>
      </c>
      <c r="E75" s="370"/>
      <c r="F75" s="477"/>
      <c r="G75" s="939">
        <v>42705</v>
      </c>
    </row>
    <row r="76" spans="1:7" x14ac:dyDescent="0.25">
      <c r="A76" s="371" t="s">
        <v>2961</v>
      </c>
      <c r="B76" s="370" t="s">
        <v>3382</v>
      </c>
      <c r="C76" s="370"/>
      <c r="D76" s="370" t="s">
        <v>2211</v>
      </c>
      <c r="E76" s="370"/>
      <c r="F76" s="477"/>
      <c r="G76" s="939">
        <v>42705</v>
      </c>
    </row>
    <row r="77" spans="1:7" x14ac:dyDescent="0.25">
      <c r="A77" s="371" t="s">
        <v>2962</v>
      </c>
      <c r="B77" s="370" t="s">
        <v>3382</v>
      </c>
      <c r="C77" s="370"/>
      <c r="D77" s="370" t="s">
        <v>2212</v>
      </c>
      <c r="E77" s="370"/>
      <c r="F77" s="477"/>
      <c r="G77" s="939">
        <v>42705</v>
      </c>
    </row>
    <row r="78" spans="1:7" x14ac:dyDescent="0.25">
      <c r="A78" s="371" t="s">
        <v>2963</v>
      </c>
      <c r="B78" s="370" t="s">
        <v>3382</v>
      </c>
      <c r="C78" s="370"/>
      <c r="D78" s="370" t="s">
        <v>2213</v>
      </c>
      <c r="E78" s="370"/>
      <c r="F78" s="477"/>
      <c r="G78" s="939">
        <v>42705</v>
      </c>
    </row>
    <row r="79" spans="1:7" x14ac:dyDescent="0.25">
      <c r="A79" s="371" t="s">
        <v>2964</v>
      </c>
      <c r="B79" s="370" t="s">
        <v>3382</v>
      </c>
      <c r="C79" s="370"/>
      <c r="D79" s="370" t="s">
        <v>2214</v>
      </c>
      <c r="E79" s="370"/>
      <c r="F79" s="477"/>
      <c r="G79" s="939">
        <v>42705</v>
      </c>
    </row>
    <row r="80" spans="1:7" x14ac:dyDescent="0.25">
      <c r="A80" s="371" t="s">
        <v>2965</v>
      </c>
      <c r="B80" s="370" t="s">
        <v>3382</v>
      </c>
      <c r="C80" s="370"/>
      <c r="D80" s="370" t="s">
        <v>2215</v>
      </c>
      <c r="E80" s="370"/>
      <c r="F80" s="477"/>
      <c r="G80" s="939">
        <v>42705</v>
      </c>
    </row>
    <row r="81" spans="1:7" x14ac:dyDescent="0.25">
      <c r="A81" s="371" t="s">
        <v>2966</v>
      </c>
      <c r="B81" s="370" t="s">
        <v>3382</v>
      </c>
      <c r="C81" s="370"/>
      <c r="D81" s="370" t="s">
        <v>2216</v>
      </c>
      <c r="E81" s="370"/>
      <c r="F81" s="477"/>
      <c r="G81" s="939">
        <v>42705</v>
      </c>
    </row>
    <row r="82" spans="1:7" x14ac:dyDescent="0.25">
      <c r="A82" s="371" t="s">
        <v>2967</v>
      </c>
      <c r="B82" s="370" t="s">
        <v>3382</v>
      </c>
      <c r="C82" s="370"/>
      <c r="D82" s="370" t="s">
        <v>2217</v>
      </c>
      <c r="E82" s="370"/>
      <c r="F82" s="477"/>
      <c r="G82" s="939">
        <v>42705</v>
      </c>
    </row>
    <row r="83" spans="1:7" x14ac:dyDescent="0.25">
      <c r="A83" s="371" t="s">
        <v>2968</v>
      </c>
      <c r="B83" s="370" t="s">
        <v>3382</v>
      </c>
      <c r="C83" s="370"/>
      <c r="D83" s="370" t="s">
        <v>2218</v>
      </c>
      <c r="E83" s="370"/>
      <c r="F83" s="477"/>
      <c r="G83" s="939">
        <v>42705</v>
      </c>
    </row>
    <row r="84" spans="1:7" x14ac:dyDescent="0.25">
      <c r="A84" s="371" t="s">
        <v>2969</v>
      </c>
      <c r="B84" s="370" t="s">
        <v>3382</v>
      </c>
      <c r="C84" s="370"/>
      <c r="D84" s="370" t="s">
        <v>2219</v>
      </c>
      <c r="E84" s="370"/>
      <c r="F84" s="477"/>
      <c r="G84" s="939">
        <v>42705</v>
      </c>
    </row>
    <row r="85" spans="1:7" x14ac:dyDescent="0.25">
      <c r="A85" s="371" t="s">
        <v>2970</v>
      </c>
      <c r="B85" s="370" t="s">
        <v>3382</v>
      </c>
      <c r="C85" s="370"/>
      <c r="D85" s="370" t="s">
        <v>2220</v>
      </c>
      <c r="E85" s="370"/>
      <c r="F85" s="477"/>
      <c r="G85" s="939">
        <v>42705</v>
      </c>
    </row>
    <row r="86" spans="1:7" x14ac:dyDescent="0.25">
      <c r="A86" s="312"/>
      <c r="B86" s="313"/>
      <c r="C86" s="313"/>
      <c r="D86" s="313"/>
      <c r="E86" s="313"/>
      <c r="F86" s="476"/>
      <c r="G86" s="939" t="s">
        <v>4180</v>
      </c>
    </row>
    <row r="87" spans="1:7" x14ac:dyDescent="0.25">
      <c r="A87" s="371" t="s">
        <v>2971</v>
      </c>
      <c r="B87" s="370" t="s">
        <v>3390</v>
      </c>
      <c r="C87" s="370"/>
      <c r="D87" s="370" t="s">
        <v>2209</v>
      </c>
      <c r="E87" s="370"/>
      <c r="F87" s="477"/>
      <c r="G87" s="939">
        <v>42705</v>
      </c>
    </row>
    <row r="88" spans="1:7" x14ac:dyDescent="0.25">
      <c r="A88" s="371" t="s">
        <v>2972</v>
      </c>
      <c r="B88" s="370" t="s">
        <v>3390</v>
      </c>
      <c r="C88" s="370"/>
      <c r="D88" s="370" t="s">
        <v>2210</v>
      </c>
      <c r="E88" s="370"/>
      <c r="F88" s="477"/>
      <c r="G88" s="939">
        <v>42705</v>
      </c>
    </row>
    <row r="89" spans="1:7" x14ac:dyDescent="0.25">
      <c r="A89" s="371" t="s">
        <v>2973</v>
      </c>
      <c r="B89" s="370" t="s">
        <v>3390</v>
      </c>
      <c r="C89" s="370"/>
      <c r="D89" s="370" t="s">
        <v>2211</v>
      </c>
      <c r="E89" s="370"/>
      <c r="F89" s="477"/>
      <c r="G89" s="939">
        <v>42705</v>
      </c>
    </row>
    <row r="90" spans="1:7" x14ac:dyDescent="0.25">
      <c r="A90" s="371" t="s">
        <v>2974</v>
      </c>
      <c r="B90" s="370" t="s">
        <v>3390</v>
      </c>
      <c r="C90" s="370"/>
      <c r="D90" s="370" t="s">
        <v>2212</v>
      </c>
      <c r="E90" s="370"/>
      <c r="F90" s="477"/>
      <c r="G90" s="939">
        <v>42705</v>
      </c>
    </row>
    <row r="91" spans="1:7" x14ac:dyDescent="0.25">
      <c r="A91" s="371" t="s">
        <v>2975</v>
      </c>
      <c r="B91" s="370" t="s">
        <v>3390</v>
      </c>
      <c r="C91" s="370"/>
      <c r="D91" s="370" t="s">
        <v>2213</v>
      </c>
      <c r="E91" s="370"/>
      <c r="F91" s="477"/>
      <c r="G91" s="939">
        <v>42705</v>
      </c>
    </row>
    <row r="92" spans="1:7" x14ac:dyDescent="0.25">
      <c r="A92" s="371" t="s">
        <v>2976</v>
      </c>
      <c r="B92" s="370" t="s">
        <v>3390</v>
      </c>
      <c r="C92" s="370"/>
      <c r="D92" s="370" t="s">
        <v>2214</v>
      </c>
      <c r="E92" s="370"/>
      <c r="F92" s="477"/>
      <c r="G92" s="939">
        <v>42705</v>
      </c>
    </row>
    <row r="93" spans="1:7" x14ac:dyDescent="0.25">
      <c r="A93" s="371" t="s">
        <v>2977</v>
      </c>
      <c r="B93" s="370" t="s">
        <v>3390</v>
      </c>
      <c r="C93" s="370"/>
      <c r="D93" s="370" t="s">
        <v>2215</v>
      </c>
      <c r="E93" s="370"/>
      <c r="F93" s="477"/>
      <c r="G93" s="939">
        <v>42705</v>
      </c>
    </row>
    <row r="94" spans="1:7" x14ac:dyDescent="0.25">
      <c r="A94" s="371" t="s">
        <v>2978</v>
      </c>
      <c r="B94" s="370" t="s">
        <v>3390</v>
      </c>
      <c r="C94" s="370"/>
      <c r="D94" s="370" t="s">
        <v>2216</v>
      </c>
      <c r="E94" s="370"/>
      <c r="F94" s="477"/>
      <c r="G94" s="939">
        <v>42705</v>
      </c>
    </row>
    <row r="95" spans="1:7" x14ac:dyDescent="0.25">
      <c r="A95" s="371" t="s">
        <v>2979</v>
      </c>
      <c r="B95" s="370" t="s">
        <v>3390</v>
      </c>
      <c r="C95" s="370"/>
      <c r="D95" s="370" t="s">
        <v>2217</v>
      </c>
      <c r="E95" s="370"/>
      <c r="F95" s="477"/>
      <c r="G95" s="939">
        <v>42705</v>
      </c>
    </row>
    <row r="96" spans="1:7" x14ac:dyDescent="0.25">
      <c r="A96" s="371" t="s">
        <v>2980</v>
      </c>
      <c r="B96" s="370" t="s">
        <v>3390</v>
      </c>
      <c r="C96" s="370"/>
      <c r="D96" s="370" t="s">
        <v>2218</v>
      </c>
      <c r="E96" s="370"/>
      <c r="F96" s="477"/>
      <c r="G96" s="939">
        <v>42705</v>
      </c>
    </row>
    <row r="97" spans="1:7" x14ac:dyDescent="0.25">
      <c r="A97" s="371" t="s">
        <v>2981</v>
      </c>
      <c r="B97" s="370" t="s">
        <v>3390</v>
      </c>
      <c r="C97" s="370"/>
      <c r="D97" s="370" t="s">
        <v>2219</v>
      </c>
      <c r="E97" s="370"/>
      <c r="F97" s="477"/>
      <c r="G97" s="939">
        <v>42705</v>
      </c>
    </row>
    <row r="98" spans="1:7" x14ac:dyDescent="0.25">
      <c r="A98" s="371" t="s">
        <v>2982</v>
      </c>
      <c r="B98" s="370" t="s">
        <v>3390</v>
      </c>
      <c r="C98" s="370"/>
      <c r="D98" s="370" t="s">
        <v>2220</v>
      </c>
      <c r="E98" s="370"/>
      <c r="F98" s="477"/>
      <c r="G98" s="939">
        <v>42705</v>
      </c>
    </row>
    <row r="99" spans="1:7" x14ac:dyDescent="0.25">
      <c r="A99" s="312"/>
      <c r="B99" s="313"/>
      <c r="C99" s="313"/>
      <c r="D99" s="313"/>
      <c r="E99" s="313"/>
      <c r="F99" s="476"/>
      <c r="G99" s="939" t="s">
        <v>4180</v>
      </c>
    </row>
    <row r="100" spans="1:7" x14ac:dyDescent="0.25">
      <c r="A100" s="371" t="s">
        <v>2983</v>
      </c>
      <c r="B100" s="370" t="s">
        <v>740</v>
      </c>
      <c r="C100" s="370"/>
      <c r="D100" s="379" t="s">
        <v>2209</v>
      </c>
      <c r="E100" s="370"/>
      <c r="F100" s="477"/>
      <c r="G100" s="939">
        <v>42705</v>
      </c>
    </row>
    <row r="101" spans="1:7" x14ac:dyDescent="0.25">
      <c r="A101" s="371" t="s">
        <v>2984</v>
      </c>
      <c r="B101" s="370" t="s">
        <v>740</v>
      </c>
      <c r="C101" s="370"/>
      <c r="D101" s="370" t="s">
        <v>2210</v>
      </c>
      <c r="E101" s="370"/>
      <c r="F101" s="477"/>
      <c r="G101" s="939">
        <v>42705</v>
      </c>
    </row>
    <row r="102" spans="1:7" x14ac:dyDescent="0.25">
      <c r="A102" s="371" t="s">
        <v>2985</v>
      </c>
      <c r="B102" s="370" t="s">
        <v>740</v>
      </c>
      <c r="C102" s="370"/>
      <c r="D102" s="370" t="s">
        <v>2211</v>
      </c>
      <c r="E102" s="370"/>
      <c r="F102" s="477"/>
      <c r="G102" s="939">
        <v>42705</v>
      </c>
    </row>
    <row r="103" spans="1:7" x14ac:dyDescent="0.25">
      <c r="A103" s="371" t="s">
        <v>2986</v>
      </c>
      <c r="B103" s="370" t="s">
        <v>740</v>
      </c>
      <c r="C103" s="370"/>
      <c r="D103" s="370" t="s">
        <v>2212</v>
      </c>
      <c r="E103" s="370"/>
      <c r="F103" s="477"/>
      <c r="G103" s="939">
        <v>42705</v>
      </c>
    </row>
    <row r="104" spans="1:7" x14ac:dyDescent="0.25">
      <c r="A104" s="371" t="s">
        <v>2987</v>
      </c>
      <c r="B104" s="370" t="s">
        <v>740</v>
      </c>
      <c r="C104" s="370"/>
      <c r="D104" s="370" t="s">
        <v>2213</v>
      </c>
      <c r="E104" s="370"/>
      <c r="F104" s="477"/>
      <c r="G104" s="939">
        <v>42705</v>
      </c>
    </row>
    <row r="105" spans="1:7" x14ac:dyDescent="0.25">
      <c r="A105" s="371" t="s">
        <v>2988</v>
      </c>
      <c r="B105" s="370" t="s">
        <v>740</v>
      </c>
      <c r="C105" s="370"/>
      <c r="D105" s="370" t="s">
        <v>2214</v>
      </c>
      <c r="E105" s="370"/>
      <c r="F105" s="477"/>
      <c r="G105" s="939">
        <v>42705</v>
      </c>
    </row>
    <row r="106" spans="1:7" x14ac:dyDescent="0.25">
      <c r="A106" s="371" t="s">
        <v>2989</v>
      </c>
      <c r="B106" s="370" t="s">
        <v>740</v>
      </c>
      <c r="C106" s="370"/>
      <c r="D106" s="370" t="s">
        <v>2215</v>
      </c>
      <c r="E106" s="370"/>
      <c r="F106" s="477"/>
      <c r="G106" s="939">
        <v>42705</v>
      </c>
    </row>
    <row r="107" spans="1:7" x14ac:dyDescent="0.25">
      <c r="A107" s="371" t="s">
        <v>2990</v>
      </c>
      <c r="B107" s="370" t="s">
        <v>740</v>
      </c>
      <c r="C107" s="370"/>
      <c r="D107" s="370" t="s">
        <v>2216</v>
      </c>
      <c r="E107" s="370"/>
      <c r="F107" s="477"/>
      <c r="G107" s="939">
        <v>42705</v>
      </c>
    </row>
    <row r="108" spans="1:7" x14ac:dyDescent="0.25">
      <c r="A108" s="371" t="s">
        <v>2991</v>
      </c>
      <c r="B108" s="370" t="s">
        <v>740</v>
      </c>
      <c r="C108" s="370"/>
      <c r="D108" s="370" t="s">
        <v>2217</v>
      </c>
      <c r="E108" s="370"/>
      <c r="F108" s="477"/>
      <c r="G108" s="939">
        <v>42705</v>
      </c>
    </row>
    <row r="109" spans="1:7" x14ac:dyDescent="0.25">
      <c r="A109" s="371" t="s">
        <v>2992</v>
      </c>
      <c r="B109" s="370" t="s">
        <v>740</v>
      </c>
      <c r="C109" s="370"/>
      <c r="D109" s="370" t="s">
        <v>2218</v>
      </c>
      <c r="E109" s="370"/>
      <c r="F109" s="477"/>
      <c r="G109" s="939">
        <v>42705</v>
      </c>
    </row>
    <row r="110" spans="1:7" x14ac:dyDescent="0.25">
      <c r="A110" s="371" t="s">
        <v>2993</v>
      </c>
      <c r="B110" s="370" t="s">
        <v>740</v>
      </c>
      <c r="C110" s="370"/>
      <c r="D110" s="370" t="s">
        <v>2219</v>
      </c>
      <c r="E110" s="370"/>
      <c r="F110" s="477"/>
      <c r="G110" s="939">
        <v>42705</v>
      </c>
    </row>
    <row r="111" spans="1:7" x14ac:dyDescent="0.25">
      <c r="A111" s="371" t="s">
        <v>2994</v>
      </c>
      <c r="B111" s="370" t="s">
        <v>740</v>
      </c>
      <c r="C111" s="370"/>
      <c r="D111" s="370" t="s">
        <v>2220</v>
      </c>
      <c r="E111" s="370"/>
      <c r="F111" s="477"/>
      <c r="G111" s="939">
        <v>42705</v>
      </c>
    </row>
    <row r="112" spans="1:7" x14ac:dyDescent="0.25">
      <c r="A112" s="312"/>
      <c r="B112" s="313"/>
      <c r="C112" s="313"/>
      <c r="D112" s="313"/>
      <c r="E112" s="313"/>
      <c r="F112" s="476"/>
      <c r="G112" s="939" t="s">
        <v>4180</v>
      </c>
    </row>
    <row r="113" spans="1:17" x14ac:dyDescent="0.25">
      <c r="A113" s="371" t="s">
        <v>2995</v>
      </c>
      <c r="B113" s="370" t="s">
        <v>5435</v>
      </c>
      <c r="C113" s="370"/>
      <c r="D113" s="370" t="s">
        <v>2209</v>
      </c>
      <c r="E113" s="370"/>
      <c r="F113" s="477"/>
      <c r="G113" s="939">
        <v>42705</v>
      </c>
    </row>
    <row r="114" spans="1:17" x14ac:dyDescent="0.25">
      <c r="A114" s="371" t="s">
        <v>2996</v>
      </c>
      <c r="B114" s="370" t="s">
        <v>5435</v>
      </c>
      <c r="C114" s="370"/>
      <c r="D114" s="370" t="s">
        <v>2210</v>
      </c>
      <c r="E114" s="370"/>
      <c r="F114" s="477"/>
      <c r="G114" s="939">
        <v>42705</v>
      </c>
    </row>
    <row r="115" spans="1:17" x14ac:dyDescent="0.25">
      <c r="A115" s="371" t="s">
        <v>2997</v>
      </c>
      <c r="B115" s="370" t="s">
        <v>5435</v>
      </c>
      <c r="C115" s="370"/>
      <c r="D115" s="370" t="s">
        <v>2211</v>
      </c>
      <c r="E115" s="370"/>
      <c r="F115" s="477"/>
      <c r="G115" s="939">
        <v>42705</v>
      </c>
    </row>
    <row r="116" spans="1:17" x14ac:dyDescent="0.25">
      <c r="A116" s="371" t="s">
        <v>2998</v>
      </c>
      <c r="B116" s="370" t="s">
        <v>5435</v>
      </c>
      <c r="C116" s="370"/>
      <c r="D116" s="370" t="s">
        <v>2212</v>
      </c>
      <c r="E116" s="370"/>
      <c r="F116" s="477"/>
      <c r="G116" s="939">
        <v>42705</v>
      </c>
    </row>
    <row r="117" spans="1:17" x14ac:dyDescent="0.25">
      <c r="A117" s="371" t="s">
        <v>2999</v>
      </c>
      <c r="B117" s="370" t="s">
        <v>5435</v>
      </c>
      <c r="C117" s="370"/>
      <c r="D117" s="370" t="s">
        <v>2213</v>
      </c>
      <c r="E117" s="370"/>
      <c r="F117" s="477"/>
      <c r="G117" s="939">
        <v>42705</v>
      </c>
    </row>
    <row r="118" spans="1:17" x14ac:dyDescent="0.25">
      <c r="A118" s="371" t="s">
        <v>3000</v>
      </c>
      <c r="B118" s="370" t="s">
        <v>5435</v>
      </c>
      <c r="C118" s="370"/>
      <c r="D118" s="370" t="s">
        <v>2214</v>
      </c>
      <c r="E118" s="370"/>
      <c r="F118" s="477"/>
      <c r="G118" s="939">
        <v>42705</v>
      </c>
    </row>
    <row r="119" spans="1:17" x14ac:dyDescent="0.25">
      <c r="A119" s="371" t="s">
        <v>3001</v>
      </c>
      <c r="B119" s="370" t="s">
        <v>5435</v>
      </c>
      <c r="C119" s="370"/>
      <c r="D119" s="370" t="s">
        <v>2215</v>
      </c>
      <c r="E119" s="370"/>
      <c r="F119" s="477"/>
      <c r="G119" s="939">
        <v>42705</v>
      </c>
    </row>
    <row r="120" spans="1:17" x14ac:dyDescent="0.25">
      <c r="A120" s="371" t="s">
        <v>3002</v>
      </c>
      <c r="B120" s="370" t="s">
        <v>5435</v>
      </c>
      <c r="C120" s="370"/>
      <c r="D120" s="370" t="s">
        <v>2216</v>
      </c>
      <c r="E120" s="370"/>
      <c r="F120" s="477"/>
      <c r="G120" s="939">
        <v>42705</v>
      </c>
    </row>
    <row r="121" spans="1:17" x14ac:dyDescent="0.25">
      <c r="A121" s="371" t="s">
        <v>3003</v>
      </c>
      <c r="B121" s="370" t="s">
        <v>5435</v>
      </c>
      <c r="C121" s="370"/>
      <c r="D121" s="370" t="s">
        <v>2217</v>
      </c>
      <c r="E121" s="370"/>
      <c r="F121" s="477"/>
      <c r="G121" s="939">
        <v>42705</v>
      </c>
    </row>
    <row r="122" spans="1:17" x14ac:dyDescent="0.25">
      <c r="A122" s="371" t="s">
        <v>3004</v>
      </c>
      <c r="B122" s="370" t="s">
        <v>5435</v>
      </c>
      <c r="C122" s="370"/>
      <c r="D122" s="370" t="s">
        <v>2218</v>
      </c>
      <c r="E122" s="370"/>
      <c r="F122" s="477"/>
      <c r="G122" s="939">
        <v>42705</v>
      </c>
    </row>
    <row r="123" spans="1:17" x14ac:dyDescent="0.25">
      <c r="A123" s="371" t="s">
        <v>3005</v>
      </c>
      <c r="B123" s="370" t="s">
        <v>5435</v>
      </c>
      <c r="C123" s="370"/>
      <c r="D123" s="370" t="s">
        <v>2219</v>
      </c>
      <c r="E123" s="370"/>
      <c r="F123" s="477"/>
      <c r="G123" s="939">
        <v>42705</v>
      </c>
    </row>
    <row r="124" spans="1:17" x14ac:dyDescent="0.25">
      <c r="A124" s="371" t="s">
        <v>3006</v>
      </c>
      <c r="B124" s="370" t="s">
        <v>5435</v>
      </c>
      <c r="C124" s="370"/>
      <c r="D124" s="370" t="s">
        <v>2220</v>
      </c>
      <c r="E124" s="370"/>
      <c r="F124" s="477"/>
      <c r="G124" s="939">
        <v>42705</v>
      </c>
    </row>
    <row r="125" spans="1:17" x14ac:dyDescent="0.25">
      <c r="F125" s="471"/>
      <c r="G125" s="939" t="s">
        <v>4180</v>
      </c>
      <c r="L125" s="238"/>
      <c r="M125" s="238"/>
      <c r="N125" s="238"/>
      <c r="O125" s="238"/>
      <c r="P125" s="238"/>
      <c r="Q125" s="238"/>
    </row>
    <row r="126" spans="1:17" x14ac:dyDescent="0.25">
      <c r="A126" s="416" t="s">
        <v>648</v>
      </c>
      <c r="B126" s="417" t="s">
        <v>5435</v>
      </c>
      <c r="C126" s="417"/>
      <c r="D126" s="417" t="s">
        <v>31</v>
      </c>
      <c r="E126" s="417"/>
      <c r="F126" s="481"/>
      <c r="G126" s="939">
        <v>42705</v>
      </c>
    </row>
    <row r="127" spans="1:17" x14ac:dyDescent="0.25">
      <c r="A127" s="416" t="s">
        <v>655</v>
      </c>
      <c r="B127" s="417" t="s">
        <v>740</v>
      </c>
      <c r="C127" s="417"/>
      <c r="D127" s="417" t="s">
        <v>652</v>
      </c>
      <c r="E127" s="417"/>
      <c r="F127" s="481"/>
      <c r="G127" s="939">
        <v>42705</v>
      </c>
    </row>
    <row r="128" spans="1:17" x14ac:dyDescent="0.25">
      <c r="A128" s="416" t="s">
        <v>650</v>
      </c>
      <c r="B128" s="417" t="s">
        <v>5435</v>
      </c>
      <c r="C128" s="417"/>
      <c r="D128" s="417" t="s">
        <v>652</v>
      </c>
      <c r="E128" s="417"/>
      <c r="F128" s="481"/>
      <c r="G128" s="939">
        <v>42705</v>
      </c>
    </row>
    <row r="129" spans="1:14" x14ac:dyDescent="0.25">
      <c r="G129" s="939"/>
    </row>
    <row r="130" spans="1:14" ht="23.25" x14ac:dyDescent="0.35">
      <c r="A130" s="571" t="s">
        <v>3862</v>
      </c>
      <c r="B130" s="572"/>
      <c r="C130" s="572"/>
      <c r="D130" s="572"/>
      <c r="E130" s="572"/>
      <c r="F130" s="573"/>
      <c r="G130" s="938" t="s">
        <v>6027</v>
      </c>
      <c r="I130" s="238"/>
      <c r="J130" s="238"/>
      <c r="K130" s="238"/>
      <c r="L130" s="238"/>
      <c r="M130" s="238"/>
      <c r="N130" s="238"/>
    </row>
    <row r="131" spans="1:14" s="238" customFormat="1" ht="24" customHeight="1" x14ac:dyDescent="0.25">
      <c r="A131" s="1130" t="s">
        <v>3863</v>
      </c>
      <c r="B131" s="1130"/>
      <c r="C131" s="1130"/>
      <c r="D131" s="1130"/>
      <c r="E131" s="1130"/>
      <c r="F131" s="1130"/>
      <c r="G131" s="938" t="s">
        <v>6027</v>
      </c>
    </row>
    <row r="132" spans="1:14" s="238" customFormat="1" ht="24" customHeight="1" x14ac:dyDescent="0.25">
      <c r="A132" s="1183" t="s">
        <v>1374</v>
      </c>
      <c r="B132" s="1183"/>
      <c r="C132" s="1183"/>
      <c r="D132" s="1183"/>
      <c r="E132" s="1183"/>
      <c r="F132" s="1183"/>
      <c r="G132" s="938" t="s">
        <v>6027</v>
      </c>
      <c r="I132"/>
      <c r="J132"/>
      <c r="K132"/>
      <c r="L132"/>
      <c r="M132"/>
      <c r="N132"/>
    </row>
    <row r="133" spans="1:14" s="238" customFormat="1" ht="33" customHeight="1" x14ac:dyDescent="0.25">
      <c r="A133" s="1183" t="s">
        <v>3864</v>
      </c>
      <c r="B133" s="1183"/>
      <c r="C133" s="1183"/>
      <c r="D133" s="1183"/>
      <c r="E133" s="1183"/>
      <c r="F133" s="1183"/>
      <c r="G133" s="938" t="s">
        <v>6027</v>
      </c>
      <c r="I133"/>
      <c r="J133"/>
      <c r="K133"/>
      <c r="L133"/>
      <c r="M133"/>
      <c r="N133"/>
    </row>
    <row r="134" spans="1:14" s="238" customFormat="1" ht="24" customHeight="1" x14ac:dyDescent="0.25">
      <c r="A134" s="1182" t="s">
        <v>453</v>
      </c>
      <c r="B134" s="1183"/>
      <c r="C134" s="1183"/>
      <c r="D134" s="1183"/>
      <c r="E134" s="1183"/>
      <c r="F134" s="1183"/>
      <c r="G134" s="938" t="s">
        <v>6027</v>
      </c>
      <c r="I134"/>
      <c r="J134"/>
      <c r="K134"/>
      <c r="L134"/>
      <c r="M134"/>
      <c r="N134"/>
    </row>
    <row r="135" spans="1:14" x14ac:dyDescent="0.25">
      <c r="A135" s="92"/>
      <c r="B135" s="92"/>
      <c r="C135" s="92"/>
      <c r="D135" s="92"/>
      <c r="E135" s="92"/>
      <c r="F135" s="574"/>
      <c r="G135" s="938" t="s">
        <v>6027</v>
      </c>
    </row>
    <row r="136" spans="1:14" x14ac:dyDescent="0.25">
      <c r="A136" s="300" t="s">
        <v>3865</v>
      </c>
      <c r="B136" s="310" t="s">
        <v>2269</v>
      </c>
      <c r="C136" s="310"/>
      <c r="D136" s="310" t="s">
        <v>3866</v>
      </c>
      <c r="E136" s="310"/>
      <c r="F136" s="475">
        <v>0</v>
      </c>
      <c r="G136" s="938" t="s">
        <v>6027</v>
      </c>
    </row>
    <row r="137" spans="1:14" x14ac:dyDescent="0.25">
      <c r="A137" s="300" t="s">
        <v>3867</v>
      </c>
      <c r="B137" s="310" t="s">
        <v>5548</v>
      </c>
      <c r="C137" s="310"/>
      <c r="D137" s="310" t="s">
        <v>3866</v>
      </c>
      <c r="E137" s="310"/>
      <c r="F137" s="475">
        <v>0</v>
      </c>
      <c r="G137" s="938" t="s">
        <v>6027</v>
      </c>
    </row>
    <row r="138" spans="1:14" x14ac:dyDescent="0.25">
      <c r="A138" s="300" t="s">
        <v>3868</v>
      </c>
      <c r="B138" s="310" t="s">
        <v>4847</v>
      </c>
      <c r="C138" s="310"/>
      <c r="D138" s="310" t="s">
        <v>3866</v>
      </c>
      <c r="E138" s="310"/>
      <c r="F138" s="475">
        <v>0</v>
      </c>
      <c r="G138" s="938" t="s">
        <v>6027</v>
      </c>
    </row>
    <row r="139" spans="1:14" x14ac:dyDescent="0.25">
      <c r="A139" s="300" t="s">
        <v>3869</v>
      </c>
      <c r="B139" s="310" t="s">
        <v>5406</v>
      </c>
      <c r="C139" s="310"/>
      <c r="D139" s="310" t="s">
        <v>3866</v>
      </c>
      <c r="E139" s="310"/>
      <c r="F139" s="475">
        <v>0</v>
      </c>
      <c r="G139" s="938" t="s">
        <v>6027</v>
      </c>
    </row>
    <row r="140" spans="1:14" x14ac:dyDescent="0.25">
      <c r="A140" s="300" t="s">
        <v>3870</v>
      </c>
      <c r="B140" s="310" t="s">
        <v>5411</v>
      </c>
      <c r="C140" s="310"/>
      <c r="D140" s="310" t="s">
        <v>3866</v>
      </c>
      <c r="E140" s="310"/>
      <c r="F140" s="475">
        <v>0</v>
      </c>
      <c r="G140" s="938" t="s">
        <v>6027</v>
      </c>
    </row>
    <row r="141" spans="1:14" x14ac:dyDescent="0.25">
      <c r="A141" s="300" t="s">
        <v>3871</v>
      </c>
      <c r="B141" s="310" t="s">
        <v>5412</v>
      </c>
      <c r="C141" s="310"/>
      <c r="D141" s="310" t="s">
        <v>3866</v>
      </c>
      <c r="E141" s="310"/>
      <c r="F141" s="475">
        <v>0</v>
      </c>
      <c r="G141" s="938" t="s">
        <v>6027</v>
      </c>
    </row>
    <row r="142" spans="1:14" x14ac:dyDescent="0.25">
      <c r="A142" s="300" t="s">
        <v>3872</v>
      </c>
      <c r="B142" s="310" t="s">
        <v>2034</v>
      </c>
      <c r="C142" s="310"/>
      <c r="D142" s="310" t="s">
        <v>3866</v>
      </c>
      <c r="E142" s="310"/>
      <c r="F142" s="475">
        <v>0</v>
      </c>
      <c r="G142" s="938" t="s">
        <v>6027</v>
      </c>
    </row>
    <row r="143" spans="1:14" x14ac:dyDescent="0.25">
      <c r="A143" s="300" t="s">
        <v>3873</v>
      </c>
      <c r="B143" s="310" t="s">
        <v>2067</v>
      </c>
      <c r="C143" s="310"/>
      <c r="D143" s="310" t="s">
        <v>3866</v>
      </c>
      <c r="E143" s="310"/>
      <c r="F143" s="475">
        <v>0</v>
      </c>
      <c r="G143" s="938" t="s">
        <v>6027</v>
      </c>
    </row>
    <row r="144" spans="1:14" x14ac:dyDescent="0.25">
      <c r="A144" s="300" t="s">
        <v>3874</v>
      </c>
      <c r="B144" s="310" t="s">
        <v>3374</v>
      </c>
      <c r="C144" s="310"/>
      <c r="D144" s="310" t="s">
        <v>3866</v>
      </c>
      <c r="E144" s="310"/>
      <c r="F144" s="475">
        <v>0</v>
      </c>
      <c r="G144" s="938" t="s">
        <v>6027</v>
      </c>
    </row>
    <row r="145" spans="1:14" x14ac:dyDescent="0.25">
      <c r="A145" s="300" t="s">
        <v>3875</v>
      </c>
      <c r="B145" s="310" t="s">
        <v>3382</v>
      </c>
      <c r="C145" s="310"/>
      <c r="D145" s="310" t="s">
        <v>3866</v>
      </c>
      <c r="E145" s="310"/>
      <c r="F145" s="475">
        <v>0</v>
      </c>
      <c r="G145" s="938" t="s">
        <v>6027</v>
      </c>
    </row>
    <row r="146" spans="1:14" x14ac:dyDescent="0.25">
      <c r="A146" s="300" t="s">
        <v>3876</v>
      </c>
      <c r="B146" s="310" t="s">
        <v>3390</v>
      </c>
      <c r="C146" s="310"/>
      <c r="D146" s="310" t="s">
        <v>3866</v>
      </c>
      <c r="E146" s="310"/>
      <c r="F146" s="475">
        <v>0</v>
      </c>
      <c r="G146" s="938" t="s">
        <v>6027</v>
      </c>
    </row>
    <row r="147" spans="1:14" x14ac:dyDescent="0.25">
      <c r="A147" s="300" t="s">
        <v>3877</v>
      </c>
      <c r="B147" s="310" t="s">
        <v>740</v>
      </c>
      <c r="C147" s="310"/>
      <c r="D147" s="310" t="s">
        <v>3866</v>
      </c>
      <c r="E147" s="310"/>
      <c r="F147" s="475">
        <v>0</v>
      </c>
      <c r="G147" s="938" t="s">
        <v>6027</v>
      </c>
    </row>
    <row r="148" spans="1:14" x14ac:dyDescent="0.25">
      <c r="A148" s="300" t="s">
        <v>3878</v>
      </c>
      <c r="B148" s="310" t="s">
        <v>5435</v>
      </c>
      <c r="C148" s="310"/>
      <c r="D148" s="310" t="s">
        <v>3866</v>
      </c>
      <c r="E148" s="310"/>
      <c r="F148" s="475">
        <v>0</v>
      </c>
      <c r="G148" s="938" t="s">
        <v>6027</v>
      </c>
    </row>
    <row r="149" spans="1:14" x14ac:dyDescent="0.25">
      <c r="A149" s="92"/>
      <c r="B149" s="92"/>
      <c r="C149" s="92"/>
      <c r="D149" s="92"/>
      <c r="E149" s="92"/>
      <c r="F149" s="574"/>
      <c r="G149" s="938" t="s">
        <v>6027</v>
      </c>
      <c r="I149" s="238"/>
      <c r="J149" s="238"/>
      <c r="K149" s="238"/>
      <c r="L149" s="238"/>
      <c r="M149" s="238"/>
      <c r="N149" s="238"/>
    </row>
    <row r="150" spans="1:14" ht="23.25" x14ac:dyDescent="0.35">
      <c r="A150" s="576" t="s">
        <v>4256</v>
      </c>
      <c r="B150" s="91"/>
      <c r="C150" s="91"/>
      <c r="D150" s="91"/>
      <c r="E150" s="91"/>
      <c r="F150" s="577"/>
      <c r="G150" s="938" t="s">
        <v>6027</v>
      </c>
    </row>
    <row r="151" spans="1:14" s="238" customFormat="1" ht="22.5" customHeight="1" x14ac:dyDescent="0.25">
      <c r="A151" s="1130" t="s">
        <v>2583</v>
      </c>
      <c r="B151" s="1130"/>
      <c r="C151" s="1130"/>
      <c r="D151" s="1130"/>
      <c r="E151" s="1130"/>
      <c r="F151" s="1130"/>
      <c r="G151" s="938" t="s">
        <v>6027</v>
      </c>
    </row>
    <row r="152" spans="1:14" ht="45" customHeight="1" x14ac:dyDescent="0.25">
      <c r="A152" s="1130" t="s">
        <v>5396</v>
      </c>
      <c r="B152" s="1130"/>
      <c r="C152" s="1130"/>
      <c r="D152" s="1130"/>
      <c r="E152" s="1130"/>
      <c r="F152" s="1130"/>
      <c r="G152" s="938" t="s">
        <v>6027</v>
      </c>
    </row>
    <row r="153" spans="1:14" s="238" customFormat="1" ht="33" customHeight="1" x14ac:dyDescent="0.25">
      <c r="A153" s="1130" t="s">
        <v>2585</v>
      </c>
      <c r="B153" s="1130"/>
      <c r="C153" s="1130"/>
      <c r="D153" s="1130"/>
      <c r="E153" s="1130"/>
      <c r="F153" s="1130"/>
      <c r="G153" s="938" t="s">
        <v>6027</v>
      </c>
      <c r="I153"/>
      <c r="J153"/>
      <c r="K153"/>
      <c r="L153"/>
      <c r="M153"/>
      <c r="N153"/>
    </row>
    <row r="154" spans="1:14" s="238" customFormat="1" ht="33" customHeight="1" x14ac:dyDescent="0.25">
      <c r="A154" s="1183" t="s">
        <v>454</v>
      </c>
      <c r="B154" s="1183"/>
      <c r="C154" s="1183"/>
      <c r="D154" s="1183"/>
      <c r="E154" s="1183"/>
      <c r="F154" s="1183"/>
      <c r="G154" s="938" t="s">
        <v>6027</v>
      </c>
      <c r="I154"/>
      <c r="J154"/>
      <c r="K154"/>
      <c r="L154"/>
      <c r="M154"/>
      <c r="N154"/>
    </row>
    <row r="155" spans="1:14" x14ac:dyDescent="0.25">
      <c r="A155" s="92"/>
      <c r="B155" s="92"/>
      <c r="C155" s="92"/>
      <c r="D155" s="92"/>
      <c r="E155" s="92"/>
      <c r="F155" s="574"/>
      <c r="G155" s="938" t="s">
        <v>6027</v>
      </c>
    </row>
    <row r="156" spans="1:14" x14ac:dyDescent="0.25">
      <c r="A156" s="578" t="s">
        <v>4257</v>
      </c>
      <c r="B156" s="579" t="s">
        <v>5548</v>
      </c>
      <c r="C156" s="579"/>
      <c r="D156" s="579" t="s">
        <v>4259</v>
      </c>
      <c r="E156" s="579"/>
      <c r="F156" s="575"/>
      <c r="G156" s="938" t="s">
        <v>6027</v>
      </c>
    </row>
    <row r="157" spans="1:14" x14ac:dyDescent="0.25">
      <c r="A157" s="578" t="s">
        <v>4258</v>
      </c>
      <c r="B157" s="579" t="s">
        <v>5548</v>
      </c>
      <c r="C157" s="579"/>
      <c r="D157" s="579" t="s">
        <v>4260</v>
      </c>
      <c r="E157" s="579"/>
      <c r="F157" s="575"/>
      <c r="G157" s="938" t="s">
        <v>6027</v>
      </c>
    </row>
    <row r="158" spans="1:14" x14ac:dyDescent="0.25">
      <c r="A158" s="92"/>
      <c r="B158" s="92"/>
      <c r="C158" s="92"/>
      <c r="D158" s="92"/>
      <c r="E158" s="92"/>
      <c r="F158" s="574"/>
      <c r="G158" s="938" t="s">
        <v>6027</v>
      </c>
      <c r="I158" s="238"/>
      <c r="J158" s="238"/>
      <c r="K158" s="238"/>
      <c r="L158" s="238"/>
      <c r="M158" s="238"/>
      <c r="N158" s="238"/>
    </row>
    <row r="159" spans="1:14" s="259" customFormat="1" ht="36" customHeight="1" x14ac:dyDescent="0.25">
      <c r="A159" s="604" t="s">
        <v>4274</v>
      </c>
      <c r="B159" s="605"/>
      <c r="C159" s="605"/>
      <c r="D159" s="605"/>
      <c r="E159" s="605"/>
      <c r="F159" s="606"/>
      <c r="G159" s="938" t="s">
        <v>6027</v>
      </c>
    </row>
    <row r="160" spans="1:14" s="238" customFormat="1" ht="42" customHeight="1" x14ac:dyDescent="0.25">
      <c r="A160" s="1183" t="s">
        <v>455</v>
      </c>
      <c r="B160" s="1183"/>
      <c r="C160" s="1183"/>
      <c r="D160" s="1183"/>
      <c r="E160" s="1183"/>
      <c r="F160" s="1183"/>
      <c r="G160" s="938" t="s">
        <v>6027</v>
      </c>
      <c r="I160"/>
      <c r="J160"/>
      <c r="K160"/>
      <c r="L160"/>
      <c r="M160"/>
      <c r="N160"/>
    </row>
    <row r="161" spans="1:14" x14ac:dyDescent="0.25">
      <c r="A161" s="92"/>
      <c r="B161" s="92"/>
      <c r="C161" s="92"/>
      <c r="D161" s="92"/>
      <c r="E161" s="92"/>
      <c r="F161" s="574"/>
      <c r="G161" s="938" t="s">
        <v>6027</v>
      </c>
      <c r="I161" s="238"/>
      <c r="J161" s="238"/>
      <c r="K161" s="238"/>
      <c r="L161" s="238"/>
      <c r="M161" s="238"/>
      <c r="N161" s="238"/>
    </row>
    <row r="162" spans="1:14" s="238" customFormat="1" ht="57" customHeight="1" x14ac:dyDescent="0.25">
      <c r="A162" s="1184" t="s">
        <v>0</v>
      </c>
      <c r="B162" s="1185"/>
      <c r="C162" s="1185"/>
      <c r="D162" s="1185"/>
      <c r="E162" s="1185"/>
      <c r="F162" s="1185"/>
      <c r="G162" s="938" t="s">
        <v>6027</v>
      </c>
      <c r="I162"/>
      <c r="J162"/>
      <c r="K162"/>
      <c r="L162"/>
      <c r="M162"/>
      <c r="N162"/>
    </row>
    <row r="163" spans="1:14" x14ac:dyDescent="0.25">
      <c r="A163" s="50"/>
      <c r="B163" s="55"/>
      <c r="C163" s="55"/>
      <c r="D163" s="55"/>
      <c r="E163" s="55"/>
      <c r="F163" s="580"/>
      <c r="G163" s="938" t="s">
        <v>6027</v>
      </c>
    </row>
    <row r="164" spans="1:14" x14ac:dyDescent="0.25">
      <c r="A164" s="581" t="s">
        <v>2623</v>
      </c>
      <c r="B164" s="582" t="s">
        <v>740</v>
      </c>
      <c r="C164" s="582"/>
      <c r="D164" s="582" t="s">
        <v>2551</v>
      </c>
      <c r="E164" s="582"/>
      <c r="F164" s="583"/>
      <c r="G164" s="938" t="s">
        <v>6027</v>
      </c>
    </row>
    <row r="165" spans="1:14" x14ac:dyDescent="0.25">
      <c r="A165" s="581" t="s">
        <v>2624</v>
      </c>
      <c r="B165" s="582" t="s">
        <v>5435</v>
      </c>
      <c r="C165" s="582"/>
      <c r="D165" s="582" t="s">
        <v>2551</v>
      </c>
      <c r="E165" s="582"/>
      <c r="F165" s="583"/>
      <c r="G165" s="938" t="s">
        <v>6027</v>
      </c>
      <c r="I165" s="238"/>
      <c r="J165" s="238"/>
      <c r="K165" s="238"/>
      <c r="L165" s="238"/>
      <c r="M165" s="238"/>
      <c r="N165" s="238"/>
    </row>
    <row r="166" spans="1:14" x14ac:dyDescent="0.25">
      <c r="A166" s="584" t="s">
        <v>3084</v>
      </c>
      <c r="B166" s="585" t="s">
        <v>5435</v>
      </c>
      <c r="C166" s="585"/>
      <c r="D166" s="585" t="s">
        <v>3085</v>
      </c>
      <c r="E166" s="585" t="s">
        <v>1053</v>
      </c>
      <c r="F166" s="586">
        <v>0</v>
      </c>
      <c r="G166" s="938" t="s">
        <v>6027</v>
      </c>
      <c r="I166" s="238"/>
      <c r="J166" s="238"/>
      <c r="K166" s="238"/>
      <c r="L166" s="238"/>
      <c r="M166" s="238"/>
      <c r="N166" s="238"/>
    </row>
    <row r="167" spans="1:14" x14ac:dyDescent="0.25">
      <c r="A167" s="50"/>
      <c r="B167" s="55"/>
      <c r="C167" s="55"/>
      <c r="D167" s="55"/>
      <c r="E167" s="55"/>
      <c r="F167" s="580"/>
      <c r="G167" s="938" t="s">
        <v>6027</v>
      </c>
    </row>
    <row r="168" spans="1:14" s="238" customFormat="1" ht="47.25" customHeight="1" x14ac:dyDescent="0.25">
      <c r="A168" s="1184" t="s">
        <v>1</v>
      </c>
      <c r="B168" s="1185"/>
      <c r="C168" s="1185"/>
      <c r="D168" s="1185"/>
      <c r="E168" s="1185"/>
      <c r="F168" s="1185"/>
      <c r="G168" s="938" t="s">
        <v>6027</v>
      </c>
      <c r="I168"/>
      <c r="J168"/>
      <c r="K168"/>
      <c r="L168"/>
      <c r="M168"/>
      <c r="N168"/>
    </row>
    <row r="169" spans="1:14" x14ac:dyDescent="0.25">
      <c r="A169" s="50"/>
      <c r="B169" s="55"/>
      <c r="C169" s="55"/>
      <c r="D169" s="55"/>
      <c r="E169" s="55"/>
      <c r="F169" s="580"/>
      <c r="G169" s="938" t="s">
        <v>6027</v>
      </c>
    </row>
    <row r="170" spans="1:14" x14ac:dyDescent="0.25">
      <c r="A170" s="578" t="s">
        <v>2625</v>
      </c>
      <c r="B170" s="579" t="s">
        <v>2269</v>
      </c>
      <c r="C170" s="579"/>
      <c r="D170" s="579" t="s">
        <v>2552</v>
      </c>
      <c r="E170" s="579"/>
      <c r="F170" s="575"/>
      <c r="G170" s="938" t="s">
        <v>6027</v>
      </c>
    </row>
    <row r="171" spans="1:14" x14ac:dyDescent="0.25">
      <c r="A171" s="578" t="s">
        <v>2626</v>
      </c>
      <c r="B171" s="579" t="s">
        <v>5548</v>
      </c>
      <c r="C171" s="579"/>
      <c r="D171" s="579" t="s">
        <v>2552</v>
      </c>
      <c r="E171" s="579"/>
      <c r="F171" s="575"/>
      <c r="G171" s="938" t="s">
        <v>6027</v>
      </c>
    </row>
    <row r="172" spans="1:14" x14ac:dyDescent="0.25">
      <c r="A172" s="578" t="s">
        <v>2627</v>
      </c>
      <c r="B172" s="579" t="s">
        <v>4847</v>
      </c>
      <c r="C172" s="579"/>
      <c r="D172" s="579" t="s">
        <v>2552</v>
      </c>
      <c r="E172" s="579"/>
      <c r="F172" s="575"/>
      <c r="G172" s="938" t="s">
        <v>6027</v>
      </c>
    </row>
    <row r="173" spans="1:14" x14ac:dyDescent="0.25">
      <c r="A173" s="578" t="s">
        <v>2628</v>
      </c>
      <c r="B173" s="579" t="s">
        <v>5406</v>
      </c>
      <c r="C173" s="579"/>
      <c r="D173" s="579" t="s">
        <v>2552</v>
      </c>
      <c r="E173" s="579"/>
      <c r="F173" s="575"/>
      <c r="G173" s="938" t="s">
        <v>6027</v>
      </c>
    </row>
    <row r="174" spans="1:14" x14ac:dyDescent="0.25">
      <c r="A174" s="578" t="s">
        <v>2629</v>
      </c>
      <c r="B174" s="579" t="s">
        <v>5411</v>
      </c>
      <c r="C174" s="579"/>
      <c r="D174" s="579" t="s">
        <v>2552</v>
      </c>
      <c r="E174" s="579"/>
      <c r="F174" s="575"/>
      <c r="G174" s="938" t="s">
        <v>6027</v>
      </c>
    </row>
    <row r="175" spans="1:14" x14ac:dyDescent="0.25">
      <c r="A175" s="578" t="s">
        <v>2630</v>
      </c>
      <c r="B175" s="579" t="s">
        <v>5412</v>
      </c>
      <c r="C175" s="579"/>
      <c r="D175" s="579" t="s">
        <v>2552</v>
      </c>
      <c r="E175" s="579"/>
      <c r="F175" s="575"/>
      <c r="G175" s="938" t="s">
        <v>6027</v>
      </c>
    </row>
    <row r="176" spans="1:14" x14ac:dyDescent="0.25">
      <c r="A176" s="578" t="s">
        <v>2631</v>
      </c>
      <c r="B176" s="579" t="s">
        <v>2034</v>
      </c>
      <c r="C176" s="579"/>
      <c r="D176" s="579" t="s">
        <v>2552</v>
      </c>
      <c r="E176" s="579"/>
      <c r="F176" s="575"/>
      <c r="G176" s="938" t="s">
        <v>6027</v>
      </c>
    </row>
    <row r="177" spans="1:14" x14ac:dyDescent="0.25">
      <c r="A177" s="578" t="s">
        <v>2632</v>
      </c>
      <c r="B177" s="579" t="s">
        <v>2067</v>
      </c>
      <c r="C177" s="579"/>
      <c r="D177" s="579" t="s">
        <v>2552</v>
      </c>
      <c r="E177" s="579"/>
      <c r="F177" s="575"/>
      <c r="G177" s="938" t="s">
        <v>6027</v>
      </c>
    </row>
    <row r="178" spans="1:14" x14ac:dyDescent="0.25">
      <c r="A178" s="578" t="s">
        <v>2633</v>
      </c>
      <c r="B178" s="579" t="s">
        <v>3374</v>
      </c>
      <c r="C178" s="579"/>
      <c r="D178" s="579" t="s">
        <v>2552</v>
      </c>
      <c r="E178" s="579"/>
      <c r="F178" s="575"/>
      <c r="G178" s="938" t="s">
        <v>6027</v>
      </c>
    </row>
    <row r="179" spans="1:14" x14ac:dyDescent="0.25">
      <c r="A179" s="578" t="s">
        <v>2634</v>
      </c>
      <c r="B179" s="579" t="s">
        <v>3382</v>
      </c>
      <c r="C179" s="579"/>
      <c r="D179" s="579" t="s">
        <v>2552</v>
      </c>
      <c r="E179" s="579"/>
      <c r="F179" s="575"/>
      <c r="G179" s="938" t="s">
        <v>6027</v>
      </c>
    </row>
    <row r="180" spans="1:14" x14ac:dyDescent="0.25">
      <c r="A180" s="578" t="s">
        <v>2635</v>
      </c>
      <c r="B180" s="579" t="s">
        <v>3390</v>
      </c>
      <c r="C180" s="579"/>
      <c r="D180" s="579" t="s">
        <v>2552</v>
      </c>
      <c r="E180" s="579"/>
      <c r="F180" s="575"/>
      <c r="G180" s="938" t="s">
        <v>6027</v>
      </c>
    </row>
    <row r="181" spans="1:14" x14ac:dyDescent="0.25">
      <c r="A181" s="578" t="s">
        <v>2636</v>
      </c>
      <c r="B181" s="579" t="s">
        <v>740</v>
      </c>
      <c r="C181" s="579"/>
      <c r="D181" s="579" t="s">
        <v>2552</v>
      </c>
      <c r="E181" s="579"/>
      <c r="F181" s="575"/>
      <c r="G181" s="938" t="s">
        <v>6027</v>
      </c>
    </row>
    <row r="182" spans="1:14" x14ac:dyDescent="0.25">
      <c r="A182" s="578" t="s">
        <v>2637</v>
      </c>
      <c r="B182" s="579" t="s">
        <v>5435</v>
      </c>
      <c r="C182" s="579"/>
      <c r="D182" s="579" t="s">
        <v>2552</v>
      </c>
      <c r="E182" s="579"/>
      <c r="F182" s="575"/>
      <c r="G182" s="938" t="s">
        <v>6027</v>
      </c>
      <c r="I182" s="238"/>
      <c r="J182" s="238"/>
      <c r="K182" s="238"/>
      <c r="L182" s="238"/>
      <c r="M182" s="238"/>
      <c r="N182" s="238"/>
    </row>
    <row r="183" spans="1:14" x14ac:dyDescent="0.25">
      <c r="A183" s="50"/>
      <c r="B183" s="55"/>
      <c r="C183" s="55"/>
      <c r="D183" s="55"/>
      <c r="E183" s="55"/>
      <c r="F183" s="580"/>
      <c r="G183" s="938" t="s">
        <v>6027</v>
      </c>
    </row>
    <row r="184" spans="1:14" s="238" customFormat="1" ht="78.75" customHeight="1" x14ac:dyDescent="0.25">
      <c r="A184" s="1184" t="s">
        <v>2</v>
      </c>
      <c r="B184" s="1185"/>
      <c r="C184" s="1185"/>
      <c r="D184" s="1185"/>
      <c r="E184" s="1185"/>
      <c r="F184" s="1185"/>
      <c r="G184" s="938" t="s">
        <v>6027</v>
      </c>
      <c r="I184"/>
      <c r="J184"/>
      <c r="K184"/>
      <c r="L184"/>
      <c r="M184"/>
      <c r="N184"/>
    </row>
    <row r="185" spans="1:14" x14ac:dyDescent="0.25">
      <c r="A185" s="50"/>
      <c r="B185" s="55"/>
      <c r="C185" s="55"/>
      <c r="D185" s="55"/>
      <c r="E185" s="55"/>
      <c r="F185" s="580"/>
      <c r="G185" s="938" t="s">
        <v>6027</v>
      </c>
    </row>
    <row r="186" spans="1:14" x14ac:dyDescent="0.25">
      <c r="A186" s="578" t="s">
        <v>2638</v>
      </c>
      <c r="B186" s="579" t="s">
        <v>2269</v>
      </c>
      <c r="C186" s="579"/>
      <c r="D186" s="579" t="s">
        <v>2584</v>
      </c>
      <c r="E186" s="579"/>
      <c r="F186" s="575"/>
      <c r="G186" s="938" t="s">
        <v>6027</v>
      </c>
    </row>
    <row r="187" spans="1:14" x14ac:dyDescent="0.25">
      <c r="A187" s="578" t="s">
        <v>2639</v>
      </c>
      <c r="B187" s="579" t="s">
        <v>5548</v>
      </c>
      <c r="C187" s="579"/>
      <c r="D187" s="579" t="s">
        <v>2584</v>
      </c>
      <c r="E187" s="579"/>
      <c r="F187" s="575"/>
      <c r="G187" s="938" t="s">
        <v>6027</v>
      </c>
    </row>
    <row r="188" spans="1:14" x14ac:dyDescent="0.25">
      <c r="A188" s="578" t="s">
        <v>2640</v>
      </c>
      <c r="B188" s="579" t="s">
        <v>4847</v>
      </c>
      <c r="C188" s="579"/>
      <c r="D188" s="579" t="s">
        <v>2584</v>
      </c>
      <c r="E188" s="579"/>
      <c r="F188" s="575"/>
      <c r="G188" s="938" t="s">
        <v>6027</v>
      </c>
    </row>
    <row r="189" spans="1:14" x14ac:dyDescent="0.25">
      <c r="A189" s="578" t="s">
        <v>2641</v>
      </c>
      <c r="B189" s="579" t="s">
        <v>5406</v>
      </c>
      <c r="C189" s="579"/>
      <c r="D189" s="579" t="s">
        <v>2584</v>
      </c>
      <c r="E189" s="579"/>
      <c r="F189" s="575"/>
      <c r="G189" s="938" t="s">
        <v>6027</v>
      </c>
    </row>
    <row r="190" spans="1:14" x14ac:dyDescent="0.25">
      <c r="A190" s="578" t="s">
        <v>2642</v>
      </c>
      <c r="B190" s="579" t="s">
        <v>5411</v>
      </c>
      <c r="C190" s="579"/>
      <c r="D190" s="579" t="s">
        <v>2584</v>
      </c>
      <c r="E190" s="579"/>
      <c r="F190" s="575"/>
      <c r="G190" s="938" t="s">
        <v>6027</v>
      </c>
    </row>
    <row r="191" spans="1:14" x14ac:dyDescent="0.25">
      <c r="A191" s="578" t="s">
        <v>2643</v>
      </c>
      <c r="B191" s="579" t="s">
        <v>5412</v>
      </c>
      <c r="C191" s="579"/>
      <c r="D191" s="579" t="s">
        <v>2584</v>
      </c>
      <c r="E191" s="579"/>
      <c r="F191" s="575"/>
      <c r="G191" s="938" t="s">
        <v>6027</v>
      </c>
    </row>
    <row r="192" spans="1:14" x14ac:dyDescent="0.25">
      <c r="A192" s="578" t="s">
        <v>2644</v>
      </c>
      <c r="B192" s="579" t="s">
        <v>2034</v>
      </c>
      <c r="C192" s="579"/>
      <c r="D192" s="579" t="s">
        <v>2584</v>
      </c>
      <c r="E192" s="579"/>
      <c r="F192" s="575"/>
      <c r="G192" s="938" t="s">
        <v>6027</v>
      </c>
    </row>
    <row r="193" spans="1:14" x14ac:dyDescent="0.25">
      <c r="A193" s="578" t="s">
        <v>2645</v>
      </c>
      <c r="B193" s="579" t="s">
        <v>2067</v>
      </c>
      <c r="C193" s="579"/>
      <c r="D193" s="579" t="s">
        <v>2584</v>
      </c>
      <c r="E193" s="579"/>
      <c r="F193" s="575"/>
      <c r="G193" s="938" t="s">
        <v>6027</v>
      </c>
    </row>
    <row r="194" spans="1:14" x14ac:dyDescent="0.25">
      <c r="A194" s="578" t="s">
        <v>2504</v>
      </c>
      <c r="B194" s="579" t="s">
        <v>3374</v>
      </c>
      <c r="C194" s="579"/>
      <c r="D194" s="579" t="s">
        <v>2584</v>
      </c>
      <c r="E194" s="579"/>
      <c r="F194" s="575"/>
      <c r="G194" s="938" t="s">
        <v>6027</v>
      </c>
    </row>
    <row r="195" spans="1:14" x14ac:dyDescent="0.25">
      <c r="A195" s="578" t="s">
        <v>2505</v>
      </c>
      <c r="B195" s="579" t="s">
        <v>3382</v>
      </c>
      <c r="C195" s="579"/>
      <c r="D195" s="579" t="s">
        <v>2584</v>
      </c>
      <c r="E195" s="579"/>
      <c r="F195" s="575"/>
      <c r="G195" s="938" t="s">
        <v>6027</v>
      </c>
    </row>
    <row r="196" spans="1:14" x14ac:dyDescent="0.25">
      <c r="A196" s="578" t="s">
        <v>2506</v>
      </c>
      <c r="B196" s="579" t="s">
        <v>3390</v>
      </c>
      <c r="C196" s="579"/>
      <c r="D196" s="579" t="s">
        <v>2584</v>
      </c>
      <c r="E196" s="579"/>
      <c r="F196" s="575"/>
      <c r="G196" s="938" t="s">
        <v>6027</v>
      </c>
    </row>
    <row r="197" spans="1:14" x14ac:dyDescent="0.25">
      <c r="A197" s="578" t="s">
        <v>2507</v>
      </c>
      <c r="B197" s="579" t="s">
        <v>740</v>
      </c>
      <c r="C197" s="579"/>
      <c r="D197" s="579" t="s">
        <v>2584</v>
      </c>
      <c r="E197" s="579"/>
      <c r="F197" s="575"/>
      <c r="G197" s="938" t="s">
        <v>6027</v>
      </c>
    </row>
    <row r="198" spans="1:14" x14ac:dyDescent="0.25">
      <c r="A198" s="578" t="s">
        <v>2508</v>
      </c>
      <c r="B198" s="579" t="s">
        <v>5435</v>
      </c>
      <c r="C198" s="579"/>
      <c r="D198" s="579" t="s">
        <v>2584</v>
      </c>
      <c r="E198" s="579"/>
      <c r="F198" s="575"/>
      <c r="G198" s="938" t="s">
        <v>6027</v>
      </c>
      <c r="I198" s="238"/>
      <c r="J198" s="238"/>
      <c r="K198" s="238"/>
      <c r="L198" s="238"/>
      <c r="M198" s="238"/>
      <c r="N198" s="238"/>
    </row>
    <row r="199" spans="1:14" x14ac:dyDescent="0.25">
      <c r="A199" s="584" t="s">
        <v>3083</v>
      </c>
      <c r="B199" s="585" t="s">
        <v>5435</v>
      </c>
      <c r="C199" s="585"/>
      <c r="D199" s="585" t="s">
        <v>3082</v>
      </c>
      <c r="E199" s="585" t="s">
        <v>1053</v>
      </c>
      <c r="F199" s="586">
        <v>0</v>
      </c>
      <c r="G199" s="938" t="s">
        <v>6027</v>
      </c>
      <c r="I199" s="238"/>
      <c r="J199" s="238"/>
      <c r="K199" s="238"/>
      <c r="L199" s="238"/>
      <c r="M199" s="238"/>
      <c r="N199" s="238"/>
    </row>
    <row r="200" spans="1:14" x14ac:dyDescent="0.25">
      <c r="A200" s="50"/>
      <c r="B200" s="55"/>
      <c r="C200" s="55"/>
      <c r="D200" s="55"/>
      <c r="E200" s="55"/>
      <c r="F200" s="580"/>
      <c r="G200" s="938" t="s">
        <v>6027</v>
      </c>
    </row>
    <row r="201" spans="1:14" s="238" customFormat="1" ht="63" customHeight="1" x14ac:dyDescent="0.25">
      <c r="A201" s="1184" t="s">
        <v>32</v>
      </c>
      <c r="B201" s="1185"/>
      <c r="C201" s="1185"/>
      <c r="D201" s="1185"/>
      <c r="E201" s="1185"/>
      <c r="F201" s="1185"/>
      <c r="G201" s="938" t="s">
        <v>6027</v>
      </c>
      <c r="I201"/>
      <c r="J201"/>
      <c r="K201"/>
      <c r="L201"/>
      <c r="M201"/>
      <c r="N201"/>
    </row>
    <row r="202" spans="1:14" x14ac:dyDescent="0.25">
      <c r="A202" s="50"/>
      <c r="B202" s="55"/>
      <c r="C202" s="55"/>
      <c r="D202" s="55"/>
      <c r="E202" s="55"/>
      <c r="F202" s="580"/>
      <c r="G202" s="938" t="s">
        <v>6027</v>
      </c>
    </row>
    <row r="203" spans="1:14" x14ac:dyDescent="0.25">
      <c r="A203" s="587" t="s">
        <v>2509</v>
      </c>
      <c r="B203" s="588" t="s">
        <v>2269</v>
      </c>
      <c r="C203" s="588"/>
      <c r="D203" s="588" t="s">
        <v>2553</v>
      </c>
      <c r="E203" s="588"/>
      <c r="F203" s="589"/>
      <c r="G203" s="938" t="s">
        <v>6027</v>
      </c>
    </row>
    <row r="204" spans="1:14" x14ac:dyDescent="0.25">
      <c r="A204" s="587" t="s">
        <v>2510</v>
      </c>
      <c r="B204" s="588" t="s">
        <v>5548</v>
      </c>
      <c r="C204" s="588"/>
      <c r="D204" s="588" t="s">
        <v>2553</v>
      </c>
      <c r="E204" s="588"/>
      <c r="F204" s="589"/>
      <c r="G204" s="938" t="s">
        <v>6027</v>
      </c>
    </row>
    <row r="205" spans="1:14" x14ac:dyDescent="0.25">
      <c r="A205" s="587" t="s">
        <v>2511</v>
      </c>
      <c r="B205" s="588" t="s">
        <v>4847</v>
      </c>
      <c r="C205" s="588"/>
      <c r="D205" s="588" t="s">
        <v>2553</v>
      </c>
      <c r="E205" s="588"/>
      <c r="F205" s="589"/>
      <c r="G205" s="938" t="s">
        <v>6027</v>
      </c>
    </row>
    <row r="206" spans="1:14" x14ac:dyDescent="0.25">
      <c r="A206" s="587" t="s">
        <v>2512</v>
      </c>
      <c r="B206" s="588" t="s">
        <v>5406</v>
      </c>
      <c r="C206" s="588"/>
      <c r="D206" s="588" t="s">
        <v>2553</v>
      </c>
      <c r="E206" s="588"/>
      <c r="F206" s="589"/>
      <c r="G206" s="938" t="s">
        <v>6027</v>
      </c>
    </row>
    <row r="207" spans="1:14" x14ac:dyDescent="0.25">
      <c r="A207" s="587" t="s">
        <v>2513</v>
      </c>
      <c r="B207" s="588" t="s">
        <v>5411</v>
      </c>
      <c r="C207" s="588"/>
      <c r="D207" s="588" t="s">
        <v>2553</v>
      </c>
      <c r="E207" s="588"/>
      <c r="F207" s="589"/>
      <c r="G207" s="938" t="s">
        <v>6027</v>
      </c>
    </row>
    <row r="208" spans="1:14" x14ac:dyDescent="0.25">
      <c r="A208" s="587" t="s">
        <v>2514</v>
      </c>
      <c r="B208" s="588" t="s">
        <v>5412</v>
      </c>
      <c r="C208" s="588"/>
      <c r="D208" s="588" t="s">
        <v>2553</v>
      </c>
      <c r="E208" s="588"/>
      <c r="F208" s="589"/>
      <c r="G208" s="938" t="s">
        <v>6027</v>
      </c>
    </row>
    <row r="209" spans="1:14" x14ac:dyDescent="0.25">
      <c r="A209" s="587" t="s">
        <v>2515</v>
      </c>
      <c r="B209" s="588" t="s">
        <v>2034</v>
      </c>
      <c r="C209" s="588"/>
      <c r="D209" s="588" t="s">
        <v>2553</v>
      </c>
      <c r="E209" s="588"/>
      <c r="F209" s="589"/>
      <c r="G209" s="938" t="s">
        <v>6027</v>
      </c>
    </row>
    <row r="210" spans="1:14" x14ac:dyDescent="0.25">
      <c r="A210" s="587" t="s">
        <v>2516</v>
      </c>
      <c r="B210" s="588" t="s">
        <v>2067</v>
      </c>
      <c r="C210" s="588"/>
      <c r="D210" s="588" t="s">
        <v>2553</v>
      </c>
      <c r="E210" s="588"/>
      <c r="F210" s="589"/>
      <c r="G210" s="938" t="s">
        <v>6027</v>
      </c>
    </row>
    <row r="211" spans="1:14" x14ac:dyDescent="0.25">
      <c r="A211" s="587" t="s">
        <v>2517</v>
      </c>
      <c r="B211" s="588" t="s">
        <v>3374</v>
      </c>
      <c r="C211" s="588"/>
      <c r="D211" s="588" t="s">
        <v>2553</v>
      </c>
      <c r="E211" s="588"/>
      <c r="F211" s="589"/>
      <c r="G211" s="938" t="s">
        <v>6027</v>
      </c>
    </row>
    <row r="212" spans="1:14" x14ac:dyDescent="0.25">
      <c r="A212" s="587" t="s">
        <v>2518</v>
      </c>
      <c r="B212" s="588" t="s">
        <v>3382</v>
      </c>
      <c r="C212" s="588"/>
      <c r="D212" s="588" t="s">
        <v>2553</v>
      </c>
      <c r="E212" s="588"/>
      <c r="F212" s="589"/>
      <c r="G212" s="938" t="s">
        <v>6027</v>
      </c>
    </row>
    <row r="213" spans="1:14" x14ac:dyDescent="0.25">
      <c r="A213" s="587" t="s">
        <v>2519</v>
      </c>
      <c r="B213" s="588" t="s">
        <v>3390</v>
      </c>
      <c r="C213" s="588"/>
      <c r="D213" s="588" t="s">
        <v>2553</v>
      </c>
      <c r="E213" s="588"/>
      <c r="F213" s="589"/>
      <c r="G213" s="938" t="s">
        <v>6027</v>
      </c>
    </row>
    <row r="214" spans="1:14" x14ac:dyDescent="0.25">
      <c r="A214" s="587" t="s">
        <v>2520</v>
      </c>
      <c r="B214" s="588" t="s">
        <v>740</v>
      </c>
      <c r="C214" s="588"/>
      <c r="D214" s="588" t="s">
        <v>2553</v>
      </c>
      <c r="E214" s="588"/>
      <c r="F214" s="589"/>
      <c r="G214" s="938" t="s">
        <v>6027</v>
      </c>
    </row>
    <row r="215" spans="1:14" x14ac:dyDescent="0.25">
      <c r="A215" s="587" t="s">
        <v>2521</v>
      </c>
      <c r="B215" s="588" t="s">
        <v>5435</v>
      </c>
      <c r="C215" s="588"/>
      <c r="D215" s="588" t="s">
        <v>2553</v>
      </c>
      <c r="E215" s="588"/>
      <c r="F215" s="589"/>
      <c r="G215" s="938" t="s">
        <v>6027</v>
      </c>
      <c r="I215" s="238"/>
      <c r="J215" s="238"/>
      <c r="K215" s="238"/>
      <c r="L215" s="238"/>
      <c r="M215" s="238"/>
      <c r="N215" s="238"/>
    </row>
    <row r="216" spans="1:14" x14ac:dyDescent="0.25">
      <c r="A216" s="590" t="s">
        <v>3081</v>
      </c>
      <c r="B216" s="591" t="s">
        <v>5435</v>
      </c>
      <c r="C216" s="591"/>
      <c r="D216" s="591" t="s">
        <v>3080</v>
      </c>
      <c r="E216" s="591" t="s">
        <v>1053</v>
      </c>
      <c r="F216" s="586">
        <v>0</v>
      </c>
      <c r="G216" s="938" t="s">
        <v>6027</v>
      </c>
      <c r="I216" s="238"/>
      <c r="J216" s="238"/>
      <c r="K216" s="238"/>
      <c r="L216" s="238"/>
      <c r="M216" s="238"/>
      <c r="N216" s="238"/>
    </row>
    <row r="217" spans="1:14" x14ac:dyDescent="0.25">
      <c r="A217" s="50"/>
      <c r="B217" s="55"/>
      <c r="C217" s="55"/>
      <c r="D217" s="58"/>
      <c r="E217" s="55"/>
      <c r="F217" s="580"/>
      <c r="G217" s="938" t="s">
        <v>6027</v>
      </c>
    </row>
    <row r="218" spans="1:14" s="238" customFormat="1" ht="59.25" customHeight="1" x14ac:dyDescent="0.25">
      <c r="A218" s="1184" t="s">
        <v>33</v>
      </c>
      <c r="B218" s="1185"/>
      <c r="C218" s="1185"/>
      <c r="D218" s="1185"/>
      <c r="E218" s="1185"/>
      <c r="F218" s="1185"/>
      <c r="G218" s="938" t="s">
        <v>6027</v>
      </c>
      <c r="I218"/>
      <c r="J218"/>
      <c r="K218"/>
      <c r="L218"/>
      <c r="M218"/>
      <c r="N218"/>
    </row>
    <row r="219" spans="1:14" x14ac:dyDescent="0.25">
      <c r="A219" s="50"/>
      <c r="B219" s="55"/>
      <c r="C219" s="55"/>
      <c r="D219" s="55"/>
      <c r="E219" s="55"/>
      <c r="F219" s="580"/>
      <c r="G219" s="938" t="s">
        <v>6027</v>
      </c>
    </row>
    <row r="220" spans="1:14" x14ac:dyDescent="0.25">
      <c r="A220" s="578" t="s">
        <v>2522</v>
      </c>
      <c r="B220" s="579" t="s">
        <v>2269</v>
      </c>
      <c r="C220" s="579"/>
      <c r="D220" s="579" t="s">
        <v>2554</v>
      </c>
      <c r="E220" s="579"/>
      <c r="F220" s="575"/>
      <c r="G220" s="938" t="s">
        <v>6027</v>
      </c>
    </row>
    <row r="221" spans="1:14" x14ac:dyDescent="0.25">
      <c r="A221" s="578" t="s">
        <v>2523</v>
      </c>
      <c r="B221" s="579" t="s">
        <v>5548</v>
      </c>
      <c r="C221" s="579"/>
      <c r="D221" s="579" t="s">
        <v>2554</v>
      </c>
      <c r="E221" s="579"/>
      <c r="F221" s="575"/>
      <c r="G221" s="938" t="s">
        <v>6027</v>
      </c>
    </row>
    <row r="222" spans="1:14" x14ac:dyDescent="0.25">
      <c r="A222" s="578" t="s">
        <v>2524</v>
      </c>
      <c r="B222" s="579" t="s">
        <v>4847</v>
      </c>
      <c r="C222" s="579"/>
      <c r="D222" s="579" t="s">
        <v>2554</v>
      </c>
      <c r="E222" s="579"/>
      <c r="F222" s="575"/>
      <c r="G222" s="938" t="s">
        <v>6027</v>
      </c>
    </row>
    <row r="223" spans="1:14" x14ac:dyDescent="0.25">
      <c r="A223" s="578" t="s">
        <v>2525</v>
      </c>
      <c r="B223" s="579" t="s">
        <v>5406</v>
      </c>
      <c r="C223" s="579"/>
      <c r="D223" s="579" t="s">
        <v>2554</v>
      </c>
      <c r="E223" s="579"/>
      <c r="F223" s="575"/>
      <c r="G223" s="938" t="s">
        <v>6027</v>
      </c>
    </row>
    <row r="224" spans="1:14" x14ac:dyDescent="0.25">
      <c r="A224" s="578" t="s">
        <v>2526</v>
      </c>
      <c r="B224" s="579" t="s">
        <v>5411</v>
      </c>
      <c r="C224" s="579"/>
      <c r="D224" s="579" t="s">
        <v>2554</v>
      </c>
      <c r="E224" s="579"/>
      <c r="F224" s="575"/>
      <c r="G224" s="938" t="s">
        <v>6027</v>
      </c>
    </row>
    <row r="225" spans="1:14" x14ac:dyDescent="0.25">
      <c r="A225" s="578" t="s">
        <v>2527</v>
      </c>
      <c r="B225" s="579" t="s">
        <v>5412</v>
      </c>
      <c r="C225" s="579"/>
      <c r="D225" s="579" t="s">
        <v>2554</v>
      </c>
      <c r="E225" s="579"/>
      <c r="F225" s="575"/>
      <c r="G225" s="938" t="s">
        <v>6027</v>
      </c>
    </row>
    <row r="226" spans="1:14" x14ac:dyDescent="0.25">
      <c r="A226" s="578" t="s">
        <v>2528</v>
      </c>
      <c r="B226" s="579" t="s">
        <v>2034</v>
      </c>
      <c r="C226" s="579"/>
      <c r="D226" s="579" t="s">
        <v>2554</v>
      </c>
      <c r="E226" s="579"/>
      <c r="F226" s="575"/>
      <c r="G226" s="938" t="s">
        <v>6027</v>
      </c>
    </row>
    <row r="227" spans="1:14" x14ac:dyDescent="0.25">
      <c r="A227" s="578" t="s">
        <v>2529</v>
      </c>
      <c r="B227" s="579" t="s">
        <v>2067</v>
      </c>
      <c r="C227" s="579"/>
      <c r="D227" s="579" t="s">
        <v>2554</v>
      </c>
      <c r="E227" s="579"/>
      <c r="F227" s="575"/>
      <c r="G227" s="938" t="s">
        <v>6027</v>
      </c>
    </row>
    <row r="228" spans="1:14" x14ac:dyDescent="0.25">
      <c r="A228" s="578" t="s">
        <v>2530</v>
      </c>
      <c r="B228" s="579" t="s">
        <v>3374</v>
      </c>
      <c r="C228" s="579"/>
      <c r="D228" s="579" t="s">
        <v>2554</v>
      </c>
      <c r="E228" s="579"/>
      <c r="F228" s="575"/>
      <c r="G228" s="938" t="s">
        <v>6027</v>
      </c>
    </row>
    <row r="229" spans="1:14" x14ac:dyDescent="0.25">
      <c r="A229" s="578" t="s">
        <v>2531</v>
      </c>
      <c r="B229" s="579" t="s">
        <v>3382</v>
      </c>
      <c r="C229" s="579"/>
      <c r="D229" s="579" t="s">
        <v>2554</v>
      </c>
      <c r="E229" s="579"/>
      <c r="F229" s="575"/>
      <c r="G229" s="938" t="s">
        <v>6027</v>
      </c>
    </row>
    <row r="230" spans="1:14" x14ac:dyDescent="0.25">
      <c r="A230" s="578" t="s">
        <v>2532</v>
      </c>
      <c r="B230" s="579" t="s">
        <v>3390</v>
      </c>
      <c r="C230" s="579"/>
      <c r="D230" s="579" t="s">
        <v>2554</v>
      </c>
      <c r="E230" s="579"/>
      <c r="F230" s="575"/>
      <c r="G230" s="938" t="s">
        <v>6027</v>
      </c>
    </row>
    <row r="231" spans="1:14" x14ac:dyDescent="0.25">
      <c r="A231" s="578" t="s">
        <v>2533</v>
      </c>
      <c r="B231" s="579" t="s">
        <v>740</v>
      </c>
      <c r="C231" s="579"/>
      <c r="D231" s="579" t="s">
        <v>2554</v>
      </c>
      <c r="E231" s="579"/>
      <c r="F231" s="575"/>
      <c r="G231" s="938" t="s">
        <v>6027</v>
      </c>
    </row>
    <row r="232" spans="1:14" x14ac:dyDescent="0.25">
      <c r="A232" s="578" t="s">
        <v>2534</v>
      </c>
      <c r="B232" s="579" t="s">
        <v>5435</v>
      </c>
      <c r="C232" s="579"/>
      <c r="D232" s="579" t="s">
        <v>2554</v>
      </c>
      <c r="E232" s="579"/>
      <c r="F232" s="575"/>
      <c r="G232" s="938" t="s">
        <v>6027</v>
      </c>
      <c r="I232" s="238"/>
      <c r="J232" s="238"/>
      <c r="K232" s="238"/>
      <c r="L232" s="238"/>
      <c r="M232" s="238"/>
      <c r="N232" s="238"/>
    </row>
    <row r="233" spans="1:14" x14ac:dyDescent="0.25">
      <c r="A233" s="584" t="s">
        <v>3079</v>
      </c>
      <c r="B233" s="585" t="s">
        <v>5435</v>
      </c>
      <c r="C233" s="585"/>
      <c r="D233" s="585" t="s">
        <v>3078</v>
      </c>
      <c r="E233" s="585" t="s">
        <v>1053</v>
      </c>
      <c r="F233" s="586">
        <v>0</v>
      </c>
      <c r="G233" s="938" t="s">
        <v>6027</v>
      </c>
      <c r="I233" s="238"/>
      <c r="J233" s="238"/>
      <c r="K233" s="238"/>
      <c r="L233" s="238"/>
      <c r="M233" s="238"/>
      <c r="N233" s="238"/>
    </row>
    <row r="234" spans="1:14" x14ac:dyDescent="0.25">
      <c r="A234" s="92"/>
      <c r="B234" s="92"/>
      <c r="C234" s="92"/>
      <c r="D234" s="92"/>
      <c r="E234" s="92"/>
      <c r="F234" s="574"/>
      <c r="G234" s="938" t="s">
        <v>6027</v>
      </c>
    </row>
    <row r="235" spans="1:14" s="238" customFormat="1" ht="67.5" customHeight="1" x14ac:dyDescent="0.25">
      <c r="A235" s="1167" t="s">
        <v>1484</v>
      </c>
      <c r="B235" s="1167"/>
      <c r="C235" s="1167"/>
      <c r="D235" s="1167"/>
      <c r="E235" s="1167"/>
      <c r="F235" s="1167"/>
      <c r="G235" s="938" t="s">
        <v>6027</v>
      </c>
      <c r="I235"/>
      <c r="J235"/>
      <c r="K235"/>
      <c r="L235"/>
      <c r="M235"/>
      <c r="N235"/>
    </row>
    <row r="236" spans="1:14" x14ac:dyDescent="0.25">
      <c r="A236" s="92"/>
      <c r="B236" s="92"/>
      <c r="C236" s="92"/>
      <c r="D236" s="92"/>
      <c r="E236" s="92"/>
      <c r="F236" s="574"/>
      <c r="G236" s="938" t="s">
        <v>6027</v>
      </c>
    </row>
    <row r="237" spans="1:14" x14ac:dyDescent="0.25">
      <c r="A237" s="578" t="s">
        <v>2535</v>
      </c>
      <c r="B237" s="579" t="s">
        <v>2269</v>
      </c>
      <c r="C237" s="579"/>
      <c r="D237" s="579" t="s">
        <v>2556</v>
      </c>
      <c r="E237" s="579"/>
      <c r="F237" s="575"/>
      <c r="G237" s="938" t="s">
        <v>6027</v>
      </c>
    </row>
    <row r="238" spans="1:14" x14ac:dyDescent="0.25">
      <c r="A238" s="578" t="s">
        <v>2536</v>
      </c>
      <c r="B238" s="579" t="s">
        <v>5548</v>
      </c>
      <c r="C238" s="579"/>
      <c r="D238" s="579" t="s">
        <v>2556</v>
      </c>
      <c r="E238" s="579"/>
      <c r="F238" s="575"/>
      <c r="G238" s="938" t="s">
        <v>6027</v>
      </c>
    </row>
    <row r="239" spans="1:14" x14ac:dyDescent="0.25">
      <c r="A239" s="578" t="s">
        <v>2537</v>
      </c>
      <c r="B239" s="579" t="s">
        <v>4847</v>
      </c>
      <c r="C239" s="579"/>
      <c r="D239" s="579" t="s">
        <v>2556</v>
      </c>
      <c r="E239" s="579"/>
      <c r="F239" s="575"/>
      <c r="G239" s="938" t="s">
        <v>6027</v>
      </c>
    </row>
    <row r="240" spans="1:14" x14ac:dyDescent="0.25">
      <c r="A240" s="578" t="s">
        <v>2538</v>
      </c>
      <c r="B240" s="579" t="s">
        <v>5406</v>
      </c>
      <c r="C240" s="579"/>
      <c r="D240" s="579" t="s">
        <v>2556</v>
      </c>
      <c r="E240" s="579"/>
      <c r="F240" s="575"/>
      <c r="G240" s="938" t="s">
        <v>6027</v>
      </c>
    </row>
    <row r="241" spans="1:14" x14ac:dyDescent="0.25">
      <c r="A241" s="578" t="s">
        <v>2539</v>
      </c>
      <c r="B241" s="579" t="s">
        <v>5411</v>
      </c>
      <c r="C241" s="579"/>
      <c r="D241" s="579" t="s">
        <v>2556</v>
      </c>
      <c r="E241" s="579"/>
      <c r="F241" s="575"/>
      <c r="G241" s="938" t="s">
        <v>6027</v>
      </c>
    </row>
    <row r="242" spans="1:14" x14ac:dyDescent="0.25">
      <c r="A242" s="578" t="s">
        <v>2540</v>
      </c>
      <c r="B242" s="579" t="s">
        <v>5412</v>
      </c>
      <c r="C242" s="579"/>
      <c r="D242" s="579" t="s">
        <v>2556</v>
      </c>
      <c r="E242" s="579"/>
      <c r="F242" s="575"/>
      <c r="G242" s="938" t="s">
        <v>6027</v>
      </c>
    </row>
    <row r="243" spans="1:14" x14ac:dyDescent="0.25">
      <c r="A243" s="578" t="s">
        <v>2541</v>
      </c>
      <c r="B243" s="579" t="s">
        <v>2034</v>
      </c>
      <c r="C243" s="579"/>
      <c r="D243" s="579" t="s">
        <v>2556</v>
      </c>
      <c r="E243" s="579"/>
      <c r="F243" s="575"/>
      <c r="G243" s="938" t="s">
        <v>6027</v>
      </c>
    </row>
    <row r="244" spans="1:14" x14ac:dyDescent="0.25">
      <c r="A244" s="578" t="s">
        <v>2542</v>
      </c>
      <c r="B244" s="579" t="s">
        <v>2067</v>
      </c>
      <c r="C244" s="579"/>
      <c r="D244" s="579" t="s">
        <v>2556</v>
      </c>
      <c r="E244" s="579"/>
      <c r="F244" s="575"/>
      <c r="G244" s="938" t="s">
        <v>6027</v>
      </c>
    </row>
    <row r="245" spans="1:14" x14ac:dyDescent="0.25">
      <c r="A245" s="578" t="s">
        <v>2543</v>
      </c>
      <c r="B245" s="579" t="s">
        <v>3374</v>
      </c>
      <c r="C245" s="579"/>
      <c r="D245" s="579" t="s">
        <v>2556</v>
      </c>
      <c r="E245" s="579"/>
      <c r="F245" s="575"/>
      <c r="G245" s="938" t="s">
        <v>6027</v>
      </c>
    </row>
    <row r="246" spans="1:14" x14ac:dyDescent="0.25">
      <c r="A246" s="578" t="s">
        <v>2544</v>
      </c>
      <c r="B246" s="579" t="s">
        <v>3382</v>
      </c>
      <c r="C246" s="579"/>
      <c r="D246" s="579" t="s">
        <v>2556</v>
      </c>
      <c r="E246" s="579"/>
      <c r="F246" s="575"/>
      <c r="G246" s="938" t="s">
        <v>6027</v>
      </c>
    </row>
    <row r="247" spans="1:14" x14ac:dyDescent="0.25">
      <c r="A247" s="578" t="s">
        <v>2545</v>
      </c>
      <c r="B247" s="579" t="s">
        <v>3390</v>
      </c>
      <c r="C247" s="579"/>
      <c r="D247" s="579" t="s">
        <v>2556</v>
      </c>
      <c r="E247" s="579"/>
      <c r="F247" s="575"/>
      <c r="G247" s="938" t="s">
        <v>6027</v>
      </c>
    </row>
    <row r="248" spans="1:14" x14ac:dyDescent="0.25">
      <c r="A248" s="578" t="s">
        <v>2546</v>
      </c>
      <c r="B248" s="579" t="s">
        <v>740</v>
      </c>
      <c r="C248" s="579"/>
      <c r="D248" s="579" t="s">
        <v>2556</v>
      </c>
      <c r="E248" s="579"/>
      <c r="F248" s="575"/>
      <c r="G248" s="938" t="s">
        <v>6027</v>
      </c>
    </row>
    <row r="249" spans="1:14" x14ac:dyDescent="0.25">
      <c r="A249" s="578" t="s">
        <v>2547</v>
      </c>
      <c r="B249" s="579" t="s">
        <v>5435</v>
      </c>
      <c r="C249" s="579"/>
      <c r="D249" s="579" t="s">
        <v>2556</v>
      </c>
      <c r="E249" s="579"/>
      <c r="F249" s="575"/>
      <c r="G249" s="938" t="s">
        <v>6027</v>
      </c>
      <c r="I249" s="238"/>
      <c r="J249" s="238"/>
      <c r="K249" s="238"/>
      <c r="L249" s="238"/>
      <c r="M249" s="238"/>
      <c r="N249" s="238"/>
    </row>
    <row r="250" spans="1:14" x14ac:dyDescent="0.25">
      <c r="A250" s="584" t="s">
        <v>3076</v>
      </c>
      <c r="B250" s="585" t="s">
        <v>5435</v>
      </c>
      <c r="C250" s="585"/>
      <c r="D250" s="585" t="s">
        <v>3077</v>
      </c>
      <c r="E250" s="585" t="s">
        <v>1053</v>
      </c>
      <c r="F250" s="586">
        <v>0</v>
      </c>
      <c r="G250" s="938" t="s">
        <v>6027</v>
      </c>
      <c r="I250" s="238"/>
      <c r="J250" s="238"/>
      <c r="K250" s="238"/>
      <c r="L250" s="238"/>
      <c r="M250" s="238"/>
      <c r="N250" s="238"/>
    </row>
    <row r="251" spans="1:14" x14ac:dyDescent="0.25">
      <c r="A251" s="92"/>
      <c r="B251" s="92"/>
      <c r="C251" s="92"/>
      <c r="D251" s="92"/>
      <c r="E251" s="92"/>
      <c r="F251" s="574"/>
      <c r="G251" s="938" t="s">
        <v>6027</v>
      </c>
    </row>
    <row r="252" spans="1:14" s="238" customFormat="1" ht="65.25" customHeight="1" x14ac:dyDescent="0.25">
      <c r="A252" s="1167" t="s">
        <v>1485</v>
      </c>
      <c r="B252" s="1167"/>
      <c r="C252" s="1167"/>
      <c r="D252" s="1167"/>
      <c r="E252" s="1167"/>
      <c r="F252" s="1167"/>
      <c r="G252" s="938" t="s">
        <v>6027</v>
      </c>
      <c r="I252"/>
      <c r="J252"/>
      <c r="K252"/>
      <c r="L252"/>
      <c r="M252"/>
      <c r="N252"/>
    </row>
    <row r="253" spans="1:14" x14ac:dyDescent="0.25">
      <c r="A253" s="92"/>
      <c r="B253" s="92"/>
      <c r="C253" s="92"/>
      <c r="D253" s="92"/>
      <c r="E253" s="92"/>
      <c r="F253" s="574"/>
      <c r="G253" s="938" t="s">
        <v>6027</v>
      </c>
    </row>
    <row r="254" spans="1:14" x14ac:dyDescent="0.25">
      <c r="A254" s="578" t="s">
        <v>5377</v>
      </c>
      <c r="B254" s="579" t="s">
        <v>2269</v>
      </c>
      <c r="C254" s="579"/>
      <c r="D254" s="592" t="s">
        <v>2548</v>
      </c>
      <c r="E254" s="579"/>
      <c r="F254" s="575">
        <v>0</v>
      </c>
      <c r="G254" s="938" t="s">
        <v>6027</v>
      </c>
    </row>
    <row r="255" spans="1:14" x14ac:dyDescent="0.25">
      <c r="A255" s="578" t="s">
        <v>5378</v>
      </c>
      <c r="B255" s="579" t="s">
        <v>5548</v>
      </c>
      <c r="C255" s="579"/>
      <c r="D255" s="579" t="s">
        <v>2548</v>
      </c>
      <c r="E255" s="579"/>
      <c r="F255" s="575">
        <v>0</v>
      </c>
      <c r="G255" s="938" t="s">
        <v>6027</v>
      </c>
    </row>
    <row r="256" spans="1:14" x14ac:dyDescent="0.25">
      <c r="A256" s="578" t="s">
        <v>2561</v>
      </c>
      <c r="B256" s="579" t="s">
        <v>4847</v>
      </c>
      <c r="C256" s="579"/>
      <c r="D256" s="579" t="s">
        <v>2548</v>
      </c>
      <c r="E256" s="579"/>
      <c r="F256" s="575">
        <v>0</v>
      </c>
      <c r="G256" s="938" t="s">
        <v>6027</v>
      </c>
    </row>
    <row r="257" spans="1:14" x14ac:dyDescent="0.25">
      <c r="A257" s="578" t="s">
        <v>2562</v>
      </c>
      <c r="B257" s="579" t="s">
        <v>5406</v>
      </c>
      <c r="C257" s="579"/>
      <c r="D257" s="579" t="s">
        <v>2548</v>
      </c>
      <c r="E257" s="579"/>
      <c r="F257" s="575">
        <v>0</v>
      </c>
      <c r="G257" s="938" t="s">
        <v>6027</v>
      </c>
    </row>
    <row r="258" spans="1:14" x14ac:dyDescent="0.25">
      <c r="A258" s="578" t="s">
        <v>2563</v>
      </c>
      <c r="B258" s="579" t="s">
        <v>5411</v>
      </c>
      <c r="C258" s="579"/>
      <c r="D258" s="579" t="s">
        <v>2548</v>
      </c>
      <c r="E258" s="579"/>
      <c r="F258" s="575">
        <v>0</v>
      </c>
      <c r="G258" s="938" t="s">
        <v>6027</v>
      </c>
    </row>
    <row r="259" spans="1:14" x14ac:dyDescent="0.25">
      <c r="A259" s="578" t="s">
        <v>2564</v>
      </c>
      <c r="B259" s="579" t="s">
        <v>5412</v>
      </c>
      <c r="C259" s="579"/>
      <c r="D259" s="579" t="s">
        <v>2548</v>
      </c>
      <c r="E259" s="579"/>
      <c r="F259" s="575">
        <v>0</v>
      </c>
      <c r="G259" s="938" t="s">
        <v>6027</v>
      </c>
    </row>
    <row r="260" spans="1:14" x14ac:dyDescent="0.25">
      <c r="A260" s="578" t="s">
        <v>2565</v>
      </c>
      <c r="B260" s="579" t="s">
        <v>2034</v>
      </c>
      <c r="C260" s="579"/>
      <c r="D260" s="579" t="s">
        <v>2548</v>
      </c>
      <c r="E260" s="579"/>
      <c r="F260" s="575">
        <v>0</v>
      </c>
      <c r="G260" s="938" t="s">
        <v>6027</v>
      </c>
    </row>
    <row r="261" spans="1:14" x14ac:dyDescent="0.25">
      <c r="A261" s="578" t="s">
        <v>2566</v>
      </c>
      <c r="B261" s="579" t="s">
        <v>2067</v>
      </c>
      <c r="C261" s="579"/>
      <c r="D261" s="579" t="s">
        <v>2548</v>
      </c>
      <c r="E261" s="579"/>
      <c r="F261" s="575">
        <v>0</v>
      </c>
      <c r="G261" s="938" t="s">
        <v>6027</v>
      </c>
    </row>
    <row r="262" spans="1:14" x14ac:dyDescent="0.25">
      <c r="A262" s="578" t="s">
        <v>2567</v>
      </c>
      <c r="B262" s="579" t="s">
        <v>3374</v>
      </c>
      <c r="C262" s="579"/>
      <c r="D262" s="579" t="s">
        <v>2548</v>
      </c>
      <c r="E262" s="579"/>
      <c r="F262" s="575">
        <v>0</v>
      </c>
      <c r="G262" s="938" t="s">
        <v>6027</v>
      </c>
    </row>
    <row r="263" spans="1:14" x14ac:dyDescent="0.25">
      <c r="A263" s="578" t="s">
        <v>2568</v>
      </c>
      <c r="B263" s="579" t="s">
        <v>3382</v>
      </c>
      <c r="C263" s="579"/>
      <c r="D263" s="579" t="s">
        <v>2548</v>
      </c>
      <c r="E263" s="579"/>
      <c r="F263" s="575">
        <v>0</v>
      </c>
      <c r="G263" s="938" t="s">
        <v>6027</v>
      </c>
    </row>
    <row r="264" spans="1:14" x14ac:dyDescent="0.25">
      <c r="A264" s="578" t="s">
        <v>2569</v>
      </c>
      <c r="B264" s="579" t="s">
        <v>3390</v>
      </c>
      <c r="C264" s="579"/>
      <c r="D264" s="579" t="s">
        <v>2548</v>
      </c>
      <c r="E264" s="579"/>
      <c r="F264" s="575">
        <v>0</v>
      </c>
      <c r="G264" s="938" t="s">
        <v>6027</v>
      </c>
    </row>
    <row r="265" spans="1:14" x14ac:dyDescent="0.25">
      <c r="A265" s="578" t="s">
        <v>2570</v>
      </c>
      <c r="B265" s="579" t="s">
        <v>740</v>
      </c>
      <c r="C265" s="579"/>
      <c r="D265" s="579" t="s">
        <v>2548</v>
      </c>
      <c r="E265" s="579"/>
      <c r="F265" s="575">
        <v>0</v>
      </c>
      <c r="G265" s="938" t="s">
        <v>6027</v>
      </c>
    </row>
    <row r="266" spans="1:14" x14ac:dyDescent="0.25">
      <c r="A266" s="578" t="s">
        <v>2571</v>
      </c>
      <c r="B266" s="579" t="s">
        <v>5435</v>
      </c>
      <c r="C266" s="579"/>
      <c r="D266" s="579" t="s">
        <v>2548</v>
      </c>
      <c r="E266" s="579"/>
      <c r="F266" s="575">
        <v>0</v>
      </c>
      <c r="G266" s="938" t="s">
        <v>6027</v>
      </c>
      <c r="I266" s="238"/>
      <c r="J266" s="238"/>
      <c r="K266" s="238"/>
      <c r="L266" s="238"/>
      <c r="M266" s="238"/>
      <c r="N266" s="238"/>
    </row>
    <row r="267" spans="1:14" x14ac:dyDescent="0.25">
      <c r="A267" s="92"/>
      <c r="B267" s="92"/>
      <c r="C267" s="92"/>
      <c r="D267" s="92"/>
      <c r="E267" s="92"/>
      <c r="F267" s="574"/>
      <c r="G267" s="938" t="s">
        <v>6027</v>
      </c>
    </row>
    <row r="268" spans="1:14" s="238" customFormat="1" ht="67.5" customHeight="1" x14ac:dyDescent="0.25">
      <c r="A268" s="1167" t="s">
        <v>939</v>
      </c>
      <c r="B268" s="1167"/>
      <c r="C268" s="1167"/>
      <c r="D268" s="1167"/>
      <c r="E268" s="1167"/>
      <c r="F268" s="1167"/>
      <c r="G268" s="938" t="s">
        <v>6027</v>
      </c>
      <c r="I268"/>
      <c r="J268"/>
      <c r="K268"/>
      <c r="L268"/>
      <c r="M268"/>
      <c r="N268"/>
    </row>
    <row r="269" spans="1:14" x14ac:dyDescent="0.25">
      <c r="A269" s="92"/>
      <c r="B269" s="92"/>
      <c r="C269" s="92"/>
      <c r="D269" s="92"/>
      <c r="E269" s="92"/>
      <c r="F269" s="574"/>
      <c r="G269" s="938" t="s">
        <v>6027</v>
      </c>
    </row>
    <row r="270" spans="1:14" x14ac:dyDescent="0.25">
      <c r="A270" s="593" t="s">
        <v>1708</v>
      </c>
      <c r="B270" s="594" t="s">
        <v>5435</v>
      </c>
      <c r="C270" s="594"/>
      <c r="D270" s="594" t="s">
        <v>1709</v>
      </c>
      <c r="E270" s="594"/>
      <c r="F270" s="595">
        <v>0</v>
      </c>
      <c r="G270" s="938" t="s">
        <v>6027</v>
      </c>
    </row>
    <row r="271" spans="1:14" x14ac:dyDescent="0.25">
      <c r="A271" s="92"/>
      <c r="B271" s="92"/>
      <c r="C271" s="92"/>
      <c r="D271" s="92"/>
      <c r="E271" s="92"/>
      <c r="F271" s="574"/>
      <c r="G271" s="938" t="s">
        <v>6027</v>
      </c>
    </row>
    <row r="272" spans="1:14" s="238" customFormat="1" ht="66" customHeight="1" x14ac:dyDescent="0.25">
      <c r="A272" s="1167" t="s">
        <v>940</v>
      </c>
      <c r="B272" s="1167"/>
      <c r="C272" s="1167"/>
      <c r="D272" s="1167"/>
      <c r="E272" s="1167"/>
      <c r="F272" s="1167"/>
      <c r="G272" s="938" t="s">
        <v>6027</v>
      </c>
      <c r="I272"/>
      <c r="J272"/>
      <c r="K272"/>
      <c r="L272"/>
      <c r="M272"/>
      <c r="N272"/>
    </row>
    <row r="273" spans="1:14" x14ac:dyDescent="0.25">
      <c r="A273" s="92"/>
      <c r="B273" s="92"/>
      <c r="C273" s="92"/>
      <c r="D273" s="92"/>
      <c r="E273" s="92"/>
      <c r="F273" s="574"/>
      <c r="G273" s="938" t="s">
        <v>6027</v>
      </c>
    </row>
    <row r="274" spans="1:14" x14ac:dyDescent="0.25">
      <c r="A274" s="578" t="s">
        <v>5375</v>
      </c>
      <c r="B274" s="579" t="s">
        <v>2269</v>
      </c>
      <c r="C274" s="579"/>
      <c r="D274" s="579" t="s">
        <v>2549</v>
      </c>
      <c r="E274" s="579"/>
      <c r="F274" s="575">
        <v>0</v>
      </c>
      <c r="G274" s="938" t="s">
        <v>6027</v>
      </c>
    </row>
    <row r="275" spans="1:14" x14ac:dyDescent="0.25">
      <c r="A275" s="578" t="s">
        <v>5376</v>
      </c>
      <c r="B275" s="579" t="s">
        <v>5548</v>
      </c>
      <c r="C275" s="579"/>
      <c r="D275" s="579" t="s">
        <v>2549</v>
      </c>
      <c r="E275" s="579"/>
      <c r="F275" s="575">
        <v>0</v>
      </c>
      <c r="G275" s="938" t="s">
        <v>6027</v>
      </c>
    </row>
    <row r="276" spans="1:14" x14ac:dyDescent="0.25">
      <c r="A276" s="578" t="s">
        <v>2572</v>
      </c>
      <c r="B276" s="579" t="s">
        <v>4847</v>
      </c>
      <c r="C276" s="579"/>
      <c r="D276" s="579" t="s">
        <v>2549</v>
      </c>
      <c r="E276" s="579"/>
      <c r="F276" s="575">
        <v>0</v>
      </c>
      <c r="G276" s="938" t="s">
        <v>6027</v>
      </c>
    </row>
    <row r="277" spans="1:14" x14ac:dyDescent="0.25">
      <c r="A277" s="578" t="s">
        <v>2573</v>
      </c>
      <c r="B277" s="579" t="s">
        <v>5406</v>
      </c>
      <c r="C277" s="579"/>
      <c r="D277" s="579" t="s">
        <v>2549</v>
      </c>
      <c r="E277" s="579"/>
      <c r="F277" s="575">
        <v>0</v>
      </c>
      <c r="G277" s="938" t="s">
        <v>6027</v>
      </c>
    </row>
    <row r="278" spans="1:14" x14ac:dyDescent="0.25">
      <c r="A278" s="578" t="s">
        <v>2574</v>
      </c>
      <c r="B278" s="579" t="s">
        <v>5411</v>
      </c>
      <c r="C278" s="579"/>
      <c r="D278" s="579" t="s">
        <v>2549</v>
      </c>
      <c r="E278" s="579"/>
      <c r="F278" s="575">
        <v>0</v>
      </c>
      <c r="G278" s="938" t="s">
        <v>6027</v>
      </c>
    </row>
    <row r="279" spans="1:14" x14ac:dyDescent="0.25">
      <c r="A279" s="578" t="s">
        <v>2575</v>
      </c>
      <c r="B279" s="579" t="s">
        <v>5412</v>
      </c>
      <c r="C279" s="579"/>
      <c r="D279" s="579" t="s">
        <v>2549</v>
      </c>
      <c r="E279" s="579"/>
      <c r="F279" s="575">
        <v>0</v>
      </c>
      <c r="G279" s="938" t="s">
        <v>6027</v>
      </c>
    </row>
    <row r="280" spans="1:14" x14ac:dyDescent="0.25">
      <c r="A280" s="578" t="s">
        <v>2576</v>
      </c>
      <c r="B280" s="579" t="s">
        <v>2034</v>
      </c>
      <c r="C280" s="579"/>
      <c r="D280" s="579" t="s">
        <v>2549</v>
      </c>
      <c r="E280" s="579"/>
      <c r="F280" s="575">
        <v>0</v>
      </c>
      <c r="G280" s="938" t="s">
        <v>6027</v>
      </c>
    </row>
    <row r="281" spans="1:14" x14ac:dyDescent="0.25">
      <c r="A281" s="578" t="s">
        <v>2577</v>
      </c>
      <c r="B281" s="579" t="s">
        <v>2067</v>
      </c>
      <c r="C281" s="579"/>
      <c r="D281" s="579" t="s">
        <v>2549</v>
      </c>
      <c r="E281" s="579"/>
      <c r="F281" s="575">
        <v>0</v>
      </c>
      <c r="G281" s="938" t="s">
        <v>6027</v>
      </c>
    </row>
    <row r="282" spans="1:14" x14ac:dyDescent="0.25">
      <c r="A282" s="578" t="s">
        <v>2578</v>
      </c>
      <c r="B282" s="579" t="s">
        <v>3374</v>
      </c>
      <c r="C282" s="579"/>
      <c r="D282" s="579" t="s">
        <v>2549</v>
      </c>
      <c r="E282" s="579"/>
      <c r="F282" s="575">
        <v>0</v>
      </c>
      <c r="G282" s="938" t="s">
        <v>6027</v>
      </c>
    </row>
    <row r="283" spans="1:14" x14ac:dyDescent="0.25">
      <c r="A283" s="578" t="s">
        <v>2579</v>
      </c>
      <c r="B283" s="579" t="s">
        <v>3382</v>
      </c>
      <c r="C283" s="579"/>
      <c r="D283" s="579" t="s">
        <v>2549</v>
      </c>
      <c r="E283" s="579"/>
      <c r="F283" s="575">
        <v>0</v>
      </c>
      <c r="G283" s="938" t="s">
        <v>6027</v>
      </c>
    </row>
    <row r="284" spans="1:14" x14ac:dyDescent="0.25">
      <c r="A284" s="578" t="s">
        <v>2580</v>
      </c>
      <c r="B284" s="579" t="s">
        <v>3390</v>
      </c>
      <c r="C284" s="579"/>
      <c r="D284" s="579" t="s">
        <v>2549</v>
      </c>
      <c r="E284" s="579"/>
      <c r="F284" s="575">
        <v>0</v>
      </c>
      <c r="G284" s="938" t="s">
        <v>6027</v>
      </c>
    </row>
    <row r="285" spans="1:14" x14ac:dyDescent="0.25">
      <c r="A285" s="578" t="s">
        <v>2581</v>
      </c>
      <c r="B285" s="579" t="s">
        <v>740</v>
      </c>
      <c r="C285" s="579"/>
      <c r="D285" s="579" t="s">
        <v>2549</v>
      </c>
      <c r="E285" s="579"/>
      <c r="F285" s="575">
        <v>0</v>
      </c>
      <c r="G285" s="938" t="s">
        <v>6027</v>
      </c>
    </row>
    <row r="286" spans="1:14" x14ac:dyDescent="0.25">
      <c r="A286" s="596" t="s">
        <v>2582</v>
      </c>
      <c r="B286" s="597" t="s">
        <v>5435</v>
      </c>
      <c r="C286" s="597"/>
      <c r="D286" s="597" t="s">
        <v>2549</v>
      </c>
      <c r="E286" s="597"/>
      <c r="F286" s="598">
        <v>0</v>
      </c>
      <c r="G286" s="938" t="s">
        <v>6027</v>
      </c>
    </row>
    <row r="287" spans="1:14" x14ac:dyDescent="0.25">
      <c r="F287" s="471"/>
      <c r="G287" s="938" t="s">
        <v>6027</v>
      </c>
    </row>
    <row r="288" spans="1:14" s="599" customFormat="1" ht="66" customHeight="1" x14ac:dyDescent="0.25">
      <c r="A288" s="1186" t="s">
        <v>941</v>
      </c>
      <c r="B288" s="1186"/>
      <c r="C288" s="1186"/>
      <c r="D288" s="1186"/>
      <c r="E288" s="1186"/>
      <c r="F288" s="1186"/>
      <c r="G288" s="938" t="s">
        <v>6027</v>
      </c>
      <c r="I288" s="92"/>
      <c r="J288" s="92"/>
      <c r="K288" s="92"/>
      <c r="L288" s="92"/>
      <c r="M288" s="92"/>
      <c r="N288" s="92"/>
    </row>
    <row r="289" spans="1:14" s="92" customFormat="1" x14ac:dyDescent="0.25">
      <c r="F289" s="574"/>
      <c r="G289" s="938" t="s">
        <v>6027</v>
      </c>
    </row>
    <row r="290" spans="1:14" s="92" customFormat="1" x14ac:dyDescent="0.25">
      <c r="A290" s="300" t="s">
        <v>3011</v>
      </c>
      <c r="B290" s="301" t="s">
        <v>2269</v>
      </c>
      <c r="C290" s="301"/>
      <c r="D290" s="600" t="s">
        <v>3009</v>
      </c>
      <c r="E290" s="301"/>
      <c r="F290" s="475"/>
      <c r="G290" s="938" t="s">
        <v>6027</v>
      </c>
    </row>
    <row r="291" spans="1:14" s="92" customFormat="1" x14ac:dyDescent="0.25">
      <c r="A291" s="300" t="s">
        <v>3012</v>
      </c>
      <c r="B291" s="301" t="s">
        <v>5548</v>
      </c>
      <c r="C291" s="301"/>
      <c r="D291" s="600" t="s">
        <v>3009</v>
      </c>
      <c r="E291" s="301"/>
      <c r="F291" s="475"/>
      <c r="G291" s="938" t="s">
        <v>6027</v>
      </c>
    </row>
    <row r="292" spans="1:14" s="92" customFormat="1" x14ac:dyDescent="0.25">
      <c r="A292" s="300" t="s">
        <v>3013</v>
      </c>
      <c r="B292" s="301" t="s">
        <v>4847</v>
      </c>
      <c r="C292" s="301"/>
      <c r="D292" s="600" t="s">
        <v>3009</v>
      </c>
      <c r="E292" s="301"/>
      <c r="F292" s="475"/>
      <c r="G292" s="938" t="s">
        <v>6027</v>
      </c>
    </row>
    <row r="293" spans="1:14" s="92" customFormat="1" x14ac:dyDescent="0.25">
      <c r="A293" s="300" t="s">
        <v>3014</v>
      </c>
      <c r="B293" s="301" t="s">
        <v>5406</v>
      </c>
      <c r="C293" s="301"/>
      <c r="D293" s="600" t="s">
        <v>3009</v>
      </c>
      <c r="E293" s="301"/>
      <c r="F293" s="475"/>
      <c r="G293" s="938" t="s">
        <v>6027</v>
      </c>
    </row>
    <row r="294" spans="1:14" s="92" customFormat="1" x14ac:dyDescent="0.25">
      <c r="A294" s="300" t="s">
        <v>3015</v>
      </c>
      <c r="B294" s="301" t="s">
        <v>5411</v>
      </c>
      <c r="C294" s="301"/>
      <c r="D294" s="600" t="s">
        <v>3009</v>
      </c>
      <c r="E294" s="301"/>
      <c r="F294" s="475"/>
      <c r="G294" s="938" t="s">
        <v>6027</v>
      </c>
    </row>
    <row r="295" spans="1:14" s="92" customFormat="1" x14ac:dyDescent="0.25">
      <c r="A295" s="300" t="s">
        <v>3016</v>
      </c>
      <c r="B295" s="301" t="s">
        <v>5412</v>
      </c>
      <c r="C295" s="301"/>
      <c r="D295" s="600" t="s">
        <v>3009</v>
      </c>
      <c r="E295" s="301"/>
      <c r="F295" s="475"/>
      <c r="G295" s="938" t="s">
        <v>6027</v>
      </c>
    </row>
    <row r="296" spans="1:14" s="92" customFormat="1" x14ac:dyDescent="0.25">
      <c r="A296" s="300" t="s">
        <v>3017</v>
      </c>
      <c r="B296" s="301" t="s">
        <v>2034</v>
      </c>
      <c r="C296" s="301"/>
      <c r="D296" s="600" t="s">
        <v>3009</v>
      </c>
      <c r="E296" s="301"/>
      <c r="F296" s="475"/>
      <c r="G296" s="938" t="s">
        <v>6027</v>
      </c>
    </row>
    <row r="297" spans="1:14" s="92" customFormat="1" x14ac:dyDescent="0.25">
      <c r="A297" s="300" t="s">
        <v>3018</v>
      </c>
      <c r="B297" s="301" t="s">
        <v>2067</v>
      </c>
      <c r="C297" s="301"/>
      <c r="D297" s="600" t="s">
        <v>3009</v>
      </c>
      <c r="E297" s="301"/>
      <c r="F297" s="475"/>
      <c r="G297" s="938" t="s">
        <v>6027</v>
      </c>
    </row>
    <row r="298" spans="1:14" s="92" customFormat="1" x14ac:dyDescent="0.25">
      <c r="A298" s="300" t="s">
        <v>3019</v>
      </c>
      <c r="B298" s="301" t="s">
        <v>3374</v>
      </c>
      <c r="C298" s="301"/>
      <c r="D298" s="600" t="s">
        <v>3009</v>
      </c>
      <c r="E298" s="301"/>
      <c r="F298" s="475"/>
      <c r="G298" s="938" t="s">
        <v>6027</v>
      </c>
    </row>
    <row r="299" spans="1:14" s="92" customFormat="1" x14ac:dyDescent="0.25">
      <c r="A299" s="300" t="s">
        <v>3020</v>
      </c>
      <c r="B299" s="301" t="s">
        <v>3382</v>
      </c>
      <c r="C299" s="301"/>
      <c r="D299" s="600" t="s">
        <v>3009</v>
      </c>
      <c r="E299" s="301"/>
      <c r="F299" s="475"/>
      <c r="G299" s="938" t="s">
        <v>6027</v>
      </c>
    </row>
    <row r="300" spans="1:14" s="92" customFormat="1" x14ac:dyDescent="0.25">
      <c r="A300" s="300" t="s">
        <v>3021</v>
      </c>
      <c r="B300" s="301" t="s">
        <v>3390</v>
      </c>
      <c r="C300" s="301"/>
      <c r="D300" s="600" t="s">
        <v>3009</v>
      </c>
      <c r="E300" s="301"/>
      <c r="F300" s="475"/>
      <c r="G300" s="938" t="s">
        <v>6027</v>
      </c>
    </row>
    <row r="301" spans="1:14" s="92" customFormat="1" x14ac:dyDescent="0.25">
      <c r="A301" s="300" t="s">
        <v>3022</v>
      </c>
      <c r="B301" s="301" t="s">
        <v>740</v>
      </c>
      <c r="C301" s="301"/>
      <c r="D301" s="600" t="s">
        <v>3009</v>
      </c>
      <c r="E301" s="301"/>
      <c r="F301" s="475"/>
      <c r="G301" s="938" t="s">
        <v>6027</v>
      </c>
    </row>
    <row r="302" spans="1:14" s="92" customFormat="1" x14ac:dyDescent="0.25">
      <c r="A302" s="300" t="s">
        <v>3023</v>
      </c>
      <c r="B302" s="301" t="s">
        <v>5435</v>
      </c>
      <c r="C302" s="301"/>
      <c r="D302" s="600" t="s">
        <v>3009</v>
      </c>
      <c r="E302" s="301"/>
      <c r="F302" s="475"/>
      <c r="G302" s="938" t="s">
        <v>6027</v>
      </c>
      <c r="I302" s="599"/>
      <c r="J302" s="599"/>
      <c r="K302" s="599"/>
      <c r="L302" s="599"/>
      <c r="M302" s="599"/>
      <c r="N302" s="599"/>
    </row>
    <row r="303" spans="1:14" s="92" customFormat="1" x14ac:dyDescent="0.25">
      <c r="F303" s="574"/>
      <c r="G303" s="938" t="s">
        <v>6027</v>
      </c>
    </row>
    <row r="304" spans="1:14" s="92" customFormat="1" x14ac:dyDescent="0.25">
      <c r="A304" s="300" t="s">
        <v>3024</v>
      </c>
      <c r="B304" s="301" t="s">
        <v>2269</v>
      </c>
      <c r="C304" s="301"/>
      <c r="D304" s="600" t="s">
        <v>3010</v>
      </c>
      <c r="E304" s="301"/>
      <c r="F304" s="475">
        <v>0</v>
      </c>
      <c r="G304" s="938" t="s">
        <v>6027</v>
      </c>
    </row>
    <row r="305" spans="1:14" s="92" customFormat="1" x14ac:dyDescent="0.25">
      <c r="A305" s="300" t="s">
        <v>3025</v>
      </c>
      <c r="B305" s="301" t="s">
        <v>5548</v>
      </c>
      <c r="C305" s="301"/>
      <c r="D305" s="600" t="s">
        <v>3010</v>
      </c>
      <c r="E305" s="301"/>
      <c r="F305" s="475">
        <v>0</v>
      </c>
      <c r="G305" s="938" t="s">
        <v>6027</v>
      </c>
    </row>
    <row r="306" spans="1:14" s="92" customFormat="1" x14ac:dyDescent="0.25">
      <c r="A306" s="300" t="s">
        <v>3026</v>
      </c>
      <c r="B306" s="301" t="s">
        <v>4847</v>
      </c>
      <c r="C306" s="301"/>
      <c r="D306" s="600" t="s">
        <v>3010</v>
      </c>
      <c r="E306" s="301"/>
      <c r="F306" s="475">
        <v>0</v>
      </c>
      <c r="G306" s="938" t="s">
        <v>6027</v>
      </c>
    </row>
    <row r="307" spans="1:14" s="92" customFormat="1" x14ac:dyDescent="0.25">
      <c r="A307" s="300" t="s">
        <v>3027</v>
      </c>
      <c r="B307" s="301" t="s">
        <v>5406</v>
      </c>
      <c r="C307" s="301"/>
      <c r="D307" s="600" t="s">
        <v>3010</v>
      </c>
      <c r="E307" s="301"/>
      <c r="F307" s="475">
        <v>0</v>
      </c>
      <c r="G307" s="938" t="s">
        <v>6027</v>
      </c>
    </row>
    <row r="308" spans="1:14" s="92" customFormat="1" x14ac:dyDescent="0.25">
      <c r="A308" s="300" t="s">
        <v>3028</v>
      </c>
      <c r="B308" s="301" t="s">
        <v>5411</v>
      </c>
      <c r="C308" s="301"/>
      <c r="D308" s="600" t="s">
        <v>3010</v>
      </c>
      <c r="E308" s="301"/>
      <c r="F308" s="475">
        <v>0</v>
      </c>
      <c r="G308" s="938" t="s">
        <v>6027</v>
      </c>
    </row>
    <row r="309" spans="1:14" s="92" customFormat="1" x14ac:dyDescent="0.25">
      <c r="A309" s="300" t="s">
        <v>3029</v>
      </c>
      <c r="B309" s="301" t="s">
        <v>5412</v>
      </c>
      <c r="C309" s="301"/>
      <c r="D309" s="600" t="s">
        <v>3010</v>
      </c>
      <c r="E309" s="301"/>
      <c r="F309" s="475">
        <v>0</v>
      </c>
      <c r="G309" s="938" t="s">
        <v>6027</v>
      </c>
    </row>
    <row r="310" spans="1:14" s="92" customFormat="1" x14ac:dyDescent="0.25">
      <c r="A310" s="300" t="s">
        <v>3030</v>
      </c>
      <c r="B310" s="301" t="s">
        <v>2034</v>
      </c>
      <c r="C310" s="301"/>
      <c r="D310" s="600" t="s">
        <v>3010</v>
      </c>
      <c r="E310" s="301"/>
      <c r="F310" s="475">
        <v>0</v>
      </c>
      <c r="G310" s="938" t="s">
        <v>6027</v>
      </c>
    </row>
    <row r="311" spans="1:14" s="92" customFormat="1" x14ac:dyDescent="0.25">
      <c r="A311" s="300" t="s">
        <v>3031</v>
      </c>
      <c r="B311" s="301" t="s">
        <v>2067</v>
      </c>
      <c r="C311" s="301"/>
      <c r="D311" s="600" t="s">
        <v>3010</v>
      </c>
      <c r="E311" s="301"/>
      <c r="F311" s="475">
        <v>0</v>
      </c>
      <c r="G311" s="938" t="s">
        <v>6027</v>
      </c>
    </row>
    <row r="312" spans="1:14" s="92" customFormat="1" x14ac:dyDescent="0.25">
      <c r="A312" s="300" t="s">
        <v>3032</v>
      </c>
      <c r="B312" s="301" t="s">
        <v>3374</v>
      </c>
      <c r="C312" s="301"/>
      <c r="D312" s="600" t="s">
        <v>3010</v>
      </c>
      <c r="E312" s="301"/>
      <c r="F312" s="475">
        <v>0</v>
      </c>
      <c r="G312" s="938" t="s">
        <v>6027</v>
      </c>
    </row>
    <row r="313" spans="1:14" s="92" customFormat="1" x14ac:dyDescent="0.25">
      <c r="A313" s="300" t="s">
        <v>3033</v>
      </c>
      <c r="B313" s="301" t="s">
        <v>3382</v>
      </c>
      <c r="C313" s="301"/>
      <c r="D313" s="600" t="s">
        <v>3010</v>
      </c>
      <c r="E313" s="301"/>
      <c r="F313" s="475">
        <v>0</v>
      </c>
      <c r="G313" s="938" t="s">
        <v>6027</v>
      </c>
    </row>
    <row r="314" spans="1:14" s="92" customFormat="1" x14ac:dyDescent="0.25">
      <c r="A314" s="300" t="s">
        <v>3034</v>
      </c>
      <c r="B314" s="301" t="s">
        <v>3390</v>
      </c>
      <c r="C314" s="301"/>
      <c r="D314" s="600" t="s">
        <v>3010</v>
      </c>
      <c r="E314" s="301"/>
      <c r="F314" s="475">
        <v>0</v>
      </c>
      <c r="G314" s="938" t="s">
        <v>6027</v>
      </c>
    </row>
    <row r="315" spans="1:14" s="92" customFormat="1" x14ac:dyDescent="0.25">
      <c r="A315" s="300" t="s">
        <v>3035</v>
      </c>
      <c r="B315" s="301" t="s">
        <v>740</v>
      </c>
      <c r="C315" s="301"/>
      <c r="D315" s="600" t="s">
        <v>3010</v>
      </c>
      <c r="E315" s="301"/>
      <c r="F315" s="475">
        <v>0</v>
      </c>
      <c r="G315" s="938" t="s">
        <v>6027</v>
      </c>
    </row>
    <row r="316" spans="1:14" s="92" customFormat="1" x14ac:dyDescent="0.25">
      <c r="A316" s="300" t="s">
        <v>3036</v>
      </c>
      <c r="B316" s="301" t="s">
        <v>5435</v>
      </c>
      <c r="C316" s="301"/>
      <c r="D316" s="600" t="s">
        <v>3010</v>
      </c>
      <c r="E316" s="301"/>
      <c r="F316" s="475">
        <v>0</v>
      </c>
      <c r="G316" s="938" t="s">
        <v>6027</v>
      </c>
      <c r="I316" s="599"/>
      <c r="J316" s="599"/>
      <c r="K316" s="599"/>
      <c r="L316" s="599"/>
      <c r="M316" s="599"/>
      <c r="N316" s="599"/>
    </row>
    <row r="317" spans="1:14" s="92" customFormat="1" x14ac:dyDescent="0.25">
      <c r="A317" s="383" t="s">
        <v>3075</v>
      </c>
      <c r="B317" s="384" t="s">
        <v>5435</v>
      </c>
      <c r="C317" s="384"/>
      <c r="D317" s="386" t="s">
        <v>3010</v>
      </c>
      <c r="E317" s="384" t="s">
        <v>1053</v>
      </c>
      <c r="F317" s="479">
        <v>0</v>
      </c>
      <c r="G317" s="938" t="s">
        <v>6027</v>
      </c>
      <c r="I317" s="599"/>
      <c r="J317" s="599"/>
      <c r="K317" s="599"/>
      <c r="L317" s="599"/>
      <c r="M317" s="599"/>
      <c r="N317" s="599"/>
    </row>
    <row r="318" spans="1:14" s="92" customFormat="1" x14ac:dyDescent="0.25">
      <c r="F318" s="574"/>
      <c r="G318" s="938" t="s">
        <v>6027</v>
      </c>
    </row>
    <row r="319" spans="1:14" s="599" customFormat="1" ht="54.75" customHeight="1" x14ac:dyDescent="0.25">
      <c r="A319" s="1167" t="s">
        <v>942</v>
      </c>
      <c r="B319" s="1167"/>
      <c r="C319" s="1167"/>
      <c r="D319" s="1167"/>
      <c r="E319" s="1167"/>
      <c r="F319" s="1167"/>
      <c r="G319" s="938" t="s">
        <v>6027</v>
      </c>
      <c r="I319" s="92"/>
      <c r="J319" s="92"/>
      <c r="K319" s="92"/>
      <c r="L319" s="92"/>
      <c r="M319" s="92"/>
      <c r="N319" s="92"/>
    </row>
    <row r="320" spans="1:14" s="92" customFormat="1" x14ac:dyDescent="0.25">
      <c r="F320" s="574"/>
      <c r="G320" s="938" t="s">
        <v>6027</v>
      </c>
    </row>
    <row r="321" spans="1:14" s="92" customFormat="1" x14ac:dyDescent="0.25">
      <c r="A321" s="300" t="s">
        <v>3037</v>
      </c>
      <c r="B321" s="301" t="s">
        <v>2269</v>
      </c>
      <c r="C321" s="301"/>
      <c r="D321" s="600" t="s">
        <v>3704</v>
      </c>
      <c r="E321" s="301"/>
      <c r="F321" s="475">
        <v>0</v>
      </c>
      <c r="G321" s="938" t="s">
        <v>6027</v>
      </c>
    </row>
    <row r="322" spans="1:14" s="92" customFormat="1" x14ac:dyDescent="0.25">
      <c r="A322" s="300" t="s">
        <v>3038</v>
      </c>
      <c r="B322" s="301" t="s">
        <v>5548</v>
      </c>
      <c r="C322" s="301"/>
      <c r="D322" s="600" t="s">
        <v>3704</v>
      </c>
      <c r="E322" s="301"/>
      <c r="F322" s="475">
        <v>0</v>
      </c>
      <c r="G322" s="938" t="s">
        <v>6027</v>
      </c>
    </row>
    <row r="323" spans="1:14" s="92" customFormat="1" x14ac:dyDescent="0.25">
      <c r="A323" s="300" t="s">
        <v>3039</v>
      </c>
      <c r="B323" s="301" t="s">
        <v>4847</v>
      </c>
      <c r="C323" s="301"/>
      <c r="D323" s="600" t="s">
        <v>3704</v>
      </c>
      <c r="E323" s="301"/>
      <c r="F323" s="475">
        <v>0</v>
      </c>
      <c r="G323" s="938" t="s">
        <v>6027</v>
      </c>
    </row>
    <row r="324" spans="1:14" s="92" customFormat="1" x14ac:dyDescent="0.25">
      <c r="A324" s="300" t="s">
        <v>3693</v>
      </c>
      <c r="B324" s="301" t="s">
        <v>5406</v>
      </c>
      <c r="C324" s="301"/>
      <c r="D324" s="600" t="s">
        <v>3704</v>
      </c>
      <c r="E324" s="301"/>
      <c r="F324" s="475">
        <v>0</v>
      </c>
      <c r="G324" s="938" t="s">
        <v>6027</v>
      </c>
    </row>
    <row r="325" spans="1:14" s="92" customFormat="1" x14ac:dyDescent="0.25">
      <c r="A325" s="300" t="s">
        <v>3694</v>
      </c>
      <c r="B325" s="301" t="s">
        <v>5411</v>
      </c>
      <c r="C325" s="301"/>
      <c r="D325" s="600" t="s">
        <v>3704</v>
      </c>
      <c r="E325" s="301"/>
      <c r="F325" s="475">
        <v>0</v>
      </c>
      <c r="G325" s="938" t="s">
        <v>6027</v>
      </c>
    </row>
    <row r="326" spans="1:14" s="92" customFormat="1" x14ac:dyDescent="0.25">
      <c r="A326" s="300" t="s">
        <v>3695</v>
      </c>
      <c r="B326" s="301" t="s">
        <v>5412</v>
      </c>
      <c r="C326" s="301"/>
      <c r="D326" s="600" t="s">
        <v>3704</v>
      </c>
      <c r="E326" s="301"/>
      <c r="F326" s="475">
        <v>0</v>
      </c>
      <c r="G326" s="938" t="s">
        <v>6027</v>
      </c>
    </row>
    <row r="327" spans="1:14" s="92" customFormat="1" x14ac:dyDescent="0.25">
      <c r="A327" s="300" t="s">
        <v>3696</v>
      </c>
      <c r="B327" s="301" t="s">
        <v>2034</v>
      </c>
      <c r="C327" s="301"/>
      <c r="D327" s="600" t="s">
        <v>3704</v>
      </c>
      <c r="E327" s="301"/>
      <c r="F327" s="475">
        <v>0</v>
      </c>
      <c r="G327" s="938" t="s">
        <v>6027</v>
      </c>
    </row>
    <row r="328" spans="1:14" s="92" customFormat="1" x14ac:dyDescent="0.25">
      <c r="A328" s="300" t="s">
        <v>3697</v>
      </c>
      <c r="B328" s="301" t="s">
        <v>2067</v>
      </c>
      <c r="C328" s="301"/>
      <c r="D328" s="600" t="s">
        <v>3704</v>
      </c>
      <c r="E328" s="301"/>
      <c r="F328" s="475">
        <v>0</v>
      </c>
      <c r="G328" s="938" t="s">
        <v>6027</v>
      </c>
    </row>
    <row r="329" spans="1:14" s="92" customFormat="1" x14ac:dyDescent="0.25">
      <c r="A329" s="300" t="s">
        <v>3698</v>
      </c>
      <c r="B329" s="301" t="s">
        <v>3374</v>
      </c>
      <c r="C329" s="301"/>
      <c r="D329" s="600" t="s">
        <v>3704</v>
      </c>
      <c r="E329" s="301"/>
      <c r="F329" s="475">
        <v>0</v>
      </c>
      <c r="G329" s="938" t="s">
        <v>6027</v>
      </c>
    </row>
    <row r="330" spans="1:14" s="92" customFormat="1" x14ac:dyDescent="0.25">
      <c r="A330" s="300" t="s">
        <v>3699</v>
      </c>
      <c r="B330" s="301" t="s">
        <v>3382</v>
      </c>
      <c r="C330" s="301"/>
      <c r="D330" s="600" t="s">
        <v>3704</v>
      </c>
      <c r="E330" s="301"/>
      <c r="F330" s="475">
        <v>0</v>
      </c>
      <c r="G330" s="938" t="s">
        <v>6027</v>
      </c>
    </row>
    <row r="331" spans="1:14" s="92" customFormat="1" x14ac:dyDescent="0.25">
      <c r="A331" s="300" t="s">
        <v>3700</v>
      </c>
      <c r="B331" s="301" t="s">
        <v>3390</v>
      </c>
      <c r="C331" s="301"/>
      <c r="D331" s="600" t="s">
        <v>3704</v>
      </c>
      <c r="E331" s="301"/>
      <c r="F331" s="475">
        <v>0</v>
      </c>
      <c r="G331" s="938" t="s">
        <v>6027</v>
      </c>
    </row>
    <row r="332" spans="1:14" s="92" customFormat="1" x14ac:dyDescent="0.25">
      <c r="A332" s="300" t="s">
        <v>3701</v>
      </c>
      <c r="B332" s="301" t="s">
        <v>740</v>
      </c>
      <c r="C332" s="301"/>
      <c r="D332" s="600" t="s">
        <v>3704</v>
      </c>
      <c r="E332" s="301"/>
      <c r="F332" s="475">
        <v>0</v>
      </c>
      <c r="G332" s="938" t="s">
        <v>6027</v>
      </c>
    </row>
    <row r="333" spans="1:14" s="92" customFormat="1" x14ac:dyDescent="0.25">
      <c r="A333" s="300" t="s">
        <v>3702</v>
      </c>
      <c r="B333" s="301" t="s">
        <v>5435</v>
      </c>
      <c r="C333" s="301"/>
      <c r="D333" s="600" t="s">
        <v>3704</v>
      </c>
      <c r="E333" s="301"/>
      <c r="F333" s="475">
        <v>0</v>
      </c>
      <c r="G333" s="938" t="s">
        <v>6027</v>
      </c>
      <c r="I333" s="599"/>
      <c r="J333" s="599"/>
      <c r="K333" s="599"/>
      <c r="L333" s="599"/>
      <c r="M333" s="599"/>
      <c r="N333" s="599"/>
    </row>
    <row r="334" spans="1:14" s="92" customFormat="1" x14ac:dyDescent="0.25">
      <c r="F334" s="574"/>
      <c r="G334" s="938" t="s">
        <v>6027</v>
      </c>
    </row>
    <row r="335" spans="1:14" s="599" customFormat="1" ht="69.75" customHeight="1" x14ac:dyDescent="0.25">
      <c r="A335" s="1167" t="s">
        <v>943</v>
      </c>
      <c r="B335" s="1167"/>
      <c r="C335" s="1167"/>
      <c r="D335" s="1167"/>
      <c r="E335" s="1167"/>
      <c r="F335" s="1167"/>
      <c r="G335" s="938" t="s">
        <v>6027</v>
      </c>
      <c r="I335" s="92"/>
      <c r="J335" s="92"/>
      <c r="K335" s="92"/>
      <c r="L335" s="92"/>
      <c r="M335" s="92"/>
      <c r="N335" s="92"/>
    </row>
    <row r="336" spans="1:14" s="92" customFormat="1" x14ac:dyDescent="0.25">
      <c r="F336" s="574"/>
      <c r="G336" s="938" t="s">
        <v>6027</v>
      </c>
    </row>
    <row r="337" spans="1:7" s="92" customFormat="1" x14ac:dyDescent="0.25">
      <c r="A337" s="300" t="s">
        <v>3705</v>
      </c>
      <c r="B337" s="301" t="s">
        <v>2269</v>
      </c>
      <c r="C337" s="301"/>
      <c r="D337" s="600" t="s">
        <v>3703</v>
      </c>
      <c r="E337" s="301"/>
      <c r="F337" s="475">
        <v>0</v>
      </c>
      <c r="G337" s="938" t="s">
        <v>6027</v>
      </c>
    </row>
    <row r="338" spans="1:7" s="92" customFormat="1" x14ac:dyDescent="0.25">
      <c r="A338" s="300" t="s">
        <v>3706</v>
      </c>
      <c r="B338" s="301" t="s">
        <v>5548</v>
      </c>
      <c r="C338" s="301"/>
      <c r="D338" s="600" t="s">
        <v>3703</v>
      </c>
      <c r="E338" s="301"/>
      <c r="F338" s="475">
        <v>0</v>
      </c>
      <c r="G338" s="938" t="s">
        <v>6027</v>
      </c>
    </row>
    <row r="339" spans="1:7" s="92" customFormat="1" x14ac:dyDescent="0.25">
      <c r="A339" s="300" t="s">
        <v>3707</v>
      </c>
      <c r="B339" s="301" t="s">
        <v>4847</v>
      </c>
      <c r="C339" s="301"/>
      <c r="D339" s="600" t="s">
        <v>3703</v>
      </c>
      <c r="E339" s="301"/>
      <c r="F339" s="475">
        <v>0</v>
      </c>
      <c r="G339" s="938" t="s">
        <v>6027</v>
      </c>
    </row>
    <row r="340" spans="1:7" s="92" customFormat="1" x14ac:dyDescent="0.25">
      <c r="A340" s="300" t="s">
        <v>3708</v>
      </c>
      <c r="B340" s="301" t="s">
        <v>5406</v>
      </c>
      <c r="C340" s="301"/>
      <c r="D340" s="600" t="s">
        <v>3703</v>
      </c>
      <c r="E340" s="301"/>
      <c r="F340" s="475">
        <v>0</v>
      </c>
      <c r="G340" s="938" t="s">
        <v>6027</v>
      </c>
    </row>
    <row r="341" spans="1:7" s="92" customFormat="1" x14ac:dyDescent="0.25">
      <c r="A341" s="300" t="s">
        <v>3709</v>
      </c>
      <c r="B341" s="301" t="s">
        <v>5411</v>
      </c>
      <c r="C341" s="301"/>
      <c r="D341" s="600" t="s">
        <v>3703</v>
      </c>
      <c r="E341" s="301"/>
      <c r="F341" s="475">
        <v>0</v>
      </c>
      <c r="G341" s="938" t="s">
        <v>6027</v>
      </c>
    </row>
    <row r="342" spans="1:7" s="92" customFormat="1" x14ac:dyDescent="0.25">
      <c r="A342" s="300" t="s">
        <v>3710</v>
      </c>
      <c r="B342" s="301" t="s">
        <v>5412</v>
      </c>
      <c r="C342" s="301"/>
      <c r="D342" s="600" t="s">
        <v>3703</v>
      </c>
      <c r="E342" s="301"/>
      <c r="F342" s="475">
        <v>0</v>
      </c>
      <c r="G342" s="938" t="s">
        <v>6027</v>
      </c>
    </row>
    <row r="343" spans="1:7" s="92" customFormat="1" x14ac:dyDescent="0.25">
      <c r="A343" s="300" t="s">
        <v>3711</v>
      </c>
      <c r="B343" s="301" t="s">
        <v>2034</v>
      </c>
      <c r="C343" s="301"/>
      <c r="D343" s="600" t="s">
        <v>3703</v>
      </c>
      <c r="E343" s="301"/>
      <c r="F343" s="475">
        <v>0</v>
      </c>
      <c r="G343" s="938" t="s">
        <v>6027</v>
      </c>
    </row>
    <row r="344" spans="1:7" s="92" customFormat="1" x14ac:dyDescent="0.25">
      <c r="A344" s="300" t="s">
        <v>3712</v>
      </c>
      <c r="B344" s="301" t="s">
        <v>2067</v>
      </c>
      <c r="C344" s="301"/>
      <c r="D344" s="600" t="s">
        <v>3703</v>
      </c>
      <c r="E344" s="301"/>
      <c r="F344" s="475">
        <v>0</v>
      </c>
      <c r="G344" s="938" t="s">
        <v>6027</v>
      </c>
    </row>
    <row r="345" spans="1:7" s="92" customFormat="1" x14ac:dyDescent="0.25">
      <c r="A345" s="300" t="s">
        <v>3713</v>
      </c>
      <c r="B345" s="301" t="s">
        <v>3374</v>
      </c>
      <c r="C345" s="301"/>
      <c r="D345" s="600" t="s">
        <v>3703</v>
      </c>
      <c r="E345" s="301"/>
      <c r="F345" s="475">
        <v>0</v>
      </c>
      <c r="G345" s="938" t="s">
        <v>6027</v>
      </c>
    </row>
    <row r="346" spans="1:7" s="92" customFormat="1" x14ac:dyDescent="0.25">
      <c r="A346" s="300" t="s">
        <v>3714</v>
      </c>
      <c r="B346" s="301" t="s">
        <v>3382</v>
      </c>
      <c r="C346" s="301"/>
      <c r="D346" s="600" t="s">
        <v>3703</v>
      </c>
      <c r="E346" s="301"/>
      <c r="F346" s="475">
        <v>0</v>
      </c>
      <c r="G346" s="938" t="s">
        <v>6027</v>
      </c>
    </row>
    <row r="347" spans="1:7" s="92" customFormat="1" x14ac:dyDescent="0.25">
      <c r="A347" s="300" t="s">
        <v>3715</v>
      </c>
      <c r="B347" s="301" t="s">
        <v>3390</v>
      </c>
      <c r="C347" s="301"/>
      <c r="D347" s="600" t="s">
        <v>3703</v>
      </c>
      <c r="E347" s="301"/>
      <c r="F347" s="475">
        <v>0</v>
      </c>
      <c r="G347" s="938" t="s">
        <v>6027</v>
      </c>
    </row>
    <row r="348" spans="1:7" s="92" customFormat="1" x14ac:dyDescent="0.25">
      <c r="A348" s="300" t="s">
        <v>3716</v>
      </c>
      <c r="B348" s="301" t="s">
        <v>740</v>
      </c>
      <c r="C348" s="301"/>
      <c r="D348" s="600" t="s">
        <v>3703</v>
      </c>
      <c r="E348" s="301"/>
      <c r="F348" s="475">
        <v>0</v>
      </c>
      <c r="G348" s="938" t="s">
        <v>6027</v>
      </c>
    </row>
    <row r="349" spans="1:7" s="92" customFormat="1" x14ac:dyDescent="0.25">
      <c r="A349" s="300" t="s">
        <v>3717</v>
      </c>
      <c r="B349" s="301" t="s">
        <v>5435</v>
      </c>
      <c r="C349" s="301"/>
      <c r="D349" s="600" t="s">
        <v>3703</v>
      </c>
      <c r="E349" s="301"/>
      <c r="F349" s="475">
        <v>0</v>
      </c>
      <c r="G349" s="938" t="s">
        <v>6027</v>
      </c>
    </row>
    <row r="350" spans="1:7" s="92" customFormat="1" x14ac:dyDescent="0.25">
      <c r="F350" s="574"/>
      <c r="G350" s="938" t="s">
        <v>6027</v>
      </c>
    </row>
    <row r="351" spans="1:7" s="92" customFormat="1" ht="131.25" customHeight="1" x14ac:dyDescent="0.25">
      <c r="A351" s="1191" t="s">
        <v>944</v>
      </c>
      <c r="B351" s="1192"/>
      <c r="C351" s="1192"/>
      <c r="D351" s="1192"/>
      <c r="E351" s="1192"/>
      <c r="F351" s="1192"/>
      <c r="G351" s="938" t="s">
        <v>6027</v>
      </c>
    </row>
    <row r="352" spans="1:7" s="92" customFormat="1" x14ac:dyDescent="0.25">
      <c r="A352" s="366"/>
      <c r="B352" s="601"/>
      <c r="C352" s="601"/>
      <c r="D352" s="601"/>
      <c r="E352" s="601"/>
      <c r="F352" s="602"/>
      <c r="G352" s="938" t="s">
        <v>6027</v>
      </c>
    </row>
    <row r="353" spans="1:14" s="92" customFormat="1" x14ac:dyDescent="0.25">
      <c r="A353" s="335" t="s">
        <v>3943</v>
      </c>
      <c r="B353" s="336" t="s">
        <v>740</v>
      </c>
      <c r="C353" s="336"/>
      <c r="D353" s="336" t="s">
        <v>3948</v>
      </c>
      <c r="E353" s="336"/>
      <c r="F353" s="603">
        <v>0</v>
      </c>
      <c r="G353" s="938" t="s">
        <v>6027</v>
      </c>
    </row>
    <row r="354" spans="1:14" s="92" customFormat="1" x14ac:dyDescent="0.25">
      <c r="A354" s="335" t="s">
        <v>3944</v>
      </c>
      <c r="B354" s="336" t="s">
        <v>5435</v>
      </c>
      <c r="C354" s="336"/>
      <c r="D354" s="336" t="s">
        <v>3948</v>
      </c>
      <c r="E354" s="336"/>
      <c r="F354" s="603">
        <v>0</v>
      </c>
      <c r="G354" s="938" t="s">
        <v>6027</v>
      </c>
    </row>
    <row r="355" spans="1:14" s="92" customFormat="1" x14ac:dyDescent="0.25">
      <c r="A355" s="383" t="s">
        <v>2831</v>
      </c>
      <c r="B355" s="384" t="s">
        <v>5435</v>
      </c>
      <c r="C355" s="384"/>
      <c r="D355" s="386" t="s">
        <v>3948</v>
      </c>
      <c r="E355" s="384" t="s">
        <v>1053</v>
      </c>
      <c r="F355" s="479">
        <v>0</v>
      </c>
      <c r="G355" s="938" t="s">
        <v>6027</v>
      </c>
      <c r="I355" s="599"/>
      <c r="J355" s="599"/>
      <c r="K355" s="599"/>
      <c r="L355" s="599"/>
      <c r="M355" s="599"/>
      <c r="N355" s="599"/>
    </row>
    <row r="356" spans="1:14" s="92" customFormat="1" x14ac:dyDescent="0.25">
      <c r="A356" s="366"/>
      <c r="B356" s="601"/>
      <c r="C356" s="601"/>
      <c r="D356" s="601"/>
      <c r="E356" s="601"/>
      <c r="F356" s="602"/>
      <c r="G356" s="938" t="s">
        <v>6027</v>
      </c>
    </row>
    <row r="357" spans="1:14" s="92" customFormat="1" x14ac:dyDescent="0.25">
      <c r="A357" s="335" t="s">
        <v>3945</v>
      </c>
      <c r="B357" s="336" t="s">
        <v>740</v>
      </c>
      <c r="C357" s="336"/>
      <c r="D357" s="336" t="s">
        <v>3947</v>
      </c>
      <c r="E357" s="336"/>
      <c r="F357" s="603">
        <v>0</v>
      </c>
      <c r="G357" s="938" t="s">
        <v>6027</v>
      </c>
    </row>
    <row r="358" spans="1:14" s="92" customFormat="1" x14ac:dyDescent="0.25">
      <c r="A358" s="335" t="s">
        <v>3946</v>
      </c>
      <c r="B358" s="336" t="s">
        <v>5435</v>
      </c>
      <c r="C358" s="336"/>
      <c r="D358" s="336" t="s">
        <v>3947</v>
      </c>
      <c r="E358" s="336"/>
      <c r="F358" s="603">
        <v>0</v>
      </c>
      <c r="G358" s="938" t="s">
        <v>6027</v>
      </c>
    </row>
    <row r="360" spans="1:14" ht="67.5" customHeight="1" x14ac:dyDescent="0.25">
      <c r="A360" s="1136" t="s">
        <v>6028</v>
      </c>
      <c r="B360" s="1136"/>
      <c r="C360" s="1136"/>
      <c r="D360" s="1136"/>
      <c r="E360" s="1136"/>
      <c r="F360" s="1136"/>
      <c r="G360" s="939">
        <v>42705</v>
      </c>
    </row>
    <row r="361" spans="1:14" x14ac:dyDescent="0.25">
      <c r="F361" s="471"/>
    </row>
    <row r="362" spans="1:14" x14ac:dyDescent="0.25">
      <c r="A362" s="607" t="s">
        <v>210</v>
      </c>
      <c r="B362" s="435" t="s">
        <v>2269</v>
      </c>
      <c r="C362" s="436"/>
      <c r="D362" s="436" t="s">
        <v>311</v>
      </c>
      <c r="E362" s="435"/>
      <c r="F362" s="450"/>
      <c r="G362" s="939">
        <v>42705</v>
      </c>
    </row>
    <row r="363" spans="1:14" x14ac:dyDescent="0.25">
      <c r="A363" s="607" t="s">
        <v>211</v>
      </c>
      <c r="B363" s="435" t="s">
        <v>5548</v>
      </c>
      <c r="C363" s="436"/>
      <c r="D363" s="436" t="s">
        <v>311</v>
      </c>
      <c r="E363" s="435"/>
      <c r="F363" s="450"/>
      <c r="G363" s="939">
        <v>42705</v>
      </c>
    </row>
    <row r="364" spans="1:14" x14ac:dyDescent="0.25">
      <c r="A364" s="607" t="s">
        <v>212</v>
      </c>
      <c r="B364" s="435" t="s">
        <v>4847</v>
      </c>
      <c r="C364" s="436"/>
      <c r="D364" s="436" t="s">
        <v>311</v>
      </c>
      <c r="E364" s="435"/>
      <c r="F364" s="450"/>
      <c r="G364" s="939">
        <v>42705</v>
      </c>
    </row>
    <row r="365" spans="1:14" x14ac:dyDescent="0.25">
      <c r="A365" s="607" t="s">
        <v>213</v>
      </c>
      <c r="B365" s="435" t="s">
        <v>5406</v>
      </c>
      <c r="C365" s="436"/>
      <c r="D365" s="436" t="s">
        <v>311</v>
      </c>
      <c r="E365" s="435"/>
      <c r="F365" s="450"/>
      <c r="G365" s="939">
        <v>42705</v>
      </c>
    </row>
    <row r="366" spans="1:14" x14ac:dyDescent="0.25">
      <c r="A366" s="607" t="s">
        <v>214</v>
      </c>
      <c r="B366" s="435" t="s">
        <v>5411</v>
      </c>
      <c r="C366" s="436"/>
      <c r="D366" s="436" t="s">
        <v>311</v>
      </c>
      <c r="E366" s="435"/>
      <c r="F366" s="450"/>
      <c r="G366" s="939">
        <v>42705</v>
      </c>
    </row>
    <row r="367" spans="1:14" x14ac:dyDescent="0.25">
      <c r="A367" s="607" t="s">
        <v>215</v>
      </c>
      <c r="B367" s="435" t="s">
        <v>5412</v>
      </c>
      <c r="C367" s="436"/>
      <c r="D367" s="436" t="s">
        <v>311</v>
      </c>
      <c r="E367" s="435"/>
      <c r="F367" s="450"/>
      <c r="G367" s="939">
        <v>42705</v>
      </c>
    </row>
    <row r="368" spans="1:14" x14ac:dyDescent="0.25">
      <c r="A368" s="607" t="s">
        <v>216</v>
      </c>
      <c r="B368" s="435" t="s">
        <v>2034</v>
      </c>
      <c r="C368" s="436"/>
      <c r="D368" s="436" t="s">
        <v>311</v>
      </c>
      <c r="E368" s="435"/>
      <c r="F368" s="450"/>
      <c r="G368" s="939">
        <v>42705</v>
      </c>
    </row>
    <row r="369" spans="1:7" x14ac:dyDescent="0.25">
      <c r="A369" s="607" t="s">
        <v>217</v>
      </c>
      <c r="B369" s="435" t="s">
        <v>2067</v>
      </c>
      <c r="C369" s="436"/>
      <c r="D369" s="436" t="s">
        <v>311</v>
      </c>
      <c r="E369" s="435"/>
      <c r="F369" s="450"/>
      <c r="G369" s="939">
        <v>42705</v>
      </c>
    </row>
    <row r="370" spans="1:7" x14ac:dyDescent="0.25">
      <c r="A370" s="607" t="s">
        <v>218</v>
      </c>
      <c r="B370" s="435" t="s">
        <v>3374</v>
      </c>
      <c r="C370" s="436"/>
      <c r="D370" s="436" t="s">
        <v>311</v>
      </c>
      <c r="E370" s="435"/>
      <c r="F370" s="450"/>
      <c r="G370" s="939">
        <v>42705</v>
      </c>
    </row>
    <row r="371" spans="1:7" x14ac:dyDescent="0.25">
      <c r="A371" s="607" t="s">
        <v>219</v>
      </c>
      <c r="B371" s="435" t="s">
        <v>3382</v>
      </c>
      <c r="C371" s="436"/>
      <c r="D371" s="436" t="s">
        <v>311</v>
      </c>
      <c r="E371" s="435"/>
      <c r="F371" s="450"/>
      <c r="G371" s="939">
        <v>42705</v>
      </c>
    </row>
    <row r="372" spans="1:7" x14ac:dyDescent="0.25">
      <c r="A372" s="607" t="s">
        <v>220</v>
      </c>
      <c r="B372" s="435" t="s">
        <v>3390</v>
      </c>
      <c r="C372" s="436"/>
      <c r="D372" s="436" t="s">
        <v>311</v>
      </c>
      <c r="E372" s="435"/>
      <c r="F372" s="450"/>
      <c r="G372" s="939">
        <v>42705</v>
      </c>
    </row>
    <row r="373" spans="1:7" x14ac:dyDescent="0.25">
      <c r="A373" s="607" t="s">
        <v>221</v>
      </c>
      <c r="B373" s="435" t="s">
        <v>740</v>
      </c>
      <c r="C373" s="436"/>
      <c r="D373" s="436" t="s">
        <v>311</v>
      </c>
      <c r="E373" s="435"/>
      <c r="F373" s="450"/>
      <c r="G373" s="939">
        <v>42705</v>
      </c>
    </row>
    <row r="374" spans="1:7" x14ac:dyDescent="0.25">
      <c r="A374" s="607" t="s">
        <v>222</v>
      </c>
      <c r="B374" s="435" t="s">
        <v>5435</v>
      </c>
      <c r="C374" s="436"/>
      <c r="D374" s="436" t="s">
        <v>311</v>
      </c>
      <c r="E374" s="435"/>
      <c r="F374" s="450"/>
      <c r="G374" s="939">
        <v>42705</v>
      </c>
    </row>
    <row r="375" spans="1:7" x14ac:dyDescent="0.25">
      <c r="A375" s="607" t="s">
        <v>267</v>
      </c>
      <c r="B375" s="435" t="s">
        <v>5435</v>
      </c>
      <c r="C375" s="436"/>
      <c r="D375" s="436" t="s">
        <v>311</v>
      </c>
      <c r="E375" s="435" t="s">
        <v>1053</v>
      </c>
      <c r="F375" s="450">
        <v>0</v>
      </c>
      <c r="G375" s="939">
        <v>42705</v>
      </c>
    </row>
    <row r="377" spans="1:7" ht="97.5" customHeight="1" x14ac:dyDescent="0.25">
      <c r="A377" s="1136" t="s">
        <v>6116</v>
      </c>
      <c r="B377" s="1136"/>
      <c r="C377" s="1136"/>
      <c r="D377" s="1136"/>
      <c r="E377" s="1136"/>
      <c r="F377" s="1136"/>
    </row>
    <row r="379" spans="1:7" x14ac:dyDescent="0.25">
      <c r="A379" s="607" t="s">
        <v>170</v>
      </c>
      <c r="B379" s="435" t="s">
        <v>2269</v>
      </c>
      <c r="C379" s="436"/>
      <c r="D379" s="436" t="s">
        <v>183</v>
      </c>
      <c r="E379" s="435"/>
      <c r="F379" s="450">
        <v>0</v>
      </c>
      <c r="G379" s="939">
        <v>42705</v>
      </c>
    </row>
    <row r="380" spans="1:7" x14ac:dyDescent="0.25">
      <c r="A380" s="607" t="s">
        <v>172</v>
      </c>
      <c r="B380" s="435" t="s">
        <v>4847</v>
      </c>
      <c r="C380" s="436"/>
      <c r="D380" s="436" t="s">
        <v>183</v>
      </c>
      <c r="E380" s="435"/>
      <c r="F380" s="450">
        <v>0</v>
      </c>
      <c r="G380" s="939">
        <v>42705</v>
      </c>
    </row>
    <row r="381" spans="1:7" x14ac:dyDescent="0.25">
      <c r="A381" s="607" t="s">
        <v>173</v>
      </c>
      <c r="B381" s="435" t="s">
        <v>5406</v>
      </c>
      <c r="C381" s="436"/>
      <c r="D381" s="436" t="s">
        <v>183</v>
      </c>
      <c r="E381" s="435"/>
      <c r="F381" s="450">
        <v>0</v>
      </c>
      <c r="G381" s="939">
        <v>42705</v>
      </c>
    </row>
    <row r="382" spans="1:7" x14ac:dyDescent="0.25">
      <c r="A382" s="607" t="s">
        <v>174</v>
      </c>
      <c r="B382" s="435" t="s">
        <v>5411</v>
      </c>
      <c r="C382" s="436"/>
      <c r="D382" s="436" t="s">
        <v>183</v>
      </c>
      <c r="E382" s="435"/>
      <c r="F382" s="450">
        <v>0</v>
      </c>
      <c r="G382" s="939">
        <v>42705</v>
      </c>
    </row>
    <row r="383" spans="1:7" x14ac:dyDescent="0.25">
      <c r="A383" s="607" t="s">
        <v>175</v>
      </c>
      <c r="B383" s="435" t="s">
        <v>5412</v>
      </c>
      <c r="C383" s="436"/>
      <c r="D383" s="436" t="s">
        <v>183</v>
      </c>
      <c r="E383" s="435"/>
      <c r="F383" s="450">
        <v>0</v>
      </c>
      <c r="G383" s="939">
        <v>42705</v>
      </c>
    </row>
    <row r="384" spans="1:7" x14ac:dyDescent="0.25">
      <c r="A384" s="607" t="s">
        <v>176</v>
      </c>
      <c r="B384" s="435" t="s">
        <v>2034</v>
      </c>
      <c r="C384" s="436"/>
      <c r="D384" s="436" t="s">
        <v>183</v>
      </c>
      <c r="E384" s="435"/>
      <c r="F384" s="450">
        <v>0</v>
      </c>
      <c r="G384" s="939">
        <v>42705</v>
      </c>
    </row>
    <row r="385" spans="1:7" x14ac:dyDescent="0.25">
      <c r="A385" s="607" t="s">
        <v>177</v>
      </c>
      <c r="B385" s="435" t="s">
        <v>2067</v>
      </c>
      <c r="C385" s="436"/>
      <c r="D385" s="436" t="s">
        <v>183</v>
      </c>
      <c r="E385" s="435"/>
      <c r="F385" s="450">
        <v>0</v>
      </c>
      <c r="G385" s="939">
        <v>42705</v>
      </c>
    </row>
    <row r="386" spans="1:7" x14ac:dyDescent="0.25">
      <c r="A386" s="607" t="s">
        <v>178</v>
      </c>
      <c r="B386" s="435" t="s">
        <v>3374</v>
      </c>
      <c r="C386" s="436"/>
      <c r="D386" s="436" t="s">
        <v>183</v>
      </c>
      <c r="E386" s="435"/>
      <c r="F386" s="450">
        <v>0</v>
      </c>
      <c r="G386" s="939">
        <v>42705</v>
      </c>
    </row>
    <row r="387" spans="1:7" x14ac:dyDescent="0.25">
      <c r="A387" s="607" t="s">
        <v>179</v>
      </c>
      <c r="B387" s="435" t="s">
        <v>3382</v>
      </c>
      <c r="C387" s="436"/>
      <c r="D387" s="436" t="s">
        <v>183</v>
      </c>
      <c r="E387" s="435"/>
      <c r="F387" s="450">
        <v>0</v>
      </c>
      <c r="G387" s="939">
        <v>42705</v>
      </c>
    </row>
    <row r="388" spans="1:7" x14ac:dyDescent="0.25">
      <c r="A388" s="607" t="s">
        <v>180</v>
      </c>
      <c r="B388" s="435" t="s">
        <v>3390</v>
      </c>
      <c r="C388" s="436"/>
      <c r="D388" s="436" t="s">
        <v>183</v>
      </c>
      <c r="E388" s="435"/>
      <c r="F388" s="450">
        <v>0</v>
      </c>
      <c r="G388" s="939">
        <v>42705</v>
      </c>
    </row>
    <row r="389" spans="1:7" x14ac:dyDescent="0.25">
      <c r="A389" s="607" t="s">
        <v>181</v>
      </c>
      <c r="B389" s="435" t="s">
        <v>740</v>
      </c>
      <c r="C389" s="436"/>
      <c r="D389" s="436" t="s">
        <v>183</v>
      </c>
      <c r="E389" s="435"/>
      <c r="F389" s="450">
        <v>0</v>
      </c>
      <c r="G389" s="939">
        <v>42705</v>
      </c>
    </row>
    <row r="390" spans="1:7" x14ac:dyDescent="0.25">
      <c r="A390" s="607" t="s">
        <v>182</v>
      </c>
      <c r="B390" s="435" t="s">
        <v>5435</v>
      </c>
      <c r="C390" s="436"/>
      <c r="D390" s="436" t="s">
        <v>183</v>
      </c>
      <c r="E390" s="435"/>
      <c r="F390" s="450">
        <v>0</v>
      </c>
      <c r="G390" s="939">
        <v>42705</v>
      </c>
    </row>
    <row r="391" spans="1:7" x14ac:dyDescent="0.25">
      <c r="A391" s="607" t="s">
        <v>265</v>
      </c>
      <c r="B391" s="435" t="s">
        <v>5435</v>
      </c>
      <c r="C391" s="436"/>
      <c r="D391" s="436" t="s">
        <v>183</v>
      </c>
      <c r="E391" s="435" t="s">
        <v>1053</v>
      </c>
      <c r="F391" s="450">
        <v>0</v>
      </c>
      <c r="G391" s="939">
        <v>42705</v>
      </c>
    </row>
    <row r="393" spans="1:7" ht="63.75" customHeight="1" x14ac:dyDescent="0.25">
      <c r="A393" s="1136" t="s">
        <v>6089</v>
      </c>
      <c r="B393" s="1136"/>
      <c r="C393" s="1136"/>
      <c r="D393" s="1136"/>
      <c r="E393" s="1136"/>
      <c r="F393" s="1136"/>
    </row>
    <row r="394" spans="1:7" x14ac:dyDescent="0.25">
      <c r="A394" s="1136" t="s">
        <v>6332</v>
      </c>
      <c r="B394" s="1136"/>
      <c r="C394" s="1136"/>
      <c r="D394" s="1136"/>
      <c r="E394" s="1136"/>
      <c r="F394" s="1136"/>
    </row>
    <row r="396" spans="1:7" x14ac:dyDescent="0.25">
      <c r="A396" s="607" t="s">
        <v>6013</v>
      </c>
      <c r="B396" s="435" t="s">
        <v>2269</v>
      </c>
      <c r="C396" s="436"/>
      <c r="D396" s="436" t="s">
        <v>6026</v>
      </c>
      <c r="E396" s="435"/>
      <c r="F396" s="450">
        <v>0</v>
      </c>
      <c r="G396" s="1028">
        <v>42705</v>
      </c>
    </row>
    <row r="397" spans="1:7" x14ac:dyDescent="0.25">
      <c r="A397" s="607" t="s">
        <v>6015</v>
      </c>
      <c r="B397" s="435" t="s">
        <v>4847</v>
      </c>
      <c r="C397" s="436"/>
      <c r="D397" s="436" t="s">
        <v>6026</v>
      </c>
      <c r="E397" s="435"/>
      <c r="F397" s="450">
        <v>0</v>
      </c>
      <c r="G397" s="1028">
        <v>42705</v>
      </c>
    </row>
    <row r="398" spans="1:7" x14ac:dyDescent="0.25">
      <c r="A398" s="607" t="s">
        <v>6016</v>
      </c>
      <c r="B398" s="435" t="s">
        <v>5406</v>
      </c>
      <c r="C398" s="436"/>
      <c r="D398" s="436" t="s">
        <v>6026</v>
      </c>
      <c r="E398" s="435"/>
      <c r="F398" s="450">
        <v>0</v>
      </c>
      <c r="G398" s="1028">
        <v>42705</v>
      </c>
    </row>
    <row r="399" spans="1:7" x14ac:dyDescent="0.25">
      <c r="A399" s="607" t="s">
        <v>6017</v>
      </c>
      <c r="B399" s="435" t="s">
        <v>5411</v>
      </c>
      <c r="C399" s="436"/>
      <c r="D399" s="436" t="s">
        <v>6026</v>
      </c>
      <c r="E399" s="435"/>
      <c r="F399" s="450">
        <v>0</v>
      </c>
      <c r="G399" s="1028">
        <v>42705</v>
      </c>
    </row>
    <row r="400" spans="1:7" x14ac:dyDescent="0.25">
      <c r="A400" s="607" t="s">
        <v>6018</v>
      </c>
      <c r="B400" s="435" t="s">
        <v>5412</v>
      </c>
      <c r="C400" s="436"/>
      <c r="D400" s="436" t="s">
        <v>6026</v>
      </c>
      <c r="E400" s="435"/>
      <c r="F400" s="450">
        <v>0</v>
      </c>
      <c r="G400" s="1028">
        <v>42705</v>
      </c>
    </row>
    <row r="401" spans="1:7" x14ac:dyDescent="0.25">
      <c r="A401" s="607" t="s">
        <v>6019</v>
      </c>
      <c r="B401" s="435" t="s">
        <v>2034</v>
      </c>
      <c r="C401" s="436"/>
      <c r="D401" s="436" t="s">
        <v>6026</v>
      </c>
      <c r="E401" s="435"/>
      <c r="F401" s="450">
        <v>0</v>
      </c>
      <c r="G401" s="1028">
        <v>42705</v>
      </c>
    </row>
    <row r="402" spans="1:7" x14ac:dyDescent="0.25">
      <c r="A402" s="607" t="s">
        <v>6020</v>
      </c>
      <c r="B402" s="435" t="s">
        <v>2067</v>
      </c>
      <c r="C402" s="436"/>
      <c r="D402" s="436" t="s">
        <v>6026</v>
      </c>
      <c r="E402" s="435"/>
      <c r="F402" s="450">
        <v>0</v>
      </c>
      <c r="G402" s="1028">
        <v>42705</v>
      </c>
    </row>
    <row r="403" spans="1:7" x14ac:dyDescent="0.25">
      <c r="A403" s="607" t="s">
        <v>6022</v>
      </c>
      <c r="B403" s="435" t="s">
        <v>3382</v>
      </c>
      <c r="C403" s="436"/>
      <c r="D403" s="436" t="s">
        <v>6026</v>
      </c>
      <c r="E403" s="435"/>
      <c r="F403" s="450">
        <v>0</v>
      </c>
      <c r="G403" s="1028">
        <v>42705</v>
      </c>
    </row>
    <row r="404" spans="1:7" s="12" customFormat="1" x14ac:dyDescent="0.25">
      <c r="A404" s="616"/>
      <c r="B404" s="28"/>
      <c r="C404" s="753"/>
      <c r="D404" s="753"/>
      <c r="E404" s="28"/>
      <c r="F404" s="39"/>
      <c r="G404" s="1028"/>
    </row>
    <row r="405" spans="1:7" ht="128.25" customHeight="1" x14ac:dyDescent="0.25">
      <c r="A405" s="1136" t="s">
        <v>6090</v>
      </c>
      <c r="B405" s="1136"/>
      <c r="C405" s="1136"/>
      <c r="D405" s="1136"/>
      <c r="E405" s="1136"/>
      <c r="F405" s="1136"/>
      <c r="G405" s="1028"/>
    </row>
    <row r="406" spans="1:7" x14ac:dyDescent="0.25">
      <c r="A406" s="1136" t="s">
        <v>6333</v>
      </c>
      <c r="B406" s="1136"/>
      <c r="C406" s="1136"/>
      <c r="D406" s="1136"/>
      <c r="E406" s="1136"/>
      <c r="F406" s="1136"/>
      <c r="G406" s="1028"/>
    </row>
    <row r="407" spans="1:7" s="12" customFormat="1" x14ac:dyDescent="0.25">
      <c r="A407" s="754"/>
      <c r="B407" s="754"/>
      <c r="C407" s="754"/>
      <c r="D407" s="754"/>
      <c r="E407" s="754"/>
      <c r="F407" s="754"/>
      <c r="G407" s="1030"/>
    </row>
    <row r="408" spans="1:7" x14ac:dyDescent="0.25">
      <c r="A408" s="644" t="s">
        <v>6032</v>
      </c>
      <c r="B408" s="645" t="s">
        <v>4847</v>
      </c>
      <c r="C408" s="643"/>
      <c r="D408" s="643" t="s">
        <v>6029</v>
      </c>
      <c r="E408" s="645"/>
      <c r="F408" s="657"/>
      <c r="G408" s="1028">
        <v>42705</v>
      </c>
    </row>
    <row r="409" spans="1:7" x14ac:dyDescent="0.25">
      <c r="A409" s="644" t="s">
        <v>6037</v>
      </c>
      <c r="B409" s="645" t="s">
        <v>2067</v>
      </c>
      <c r="C409" s="643"/>
      <c r="D409" s="643" t="s">
        <v>6029</v>
      </c>
      <c r="E409" s="645"/>
      <c r="F409" s="657"/>
      <c r="G409" s="1028">
        <v>42705</v>
      </c>
    </row>
    <row r="410" spans="1:7" x14ac:dyDescent="0.25">
      <c r="A410" s="644" t="s">
        <v>6039</v>
      </c>
      <c r="B410" s="645" t="s">
        <v>3382</v>
      </c>
      <c r="C410" s="643"/>
      <c r="D410" s="643" t="s">
        <v>6029</v>
      </c>
      <c r="E410" s="645"/>
      <c r="F410" s="657"/>
      <c r="G410" s="1028">
        <v>42705</v>
      </c>
    </row>
    <row r="412" spans="1:7" ht="23.25" x14ac:dyDescent="0.25">
      <c r="A412" s="663" t="s">
        <v>7481</v>
      </c>
      <c r="B412" s="605"/>
      <c r="C412" s="605"/>
      <c r="D412" s="605"/>
      <c r="E412" s="605"/>
      <c r="F412" s="606"/>
      <c r="G412" s="1028">
        <v>44477</v>
      </c>
    </row>
    <row r="413" spans="1:7" ht="117.75" customHeight="1" x14ac:dyDescent="0.25">
      <c r="A413" s="1151" t="s">
        <v>7545</v>
      </c>
      <c r="B413" s="1151"/>
      <c r="C413" s="1151"/>
      <c r="D413" s="1151"/>
      <c r="E413" s="1151"/>
      <c r="F413" s="1151"/>
      <c r="G413" s="1029"/>
    </row>
    <row r="414" spans="1:7" x14ac:dyDescent="0.25">
      <c r="A414" s="774"/>
      <c r="B414" s="774"/>
      <c r="C414" s="774"/>
      <c r="D414" s="130"/>
      <c r="E414" s="774"/>
      <c r="F414" s="471"/>
      <c r="G414" s="1030"/>
    </row>
    <row r="415" spans="1:7" x14ac:dyDescent="0.25">
      <c r="A415" s="644" t="s">
        <v>7483</v>
      </c>
      <c r="B415" s="645" t="s">
        <v>6009</v>
      </c>
      <c r="C415" s="643" t="s">
        <v>7482</v>
      </c>
      <c r="D415" s="643" t="s">
        <v>7536</v>
      </c>
      <c r="E415" s="656"/>
      <c r="F415" s="657" t="str">
        <f>IF($L415&lt;&gt;"",ROUND(N415,2),"")</f>
        <v/>
      </c>
      <c r="G415" s="1028">
        <v>44477</v>
      </c>
    </row>
    <row r="416" spans="1:7" x14ac:dyDescent="0.25">
      <c r="G416" s="1030"/>
    </row>
    <row r="417" spans="1:15" ht="24" customHeight="1" x14ac:dyDescent="0.25">
      <c r="A417" s="806" t="s">
        <v>6716</v>
      </c>
      <c r="B417" s="775"/>
      <c r="C417" s="775"/>
      <c r="D417" s="775"/>
      <c r="E417" s="775"/>
      <c r="F417" s="443"/>
      <c r="G417" s="1030"/>
      <c r="H417" s="23"/>
      <c r="I417" s="816"/>
    </row>
    <row r="418" spans="1:15" x14ac:dyDescent="0.25">
      <c r="A418" s="794" t="s">
        <v>7549</v>
      </c>
      <c r="B418" s="794"/>
      <c r="C418" s="794"/>
      <c r="D418" s="794"/>
      <c r="E418" s="794"/>
      <c r="F418" s="794"/>
      <c r="G418" s="1031"/>
      <c r="H418" s="39"/>
      <c r="I418" s="817"/>
    </row>
    <row r="419" spans="1:15" x14ac:dyDescent="0.25">
      <c r="G419" s="1028"/>
    </row>
    <row r="420" spans="1:15" s="774" customFormat="1" x14ac:dyDescent="0.25">
      <c r="A420" s="644" t="s">
        <v>6706</v>
      </c>
      <c r="B420" s="645" t="s">
        <v>2067</v>
      </c>
      <c r="C420" s="643"/>
      <c r="D420" s="643" t="s">
        <v>7542</v>
      </c>
      <c r="E420" s="656"/>
      <c r="F420" s="657"/>
      <c r="G420" s="1028">
        <v>44477</v>
      </c>
      <c r="H420" s="129"/>
      <c r="K420" s="333"/>
      <c r="L420" s="395"/>
      <c r="M420" s="569"/>
      <c r="N420" s="327"/>
      <c r="O420" s="327"/>
    </row>
    <row r="421" spans="1:15" s="774" customFormat="1" x14ac:dyDescent="0.25">
      <c r="A421" s="644" t="s">
        <v>6707</v>
      </c>
      <c r="B421" s="645" t="s">
        <v>2067</v>
      </c>
      <c r="C421" s="643"/>
      <c r="D421" s="643" t="s">
        <v>7543</v>
      </c>
      <c r="E421" s="656"/>
      <c r="F421" s="657"/>
      <c r="G421" s="1028">
        <v>44477</v>
      </c>
      <c r="H421" s="129"/>
      <c r="K421" s="333"/>
      <c r="L421" s="395"/>
      <c r="M421" s="569"/>
      <c r="N421" s="327"/>
      <c r="O421" s="327"/>
    </row>
    <row r="422" spans="1:15" x14ac:dyDescent="0.25">
      <c r="G422" s="1028"/>
    </row>
    <row r="423" spans="1:15" s="774" customFormat="1" ht="24.6" customHeight="1" x14ac:dyDescent="0.25">
      <c r="A423" s="1181" t="s">
        <v>2849</v>
      </c>
      <c r="B423" s="1181"/>
      <c r="C423" s="1181"/>
      <c r="D423" s="1181"/>
      <c r="E423" s="1181"/>
      <c r="F423" s="1181"/>
      <c r="G423" s="1028"/>
    </row>
    <row r="424" spans="1:15" s="774" customFormat="1" ht="36.950000000000003" customHeight="1" x14ac:dyDescent="0.25">
      <c r="A424" s="1176" t="s">
        <v>7833</v>
      </c>
      <c r="B424" s="1176"/>
      <c r="C424" s="1176"/>
      <c r="D424" s="1176"/>
      <c r="E424" s="1176"/>
      <c r="F424" s="1176"/>
      <c r="G424" s="1028">
        <v>44535</v>
      </c>
      <c r="H424" s="39"/>
      <c r="I424" s="817"/>
    </row>
    <row r="425" spans="1:15" x14ac:dyDescent="0.25">
      <c r="A425" s="1177"/>
      <c r="B425" s="1177"/>
      <c r="C425" s="1177"/>
      <c r="D425" s="1177"/>
      <c r="E425" s="1177"/>
      <c r="F425" s="1178"/>
      <c r="G425"/>
    </row>
    <row r="426" spans="1:15" x14ac:dyDescent="0.25">
      <c r="A426" s="610" t="s">
        <v>2861</v>
      </c>
      <c r="B426" s="17" t="s">
        <v>2067</v>
      </c>
      <c r="C426" s="17"/>
      <c r="D426" s="17" t="s">
        <v>609</v>
      </c>
      <c r="E426" s="17"/>
      <c r="F426" s="444"/>
      <c r="G426" s="938" t="s">
        <v>6027</v>
      </c>
    </row>
    <row r="427" spans="1:15" x14ac:dyDescent="0.25">
      <c r="A427" s="610" t="s">
        <v>2862</v>
      </c>
      <c r="B427" s="17" t="s">
        <v>2067</v>
      </c>
      <c r="C427" s="17"/>
      <c r="D427" s="17" t="s">
        <v>610</v>
      </c>
      <c r="E427" s="17"/>
      <c r="F427" s="444"/>
      <c r="G427" s="938" t="s">
        <v>6027</v>
      </c>
    </row>
    <row r="428" spans="1:15" x14ac:dyDescent="0.25">
      <c r="A428" s="610" t="s">
        <v>2863</v>
      </c>
      <c r="B428" s="17" t="s">
        <v>2067</v>
      </c>
      <c r="C428" s="17"/>
      <c r="D428" s="17" t="s">
        <v>611</v>
      </c>
      <c r="E428" s="17"/>
      <c r="F428" s="444"/>
      <c r="G428" s="938" t="s">
        <v>6027</v>
      </c>
    </row>
    <row r="429" spans="1:15" x14ac:dyDescent="0.25">
      <c r="A429" s="610" t="s">
        <v>2864</v>
      </c>
      <c r="B429" s="17" t="s">
        <v>2067</v>
      </c>
      <c r="C429" s="17"/>
      <c r="D429" s="17" t="s">
        <v>612</v>
      </c>
      <c r="E429" s="17"/>
      <c r="F429" s="444"/>
      <c r="G429" s="938" t="s">
        <v>6027</v>
      </c>
    </row>
    <row r="430" spans="1:15" x14ac:dyDescent="0.25">
      <c r="A430" s="610" t="s">
        <v>2865</v>
      </c>
      <c r="B430" s="17" t="s">
        <v>2067</v>
      </c>
      <c r="C430" s="17"/>
      <c r="D430" s="17" t="s">
        <v>613</v>
      </c>
      <c r="E430" s="17"/>
      <c r="F430" s="444"/>
      <c r="G430" s="938" t="s">
        <v>6027</v>
      </c>
    </row>
    <row r="431" spans="1:15" x14ac:dyDescent="0.25">
      <c r="A431" s="610" t="s">
        <v>2866</v>
      </c>
      <c r="B431" s="17" t="s">
        <v>2067</v>
      </c>
      <c r="C431" s="17"/>
      <c r="D431" s="17" t="s">
        <v>614</v>
      </c>
      <c r="E431" s="17"/>
      <c r="F431" s="444"/>
      <c r="G431" s="938" t="s">
        <v>6027</v>
      </c>
    </row>
    <row r="432" spans="1:15" x14ac:dyDescent="0.25">
      <c r="A432" s="610" t="s">
        <v>2867</v>
      </c>
      <c r="B432" s="17" t="s">
        <v>2067</v>
      </c>
      <c r="C432" s="17"/>
      <c r="D432" s="17" t="s">
        <v>615</v>
      </c>
      <c r="E432" s="17"/>
      <c r="F432" s="444"/>
      <c r="G432" s="938" t="s">
        <v>6027</v>
      </c>
    </row>
    <row r="433" spans="1:7" x14ac:dyDescent="0.25">
      <c r="A433" s="608"/>
      <c r="B433" s="2"/>
      <c r="C433" s="1"/>
      <c r="D433" s="2"/>
      <c r="E433" s="1"/>
      <c r="F433" s="442"/>
      <c r="G433"/>
    </row>
    <row r="434" spans="1:7" x14ac:dyDescent="0.25">
      <c r="A434" s="610" t="s">
        <v>3367</v>
      </c>
      <c r="B434" s="17" t="s">
        <v>3374</v>
      </c>
      <c r="C434" s="17"/>
      <c r="D434" s="17" t="s">
        <v>616</v>
      </c>
      <c r="E434" s="17"/>
      <c r="F434" s="444"/>
      <c r="G434" s="938" t="s">
        <v>6027</v>
      </c>
    </row>
    <row r="435" spans="1:7" x14ac:dyDescent="0.25">
      <c r="A435" s="610" t="s">
        <v>3368</v>
      </c>
      <c r="B435" s="17" t="s">
        <v>3374</v>
      </c>
      <c r="C435" s="17"/>
      <c r="D435" s="17" t="s">
        <v>3347</v>
      </c>
      <c r="E435" s="17"/>
      <c r="F435" s="444"/>
      <c r="G435" s="938" t="s">
        <v>6027</v>
      </c>
    </row>
    <row r="436" spans="1:7" x14ac:dyDescent="0.25">
      <c r="A436" s="610" t="s">
        <v>3369</v>
      </c>
      <c r="B436" s="17" t="s">
        <v>3374</v>
      </c>
      <c r="C436" s="17"/>
      <c r="D436" s="17" t="s">
        <v>3348</v>
      </c>
      <c r="E436" s="17"/>
      <c r="F436" s="444"/>
      <c r="G436" s="938" t="s">
        <v>6027</v>
      </c>
    </row>
    <row r="437" spans="1:7" x14ac:dyDescent="0.25">
      <c r="A437" s="610" t="s">
        <v>3370</v>
      </c>
      <c r="B437" s="17" t="s">
        <v>3374</v>
      </c>
      <c r="C437" s="17"/>
      <c r="D437" s="17" t="s">
        <v>3349</v>
      </c>
      <c r="E437" s="17"/>
      <c r="F437" s="444"/>
      <c r="G437" s="938" t="s">
        <v>6027</v>
      </c>
    </row>
    <row r="438" spans="1:7" x14ac:dyDescent="0.25">
      <c r="A438" s="610" t="s">
        <v>3371</v>
      </c>
      <c r="B438" s="17" t="s">
        <v>3374</v>
      </c>
      <c r="C438" s="17"/>
      <c r="D438" s="17" t="s">
        <v>3350</v>
      </c>
      <c r="E438" s="17"/>
      <c r="F438" s="444"/>
      <c r="G438" s="938" t="s">
        <v>6027</v>
      </c>
    </row>
    <row r="439" spans="1:7" x14ac:dyDescent="0.25">
      <c r="A439" s="610" t="s">
        <v>3372</v>
      </c>
      <c r="B439" s="17" t="s">
        <v>3374</v>
      </c>
      <c r="C439" s="17"/>
      <c r="D439" s="17" t="s">
        <v>3351</v>
      </c>
      <c r="E439" s="17"/>
      <c r="F439" s="444"/>
      <c r="G439" s="938" t="s">
        <v>6027</v>
      </c>
    </row>
    <row r="440" spans="1:7" x14ac:dyDescent="0.25">
      <c r="A440" s="610" t="s">
        <v>3373</v>
      </c>
      <c r="B440" s="17" t="s">
        <v>3374</v>
      </c>
      <c r="C440" s="17"/>
      <c r="D440" s="17" t="s">
        <v>3352</v>
      </c>
      <c r="E440" s="17"/>
      <c r="F440" s="444"/>
      <c r="G440" s="938" t="s">
        <v>6027</v>
      </c>
    </row>
    <row r="441" spans="1:7" x14ac:dyDescent="0.25">
      <c r="A441" s="608"/>
      <c r="B441" s="2"/>
      <c r="C441" s="1"/>
      <c r="D441" s="2"/>
      <c r="E441" s="1"/>
      <c r="F441" s="442"/>
      <c r="G441"/>
    </row>
    <row r="442" spans="1:7" x14ac:dyDescent="0.25">
      <c r="A442" s="610" t="s">
        <v>3375</v>
      </c>
      <c r="B442" s="21" t="s">
        <v>3382</v>
      </c>
      <c r="C442" s="17"/>
      <c r="D442" s="17" t="s">
        <v>616</v>
      </c>
      <c r="E442" s="17"/>
      <c r="F442" s="444"/>
      <c r="G442" s="938" t="s">
        <v>6027</v>
      </c>
    </row>
    <row r="443" spans="1:7" x14ac:dyDescent="0.25">
      <c r="A443" s="610" t="s">
        <v>3376</v>
      </c>
      <c r="B443" s="17" t="s">
        <v>3382</v>
      </c>
      <c r="C443" s="17"/>
      <c r="D443" s="17" t="s">
        <v>3347</v>
      </c>
      <c r="E443" s="17"/>
      <c r="F443" s="444"/>
      <c r="G443" s="938" t="s">
        <v>6027</v>
      </c>
    </row>
    <row r="444" spans="1:7" x14ac:dyDescent="0.25">
      <c r="A444" s="610" t="s">
        <v>3377</v>
      </c>
      <c r="B444" s="17" t="s">
        <v>3382</v>
      </c>
      <c r="C444" s="17"/>
      <c r="D444" s="17" t="s">
        <v>3348</v>
      </c>
      <c r="E444" s="17"/>
      <c r="F444" s="444"/>
      <c r="G444" s="938" t="s">
        <v>6027</v>
      </c>
    </row>
    <row r="445" spans="1:7" x14ac:dyDescent="0.25">
      <c r="A445" s="610" t="s">
        <v>3378</v>
      </c>
      <c r="B445" s="17" t="s">
        <v>3382</v>
      </c>
      <c r="C445" s="17"/>
      <c r="D445" s="17" t="s">
        <v>3349</v>
      </c>
      <c r="E445" s="17"/>
      <c r="F445" s="444"/>
      <c r="G445" s="938" t="s">
        <v>6027</v>
      </c>
    </row>
    <row r="446" spans="1:7" x14ac:dyDescent="0.25">
      <c r="A446" s="610" t="s">
        <v>3379</v>
      </c>
      <c r="B446" s="17" t="s">
        <v>3382</v>
      </c>
      <c r="C446" s="17"/>
      <c r="D446" s="17" t="s">
        <v>3350</v>
      </c>
      <c r="E446" s="17"/>
      <c r="F446" s="444"/>
      <c r="G446" s="938" t="s">
        <v>6027</v>
      </c>
    </row>
    <row r="447" spans="1:7" x14ac:dyDescent="0.25">
      <c r="A447" s="610" t="s">
        <v>3380</v>
      </c>
      <c r="B447" s="17" t="s">
        <v>3382</v>
      </c>
      <c r="C447" s="17"/>
      <c r="D447" s="17" t="s">
        <v>3351</v>
      </c>
      <c r="E447" s="17"/>
      <c r="F447" s="444"/>
      <c r="G447" s="938" t="s">
        <v>6027</v>
      </c>
    </row>
    <row r="448" spans="1:7" x14ac:dyDescent="0.25">
      <c r="A448" s="610" t="s">
        <v>3381</v>
      </c>
      <c r="B448" s="17" t="s">
        <v>3382</v>
      </c>
      <c r="C448" s="17"/>
      <c r="D448" s="17" t="s">
        <v>3352</v>
      </c>
      <c r="E448" s="17"/>
      <c r="F448" s="444"/>
      <c r="G448" s="938" t="s">
        <v>6027</v>
      </c>
    </row>
    <row r="449" spans="1:7" x14ac:dyDescent="0.25">
      <c r="A449" s="608"/>
      <c r="B449" s="2"/>
      <c r="C449" s="1"/>
      <c r="D449" s="2"/>
      <c r="E449" s="1"/>
      <c r="F449" s="442"/>
      <c r="G449"/>
    </row>
    <row r="450" spans="1:7" x14ac:dyDescent="0.25">
      <c r="A450" s="610" t="s">
        <v>3383</v>
      </c>
      <c r="B450" s="17" t="s">
        <v>3390</v>
      </c>
      <c r="C450" s="17"/>
      <c r="D450" s="17" t="s">
        <v>616</v>
      </c>
      <c r="E450" s="17"/>
      <c r="F450" s="444"/>
      <c r="G450" s="938" t="s">
        <v>6027</v>
      </c>
    </row>
    <row r="451" spans="1:7" x14ac:dyDescent="0.25">
      <c r="A451" s="610" t="s">
        <v>3384</v>
      </c>
      <c r="B451" s="17" t="s">
        <v>3390</v>
      </c>
      <c r="C451" s="17"/>
      <c r="D451" s="17" t="s">
        <v>3347</v>
      </c>
      <c r="E451" s="17"/>
      <c r="F451" s="444"/>
      <c r="G451" s="938" t="s">
        <v>6027</v>
      </c>
    </row>
    <row r="452" spans="1:7" x14ac:dyDescent="0.25">
      <c r="A452" s="610" t="s">
        <v>3385</v>
      </c>
      <c r="B452" s="17" t="s">
        <v>3390</v>
      </c>
      <c r="C452" s="17"/>
      <c r="D452" s="17" t="s">
        <v>3348</v>
      </c>
      <c r="E452" s="17"/>
      <c r="F452" s="444"/>
      <c r="G452" s="938" t="s">
        <v>6027</v>
      </c>
    </row>
    <row r="453" spans="1:7" x14ac:dyDescent="0.25">
      <c r="A453" s="610" t="s">
        <v>3386</v>
      </c>
      <c r="B453" s="17" t="s">
        <v>3390</v>
      </c>
      <c r="C453" s="17"/>
      <c r="D453" s="17" t="s">
        <v>3349</v>
      </c>
      <c r="E453" s="17"/>
      <c r="F453" s="444"/>
      <c r="G453" s="938" t="s">
        <v>6027</v>
      </c>
    </row>
    <row r="454" spans="1:7" x14ac:dyDescent="0.25">
      <c r="A454" s="610" t="s">
        <v>3387</v>
      </c>
      <c r="B454" s="17" t="s">
        <v>3390</v>
      </c>
      <c r="C454" s="17"/>
      <c r="D454" s="17" t="s">
        <v>3350</v>
      </c>
      <c r="E454" s="17"/>
      <c r="F454" s="444"/>
      <c r="G454" s="938" t="s">
        <v>6027</v>
      </c>
    </row>
    <row r="455" spans="1:7" x14ac:dyDescent="0.25">
      <c r="A455" s="610" t="s">
        <v>3388</v>
      </c>
      <c r="B455" s="17" t="s">
        <v>3390</v>
      </c>
      <c r="C455" s="17"/>
      <c r="D455" s="17" t="s">
        <v>3351</v>
      </c>
      <c r="E455" s="17"/>
      <c r="F455" s="444"/>
      <c r="G455" s="938" t="s">
        <v>6027</v>
      </c>
    </row>
    <row r="456" spans="1:7" x14ac:dyDescent="0.25">
      <c r="A456" s="610" t="s">
        <v>3389</v>
      </c>
      <c r="B456" s="17" t="s">
        <v>3390</v>
      </c>
      <c r="C456" s="17"/>
      <c r="D456" s="17" t="s">
        <v>3352</v>
      </c>
      <c r="E456" s="17"/>
      <c r="F456" s="444"/>
      <c r="G456" s="938" t="s">
        <v>6027</v>
      </c>
    </row>
    <row r="457" spans="1:7" x14ac:dyDescent="0.25">
      <c r="A457" s="608"/>
      <c r="B457" s="2"/>
      <c r="C457" s="1"/>
      <c r="D457" s="2"/>
      <c r="E457" s="1"/>
      <c r="F457" s="442"/>
      <c r="G457"/>
    </row>
    <row r="458" spans="1:7" x14ac:dyDescent="0.25">
      <c r="A458" s="608" t="s">
        <v>2868</v>
      </c>
      <c r="B458" s="2" t="s">
        <v>740</v>
      </c>
      <c r="C458" s="1"/>
      <c r="D458" s="2" t="s">
        <v>821</v>
      </c>
      <c r="E458" s="1"/>
      <c r="F458" s="442"/>
      <c r="G458" s="938" t="s">
        <v>6027</v>
      </c>
    </row>
    <row r="459" spans="1:7" x14ac:dyDescent="0.25">
      <c r="A459" s="608" t="s">
        <v>2869</v>
      </c>
      <c r="B459" s="2" t="s">
        <v>740</v>
      </c>
      <c r="C459" s="1"/>
      <c r="D459" s="2" t="s">
        <v>823</v>
      </c>
      <c r="E459" s="1"/>
      <c r="F459" s="442"/>
      <c r="G459" s="938" t="s">
        <v>6027</v>
      </c>
    </row>
    <row r="460" spans="1:7" x14ac:dyDescent="0.25">
      <c r="A460" s="608" t="s">
        <v>780</v>
      </c>
      <c r="B460" s="2" t="s">
        <v>740</v>
      </c>
      <c r="C460" s="1"/>
      <c r="D460" s="2" t="s">
        <v>908</v>
      </c>
      <c r="E460" s="1"/>
      <c r="F460" s="442"/>
      <c r="G460" s="938" t="s">
        <v>6027</v>
      </c>
    </row>
    <row r="461" spans="1:7" x14ac:dyDescent="0.25">
      <c r="A461" s="608" t="s">
        <v>781</v>
      </c>
      <c r="B461" s="2" t="s">
        <v>740</v>
      </c>
      <c r="C461" s="1"/>
      <c r="D461" s="2" t="s">
        <v>910</v>
      </c>
      <c r="E461" s="1"/>
      <c r="F461" s="442"/>
      <c r="G461" s="938" t="s">
        <v>6027</v>
      </c>
    </row>
    <row r="462" spans="1:7" x14ac:dyDescent="0.25">
      <c r="A462" s="608" t="s">
        <v>782</v>
      </c>
      <c r="B462" s="2" t="s">
        <v>740</v>
      </c>
      <c r="C462" s="1"/>
      <c r="D462" s="2" t="s">
        <v>912</v>
      </c>
      <c r="E462" s="1"/>
      <c r="F462" s="442"/>
      <c r="G462" s="938" t="s">
        <v>6027</v>
      </c>
    </row>
    <row r="463" spans="1:7" x14ac:dyDescent="0.25">
      <c r="A463" s="608" t="s">
        <v>783</v>
      </c>
      <c r="B463" s="2" t="s">
        <v>740</v>
      </c>
      <c r="C463" s="1"/>
      <c r="D463" s="2" t="s">
        <v>914</v>
      </c>
      <c r="E463" s="1"/>
      <c r="F463" s="442"/>
      <c r="G463" s="938" t="s">
        <v>6027</v>
      </c>
    </row>
    <row r="464" spans="1:7" x14ac:dyDescent="0.25">
      <c r="A464" s="611" t="s">
        <v>5404</v>
      </c>
      <c r="B464" s="2" t="s">
        <v>740</v>
      </c>
      <c r="C464" s="1"/>
      <c r="D464" s="2" t="s">
        <v>916</v>
      </c>
      <c r="E464" s="1"/>
      <c r="F464" s="442"/>
      <c r="G464" s="938" t="s">
        <v>6027</v>
      </c>
    </row>
    <row r="465" spans="1:26" x14ac:dyDescent="0.25">
      <c r="A465" s="608"/>
      <c r="B465" s="2"/>
      <c r="C465" s="1"/>
      <c r="D465" s="2"/>
      <c r="E465" s="1"/>
      <c r="F465" s="442"/>
      <c r="G465"/>
    </row>
    <row r="466" spans="1:26" x14ac:dyDescent="0.25">
      <c r="A466" s="610" t="s">
        <v>3391</v>
      </c>
      <c r="B466" s="17" t="s">
        <v>5435</v>
      </c>
      <c r="C466" s="17"/>
      <c r="D466" s="17" t="s">
        <v>616</v>
      </c>
      <c r="E466" s="17"/>
      <c r="F466" s="444"/>
      <c r="G466" s="938" t="s">
        <v>6027</v>
      </c>
    </row>
    <row r="467" spans="1:26" x14ac:dyDescent="0.25">
      <c r="A467" s="610" t="s">
        <v>3392</v>
      </c>
      <c r="B467" s="17" t="s">
        <v>5435</v>
      </c>
      <c r="C467" s="17"/>
      <c r="D467" s="17" t="s">
        <v>3347</v>
      </c>
      <c r="E467" s="17"/>
      <c r="F467" s="444"/>
      <c r="G467" s="938" t="s">
        <v>6027</v>
      </c>
    </row>
    <row r="468" spans="1:26" x14ac:dyDescent="0.25">
      <c r="A468" s="610" t="s">
        <v>3393</v>
      </c>
      <c r="B468" s="17" t="s">
        <v>5435</v>
      </c>
      <c r="C468" s="17"/>
      <c r="D468" s="17" t="s">
        <v>3348</v>
      </c>
      <c r="E468" s="17"/>
      <c r="F468" s="444"/>
      <c r="G468" s="938" t="s">
        <v>6027</v>
      </c>
    </row>
    <row r="469" spans="1:26" x14ac:dyDescent="0.25">
      <c r="A469" s="610" t="s">
        <v>3394</v>
      </c>
      <c r="B469" s="17" t="s">
        <v>5435</v>
      </c>
      <c r="C469" s="17"/>
      <c r="D469" s="17" t="s">
        <v>3349</v>
      </c>
      <c r="E469" s="17"/>
      <c r="F469" s="444"/>
      <c r="G469" s="938" t="s">
        <v>6027</v>
      </c>
    </row>
    <row r="470" spans="1:26" x14ac:dyDescent="0.25">
      <c r="A470" s="610" t="s">
        <v>665</v>
      </c>
      <c r="B470" s="17" t="s">
        <v>5435</v>
      </c>
      <c r="C470" s="17"/>
      <c r="D470" s="17" t="s">
        <v>3350</v>
      </c>
      <c r="E470" s="17"/>
      <c r="F470" s="444"/>
      <c r="G470" s="938" t="s">
        <v>6027</v>
      </c>
    </row>
    <row r="471" spans="1:26" x14ac:dyDescent="0.25">
      <c r="A471" s="610" t="s">
        <v>666</v>
      </c>
      <c r="B471" s="17" t="s">
        <v>5435</v>
      </c>
      <c r="C471" s="17"/>
      <c r="D471" s="17" t="s">
        <v>3351</v>
      </c>
      <c r="E471" s="17"/>
      <c r="F471" s="444"/>
      <c r="G471" s="938" t="s">
        <v>6027</v>
      </c>
    </row>
    <row r="472" spans="1:26" x14ac:dyDescent="0.25">
      <c r="A472" s="612" t="s">
        <v>667</v>
      </c>
      <c r="B472" s="17" t="s">
        <v>5435</v>
      </c>
      <c r="C472" s="17"/>
      <c r="D472" s="17" t="s">
        <v>3352</v>
      </c>
      <c r="E472" s="17"/>
      <c r="F472" s="444"/>
      <c r="G472" s="938" t="s">
        <v>6027</v>
      </c>
    </row>
    <row r="473" spans="1:26" x14ac:dyDescent="0.25">
      <c r="G473" s="941"/>
    </row>
    <row r="474" spans="1:26" x14ac:dyDescent="0.25">
      <c r="G474" s="941"/>
    </row>
    <row r="475" spans="1:26" ht="24" customHeight="1" x14ac:dyDescent="0.25">
      <c r="A475" s="1179" t="s">
        <v>7826</v>
      </c>
      <c r="B475" s="1179"/>
      <c r="C475" s="1179"/>
      <c r="D475" s="1179"/>
      <c r="E475" s="1179"/>
      <c r="F475" s="1179"/>
      <c r="G475" s="941"/>
    </row>
    <row r="476" spans="1:26" s="238" customFormat="1" ht="20.100000000000001" customHeight="1" x14ac:dyDescent="0.25">
      <c r="A476" s="1190" t="s">
        <v>7831</v>
      </c>
      <c r="B476" s="1190"/>
      <c r="C476" s="1190"/>
      <c r="D476" s="1190"/>
      <c r="E476" s="1190"/>
      <c r="F476" s="1190"/>
      <c r="G476" s="1028">
        <v>44545</v>
      </c>
      <c r="J476" s="774"/>
      <c r="K476" s="774"/>
      <c r="R476" s="774"/>
      <c r="S476" s="774"/>
      <c r="T476" s="774"/>
      <c r="U476" s="774"/>
      <c r="V476" s="774"/>
      <c r="W476" s="774"/>
      <c r="X476" s="774"/>
      <c r="Y476" s="774"/>
      <c r="Z476" s="774"/>
    </row>
    <row r="477" spans="1:26" x14ac:dyDescent="0.25">
      <c r="G477" s="941"/>
    </row>
    <row r="478" spans="1:26" s="774" customFormat="1" x14ac:dyDescent="0.25">
      <c r="A478" s="644" t="s">
        <v>6702</v>
      </c>
      <c r="B478" s="645" t="s">
        <v>2269</v>
      </c>
      <c r="C478" s="643" t="s">
        <v>2270</v>
      </c>
      <c r="D478" s="643" t="s">
        <v>6743</v>
      </c>
      <c r="E478" s="645"/>
      <c r="F478" s="657">
        <v>10.67</v>
      </c>
      <c r="G478" s="1028">
        <v>44484</v>
      </c>
      <c r="J478" s="127"/>
      <c r="K478" s="395"/>
      <c r="L478" s="327"/>
      <c r="M478" s="327"/>
      <c r="N478" s="327"/>
      <c r="O478" s="327"/>
      <c r="P478" s="327"/>
      <c r="Q478" s="327"/>
      <c r="R478" s="327"/>
    </row>
    <row r="479" spans="1:26" s="774" customFormat="1" x14ac:dyDescent="0.25">
      <c r="A479" s="644" t="s">
        <v>6717</v>
      </c>
      <c r="B479" s="645" t="s">
        <v>2269</v>
      </c>
      <c r="C479" s="643" t="s">
        <v>3724</v>
      </c>
      <c r="D479" s="643" t="s">
        <v>6743</v>
      </c>
      <c r="E479" s="645"/>
      <c r="F479" s="657">
        <v>10.67</v>
      </c>
      <c r="G479" s="1028">
        <v>44196</v>
      </c>
      <c r="J479" s="127"/>
      <c r="K479" s="395"/>
      <c r="L479" s="327"/>
      <c r="M479" s="327"/>
      <c r="N479" s="327"/>
      <c r="O479" s="327"/>
      <c r="P479" s="327"/>
      <c r="Q479" s="327"/>
      <c r="R479" s="327"/>
    </row>
    <row r="480" spans="1:26" s="774" customFormat="1" x14ac:dyDescent="0.25">
      <c r="A480" s="644" t="s">
        <v>6718</v>
      </c>
      <c r="B480" s="645" t="s">
        <v>2269</v>
      </c>
      <c r="C480" s="643" t="s">
        <v>3727</v>
      </c>
      <c r="D480" s="643" t="s">
        <v>6743</v>
      </c>
      <c r="E480" s="645"/>
      <c r="F480" s="657">
        <v>10.67</v>
      </c>
      <c r="G480" s="1028">
        <v>44196</v>
      </c>
      <c r="J480" s="127"/>
      <c r="K480" s="395"/>
      <c r="L480" s="327"/>
      <c r="M480" s="327"/>
      <c r="N480" s="327"/>
      <c r="O480" s="327"/>
      <c r="P480" s="327"/>
      <c r="Q480" s="327"/>
      <c r="R480" s="327"/>
    </row>
    <row r="481" spans="1:18" s="774" customFormat="1" x14ac:dyDescent="0.25">
      <c r="A481" s="644" t="s">
        <v>6719</v>
      </c>
      <c r="B481" s="645" t="s">
        <v>2269</v>
      </c>
      <c r="C481" s="643" t="s">
        <v>1272</v>
      </c>
      <c r="D481" s="643" t="s">
        <v>6743</v>
      </c>
      <c r="E481" s="645"/>
      <c r="F481" s="657">
        <v>10.67</v>
      </c>
      <c r="G481" s="1028">
        <v>44196</v>
      </c>
      <c r="J481" s="127"/>
      <c r="K481" s="395"/>
      <c r="L481" s="327"/>
      <c r="M481" s="327"/>
      <c r="N481" s="327"/>
      <c r="O481" s="327"/>
      <c r="P481" s="327"/>
      <c r="Q481" s="327"/>
      <c r="R481" s="327"/>
    </row>
    <row r="482" spans="1:18" s="774" customFormat="1" x14ac:dyDescent="0.25">
      <c r="A482" s="644" t="s">
        <v>6720</v>
      </c>
      <c r="B482" s="645" t="s">
        <v>2269</v>
      </c>
      <c r="C482" s="643" t="s">
        <v>1275</v>
      </c>
      <c r="D482" s="643" t="s">
        <v>6743</v>
      </c>
      <c r="E482" s="645"/>
      <c r="F482" s="657">
        <v>12.67</v>
      </c>
      <c r="G482" s="1028">
        <v>44196</v>
      </c>
      <c r="J482" s="127"/>
      <c r="K482" s="395"/>
      <c r="L482" s="327"/>
      <c r="M482" s="327"/>
      <c r="N482" s="327"/>
      <c r="O482" s="327"/>
      <c r="P482" s="327"/>
      <c r="Q482" s="327"/>
      <c r="R482" s="327"/>
    </row>
    <row r="483" spans="1:18" s="774" customFormat="1" x14ac:dyDescent="0.25">
      <c r="A483" s="644" t="s">
        <v>6722</v>
      </c>
      <c r="B483" s="645" t="s">
        <v>2269</v>
      </c>
      <c r="C483" s="643" t="s">
        <v>1288</v>
      </c>
      <c r="D483" s="643" t="s">
        <v>6743</v>
      </c>
      <c r="E483" s="645"/>
      <c r="F483" s="657">
        <v>12.67</v>
      </c>
      <c r="G483" s="1028">
        <v>44196</v>
      </c>
    </row>
    <row r="484" spans="1:18" s="774" customFormat="1" x14ac:dyDescent="0.25">
      <c r="A484" s="644" t="s">
        <v>6721</v>
      </c>
      <c r="B484" s="645" t="s">
        <v>2269</v>
      </c>
      <c r="C484" s="643" t="s">
        <v>1296</v>
      </c>
      <c r="D484" s="643" t="s">
        <v>6743</v>
      </c>
      <c r="E484" s="645"/>
      <c r="F484" s="657">
        <v>12.67</v>
      </c>
      <c r="G484" s="1028">
        <v>44196</v>
      </c>
    </row>
    <row r="485" spans="1:18" s="774" customFormat="1" x14ac:dyDescent="0.25">
      <c r="A485" s="644" t="s">
        <v>6723</v>
      </c>
      <c r="B485" s="645" t="s">
        <v>2269</v>
      </c>
      <c r="C485" s="643" t="s">
        <v>1304</v>
      </c>
      <c r="D485" s="643" t="s">
        <v>6743</v>
      </c>
      <c r="E485" s="645"/>
      <c r="F485" s="657">
        <v>12.67</v>
      </c>
      <c r="G485" s="1028">
        <v>44196</v>
      </c>
    </row>
    <row r="486" spans="1:18" s="774" customFormat="1" x14ac:dyDescent="0.25">
      <c r="A486" s="644" t="s">
        <v>6724</v>
      </c>
      <c r="B486" s="645" t="s">
        <v>2269</v>
      </c>
      <c r="C486" s="643" t="s">
        <v>5540</v>
      </c>
      <c r="D486" s="643" t="s">
        <v>6743</v>
      </c>
      <c r="E486" s="645"/>
      <c r="F486" s="657">
        <v>12.67</v>
      </c>
      <c r="G486" s="1028">
        <v>44196</v>
      </c>
    </row>
    <row r="487" spans="1:18" s="774" customFormat="1" x14ac:dyDescent="0.25">
      <c r="A487" s="644" t="s">
        <v>6725</v>
      </c>
      <c r="B487" s="645" t="s">
        <v>2269</v>
      </c>
      <c r="C487" s="643" t="s">
        <v>5405</v>
      </c>
      <c r="D487" s="643" t="s">
        <v>6743</v>
      </c>
      <c r="E487" s="645"/>
      <c r="F487" s="657">
        <v>15.67</v>
      </c>
      <c r="G487" s="1028">
        <v>44196</v>
      </c>
    </row>
    <row r="488" spans="1:18" s="774" customFormat="1" x14ac:dyDescent="0.25">
      <c r="A488" s="644" t="s">
        <v>6726</v>
      </c>
      <c r="B488" s="645" t="s">
        <v>2269</v>
      </c>
      <c r="C488" s="643" t="s">
        <v>5405</v>
      </c>
      <c r="D488" s="643" t="s">
        <v>6744</v>
      </c>
      <c r="E488" s="645"/>
      <c r="F488" s="657">
        <v>14.67</v>
      </c>
      <c r="G488" s="1028">
        <v>44196</v>
      </c>
    </row>
    <row r="489" spans="1:18" s="774" customFormat="1" x14ac:dyDescent="0.25">
      <c r="A489" s="644" t="s">
        <v>6727</v>
      </c>
      <c r="B489" s="645" t="s">
        <v>2269</v>
      </c>
      <c r="C489" s="643" t="s">
        <v>2385</v>
      </c>
      <c r="D489" s="643" t="s">
        <v>6743</v>
      </c>
      <c r="E489" s="645"/>
      <c r="F489" s="657">
        <v>15.67</v>
      </c>
      <c r="G489" s="1028">
        <v>44196</v>
      </c>
    </row>
    <row r="490" spans="1:18" s="774" customFormat="1" x14ac:dyDescent="0.25">
      <c r="A490" s="644" t="s">
        <v>6728</v>
      </c>
      <c r="B490" s="645" t="s">
        <v>2269</v>
      </c>
      <c r="C490" s="643" t="s">
        <v>2385</v>
      </c>
      <c r="D490" s="643" t="s">
        <v>6744</v>
      </c>
      <c r="E490" s="645"/>
      <c r="F490" s="657">
        <v>14.67</v>
      </c>
      <c r="G490" s="1028">
        <v>44196</v>
      </c>
    </row>
    <row r="491" spans="1:18" s="774" customFormat="1" x14ac:dyDescent="0.25">
      <c r="A491" s="644" t="s">
        <v>6729</v>
      </c>
      <c r="B491" s="645" t="s">
        <v>2269</v>
      </c>
      <c r="C491" s="643" t="s">
        <v>1467</v>
      </c>
      <c r="D491" s="643" t="s">
        <v>6743</v>
      </c>
      <c r="E491" s="645"/>
      <c r="F491" s="657">
        <v>15.67</v>
      </c>
      <c r="G491" s="1028">
        <v>44196</v>
      </c>
    </row>
    <row r="492" spans="1:18" s="774" customFormat="1" x14ac:dyDescent="0.25">
      <c r="A492" s="644" t="s">
        <v>6730</v>
      </c>
      <c r="B492" s="645" t="s">
        <v>2269</v>
      </c>
      <c r="C492" s="643" t="s">
        <v>1467</v>
      </c>
      <c r="D492" s="643" t="s">
        <v>6744</v>
      </c>
      <c r="E492" s="645"/>
      <c r="F492" s="657">
        <v>14.67</v>
      </c>
      <c r="G492" s="1028">
        <v>44196</v>
      </c>
    </row>
    <row r="493" spans="1:18" s="774" customFormat="1" x14ac:dyDescent="0.25">
      <c r="A493" s="644" t="s">
        <v>6731</v>
      </c>
      <c r="B493" s="645" t="s">
        <v>2269</v>
      </c>
      <c r="C493" s="643" t="s">
        <v>3127</v>
      </c>
      <c r="D493" s="643" t="s">
        <v>6747</v>
      </c>
      <c r="E493" s="645"/>
      <c r="F493" s="657">
        <v>14.67</v>
      </c>
      <c r="G493" s="1028">
        <v>44196</v>
      </c>
    </row>
    <row r="494" spans="1:18" s="774" customFormat="1" x14ac:dyDescent="0.25">
      <c r="A494" s="644" t="s">
        <v>6732</v>
      </c>
      <c r="B494" s="645" t="s">
        <v>2269</v>
      </c>
      <c r="C494" s="643" t="s">
        <v>1984</v>
      </c>
      <c r="D494" s="643" t="s">
        <v>6743</v>
      </c>
      <c r="E494" s="645"/>
      <c r="F494" s="657">
        <v>15.7</v>
      </c>
      <c r="G494" s="1028">
        <v>44196</v>
      </c>
    </row>
    <row r="495" spans="1:18" s="774" customFormat="1" x14ac:dyDescent="0.25">
      <c r="A495" s="644" t="s">
        <v>7461</v>
      </c>
      <c r="B495" s="645" t="s">
        <v>2269</v>
      </c>
      <c r="C495" s="643" t="s">
        <v>3127</v>
      </c>
      <c r="D495" s="643" t="s">
        <v>7462</v>
      </c>
      <c r="E495" s="645"/>
      <c r="F495" s="657">
        <v>15.7</v>
      </c>
      <c r="G495" s="1028">
        <v>44260</v>
      </c>
    </row>
    <row r="496" spans="1:18" s="774" customFormat="1" x14ac:dyDescent="0.25">
      <c r="A496" s="644" t="s">
        <v>6733</v>
      </c>
      <c r="B496" s="645" t="s">
        <v>2269</v>
      </c>
      <c r="C496" s="643" t="s">
        <v>4684</v>
      </c>
      <c r="D496" s="643" t="s">
        <v>6747</v>
      </c>
      <c r="E496" s="645"/>
      <c r="F496" s="657">
        <v>14.67</v>
      </c>
      <c r="G496" s="1028">
        <v>44196</v>
      </c>
    </row>
    <row r="497" spans="1:7" s="774" customFormat="1" x14ac:dyDescent="0.25">
      <c r="A497" s="644" t="s">
        <v>6734</v>
      </c>
      <c r="B497" s="645" t="s">
        <v>2269</v>
      </c>
      <c r="C497" s="643" t="s">
        <v>4676</v>
      </c>
      <c r="D497" s="643" t="s">
        <v>6743</v>
      </c>
      <c r="E497" s="645"/>
      <c r="F497" s="657">
        <v>15.57</v>
      </c>
      <c r="G497" s="1028">
        <v>44196</v>
      </c>
    </row>
    <row r="498" spans="1:7" s="774" customFormat="1" x14ac:dyDescent="0.25">
      <c r="A498" s="644" t="s">
        <v>7464</v>
      </c>
      <c r="B498" s="645" t="s">
        <v>2269</v>
      </c>
      <c r="C498" s="643" t="s">
        <v>4684</v>
      </c>
      <c r="D498" s="643" t="s">
        <v>7463</v>
      </c>
      <c r="E498" s="645"/>
      <c r="F498" s="657">
        <v>15.57</v>
      </c>
      <c r="G498" s="1028">
        <v>44260</v>
      </c>
    </row>
    <row r="499" spans="1:7" s="774" customFormat="1" x14ac:dyDescent="0.25">
      <c r="A499" s="644" t="s">
        <v>6736</v>
      </c>
      <c r="B499" s="645" t="s">
        <v>2269</v>
      </c>
      <c r="C499" s="643" t="s">
        <v>6735</v>
      </c>
      <c r="D499" s="643" t="s">
        <v>6743</v>
      </c>
      <c r="E499" s="645"/>
      <c r="F499" s="657">
        <v>15.45</v>
      </c>
      <c r="G499" s="1028">
        <v>44196</v>
      </c>
    </row>
    <row r="500" spans="1:7" s="774" customFormat="1" x14ac:dyDescent="0.25">
      <c r="A500" s="644" t="s">
        <v>7465</v>
      </c>
      <c r="B500" s="645" t="s">
        <v>2269</v>
      </c>
      <c r="C500" s="643" t="s">
        <v>7466</v>
      </c>
      <c r="D500" s="643" t="s">
        <v>7467</v>
      </c>
      <c r="E500" s="645"/>
      <c r="F500" s="657">
        <v>15.45</v>
      </c>
      <c r="G500" s="1028">
        <v>44260</v>
      </c>
    </row>
    <row r="501" spans="1:7" s="774" customFormat="1" x14ac:dyDescent="0.25">
      <c r="A501" s="644" t="s">
        <v>6737</v>
      </c>
      <c r="B501" s="645" t="s">
        <v>2269</v>
      </c>
      <c r="C501" s="643" t="s">
        <v>39</v>
      </c>
      <c r="D501" s="643" t="s">
        <v>6743</v>
      </c>
      <c r="E501" s="645"/>
      <c r="F501" s="657">
        <v>15.32</v>
      </c>
      <c r="G501" s="1028">
        <v>44196</v>
      </c>
    </row>
    <row r="502" spans="1:7" s="774" customFormat="1" x14ac:dyDescent="0.25">
      <c r="A502" s="644" t="s">
        <v>7468</v>
      </c>
      <c r="B502" s="645" t="s">
        <v>2269</v>
      </c>
      <c r="C502" s="643" t="s">
        <v>40</v>
      </c>
      <c r="D502" s="643" t="s">
        <v>7467</v>
      </c>
      <c r="E502" s="645"/>
      <c r="F502" s="657">
        <v>15.52</v>
      </c>
      <c r="G502" s="1028">
        <v>44260</v>
      </c>
    </row>
    <row r="503" spans="1:7" s="774" customFormat="1" x14ac:dyDescent="0.25">
      <c r="A503" s="644" t="s">
        <v>6738</v>
      </c>
      <c r="B503" s="645" t="s">
        <v>2269</v>
      </c>
      <c r="C503" s="643" t="s">
        <v>380</v>
      </c>
      <c r="D503" s="643" t="s">
        <v>6743</v>
      </c>
      <c r="E503" s="645"/>
      <c r="F503" s="657">
        <v>15.32</v>
      </c>
      <c r="G503" s="1028">
        <v>44196</v>
      </c>
    </row>
    <row r="504" spans="1:7" s="774" customFormat="1" x14ac:dyDescent="0.25">
      <c r="A504" s="644" t="s">
        <v>7469</v>
      </c>
      <c r="B504" s="645" t="s">
        <v>2269</v>
      </c>
      <c r="C504" s="643" t="s">
        <v>5767</v>
      </c>
      <c r="D504" s="643" t="s">
        <v>7470</v>
      </c>
      <c r="E504" s="645"/>
      <c r="F504" s="657">
        <v>15.52</v>
      </c>
      <c r="G504" s="1028">
        <v>44260</v>
      </c>
    </row>
    <row r="505" spans="1:7" s="774" customFormat="1" x14ac:dyDescent="0.25">
      <c r="A505" s="644" t="s">
        <v>6739</v>
      </c>
      <c r="B505" s="645" t="s">
        <v>2269</v>
      </c>
      <c r="C505" s="643" t="s">
        <v>5648</v>
      </c>
      <c r="D505" s="643" t="s">
        <v>6743</v>
      </c>
      <c r="E505" s="645"/>
      <c r="F505" s="657">
        <v>15.26</v>
      </c>
      <c r="G505" s="1028">
        <v>44196</v>
      </c>
    </row>
    <row r="506" spans="1:7" s="774" customFormat="1" x14ac:dyDescent="0.25">
      <c r="A506" s="644" t="s">
        <v>7471</v>
      </c>
      <c r="B506" s="645" t="s">
        <v>2269</v>
      </c>
      <c r="C506" s="643" t="s">
        <v>5768</v>
      </c>
      <c r="D506" s="643" t="s">
        <v>7472</v>
      </c>
      <c r="E506" s="645"/>
      <c r="F506" s="657">
        <v>15.46</v>
      </c>
      <c r="G506" s="1028">
        <v>44260</v>
      </c>
    </row>
    <row r="507" spans="1:7" s="774" customFormat="1" x14ac:dyDescent="0.25">
      <c r="A507" s="644" t="s">
        <v>6740</v>
      </c>
      <c r="B507" s="645" t="s">
        <v>2269</v>
      </c>
      <c r="C507" s="643" t="s">
        <v>5867</v>
      </c>
      <c r="D507" s="643" t="s">
        <v>6743</v>
      </c>
      <c r="E507" s="645"/>
      <c r="F507" s="657">
        <v>15.2</v>
      </c>
      <c r="G507" s="1028">
        <v>44196</v>
      </c>
    </row>
    <row r="508" spans="1:7" s="774" customFormat="1" x14ac:dyDescent="0.25">
      <c r="A508" s="644" t="s">
        <v>7473</v>
      </c>
      <c r="B508" s="645" t="s">
        <v>2269</v>
      </c>
      <c r="C508" s="643" t="s">
        <v>5866</v>
      </c>
      <c r="D508" s="643" t="s">
        <v>7474</v>
      </c>
      <c r="E508" s="645"/>
      <c r="F508" s="657">
        <v>15.2</v>
      </c>
      <c r="G508" s="1028">
        <v>44260</v>
      </c>
    </row>
    <row r="509" spans="1:7" s="774" customFormat="1" x14ac:dyDescent="0.25">
      <c r="A509" s="644" t="s">
        <v>6741</v>
      </c>
      <c r="B509" s="645" t="s">
        <v>2269</v>
      </c>
      <c r="C509" s="643" t="s">
        <v>6189</v>
      </c>
      <c r="D509" s="643" t="s">
        <v>6743</v>
      </c>
      <c r="E509" s="645"/>
      <c r="F509" s="657">
        <v>15.14</v>
      </c>
      <c r="G509" s="1028">
        <v>44196</v>
      </c>
    </row>
    <row r="510" spans="1:7" s="774" customFormat="1" x14ac:dyDescent="0.25">
      <c r="A510" s="644" t="s">
        <v>7475</v>
      </c>
      <c r="B510" s="645" t="s">
        <v>2269</v>
      </c>
      <c r="C510" s="643" t="s">
        <v>6190</v>
      </c>
      <c r="D510" s="643" t="s">
        <v>7476</v>
      </c>
      <c r="E510" s="645"/>
      <c r="F510" s="657">
        <v>15.14</v>
      </c>
      <c r="G510" s="1028">
        <v>44260</v>
      </c>
    </row>
    <row r="511" spans="1:7" s="774" customFormat="1" x14ac:dyDescent="0.25">
      <c r="A511" s="644" t="s">
        <v>6742</v>
      </c>
      <c r="B511" s="645" t="s">
        <v>2269</v>
      </c>
      <c r="C511" s="643" t="s">
        <v>6409</v>
      </c>
      <c r="D511" s="643" t="s">
        <v>6743</v>
      </c>
      <c r="E511" s="645"/>
      <c r="F511" s="657">
        <v>15.08</v>
      </c>
      <c r="G511" s="1028">
        <v>44196</v>
      </c>
    </row>
    <row r="512" spans="1:7" s="774" customFormat="1" x14ac:dyDescent="0.25">
      <c r="A512" s="644" t="s">
        <v>7477</v>
      </c>
      <c r="B512" s="645" t="s">
        <v>2269</v>
      </c>
      <c r="C512" s="643" t="s">
        <v>6467</v>
      </c>
      <c r="D512" s="643" t="s">
        <v>7478</v>
      </c>
      <c r="E512" s="645"/>
      <c r="F512" s="657">
        <v>15.08</v>
      </c>
      <c r="G512" s="1028">
        <v>44260</v>
      </c>
    </row>
    <row r="513" spans="1:26" s="774" customFormat="1" x14ac:dyDescent="0.25">
      <c r="A513" s="644" t="s">
        <v>6750</v>
      </c>
      <c r="B513" s="645" t="s">
        <v>2269</v>
      </c>
      <c r="C513" s="643" t="s">
        <v>6510</v>
      </c>
      <c r="D513" s="643" t="s">
        <v>6743</v>
      </c>
      <c r="E513" s="645"/>
      <c r="F513" s="657">
        <v>15.01</v>
      </c>
      <c r="G513" s="1028">
        <v>44196</v>
      </c>
    </row>
    <row r="514" spans="1:26" s="774" customFormat="1" x14ac:dyDescent="0.25">
      <c r="A514" s="644" t="s">
        <v>7479</v>
      </c>
      <c r="B514" s="645" t="s">
        <v>2269</v>
      </c>
      <c r="C514" s="643" t="s">
        <v>6511</v>
      </c>
      <c r="D514" s="643" t="s">
        <v>7480</v>
      </c>
      <c r="E514" s="645"/>
      <c r="F514" s="657">
        <v>15.01</v>
      </c>
      <c r="G514" s="1028">
        <v>44260</v>
      </c>
    </row>
    <row r="515" spans="1:26" x14ac:dyDescent="0.25">
      <c r="G515" s="1028"/>
    </row>
    <row r="516" spans="1:26" s="774" customFormat="1" ht="24" customHeight="1" x14ac:dyDescent="0.25">
      <c r="A516" s="806" t="s">
        <v>6712</v>
      </c>
      <c r="B516" s="775"/>
      <c r="C516" s="775"/>
      <c r="D516" s="775"/>
      <c r="E516" s="775"/>
      <c r="F516" s="443"/>
      <c r="G516" s="1028">
        <v>44196</v>
      </c>
    </row>
    <row r="517" spans="1:26" s="238" customFormat="1" ht="33" customHeight="1" x14ac:dyDescent="0.25">
      <c r="A517" s="1164" t="s">
        <v>7747</v>
      </c>
      <c r="B517" s="1164"/>
      <c r="C517" s="1164"/>
      <c r="D517" s="1164"/>
      <c r="E517" s="1164"/>
      <c r="F517" s="1164"/>
      <c r="G517" s="1028">
        <v>44196</v>
      </c>
      <c r="J517" s="774"/>
      <c r="K517" s="774"/>
      <c r="R517" s="774"/>
      <c r="S517" s="774"/>
      <c r="T517" s="774"/>
      <c r="U517" s="774"/>
      <c r="V517" s="774"/>
      <c r="W517" s="774"/>
      <c r="X517" s="774"/>
      <c r="Y517" s="774"/>
      <c r="Z517" s="774"/>
    </row>
    <row r="518" spans="1:26" s="238" customFormat="1" x14ac:dyDescent="0.25">
      <c r="A518" s="794" t="s">
        <v>7406</v>
      </c>
      <c r="B518" s="794"/>
      <c r="C518" s="794"/>
      <c r="D518" s="794"/>
      <c r="E518" s="794"/>
      <c r="F518" s="794"/>
      <c r="G518" s="1028">
        <v>44196</v>
      </c>
      <c r="J518" s="774"/>
      <c r="K518" s="774"/>
      <c r="R518" s="774"/>
      <c r="S518" s="774"/>
      <c r="T518" s="774"/>
      <c r="U518" s="774"/>
      <c r="V518" s="774"/>
      <c r="W518" s="774"/>
      <c r="X518" s="774"/>
      <c r="Y518" s="774"/>
      <c r="Z518" s="774"/>
    </row>
    <row r="519" spans="1:26" s="238" customFormat="1" x14ac:dyDescent="0.25">
      <c r="A519" s="794" t="s">
        <v>6713</v>
      </c>
      <c r="B519" s="794"/>
      <c r="C519" s="794"/>
      <c r="D519" s="794"/>
      <c r="E519" s="794"/>
      <c r="F519" s="794"/>
      <c r="G519" s="1028">
        <v>44196</v>
      </c>
      <c r="J519" s="774"/>
      <c r="K519" s="774"/>
      <c r="R519" s="774"/>
      <c r="S519" s="774"/>
      <c r="T519" s="774"/>
      <c r="U519" s="774"/>
      <c r="V519" s="774"/>
      <c r="W519" s="774"/>
      <c r="X519" s="774"/>
      <c r="Y519" s="774"/>
      <c r="Z519" s="774"/>
    </row>
    <row r="520" spans="1:26" s="238" customFormat="1" x14ac:dyDescent="0.25">
      <c r="A520" s="794" t="s">
        <v>6714</v>
      </c>
      <c r="B520" s="794"/>
      <c r="C520" s="794"/>
      <c r="D520" s="794"/>
      <c r="E520" s="794"/>
      <c r="F520" s="794"/>
      <c r="G520" s="1028">
        <v>44196</v>
      </c>
      <c r="J520" s="774"/>
      <c r="K520" s="774"/>
      <c r="R520" s="774"/>
      <c r="S520" s="774"/>
      <c r="T520" s="774"/>
      <c r="U520" s="774"/>
      <c r="V520" s="774"/>
      <c r="W520" s="774"/>
      <c r="X520" s="774"/>
      <c r="Y520" s="774"/>
      <c r="Z520" s="774"/>
    </row>
    <row r="521" spans="1:26" s="238" customFormat="1" x14ac:dyDescent="0.25">
      <c r="A521" s="794" t="s">
        <v>6715</v>
      </c>
      <c r="B521" s="794"/>
      <c r="C521" s="794"/>
      <c r="D521" s="794"/>
      <c r="E521" s="794"/>
      <c r="F521" s="794"/>
      <c r="G521" s="1028">
        <v>44196</v>
      </c>
      <c r="J521" s="774"/>
      <c r="K521" s="774"/>
      <c r="R521" s="774"/>
      <c r="S521" s="774"/>
      <c r="T521" s="774"/>
      <c r="U521" s="774"/>
      <c r="V521" s="774"/>
      <c r="W521" s="774"/>
      <c r="X521" s="774"/>
      <c r="Y521" s="774"/>
      <c r="Z521" s="774"/>
    </row>
    <row r="522" spans="1:26" s="238" customFormat="1" x14ac:dyDescent="0.25">
      <c r="A522" s="794" t="s">
        <v>7404</v>
      </c>
      <c r="B522" s="794"/>
      <c r="C522" s="794"/>
      <c r="D522" s="794"/>
      <c r="E522" s="794"/>
      <c r="F522" s="794"/>
      <c r="G522" s="1028">
        <v>44196</v>
      </c>
      <c r="J522" s="774"/>
      <c r="K522" s="774"/>
      <c r="R522" s="774"/>
      <c r="S522" s="774"/>
      <c r="T522" s="774"/>
      <c r="U522" s="774"/>
      <c r="V522" s="774"/>
      <c r="W522" s="774"/>
      <c r="X522" s="774"/>
      <c r="Y522" s="774"/>
      <c r="Z522" s="774"/>
    </row>
    <row r="523" spans="1:26" s="238" customFormat="1" ht="17.45" customHeight="1" x14ac:dyDescent="0.25">
      <c r="A523" s="1130" t="s">
        <v>7736</v>
      </c>
      <c r="B523" s="1130"/>
      <c r="C523" s="1130"/>
      <c r="D523" s="1130"/>
      <c r="E523" s="1130"/>
      <c r="F523" s="1130"/>
      <c r="G523" s="1028">
        <v>44536</v>
      </c>
      <c r="J523" s="774"/>
      <c r="K523" s="774"/>
      <c r="R523" s="774"/>
      <c r="S523" s="774"/>
      <c r="T523" s="774"/>
      <c r="U523" s="774"/>
      <c r="V523" s="774"/>
      <c r="W523" s="774"/>
      <c r="X523" s="774"/>
      <c r="Y523" s="774"/>
      <c r="Z523" s="774"/>
    </row>
    <row r="524" spans="1:26" s="238" customFormat="1" ht="20.100000000000001" customHeight="1" x14ac:dyDescent="0.25">
      <c r="A524" s="1130" t="s">
        <v>7832</v>
      </c>
      <c r="B524" s="1130"/>
      <c r="C524" s="1130"/>
      <c r="D524" s="1130"/>
      <c r="E524" s="1130"/>
      <c r="F524" s="1130"/>
      <c r="G524" s="1028">
        <v>44545</v>
      </c>
      <c r="J524" s="774"/>
      <c r="K524" s="774"/>
      <c r="R524" s="774"/>
      <c r="S524" s="774"/>
      <c r="T524" s="774"/>
      <c r="U524" s="774"/>
      <c r="V524" s="774"/>
      <c r="W524" s="774"/>
      <c r="X524" s="774"/>
      <c r="Y524" s="774"/>
      <c r="Z524" s="774"/>
    </row>
    <row r="525" spans="1:26" s="774" customFormat="1" x14ac:dyDescent="0.25">
      <c r="A525" s="1180"/>
      <c r="B525" s="1180"/>
      <c r="C525" s="1180"/>
      <c r="D525" s="1180"/>
      <c r="E525" s="1180"/>
      <c r="F525" s="1180"/>
      <c r="G525" s="1028"/>
    </row>
    <row r="526" spans="1:26" s="774" customFormat="1" x14ac:dyDescent="0.25">
      <c r="A526" s="807" t="s">
        <v>6708</v>
      </c>
      <c r="B526" s="645" t="s">
        <v>5548</v>
      </c>
      <c r="C526" s="643" t="s">
        <v>2270</v>
      </c>
      <c r="D526" s="643" t="s">
        <v>7729</v>
      </c>
      <c r="E526" s="656" t="s">
        <v>7746</v>
      </c>
      <c r="F526" s="657"/>
      <c r="G526" s="1028">
        <v>44196</v>
      </c>
      <c r="H526" s="129"/>
      <c r="K526" s="333"/>
      <c r="L526" s="395"/>
      <c r="M526" s="569"/>
      <c r="N526" s="327"/>
      <c r="O526" s="327"/>
    </row>
    <row r="527" spans="1:26" s="774" customFormat="1" x14ac:dyDescent="0.25">
      <c r="A527" s="644" t="s">
        <v>6709</v>
      </c>
      <c r="B527" s="645" t="s">
        <v>5548</v>
      </c>
      <c r="C527" s="643" t="s">
        <v>2270</v>
      </c>
      <c r="D527" s="643" t="s">
        <v>7730</v>
      </c>
      <c r="E527" s="656" t="s">
        <v>7746</v>
      </c>
      <c r="F527" s="657"/>
      <c r="G527" s="1028">
        <v>44196</v>
      </c>
      <c r="H527" s="129"/>
      <c r="K527" s="333"/>
      <c r="L527" s="395"/>
      <c r="M527" s="569"/>
      <c r="N527" s="327"/>
      <c r="O527" s="327"/>
    </row>
    <row r="528" spans="1:26" s="774" customFormat="1" ht="15" customHeight="1" x14ac:dyDescent="0.25">
      <c r="G528" s="1028"/>
    </row>
    <row r="529" spans="1:26" s="774" customFormat="1" ht="24" customHeight="1" x14ac:dyDescent="0.25">
      <c r="A529" s="806" t="s">
        <v>7726</v>
      </c>
      <c r="B529" s="775"/>
      <c r="C529" s="775"/>
      <c r="D529" s="775"/>
      <c r="E529" s="775"/>
      <c r="F529" s="443"/>
      <c r="G529" s="1028">
        <v>44536</v>
      </c>
    </row>
    <row r="530" spans="1:26" s="238" customFormat="1" ht="45" customHeight="1" x14ac:dyDescent="0.25">
      <c r="A530" s="1164" t="s">
        <v>7748</v>
      </c>
      <c r="B530" s="1164"/>
      <c r="C530" s="1164"/>
      <c r="D530" s="1164"/>
      <c r="E530" s="1164"/>
      <c r="F530" s="1164"/>
      <c r="G530" s="1028">
        <v>44536</v>
      </c>
      <c r="J530" s="774"/>
      <c r="K530" s="774"/>
      <c r="R530" s="774"/>
      <c r="S530" s="774"/>
      <c r="T530" s="774"/>
      <c r="U530" s="774"/>
      <c r="V530" s="774"/>
      <c r="W530" s="774"/>
      <c r="X530" s="774"/>
      <c r="Y530" s="774"/>
      <c r="Z530" s="774"/>
    </row>
    <row r="531" spans="1:26" s="238" customFormat="1" x14ac:dyDescent="0.25">
      <c r="A531" s="794" t="s">
        <v>7731</v>
      </c>
      <c r="B531" s="794"/>
      <c r="C531" s="794"/>
      <c r="D531" s="794"/>
      <c r="E531" s="794"/>
      <c r="F531" s="794"/>
      <c r="G531" s="1028">
        <v>44536</v>
      </c>
      <c r="J531" s="774"/>
      <c r="K531" s="774"/>
      <c r="R531" s="774"/>
      <c r="S531" s="774"/>
      <c r="T531" s="774"/>
      <c r="U531" s="774"/>
      <c r="V531" s="774"/>
      <c r="W531" s="774"/>
      <c r="X531" s="774"/>
      <c r="Y531" s="774"/>
      <c r="Z531" s="774"/>
    </row>
    <row r="532" spans="1:26" s="238" customFormat="1" x14ac:dyDescent="0.25">
      <c r="A532" s="794" t="s">
        <v>7732</v>
      </c>
      <c r="B532" s="794"/>
      <c r="C532" s="794"/>
      <c r="D532" s="794"/>
      <c r="E532" s="794"/>
      <c r="F532" s="794"/>
      <c r="G532" s="1028">
        <v>44536</v>
      </c>
      <c r="J532" s="774"/>
      <c r="K532" s="774"/>
      <c r="R532" s="774"/>
      <c r="S532" s="774"/>
      <c r="T532" s="774"/>
      <c r="U532" s="774"/>
      <c r="V532" s="774"/>
      <c r="W532" s="774"/>
      <c r="X532" s="774"/>
      <c r="Y532" s="774"/>
      <c r="Z532" s="774"/>
    </row>
    <row r="533" spans="1:26" s="238" customFormat="1" x14ac:dyDescent="0.25">
      <c r="A533" s="794" t="s">
        <v>7733</v>
      </c>
      <c r="B533" s="794"/>
      <c r="C533" s="794"/>
      <c r="D533" s="794"/>
      <c r="E533" s="794"/>
      <c r="F533" s="794"/>
      <c r="G533" s="1028">
        <v>44536</v>
      </c>
      <c r="J533" s="774"/>
      <c r="K533" s="774"/>
      <c r="R533" s="774"/>
      <c r="S533" s="774"/>
      <c r="T533" s="774"/>
      <c r="U533" s="774"/>
      <c r="V533" s="774"/>
      <c r="W533" s="774"/>
      <c r="X533" s="774"/>
      <c r="Y533" s="774"/>
      <c r="Z533" s="774"/>
    </row>
    <row r="534" spans="1:26" s="238" customFormat="1" x14ac:dyDescent="0.25">
      <c r="A534" s="794" t="s">
        <v>7734</v>
      </c>
      <c r="B534" s="794"/>
      <c r="C534" s="794"/>
      <c r="D534" s="794"/>
      <c r="E534" s="794"/>
      <c r="F534" s="794"/>
      <c r="G534" s="1028">
        <v>44536</v>
      </c>
      <c r="J534" s="774"/>
      <c r="K534" s="774"/>
      <c r="R534" s="774"/>
      <c r="S534" s="774"/>
      <c r="T534" s="774"/>
      <c r="U534" s="774"/>
      <c r="V534" s="774"/>
      <c r="W534" s="774"/>
      <c r="X534" s="774"/>
      <c r="Y534" s="774"/>
      <c r="Z534" s="774"/>
    </row>
    <row r="535" spans="1:26" s="238" customFormat="1" ht="20.100000000000001" customHeight="1" x14ac:dyDescent="0.25">
      <c r="A535" s="1130" t="s">
        <v>7735</v>
      </c>
      <c r="B535" s="1130"/>
      <c r="C535" s="1130"/>
      <c r="D535" s="1130"/>
      <c r="E535" s="1130"/>
      <c r="F535" s="1130"/>
      <c r="G535" s="1028">
        <v>44536</v>
      </c>
      <c r="J535" s="774"/>
      <c r="K535" s="774"/>
      <c r="R535" s="774"/>
      <c r="S535" s="774"/>
      <c r="T535" s="774"/>
      <c r="U535" s="774"/>
      <c r="V535" s="774"/>
      <c r="W535" s="774"/>
      <c r="X535" s="774"/>
      <c r="Y535" s="774"/>
      <c r="Z535" s="774"/>
    </row>
    <row r="536" spans="1:26" s="238" customFormat="1" ht="20.100000000000001" customHeight="1" x14ac:dyDescent="0.25">
      <c r="A536" s="1130" t="s">
        <v>7830</v>
      </c>
      <c r="B536" s="1130"/>
      <c r="C536" s="1130"/>
      <c r="D536" s="1130"/>
      <c r="E536" s="1130"/>
      <c r="F536" s="1130"/>
      <c r="G536" s="1028">
        <v>44545</v>
      </c>
      <c r="J536" s="774"/>
      <c r="K536" s="774"/>
      <c r="R536" s="774"/>
      <c r="S536" s="774"/>
      <c r="T536" s="774"/>
      <c r="U536" s="774"/>
      <c r="V536" s="774"/>
      <c r="W536" s="774"/>
      <c r="X536" s="774"/>
      <c r="Y536" s="774"/>
      <c r="Z536" s="774"/>
    </row>
    <row r="537" spans="1:26" x14ac:dyDescent="0.25">
      <c r="G537" s="1028"/>
    </row>
    <row r="538" spans="1:26" s="774" customFormat="1" x14ac:dyDescent="0.25">
      <c r="A538" s="807" t="s">
        <v>7724</v>
      </c>
      <c r="B538" s="645" t="s">
        <v>5412</v>
      </c>
      <c r="C538" s="643" t="s">
        <v>2270</v>
      </c>
      <c r="D538" s="643" t="s">
        <v>7727</v>
      </c>
      <c r="E538" s="656" t="s">
        <v>7741</v>
      </c>
      <c r="F538" s="657"/>
      <c r="G538" s="1028">
        <v>44536</v>
      </c>
      <c r="H538" s="129"/>
      <c r="K538" s="333"/>
      <c r="L538" s="395"/>
      <c r="M538" s="569"/>
      <c r="N538" s="327"/>
      <c r="O538" s="327"/>
    </row>
    <row r="539" spans="1:26" s="774" customFormat="1" x14ac:dyDescent="0.25">
      <c r="A539" s="644" t="s">
        <v>7725</v>
      </c>
      <c r="B539" s="645" t="s">
        <v>5412</v>
      </c>
      <c r="C539" s="643" t="s">
        <v>2270</v>
      </c>
      <c r="D539" s="643" t="s">
        <v>7728</v>
      </c>
      <c r="E539" s="656" t="s">
        <v>7741</v>
      </c>
      <c r="F539" s="657"/>
      <c r="G539" s="1028">
        <v>44536</v>
      </c>
      <c r="H539" s="129"/>
      <c r="K539" s="333"/>
      <c r="L539" s="395"/>
      <c r="M539" s="569"/>
      <c r="N539" s="327"/>
      <c r="O539" s="327"/>
    </row>
    <row r="540" spans="1:26" s="774" customFormat="1" x14ac:dyDescent="0.25">
      <c r="D540" s="751"/>
      <c r="F540" s="471"/>
      <c r="G540" s="1028"/>
    </row>
    <row r="541" spans="1:26" s="774" customFormat="1" x14ac:dyDescent="0.25">
      <c r="A541" s="807" t="s">
        <v>7737</v>
      </c>
      <c r="B541" s="645" t="s">
        <v>5412</v>
      </c>
      <c r="C541" s="643" t="s">
        <v>2270</v>
      </c>
      <c r="D541" s="643" t="s">
        <v>7739</v>
      </c>
      <c r="E541" s="656" t="s">
        <v>7742</v>
      </c>
      <c r="F541" s="657"/>
      <c r="G541" s="1028">
        <v>44536</v>
      </c>
      <c r="H541" s="129"/>
      <c r="K541" s="333"/>
      <c r="L541" s="395"/>
      <c r="M541" s="569"/>
      <c r="N541" s="327"/>
      <c r="O541" s="327"/>
    </row>
    <row r="542" spans="1:26" s="774" customFormat="1" x14ac:dyDescent="0.25">
      <c r="A542" s="644" t="s">
        <v>7738</v>
      </c>
      <c r="B542" s="645" t="s">
        <v>5412</v>
      </c>
      <c r="C542" s="643" t="s">
        <v>2270</v>
      </c>
      <c r="D542" s="643" t="s">
        <v>7740</v>
      </c>
      <c r="E542" s="656" t="s">
        <v>7742</v>
      </c>
      <c r="F542" s="657"/>
      <c r="G542" s="1028">
        <v>44536</v>
      </c>
      <c r="H542" s="129"/>
      <c r="K542" s="333"/>
      <c r="L542" s="395"/>
      <c r="M542" s="569"/>
      <c r="N542" s="327"/>
      <c r="O542" s="327"/>
    </row>
    <row r="543" spans="1:26" x14ac:dyDescent="0.25">
      <c r="G543"/>
    </row>
    <row r="544" spans="1:26" ht="23.25" x14ac:dyDescent="0.25">
      <c r="A544" s="1049" t="s">
        <v>7888</v>
      </c>
      <c r="B544" s="775"/>
      <c r="C544" s="775"/>
      <c r="D544" s="775"/>
      <c r="E544" s="775"/>
      <c r="F544" s="443"/>
      <c r="G544" s="1050"/>
      <c r="H544" s="1051"/>
    </row>
    <row r="545" spans="1:21" ht="31.5" customHeight="1" x14ac:dyDescent="0.25">
      <c r="A545" s="1130" t="s">
        <v>7889</v>
      </c>
      <c r="B545" s="1130"/>
      <c r="C545" s="1130"/>
      <c r="D545" s="1130"/>
      <c r="E545" s="1130"/>
      <c r="F545" s="1130"/>
      <c r="G545" s="1175"/>
      <c r="H545" s="1175"/>
    </row>
    <row r="546" spans="1:21" s="12" customFormat="1" ht="15" customHeight="1" x14ac:dyDescent="0.25">
      <c r="A546" s="1035"/>
      <c r="B546" s="1035"/>
      <c r="C546" s="1035"/>
      <c r="D546" s="1035"/>
      <c r="E546" s="1035"/>
      <c r="F546" s="1035"/>
      <c r="G546" s="1052"/>
      <c r="H546" s="1052"/>
    </row>
    <row r="547" spans="1:21" s="774" customFormat="1" x14ac:dyDescent="0.25">
      <c r="A547" s="644" t="str">
        <f>"SgK4820--"&amp;RIGHT('EEG-Vergütungen und vNNE'!N5191,5)</f>
        <v>SgK4820--Aug22</v>
      </c>
      <c r="B547" s="645" t="s">
        <v>5435</v>
      </c>
      <c r="C547" s="645" t="str">
        <f t="shared" ref="C547:C561" si="0">"Inbetriebnahme "&amp;TEXT(DATEVALUE(RIGHT(A547,5)),"MM/JJJJ")</f>
        <v>Inbetriebnahme 08/2022</v>
      </c>
      <c r="D547" s="645" t="str">
        <f>'EEG-Vergütungen und vNNE'!D5202</f>
        <v>0 - 10 kW</v>
      </c>
      <c r="E547" s="645"/>
      <c r="F547" s="793" t="str">
        <f>IF(HLOOKUP($D547,'EEG-Vergütungen und vNNE'!$U$5183:$W$5195,MATCH(RIGHT($A547,5),'EEG-Vergütungen und vNNE'!$N$5183:$N$5195,0),FALSE)&lt;&gt;"",ROUND(HLOOKUP($D547,'EEG-Vergütungen und vNNE'!$U$5183:$W$5195,MATCH(RIGHT($A547,5),'EEG-Vergütungen und vNNE'!$N$5183:$N$5195,0),FALSE),2),"")</f>
        <v/>
      </c>
      <c r="G547" s="1028">
        <v>44848</v>
      </c>
      <c r="H547" s="769"/>
      <c r="I547" s="872"/>
      <c r="J547" s="868"/>
      <c r="L547" s="325"/>
    </row>
    <row r="548" spans="1:21" s="774" customFormat="1" x14ac:dyDescent="0.25">
      <c r="A548" s="644" t="str">
        <f>"SgK4821--"&amp;RIGHT(A547,5)</f>
        <v>SgK4821--Aug22</v>
      </c>
      <c r="B548" s="645" t="s">
        <v>5435</v>
      </c>
      <c r="C548" s="645" t="str">
        <f t="shared" si="0"/>
        <v>Inbetriebnahme 08/2022</v>
      </c>
      <c r="D548" s="645" t="str">
        <f>'EEG-Vergütungen und vNNE'!D5203</f>
        <v>10 - 40 kW</v>
      </c>
      <c r="E548" s="645"/>
      <c r="F548" s="793" t="str">
        <f>IF(HLOOKUP($D548,'EEG-Vergütungen und vNNE'!$U$5183:$W$5195,MATCH(RIGHT($A548,5),'EEG-Vergütungen und vNNE'!$N$5183:$N$5195,0),FALSE)&lt;&gt;"",ROUND(HLOOKUP($D548,'EEG-Vergütungen und vNNE'!$U$5183:$W$5195,MATCH(RIGHT($A548,5),'EEG-Vergütungen und vNNE'!$N$5183:$N$5195,0),FALSE),2),"")</f>
        <v/>
      </c>
      <c r="G548" s="1028">
        <v>44848</v>
      </c>
      <c r="H548" s="769"/>
      <c r="I548" s="872"/>
      <c r="J548" s="868"/>
      <c r="L548" s="325"/>
    </row>
    <row r="549" spans="1:21" s="774" customFormat="1" x14ac:dyDescent="0.25">
      <c r="A549" s="644" t="str">
        <f>"SgK4822--"&amp;RIGHT(A548,5)</f>
        <v>SgK4822--Aug22</v>
      </c>
      <c r="B549" s="645" t="s">
        <v>5435</v>
      </c>
      <c r="C549" s="645" t="str">
        <f t="shared" si="0"/>
        <v>Inbetriebnahme 08/2022</v>
      </c>
      <c r="D549" s="645" t="str">
        <f>'EEG-Vergütungen und vNNE'!D5204</f>
        <v>40 - 750 kW</v>
      </c>
      <c r="E549" s="645"/>
      <c r="F549" s="793" t="str">
        <f>IF(HLOOKUP($D549,'EEG-Vergütungen und vNNE'!$U$5183:$W$5195,MATCH(RIGHT($A549,5),'EEG-Vergütungen und vNNE'!$N$5183:$N$5195,0),FALSE)&lt;&gt;"",ROUND(HLOOKUP($D549,'EEG-Vergütungen und vNNE'!$U$5183:$W$5195,MATCH(RIGHT($A549,5),'EEG-Vergütungen und vNNE'!$N$5183:$N$5195,0),FALSE),2),"")</f>
        <v/>
      </c>
      <c r="G549" s="1028">
        <v>44848</v>
      </c>
      <c r="J549" s="868"/>
      <c r="L549" s="325"/>
    </row>
    <row r="550" spans="1:21" s="774" customFormat="1" x14ac:dyDescent="0.25">
      <c r="A550" s="644" t="str">
        <f>"SgK4820--"&amp;RIGHT('EEG-Vergütungen und vNNE'!N5192,5)</f>
        <v>SgK4820--Sep22</v>
      </c>
      <c r="B550" s="645" t="s">
        <v>5435</v>
      </c>
      <c r="C550" s="645" t="str">
        <f t="shared" si="0"/>
        <v>Inbetriebnahme 09/2022</v>
      </c>
      <c r="D550" s="645" t="str">
        <f t="shared" ref="D550:D561" si="1">D547</f>
        <v>0 - 10 kW</v>
      </c>
      <c r="E550" s="645"/>
      <c r="F550" s="793" t="str">
        <f>IF(HLOOKUP($D550,'EEG-Vergütungen und vNNE'!$U$5183:$W$5195,MATCH(RIGHT($A550,5),'EEG-Vergütungen und vNNE'!$N$5183:$N$5195,0),FALSE)&lt;&gt;"",ROUND(HLOOKUP($D550,'EEG-Vergütungen und vNNE'!$U$5183:$W$5195,MATCH(RIGHT($A550,5),'EEG-Vergütungen und vNNE'!$N$5183:$N$5195,0),FALSE),2),"")</f>
        <v/>
      </c>
      <c r="G550" s="1028">
        <v>44848</v>
      </c>
    </row>
    <row r="551" spans="1:21" s="774" customFormat="1" x14ac:dyDescent="0.25">
      <c r="A551" s="644" t="str">
        <f>"SgK4821--"&amp;RIGHT(A550,5)</f>
        <v>SgK4821--Sep22</v>
      </c>
      <c r="B551" s="645" t="s">
        <v>5435</v>
      </c>
      <c r="C551" s="645" t="str">
        <f t="shared" si="0"/>
        <v>Inbetriebnahme 09/2022</v>
      </c>
      <c r="D551" s="645" t="str">
        <f t="shared" si="1"/>
        <v>10 - 40 kW</v>
      </c>
      <c r="E551" s="645"/>
      <c r="F551" s="793" t="str">
        <f>IF(HLOOKUP($D551,'EEG-Vergütungen und vNNE'!$U$5183:$W$5195,MATCH(RIGHT($A551,5),'EEG-Vergütungen und vNNE'!$N$5183:$N$5195,0),FALSE)&lt;&gt;"",ROUND(HLOOKUP($D551,'EEG-Vergütungen und vNNE'!$U$5183:$W$5195,MATCH(RIGHT($A551,5),'EEG-Vergütungen und vNNE'!$N$5183:$N$5195,0),FALSE),2),"")</f>
        <v/>
      </c>
      <c r="G551" s="1028">
        <v>44848</v>
      </c>
    </row>
    <row r="552" spans="1:21" s="774" customFormat="1" x14ac:dyDescent="0.25">
      <c r="A552" s="644" t="str">
        <f>"SgK4822--"&amp;RIGHT(A551,5)</f>
        <v>SgK4822--Sep22</v>
      </c>
      <c r="B552" s="645" t="s">
        <v>5435</v>
      </c>
      <c r="C552" s="645" t="str">
        <f t="shared" si="0"/>
        <v>Inbetriebnahme 09/2022</v>
      </c>
      <c r="D552" s="645" t="str">
        <f t="shared" si="1"/>
        <v>40 - 750 kW</v>
      </c>
      <c r="E552" s="645"/>
      <c r="F552" s="793" t="str">
        <f>IF(HLOOKUP($D552,'EEG-Vergütungen und vNNE'!$U$5183:$W$5195,MATCH(RIGHT($A552,5),'EEG-Vergütungen und vNNE'!$N$5183:$N$5195,0),FALSE)&lt;&gt;"",ROUND(HLOOKUP($D552,'EEG-Vergütungen und vNNE'!$U$5183:$W$5195,MATCH(RIGHT($A552,5),'EEG-Vergütungen und vNNE'!$N$5183:$N$5195,0),FALSE),2),"")</f>
        <v/>
      </c>
      <c r="G552" s="1028">
        <v>44848</v>
      </c>
    </row>
    <row r="553" spans="1:21" s="774" customFormat="1" x14ac:dyDescent="0.25">
      <c r="A553" s="644" t="str">
        <f>"SgK4820--"&amp;RIGHT('EEG-Vergütungen und vNNE'!N5193,5)</f>
        <v>SgK4820--Okt22</v>
      </c>
      <c r="B553" s="645" t="s">
        <v>5435</v>
      </c>
      <c r="C553" s="645" t="str">
        <f t="shared" si="0"/>
        <v>Inbetriebnahme 10/2022</v>
      </c>
      <c r="D553" s="645" t="str">
        <f t="shared" si="1"/>
        <v>0 - 10 kW</v>
      </c>
      <c r="E553" s="645"/>
      <c r="F553" s="793" t="str">
        <f>IF(HLOOKUP($D553,'EEG-Vergütungen und vNNE'!$U$5183:$W$5195,MATCH(RIGHT($A553,5),'EEG-Vergütungen und vNNE'!$N$5183:$N$5195,0),FALSE)&lt;&gt;"",ROUND(HLOOKUP($D553,'EEG-Vergütungen und vNNE'!$U$5183:$W$5195,MATCH(RIGHT($A553,5),'EEG-Vergütungen und vNNE'!$N$5183:$N$5195,0),FALSE),2),"")</f>
        <v/>
      </c>
      <c r="G553" s="1028">
        <v>44848</v>
      </c>
      <c r="L553" s="395"/>
      <c r="M553" s="871" t="str">
        <f>IF($L553&lt;&gt;"",(1-$L553)*'EEG-Vergütungen und vNNE'!P5195,"")</f>
        <v/>
      </c>
      <c r="N553" s="871" t="str">
        <f>IF($L553&lt;&gt;"",(1-$L553)*'EEG-Vergütungen und vNNE'!Q5195,"")</f>
        <v/>
      </c>
      <c r="O553" s="871" t="str">
        <f>IF($L553&lt;&gt;"",(1-$L553)*'EEG-Vergütungen und vNNE'!R5195,"")</f>
        <v/>
      </c>
      <c r="P553" s="871" t="str">
        <f>IF($L553&lt;&gt;"",(1-$L553)*'EEG-Vergütungen und vNNE'!S5195,"")</f>
        <v/>
      </c>
      <c r="R553" s="871" t="str">
        <f>IF($L553&lt;&gt;"",(1-$L553)*'EEG-Vergütungen und vNNE'!U5195,"")</f>
        <v/>
      </c>
      <c r="S553" s="871" t="str">
        <f>IF($L553&lt;&gt;"",(1-$L553)*'EEG-Vergütungen und vNNE'!V5195,"")</f>
        <v/>
      </c>
      <c r="T553" s="871" t="str">
        <f>IF($L553&lt;&gt;"",(1-$L553)*'EEG-Vergütungen und vNNE'!W5195,"")</f>
        <v/>
      </c>
      <c r="U553" s="871" t="str">
        <f>IF($L553&lt;&gt;"",(1-$L553)*'EEG-Vergütungen und vNNE'!X5195,"")</f>
        <v/>
      </c>
    </row>
    <row r="554" spans="1:21" s="774" customFormat="1" x14ac:dyDescent="0.25">
      <c r="A554" s="644" t="str">
        <f>"SgK4821--"&amp;RIGHT(A553,5)</f>
        <v>SgK4821--Okt22</v>
      </c>
      <c r="B554" s="645" t="s">
        <v>5435</v>
      </c>
      <c r="C554" s="645" t="str">
        <f t="shared" si="0"/>
        <v>Inbetriebnahme 10/2022</v>
      </c>
      <c r="D554" s="645" t="str">
        <f t="shared" si="1"/>
        <v>10 - 40 kW</v>
      </c>
      <c r="E554" s="645"/>
      <c r="F554" s="793" t="str">
        <f>IF(HLOOKUP($D554,'EEG-Vergütungen und vNNE'!$U$5183:$W$5195,MATCH(RIGHT($A554,5),'EEG-Vergütungen und vNNE'!$N$5183:$N$5195,0),FALSE)&lt;&gt;"",ROUND(HLOOKUP($D554,'EEG-Vergütungen und vNNE'!$U$5183:$W$5195,MATCH(RIGHT($A554,5),'EEG-Vergütungen und vNNE'!$N$5183:$N$5195,0),FALSE),2),"")</f>
        <v/>
      </c>
      <c r="G554" s="1028">
        <v>44848</v>
      </c>
      <c r="L554" s="395"/>
      <c r="M554" s="871" t="str">
        <f>IF($L554&lt;&gt;"",(1-$L554)*'EEG-Vergütungen und vNNE'!P5195,"")</f>
        <v/>
      </c>
      <c r="N554" s="871" t="str">
        <f>IF($L554&lt;&gt;"",(1-$L554)*'EEG-Vergütungen und vNNE'!Q5195,"")</f>
        <v/>
      </c>
      <c r="O554" s="871" t="str">
        <f>IF($L554&lt;&gt;"",(1-$L554)*'EEG-Vergütungen und vNNE'!R5195,"")</f>
        <v/>
      </c>
      <c r="P554" s="871" t="str">
        <f>IF($L554&lt;&gt;"",(1-$L554)*'EEG-Vergütungen und vNNE'!S5195,"")</f>
        <v/>
      </c>
      <c r="R554" s="871" t="str">
        <f>IF($L554&lt;&gt;"",(1-$L554)*'EEG-Vergütungen und vNNE'!U5195,"")</f>
        <v/>
      </c>
      <c r="S554" s="871" t="str">
        <f>IF($L554&lt;&gt;"",(1-$L554)*'EEG-Vergütungen und vNNE'!V5195,"")</f>
        <v/>
      </c>
      <c r="T554" s="871" t="str">
        <f>IF($L554&lt;&gt;"",(1-$L554)*'EEG-Vergütungen und vNNE'!W5195,"")</f>
        <v/>
      </c>
      <c r="U554" s="871" t="str">
        <f>IF($L554&lt;&gt;"",(1-$L554)*'EEG-Vergütungen und vNNE'!X5195,"")</f>
        <v/>
      </c>
    </row>
    <row r="555" spans="1:21" s="774" customFormat="1" x14ac:dyDescent="0.25">
      <c r="A555" s="644" t="str">
        <f>"SgK4822--"&amp;RIGHT(A554,5)</f>
        <v>SgK4822--Okt22</v>
      </c>
      <c r="B555" s="645" t="s">
        <v>5435</v>
      </c>
      <c r="C555" s="645" t="str">
        <f t="shared" si="0"/>
        <v>Inbetriebnahme 10/2022</v>
      </c>
      <c r="D555" s="645" t="str">
        <f t="shared" si="1"/>
        <v>40 - 750 kW</v>
      </c>
      <c r="E555" s="645"/>
      <c r="F555" s="793" t="str">
        <f>IF(HLOOKUP($D555,'EEG-Vergütungen und vNNE'!$U$5183:$W$5195,MATCH(RIGHT($A555,5),'EEG-Vergütungen und vNNE'!$N$5183:$N$5195,0),FALSE)&lt;&gt;"",ROUND(HLOOKUP($D555,'EEG-Vergütungen und vNNE'!$U$5183:$W$5195,MATCH(RIGHT($A555,5),'EEG-Vergütungen und vNNE'!$N$5183:$N$5195,0),FALSE),2),"")</f>
        <v/>
      </c>
      <c r="G555" s="1028">
        <v>44848</v>
      </c>
      <c r="L555" s="395"/>
      <c r="M555" s="871" t="str">
        <f>IF($L555&lt;&gt;"",(1-$L555)*M553,"")</f>
        <v/>
      </c>
      <c r="N555" s="871" t="str">
        <f>IF($L555&lt;&gt;"",(1-$L555)*N553,"")</f>
        <v/>
      </c>
      <c r="O555" s="871" t="str">
        <f>IF($L555&lt;&gt;"",(1-$L555)*O553,"")</f>
        <v/>
      </c>
      <c r="P555" s="871" t="str">
        <f>IF($L555&lt;&gt;"",(1-$L555)*P553,"")</f>
        <v/>
      </c>
      <c r="R555" s="871" t="str">
        <f>IF($L555&lt;&gt;"",(1-$L555)*R553,"")</f>
        <v/>
      </c>
      <c r="S555" s="871" t="str">
        <f>IF($L555&lt;&gt;"",(1-$L555)*S553,"")</f>
        <v/>
      </c>
      <c r="T555" s="871" t="str">
        <f>IF($L555&lt;&gt;"",(1-$L555)*T553,"")</f>
        <v/>
      </c>
      <c r="U555" s="871" t="str">
        <f>IF($L555&lt;&gt;"",(1-$L555)*U553,"")</f>
        <v/>
      </c>
    </row>
    <row r="556" spans="1:21" s="774" customFormat="1" x14ac:dyDescent="0.25">
      <c r="A556" s="644" t="str">
        <f>"SgK4820--"&amp;RIGHT('EEG-Vergütungen und vNNE'!N5194,5)</f>
        <v>SgK4820--Nov22</v>
      </c>
      <c r="B556" s="645" t="s">
        <v>5435</v>
      </c>
      <c r="C556" s="645" t="str">
        <f t="shared" si="0"/>
        <v>Inbetriebnahme 11/2022</v>
      </c>
      <c r="D556" s="645" t="str">
        <f t="shared" si="1"/>
        <v>0 - 10 kW</v>
      </c>
      <c r="E556" s="645"/>
      <c r="F556" s="793" t="str">
        <f>IF(HLOOKUP($D556,'EEG-Vergütungen und vNNE'!$U$5183:$W$5195,MATCH(RIGHT($A556,5),'EEG-Vergütungen und vNNE'!$N$5183:$N$5195,0),FALSE)&lt;&gt;"",ROUND(HLOOKUP($D556,'EEG-Vergütungen und vNNE'!$U$5183:$W$5195,MATCH(RIGHT($A556,5),'EEG-Vergütungen und vNNE'!$N$5183:$N$5195,0),FALSE),2),"")</f>
        <v/>
      </c>
      <c r="G556" s="1028">
        <v>44848</v>
      </c>
      <c r="L556" s="395"/>
      <c r="M556" s="871" t="str">
        <f>IF($L556&lt;&gt;"",(1-$L556)*#REF!,"")</f>
        <v/>
      </c>
      <c r="N556" s="871" t="str">
        <f>IF($L556&lt;&gt;"",(1-$L556)*#REF!,"")</f>
        <v/>
      </c>
      <c r="O556" s="871" t="str">
        <f>IF($L556&lt;&gt;"",(1-$L556)*#REF!,"")</f>
        <v/>
      </c>
      <c r="P556" s="871" t="str">
        <f>IF($L556&lt;&gt;"",(1-$L556)*#REF!,"")</f>
        <v/>
      </c>
      <c r="R556" s="871" t="str">
        <f>IF($L556&lt;&gt;"",(1-$L556)*#REF!,"")</f>
        <v/>
      </c>
      <c r="S556" s="871" t="str">
        <f>IF($L556&lt;&gt;"",(1-$L556)*#REF!,"")</f>
        <v/>
      </c>
      <c r="T556" s="871" t="str">
        <f>IF($L556&lt;&gt;"",(1-$L556)*#REF!,"")</f>
        <v/>
      </c>
      <c r="U556" s="871" t="str">
        <f>IF($L556&lt;&gt;"",(1-$L556)*#REF!,"")</f>
        <v/>
      </c>
    </row>
    <row r="557" spans="1:21" s="774" customFormat="1" x14ac:dyDescent="0.25">
      <c r="A557" s="644" t="str">
        <f>"SgK4821--"&amp;RIGHT(A556,5)</f>
        <v>SgK4821--Nov22</v>
      </c>
      <c r="B557" s="645" t="s">
        <v>5435</v>
      </c>
      <c r="C557" s="645" t="str">
        <f t="shared" si="0"/>
        <v>Inbetriebnahme 11/2022</v>
      </c>
      <c r="D557" s="645" t="str">
        <f t="shared" si="1"/>
        <v>10 - 40 kW</v>
      </c>
      <c r="E557" s="645"/>
      <c r="F557" s="793" t="str">
        <f>IF(HLOOKUP($D557,'EEG-Vergütungen und vNNE'!$U$5183:$W$5195,MATCH(RIGHT($A557,5),'EEG-Vergütungen und vNNE'!$N$5183:$N$5195,0),FALSE)&lt;&gt;"",ROUND(HLOOKUP($D557,'EEG-Vergütungen und vNNE'!$U$5183:$W$5195,MATCH(RIGHT($A557,5),'EEG-Vergütungen und vNNE'!$N$5183:$N$5195,0),FALSE),2),"")</f>
        <v/>
      </c>
      <c r="G557" s="1028">
        <v>44848</v>
      </c>
      <c r="L557" s="395"/>
      <c r="M557" s="871" t="str">
        <f>IF($L557&lt;&gt;"",(1-$L557)*#REF!,"")</f>
        <v/>
      </c>
      <c r="N557" s="871" t="str">
        <f>IF($L557&lt;&gt;"",(1-$L557)*#REF!,"")</f>
        <v/>
      </c>
      <c r="O557" s="871" t="str">
        <f>IF($L557&lt;&gt;"",(1-$L557)*#REF!,"")</f>
        <v/>
      </c>
      <c r="P557" s="871" t="str">
        <f>IF($L557&lt;&gt;"",(1-$L557)*#REF!,"")</f>
        <v/>
      </c>
      <c r="R557" s="871" t="str">
        <f>IF($L557&lt;&gt;"",(1-$L557)*#REF!,"")</f>
        <v/>
      </c>
      <c r="S557" s="871" t="str">
        <f>IF($L557&lt;&gt;"",(1-$L557)*#REF!,"")</f>
        <v/>
      </c>
      <c r="T557" s="871" t="str">
        <f>IF($L557&lt;&gt;"",(1-$L557)*#REF!,"")</f>
        <v/>
      </c>
      <c r="U557" s="871" t="str">
        <f>IF($L557&lt;&gt;"",(1-$L557)*#REF!,"")</f>
        <v/>
      </c>
    </row>
    <row r="558" spans="1:21" s="774" customFormat="1" x14ac:dyDescent="0.25">
      <c r="A558" s="644" t="str">
        <f>"SgK4822--"&amp;RIGHT(A557,5)</f>
        <v>SgK4822--Nov22</v>
      </c>
      <c r="B558" s="645" t="s">
        <v>5435</v>
      </c>
      <c r="C558" s="645" t="str">
        <f t="shared" si="0"/>
        <v>Inbetriebnahme 11/2022</v>
      </c>
      <c r="D558" s="645" t="str">
        <f t="shared" si="1"/>
        <v>40 - 750 kW</v>
      </c>
      <c r="E558" s="645"/>
      <c r="F558" s="793" t="str">
        <f>IF(HLOOKUP($D558,'EEG-Vergütungen und vNNE'!$U$5183:$W$5195,MATCH(RIGHT($A558,5),'EEG-Vergütungen und vNNE'!$N$5183:$N$5195,0),FALSE)&lt;&gt;"",ROUND(HLOOKUP($D558,'EEG-Vergütungen und vNNE'!$U$5183:$W$5195,MATCH(RIGHT($A558,5),'EEG-Vergütungen und vNNE'!$N$5183:$N$5195,0),FALSE),2),"")</f>
        <v/>
      </c>
      <c r="G558" s="1028">
        <v>44848</v>
      </c>
      <c r="L558" s="395"/>
      <c r="M558" s="871" t="str">
        <f>IF($L558&lt;&gt;"",(1-$L558)*M556,"")</f>
        <v/>
      </c>
      <c r="N558" s="871" t="str">
        <f>IF($L558&lt;&gt;"",(1-$L558)*N556,"")</f>
        <v/>
      </c>
      <c r="O558" s="871" t="str">
        <f>IF($L558&lt;&gt;"",(1-$L558)*O556,"")</f>
        <v/>
      </c>
      <c r="P558" s="871" t="str">
        <f>IF($L558&lt;&gt;"",(1-$L558)*P556,"")</f>
        <v/>
      </c>
      <c r="R558" s="871" t="str">
        <f>IF($L558&lt;&gt;"",(1-$L558)*R556,"")</f>
        <v/>
      </c>
      <c r="S558" s="871" t="str">
        <f>IF($L558&lt;&gt;"",(1-$L558)*S556,"")</f>
        <v/>
      </c>
      <c r="T558" s="871" t="str">
        <f>IF($L558&lt;&gt;"",(1-$L558)*T556,"")</f>
        <v/>
      </c>
      <c r="U558" s="871" t="str">
        <f>IF($L558&lt;&gt;"",(1-$L558)*U556,"")</f>
        <v/>
      </c>
    </row>
    <row r="559" spans="1:21" s="774" customFormat="1" x14ac:dyDescent="0.25">
      <c r="A559" s="644" t="str">
        <f>"SgK4820--"&amp;RIGHT('EEG-Vergütungen und vNNE'!N5195,5)</f>
        <v>SgK4820--Dez22</v>
      </c>
      <c r="B559" s="645" t="s">
        <v>5435</v>
      </c>
      <c r="C559" s="645" t="str">
        <f t="shared" si="0"/>
        <v>Inbetriebnahme 12/2022</v>
      </c>
      <c r="D559" s="645" t="str">
        <f t="shared" si="1"/>
        <v>0 - 10 kW</v>
      </c>
      <c r="E559" s="645"/>
      <c r="F559" s="793" t="str">
        <f>IF(HLOOKUP($D559,'EEG-Vergütungen und vNNE'!$U$5183:$W$5195,MATCH(RIGHT($A559,5),'EEG-Vergütungen und vNNE'!$N$5183:$N$5195,0),FALSE)&lt;&gt;"",ROUND(HLOOKUP($D559,'EEG-Vergütungen und vNNE'!$U$5183:$W$5195,MATCH(RIGHT($A559,5),'EEG-Vergütungen und vNNE'!$N$5183:$N$5195,0),FALSE),2),"")</f>
        <v/>
      </c>
      <c r="G559" s="1028">
        <v>44848</v>
      </c>
      <c r="L559" s="395"/>
      <c r="M559" s="871" t="str">
        <f>IF($L559&lt;&gt;"",(1-$L559)*#REF!,"")</f>
        <v/>
      </c>
      <c r="N559" s="871" t="str">
        <f>IF($L559&lt;&gt;"",(1-$L559)*#REF!,"")</f>
        <v/>
      </c>
      <c r="O559" s="871" t="str">
        <f>IF($L559&lt;&gt;"",(1-$L559)*#REF!,"")</f>
        <v/>
      </c>
      <c r="P559" s="871" t="str">
        <f>IF($L559&lt;&gt;"",(1-$L559)*#REF!,"")</f>
        <v/>
      </c>
      <c r="R559" s="871" t="str">
        <f>IF($L559&lt;&gt;"",(1-$L559)*#REF!,"")</f>
        <v/>
      </c>
      <c r="S559" s="871" t="str">
        <f>IF($L559&lt;&gt;"",(1-$L559)*#REF!,"")</f>
        <v/>
      </c>
      <c r="T559" s="871" t="str">
        <f>IF($L559&lt;&gt;"",(1-$L559)*#REF!,"")</f>
        <v/>
      </c>
      <c r="U559" s="871" t="str">
        <f>IF($L559&lt;&gt;"",(1-$L559)*#REF!,"")</f>
        <v/>
      </c>
    </row>
    <row r="560" spans="1:21" s="774" customFormat="1" x14ac:dyDescent="0.25">
      <c r="A560" s="644" t="str">
        <f>"SgK4821--"&amp;RIGHT(A559,5)</f>
        <v>SgK4821--Dez22</v>
      </c>
      <c r="B560" s="645" t="s">
        <v>5435</v>
      </c>
      <c r="C560" s="645" t="str">
        <f t="shared" si="0"/>
        <v>Inbetriebnahme 12/2022</v>
      </c>
      <c r="D560" s="645" t="str">
        <f t="shared" si="1"/>
        <v>10 - 40 kW</v>
      </c>
      <c r="E560" s="645"/>
      <c r="F560" s="793" t="str">
        <f>IF(HLOOKUP($D560,'EEG-Vergütungen und vNNE'!$U$5183:$W$5195,MATCH(RIGHT($A560,5),'EEG-Vergütungen und vNNE'!$N$5183:$N$5195,0),FALSE)&lt;&gt;"",ROUND(HLOOKUP($D560,'EEG-Vergütungen und vNNE'!$U$5183:$W$5195,MATCH(RIGHT($A560,5),'EEG-Vergütungen und vNNE'!$N$5183:$N$5195,0),FALSE),2),"")</f>
        <v/>
      </c>
      <c r="G560" s="1028">
        <v>44848</v>
      </c>
      <c r="L560" s="395"/>
      <c r="M560" s="871" t="str">
        <f>IF($L560&lt;&gt;"",(1-$L560)*#REF!,"")</f>
        <v/>
      </c>
      <c r="N560" s="871" t="str">
        <f>IF($L560&lt;&gt;"",(1-$L560)*#REF!,"")</f>
        <v/>
      </c>
      <c r="O560" s="871" t="str">
        <f>IF($L560&lt;&gt;"",(1-$L560)*#REF!,"")</f>
        <v/>
      </c>
      <c r="P560" s="871" t="str">
        <f>IF($L560&lt;&gt;"",(1-$L560)*#REF!,"")</f>
        <v/>
      </c>
      <c r="R560" s="871" t="str">
        <f>IF($L560&lt;&gt;"",(1-$L560)*#REF!,"")</f>
        <v/>
      </c>
      <c r="S560" s="871" t="str">
        <f>IF($L560&lt;&gt;"",(1-$L560)*#REF!,"")</f>
        <v/>
      </c>
      <c r="T560" s="871" t="str">
        <f>IF($L560&lt;&gt;"",(1-$L560)*#REF!,"")</f>
        <v/>
      </c>
      <c r="U560" s="871" t="str">
        <f>IF($L560&lt;&gt;"",(1-$L560)*#REF!,"")</f>
        <v/>
      </c>
    </row>
    <row r="561" spans="1:26" s="774" customFormat="1" ht="14.25" customHeight="1" x14ac:dyDescent="0.25">
      <c r="A561" s="644" t="str">
        <f>"SgK4822--"&amp;RIGHT(A560,5)</f>
        <v>SgK4822--Dez22</v>
      </c>
      <c r="B561" s="645" t="s">
        <v>5435</v>
      </c>
      <c r="C561" s="645" t="str">
        <f t="shared" si="0"/>
        <v>Inbetriebnahme 12/2022</v>
      </c>
      <c r="D561" s="645" t="str">
        <f t="shared" si="1"/>
        <v>40 - 750 kW</v>
      </c>
      <c r="E561" s="645"/>
      <c r="F561" s="793" t="str">
        <f>IF(HLOOKUP($D561,'EEG-Vergütungen und vNNE'!$U$5183:$W$5195,MATCH(RIGHT($A561,5),'EEG-Vergütungen und vNNE'!$N$5183:$N$5195,0),FALSE)&lt;&gt;"",ROUND(HLOOKUP($D561,'EEG-Vergütungen und vNNE'!$U$5183:$W$5195,MATCH(RIGHT($A561,5),'EEG-Vergütungen und vNNE'!$N$5183:$N$5195,0),FALSE),2),"")</f>
        <v/>
      </c>
      <c r="G561" s="1028">
        <v>44848</v>
      </c>
      <c r="L561" s="395"/>
      <c r="M561" s="871" t="str">
        <f>IF($L561&lt;&gt;"",(1-$L561)*M559,"")</f>
        <v/>
      </c>
      <c r="N561" s="871" t="str">
        <f>IF($L561&lt;&gt;"",(1-$L561)*N559,"")</f>
        <v/>
      </c>
      <c r="O561" s="871" t="str">
        <f>IF($L561&lt;&gt;"",(1-$L561)*O559,"")</f>
        <v/>
      </c>
      <c r="P561" s="871" t="str">
        <f>IF($L561&lt;&gt;"",(1-$L561)*P559,"")</f>
        <v/>
      </c>
      <c r="R561" s="871" t="str">
        <f>IF($L561&lt;&gt;"",(1-$L561)*R559,"")</f>
        <v/>
      </c>
      <c r="S561" s="871" t="str">
        <f>IF($L561&lt;&gt;"",(1-$L561)*S559,"")</f>
        <v/>
      </c>
      <c r="T561" s="871" t="str">
        <f>IF($L561&lt;&gt;"",(1-$L561)*T559,"")</f>
        <v/>
      </c>
      <c r="U561" s="871" t="str">
        <f>IF($L561&lt;&gt;"",(1-$L561)*U559,"")</f>
        <v/>
      </c>
    </row>
    <row r="562" spans="1:26" s="774" customFormat="1" x14ac:dyDescent="0.25">
      <c r="F562" s="471"/>
      <c r="G562" s="1028"/>
    </row>
    <row r="563" spans="1:26" ht="43.5" customHeight="1" x14ac:dyDescent="0.25">
      <c r="A563" s="1136" t="s">
        <v>8109</v>
      </c>
      <c r="B563" s="1136"/>
      <c r="C563" s="1136"/>
      <c r="D563" s="1136"/>
      <c r="E563" s="1136"/>
      <c r="F563" s="1136"/>
      <c r="G563" s="1028">
        <v>44896</v>
      </c>
      <c r="K563" s="238"/>
      <c r="R563" s="238"/>
      <c r="S563" s="238"/>
      <c r="T563" s="238"/>
      <c r="U563" s="238"/>
      <c r="V563" s="238"/>
      <c r="W563" s="238"/>
      <c r="X563" s="238"/>
      <c r="Y563" s="238"/>
      <c r="Z563" s="238"/>
    </row>
    <row r="564" spans="1:26" x14ac:dyDescent="0.25">
      <c r="F564" s="471"/>
      <c r="G564" s="1028" t="s">
        <v>4180</v>
      </c>
    </row>
    <row r="565" spans="1:26" x14ac:dyDescent="0.25">
      <c r="A565" s="300" t="s">
        <v>4261</v>
      </c>
      <c r="B565" s="301" t="s">
        <v>2269</v>
      </c>
      <c r="C565" s="301"/>
      <c r="D565" s="301" t="s">
        <v>2550</v>
      </c>
      <c r="E565" s="301"/>
      <c r="F565" s="475"/>
      <c r="G565" s="1028">
        <v>44896</v>
      </c>
    </row>
    <row r="566" spans="1:26" x14ac:dyDescent="0.25">
      <c r="A566" s="300" t="s">
        <v>4262</v>
      </c>
      <c r="B566" s="301" t="s">
        <v>5548</v>
      </c>
      <c r="C566" s="301"/>
      <c r="D566" s="301" t="s">
        <v>2550</v>
      </c>
      <c r="E566" s="301"/>
      <c r="F566" s="475"/>
      <c r="G566" s="1028">
        <v>44896</v>
      </c>
    </row>
    <row r="567" spans="1:26" x14ac:dyDescent="0.25">
      <c r="A567" s="300" t="s">
        <v>4263</v>
      </c>
      <c r="B567" s="301" t="s">
        <v>4847</v>
      </c>
      <c r="C567" s="301"/>
      <c r="D567" s="301" t="s">
        <v>2550</v>
      </c>
      <c r="E567" s="301"/>
      <c r="F567" s="475"/>
      <c r="G567" s="1028">
        <v>44896</v>
      </c>
    </row>
    <row r="568" spans="1:26" x14ac:dyDescent="0.25">
      <c r="A568" s="300" t="s">
        <v>4264</v>
      </c>
      <c r="B568" s="301" t="s">
        <v>5406</v>
      </c>
      <c r="C568" s="301"/>
      <c r="D568" s="301" t="s">
        <v>2550</v>
      </c>
      <c r="E568" s="301"/>
      <c r="F568" s="475"/>
      <c r="G568" s="1028">
        <v>44896</v>
      </c>
    </row>
    <row r="569" spans="1:26" x14ac:dyDescent="0.25">
      <c r="A569" s="300" t="s">
        <v>4265</v>
      </c>
      <c r="B569" s="301" t="s">
        <v>5411</v>
      </c>
      <c r="C569" s="301"/>
      <c r="D569" s="301" t="s">
        <v>2550</v>
      </c>
      <c r="E569" s="301"/>
      <c r="F569" s="475"/>
      <c r="G569" s="1028">
        <v>44896</v>
      </c>
    </row>
    <row r="570" spans="1:26" x14ac:dyDescent="0.25">
      <c r="A570" s="300" t="s">
        <v>4266</v>
      </c>
      <c r="B570" s="301" t="s">
        <v>5412</v>
      </c>
      <c r="C570" s="301"/>
      <c r="D570" s="301" t="s">
        <v>2550</v>
      </c>
      <c r="E570" s="301"/>
      <c r="F570" s="475"/>
      <c r="G570" s="1028">
        <v>44896</v>
      </c>
    </row>
    <row r="571" spans="1:26" x14ac:dyDescent="0.25">
      <c r="A571" s="300" t="s">
        <v>4267</v>
      </c>
      <c r="B571" s="301" t="s">
        <v>2034</v>
      </c>
      <c r="C571" s="301"/>
      <c r="D571" s="301" t="s">
        <v>2550</v>
      </c>
      <c r="E571" s="301"/>
      <c r="F571" s="475"/>
      <c r="G571" s="1028">
        <v>44896</v>
      </c>
    </row>
    <row r="572" spans="1:26" x14ac:dyDescent="0.25">
      <c r="A572" s="300" t="s">
        <v>4268</v>
      </c>
      <c r="B572" s="301" t="s">
        <v>2067</v>
      </c>
      <c r="C572" s="301"/>
      <c r="D572" s="301" t="s">
        <v>2550</v>
      </c>
      <c r="E572" s="301"/>
      <c r="F572" s="475"/>
      <c r="G572" s="1028">
        <v>44896</v>
      </c>
    </row>
    <row r="573" spans="1:26" x14ac:dyDescent="0.25">
      <c r="A573" s="300" t="s">
        <v>4269</v>
      </c>
      <c r="B573" s="301" t="s">
        <v>3374</v>
      </c>
      <c r="C573" s="301"/>
      <c r="D573" s="301" t="s">
        <v>2550</v>
      </c>
      <c r="E573" s="301"/>
      <c r="F573" s="475"/>
      <c r="G573" s="1028">
        <v>44896</v>
      </c>
    </row>
    <row r="574" spans="1:26" x14ac:dyDescent="0.25">
      <c r="A574" s="300" t="s">
        <v>4270</v>
      </c>
      <c r="B574" s="301" t="s">
        <v>3382</v>
      </c>
      <c r="C574" s="301"/>
      <c r="D574" s="301" t="s">
        <v>2550</v>
      </c>
      <c r="E574" s="301"/>
      <c r="F574" s="475"/>
      <c r="G574" s="1028">
        <v>44896</v>
      </c>
    </row>
    <row r="575" spans="1:26" x14ac:dyDescent="0.25">
      <c r="A575" s="300" t="s">
        <v>4271</v>
      </c>
      <c r="B575" s="301" t="s">
        <v>3390</v>
      </c>
      <c r="C575" s="301"/>
      <c r="D575" s="301" t="s">
        <v>2550</v>
      </c>
      <c r="E575" s="301"/>
      <c r="F575" s="475"/>
      <c r="G575" s="1028">
        <v>44896</v>
      </c>
    </row>
    <row r="576" spans="1:26" x14ac:dyDescent="0.25">
      <c r="A576" s="300" t="s">
        <v>4272</v>
      </c>
      <c r="B576" s="301" t="s">
        <v>740</v>
      </c>
      <c r="C576" s="301"/>
      <c r="D576" s="301" t="s">
        <v>2550</v>
      </c>
      <c r="E576" s="301"/>
      <c r="F576" s="475"/>
      <c r="G576" s="1028">
        <v>44896</v>
      </c>
    </row>
    <row r="577" spans="1:26" x14ac:dyDescent="0.25">
      <c r="A577" s="300" t="s">
        <v>4273</v>
      </c>
      <c r="B577" s="301" t="s">
        <v>5435</v>
      </c>
      <c r="C577" s="301"/>
      <c r="D577" s="301" t="s">
        <v>2550</v>
      </c>
      <c r="E577" s="301"/>
      <c r="F577" s="475"/>
      <c r="G577" s="1028">
        <v>44896</v>
      </c>
      <c r="L577" s="238"/>
      <c r="M577" s="238"/>
      <c r="N577" s="238"/>
      <c r="O577" s="238"/>
      <c r="P577" s="238"/>
      <c r="Q577" s="238"/>
    </row>
    <row r="578" spans="1:26" x14ac:dyDescent="0.25">
      <c r="A578" s="383" t="s">
        <v>1054</v>
      </c>
      <c r="B578" s="384" t="s">
        <v>5435</v>
      </c>
      <c r="C578" s="384"/>
      <c r="D578" s="384" t="s">
        <v>2550</v>
      </c>
      <c r="E578" s="384" t="s">
        <v>1053</v>
      </c>
      <c r="F578" s="479"/>
      <c r="G578" s="1028">
        <v>44896</v>
      </c>
      <c r="L578" s="238"/>
      <c r="M578" s="238"/>
      <c r="N578" s="238"/>
      <c r="O578" s="238"/>
      <c r="P578" s="238"/>
      <c r="Q578" s="238"/>
    </row>
    <row r="579" spans="1:26" x14ac:dyDescent="0.25">
      <c r="F579" s="471"/>
      <c r="G579" s="669" t="s">
        <v>4180</v>
      </c>
    </row>
    <row r="580" spans="1:26" s="766" customFormat="1" ht="80.25" customHeight="1" x14ac:dyDescent="0.25">
      <c r="A580" s="1167" t="s">
        <v>8110</v>
      </c>
      <c r="B580" s="1167"/>
      <c r="C580" s="1167"/>
      <c r="D580" s="1167"/>
      <c r="E580" s="1167"/>
      <c r="F580" s="1167"/>
      <c r="G580" s="1028">
        <v>44896</v>
      </c>
      <c r="K580" s="599"/>
      <c r="R580" s="599"/>
      <c r="S580" s="599"/>
      <c r="T580" s="599"/>
      <c r="U580" s="599"/>
      <c r="V580" s="599"/>
      <c r="W580" s="599"/>
      <c r="X580" s="599"/>
      <c r="Y580" s="599"/>
      <c r="Z580" s="599"/>
    </row>
    <row r="581" spans="1:26" s="766" customFormat="1" x14ac:dyDescent="0.25">
      <c r="F581" s="574"/>
      <c r="G581" s="1028" t="s">
        <v>4180</v>
      </c>
    </row>
    <row r="582" spans="1:26" s="766" customFormat="1" x14ac:dyDescent="0.25">
      <c r="A582" s="607" t="s">
        <v>131</v>
      </c>
      <c r="B582" s="435" t="s">
        <v>2269</v>
      </c>
      <c r="C582" s="436"/>
      <c r="D582" s="436" t="s">
        <v>130</v>
      </c>
      <c r="E582" s="435"/>
      <c r="F582" s="450"/>
      <c r="G582" s="1028">
        <v>44896</v>
      </c>
    </row>
    <row r="583" spans="1:26" s="766" customFormat="1" x14ac:dyDescent="0.25">
      <c r="A583" s="607" t="s">
        <v>132</v>
      </c>
      <c r="B583" s="435" t="s">
        <v>5548</v>
      </c>
      <c r="C583" s="436"/>
      <c r="D583" s="436" t="s">
        <v>130</v>
      </c>
      <c r="E583" s="435"/>
      <c r="F583" s="450"/>
      <c r="G583" s="1028">
        <v>44896</v>
      </c>
    </row>
    <row r="584" spans="1:26" s="766" customFormat="1" x14ac:dyDescent="0.25">
      <c r="A584" s="607" t="s">
        <v>133</v>
      </c>
      <c r="B584" s="435" t="s">
        <v>4847</v>
      </c>
      <c r="C584" s="436"/>
      <c r="D584" s="436" t="s">
        <v>130</v>
      </c>
      <c r="E584" s="435"/>
      <c r="F584" s="450"/>
      <c r="G584" s="1028">
        <v>44896</v>
      </c>
    </row>
    <row r="585" spans="1:26" s="766" customFormat="1" x14ac:dyDescent="0.25">
      <c r="A585" s="607" t="s">
        <v>134</v>
      </c>
      <c r="B585" s="435" t="s">
        <v>5406</v>
      </c>
      <c r="C585" s="436"/>
      <c r="D585" s="436" t="s">
        <v>130</v>
      </c>
      <c r="E585" s="435"/>
      <c r="F585" s="450"/>
      <c r="G585" s="1028">
        <v>44896</v>
      </c>
    </row>
    <row r="586" spans="1:26" s="766" customFormat="1" x14ac:dyDescent="0.25">
      <c r="A586" s="607" t="s">
        <v>135</v>
      </c>
      <c r="B586" s="435" t="s">
        <v>5411</v>
      </c>
      <c r="C586" s="436"/>
      <c r="D586" s="436" t="s">
        <v>130</v>
      </c>
      <c r="E586" s="435"/>
      <c r="F586" s="450"/>
      <c r="G586" s="1028">
        <v>44896</v>
      </c>
    </row>
    <row r="587" spans="1:26" s="766" customFormat="1" x14ac:dyDescent="0.25">
      <c r="A587" s="607" t="s">
        <v>136</v>
      </c>
      <c r="B587" s="435" t="s">
        <v>5412</v>
      </c>
      <c r="C587" s="436"/>
      <c r="D587" s="436" t="s">
        <v>130</v>
      </c>
      <c r="E587" s="435"/>
      <c r="F587" s="450"/>
      <c r="G587" s="1028">
        <v>44896</v>
      </c>
    </row>
    <row r="588" spans="1:26" s="766" customFormat="1" x14ac:dyDescent="0.25">
      <c r="A588" s="607" t="s">
        <v>137</v>
      </c>
      <c r="B588" s="435" t="s">
        <v>2034</v>
      </c>
      <c r="C588" s="436"/>
      <c r="D588" s="436" t="s">
        <v>130</v>
      </c>
      <c r="E588" s="435"/>
      <c r="F588" s="450"/>
      <c r="G588" s="1028">
        <v>44896</v>
      </c>
    </row>
    <row r="589" spans="1:26" s="766" customFormat="1" x14ac:dyDescent="0.25">
      <c r="A589" s="607" t="s">
        <v>138</v>
      </c>
      <c r="B589" s="435" t="s">
        <v>2067</v>
      </c>
      <c r="C589" s="436"/>
      <c r="D589" s="436" t="s">
        <v>130</v>
      </c>
      <c r="E589" s="435"/>
      <c r="F589" s="450"/>
      <c r="G589" s="1028">
        <v>44896</v>
      </c>
    </row>
    <row r="590" spans="1:26" s="766" customFormat="1" x14ac:dyDescent="0.25">
      <c r="A590" s="607" t="s">
        <v>139</v>
      </c>
      <c r="B590" s="435" t="s">
        <v>3374</v>
      </c>
      <c r="C590" s="436"/>
      <c r="D590" s="436" t="s">
        <v>130</v>
      </c>
      <c r="E590" s="435"/>
      <c r="F590" s="450"/>
      <c r="G590" s="1028">
        <v>44896</v>
      </c>
    </row>
    <row r="591" spans="1:26" s="766" customFormat="1" x14ac:dyDescent="0.25">
      <c r="A591" s="607" t="s">
        <v>140</v>
      </c>
      <c r="B591" s="435" t="s">
        <v>3382</v>
      </c>
      <c r="C591" s="436"/>
      <c r="D591" s="436" t="s">
        <v>130</v>
      </c>
      <c r="E591" s="435"/>
      <c r="F591" s="450"/>
      <c r="G591" s="1028">
        <v>44896</v>
      </c>
    </row>
    <row r="592" spans="1:26" s="766" customFormat="1" x14ac:dyDescent="0.25">
      <c r="A592" s="607" t="s">
        <v>141</v>
      </c>
      <c r="B592" s="435" t="s">
        <v>3390</v>
      </c>
      <c r="C592" s="436"/>
      <c r="D592" s="436" t="s">
        <v>130</v>
      </c>
      <c r="E592" s="435"/>
      <c r="F592" s="450"/>
      <c r="G592" s="1028">
        <v>44896</v>
      </c>
    </row>
    <row r="593" spans="1:17" s="766" customFormat="1" x14ac:dyDescent="0.25">
      <c r="A593" s="607" t="s">
        <v>142</v>
      </c>
      <c r="B593" s="435" t="s">
        <v>740</v>
      </c>
      <c r="C593" s="436"/>
      <c r="D593" s="436" t="s">
        <v>130</v>
      </c>
      <c r="E593" s="435"/>
      <c r="F593" s="450"/>
      <c r="G593" s="1028">
        <v>44896</v>
      </c>
    </row>
    <row r="594" spans="1:17" s="766" customFormat="1" x14ac:dyDescent="0.25">
      <c r="A594" s="607" t="s">
        <v>143</v>
      </c>
      <c r="B594" s="435" t="s">
        <v>5435</v>
      </c>
      <c r="C594" s="436"/>
      <c r="D594" s="436" t="s">
        <v>130</v>
      </c>
      <c r="E594" s="435"/>
      <c r="F594" s="450"/>
      <c r="G594" s="1028">
        <v>44896</v>
      </c>
      <c r="L594" s="599"/>
      <c r="M594" s="599"/>
      <c r="N594" s="599"/>
      <c r="O594" s="599"/>
      <c r="P594" s="599"/>
      <c r="Q594" s="599"/>
    </row>
    <row r="595" spans="1:17" s="766" customFormat="1" x14ac:dyDescent="0.25">
      <c r="A595" s="607" t="s">
        <v>262</v>
      </c>
      <c r="B595" s="435" t="s">
        <v>5435</v>
      </c>
      <c r="C595" s="436"/>
      <c r="D595" s="436" t="s">
        <v>130</v>
      </c>
      <c r="E595" s="435" t="s">
        <v>1053</v>
      </c>
      <c r="F595" s="450"/>
      <c r="G595" s="1028">
        <v>44896</v>
      </c>
      <c r="L595" s="599"/>
      <c r="M595" s="599"/>
      <c r="N595" s="599"/>
      <c r="O595" s="599"/>
      <c r="P595" s="599"/>
      <c r="Q595" s="599"/>
    </row>
    <row r="596" spans="1:17" s="766" customFormat="1" x14ac:dyDescent="0.25">
      <c r="F596" s="574"/>
      <c r="G596" s="1028" t="s">
        <v>4180</v>
      </c>
    </row>
    <row r="597" spans="1:17" s="766" customFormat="1" ht="77.25" customHeight="1" x14ac:dyDescent="0.25">
      <c r="A597" s="1167" t="s">
        <v>8111</v>
      </c>
      <c r="B597" s="1167"/>
      <c r="C597" s="1167"/>
      <c r="D597" s="1167"/>
      <c r="E597" s="1167"/>
      <c r="F597" s="1167"/>
      <c r="G597" s="1028">
        <v>44896</v>
      </c>
    </row>
    <row r="598" spans="1:17" s="766" customFormat="1" x14ac:dyDescent="0.25">
      <c r="F598" s="574"/>
      <c r="G598" s="1028" t="s">
        <v>4180</v>
      </c>
    </row>
    <row r="599" spans="1:17" s="766" customFormat="1" x14ac:dyDescent="0.25">
      <c r="A599" s="607" t="s">
        <v>144</v>
      </c>
      <c r="B599" s="435" t="s">
        <v>2269</v>
      </c>
      <c r="C599" s="436"/>
      <c r="D599" s="436" t="s">
        <v>7457</v>
      </c>
      <c r="E599" s="435"/>
      <c r="F599" s="450"/>
      <c r="G599" s="1028">
        <v>44896</v>
      </c>
    </row>
    <row r="600" spans="1:17" s="766" customFormat="1" x14ac:dyDescent="0.25">
      <c r="A600" s="607" t="s">
        <v>145</v>
      </c>
      <c r="B600" s="435" t="s">
        <v>5548</v>
      </c>
      <c r="C600" s="436"/>
      <c r="D600" s="436" t="s">
        <v>7457</v>
      </c>
      <c r="E600" s="435"/>
      <c r="F600" s="450"/>
      <c r="G600" s="1028">
        <v>44896</v>
      </c>
    </row>
    <row r="601" spans="1:17" s="766" customFormat="1" x14ac:dyDescent="0.25">
      <c r="A601" s="607" t="s">
        <v>146</v>
      </c>
      <c r="B601" s="435" t="s">
        <v>4847</v>
      </c>
      <c r="C601" s="436"/>
      <c r="D601" s="436" t="s">
        <v>7457</v>
      </c>
      <c r="E601" s="435"/>
      <c r="F601" s="450"/>
      <c r="G601" s="1028">
        <v>44896</v>
      </c>
    </row>
    <row r="602" spans="1:17" s="766" customFormat="1" x14ac:dyDescent="0.25">
      <c r="A602" s="607" t="s">
        <v>147</v>
      </c>
      <c r="B602" s="435" t="s">
        <v>5406</v>
      </c>
      <c r="C602" s="436"/>
      <c r="D602" s="436" t="s">
        <v>7457</v>
      </c>
      <c r="E602" s="435"/>
      <c r="F602" s="450"/>
      <c r="G602" s="1028">
        <v>44896</v>
      </c>
    </row>
    <row r="603" spans="1:17" s="766" customFormat="1" x14ac:dyDescent="0.25">
      <c r="A603" s="607" t="s">
        <v>148</v>
      </c>
      <c r="B603" s="435" t="s">
        <v>5411</v>
      </c>
      <c r="C603" s="436"/>
      <c r="D603" s="436" t="s">
        <v>7457</v>
      </c>
      <c r="E603" s="435"/>
      <c r="F603" s="450"/>
      <c r="G603" s="1028">
        <v>44896</v>
      </c>
    </row>
    <row r="604" spans="1:17" s="766" customFormat="1" x14ac:dyDescent="0.25">
      <c r="A604" s="607" t="s">
        <v>149</v>
      </c>
      <c r="B604" s="435" t="s">
        <v>5412</v>
      </c>
      <c r="C604" s="436"/>
      <c r="D604" s="436" t="s">
        <v>7457</v>
      </c>
      <c r="E604" s="435"/>
      <c r="F604" s="450"/>
      <c r="G604" s="1028">
        <v>44896</v>
      </c>
    </row>
    <row r="605" spans="1:17" s="766" customFormat="1" x14ac:dyDescent="0.25">
      <c r="A605" s="607" t="s">
        <v>150</v>
      </c>
      <c r="B605" s="435" t="s">
        <v>2034</v>
      </c>
      <c r="C605" s="436"/>
      <c r="D605" s="436" t="s">
        <v>7457</v>
      </c>
      <c r="E605" s="435"/>
      <c r="F605" s="450"/>
      <c r="G605" s="1028">
        <v>44896</v>
      </c>
    </row>
    <row r="606" spans="1:17" s="766" customFormat="1" x14ac:dyDescent="0.25">
      <c r="A606" s="607" t="s">
        <v>151</v>
      </c>
      <c r="B606" s="435" t="s">
        <v>2067</v>
      </c>
      <c r="C606" s="436"/>
      <c r="D606" s="436" t="s">
        <v>7457</v>
      </c>
      <c r="E606" s="435"/>
      <c r="F606" s="450"/>
      <c r="G606" s="1028">
        <v>44896</v>
      </c>
    </row>
    <row r="607" spans="1:17" s="766" customFormat="1" x14ac:dyDescent="0.25">
      <c r="A607" s="607" t="s">
        <v>152</v>
      </c>
      <c r="B607" s="435" t="s">
        <v>3374</v>
      </c>
      <c r="C607" s="436"/>
      <c r="D607" s="436" t="s">
        <v>7457</v>
      </c>
      <c r="E607" s="435"/>
      <c r="F607" s="450"/>
      <c r="G607" s="1028">
        <v>44896</v>
      </c>
    </row>
    <row r="608" spans="1:17" s="766" customFormat="1" x14ac:dyDescent="0.25">
      <c r="A608" s="607" t="s">
        <v>153</v>
      </c>
      <c r="B608" s="435" t="s">
        <v>3382</v>
      </c>
      <c r="C608" s="436"/>
      <c r="D608" s="436" t="s">
        <v>7457</v>
      </c>
      <c r="E608" s="435"/>
      <c r="F608" s="450"/>
      <c r="G608" s="1028">
        <v>44896</v>
      </c>
    </row>
    <row r="609" spans="1:7" s="766" customFormat="1" x14ac:dyDescent="0.25">
      <c r="A609" s="607" t="s">
        <v>154</v>
      </c>
      <c r="B609" s="435" t="s">
        <v>3390</v>
      </c>
      <c r="C609" s="436"/>
      <c r="D609" s="436" t="s">
        <v>7457</v>
      </c>
      <c r="E609" s="435"/>
      <c r="F609" s="450"/>
      <c r="G609" s="1028">
        <v>44896</v>
      </c>
    </row>
    <row r="610" spans="1:7" s="766" customFormat="1" x14ac:dyDescent="0.25">
      <c r="A610" s="607" t="s">
        <v>155</v>
      </c>
      <c r="B610" s="435" t="s">
        <v>740</v>
      </c>
      <c r="C610" s="436"/>
      <c r="D610" s="436" t="s">
        <v>7457</v>
      </c>
      <c r="E610" s="435"/>
      <c r="F610" s="450"/>
      <c r="G610" s="1028">
        <v>44896</v>
      </c>
    </row>
    <row r="611" spans="1:7" s="766" customFormat="1" x14ac:dyDescent="0.25">
      <c r="A611" s="607" t="s">
        <v>156</v>
      </c>
      <c r="B611" s="435" t="s">
        <v>5435</v>
      </c>
      <c r="C611" s="436"/>
      <c r="D611" s="436" t="s">
        <v>7457</v>
      </c>
      <c r="E611" s="435"/>
      <c r="F611" s="450"/>
      <c r="G611" s="1028">
        <v>44896</v>
      </c>
    </row>
    <row r="612" spans="1:7" s="766" customFormat="1" x14ac:dyDescent="0.25">
      <c r="A612" s="607" t="s">
        <v>263</v>
      </c>
      <c r="B612" s="435" t="s">
        <v>5435</v>
      </c>
      <c r="C612" s="436"/>
      <c r="D612" s="436" t="s">
        <v>7457</v>
      </c>
      <c r="E612" s="435" t="s">
        <v>1053</v>
      </c>
      <c r="F612" s="450"/>
      <c r="G612" s="1028">
        <v>44896</v>
      </c>
    </row>
    <row r="613" spans="1:7" s="766" customFormat="1" x14ac:dyDescent="0.25">
      <c r="F613" s="574"/>
      <c r="G613" s="1028" t="s">
        <v>4180</v>
      </c>
    </row>
    <row r="614" spans="1:7" s="766" customFormat="1" ht="107.25" customHeight="1" x14ac:dyDescent="0.25">
      <c r="A614" s="1133" t="s">
        <v>8112</v>
      </c>
      <c r="B614" s="1133"/>
      <c r="C614" s="1133"/>
      <c r="D614" s="1133"/>
      <c r="E614" s="1133"/>
      <c r="F614" s="1133"/>
      <c r="G614" s="1028">
        <v>44896</v>
      </c>
    </row>
    <row r="615" spans="1:7" s="766" customFormat="1" x14ac:dyDescent="0.25">
      <c r="F615" s="574"/>
      <c r="G615" s="1028" t="s">
        <v>4180</v>
      </c>
    </row>
    <row r="616" spans="1:7" s="766" customFormat="1" x14ac:dyDescent="0.25">
      <c r="A616" s="607" t="s">
        <v>157</v>
      </c>
      <c r="B616" s="435" t="s">
        <v>2269</v>
      </c>
      <c r="C616" s="436"/>
      <c r="D616" s="436" t="s">
        <v>6012</v>
      </c>
      <c r="E616" s="435"/>
      <c r="F616" s="450"/>
      <c r="G616" s="1028">
        <v>44896</v>
      </c>
    </row>
    <row r="617" spans="1:7" s="766" customFormat="1" x14ac:dyDescent="0.25">
      <c r="A617" s="607" t="s">
        <v>158</v>
      </c>
      <c r="B617" s="435" t="s">
        <v>5548</v>
      </c>
      <c r="C617" s="436"/>
      <c r="D617" s="436" t="s">
        <v>6012</v>
      </c>
      <c r="E617" s="435"/>
      <c r="F617" s="450"/>
      <c r="G617" s="1028">
        <v>44896</v>
      </c>
    </row>
    <row r="618" spans="1:7" s="766" customFormat="1" x14ac:dyDescent="0.25">
      <c r="A618" s="607" t="s">
        <v>159</v>
      </c>
      <c r="B618" s="435" t="s">
        <v>4847</v>
      </c>
      <c r="C618" s="436"/>
      <c r="D618" s="436" t="s">
        <v>6012</v>
      </c>
      <c r="E618" s="435"/>
      <c r="F618" s="450"/>
      <c r="G618" s="1028">
        <v>44896</v>
      </c>
    </row>
    <row r="619" spans="1:7" s="766" customFormat="1" x14ac:dyDescent="0.25">
      <c r="A619" s="607" t="s">
        <v>160</v>
      </c>
      <c r="B619" s="435" t="s">
        <v>5406</v>
      </c>
      <c r="C619" s="436"/>
      <c r="D619" s="436" t="s">
        <v>6012</v>
      </c>
      <c r="E619" s="435"/>
      <c r="F619" s="450"/>
      <c r="G619" s="1028">
        <v>44896</v>
      </c>
    </row>
    <row r="620" spans="1:7" s="766" customFormat="1" x14ac:dyDescent="0.25">
      <c r="A620" s="607" t="s">
        <v>161</v>
      </c>
      <c r="B620" s="435" t="s">
        <v>5411</v>
      </c>
      <c r="C620" s="436"/>
      <c r="D620" s="436" t="s">
        <v>6012</v>
      </c>
      <c r="E620" s="435"/>
      <c r="F620" s="450"/>
      <c r="G620" s="1028">
        <v>44896</v>
      </c>
    </row>
    <row r="621" spans="1:7" s="766" customFormat="1" x14ac:dyDescent="0.25">
      <c r="A621" s="607" t="s">
        <v>162</v>
      </c>
      <c r="B621" s="435" t="s">
        <v>5412</v>
      </c>
      <c r="C621" s="436"/>
      <c r="D621" s="436" t="s">
        <v>6012</v>
      </c>
      <c r="E621" s="435"/>
      <c r="F621" s="450"/>
      <c r="G621" s="1028">
        <v>44896</v>
      </c>
    </row>
    <row r="622" spans="1:7" s="766" customFormat="1" x14ac:dyDescent="0.25">
      <c r="A622" s="607" t="s">
        <v>163</v>
      </c>
      <c r="B622" s="435" t="s">
        <v>2034</v>
      </c>
      <c r="C622" s="436"/>
      <c r="D622" s="436" t="s">
        <v>6012</v>
      </c>
      <c r="E622" s="435"/>
      <c r="F622" s="450"/>
      <c r="G622" s="1028">
        <v>44896</v>
      </c>
    </row>
    <row r="623" spans="1:7" s="766" customFormat="1" x14ac:dyDescent="0.25">
      <c r="A623" s="607" t="s">
        <v>164</v>
      </c>
      <c r="B623" s="435" t="s">
        <v>2067</v>
      </c>
      <c r="C623" s="436"/>
      <c r="D623" s="436" t="s">
        <v>6012</v>
      </c>
      <c r="E623" s="435"/>
      <c r="F623" s="450"/>
      <c r="G623" s="1028">
        <v>44896</v>
      </c>
    </row>
    <row r="624" spans="1:7" s="766" customFormat="1" x14ac:dyDescent="0.25">
      <c r="A624" s="607" t="s">
        <v>165</v>
      </c>
      <c r="B624" s="435" t="s">
        <v>3374</v>
      </c>
      <c r="C624" s="436"/>
      <c r="D624" s="436" t="s">
        <v>6012</v>
      </c>
      <c r="E624" s="435"/>
      <c r="F624" s="450"/>
      <c r="G624" s="1028">
        <v>44896</v>
      </c>
    </row>
    <row r="625" spans="1:7" s="766" customFormat="1" x14ac:dyDescent="0.25">
      <c r="A625" s="607" t="s">
        <v>166</v>
      </c>
      <c r="B625" s="435" t="s">
        <v>3382</v>
      </c>
      <c r="C625" s="436"/>
      <c r="D625" s="436" t="s">
        <v>6012</v>
      </c>
      <c r="E625" s="435"/>
      <c r="F625" s="450"/>
      <c r="G625" s="1028">
        <v>44896</v>
      </c>
    </row>
    <row r="626" spans="1:7" s="766" customFormat="1" x14ac:dyDescent="0.25">
      <c r="A626" s="607" t="s">
        <v>167</v>
      </c>
      <c r="B626" s="435" t="s">
        <v>3390</v>
      </c>
      <c r="C626" s="436"/>
      <c r="D626" s="436" t="s">
        <v>6012</v>
      </c>
      <c r="E626" s="435"/>
      <c r="F626" s="450"/>
      <c r="G626" s="1028">
        <v>44896</v>
      </c>
    </row>
    <row r="627" spans="1:7" s="766" customFormat="1" x14ac:dyDescent="0.25">
      <c r="A627" s="607" t="s">
        <v>168</v>
      </c>
      <c r="B627" s="435" t="s">
        <v>740</v>
      </c>
      <c r="C627" s="436"/>
      <c r="D627" s="436" t="s">
        <v>6012</v>
      </c>
      <c r="E627" s="435"/>
      <c r="F627" s="450"/>
      <c r="G627" s="1028">
        <v>44896</v>
      </c>
    </row>
    <row r="628" spans="1:7" s="766" customFormat="1" x14ac:dyDescent="0.25">
      <c r="A628" s="607" t="s">
        <v>169</v>
      </c>
      <c r="B628" s="435" t="s">
        <v>5435</v>
      </c>
      <c r="C628" s="436"/>
      <c r="D628" s="436" t="s">
        <v>6012</v>
      </c>
      <c r="E628" s="435"/>
      <c r="F628" s="450"/>
      <c r="G628" s="1028">
        <v>44896</v>
      </c>
    </row>
    <row r="629" spans="1:7" s="766" customFormat="1" x14ac:dyDescent="0.25">
      <c r="A629" s="607" t="s">
        <v>264</v>
      </c>
      <c r="B629" s="435" t="s">
        <v>5435</v>
      </c>
      <c r="C629" s="436"/>
      <c r="D629" s="436" t="s">
        <v>6012</v>
      </c>
      <c r="E629" s="435" t="s">
        <v>1053</v>
      </c>
      <c r="F629" s="450"/>
      <c r="G629" s="1028">
        <v>44896</v>
      </c>
    </row>
    <row r="631" spans="1:7" s="766" customFormat="1" ht="197.25" customHeight="1" x14ac:dyDescent="0.25">
      <c r="A631" s="1133" t="s">
        <v>8113</v>
      </c>
      <c r="B631" s="1133"/>
      <c r="C631" s="1133"/>
      <c r="D631" s="1133"/>
      <c r="E631" s="1133"/>
      <c r="F631" s="1133"/>
      <c r="G631" s="1028">
        <v>44896</v>
      </c>
    </row>
    <row r="632" spans="1:7" s="766" customFormat="1" x14ac:dyDescent="0.25">
      <c r="F632" s="574"/>
      <c r="G632" s="1028"/>
    </row>
    <row r="633" spans="1:7" s="766" customFormat="1" x14ac:dyDescent="0.25">
      <c r="A633" s="607" t="s">
        <v>184</v>
      </c>
      <c r="B633" s="435" t="s">
        <v>2269</v>
      </c>
      <c r="C633" s="436"/>
      <c r="D633" s="436" t="s">
        <v>309</v>
      </c>
      <c r="E633" s="435"/>
      <c r="F633" s="450"/>
      <c r="G633" s="1028">
        <v>44896</v>
      </c>
    </row>
    <row r="634" spans="1:7" s="766" customFormat="1" x14ac:dyDescent="0.25">
      <c r="A634" s="607" t="s">
        <v>185</v>
      </c>
      <c r="B634" s="435" t="s">
        <v>5548</v>
      </c>
      <c r="C634" s="436"/>
      <c r="D634" s="436" t="s">
        <v>309</v>
      </c>
      <c r="E634" s="435"/>
      <c r="F634" s="450"/>
      <c r="G634" s="1028">
        <v>44896</v>
      </c>
    </row>
    <row r="635" spans="1:7" s="766" customFormat="1" x14ac:dyDescent="0.25">
      <c r="A635" s="607" t="s">
        <v>186</v>
      </c>
      <c r="B635" s="435" t="s">
        <v>4847</v>
      </c>
      <c r="C635" s="436"/>
      <c r="D635" s="436" t="s">
        <v>309</v>
      </c>
      <c r="E635" s="435"/>
      <c r="F635" s="450"/>
      <c r="G635" s="1028">
        <v>44896</v>
      </c>
    </row>
    <row r="636" spans="1:7" s="766" customFormat="1" x14ac:dyDescent="0.25">
      <c r="A636" s="607" t="s">
        <v>187</v>
      </c>
      <c r="B636" s="435" t="s">
        <v>5406</v>
      </c>
      <c r="C636" s="436"/>
      <c r="D636" s="436" t="s">
        <v>309</v>
      </c>
      <c r="E636" s="435"/>
      <c r="F636" s="450"/>
      <c r="G636" s="1028">
        <v>44896</v>
      </c>
    </row>
    <row r="637" spans="1:7" s="766" customFormat="1" x14ac:dyDescent="0.25">
      <c r="A637" s="607" t="s">
        <v>188</v>
      </c>
      <c r="B637" s="435" t="s">
        <v>5411</v>
      </c>
      <c r="C637" s="436"/>
      <c r="D637" s="436" t="s">
        <v>309</v>
      </c>
      <c r="E637" s="435"/>
      <c r="F637" s="450"/>
      <c r="G637" s="1028">
        <v>44896</v>
      </c>
    </row>
    <row r="638" spans="1:7" s="766" customFormat="1" x14ac:dyDescent="0.25">
      <c r="A638" s="607" t="s">
        <v>189</v>
      </c>
      <c r="B638" s="435" t="s">
        <v>5412</v>
      </c>
      <c r="C638" s="436"/>
      <c r="D638" s="436" t="s">
        <v>309</v>
      </c>
      <c r="E638" s="435"/>
      <c r="F638" s="450"/>
      <c r="G638" s="1028">
        <v>44896</v>
      </c>
    </row>
    <row r="639" spans="1:7" s="766" customFormat="1" x14ac:dyDescent="0.25">
      <c r="A639" s="607" t="s">
        <v>190</v>
      </c>
      <c r="B639" s="435" t="s">
        <v>2034</v>
      </c>
      <c r="C639" s="436"/>
      <c r="D639" s="436" t="s">
        <v>309</v>
      </c>
      <c r="E639" s="435"/>
      <c r="F639" s="450"/>
      <c r="G639" s="1028">
        <v>44896</v>
      </c>
    </row>
    <row r="640" spans="1:7" s="766" customFormat="1" x14ac:dyDescent="0.25">
      <c r="A640" s="607" t="s">
        <v>191</v>
      </c>
      <c r="B640" s="435" t="s">
        <v>2067</v>
      </c>
      <c r="C640" s="436"/>
      <c r="D640" s="436" t="s">
        <v>6479</v>
      </c>
      <c r="E640" s="435"/>
      <c r="F640" s="450"/>
      <c r="G640" s="1028">
        <v>44896</v>
      </c>
    </row>
    <row r="641" spans="1:7" s="766" customFormat="1" x14ac:dyDescent="0.25">
      <c r="A641" s="607" t="s">
        <v>192</v>
      </c>
      <c r="B641" s="435" t="s">
        <v>3374</v>
      </c>
      <c r="C641" s="436"/>
      <c r="D641" s="436" t="s">
        <v>6479</v>
      </c>
      <c r="E641" s="435"/>
      <c r="F641" s="450"/>
      <c r="G641" s="1028">
        <v>44896</v>
      </c>
    </row>
    <row r="642" spans="1:7" s="766" customFormat="1" x14ac:dyDescent="0.25">
      <c r="A642" s="607" t="s">
        <v>193</v>
      </c>
      <c r="B642" s="435" t="s">
        <v>3382</v>
      </c>
      <c r="C642" s="436"/>
      <c r="D642" s="436" t="s">
        <v>6479</v>
      </c>
      <c r="E642" s="435"/>
      <c r="F642" s="450"/>
      <c r="G642" s="1028">
        <v>44896</v>
      </c>
    </row>
    <row r="643" spans="1:7" s="766" customFormat="1" x14ac:dyDescent="0.25">
      <c r="A643" s="607" t="s">
        <v>194</v>
      </c>
      <c r="B643" s="435" t="s">
        <v>3390</v>
      </c>
      <c r="C643" s="436"/>
      <c r="D643" s="436" t="s">
        <v>309</v>
      </c>
      <c r="E643" s="435"/>
      <c r="F643" s="450"/>
      <c r="G643" s="1028">
        <v>44896</v>
      </c>
    </row>
    <row r="644" spans="1:7" s="766" customFormat="1" x14ac:dyDescent="0.25">
      <c r="A644" s="607" t="s">
        <v>195</v>
      </c>
      <c r="B644" s="435" t="s">
        <v>740</v>
      </c>
      <c r="C644" s="436"/>
      <c r="D644" s="436" t="s">
        <v>309</v>
      </c>
      <c r="E644" s="435"/>
      <c r="F644" s="450"/>
      <c r="G644" s="1028">
        <v>44896</v>
      </c>
    </row>
    <row r="645" spans="1:7" s="766" customFormat="1" x14ac:dyDescent="0.25">
      <c r="A645" s="607" t="s">
        <v>196</v>
      </c>
      <c r="B645" s="435" t="s">
        <v>5435</v>
      </c>
      <c r="C645" s="436"/>
      <c r="D645" s="436" t="s">
        <v>309</v>
      </c>
      <c r="E645" s="435"/>
      <c r="F645" s="450"/>
      <c r="G645" s="1028">
        <v>44896</v>
      </c>
    </row>
    <row r="646" spans="1:7" s="766" customFormat="1" x14ac:dyDescent="0.25">
      <c r="A646" s="607" t="s">
        <v>7435</v>
      </c>
      <c r="B646" s="435" t="s">
        <v>5435</v>
      </c>
      <c r="C646" s="436"/>
      <c r="D646" s="436" t="s">
        <v>309</v>
      </c>
      <c r="E646" s="435" t="s">
        <v>1053</v>
      </c>
      <c r="F646" s="450"/>
      <c r="G646" s="1028">
        <v>44896</v>
      </c>
    </row>
    <row r="647" spans="1:7" s="766" customFormat="1" x14ac:dyDescent="0.25">
      <c r="F647" s="574"/>
    </row>
    <row r="648" spans="1:7" s="766" customFormat="1" ht="200.25" customHeight="1" x14ac:dyDescent="0.25">
      <c r="A648" s="1133" t="s">
        <v>8114</v>
      </c>
      <c r="B648" s="1133"/>
      <c r="C648" s="1133"/>
      <c r="D648" s="1133"/>
      <c r="E648" s="1133"/>
      <c r="F648" s="1133"/>
      <c r="G648" s="1028">
        <v>44896</v>
      </c>
    </row>
    <row r="649" spans="1:7" s="766" customFormat="1" x14ac:dyDescent="0.25">
      <c r="F649" s="574"/>
      <c r="G649" s="1028"/>
    </row>
    <row r="650" spans="1:7" s="766" customFormat="1" x14ac:dyDescent="0.25">
      <c r="A650" s="607" t="s">
        <v>197</v>
      </c>
      <c r="B650" s="435" t="s">
        <v>2269</v>
      </c>
      <c r="C650" s="436"/>
      <c r="D650" s="436" t="s">
        <v>310</v>
      </c>
      <c r="E650" s="435"/>
      <c r="F650" s="450"/>
      <c r="G650" s="1028">
        <v>44896</v>
      </c>
    </row>
    <row r="651" spans="1:7" s="766" customFormat="1" x14ac:dyDescent="0.25">
      <c r="A651" s="607" t="s">
        <v>198</v>
      </c>
      <c r="B651" s="435" t="s">
        <v>5548</v>
      </c>
      <c r="C651" s="436"/>
      <c r="D651" s="436" t="s">
        <v>310</v>
      </c>
      <c r="E651" s="435"/>
      <c r="F651" s="450"/>
      <c r="G651" s="1028">
        <v>44896</v>
      </c>
    </row>
    <row r="652" spans="1:7" s="766" customFormat="1" x14ac:dyDescent="0.25">
      <c r="A652" s="607" t="s">
        <v>199</v>
      </c>
      <c r="B652" s="435" t="s">
        <v>4847</v>
      </c>
      <c r="C652" s="436"/>
      <c r="D652" s="436" t="s">
        <v>310</v>
      </c>
      <c r="E652" s="435"/>
      <c r="F652" s="450"/>
      <c r="G652" s="1028">
        <v>44896</v>
      </c>
    </row>
    <row r="653" spans="1:7" s="766" customFormat="1" x14ac:dyDescent="0.25">
      <c r="A653" s="607" t="s">
        <v>200</v>
      </c>
      <c r="B653" s="435" t="s">
        <v>5406</v>
      </c>
      <c r="C653" s="436"/>
      <c r="D653" s="436" t="s">
        <v>310</v>
      </c>
      <c r="E653" s="435"/>
      <c r="F653" s="450"/>
      <c r="G653" s="1028">
        <v>44896</v>
      </c>
    </row>
    <row r="654" spans="1:7" s="766" customFormat="1" x14ac:dyDescent="0.25">
      <c r="A654" s="607" t="s">
        <v>201</v>
      </c>
      <c r="B654" s="435" t="s">
        <v>5411</v>
      </c>
      <c r="C654" s="436"/>
      <c r="D654" s="436" t="s">
        <v>310</v>
      </c>
      <c r="E654" s="435"/>
      <c r="F654" s="450"/>
      <c r="G654" s="1028">
        <v>44896</v>
      </c>
    </row>
    <row r="655" spans="1:7" s="766" customFormat="1" x14ac:dyDescent="0.25">
      <c r="A655" s="607" t="s">
        <v>202</v>
      </c>
      <c r="B655" s="435" t="s">
        <v>5412</v>
      </c>
      <c r="C655" s="436"/>
      <c r="D655" s="436" t="s">
        <v>310</v>
      </c>
      <c r="E655" s="435"/>
      <c r="F655" s="450"/>
      <c r="G655" s="1028">
        <v>44896</v>
      </c>
    </row>
    <row r="656" spans="1:7" s="766" customFormat="1" x14ac:dyDescent="0.25">
      <c r="A656" s="607" t="s">
        <v>203</v>
      </c>
      <c r="B656" s="435" t="s">
        <v>2034</v>
      </c>
      <c r="C656" s="436"/>
      <c r="D656" s="436" t="s">
        <v>310</v>
      </c>
      <c r="E656" s="435"/>
      <c r="F656" s="450"/>
      <c r="G656" s="1028">
        <v>44896</v>
      </c>
    </row>
    <row r="657" spans="1:7" s="766" customFormat="1" x14ac:dyDescent="0.25">
      <c r="A657" s="607" t="s">
        <v>204</v>
      </c>
      <c r="B657" s="435" t="s">
        <v>2067</v>
      </c>
      <c r="C657" s="436"/>
      <c r="D657" s="436" t="s">
        <v>310</v>
      </c>
      <c r="E657" s="435"/>
      <c r="F657" s="450"/>
      <c r="G657" s="1028">
        <v>44896</v>
      </c>
    </row>
    <row r="658" spans="1:7" s="766" customFormat="1" x14ac:dyDescent="0.25">
      <c r="A658" s="607" t="s">
        <v>205</v>
      </c>
      <c r="B658" s="435" t="s">
        <v>3374</v>
      </c>
      <c r="C658" s="436"/>
      <c r="D658" s="436" t="s">
        <v>310</v>
      </c>
      <c r="E658" s="435"/>
      <c r="F658" s="450"/>
      <c r="G658" s="1028">
        <v>44896</v>
      </c>
    </row>
    <row r="659" spans="1:7" s="766" customFormat="1" x14ac:dyDescent="0.25">
      <c r="A659" s="607" t="s">
        <v>206</v>
      </c>
      <c r="B659" s="435" t="s">
        <v>3382</v>
      </c>
      <c r="C659" s="436"/>
      <c r="D659" s="436" t="s">
        <v>310</v>
      </c>
      <c r="E659" s="435"/>
      <c r="F659" s="450"/>
      <c r="G659" s="1028">
        <v>44896</v>
      </c>
    </row>
    <row r="660" spans="1:7" s="766" customFormat="1" x14ac:dyDescent="0.25">
      <c r="A660" s="607" t="s">
        <v>207</v>
      </c>
      <c r="B660" s="435" t="s">
        <v>3390</v>
      </c>
      <c r="C660" s="436"/>
      <c r="D660" s="436" t="s">
        <v>310</v>
      </c>
      <c r="E660" s="435"/>
      <c r="F660" s="450"/>
      <c r="G660" s="1028">
        <v>44896</v>
      </c>
    </row>
    <row r="661" spans="1:7" s="766" customFormat="1" x14ac:dyDescent="0.25">
      <c r="A661" s="607" t="s">
        <v>208</v>
      </c>
      <c r="B661" s="435" t="s">
        <v>740</v>
      </c>
      <c r="C661" s="436"/>
      <c r="D661" s="436" t="s">
        <v>310</v>
      </c>
      <c r="E661" s="435"/>
      <c r="F661" s="450"/>
      <c r="G661" s="1028">
        <v>44896</v>
      </c>
    </row>
    <row r="662" spans="1:7" s="766" customFormat="1" x14ac:dyDescent="0.25">
      <c r="A662" s="607" t="s">
        <v>209</v>
      </c>
      <c r="B662" s="435" t="s">
        <v>5435</v>
      </c>
      <c r="C662" s="436"/>
      <c r="D662" s="436" t="s">
        <v>310</v>
      </c>
      <c r="E662" s="435"/>
      <c r="F662" s="450"/>
      <c r="G662" s="1028">
        <v>44896</v>
      </c>
    </row>
    <row r="663" spans="1:7" s="766" customFormat="1" x14ac:dyDescent="0.25">
      <c r="A663" s="607" t="s">
        <v>266</v>
      </c>
      <c r="B663" s="435" t="s">
        <v>5435</v>
      </c>
      <c r="C663" s="436"/>
      <c r="D663" s="436" t="s">
        <v>310</v>
      </c>
      <c r="E663" s="435" t="s">
        <v>1053</v>
      </c>
      <c r="F663" s="450"/>
      <c r="G663" s="1028">
        <v>44896</v>
      </c>
    </row>
    <row r="664" spans="1:7" s="766" customFormat="1" x14ac:dyDescent="0.25">
      <c r="F664" s="574"/>
      <c r="G664" s="1028"/>
    </row>
    <row r="665" spans="1:7" s="766" customFormat="1" ht="197.25" customHeight="1" x14ac:dyDescent="0.25">
      <c r="A665" s="1133" t="s">
        <v>8115</v>
      </c>
      <c r="B665" s="1133"/>
      <c r="C665" s="1133"/>
      <c r="D665" s="1133"/>
      <c r="E665" s="1133"/>
      <c r="F665" s="1133"/>
      <c r="G665" s="1028">
        <v>44896</v>
      </c>
    </row>
    <row r="666" spans="1:7" s="766" customFormat="1" x14ac:dyDescent="0.25">
      <c r="F666" s="574"/>
      <c r="G666" s="1028"/>
    </row>
    <row r="667" spans="1:7" s="766" customFormat="1" x14ac:dyDescent="0.25">
      <c r="A667" s="607" t="s">
        <v>223</v>
      </c>
      <c r="B667" s="435" t="s">
        <v>2269</v>
      </c>
      <c r="C667" s="436"/>
      <c r="D667" s="436" t="s">
        <v>308</v>
      </c>
      <c r="E667" s="435"/>
      <c r="F667" s="450"/>
      <c r="G667" s="1028">
        <v>44896</v>
      </c>
    </row>
    <row r="668" spans="1:7" s="766" customFormat="1" x14ac:dyDescent="0.25">
      <c r="A668" s="607" t="s">
        <v>224</v>
      </c>
      <c r="B668" s="435" t="s">
        <v>5548</v>
      </c>
      <c r="C668" s="436"/>
      <c r="D668" s="436" t="s">
        <v>308</v>
      </c>
      <c r="E668" s="435"/>
      <c r="F668" s="450"/>
      <c r="G668" s="1028">
        <v>44896</v>
      </c>
    </row>
    <row r="669" spans="1:7" s="766" customFormat="1" x14ac:dyDescent="0.25">
      <c r="A669" s="607" t="s">
        <v>225</v>
      </c>
      <c r="B669" s="435" t="s">
        <v>4847</v>
      </c>
      <c r="C669" s="436"/>
      <c r="D669" s="436" t="s">
        <v>308</v>
      </c>
      <c r="E669" s="435"/>
      <c r="F669" s="450"/>
      <c r="G669" s="1028">
        <v>44896</v>
      </c>
    </row>
    <row r="670" spans="1:7" s="766" customFormat="1" x14ac:dyDescent="0.25">
      <c r="A670" s="607" t="s">
        <v>226</v>
      </c>
      <c r="B670" s="435" t="s">
        <v>5406</v>
      </c>
      <c r="C670" s="436"/>
      <c r="D670" s="436" t="s">
        <v>308</v>
      </c>
      <c r="E670" s="435"/>
      <c r="F670" s="450"/>
      <c r="G670" s="1028">
        <v>44896</v>
      </c>
    </row>
    <row r="671" spans="1:7" s="766" customFormat="1" x14ac:dyDescent="0.25">
      <c r="A671" s="607" t="s">
        <v>227</v>
      </c>
      <c r="B671" s="435" t="s">
        <v>5411</v>
      </c>
      <c r="C671" s="436"/>
      <c r="D671" s="436" t="s">
        <v>308</v>
      </c>
      <c r="E671" s="435"/>
      <c r="F671" s="450"/>
      <c r="G671" s="1028">
        <v>44896</v>
      </c>
    </row>
    <row r="672" spans="1:7" s="766" customFormat="1" x14ac:dyDescent="0.25">
      <c r="A672" s="607" t="s">
        <v>228</v>
      </c>
      <c r="B672" s="435" t="s">
        <v>5412</v>
      </c>
      <c r="C672" s="436"/>
      <c r="D672" s="436" t="s">
        <v>308</v>
      </c>
      <c r="E672" s="435"/>
      <c r="F672" s="450"/>
      <c r="G672" s="1028">
        <v>44896</v>
      </c>
    </row>
    <row r="673" spans="1:7" s="766" customFormat="1" x14ac:dyDescent="0.25">
      <c r="A673" s="607" t="s">
        <v>229</v>
      </c>
      <c r="B673" s="435" t="s">
        <v>2034</v>
      </c>
      <c r="C673" s="436"/>
      <c r="D673" s="436" t="s">
        <v>308</v>
      </c>
      <c r="E673" s="435"/>
      <c r="F673" s="450"/>
      <c r="G673" s="1028">
        <v>44896</v>
      </c>
    </row>
    <row r="674" spans="1:7" s="766" customFormat="1" x14ac:dyDescent="0.25">
      <c r="A674" s="607" t="s">
        <v>230</v>
      </c>
      <c r="B674" s="435" t="s">
        <v>2067</v>
      </c>
      <c r="C674" s="436"/>
      <c r="D674" s="436" t="s">
        <v>308</v>
      </c>
      <c r="E674" s="435"/>
      <c r="F674" s="450"/>
      <c r="G674" s="1028">
        <v>44896</v>
      </c>
    </row>
    <row r="675" spans="1:7" s="766" customFormat="1" x14ac:dyDescent="0.25">
      <c r="A675" s="607" t="s">
        <v>231</v>
      </c>
      <c r="B675" s="435" t="s">
        <v>3374</v>
      </c>
      <c r="C675" s="436"/>
      <c r="D675" s="436" t="s">
        <v>308</v>
      </c>
      <c r="E675" s="435"/>
      <c r="F675" s="450"/>
      <c r="G675" s="1028">
        <v>44896</v>
      </c>
    </row>
    <row r="676" spans="1:7" s="766" customFormat="1" x14ac:dyDescent="0.25">
      <c r="A676" s="607" t="s">
        <v>232</v>
      </c>
      <c r="B676" s="435" t="s">
        <v>3382</v>
      </c>
      <c r="C676" s="436"/>
      <c r="D676" s="436" t="s">
        <v>308</v>
      </c>
      <c r="E676" s="435"/>
      <c r="F676" s="450"/>
      <c r="G676" s="1028">
        <v>44896</v>
      </c>
    </row>
    <row r="677" spans="1:7" s="766" customFormat="1" x14ac:dyDescent="0.25">
      <c r="A677" s="607" t="s">
        <v>233</v>
      </c>
      <c r="B677" s="435" t="s">
        <v>3390</v>
      </c>
      <c r="C677" s="436"/>
      <c r="D677" s="436" t="s">
        <v>308</v>
      </c>
      <c r="E677" s="435"/>
      <c r="F677" s="450"/>
      <c r="G677" s="1028">
        <v>44896</v>
      </c>
    </row>
    <row r="678" spans="1:7" s="766" customFormat="1" x14ac:dyDescent="0.25">
      <c r="A678" s="607" t="s">
        <v>234</v>
      </c>
      <c r="B678" s="435" t="s">
        <v>740</v>
      </c>
      <c r="C678" s="436"/>
      <c r="D678" s="436" t="s">
        <v>308</v>
      </c>
      <c r="E678" s="435"/>
      <c r="F678" s="450"/>
      <c r="G678" s="1028">
        <v>44896</v>
      </c>
    </row>
    <row r="679" spans="1:7" s="766" customFormat="1" x14ac:dyDescent="0.25">
      <c r="A679" s="607" t="s">
        <v>235</v>
      </c>
      <c r="B679" s="435" t="s">
        <v>5435</v>
      </c>
      <c r="C679" s="436"/>
      <c r="D679" s="436" t="s">
        <v>308</v>
      </c>
      <c r="E679" s="435"/>
      <c r="F679" s="450"/>
      <c r="G679" s="1028">
        <v>44896</v>
      </c>
    </row>
    <row r="680" spans="1:7" s="766" customFormat="1" x14ac:dyDescent="0.25">
      <c r="A680" s="607" t="s">
        <v>268</v>
      </c>
      <c r="B680" s="435" t="s">
        <v>5435</v>
      </c>
      <c r="C680" s="436"/>
      <c r="D680" s="436" t="s">
        <v>308</v>
      </c>
      <c r="E680" s="435" t="s">
        <v>1053</v>
      </c>
      <c r="F680" s="450">
        <v>0</v>
      </c>
      <c r="G680" s="1028">
        <v>44896</v>
      </c>
    </row>
    <row r="681" spans="1:7" s="766" customFormat="1" x14ac:dyDescent="0.25">
      <c r="F681" s="574"/>
      <c r="G681" s="1028"/>
    </row>
    <row r="682" spans="1:7" s="766" customFormat="1" ht="144.75" customHeight="1" x14ac:dyDescent="0.25">
      <c r="A682" s="1133" t="s">
        <v>8116</v>
      </c>
      <c r="B682" s="1133"/>
      <c r="C682" s="1133"/>
      <c r="D682" s="1133"/>
      <c r="E682" s="1133"/>
      <c r="F682" s="1133"/>
      <c r="G682" s="1028">
        <v>44896</v>
      </c>
    </row>
    <row r="683" spans="1:7" s="766" customFormat="1" x14ac:dyDescent="0.25">
      <c r="F683" s="574"/>
      <c r="G683" s="1028"/>
    </row>
    <row r="684" spans="1:7" s="766" customFormat="1" x14ac:dyDescent="0.25">
      <c r="A684" s="607" t="s">
        <v>236</v>
      </c>
      <c r="B684" s="435" t="s">
        <v>2269</v>
      </c>
      <c r="C684" s="436"/>
      <c r="D684" s="436" t="s">
        <v>312</v>
      </c>
      <c r="E684" s="435"/>
      <c r="F684" s="450"/>
      <c r="G684" s="1028">
        <v>44896</v>
      </c>
    </row>
    <row r="685" spans="1:7" s="766" customFormat="1" x14ac:dyDescent="0.25">
      <c r="A685" s="607" t="s">
        <v>237</v>
      </c>
      <c r="B685" s="435" t="s">
        <v>5548</v>
      </c>
      <c r="C685" s="436"/>
      <c r="D685" s="436" t="s">
        <v>312</v>
      </c>
      <c r="E685" s="435"/>
      <c r="F685" s="450"/>
      <c r="G685" s="1028">
        <v>44896</v>
      </c>
    </row>
    <row r="686" spans="1:7" s="766" customFormat="1" x14ac:dyDescent="0.25">
      <c r="A686" s="607" t="s">
        <v>238</v>
      </c>
      <c r="B686" s="435" t="s">
        <v>4847</v>
      </c>
      <c r="C686" s="436"/>
      <c r="D686" s="436" t="s">
        <v>312</v>
      </c>
      <c r="E686" s="435"/>
      <c r="F686" s="450"/>
      <c r="G686" s="1028">
        <v>44896</v>
      </c>
    </row>
    <row r="687" spans="1:7" s="766" customFormat="1" x14ac:dyDescent="0.25">
      <c r="A687" s="607" t="s">
        <v>239</v>
      </c>
      <c r="B687" s="435" t="s">
        <v>5406</v>
      </c>
      <c r="C687" s="436"/>
      <c r="D687" s="436" t="s">
        <v>312</v>
      </c>
      <c r="E687" s="435"/>
      <c r="F687" s="450"/>
      <c r="G687" s="1028">
        <v>44896</v>
      </c>
    </row>
    <row r="688" spans="1:7" s="766" customFormat="1" x14ac:dyDescent="0.25">
      <c r="A688" s="607" t="s">
        <v>240</v>
      </c>
      <c r="B688" s="435" t="s">
        <v>5411</v>
      </c>
      <c r="C688" s="436"/>
      <c r="D688" s="436" t="s">
        <v>312</v>
      </c>
      <c r="E688" s="435"/>
      <c r="F688" s="450"/>
      <c r="G688" s="1028">
        <v>44896</v>
      </c>
    </row>
    <row r="689" spans="1:7" s="766" customFormat="1" x14ac:dyDescent="0.25">
      <c r="A689" s="607" t="s">
        <v>241</v>
      </c>
      <c r="B689" s="435" t="s">
        <v>5412</v>
      </c>
      <c r="C689" s="436"/>
      <c r="D689" s="436" t="s">
        <v>312</v>
      </c>
      <c r="E689" s="435"/>
      <c r="F689" s="450"/>
      <c r="G689" s="1028">
        <v>44896</v>
      </c>
    </row>
    <row r="690" spans="1:7" s="766" customFormat="1" x14ac:dyDescent="0.25">
      <c r="A690" s="607" t="s">
        <v>242</v>
      </c>
      <c r="B690" s="435" t="s">
        <v>2034</v>
      </c>
      <c r="C690" s="436"/>
      <c r="D690" s="436" t="s">
        <v>312</v>
      </c>
      <c r="E690" s="435"/>
      <c r="F690" s="450"/>
      <c r="G690" s="1028">
        <v>44896</v>
      </c>
    </row>
    <row r="691" spans="1:7" s="766" customFormat="1" x14ac:dyDescent="0.25">
      <c r="A691" s="607" t="s">
        <v>243</v>
      </c>
      <c r="B691" s="435" t="s">
        <v>2067</v>
      </c>
      <c r="C691" s="436"/>
      <c r="D691" s="436" t="s">
        <v>312</v>
      </c>
      <c r="E691" s="435"/>
      <c r="F691" s="450"/>
      <c r="G691" s="1028">
        <v>44896</v>
      </c>
    </row>
    <row r="692" spans="1:7" s="766" customFormat="1" x14ac:dyDescent="0.25">
      <c r="A692" s="607" t="s">
        <v>244</v>
      </c>
      <c r="B692" s="435" t="s">
        <v>3374</v>
      </c>
      <c r="C692" s="436"/>
      <c r="D692" s="436" t="s">
        <v>312</v>
      </c>
      <c r="E692" s="435"/>
      <c r="F692" s="450"/>
      <c r="G692" s="1028">
        <v>44896</v>
      </c>
    </row>
    <row r="693" spans="1:7" s="766" customFormat="1" x14ac:dyDescent="0.25">
      <c r="A693" s="607" t="s">
        <v>245</v>
      </c>
      <c r="B693" s="435" t="s">
        <v>3382</v>
      </c>
      <c r="C693" s="436"/>
      <c r="D693" s="436" t="s">
        <v>312</v>
      </c>
      <c r="E693" s="435"/>
      <c r="F693" s="450"/>
      <c r="G693" s="1028">
        <v>44896</v>
      </c>
    </row>
    <row r="694" spans="1:7" s="766" customFormat="1" x14ac:dyDescent="0.25">
      <c r="A694" s="607" t="s">
        <v>246</v>
      </c>
      <c r="B694" s="435" t="s">
        <v>3390</v>
      </c>
      <c r="C694" s="436"/>
      <c r="D694" s="436" t="s">
        <v>312</v>
      </c>
      <c r="E694" s="435"/>
      <c r="F694" s="450"/>
      <c r="G694" s="1028">
        <v>44896</v>
      </c>
    </row>
    <row r="695" spans="1:7" s="766" customFormat="1" x14ac:dyDescent="0.25">
      <c r="A695" s="607" t="s">
        <v>247</v>
      </c>
      <c r="B695" s="435" t="s">
        <v>740</v>
      </c>
      <c r="C695" s="436"/>
      <c r="D695" s="436" t="s">
        <v>312</v>
      </c>
      <c r="E695" s="435"/>
      <c r="F695" s="450"/>
      <c r="G695" s="1028">
        <v>44896</v>
      </c>
    </row>
    <row r="696" spans="1:7" s="766" customFormat="1" x14ac:dyDescent="0.25">
      <c r="A696" s="607" t="s">
        <v>248</v>
      </c>
      <c r="B696" s="435" t="s">
        <v>5435</v>
      </c>
      <c r="C696" s="436"/>
      <c r="D696" s="436" t="s">
        <v>312</v>
      </c>
      <c r="E696" s="435"/>
      <c r="F696" s="450"/>
      <c r="G696" s="1028">
        <v>44896</v>
      </c>
    </row>
    <row r="697" spans="1:7" s="766" customFormat="1" x14ac:dyDescent="0.25">
      <c r="A697" s="607" t="s">
        <v>269</v>
      </c>
      <c r="B697" s="435" t="s">
        <v>5435</v>
      </c>
      <c r="C697" s="436"/>
      <c r="D697" s="436" t="s">
        <v>312</v>
      </c>
      <c r="E697" s="435" t="s">
        <v>1053</v>
      </c>
      <c r="F697" s="450">
        <v>0</v>
      </c>
      <c r="G697" s="1028">
        <v>44896</v>
      </c>
    </row>
    <row r="699" spans="1:7" s="766" customFormat="1" ht="396" customHeight="1" x14ac:dyDescent="0.25">
      <c r="A699" s="1133" t="s">
        <v>7840</v>
      </c>
      <c r="B699" s="1133"/>
      <c r="C699" s="1133"/>
      <c r="D699" s="1133"/>
      <c r="E699" s="1133"/>
      <c r="F699" s="1133"/>
      <c r="G699" s="1028">
        <v>44896</v>
      </c>
    </row>
    <row r="700" spans="1:7" s="766" customFormat="1" ht="27.75" customHeight="1" x14ac:dyDescent="0.25">
      <c r="A700" s="1133" t="s">
        <v>8117</v>
      </c>
      <c r="B700" s="1133"/>
      <c r="C700" s="1133"/>
      <c r="D700" s="1133"/>
      <c r="E700" s="1133"/>
      <c r="F700" s="1133"/>
      <c r="G700" s="1028">
        <v>44896</v>
      </c>
    </row>
    <row r="701" spans="1:7" s="766" customFormat="1" x14ac:dyDescent="0.25">
      <c r="F701" s="574"/>
      <c r="G701" s="1028"/>
    </row>
    <row r="702" spans="1:7" s="766" customFormat="1" x14ac:dyDescent="0.25">
      <c r="A702" s="646" t="s">
        <v>6043</v>
      </c>
      <c r="B702" s="647" t="s">
        <v>2269</v>
      </c>
      <c r="C702" s="647"/>
      <c r="D702" s="651" t="s">
        <v>6071</v>
      </c>
      <c r="E702" s="647"/>
      <c r="F702" s="648"/>
      <c r="G702" s="1028">
        <v>44896</v>
      </c>
    </row>
    <row r="703" spans="1:7" s="766" customFormat="1" x14ac:dyDescent="0.25">
      <c r="A703" s="646" t="s">
        <v>6044</v>
      </c>
      <c r="B703" s="647" t="s">
        <v>5548</v>
      </c>
      <c r="C703" s="647"/>
      <c r="D703" s="651" t="s">
        <v>6071</v>
      </c>
      <c r="E703" s="647"/>
      <c r="F703" s="648"/>
      <c r="G703" s="1028">
        <v>44896</v>
      </c>
    </row>
    <row r="704" spans="1:7" s="766" customFormat="1" x14ac:dyDescent="0.25">
      <c r="A704" s="646" t="s">
        <v>6045</v>
      </c>
      <c r="B704" s="647" t="s">
        <v>4847</v>
      </c>
      <c r="C704" s="647"/>
      <c r="D704" s="651" t="s">
        <v>6071</v>
      </c>
      <c r="E704" s="647"/>
      <c r="F704" s="648"/>
      <c r="G704" s="1028">
        <v>44896</v>
      </c>
    </row>
    <row r="705" spans="1:7" s="766" customFormat="1" x14ac:dyDescent="0.25">
      <c r="A705" s="646" t="s">
        <v>6046</v>
      </c>
      <c r="B705" s="647" t="s">
        <v>5406</v>
      </c>
      <c r="C705" s="647"/>
      <c r="D705" s="651" t="s">
        <v>6071</v>
      </c>
      <c r="E705" s="647"/>
      <c r="F705" s="648"/>
      <c r="G705" s="1028">
        <v>44896</v>
      </c>
    </row>
    <row r="706" spans="1:7" s="766" customFormat="1" x14ac:dyDescent="0.25">
      <c r="A706" s="646" t="s">
        <v>6047</v>
      </c>
      <c r="B706" s="647" t="s">
        <v>5411</v>
      </c>
      <c r="C706" s="647"/>
      <c r="D706" s="651" t="s">
        <v>6071</v>
      </c>
      <c r="E706" s="647"/>
      <c r="F706" s="648"/>
      <c r="G706" s="1028">
        <v>44896</v>
      </c>
    </row>
    <row r="707" spans="1:7" s="766" customFormat="1" x14ac:dyDescent="0.25">
      <c r="A707" s="646" t="s">
        <v>6048</v>
      </c>
      <c r="B707" s="647" t="s">
        <v>5412</v>
      </c>
      <c r="C707" s="647"/>
      <c r="D707" s="651" t="s">
        <v>6071</v>
      </c>
      <c r="E707" s="647"/>
      <c r="F707" s="648"/>
      <c r="G707" s="1028">
        <v>44896</v>
      </c>
    </row>
    <row r="708" spans="1:7" s="766" customFormat="1" x14ac:dyDescent="0.25">
      <c r="A708" s="646" t="s">
        <v>6049</v>
      </c>
      <c r="B708" s="647" t="s">
        <v>2034</v>
      </c>
      <c r="C708" s="647"/>
      <c r="D708" s="651" t="s">
        <v>6071</v>
      </c>
      <c r="E708" s="647"/>
      <c r="F708" s="648"/>
      <c r="G708" s="1028">
        <v>44896</v>
      </c>
    </row>
    <row r="709" spans="1:7" s="766" customFormat="1" x14ac:dyDescent="0.25">
      <c r="A709" s="646" t="s">
        <v>6050</v>
      </c>
      <c r="B709" s="647" t="s">
        <v>2067</v>
      </c>
      <c r="C709" s="647"/>
      <c r="D709" s="651" t="s">
        <v>6071</v>
      </c>
      <c r="E709" s="647"/>
      <c r="F709" s="648"/>
      <c r="G709" s="1028">
        <v>44896</v>
      </c>
    </row>
    <row r="710" spans="1:7" s="766" customFormat="1" x14ac:dyDescent="0.25">
      <c r="A710" s="646" t="s">
        <v>6051</v>
      </c>
      <c r="B710" s="647" t="s">
        <v>3374</v>
      </c>
      <c r="C710" s="647"/>
      <c r="D710" s="651" t="s">
        <v>6071</v>
      </c>
      <c r="E710" s="647"/>
      <c r="F710" s="648"/>
      <c r="G710" s="1028">
        <v>44896</v>
      </c>
    </row>
    <row r="711" spans="1:7" s="766" customFormat="1" x14ac:dyDescent="0.25">
      <c r="A711" s="646" t="s">
        <v>6052</v>
      </c>
      <c r="B711" s="647" t="s">
        <v>3382</v>
      </c>
      <c r="C711" s="647"/>
      <c r="D711" s="651" t="s">
        <v>6071</v>
      </c>
      <c r="E711" s="647"/>
      <c r="F711" s="648"/>
      <c r="G711" s="1028">
        <v>44896</v>
      </c>
    </row>
    <row r="712" spans="1:7" s="766" customFormat="1" x14ac:dyDescent="0.25">
      <c r="A712" s="646" t="s">
        <v>6053</v>
      </c>
      <c r="B712" s="647" t="s">
        <v>3390</v>
      </c>
      <c r="C712" s="647"/>
      <c r="D712" s="651" t="s">
        <v>6071</v>
      </c>
      <c r="E712" s="647"/>
      <c r="F712" s="648"/>
      <c r="G712" s="1028">
        <v>44896</v>
      </c>
    </row>
    <row r="713" spans="1:7" s="766" customFormat="1" x14ac:dyDescent="0.25">
      <c r="A713" s="646" t="s">
        <v>6054</v>
      </c>
      <c r="B713" s="647" t="s">
        <v>740</v>
      </c>
      <c r="C713" s="647"/>
      <c r="D713" s="651" t="s">
        <v>6071</v>
      </c>
      <c r="E713" s="647"/>
      <c r="F713" s="648"/>
      <c r="G713" s="1028">
        <v>44896</v>
      </c>
    </row>
    <row r="714" spans="1:7" s="766" customFormat="1" x14ac:dyDescent="0.25">
      <c r="A714" s="646" t="s">
        <v>6055</v>
      </c>
      <c r="B714" s="647" t="s">
        <v>5435</v>
      </c>
      <c r="C714" s="647"/>
      <c r="D714" s="651" t="s">
        <v>6071</v>
      </c>
      <c r="E714" s="647"/>
      <c r="F714" s="648"/>
      <c r="G714" s="1028">
        <v>44896</v>
      </c>
    </row>
    <row r="715" spans="1:7" s="766" customFormat="1" x14ac:dyDescent="0.25">
      <c r="F715" s="574"/>
      <c r="G715" s="1028"/>
    </row>
    <row r="716" spans="1:7" s="766" customFormat="1" x14ac:dyDescent="0.25">
      <c r="A716" s="646" t="s">
        <v>6056</v>
      </c>
      <c r="B716" s="647" t="s">
        <v>2269</v>
      </c>
      <c r="C716" s="647"/>
      <c r="D716" s="651" t="s">
        <v>6072</v>
      </c>
      <c r="E716" s="647"/>
      <c r="F716" s="650"/>
      <c r="G716" s="1028">
        <v>44896</v>
      </c>
    </row>
    <row r="717" spans="1:7" s="766" customFormat="1" x14ac:dyDescent="0.25">
      <c r="A717" s="646" t="s">
        <v>6057</v>
      </c>
      <c r="B717" s="647" t="s">
        <v>5548</v>
      </c>
      <c r="C717" s="647"/>
      <c r="D717" s="651" t="s">
        <v>6072</v>
      </c>
      <c r="E717" s="647"/>
      <c r="F717" s="650"/>
      <c r="G717" s="1028">
        <v>44896</v>
      </c>
    </row>
    <row r="718" spans="1:7" s="766" customFormat="1" x14ac:dyDescent="0.25">
      <c r="A718" s="646" t="s">
        <v>6058</v>
      </c>
      <c r="B718" s="647" t="s">
        <v>4847</v>
      </c>
      <c r="C718" s="647"/>
      <c r="D718" s="651" t="s">
        <v>6072</v>
      </c>
      <c r="E718" s="647"/>
      <c r="F718" s="650"/>
      <c r="G718" s="1028">
        <v>44896</v>
      </c>
    </row>
    <row r="719" spans="1:7" s="766" customFormat="1" x14ac:dyDescent="0.25">
      <c r="A719" s="646" t="s">
        <v>6059</v>
      </c>
      <c r="B719" s="647" t="s">
        <v>5406</v>
      </c>
      <c r="C719" s="647"/>
      <c r="D719" s="651" t="s">
        <v>6072</v>
      </c>
      <c r="E719" s="647"/>
      <c r="F719" s="650"/>
      <c r="G719" s="1028">
        <v>44896</v>
      </c>
    </row>
    <row r="720" spans="1:7" s="766" customFormat="1" x14ac:dyDescent="0.25">
      <c r="A720" s="646" t="s">
        <v>6060</v>
      </c>
      <c r="B720" s="647" t="s">
        <v>5411</v>
      </c>
      <c r="C720" s="647"/>
      <c r="D720" s="651" t="s">
        <v>6072</v>
      </c>
      <c r="E720" s="647"/>
      <c r="F720" s="650"/>
      <c r="G720" s="1028">
        <v>44896</v>
      </c>
    </row>
    <row r="721" spans="1:7" s="766" customFormat="1" x14ac:dyDescent="0.25">
      <c r="A721" s="646" t="s">
        <v>6061</v>
      </c>
      <c r="B721" s="647" t="s">
        <v>5412</v>
      </c>
      <c r="C721" s="647"/>
      <c r="D721" s="651" t="s">
        <v>6072</v>
      </c>
      <c r="E721" s="647"/>
      <c r="F721" s="650"/>
      <c r="G721" s="1028">
        <v>44896</v>
      </c>
    </row>
    <row r="722" spans="1:7" s="766" customFormat="1" x14ac:dyDescent="0.25">
      <c r="A722" s="646" t="s">
        <v>6062</v>
      </c>
      <c r="B722" s="647" t="s">
        <v>2034</v>
      </c>
      <c r="C722" s="647"/>
      <c r="D722" s="651" t="s">
        <v>6072</v>
      </c>
      <c r="E722" s="647"/>
      <c r="F722" s="650"/>
      <c r="G722" s="1028">
        <v>44896</v>
      </c>
    </row>
    <row r="723" spans="1:7" s="766" customFormat="1" x14ac:dyDescent="0.25">
      <c r="A723" s="646" t="s">
        <v>6068</v>
      </c>
      <c r="B723" s="647" t="s">
        <v>2067</v>
      </c>
      <c r="C723" s="647"/>
      <c r="D723" s="651" t="s">
        <v>6072</v>
      </c>
      <c r="E723" s="647"/>
      <c r="F723" s="650"/>
      <c r="G723" s="1028">
        <v>44896</v>
      </c>
    </row>
    <row r="724" spans="1:7" s="766" customFormat="1" x14ac:dyDescent="0.25">
      <c r="A724" s="646" t="s">
        <v>6063</v>
      </c>
      <c r="B724" s="647" t="s">
        <v>3374</v>
      </c>
      <c r="C724" s="647"/>
      <c r="D724" s="651" t="s">
        <v>6072</v>
      </c>
      <c r="E724" s="647"/>
      <c r="F724" s="650"/>
      <c r="G724" s="1028">
        <v>44896</v>
      </c>
    </row>
    <row r="725" spans="1:7" s="766" customFormat="1" x14ac:dyDescent="0.25">
      <c r="A725" s="646" t="s">
        <v>6064</v>
      </c>
      <c r="B725" s="647" t="s">
        <v>3382</v>
      </c>
      <c r="C725" s="647"/>
      <c r="D725" s="651" t="s">
        <v>6072</v>
      </c>
      <c r="E725" s="647"/>
      <c r="F725" s="650"/>
      <c r="G725" s="1028">
        <v>44896</v>
      </c>
    </row>
    <row r="726" spans="1:7" s="766" customFormat="1" x14ac:dyDescent="0.25">
      <c r="A726" s="646" t="s">
        <v>6065</v>
      </c>
      <c r="B726" s="647" t="s">
        <v>3390</v>
      </c>
      <c r="C726" s="647"/>
      <c r="D726" s="651" t="s">
        <v>6072</v>
      </c>
      <c r="E726" s="647"/>
      <c r="F726" s="650"/>
      <c r="G726" s="1028">
        <v>44896</v>
      </c>
    </row>
    <row r="727" spans="1:7" s="766" customFormat="1" x14ac:dyDescent="0.25">
      <c r="A727" s="646" t="s">
        <v>6066</v>
      </c>
      <c r="B727" s="647" t="s">
        <v>740</v>
      </c>
      <c r="C727" s="647"/>
      <c r="D727" s="651" t="s">
        <v>6072</v>
      </c>
      <c r="E727" s="647"/>
      <c r="F727" s="650"/>
      <c r="G727" s="1028">
        <v>44896</v>
      </c>
    </row>
    <row r="728" spans="1:7" s="766" customFormat="1" x14ac:dyDescent="0.25">
      <c r="A728" s="646" t="s">
        <v>6067</v>
      </c>
      <c r="B728" s="647" t="s">
        <v>5435</v>
      </c>
      <c r="C728" s="647"/>
      <c r="D728" s="651" t="s">
        <v>6072</v>
      </c>
      <c r="E728" s="647"/>
      <c r="F728" s="650"/>
      <c r="G728" s="1028">
        <v>44896</v>
      </c>
    </row>
    <row r="729" spans="1:7" s="766" customFormat="1" x14ac:dyDescent="0.25">
      <c r="F729" s="574"/>
      <c r="G729" s="1028"/>
    </row>
    <row r="730" spans="1:7" s="766" customFormat="1" x14ac:dyDescent="0.25">
      <c r="A730" s="646" t="s">
        <v>6324</v>
      </c>
      <c r="B730" s="647" t="s">
        <v>5435</v>
      </c>
      <c r="C730" s="647"/>
      <c r="D730" s="651" t="s">
        <v>6325</v>
      </c>
      <c r="E730" s="647"/>
      <c r="F730" s="650"/>
      <c r="G730" s="1028">
        <v>44896</v>
      </c>
    </row>
    <row r="732" spans="1:7" s="774" customFormat="1" ht="59.25" customHeight="1" x14ac:dyDescent="0.25">
      <c r="A732" s="1136" t="s">
        <v>8118</v>
      </c>
      <c r="B732" s="1136"/>
      <c r="C732" s="1136"/>
      <c r="D732" s="1136"/>
      <c r="E732" s="1136"/>
      <c r="F732" s="1136"/>
      <c r="G732" s="1028">
        <v>44896</v>
      </c>
    </row>
    <row r="733" spans="1:7" s="774" customFormat="1" x14ac:dyDescent="0.25">
      <c r="F733" s="471"/>
      <c r="G733" s="669" t="s">
        <v>4180</v>
      </c>
    </row>
    <row r="734" spans="1:7" s="774" customFormat="1" x14ac:dyDescent="0.25">
      <c r="A734" s="807" t="s">
        <v>7884</v>
      </c>
      <c r="B734" s="645" t="s">
        <v>5435</v>
      </c>
      <c r="C734" s="645"/>
      <c r="D734" s="645" t="s">
        <v>7885</v>
      </c>
      <c r="E734" s="656"/>
      <c r="F734" s="657"/>
      <c r="G734" s="1028">
        <v>44896</v>
      </c>
    </row>
  </sheetData>
  <autoFilter ref="A3:G474"/>
  <mergeCells count="59">
    <mergeCell ref="A563:F563"/>
    <mergeCell ref="A732:F732"/>
    <mergeCell ref="A235:F235"/>
    <mergeCell ref="A16:F16"/>
    <mergeCell ref="A268:F268"/>
    <mergeCell ref="A168:F168"/>
    <mergeCell ref="A517:F517"/>
    <mergeCell ref="A151:F151"/>
    <mergeCell ref="A154:F154"/>
    <mergeCell ref="A153:F153"/>
    <mergeCell ref="A152:F152"/>
    <mergeCell ref="A162:F162"/>
    <mergeCell ref="A476:F476"/>
    <mergeCell ref="A201:F201"/>
    <mergeCell ref="A335:F335"/>
    <mergeCell ref="A351:F351"/>
    <mergeCell ref="A1:G1"/>
    <mergeCell ref="A134:F134"/>
    <mergeCell ref="A46:F46"/>
    <mergeCell ref="A319:F319"/>
    <mergeCell ref="A360:F360"/>
    <mergeCell ref="A252:F252"/>
    <mergeCell ref="A184:F184"/>
    <mergeCell ref="A272:F272"/>
    <mergeCell ref="A160:F160"/>
    <mergeCell ref="A288:F288"/>
    <mergeCell ref="A218:F218"/>
    <mergeCell ref="A5:F5"/>
    <mergeCell ref="A12:F12"/>
    <mergeCell ref="A133:F133"/>
    <mergeCell ref="A132:F132"/>
    <mergeCell ref="A131:F131"/>
    <mergeCell ref="A393:F393"/>
    <mergeCell ref="A394:F394"/>
    <mergeCell ref="A405:F405"/>
    <mergeCell ref="A377:F377"/>
    <mergeCell ref="A406:F406"/>
    <mergeCell ref="A413:F413"/>
    <mergeCell ref="A545:F545"/>
    <mergeCell ref="G545:H545"/>
    <mergeCell ref="A424:F424"/>
    <mergeCell ref="A425:F425"/>
    <mergeCell ref="A475:F475"/>
    <mergeCell ref="A523:F523"/>
    <mergeCell ref="A525:F525"/>
    <mergeCell ref="A536:F536"/>
    <mergeCell ref="A535:F535"/>
    <mergeCell ref="A524:F524"/>
    <mergeCell ref="A530:F530"/>
    <mergeCell ref="A423:F423"/>
    <mergeCell ref="A700:F700"/>
    <mergeCell ref="A699:F699"/>
    <mergeCell ref="A597:F597"/>
    <mergeCell ref="A580:F580"/>
    <mergeCell ref="A614:F614"/>
    <mergeCell ref="A631:F631"/>
    <mergeCell ref="A648:F648"/>
    <mergeCell ref="A682:F682"/>
    <mergeCell ref="A665:F665"/>
  </mergeCells>
  <phoneticPr fontId="11" type="noConversion"/>
  <conditionalFormatting sqref="H547:H548">
    <cfRule type="cellIs" dxfId="115" priority="1" stopIfTrue="1" operator="notEqual">
      <formula>0</formula>
    </cfRule>
  </conditionalFormatting>
  <pageMargins left="0.7" right="0.7" top="0.78740157499999996" bottom="0.78740157499999996"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73"/>
  <sheetViews>
    <sheetView workbookViewId="0">
      <selection activeCell="D11" sqref="D11"/>
    </sheetView>
  </sheetViews>
  <sheetFormatPr baseColWidth="10" defaultColWidth="11.42578125" defaultRowHeight="15" x14ac:dyDescent="0.25"/>
  <cols>
    <col min="1" max="1" width="21.42578125" style="774" customWidth="1"/>
    <col min="2" max="2" width="17.42578125" style="774" customWidth="1"/>
    <col min="3" max="3" width="26.42578125" style="774" customWidth="1"/>
    <col min="4" max="4" width="71" style="774" customWidth="1"/>
    <col min="5" max="5" width="28.5703125" style="774" customWidth="1"/>
    <col min="6" max="6" width="19.42578125" style="774" customWidth="1"/>
    <col min="7" max="7" width="36.5703125" style="755" customWidth="1"/>
    <col min="8" max="8" width="36.5703125" style="774" customWidth="1"/>
    <col min="9" max="16384" width="11.42578125" style="774"/>
  </cols>
  <sheetData>
    <row r="1" spans="1:10" ht="26.25" x14ac:dyDescent="0.4">
      <c r="A1" s="1168" t="str">
        <f>"EEG-Vergütungskategorien deren Anspruch auf eine Förderung im Leistungsjahr "&amp;RIGHT('EEG-Vergütungen und vNNE'!A1:D1,4)&amp;" beendet ist."</f>
        <v>EEG-Vergütungskategorien deren Anspruch auf eine Förderung im Leistungsjahr 2023 beendet ist.</v>
      </c>
      <c r="B1" s="1168"/>
      <c r="C1" s="1168"/>
      <c r="D1" s="1168"/>
      <c r="E1" s="1168"/>
      <c r="G1" s="662"/>
    </row>
    <row r="2" spans="1:10" x14ac:dyDescent="0.25">
      <c r="G2" s="662"/>
    </row>
    <row r="3" spans="1:10" s="259" customFormat="1" ht="38.25" x14ac:dyDescent="0.25">
      <c r="A3" s="376" t="s">
        <v>2263</v>
      </c>
      <c r="B3" s="377" t="s">
        <v>2264</v>
      </c>
      <c r="C3" s="377" t="s">
        <v>2265</v>
      </c>
      <c r="D3" s="377" t="s">
        <v>2266</v>
      </c>
      <c r="E3" s="377" t="s">
        <v>2267</v>
      </c>
      <c r="F3" s="378" t="s">
        <v>451</v>
      </c>
      <c r="G3" s="378" t="s">
        <v>6495</v>
      </c>
      <c r="H3" s="378" t="s">
        <v>5828</v>
      </c>
    </row>
    <row r="5" spans="1:10" customFormat="1" x14ac:dyDescent="0.25">
      <c r="A5" s="609" t="s">
        <v>1277</v>
      </c>
      <c r="B5" s="1" t="s">
        <v>2269</v>
      </c>
      <c r="C5" s="1" t="s">
        <v>1275</v>
      </c>
      <c r="D5" s="1" t="s">
        <v>1278</v>
      </c>
      <c r="E5" s="1"/>
      <c r="F5" s="442">
        <v>7.67</v>
      </c>
      <c r="G5" s="784">
        <v>43830</v>
      </c>
      <c r="H5" s="786">
        <v>43796</v>
      </c>
    </row>
    <row r="6" spans="1:10" customFormat="1" x14ac:dyDescent="0.25">
      <c r="A6" s="609" t="s">
        <v>1279</v>
      </c>
      <c r="B6" s="1" t="s">
        <v>2269</v>
      </c>
      <c r="C6" s="1" t="s">
        <v>1275</v>
      </c>
      <c r="D6" s="1" t="s">
        <v>1280</v>
      </c>
      <c r="E6" s="1"/>
      <c r="F6" s="442">
        <v>6.65</v>
      </c>
      <c r="G6" s="784">
        <v>43830</v>
      </c>
      <c r="H6" s="786">
        <v>43796</v>
      </c>
    </row>
    <row r="7" spans="1:10" customFormat="1" x14ac:dyDescent="0.25">
      <c r="A7" s="609" t="s">
        <v>1281</v>
      </c>
      <c r="B7" s="1" t="s">
        <v>2269</v>
      </c>
      <c r="C7" s="1" t="s">
        <v>1275</v>
      </c>
      <c r="D7" s="1" t="s">
        <v>1282</v>
      </c>
      <c r="E7" s="1"/>
      <c r="F7" s="442">
        <v>6.1</v>
      </c>
      <c r="G7" s="784">
        <v>43830</v>
      </c>
      <c r="H7" s="786">
        <v>43796</v>
      </c>
    </row>
    <row r="8" spans="1:10" customFormat="1" x14ac:dyDescent="0.25">
      <c r="A8" s="609" t="s">
        <v>1283</v>
      </c>
      <c r="B8" s="1" t="s">
        <v>2269</v>
      </c>
      <c r="C8" s="1" t="s">
        <v>1275</v>
      </c>
      <c r="D8" s="1" t="s">
        <v>1284</v>
      </c>
      <c r="E8" s="1"/>
      <c r="F8" s="442">
        <v>4.5599999999999996</v>
      </c>
      <c r="G8" s="784">
        <v>43830</v>
      </c>
      <c r="H8" s="786">
        <v>43796</v>
      </c>
    </row>
    <row r="9" spans="1:10" customFormat="1" x14ac:dyDescent="0.25">
      <c r="A9" s="609" t="s">
        <v>1285</v>
      </c>
      <c r="B9" s="1" t="s">
        <v>2269</v>
      </c>
      <c r="C9" s="1" t="s">
        <v>1275</v>
      </c>
      <c r="D9" s="1" t="s">
        <v>1286</v>
      </c>
      <c r="E9" s="1"/>
      <c r="F9" s="442">
        <v>3.7</v>
      </c>
      <c r="G9" s="784">
        <v>43830</v>
      </c>
      <c r="H9" s="786">
        <v>43796</v>
      </c>
    </row>
    <row r="11" spans="1:10" customFormat="1" x14ac:dyDescent="0.25">
      <c r="A11" s="609" t="s">
        <v>1290</v>
      </c>
      <c r="B11" s="1" t="s">
        <v>2269</v>
      </c>
      <c r="C11" s="1" t="s">
        <v>1288</v>
      </c>
      <c r="D11" s="1" t="s">
        <v>1278</v>
      </c>
      <c r="E11" s="1"/>
      <c r="F11" s="442">
        <v>7.59</v>
      </c>
      <c r="G11" s="784">
        <v>44196</v>
      </c>
      <c r="H11" s="786">
        <v>44196</v>
      </c>
      <c r="I11" s="774"/>
      <c r="J11" s="774"/>
    </row>
    <row r="12" spans="1:10" customFormat="1" x14ac:dyDescent="0.25">
      <c r="A12" s="609" t="s">
        <v>1291</v>
      </c>
      <c r="B12" s="1" t="s">
        <v>2269</v>
      </c>
      <c r="C12" s="1" t="s">
        <v>1288</v>
      </c>
      <c r="D12" s="1" t="s">
        <v>1280</v>
      </c>
      <c r="E12" s="1"/>
      <c r="F12" s="442">
        <v>6.58</v>
      </c>
      <c r="G12" s="784">
        <v>44196</v>
      </c>
      <c r="H12" s="786">
        <v>44196</v>
      </c>
      <c r="I12" s="774"/>
      <c r="J12" s="774"/>
    </row>
    <row r="13" spans="1:10" customFormat="1" x14ac:dyDescent="0.25">
      <c r="A13" s="609" t="s">
        <v>1292</v>
      </c>
      <c r="B13" s="1" t="s">
        <v>2269</v>
      </c>
      <c r="C13" s="1" t="s">
        <v>1288</v>
      </c>
      <c r="D13" s="1" t="s">
        <v>1282</v>
      </c>
      <c r="E13" s="1"/>
      <c r="F13" s="442">
        <v>6.04</v>
      </c>
      <c r="G13" s="784">
        <v>44196</v>
      </c>
      <c r="H13" s="786">
        <v>44196</v>
      </c>
      <c r="I13" s="774"/>
      <c r="J13" s="774"/>
    </row>
    <row r="14" spans="1:10" customFormat="1" x14ac:dyDescent="0.25">
      <c r="A14" s="609" t="s">
        <v>1293</v>
      </c>
      <c r="B14" s="1" t="s">
        <v>2269</v>
      </c>
      <c r="C14" s="1" t="s">
        <v>1288</v>
      </c>
      <c r="D14" s="1" t="s">
        <v>1284</v>
      </c>
      <c r="E14" s="1"/>
      <c r="F14" s="442">
        <v>4.51</v>
      </c>
      <c r="G14" s="784">
        <v>44196</v>
      </c>
      <c r="H14" s="786">
        <v>44196</v>
      </c>
      <c r="I14" s="774"/>
      <c r="J14" s="774"/>
    </row>
    <row r="15" spans="1:10" customFormat="1" x14ac:dyDescent="0.25">
      <c r="A15" s="609" t="s">
        <v>1294</v>
      </c>
      <c r="B15" s="1" t="s">
        <v>2269</v>
      </c>
      <c r="C15" s="1" t="s">
        <v>1288</v>
      </c>
      <c r="D15" s="1" t="s">
        <v>1286</v>
      </c>
      <c r="E15" s="1"/>
      <c r="F15" s="442">
        <v>3.66</v>
      </c>
      <c r="G15" s="784">
        <v>44196</v>
      </c>
      <c r="H15" s="786">
        <v>44196</v>
      </c>
      <c r="I15" s="774"/>
      <c r="J15" s="774"/>
    </row>
    <row r="16" spans="1:10" x14ac:dyDescent="0.25">
      <c r="G16" s="774"/>
    </row>
    <row r="17" spans="1:8" x14ac:dyDescent="0.25">
      <c r="A17" s="609" t="s">
        <v>1298</v>
      </c>
      <c r="B17" s="1" t="s">
        <v>2269</v>
      </c>
      <c r="C17" s="1" t="s">
        <v>1296</v>
      </c>
      <c r="D17" s="1" t="s">
        <v>7671</v>
      </c>
      <c r="E17" s="1"/>
      <c r="F17" s="442">
        <v>7.51</v>
      </c>
      <c r="G17" s="784">
        <v>44561</v>
      </c>
      <c r="H17" s="786">
        <v>44536</v>
      </c>
    </row>
    <row r="18" spans="1:8" x14ac:dyDescent="0.25">
      <c r="A18" s="609" t="s">
        <v>1299</v>
      </c>
      <c r="B18" s="1" t="s">
        <v>2269</v>
      </c>
      <c r="C18" s="1" t="s">
        <v>1296</v>
      </c>
      <c r="D18" s="1" t="s">
        <v>7672</v>
      </c>
      <c r="E18" s="1"/>
      <c r="F18" s="442">
        <v>6.51</v>
      </c>
      <c r="G18" s="784">
        <v>44561</v>
      </c>
      <c r="H18" s="786">
        <v>44536</v>
      </c>
    </row>
    <row r="19" spans="1:8" x14ac:dyDescent="0.25">
      <c r="A19" s="609" t="s">
        <v>1300</v>
      </c>
      <c r="B19" s="1" t="s">
        <v>2269</v>
      </c>
      <c r="C19" s="1" t="s">
        <v>1296</v>
      </c>
      <c r="D19" s="1" t="s">
        <v>1282</v>
      </c>
      <c r="E19" s="1"/>
      <c r="F19" s="442">
        <v>5.98</v>
      </c>
      <c r="G19" s="784">
        <v>44561</v>
      </c>
      <c r="H19" s="786">
        <v>44536</v>
      </c>
    </row>
    <row r="20" spans="1:8" x14ac:dyDescent="0.25">
      <c r="A20" s="609" t="s">
        <v>1301</v>
      </c>
      <c r="B20" s="1" t="s">
        <v>2269</v>
      </c>
      <c r="C20" s="1" t="s">
        <v>1296</v>
      </c>
      <c r="D20" s="1" t="s">
        <v>1284</v>
      </c>
      <c r="E20" s="1"/>
      <c r="F20" s="442">
        <v>4.46</v>
      </c>
      <c r="G20" s="784">
        <v>44561</v>
      </c>
      <c r="H20" s="786">
        <v>44536</v>
      </c>
    </row>
    <row r="21" spans="1:8" x14ac:dyDescent="0.25">
      <c r="A21" s="609" t="s">
        <v>1302</v>
      </c>
      <c r="B21" s="1" t="s">
        <v>2269</v>
      </c>
      <c r="C21" s="1" t="s">
        <v>1296</v>
      </c>
      <c r="D21" s="1" t="s">
        <v>1286</v>
      </c>
      <c r="E21" s="1"/>
      <c r="F21" s="442">
        <v>3.62</v>
      </c>
      <c r="G21" s="784">
        <v>44561</v>
      </c>
      <c r="H21" s="786">
        <v>44536</v>
      </c>
    </row>
    <row r="22" spans="1:8" x14ac:dyDescent="0.25">
      <c r="G22" s="774"/>
    </row>
    <row r="23" spans="1:8" x14ac:dyDescent="0.25">
      <c r="A23" s="609" t="s">
        <v>1306</v>
      </c>
      <c r="B23" s="1" t="s">
        <v>2269</v>
      </c>
      <c r="C23" s="1" t="s">
        <v>1304</v>
      </c>
      <c r="D23" s="1" t="s">
        <v>7372</v>
      </c>
      <c r="E23" s="1"/>
      <c r="F23" s="442">
        <v>7.43</v>
      </c>
      <c r="G23" s="784">
        <v>44926</v>
      </c>
      <c r="H23" s="786">
        <f>'EEG-Vergütungen und vNNE'!J$31</f>
        <v>44896</v>
      </c>
    </row>
    <row r="24" spans="1:8" x14ac:dyDescent="0.25">
      <c r="A24" s="609" t="s">
        <v>1307</v>
      </c>
      <c r="B24" s="1" t="s">
        <v>2269</v>
      </c>
      <c r="C24" s="1" t="s">
        <v>1304</v>
      </c>
      <c r="D24" s="1" t="s">
        <v>7373</v>
      </c>
      <c r="E24" s="1"/>
      <c r="F24" s="442">
        <v>6.44</v>
      </c>
      <c r="G24" s="784">
        <v>44926</v>
      </c>
      <c r="H24" s="786">
        <f>'EEG-Vergütungen und vNNE'!J$31</f>
        <v>44896</v>
      </c>
    </row>
    <row r="25" spans="1:8" x14ac:dyDescent="0.25">
      <c r="A25" s="609" t="s">
        <v>1308</v>
      </c>
      <c r="B25" s="1" t="s">
        <v>2269</v>
      </c>
      <c r="C25" s="1" t="s">
        <v>1304</v>
      </c>
      <c r="D25" s="1" t="s">
        <v>7377</v>
      </c>
      <c r="E25" s="1"/>
      <c r="F25" s="442">
        <v>5.92</v>
      </c>
      <c r="G25" s="784">
        <v>44926</v>
      </c>
      <c r="H25" s="786">
        <f>'EEG-Vergütungen und vNNE'!J$31</f>
        <v>44896</v>
      </c>
    </row>
    <row r="26" spans="1:8" x14ac:dyDescent="0.25">
      <c r="A26" s="609" t="s">
        <v>1309</v>
      </c>
      <c r="B26" s="1" t="s">
        <v>2269</v>
      </c>
      <c r="C26" s="1" t="s">
        <v>1304</v>
      </c>
      <c r="D26" s="1" t="s">
        <v>7378</v>
      </c>
      <c r="E26" s="1"/>
      <c r="F26" s="442">
        <v>4.42</v>
      </c>
      <c r="G26" s="784">
        <v>44926</v>
      </c>
      <c r="H26" s="786">
        <f>'EEG-Vergütungen und vNNE'!J$31</f>
        <v>44896</v>
      </c>
    </row>
    <row r="27" spans="1:8" x14ac:dyDescent="0.25">
      <c r="A27" s="609" t="s">
        <v>1310</v>
      </c>
      <c r="B27" s="1" t="s">
        <v>2269</v>
      </c>
      <c r="C27" s="1" t="s">
        <v>1304</v>
      </c>
      <c r="D27" s="1" t="s">
        <v>7379</v>
      </c>
      <c r="E27" s="1"/>
      <c r="F27" s="442">
        <v>3.58</v>
      </c>
      <c r="G27" s="784">
        <v>44926</v>
      </c>
      <c r="H27" s="786">
        <f>'EEG-Vergütungen und vNNE'!J$31</f>
        <v>44896</v>
      </c>
    </row>
    <row r="29" spans="1:8" x14ac:dyDescent="0.25">
      <c r="A29" s="618" t="s">
        <v>4395</v>
      </c>
      <c r="B29" s="31" t="s">
        <v>5548</v>
      </c>
      <c r="C29" s="31" t="s">
        <v>2270</v>
      </c>
      <c r="D29" s="32" t="s">
        <v>1780</v>
      </c>
      <c r="E29" s="193" t="s">
        <v>4810</v>
      </c>
      <c r="F29" s="451">
        <v>11.67</v>
      </c>
      <c r="G29" s="784">
        <v>44561</v>
      </c>
      <c r="H29" s="786">
        <v>44536</v>
      </c>
    </row>
    <row r="30" spans="1:8" x14ac:dyDescent="0.25">
      <c r="A30" s="610" t="s">
        <v>4329</v>
      </c>
      <c r="B30" s="30" t="s">
        <v>5548</v>
      </c>
      <c r="C30" s="30" t="s">
        <v>2270</v>
      </c>
      <c r="D30" s="21" t="s">
        <v>6869</v>
      </c>
      <c r="E30" s="17" t="s">
        <v>4331</v>
      </c>
      <c r="F30" s="452">
        <v>14.67</v>
      </c>
      <c r="G30" s="784">
        <v>44561</v>
      </c>
      <c r="H30" s="786">
        <v>44536</v>
      </c>
    </row>
    <row r="31" spans="1:8" x14ac:dyDescent="0.25">
      <c r="A31" s="610" t="s">
        <v>4402</v>
      </c>
      <c r="B31" s="30" t="s">
        <v>5548</v>
      </c>
      <c r="C31" s="30" t="s">
        <v>2270</v>
      </c>
      <c r="D31" s="21" t="s">
        <v>6870</v>
      </c>
      <c r="E31" s="17" t="s">
        <v>674</v>
      </c>
      <c r="F31" s="452">
        <v>14.67</v>
      </c>
      <c r="G31" s="784">
        <v>44561</v>
      </c>
      <c r="H31" s="786">
        <v>44536</v>
      </c>
    </row>
    <row r="32" spans="1:8" x14ac:dyDescent="0.25">
      <c r="A32" s="610" t="s">
        <v>1266</v>
      </c>
      <c r="B32" s="30" t="s">
        <v>5548</v>
      </c>
      <c r="C32" s="30" t="s">
        <v>2270</v>
      </c>
      <c r="D32" s="21" t="s">
        <v>6871</v>
      </c>
      <c r="E32" s="30" t="s">
        <v>3567</v>
      </c>
      <c r="F32" s="452">
        <v>14.64</v>
      </c>
      <c r="G32" s="784">
        <v>44561</v>
      </c>
      <c r="H32" s="786">
        <v>44536</v>
      </c>
    </row>
    <row r="33" spans="1:8" x14ac:dyDescent="0.25">
      <c r="A33" s="610" t="s">
        <v>3056</v>
      </c>
      <c r="B33" s="30" t="s">
        <v>5548</v>
      </c>
      <c r="C33" s="30" t="s">
        <v>2270</v>
      </c>
      <c r="D33" s="21" t="s">
        <v>6872</v>
      </c>
      <c r="E33" s="30" t="s">
        <v>3055</v>
      </c>
      <c r="F33" s="452">
        <v>14.61</v>
      </c>
      <c r="G33" s="784">
        <v>44561</v>
      </c>
      <c r="H33" s="786">
        <v>44536</v>
      </c>
    </row>
    <row r="34" spans="1:8" x14ac:dyDescent="0.25">
      <c r="A34" s="625" t="s">
        <v>4181</v>
      </c>
      <c r="B34" s="219" t="s">
        <v>5548</v>
      </c>
      <c r="C34" s="219" t="s">
        <v>2270</v>
      </c>
      <c r="D34" s="220" t="s">
        <v>6873</v>
      </c>
      <c r="E34" s="219" t="s">
        <v>1980</v>
      </c>
      <c r="F34" s="453">
        <v>14.58</v>
      </c>
      <c r="G34" s="784">
        <v>44561</v>
      </c>
      <c r="H34" s="786">
        <v>44536</v>
      </c>
    </row>
    <row r="35" spans="1:8" x14ac:dyDescent="0.25">
      <c r="A35" s="610" t="s">
        <v>844</v>
      </c>
      <c r="B35" s="17" t="s">
        <v>5548</v>
      </c>
      <c r="C35" s="17" t="s">
        <v>2270</v>
      </c>
      <c r="D35" s="21" t="s">
        <v>6874</v>
      </c>
      <c r="E35" s="194" t="s">
        <v>4810</v>
      </c>
      <c r="F35" s="452">
        <v>12.67</v>
      </c>
      <c r="G35" s="784">
        <v>44561</v>
      </c>
      <c r="H35" s="786">
        <v>44536</v>
      </c>
    </row>
    <row r="36" spans="1:8" x14ac:dyDescent="0.25">
      <c r="A36" s="610" t="s">
        <v>845</v>
      </c>
      <c r="B36" s="30" t="s">
        <v>5548</v>
      </c>
      <c r="C36" s="30" t="s">
        <v>2270</v>
      </c>
      <c r="D36" s="21" t="s">
        <v>6876</v>
      </c>
      <c r="E36" s="30" t="s">
        <v>4331</v>
      </c>
      <c r="F36" s="452">
        <v>15.67</v>
      </c>
      <c r="G36" s="784">
        <v>44561</v>
      </c>
      <c r="H36" s="786">
        <v>44536</v>
      </c>
    </row>
    <row r="37" spans="1:8" x14ac:dyDescent="0.25">
      <c r="A37" s="612" t="s">
        <v>4737</v>
      </c>
      <c r="B37" s="30" t="s">
        <v>5548</v>
      </c>
      <c r="C37" s="30" t="s">
        <v>2270</v>
      </c>
      <c r="D37" s="21" t="s">
        <v>6877</v>
      </c>
      <c r="E37" s="17" t="s">
        <v>674</v>
      </c>
      <c r="F37" s="452">
        <v>15.67</v>
      </c>
      <c r="G37" s="784">
        <v>44561</v>
      </c>
      <c r="H37" s="786">
        <v>44536</v>
      </c>
    </row>
    <row r="38" spans="1:8" x14ac:dyDescent="0.25">
      <c r="A38" s="612" t="s">
        <v>1267</v>
      </c>
      <c r="B38" s="30" t="s">
        <v>5548</v>
      </c>
      <c r="C38" s="30" t="s">
        <v>2270</v>
      </c>
      <c r="D38" s="21" t="s">
        <v>6878</v>
      </c>
      <c r="E38" s="30" t="s">
        <v>3567</v>
      </c>
      <c r="F38" s="452">
        <v>15.64</v>
      </c>
      <c r="G38" s="784">
        <v>44561</v>
      </c>
      <c r="H38" s="786">
        <v>44536</v>
      </c>
    </row>
    <row r="39" spans="1:8" x14ac:dyDescent="0.25">
      <c r="A39" s="612" t="s">
        <v>3057</v>
      </c>
      <c r="B39" s="30" t="s">
        <v>5548</v>
      </c>
      <c r="C39" s="30" t="s">
        <v>2270</v>
      </c>
      <c r="D39" s="21" t="s">
        <v>6879</v>
      </c>
      <c r="E39" s="30" t="s">
        <v>3055</v>
      </c>
      <c r="F39" s="452">
        <v>15.61</v>
      </c>
      <c r="G39" s="784">
        <v>44561</v>
      </c>
      <c r="H39" s="786">
        <v>44536</v>
      </c>
    </row>
    <row r="40" spans="1:8" x14ac:dyDescent="0.25">
      <c r="A40" s="626" t="s">
        <v>4182</v>
      </c>
      <c r="B40" s="219" t="s">
        <v>5548</v>
      </c>
      <c r="C40" s="219" t="s">
        <v>2270</v>
      </c>
      <c r="D40" s="220" t="s">
        <v>6880</v>
      </c>
      <c r="E40" s="219" t="s">
        <v>1980</v>
      </c>
      <c r="F40" s="453">
        <v>15.58</v>
      </c>
      <c r="G40" s="784">
        <v>44561</v>
      </c>
      <c r="H40" s="786">
        <v>44536</v>
      </c>
    </row>
    <row r="41" spans="1:8" x14ac:dyDescent="0.25">
      <c r="A41" s="627" t="s">
        <v>4396</v>
      </c>
      <c r="B41" s="33" t="s">
        <v>5548</v>
      </c>
      <c r="C41" s="33" t="s">
        <v>2270</v>
      </c>
      <c r="D41" s="32" t="s">
        <v>7351</v>
      </c>
      <c r="E41" s="193" t="s">
        <v>4810</v>
      </c>
      <c r="F41" s="451">
        <v>17.670000000000002</v>
      </c>
      <c r="G41" s="784">
        <v>44561</v>
      </c>
      <c r="H41" s="786">
        <v>44536</v>
      </c>
    </row>
    <row r="42" spans="1:8" x14ac:dyDescent="0.25">
      <c r="A42" s="612" t="s">
        <v>4330</v>
      </c>
      <c r="B42" s="30" t="s">
        <v>5548</v>
      </c>
      <c r="C42" s="30" t="s">
        <v>2270</v>
      </c>
      <c r="D42" s="21" t="s">
        <v>7352</v>
      </c>
      <c r="E42" s="30" t="s">
        <v>4331</v>
      </c>
      <c r="F42" s="452">
        <v>20.67</v>
      </c>
      <c r="G42" s="784">
        <v>44561</v>
      </c>
      <c r="H42" s="786">
        <v>44536</v>
      </c>
    </row>
    <row r="43" spans="1:8" x14ac:dyDescent="0.25">
      <c r="A43" s="612" t="s">
        <v>4401</v>
      </c>
      <c r="B43" s="30" t="s">
        <v>5548</v>
      </c>
      <c r="C43" s="30" t="s">
        <v>2270</v>
      </c>
      <c r="D43" s="21" t="s">
        <v>6884</v>
      </c>
      <c r="E43" s="17" t="s">
        <v>674</v>
      </c>
      <c r="F43" s="452">
        <v>20.67</v>
      </c>
      <c r="G43" s="784">
        <v>44561</v>
      </c>
      <c r="H43" s="786">
        <v>44536</v>
      </c>
    </row>
    <row r="44" spans="1:8" x14ac:dyDescent="0.25">
      <c r="A44" s="612" t="s">
        <v>1268</v>
      </c>
      <c r="B44" s="30" t="s">
        <v>5548</v>
      </c>
      <c r="C44" s="30" t="s">
        <v>2270</v>
      </c>
      <c r="D44" s="21" t="s">
        <v>6885</v>
      </c>
      <c r="E44" s="30" t="s">
        <v>3567</v>
      </c>
      <c r="F44" s="452">
        <v>20.64</v>
      </c>
      <c r="G44" s="784">
        <v>44561</v>
      </c>
      <c r="H44" s="786">
        <v>44536</v>
      </c>
    </row>
    <row r="45" spans="1:8" x14ac:dyDescent="0.25">
      <c r="A45" s="612" t="s">
        <v>3058</v>
      </c>
      <c r="B45" s="30" t="s">
        <v>5548</v>
      </c>
      <c r="C45" s="30" t="s">
        <v>2270</v>
      </c>
      <c r="D45" s="21" t="s">
        <v>6886</v>
      </c>
      <c r="E45" s="30" t="s">
        <v>3055</v>
      </c>
      <c r="F45" s="452">
        <v>20.61</v>
      </c>
      <c r="G45" s="784">
        <v>44561</v>
      </c>
      <c r="H45" s="786">
        <v>44536</v>
      </c>
    </row>
    <row r="46" spans="1:8" x14ac:dyDescent="0.25">
      <c r="A46" s="626" t="s">
        <v>4183</v>
      </c>
      <c r="B46" s="219" t="s">
        <v>5548</v>
      </c>
      <c r="C46" s="219" t="s">
        <v>2270</v>
      </c>
      <c r="D46" s="220" t="s">
        <v>6887</v>
      </c>
      <c r="E46" s="219" t="s">
        <v>1980</v>
      </c>
      <c r="F46" s="453">
        <v>20.58</v>
      </c>
      <c r="G46" s="784">
        <v>44561</v>
      </c>
      <c r="H46" s="786">
        <v>44536</v>
      </c>
    </row>
    <row r="47" spans="1:8" x14ac:dyDescent="0.25">
      <c r="A47" s="612" t="s">
        <v>4738</v>
      </c>
      <c r="B47" s="30" t="s">
        <v>5548</v>
      </c>
      <c r="C47" s="30" t="s">
        <v>2270</v>
      </c>
      <c r="D47" s="21" t="s">
        <v>7353</v>
      </c>
      <c r="E47" s="194" t="s">
        <v>4810</v>
      </c>
      <c r="F47" s="452">
        <v>18.670000000000002</v>
      </c>
      <c r="G47" s="784">
        <v>44561</v>
      </c>
      <c r="H47" s="786">
        <v>44536</v>
      </c>
    </row>
    <row r="48" spans="1:8" x14ac:dyDescent="0.25">
      <c r="A48" s="610" t="s">
        <v>4739</v>
      </c>
      <c r="B48" s="30" t="s">
        <v>5548</v>
      </c>
      <c r="C48" s="30" t="s">
        <v>2270</v>
      </c>
      <c r="D48" s="21" t="s">
        <v>6890</v>
      </c>
      <c r="E48" s="30" t="s">
        <v>4331</v>
      </c>
      <c r="F48" s="452">
        <v>21.67</v>
      </c>
      <c r="G48" s="784">
        <v>44561</v>
      </c>
      <c r="H48" s="786">
        <v>44536</v>
      </c>
    </row>
    <row r="49" spans="1:8" x14ac:dyDescent="0.25">
      <c r="A49" s="610" t="s">
        <v>4740</v>
      </c>
      <c r="B49" s="30" t="s">
        <v>5548</v>
      </c>
      <c r="C49" s="30" t="s">
        <v>2270</v>
      </c>
      <c r="D49" s="21" t="s">
        <v>6891</v>
      </c>
      <c r="E49" s="17" t="s">
        <v>674</v>
      </c>
      <c r="F49" s="452">
        <v>21.67</v>
      </c>
      <c r="G49" s="784">
        <v>44561</v>
      </c>
      <c r="H49" s="786">
        <v>44536</v>
      </c>
    </row>
    <row r="50" spans="1:8" x14ac:dyDescent="0.25">
      <c r="A50" s="610" t="s">
        <v>3499</v>
      </c>
      <c r="B50" s="30" t="s">
        <v>5548</v>
      </c>
      <c r="C50" s="30" t="s">
        <v>2270</v>
      </c>
      <c r="D50" s="21" t="s">
        <v>6892</v>
      </c>
      <c r="E50" s="30" t="s">
        <v>3567</v>
      </c>
      <c r="F50" s="452">
        <v>21.64</v>
      </c>
      <c r="G50" s="784">
        <v>44561</v>
      </c>
      <c r="H50" s="786">
        <v>44536</v>
      </c>
    </row>
    <row r="51" spans="1:8" x14ac:dyDescent="0.25">
      <c r="A51" s="612" t="s">
        <v>3059</v>
      </c>
      <c r="B51" s="30" t="s">
        <v>5548</v>
      </c>
      <c r="C51" s="30" t="s">
        <v>2270</v>
      </c>
      <c r="D51" s="21" t="s">
        <v>6893</v>
      </c>
      <c r="E51" s="30" t="s">
        <v>3055</v>
      </c>
      <c r="F51" s="452">
        <v>21.61</v>
      </c>
      <c r="G51" s="784">
        <v>44561</v>
      </c>
      <c r="H51" s="786">
        <v>44536</v>
      </c>
    </row>
    <row r="52" spans="1:8" x14ac:dyDescent="0.25">
      <c r="A52" s="626" t="s">
        <v>4184</v>
      </c>
      <c r="B52" s="219" t="s">
        <v>5548</v>
      </c>
      <c r="C52" s="219" t="s">
        <v>2270</v>
      </c>
      <c r="D52" s="220" t="s">
        <v>6894</v>
      </c>
      <c r="E52" s="219" t="s">
        <v>1980</v>
      </c>
      <c r="F52" s="453">
        <v>21.58</v>
      </c>
      <c r="G52" s="784">
        <v>44561</v>
      </c>
      <c r="H52" s="786">
        <v>44536</v>
      </c>
    </row>
    <row r="53" spans="1:8" x14ac:dyDescent="0.25">
      <c r="A53" s="610" t="s">
        <v>2164</v>
      </c>
      <c r="B53" s="30" t="s">
        <v>5548</v>
      </c>
      <c r="C53" s="30" t="s">
        <v>2270</v>
      </c>
      <c r="D53" s="30" t="s">
        <v>6810</v>
      </c>
      <c r="E53" s="30" t="s">
        <v>4810</v>
      </c>
      <c r="F53" s="454">
        <v>18.670000000000002</v>
      </c>
      <c r="G53" s="784">
        <v>44561</v>
      </c>
      <c r="H53" s="786">
        <v>44536</v>
      </c>
    </row>
    <row r="54" spans="1:8" x14ac:dyDescent="0.25">
      <c r="A54" s="610" t="s">
        <v>2165</v>
      </c>
      <c r="B54" s="30" t="s">
        <v>5548</v>
      </c>
      <c r="C54" s="30" t="s">
        <v>2270</v>
      </c>
      <c r="D54" s="30" t="s">
        <v>6811</v>
      </c>
      <c r="E54" s="30" t="s">
        <v>4331</v>
      </c>
      <c r="F54" s="454">
        <v>21.67</v>
      </c>
      <c r="G54" s="784">
        <v>44561</v>
      </c>
      <c r="H54" s="786">
        <v>44536</v>
      </c>
    </row>
    <row r="55" spans="1:8" x14ac:dyDescent="0.25">
      <c r="A55" s="610" t="s">
        <v>2166</v>
      </c>
      <c r="B55" s="30" t="s">
        <v>5548</v>
      </c>
      <c r="C55" s="30" t="s">
        <v>2270</v>
      </c>
      <c r="D55" s="30" t="s">
        <v>6812</v>
      </c>
      <c r="E55" s="30" t="s">
        <v>674</v>
      </c>
      <c r="F55" s="454">
        <v>21.67</v>
      </c>
      <c r="G55" s="784">
        <v>44561</v>
      </c>
      <c r="H55" s="786">
        <v>44536</v>
      </c>
    </row>
    <row r="56" spans="1:8" x14ac:dyDescent="0.25">
      <c r="A56" s="610" t="s">
        <v>3500</v>
      </c>
      <c r="B56" s="30" t="s">
        <v>5548</v>
      </c>
      <c r="C56" s="30" t="s">
        <v>2270</v>
      </c>
      <c r="D56" s="30" t="s">
        <v>6813</v>
      </c>
      <c r="E56" s="30" t="s">
        <v>3567</v>
      </c>
      <c r="F56" s="454">
        <v>21.64</v>
      </c>
      <c r="G56" s="784">
        <v>44561</v>
      </c>
      <c r="H56" s="786">
        <v>44536</v>
      </c>
    </row>
    <row r="57" spans="1:8" x14ac:dyDescent="0.25">
      <c r="A57" s="610" t="s">
        <v>3060</v>
      </c>
      <c r="B57" s="30" t="s">
        <v>5548</v>
      </c>
      <c r="C57" s="30" t="s">
        <v>2270</v>
      </c>
      <c r="D57" s="30" t="s">
        <v>6814</v>
      </c>
      <c r="E57" s="30" t="s">
        <v>3055</v>
      </c>
      <c r="F57" s="454">
        <v>21.61</v>
      </c>
      <c r="G57" s="784">
        <v>44561</v>
      </c>
      <c r="H57" s="786">
        <v>44536</v>
      </c>
    </row>
    <row r="58" spans="1:8" x14ac:dyDescent="0.25">
      <c r="A58" s="625" t="s">
        <v>4185</v>
      </c>
      <c r="B58" s="219" t="s">
        <v>5548</v>
      </c>
      <c r="C58" s="219" t="s">
        <v>2270</v>
      </c>
      <c r="D58" s="219" t="s">
        <v>6815</v>
      </c>
      <c r="E58" s="219" t="s">
        <v>1980</v>
      </c>
      <c r="F58" s="455">
        <v>21.58</v>
      </c>
      <c r="G58" s="784">
        <v>44561</v>
      </c>
      <c r="H58" s="786">
        <v>44536</v>
      </c>
    </row>
    <row r="59" spans="1:8" x14ac:dyDescent="0.25">
      <c r="A59" s="610" t="s">
        <v>2167</v>
      </c>
      <c r="B59" s="30" t="s">
        <v>5548</v>
      </c>
      <c r="C59" s="30" t="s">
        <v>2270</v>
      </c>
      <c r="D59" s="30" t="s">
        <v>6816</v>
      </c>
      <c r="E59" s="30" t="s">
        <v>4810</v>
      </c>
      <c r="F59" s="454">
        <v>19.670000000000002</v>
      </c>
      <c r="G59" s="784">
        <v>44561</v>
      </c>
      <c r="H59" s="786">
        <v>44536</v>
      </c>
    </row>
    <row r="60" spans="1:8" x14ac:dyDescent="0.25">
      <c r="A60" s="610" t="s">
        <v>2168</v>
      </c>
      <c r="B60" s="30" t="s">
        <v>5548</v>
      </c>
      <c r="C60" s="30" t="s">
        <v>2270</v>
      </c>
      <c r="D60" s="109" t="s">
        <v>6817</v>
      </c>
      <c r="E60" s="30" t="s">
        <v>4331</v>
      </c>
      <c r="F60" s="454">
        <v>22.67</v>
      </c>
      <c r="G60" s="784">
        <v>44561</v>
      </c>
      <c r="H60" s="786">
        <v>44536</v>
      </c>
    </row>
    <row r="61" spans="1:8" x14ac:dyDescent="0.25">
      <c r="A61" s="610" t="s">
        <v>2169</v>
      </c>
      <c r="B61" s="30" t="s">
        <v>5548</v>
      </c>
      <c r="C61" s="30" t="s">
        <v>2270</v>
      </c>
      <c r="D61" s="30" t="s">
        <v>6818</v>
      </c>
      <c r="E61" s="30" t="s">
        <v>674</v>
      </c>
      <c r="F61" s="454">
        <v>22.67</v>
      </c>
      <c r="G61" s="784">
        <v>44561</v>
      </c>
      <c r="H61" s="786">
        <v>44536</v>
      </c>
    </row>
    <row r="62" spans="1:8" x14ac:dyDescent="0.25">
      <c r="A62" s="610" t="s">
        <v>3501</v>
      </c>
      <c r="B62" s="30" t="s">
        <v>5548</v>
      </c>
      <c r="C62" s="30" t="s">
        <v>2270</v>
      </c>
      <c r="D62" s="30" t="s">
        <v>6819</v>
      </c>
      <c r="E62" s="30" t="s">
        <v>3567</v>
      </c>
      <c r="F62" s="454">
        <v>22.64</v>
      </c>
      <c r="G62" s="784">
        <v>44561</v>
      </c>
      <c r="H62" s="786">
        <v>44536</v>
      </c>
    </row>
    <row r="63" spans="1:8" x14ac:dyDescent="0.25">
      <c r="A63" s="610" t="s">
        <v>3061</v>
      </c>
      <c r="B63" s="30" t="s">
        <v>5548</v>
      </c>
      <c r="C63" s="30" t="s">
        <v>2270</v>
      </c>
      <c r="D63" s="30" t="s">
        <v>6820</v>
      </c>
      <c r="E63" s="30" t="s">
        <v>3055</v>
      </c>
      <c r="F63" s="454">
        <v>22.61</v>
      </c>
      <c r="G63" s="784">
        <v>44561</v>
      </c>
      <c r="H63" s="786">
        <v>44536</v>
      </c>
    </row>
    <row r="64" spans="1:8" x14ac:dyDescent="0.25">
      <c r="A64" s="625" t="s">
        <v>4186</v>
      </c>
      <c r="B64" s="219" t="s">
        <v>5548</v>
      </c>
      <c r="C64" s="219" t="s">
        <v>2270</v>
      </c>
      <c r="D64" s="219" t="s">
        <v>6821</v>
      </c>
      <c r="E64" s="219" t="s">
        <v>1980</v>
      </c>
      <c r="F64" s="455">
        <v>22.58</v>
      </c>
      <c r="G64" s="784">
        <v>44561</v>
      </c>
      <c r="H64" s="786">
        <v>44536</v>
      </c>
    </row>
    <row r="65" spans="1:8" x14ac:dyDescent="0.25">
      <c r="A65" s="610" t="s">
        <v>2170</v>
      </c>
      <c r="B65" s="30" t="s">
        <v>5548</v>
      </c>
      <c r="C65" s="30" t="s">
        <v>2270</v>
      </c>
      <c r="D65" s="30" t="s">
        <v>6822</v>
      </c>
      <c r="E65" s="30" t="s">
        <v>4810</v>
      </c>
      <c r="F65" s="454">
        <v>22.67</v>
      </c>
      <c r="G65" s="784">
        <v>44561</v>
      </c>
      <c r="H65" s="786">
        <v>44536</v>
      </c>
    </row>
    <row r="66" spans="1:8" x14ac:dyDescent="0.25">
      <c r="A66" s="610" t="s">
        <v>2171</v>
      </c>
      <c r="B66" s="30" t="s">
        <v>5548</v>
      </c>
      <c r="C66" s="30" t="s">
        <v>2270</v>
      </c>
      <c r="D66" s="30" t="s">
        <v>6823</v>
      </c>
      <c r="E66" s="30" t="s">
        <v>4331</v>
      </c>
      <c r="F66" s="454">
        <v>25.67</v>
      </c>
      <c r="G66" s="784">
        <v>44561</v>
      </c>
      <c r="H66" s="786">
        <v>44536</v>
      </c>
    </row>
    <row r="67" spans="1:8" x14ac:dyDescent="0.25">
      <c r="A67" s="610" t="s">
        <v>2172</v>
      </c>
      <c r="B67" s="30" t="s">
        <v>5548</v>
      </c>
      <c r="C67" s="30" t="s">
        <v>2270</v>
      </c>
      <c r="D67" s="30" t="s">
        <v>6824</v>
      </c>
      <c r="E67" s="30" t="s">
        <v>674</v>
      </c>
      <c r="F67" s="454">
        <v>25.67</v>
      </c>
      <c r="G67" s="784">
        <v>44561</v>
      </c>
      <c r="H67" s="786">
        <v>44536</v>
      </c>
    </row>
    <row r="68" spans="1:8" x14ac:dyDescent="0.25">
      <c r="A68" s="610" t="s">
        <v>3502</v>
      </c>
      <c r="B68" s="30" t="s">
        <v>5548</v>
      </c>
      <c r="C68" s="30" t="s">
        <v>2270</v>
      </c>
      <c r="D68" s="30" t="s">
        <v>6825</v>
      </c>
      <c r="E68" s="30" t="s">
        <v>3567</v>
      </c>
      <c r="F68" s="454">
        <v>25.64</v>
      </c>
      <c r="G68" s="784">
        <v>44561</v>
      </c>
      <c r="H68" s="786">
        <v>44536</v>
      </c>
    </row>
    <row r="69" spans="1:8" x14ac:dyDescent="0.25">
      <c r="A69" s="610" t="s">
        <v>3062</v>
      </c>
      <c r="B69" s="30" t="s">
        <v>5548</v>
      </c>
      <c r="C69" s="30" t="s">
        <v>2270</v>
      </c>
      <c r="D69" s="30" t="s">
        <v>6826</v>
      </c>
      <c r="E69" s="30" t="s">
        <v>3055</v>
      </c>
      <c r="F69" s="454">
        <v>25.61</v>
      </c>
      <c r="G69" s="784">
        <v>44561</v>
      </c>
      <c r="H69" s="786">
        <v>44536</v>
      </c>
    </row>
    <row r="70" spans="1:8" x14ac:dyDescent="0.25">
      <c r="A70" s="625" t="s">
        <v>4187</v>
      </c>
      <c r="B70" s="219" t="s">
        <v>5548</v>
      </c>
      <c r="C70" s="219" t="s">
        <v>2270</v>
      </c>
      <c r="D70" s="219" t="s">
        <v>6827</v>
      </c>
      <c r="E70" s="219" t="s">
        <v>1980</v>
      </c>
      <c r="F70" s="455">
        <v>25.58</v>
      </c>
      <c r="G70" s="784">
        <v>44561</v>
      </c>
      <c r="H70" s="786">
        <v>44536</v>
      </c>
    </row>
    <row r="71" spans="1:8" x14ac:dyDescent="0.25">
      <c r="A71" s="610" t="s">
        <v>2173</v>
      </c>
      <c r="B71" s="30" t="s">
        <v>5548</v>
      </c>
      <c r="C71" s="30" t="s">
        <v>2270</v>
      </c>
      <c r="D71" s="30" t="s">
        <v>6828</v>
      </c>
      <c r="E71" s="30" t="s">
        <v>4810</v>
      </c>
      <c r="F71" s="454">
        <v>23.67</v>
      </c>
      <c r="G71" s="784">
        <v>44561</v>
      </c>
      <c r="H71" s="786">
        <v>44536</v>
      </c>
    </row>
    <row r="72" spans="1:8" x14ac:dyDescent="0.25">
      <c r="A72" s="610" t="s">
        <v>2174</v>
      </c>
      <c r="B72" s="30" t="s">
        <v>5548</v>
      </c>
      <c r="C72" s="30" t="s">
        <v>2270</v>
      </c>
      <c r="D72" s="109" t="s">
        <v>6829</v>
      </c>
      <c r="E72" s="30" t="s">
        <v>4331</v>
      </c>
      <c r="F72" s="454">
        <v>26.67</v>
      </c>
      <c r="G72" s="784">
        <v>44561</v>
      </c>
      <c r="H72" s="786">
        <v>44536</v>
      </c>
    </row>
    <row r="73" spans="1:8" x14ac:dyDescent="0.25">
      <c r="A73" s="610" t="s">
        <v>2175</v>
      </c>
      <c r="B73" s="30" t="s">
        <v>5548</v>
      </c>
      <c r="C73" s="30" t="s">
        <v>2270</v>
      </c>
      <c r="D73" s="30" t="s">
        <v>6830</v>
      </c>
      <c r="E73" s="30" t="s">
        <v>674</v>
      </c>
      <c r="F73" s="454">
        <v>26.67</v>
      </c>
      <c r="G73" s="784">
        <v>44561</v>
      </c>
      <c r="H73" s="786">
        <v>44536</v>
      </c>
    </row>
    <row r="74" spans="1:8" x14ac:dyDescent="0.25">
      <c r="A74" s="610" t="s">
        <v>3503</v>
      </c>
      <c r="B74" s="30" t="s">
        <v>5548</v>
      </c>
      <c r="C74" s="30" t="s">
        <v>2270</v>
      </c>
      <c r="D74" s="30" t="s">
        <v>6831</v>
      </c>
      <c r="E74" s="30" t="s">
        <v>3567</v>
      </c>
      <c r="F74" s="454">
        <v>26.64</v>
      </c>
      <c r="G74" s="784">
        <v>44561</v>
      </c>
      <c r="H74" s="786">
        <v>44536</v>
      </c>
    </row>
    <row r="75" spans="1:8" x14ac:dyDescent="0.25">
      <c r="A75" s="610" t="s">
        <v>3063</v>
      </c>
      <c r="B75" s="30" t="s">
        <v>5548</v>
      </c>
      <c r="C75" s="30" t="s">
        <v>2270</v>
      </c>
      <c r="D75" s="30" t="s">
        <v>6832</v>
      </c>
      <c r="E75" s="30" t="s">
        <v>3055</v>
      </c>
      <c r="F75" s="454">
        <v>26.61</v>
      </c>
      <c r="G75" s="784">
        <v>44561</v>
      </c>
      <c r="H75" s="786">
        <v>44536</v>
      </c>
    </row>
    <row r="76" spans="1:8" x14ac:dyDescent="0.25">
      <c r="A76" s="625" t="s">
        <v>4188</v>
      </c>
      <c r="B76" s="219" t="s">
        <v>5548</v>
      </c>
      <c r="C76" s="219" t="s">
        <v>2270</v>
      </c>
      <c r="D76" s="219" t="s">
        <v>6833</v>
      </c>
      <c r="E76" s="219" t="s">
        <v>1980</v>
      </c>
      <c r="F76" s="455">
        <v>26.58</v>
      </c>
      <c r="G76" s="784">
        <v>44561</v>
      </c>
      <c r="H76" s="786">
        <v>44536</v>
      </c>
    </row>
    <row r="77" spans="1:8" x14ac:dyDescent="0.25">
      <c r="A77" s="610" t="s">
        <v>2176</v>
      </c>
      <c r="B77" s="30" t="s">
        <v>5548</v>
      </c>
      <c r="C77" s="30" t="s">
        <v>2270</v>
      </c>
      <c r="D77" s="30" t="s">
        <v>6834</v>
      </c>
      <c r="E77" s="30" t="s">
        <v>4810</v>
      </c>
      <c r="F77" s="454">
        <v>20.67</v>
      </c>
      <c r="G77" s="784">
        <v>44561</v>
      </c>
      <c r="H77" s="786">
        <v>44536</v>
      </c>
    </row>
    <row r="78" spans="1:8" x14ac:dyDescent="0.25">
      <c r="A78" s="610" t="s">
        <v>2177</v>
      </c>
      <c r="B78" s="30" t="s">
        <v>5548</v>
      </c>
      <c r="C78" s="30" t="s">
        <v>2270</v>
      </c>
      <c r="D78" s="30" t="s">
        <v>6835</v>
      </c>
      <c r="E78" s="30" t="s">
        <v>4331</v>
      </c>
      <c r="F78" s="454">
        <v>23.67</v>
      </c>
      <c r="G78" s="784">
        <v>44561</v>
      </c>
      <c r="H78" s="786">
        <v>44536</v>
      </c>
    </row>
    <row r="79" spans="1:8" x14ac:dyDescent="0.25">
      <c r="A79" s="610" t="s">
        <v>5029</v>
      </c>
      <c r="B79" s="30" t="s">
        <v>5548</v>
      </c>
      <c r="C79" s="30" t="s">
        <v>2270</v>
      </c>
      <c r="D79" s="30" t="s">
        <v>6836</v>
      </c>
      <c r="E79" s="30" t="s">
        <v>674</v>
      </c>
      <c r="F79" s="454">
        <v>23.67</v>
      </c>
      <c r="G79" s="784">
        <v>44561</v>
      </c>
      <c r="H79" s="786">
        <v>44536</v>
      </c>
    </row>
    <row r="80" spans="1:8" x14ac:dyDescent="0.25">
      <c r="A80" s="610" t="s">
        <v>3504</v>
      </c>
      <c r="B80" s="30" t="s">
        <v>5548</v>
      </c>
      <c r="C80" s="30" t="s">
        <v>2270</v>
      </c>
      <c r="D80" s="30" t="s">
        <v>6837</v>
      </c>
      <c r="E80" s="30" t="s">
        <v>3567</v>
      </c>
      <c r="F80" s="454">
        <v>23.64</v>
      </c>
      <c r="G80" s="784">
        <v>44561</v>
      </c>
      <c r="H80" s="786">
        <v>44536</v>
      </c>
    </row>
    <row r="81" spans="1:8" x14ac:dyDescent="0.25">
      <c r="A81" s="610" t="s">
        <v>3064</v>
      </c>
      <c r="B81" s="30" t="s">
        <v>5548</v>
      </c>
      <c r="C81" s="30" t="s">
        <v>2270</v>
      </c>
      <c r="D81" s="30" t="s">
        <v>6838</v>
      </c>
      <c r="E81" s="30" t="s">
        <v>3055</v>
      </c>
      <c r="F81" s="454">
        <v>23.61</v>
      </c>
      <c r="G81" s="784">
        <v>44561</v>
      </c>
      <c r="H81" s="786">
        <v>44536</v>
      </c>
    </row>
    <row r="82" spans="1:8" x14ac:dyDescent="0.25">
      <c r="A82" s="625" t="s">
        <v>4189</v>
      </c>
      <c r="B82" s="219" t="s">
        <v>5548</v>
      </c>
      <c r="C82" s="219" t="s">
        <v>2270</v>
      </c>
      <c r="D82" s="219" t="s">
        <v>6839</v>
      </c>
      <c r="E82" s="219" t="s">
        <v>1980</v>
      </c>
      <c r="F82" s="455">
        <v>23.58</v>
      </c>
      <c r="G82" s="784">
        <v>44561</v>
      </c>
      <c r="H82" s="786">
        <v>44536</v>
      </c>
    </row>
    <row r="83" spans="1:8" x14ac:dyDescent="0.25">
      <c r="A83" s="610" t="s">
        <v>5030</v>
      </c>
      <c r="B83" s="30" t="s">
        <v>5548</v>
      </c>
      <c r="C83" s="30" t="s">
        <v>2270</v>
      </c>
      <c r="D83" s="30" t="s">
        <v>6840</v>
      </c>
      <c r="E83" s="30" t="s">
        <v>4810</v>
      </c>
      <c r="F83" s="454">
        <v>21.67</v>
      </c>
      <c r="G83" s="784">
        <v>44561</v>
      </c>
      <c r="H83" s="786">
        <v>44536</v>
      </c>
    </row>
    <row r="84" spans="1:8" x14ac:dyDescent="0.25">
      <c r="A84" s="610" t="s">
        <v>5031</v>
      </c>
      <c r="B84" s="30" t="s">
        <v>5548</v>
      </c>
      <c r="C84" s="30" t="s">
        <v>2270</v>
      </c>
      <c r="D84" s="109" t="s">
        <v>6841</v>
      </c>
      <c r="E84" s="30" t="s">
        <v>4331</v>
      </c>
      <c r="F84" s="454">
        <v>24.67</v>
      </c>
      <c r="G84" s="784">
        <v>44561</v>
      </c>
      <c r="H84" s="786">
        <v>44536</v>
      </c>
    </row>
    <row r="85" spans="1:8" x14ac:dyDescent="0.25">
      <c r="A85" s="610" t="s">
        <v>5032</v>
      </c>
      <c r="B85" s="30" t="s">
        <v>5548</v>
      </c>
      <c r="C85" s="30" t="s">
        <v>2270</v>
      </c>
      <c r="D85" s="30" t="s">
        <v>6842</v>
      </c>
      <c r="E85" s="30" t="s">
        <v>674</v>
      </c>
      <c r="F85" s="454">
        <v>24.67</v>
      </c>
      <c r="G85" s="784">
        <v>44561</v>
      </c>
      <c r="H85" s="786">
        <v>44536</v>
      </c>
    </row>
    <row r="86" spans="1:8" x14ac:dyDescent="0.25">
      <c r="A86" s="610" t="s">
        <v>3505</v>
      </c>
      <c r="B86" s="30" t="s">
        <v>5548</v>
      </c>
      <c r="C86" s="30" t="s">
        <v>2270</v>
      </c>
      <c r="D86" s="30" t="s">
        <v>6843</v>
      </c>
      <c r="E86" s="30" t="s">
        <v>3567</v>
      </c>
      <c r="F86" s="454">
        <v>24.64</v>
      </c>
      <c r="G86" s="784">
        <v>44561</v>
      </c>
      <c r="H86" s="786">
        <v>44536</v>
      </c>
    </row>
    <row r="87" spans="1:8" x14ac:dyDescent="0.25">
      <c r="A87" s="610" t="s">
        <v>3065</v>
      </c>
      <c r="B87" s="30" t="s">
        <v>5548</v>
      </c>
      <c r="C87" s="30" t="s">
        <v>2270</v>
      </c>
      <c r="D87" s="30" t="s">
        <v>6844</v>
      </c>
      <c r="E87" s="30" t="s">
        <v>3055</v>
      </c>
      <c r="F87" s="454">
        <v>24.61</v>
      </c>
      <c r="G87" s="784">
        <v>44561</v>
      </c>
      <c r="H87" s="786">
        <v>44536</v>
      </c>
    </row>
    <row r="88" spans="1:8" x14ac:dyDescent="0.25">
      <c r="A88" s="625" t="s">
        <v>4190</v>
      </c>
      <c r="B88" s="219" t="s">
        <v>5548</v>
      </c>
      <c r="C88" s="219" t="s">
        <v>2270</v>
      </c>
      <c r="D88" s="219" t="s">
        <v>6845</v>
      </c>
      <c r="E88" s="219" t="s">
        <v>1980</v>
      </c>
      <c r="F88" s="455">
        <v>24.58</v>
      </c>
      <c r="G88" s="784">
        <v>44561</v>
      </c>
      <c r="H88" s="786">
        <v>44536</v>
      </c>
    </row>
    <row r="89" spans="1:8" x14ac:dyDescent="0.25">
      <c r="A89" s="610" t="s">
        <v>5033</v>
      </c>
      <c r="B89" s="30" t="s">
        <v>5548</v>
      </c>
      <c r="C89" s="30" t="s">
        <v>2270</v>
      </c>
      <c r="D89" s="30" t="s">
        <v>6846</v>
      </c>
      <c r="E89" s="30" t="s">
        <v>4810</v>
      </c>
      <c r="F89" s="454">
        <v>24.67</v>
      </c>
      <c r="G89" s="784">
        <v>44561</v>
      </c>
      <c r="H89" s="786">
        <v>44536</v>
      </c>
    </row>
    <row r="90" spans="1:8" x14ac:dyDescent="0.25">
      <c r="A90" s="610" t="s">
        <v>5034</v>
      </c>
      <c r="B90" s="30" t="s">
        <v>5548</v>
      </c>
      <c r="C90" s="30" t="s">
        <v>2270</v>
      </c>
      <c r="D90" s="30" t="s">
        <v>6847</v>
      </c>
      <c r="E90" s="30" t="s">
        <v>4331</v>
      </c>
      <c r="F90" s="454">
        <v>27.67</v>
      </c>
      <c r="G90" s="784">
        <v>44561</v>
      </c>
      <c r="H90" s="786">
        <v>44536</v>
      </c>
    </row>
    <row r="91" spans="1:8" x14ac:dyDescent="0.25">
      <c r="A91" s="610" t="s">
        <v>5035</v>
      </c>
      <c r="B91" s="30" t="s">
        <v>5548</v>
      </c>
      <c r="C91" s="30" t="s">
        <v>2270</v>
      </c>
      <c r="D91" s="30" t="s">
        <v>6848</v>
      </c>
      <c r="E91" s="30" t="s">
        <v>674</v>
      </c>
      <c r="F91" s="454">
        <v>27.67</v>
      </c>
      <c r="G91" s="784">
        <v>44561</v>
      </c>
      <c r="H91" s="786">
        <v>44536</v>
      </c>
    </row>
    <row r="92" spans="1:8" x14ac:dyDescent="0.25">
      <c r="A92" s="610" t="s">
        <v>3506</v>
      </c>
      <c r="B92" s="30" t="s">
        <v>5548</v>
      </c>
      <c r="C92" s="30" t="s">
        <v>2270</v>
      </c>
      <c r="D92" s="30" t="s">
        <v>6849</v>
      </c>
      <c r="E92" s="30" t="s">
        <v>3567</v>
      </c>
      <c r="F92" s="454">
        <v>27.64</v>
      </c>
      <c r="G92" s="784">
        <v>44561</v>
      </c>
      <c r="H92" s="786">
        <v>44536</v>
      </c>
    </row>
    <row r="93" spans="1:8" x14ac:dyDescent="0.25">
      <c r="A93" s="610" t="s">
        <v>3066</v>
      </c>
      <c r="B93" s="30" t="s">
        <v>5548</v>
      </c>
      <c r="C93" s="30" t="s">
        <v>2270</v>
      </c>
      <c r="D93" s="30" t="s">
        <v>6850</v>
      </c>
      <c r="E93" s="30" t="s">
        <v>3055</v>
      </c>
      <c r="F93" s="454">
        <v>27.61</v>
      </c>
      <c r="G93" s="784">
        <v>44561</v>
      </c>
      <c r="H93" s="786">
        <v>44536</v>
      </c>
    </row>
    <row r="94" spans="1:8" x14ac:dyDescent="0.25">
      <c r="A94" s="625" t="s">
        <v>4191</v>
      </c>
      <c r="B94" s="219" t="s">
        <v>5548</v>
      </c>
      <c r="C94" s="219" t="s">
        <v>2270</v>
      </c>
      <c r="D94" s="219" t="s">
        <v>6851</v>
      </c>
      <c r="E94" s="219" t="s">
        <v>1980</v>
      </c>
      <c r="F94" s="455">
        <v>27.58</v>
      </c>
      <c r="G94" s="784">
        <v>44561</v>
      </c>
      <c r="H94" s="786">
        <v>44536</v>
      </c>
    </row>
    <row r="95" spans="1:8" x14ac:dyDescent="0.25">
      <c r="A95" s="610" t="s">
        <v>5036</v>
      </c>
      <c r="B95" s="30" t="s">
        <v>5548</v>
      </c>
      <c r="C95" s="30" t="s">
        <v>2270</v>
      </c>
      <c r="D95" s="30" t="s">
        <v>6852</v>
      </c>
      <c r="E95" s="30" t="s">
        <v>4810</v>
      </c>
      <c r="F95" s="454">
        <v>25.67</v>
      </c>
      <c r="G95" s="784">
        <v>44561</v>
      </c>
      <c r="H95" s="786">
        <v>44536</v>
      </c>
    </row>
    <row r="96" spans="1:8" x14ac:dyDescent="0.25">
      <c r="A96" s="610" t="s">
        <v>5037</v>
      </c>
      <c r="B96" s="30" t="s">
        <v>5548</v>
      </c>
      <c r="C96" s="30" t="s">
        <v>2270</v>
      </c>
      <c r="D96" s="109" t="s">
        <v>6853</v>
      </c>
      <c r="E96" s="30" t="s">
        <v>4331</v>
      </c>
      <c r="F96" s="454">
        <v>28.67</v>
      </c>
      <c r="G96" s="784">
        <v>44561</v>
      </c>
      <c r="H96" s="786">
        <v>44536</v>
      </c>
    </row>
    <row r="97" spans="1:8" x14ac:dyDescent="0.25">
      <c r="A97" s="610" t="s">
        <v>5038</v>
      </c>
      <c r="B97" s="30" t="s">
        <v>5548</v>
      </c>
      <c r="C97" s="30" t="s">
        <v>2270</v>
      </c>
      <c r="D97" s="30" t="s">
        <v>6854</v>
      </c>
      <c r="E97" s="30" t="s">
        <v>674</v>
      </c>
      <c r="F97" s="454">
        <v>28.67</v>
      </c>
      <c r="G97" s="784">
        <v>44561</v>
      </c>
      <c r="H97" s="786">
        <v>44536</v>
      </c>
    </row>
    <row r="98" spans="1:8" x14ac:dyDescent="0.25">
      <c r="A98" s="610" t="s">
        <v>3507</v>
      </c>
      <c r="B98" s="30" t="s">
        <v>5548</v>
      </c>
      <c r="C98" s="30" t="s">
        <v>2270</v>
      </c>
      <c r="D98" s="30" t="s">
        <v>6855</v>
      </c>
      <c r="E98" s="30" t="s">
        <v>3567</v>
      </c>
      <c r="F98" s="454">
        <v>28.64</v>
      </c>
      <c r="G98" s="784">
        <v>44561</v>
      </c>
      <c r="H98" s="786">
        <v>44536</v>
      </c>
    </row>
    <row r="99" spans="1:8" x14ac:dyDescent="0.25">
      <c r="A99" s="610" t="s">
        <v>3067</v>
      </c>
      <c r="B99" s="30" t="s">
        <v>5548</v>
      </c>
      <c r="C99" s="30" t="s">
        <v>2270</v>
      </c>
      <c r="D99" s="30" t="s">
        <v>6856</v>
      </c>
      <c r="E99" s="30" t="s">
        <v>3055</v>
      </c>
      <c r="F99" s="454">
        <v>28.61</v>
      </c>
      <c r="G99" s="784">
        <v>44561</v>
      </c>
      <c r="H99" s="786">
        <v>44536</v>
      </c>
    </row>
    <row r="100" spans="1:8" x14ac:dyDescent="0.25">
      <c r="A100" s="625" t="s">
        <v>4192</v>
      </c>
      <c r="B100" s="219" t="s">
        <v>5548</v>
      </c>
      <c r="C100" s="219" t="s">
        <v>2270</v>
      </c>
      <c r="D100" s="219" t="s">
        <v>6857</v>
      </c>
      <c r="E100" s="219" t="s">
        <v>1980</v>
      </c>
      <c r="F100" s="455">
        <v>28.58</v>
      </c>
      <c r="G100" s="784">
        <v>44561</v>
      </c>
      <c r="H100" s="786">
        <v>44536</v>
      </c>
    </row>
    <row r="101" spans="1:8" x14ac:dyDescent="0.25">
      <c r="A101" s="608" t="s">
        <v>5547</v>
      </c>
      <c r="B101" s="2" t="s">
        <v>5548</v>
      </c>
      <c r="C101" s="2" t="s">
        <v>2270</v>
      </c>
      <c r="D101" s="34" t="s">
        <v>1007</v>
      </c>
      <c r="E101" s="192" t="s">
        <v>4810</v>
      </c>
      <c r="F101" s="456">
        <v>10.23</v>
      </c>
      <c r="G101" s="784">
        <v>44561</v>
      </c>
      <c r="H101" s="786">
        <v>44536</v>
      </c>
    </row>
    <row r="102" spans="1:8" x14ac:dyDescent="0.25">
      <c r="A102" s="610" t="s">
        <v>4332</v>
      </c>
      <c r="B102" s="30" t="s">
        <v>5548</v>
      </c>
      <c r="C102" s="30" t="s">
        <v>2270</v>
      </c>
      <c r="D102" s="21" t="s">
        <v>7092</v>
      </c>
      <c r="E102" s="30" t="s">
        <v>4331</v>
      </c>
      <c r="F102" s="452">
        <v>13.23</v>
      </c>
      <c r="G102" s="784">
        <v>44561</v>
      </c>
      <c r="H102" s="786">
        <v>44536</v>
      </c>
    </row>
    <row r="103" spans="1:8" x14ac:dyDescent="0.25">
      <c r="A103" s="610" t="s">
        <v>4403</v>
      </c>
      <c r="B103" s="30" t="s">
        <v>5548</v>
      </c>
      <c r="C103" s="30" t="s">
        <v>2270</v>
      </c>
      <c r="D103" s="21" t="s">
        <v>7093</v>
      </c>
      <c r="E103" s="17" t="s">
        <v>674</v>
      </c>
      <c r="F103" s="452">
        <v>13.23</v>
      </c>
      <c r="G103" s="784">
        <v>44561</v>
      </c>
      <c r="H103" s="786">
        <v>44536</v>
      </c>
    </row>
    <row r="104" spans="1:8" x14ac:dyDescent="0.25">
      <c r="A104" s="610" t="s">
        <v>2809</v>
      </c>
      <c r="B104" s="30" t="s">
        <v>5548</v>
      </c>
      <c r="C104" s="30" t="s">
        <v>2270</v>
      </c>
      <c r="D104" s="21" t="s">
        <v>7094</v>
      </c>
      <c r="E104" s="30" t="s">
        <v>3567</v>
      </c>
      <c r="F104" s="452">
        <v>13.200000000000001</v>
      </c>
      <c r="G104" s="784">
        <v>44561</v>
      </c>
      <c r="H104" s="786">
        <v>44536</v>
      </c>
    </row>
    <row r="105" spans="1:8" x14ac:dyDescent="0.25">
      <c r="A105" s="610" t="s">
        <v>3068</v>
      </c>
      <c r="B105" s="30" t="s">
        <v>5548</v>
      </c>
      <c r="C105" s="30" t="s">
        <v>2270</v>
      </c>
      <c r="D105" s="21" t="s">
        <v>7095</v>
      </c>
      <c r="E105" s="30" t="s">
        <v>3055</v>
      </c>
      <c r="F105" s="452">
        <v>13.17</v>
      </c>
      <c r="G105" s="784">
        <v>44561</v>
      </c>
      <c r="H105" s="786">
        <v>44536</v>
      </c>
    </row>
    <row r="106" spans="1:8" x14ac:dyDescent="0.25">
      <c r="A106" s="625" t="s">
        <v>4193</v>
      </c>
      <c r="B106" s="219" t="s">
        <v>5548</v>
      </c>
      <c r="C106" s="219" t="s">
        <v>2270</v>
      </c>
      <c r="D106" s="220" t="s">
        <v>7096</v>
      </c>
      <c r="E106" s="219" t="s">
        <v>1980</v>
      </c>
      <c r="F106" s="453">
        <v>13.14</v>
      </c>
      <c r="G106" s="784">
        <v>44561</v>
      </c>
      <c r="H106" s="786">
        <v>44536</v>
      </c>
    </row>
    <row r="107" spans="1:8" x14ac:dyDescent="0.25">
      <c r="A107" s="610" t="s">
        <v>4741</v>
      </c>
      <c r="B107" s="17" t="s">
        <v>5548</v>
      </c>
      <c r="C107" s="17" t="s">
        <v>2270</v>
      </c>
      <c r="D107" s="21" t="s">
        <v>7097</v>
      </c>
      <c r="E107" s="194" t="s">
        <v>4810</v>
      </c>
      <c r="F107" s="454">
        <v>11.23</v>
      </c>
      <c r="G107" s="784">
        <v>44561</v>
      </c>
      <c r="H107" s="786">
        <v>44536</v>
      </c>
    </row>
    <row r="108" spans="1:8" x14ac:dyDescent="0.25">
      <c r="A108" s="610" t="s">
        <v>4742</v>
      </c>
      <c r="B108" s="30" t="s">
        <v>5548</v>
      </c>
      <c r="C108" s="30" t="s">
        <v>2270</v>
      </c>
      <c r="D108" s="21" t="s">
        <v>7099</v>
      </c>
      <c r="E108" s="30" t="s">
        <v>4331</v>
      </c>
      <c r="F108" s="452">
        <v>14.23</v>
      </c>
      <c r="G108" s="784">
        <v>44561</v>
      </c>
      <c r="H108" s="786">
        <v>44536</v>
      </c>
    </row>
    <row r="109" spans="1:8" x14ac:dyDescent="0.25">
      <c r="A109" s="610" t="s">
        <v>4743</v>
      </c>
      <c r="B109" s="30" t="s">
        <v>5548</v>
      </c>
      <c r="C109" s="30" t="s">
        <v>2270</v>
      </c>
      <c r="D109" s="21" t="s">
        <v>7100</v>
      </c>
      <c r="E109" s="17" t="s">
        <v>674</v>
      </c>
      <c r="F109" s="452">
        <v>14.23</v>
      </c>
      <c r="G109" s="784">
        <v>44561</v>
      </c>
      <c r="H109" s="786">
        <v>44536</v>
      </c>
    </row>
    <row r="110" spans="1:8" x14ac:dyDescent="0.25">
      <c r="A110" s="610" t="s">
        <v>3508</v>
      </c>
      <c r="B110" s="30" t="s">
        <v>5548</v>
      </c>
      <c r="C110" s="30" t="s">
        <v>2270</v>
      </c>
      <c r="D110" s="21" t="s">
        <v>7101</v>
      </c>
      <c r="E110" s="30" t="s">
        <v>3567</v>
      </c>
      <c r="F110" s="452">
        <v>14.200000000000001</v>
      </c>
      <c r="G110" s="784">
        <v>44561</v>
      </c>
      <c r="H110" s="786">
        <v>44536</v>
      </c>
    </row>
    <row r="111" spans="1:8" x14ac:dyDescent="0.25">
      <c r="A111" s="610" t="s">
        <v>3069</v>
      </c>
      <c r="B111" s="30" t="s">
        <v>5548</v>
      </c>
      <c r="C111" s="30" t="s">
        <v>2270</v>
      </c>
      <c r="D111" s="21" t="s">
        <v>7102</v>
      </c>
      <c r="E111" s="30" t="s">
        <v>3055</v>
      </c>
      <c r="F111" s="452">
        <v>14.17</v>
      </c>
      <c r="G111" s="784">
        <v>44561</v>
      </c>
      <c r="H111" s="786">
        <v>44536</v>
      </c>
    </row>
    <row r="112" spans="1:8" x14ac:dyDescent="0.25">
      <c r="A112" s="625" t="s">
        <v>4194</v>
      </c>
      <c r="B112" s="219" t="s">
        <v>5548</v>
      </c>
      <c r="C112" s="219" t="s">
        <v>2270</v>
      </c>
      <c r="D112" s="220" t="s">
        <v>7103</v>
      </c>
      <c r="E112" s="219" t="s">
        <v>1980</v>
      </c>
      <c r="F112" s="453">
        <v>14.14</v>
      </c>
      <c r="G112" s="784">
        <v>44561</v>
      </c>
      <c r="H112" s="786">
        <v>44536</v>
      </c>
    </row>
    <row r="113" spans="1:8" x14ac:dyDescent="0.25">
      <c r="A113" s="608" t="s">
        <v>5549</v>
      </c>
      <c r="B113" s="2" t="s">
        <v>5548</v>
      </c>
      <c r="C113" s="2" t="s">
        <v>2270</v>
      </c>
      <c r="D113" s="34" t="s">
        <v>7104</v>
      </c>
      <c r="E113" s="192" t="s">
        <v>4810</v>
      </c>
      <c r="F113" s="456">
        <v>16.23</v>
      </c>
      <c r="G113" s="784">
        <v>44561</v>
      </c>
      <c r="H113" s="786">
        <v>44536</v>
      </c>
    </row>
    <row r="114" spans="1:8" x14ac:dyDescent="0.25">
      <c r="A114" s="610" t="s">
        <v>4333</v>
      </c>
      <c r="B114" s="30" t="s">
        <v>5548</v>
      </c>
      <c r="C114" s="30" t="s">
        <v>2270</v>
      </c>
      <c r="D114" s="30" t="s">
        <v>7106</v>
      </c>
      <c r="E114" s="30" t="s">
        <v>4331</v>
      </c>
      <c r="F114" s="454">
        <v>19.23</v>
      </c>
      <c r="G114" s="784">
        <v>44561</v>
      </c>
      <c r="H114" s="786">
        <v>44536</v>
      </c>
    </row>
    <row r="115" spans="1:8" x14ac:dyDescent="0.25">
      <c r="A115" s="610" t="s">
        <v>2620</v>
      </c>
      <c r="B115" s="30" t="s">
        <v>5548</v>
      </c>
      <c r="C115" s="30" t="s">
        <v>2270</v>
      </c>
      <c r="D115" s="30" t="s">
        <v>7107</v>
      </c>
      <c r="E115" s="17" t="s">
        <v>674</v>
      </c>
      <c r="F115" s="454">
        <v>19.23</v>
      </c>
      <c r="G115" s="784">
        <v>44561</v>
      </c>
      <c r="H115" s="786">
        <v>44536</v>
      </c>
    </row>
    <row r="116" spans="1:8" x14ac:dyDescent="0.25">
      <c r="A116" s="610" t="s">
        <v>3509</v>
      </c>
      <c r="B116" s="30" t="s">
        <v>5548</v>
      </c>
      <c r="C116" s="30" t="s">
        <v>2270</v>
      </c>
      <c r="D116" s="30" t="s">
        <v>7108</v>
      </c>
      <c r="E116" s="30" t="s">
        <v>3567</v>
      </c>
      <c r="F116" s="454">
        <v>19.200000000000003</v>
      </c>
      <c r="G116" s="784">
        <v>44561</v>
      </c>
      <c r="H116" s="786">
        <v>44536</v>
      </c>
    </row>
    <row r="117" spans="1:8" x14ac:dyDescent="0.25">
      <c r="A117" s="610" t="s">
        <v>3070</v>
      </c>
      <c r="B117" s="30" t="s">
        <v>5548</v>
      </c>
      <c r="C117" s="30" t="s">
        <v>2270</v>
      </c>
      <c r="D117" s="30" t="s">
        <v>7109</v>
      </c>
      <c r="E117" s="30" t="s">
        <v>3055</v>
      </c>
      <c r="F117" s="454">
        <v>19.170000000000002</v>
      </c>
      <c r="G117" s="784">
        <v>44561</v>
      </c>
      <c r="H117" s="786">
        <v>44536</v>
      </c>
    </row>
    <row r="118" spans="1:8" x14ac:dyDescent="0.25">
      <c r="A118" s="625" t="s">
        <v>4195</v>
      </c>
      <c r="B118" s="219" t="s">
        <v>5548</v>
      </c>
      <c r="C118" s="219" t="s">
        <v>2270</v>
      </c>
      <c r="D118" s="219" t="s">
        <v>7110</v>
      </c>
      <c r="E118" s="219" t="s">
        <v>1980</v>
      </c>
      <c r="F118" s="455">
        <v>19.14</v>
      </c>
      <c r="G118" s="784">
        <v>44561</v>
      </c>
      <c r="H118" s="786">
        <v>44536</v>
      </c>
    </row>
    <row r="119" spans="1:8" x14ac:dyDescent="0.25">
      <c r="A119" s="610" t="s">
        <v>4744</v>
      </c>
      <c r="B119" s="17" t="s">
        <v>5548</v>
      </c>
      <c r="C119" s="17" t="s">
        <v>2270</v>
      </c>
      <c r="D119" s="30" t="s">
        <v>7111</v>
      </c>
      <c r="E119" s="194" t="s">
        <v>4810</v>
      </c>
      <c r="F119" s="454">
        <v>17.23</v>
      </c>
      <c r="G119" s="784">
        <v>44561</v>
      </c>
      <c r="H119" s="786">
        <v>44536</v>
      </c>
    </row>
    <row r="120" spans="1:8" x14ac:dyDescent="0.25">
      <c r="A120" s="610" t="s">
        <v>4745</v>
      </c>
      <c r="B120" s="30" t="s">
        <v>5548</v>
      </c>
      <c r="C120" s="30" t="s">
        <v>2270</v>
      </c>
      <c r="D120" s="30" t="s">
        <v>7113</v>
      </c>
      <c r="E120" s="30" t="s">
        <v>4331</v>
      </c>
      <c r="F120" s="454">
        <v>20.23</v>
      </c>
      <c r="G120" s="784">
        <v>44561</v>
      </c>
      <c r="H120" s="786">
        <v>44536</v>
      </c>
    </row>
    <row r="121" spans="1:8" x14ac:dyDescent="0.25">
      <c r="A121" s="610" t="s">
        <v>4746</v>
      </c>
      <c r="B121" s="30" t="s">
        <v>5548</v>
      </c>
      <c r="C121" s="30" t="s">
        <v>2270</v>
      </c>
      <c r="D121" s="30" t="s">
        <v>7114</v>
      </c>
      <c r="E121" s="17" t="s">
        <v>674</v>
      </c>
      <c r="F121" s="454">
        <v>20.23</v>
      </c>
      <c r="G121" s="784">
        <v>44561</v>
      </c>
      <c r="H121" s="786">
        <v>44536</v>
      </c>
    </row>
    <row r="122" spans="1:8" x14ac:dyDescent="0.25">
      <c r="A122" s="610" t="s">
        <v>3510</v>
      </c>
      <c r="B122" s="30" t="s">
        <v>5548</v>
      </c>
      <c r="C122" s="30" t="s">
        <v>2270</v>
      </c>
      <c r="D122" s="30" t="s">
        <v>7115</v>
      </c>
      <c r="E122" s="30" t="s">
        <v>3567</v>
      </c>
      <c r="F122" s="454">
        <v>20.200000000000003</v>
      </c>
      <c r="G122" s="784">
        <v>44561</v>
      </c>
      <c r="H122" s="786">
        <v>44536</v>
      </c>
    </row>
    <row r="123" spans="1:8" x14ac:dyDescent="0.25">
      <c r="A123" s="610" t="s">
        <v>3071</v>
      </c>
      <c r="B123" s="30" t="s">
        <v>5548</v>
      </c>
      <c r="C123" s="30" t="s">
        <v>2270</v>
      </c>
      <c r="D123" s="30" t="s">
        <v>7116</v>
      </c>
      <c r="E123" s="30" t="s">
        <v>3055</v>
      </c>
      <c r="F123" s="454">
        <v>20.170000000000002</v>
      </c>
      <c r="G123" s="784">
        <v>44561</v>
      </c>
      <c r="H123" s="786">
        <v>44536</v>
      </c>
    </row>
    <row r="124" spans="1:8" x14ac:dyDescent="0.25">
      <c r="A124" s="625" t="s">
        <v>4196</v>
      </c>
      <c r="B124" s="219" t="s">
        <v>5548</v>
      </c>
      <c r="C124" s="219" t="s">
        <v>2270</v>
      </c>
      <c r="D124" s="219" t="s">
        <v>7117</v>
      </c>
      <c r="E124" s="219" t="s">
        <v>1980</v>
      </c>
      <c r="F124" s="455">
        <v>20.14</v>
      </c>
      <c r="G124" s="784">
        <v>44561</v>
      </c>
      <c r="H124" s="786">
        <v>44536</v>
      </c>
    </row>
    <row r="125" spans="1:8" x14ac:dyDescent="0.25">
      <c r="A125" s="610" t="s">
        <v>4112</v>
      </c>
      <c r="B125" s="30" t="s">
        <v>5548</v>
      </c>
      <c r="C125" s="30" t="s">
        <v>2270</v>
      </c>
      <c r="D125" s="30" t="s">
        <v>7034</v>
      </c>
      <c r="E125" s="30" t="s">
        <v>4810</v>
      </c>
      <c r="F125" s="454">
        <v>17.23</v>
      </c>
      <c r="G125" s="784">
        <v>44561</v>
      </c>
      <c r="H125" s="786">
        <v>44536</v>
      </c>
    </row>
    <row r="126" spans="1:8" x14ac:dyDescent="0.25">
      <c r="A126" s="610" t="s">
        <v>4113</v>
      </c>
      <c r="B126" s="30" t="s">
        <v>5548</v>
      </c>
      <c r="C126" s="30" t="s">
        <v>2270</v>
      </c>
      <c r="D126" s="30" t="s">
        <v>7035</v>
      </c>
      <c r="E126" s="30" t="s">
        <v>4331</v>
      </c>
      <c r="F126" s="454">
        <v>20.23</v>
      </c>
      <c r="G126" s="784">
        <v>44561</v>
      </c>
      <c r="H126" s="786">
        <v>44536</v>
      </c>
    </row>
    <row r="127" spans="1:8" x14ac:dyDescent="0.25">
      <c r="A127" s="610" t="s">
        <v>4114</v>
      </c>
      <c r="B127" s="30" t="s">
        <v>5548</v>
      </c>
      <c r="C127" s="30" t="s">
        <v>2270</v>
      </c>
      <c r="D127" s="30" t="s">
        <v>7036</v>
      </c>
      <c r="E127" s="30" t="s">
        <v>674</v>
      </c>
      <c r="F127" s="454">
        <v>20.23</v>
      </c>
      <c r="G127" s="784">
        <v>44561</v>
      </c>
      <c r="H127" s="786">
        <v>44536</v>
      </c>
    </row>
    <row r="128" spans="1:8" x14ac:dyDescent="0.25">
      <c r="A128" s="610" t="s">
        <v>3511</v>
      </c>
      <c r="B128" s="30" t="s">
        <v>5548</v>
      </c>
      <c r="C128" s="30" t="s">
        <v>2270</v>
      </c>
      <c r="D128" s="30" t="s">
        <v>7037</v>
      </c>
      <c r="E128" s="30" t="s">
        <v>3567</v>
      </c>
      <c r="F128" s="454">
        <v>20.200000000000003</v>
      </c>
      <c r="G128" s="784">
        <v>44561</v>
      </c>
      <c r="H128" s="786">
        <v>44536</v>
      </c>
    </row>
    <row r="129" spans="1:8" x14ac:dyDescent="0.25">
      <c r="A129" s="610" t="s">
        <v>3072</v>
      </c>
      <c r="B129" s="30" t="s">
        <v>5548</v>
      </c>
      <c r="C129" s="30" t="s">
        <v>2270</v>
      </c>
      <c r="D129" s="30" t="s">
        <v>7038</v>
      </c>
      <c r="E129" s="30" t="s">
        <v>3055</v>
      </c>
      <c r="F129" s="454">
        <v>20.170000000000002</v>
      </c>
      <c r="G129" s="784">
        <v>44561</v>
      </c>
      <c r="H129" s="786">
        <v>44536</v>
      </c>
    </row>
    <row r="130" spans="1:8" x14ac:dyDescent="0.25">
      <c r="A130" s="625" t="s">
        <v>4197</v>
      </c>
      <c r="B130" s="219" t="s">
        <v>5548</v>
      </c>
      <c r="C130" s="219" t="s">
        <v>2270</v>
      </c>
      <c r="D130" s="219" t="s">
        <v>7039</v>
      </c>
      <c r="E130" s="219" t="s">
        <v>1980</v>
      </c>
      <c r="F130" s="455">
        <v>20.14</v>
      </c>
      <c r="G130" s="784">
        <v>44561</v>
      </c>
      <c r="H130" s="786">
        <v>44536</v>
      </c>
    </row>
    <row r="131" spans="1:8" x14ac:dyDescent="0.25">
      <c r="A131" s="610" t="s">
        <v>4115</v>
      </c>
      <c r="B131" s="30" t="s">
        <v>5548</v>
      </c>
      <c r="C131" s="30" t="s">
        <v>2270</v>
      </c>
      <c r="D131" s="30" t="s">
        <v>7040</v>
      </c>
      <c r="E131" s="30" t="s">
        <v>4810</v>
      </c>
      <c r="F131" s="454">
        <v>18.23</v>
      </c>
      <c r="G131" s="784">
        <v>44561</v>
      </c>
      <c r="H131" s="786">
        <v>44536</v>
      </c>
    </row>
    <row r="132" spans="1:8" x14ac:dyDescent="0.25">
      <c r="A132" s="610" t="s">
        <v>4116</v>
      </c>
      <c r="B132" s="30" t="s">
        <v>5548</v>
      </c>
      <c r="C132" s="30" t="s">
        <v>2270</v>
      </c>
      <c r="D132" s="109" t="s">
        <v>7041</v>
      </c>
      <c r="E132" s="30" t="s">
        <v>4331</v>
      </c>
      <c r="F132" s="454">
        <v>21.23</v>
      </c>
      <c r="G132" s="784">
        <v>44561</v>
      </c>
      <c r="H132" s="786">
        <v>44536</v>
      </c>
    </row>
    <row r="133" spans="1:8" x14ac:dyDescent="0.25">
      <c r="A133" s="610" t="s">
        <v>4117</v>
      </c>
      <c r="B133" s="30" t="s">
        <v>5548</v>
      </c>
      <c r="C133" s="30" t="s">
        <v>2270</v>
      </c>
      <c r="D133" s="30" t="s">
        <v>7042</v>
      </c>
      <c r="E133" s="30" t="s">
        <v>674</v>
      </c>
      <c r="F133" s="454">
        <v>21.23</v>
      </c>
      <c r="G133" s="784">
        <v>44561</v>
      </c>
      <c r="H133" s="786">
        <v>44536</v>
      </c>
    </row>
    <row r="134" spans="1:8" x14ac:dyDescent="0.25">
      <c r="A134" s="610" t="s">
        <v>3512</v>
      </c>
      <c r="B134" s="30" t="s">
        <v>5548</v>
      </c>
      <c r="C134" s="30" t="s">
        <v>2270</v>
      </c>
      <c r="D134" s="30" t="s">
        <v>7043</v>
      </c>
      <c r="E134" s="30" t="s">
        <v>3567</v>
      </c>
      <c r="F134" s="454">
        <v>21.200000000000003</v>
      </c>
      <c r="G134" s="784">
        <v>44561</v>
      </c>
      <c r="H134" s="786">
        <v>44536</v>
      </c>
    </row>
    <row r="135" spans="1:8" x14ac:dyDescent="0.25">
      <c r="A135" s="610" t="s">
        <v>3073</v>
      </c>
      <c r="B135" s="30" t="s">
        <v>5548</v>
      </c>
      <c r="C135" s="30" t="s">
        <v>2270</v>
      </c>
      <c r="D135" s="30" t="s">
        <v>7044</v>
      </c>
      <c r="E135" s="30" t="s">
        <v>3055</v>
      </c>
      <c r="F135" s="454">
        <v>21.17</v>
      </c>
      <c r="G135" s="784">
        <v>44561</v>
      </c>
      <c r="H135" s="786">
        <v>44536</v>
      </c>
    </row>
    <row r="136" spans="1:8" x14ac:dyDescent="0.25">
      <c r="A136" s="625" t="s">
        <v>4198</v>
      </c>
      <c r="B136" s="219" t="s">
        <v>5548</v>
      </c>
      <c r="C136" s="219" t="s">
        <v>2270</v>
      </c>
      <c r="D136" s="219" t="s">
        <v>7045</v>
      </c>
      <c r="E136" s="219" t="s">
        <v>1980</v>
      </c>
      <c r="F136" s="455">
        <v>21.14</v>
      </c>
      <c r="G136" s="784">
        <v>44561</v>
      </c>
      <c r="H136" s="786">
        <v>44536</v>
      </c>
    </row>
    <row r="137" spans="1:8" x14ac:dyDescent="0.25">
      <c r="A137" s="610" t="s">
        <v>4118</v>
      </c>
      <c r="B137" s="30" t="s">
        <v>5548</v>
      </c>
      <c r="C137" s="30" t="s">
        <v>2270</v>
      </c>
      <c r="D137" s="30" t="s">
        <v>7046</v>
      </c>
      <c r="E137" s="30" t="s">
        <v>4810</v>
      </c>
      <c r="F137" s="454">
        <v>18.23</v>
      </c>
      <c r="G137" s="784">
        <v>44561</v>
      </c>
      <c r="H137" s="786">
        <v>44536</v>
      </c>
    </row>
    <row r="138" spans="1:8" x14ac:dyDescent="0.25">
      <c r="A138" s="610" t="s">
        <v>4119</v>
      </c>
      <c r="B138" s="30" t="s">
        <v>5548</v>
      </c>
      <c r="C138" s="30" t="s">
        <v>2270</v>
      </c>
      <c r="D138" s="30" t="s">
        <v>7047</v>
      </c>
      <c r="E138" s="30" t="s">
        <v>4331</v>
      </c>
      <c r="F138" s="454">
        <v>21.23</v>
      </c>
      <c r="G138" s="784">
        <v>44561</v>
      </c>
      <c r="H138" s="786">
        <v>44536</v>
      </c>
    </row>
    <row r="139" spans="1:8" x14ac:dyDescent="0.25">
      <c r="A139" s="610" t="s">
        <v>4120</v>
      </c>
      <c r="B139" s="30" t="s">
        <v>5548</v>
      </c>
      <c r="C139" s="30" t="s">
        <v>2270</v>
      </c>
      <c r="D139" s="30" t="s">
        <v>7048</v>
      </c>
      <c r="E139" s="30" t="s">
        <v>674</v>
      </c>
      <c r="F139" s="454">
        <v>21.23</v>
      </c>
      <c r="G139" s="784">
        <v>44561</v>
      </c>
      <c r="H139" s="786">
        <v>44536</v>
      </c>
    </row>
    <row r="140" spans="1:8" x14ac:dyDescent="0.25">
      <c r="A140" s="610" t="s">
        <v>3513</v>
      </c>
      <c r="B140" s="30" t="s">
        <v>5548</v>
      </c>
      <c r="C140" s="30" t="s">
        <v>2270</v>
      </c>
      <c r="D140" s="30" t="s">
        <v>7049</v>
      </c>
      <c r="E140" s="30" t="s">
        <v>3567</v>
      </c>
      <c r="F140" s="454">
        <v>21.200000000000003</v>
      </c>
      <c r="G140" s="784">
        <v>44561</v>
      </c>
      <c r="H140" s="786">
        <v>44536</v>
      </c>
    </row>
    <row r="141" spans="1:8" x14ac:dyDescent="0.25">
      <c r="A141" s="610" t="s">
        <v>5174</v>
      </c>
      <c r="B141" s="30" t="s">
        <v>5548</v>
      </c>
      <c r="C141" s="30" t="s">
        <v>2270</v>
      </c>
      <c r="D141" s="30" t="s">
        <v>7050</v>
      </c>
      <c r="E141" s="30" t="s">
        <v>3055</v>
      </c>
      <c r="F141" s="454">
        <v>21.17</v>
      </c>
      <c r="G141" s="784">
        <v>44561</v>
      </c>
      <c r="H141" s="786">
        <v>44536</v>
      </c>
    </row>
    <row r="142" spans="1:8" x14ac:dyDescent="0.25">
      <c r="A142" s="625" t="s">
        <v>4199</v>
      </c>
      <c r="B142" s="219" t="s">
        <v>5548</v>
      </c>
      <c r="C142" s="219" t="s">
        <v>2270</v>
      </c>
      <c r="D142" s="219" t="s">
        <v>7051</v>
      </c>
      <c r="E142" s="219" t="s">
        <v>1980</v>
      </c>
      <c r="F142" s="455">
        <v>21.14</v>
      </c>
      <c r="G142" s="784">
        <v>44561</v>
      </c>
      <c r="H142" s="786">
        <v>44536</v>
      </c>
    </row>
    <row r="143" spans="1:8" x14ac:dyDescent="0.25">
      <c r="A143" s="610" t="s">
        <v>4121</v>
      </c>
      <c r="B143" s="30" t="s">
        <v>5548</v>
      </c>
      <c r="C143" s="30" t="s">
        <v>2270</v>
      </c>
      <c r="D143" s="30" t="s">
        <v>7052</v>
      </c>
      <c r="E143" s="30" t="s">
        <v>4810</v>
      </c>
      <c r="F143" s="454">
        <v>19.23</v>
      </c>
      <c r="G143" s="784">
        <v>44561</v>
      </c>
      <c r="H143" s="786">
        <v>44536</v>
      </c>
    </row>
    <row r="144" spans="1:8" x14ac:dyDescent="0.25">
      <c r="A144" s="610" t="s">
        <v>2178</v>
      </c>
      <c r="B144" s="30" t="s">
        <v>5548</v>
      </c>
      <c r="C144" s="30" t="s">
        <v>2270</v>
      </c>
      <c r="D144" s="109" t="s">
        <v>7053</v>
      </c>
      <c r="E144" s="30" t="s">
        <v>4331</v>
      </c>
      <c r="F144" s="454">
        <v>22.23</v>
      </c>
      <c r="G144" s="784">
        <v>44561</v>
      </c>
      <c r="H144" s="786">
        <v>44536</v>
      </c>
    </row>
    <row r="145" spans="1:8" x14ac:dyDescent="0.25">
      <c r="A145" s="610" t="s">
        <v>2179</v>
      </c>
      <c r="B145" s="30" t="s">
        <v>5548</v>
      </c>
      <c r="C145" s="30" t="s">
        <v>2270</v>
      </c>
      <c r="D145" s="30" t="s">
        <v>7054</v>
      </c>
      <c r="E145" s="30" t="s">
        <v>674</v>
      </c>
      <c r="F145" s="454">
        <v>22.23</v>
      </c>
      <c r="G145" s="784">
        <v>44561</v>
      </c>
      <c r="H145" s="786">
        <v>44536</v>
      </c>
    </row>
    <row r="146" spans="1:8" x14ac:dyDescent="0.25">
      <c r="A146" s="610" t="s">
        <v>4705</v>
      </c>
      <c r="B146" s="30" t="s">
        <v>5548</v>
      </c>
      <c r="C146" s="30" t="s">
        <v>2270</v>
      </c>
      <c r="D146" s="30" t="s">
        <v>7055</v>
      </c>
      <c r="E146" s="30" t="s">
        <v>3567</v>
      </c>
      <c r="F146" s="454">
        <v>22.200000000000003</v>
      </c>
      <c r="G146" s="784">
        <v>44561</v>
      </c>
      <c r="H146" s="786">
        <v>44536</v>
      </c>
    </row>
    <row r="147" spans="1:8" x14ac:dyDescent="0.25">
      <c r="A147" s="610" t="s">
        <v>5175</v>
      </c>
      <c r="B147" s="30" t="s">
        <v>5548</v>
      </c>
      <c r="C147" s="30" t="s">
        <v>2270</v>
      </c>
      <c r="D147" s="30" t="s">
        <v>7056</v>
      </c>
      <c r="E147" s="30" t="s">
        <v>3055</v>
      </c>
      <c r="F147" s="454">
        <v>22.17</v>
      </c>
      <c r="G147" s="784">
        <v>44561</v>
      </c>
      <c r="H147" s="786">
        <v>44536</v>
      </c>
    </row>
    <row r="148" spans="1:8" x14ac:dyDescent="0.25">
      <c r="A148" s="625" t="s">
        <v>4200</v>
      </c>
      <c r="B148" s="219" t="s">
        <v>5548</v>
      </c>
      <c r="C148" s="219" t="s">
        <v>2270</v>
      </c>
      <c r="D148" s="219" t="s">
        <v>7057</v>
      </c>
      <c r="E148" s="219" t="s">
        <v>1980</v>
      </c>
      <c r="F148" s="455">
        <v>22.14</v>
      </c>
      <c r="G148" s="784">
        <v>44561</v>
      </c>
      <c r="H148" s="786">
        <v>44536</v>
      </c>
    </row>
    <row r="149" spans="1:8" x14ac:dyDescent="0.25">
      <c r="A149" s="610" t="s">
        <v>2180</v>
      </c>
      <c r="B149" s="30" t="s">
        <v>5548</v>
      </c>
      <c r="C149" s="30" t="s">
        <v>2270</v>
      </c>
      <c r="D149" s="30" t="s">
        <v>7058</v>
      </c>
      <c r="E149" s="30" t="s">
        <v>4810</v>
      </c>
      <c r="F149" s="454">
        <v>19.23</v>
      </c>
      <c r="G149" s="784">
        <v>44561</v>
      </c>
      <c r="H149" s="786">
        <v>44536</v>
      </c>
    </row>
    <row r="150" spans="1:8" x14ac:dyDescent="0.25">
      <c r="A150" s="610" t="s">
        <v>2181</v>
      </c>
      <c r="B150" s="30" t="s">
        <v>5548</v>
      </c>
      <c r="C150" s="30" t="s">
        <v>2270</v>
      </c>
      <c r="D150" s="30" t="s">
        <v>7059</v>
      </c>
      <c r="E150" s="30" t="s">
        <v>4331</v>
      </c>
      <c r="F150" s="454">
        <v>22.23</v>
      </c>
      <c r="G150" s="784">
        <v>44561</v>
      </c>
      <c r="H150" s="786">
        <v>44536</v>
      </c>
    </row>
    <row r="151" spans="1:8" x14ac:dyDescent="0.25">
      <c r="A151" s="610" t="s">
        <v>2182</v>
      </c>
      <c r="B151" s="30" t="s">
        <v>5548</v>
      </c>
      <c r="C151" s="30" t="s">
        <v>2270</v>
      </c>
      <c r="D151" s="30" t="s">
        <v>7060</v>
      </c>
      <c r="E151" s="30" t="s">
        <v>674</v>
      </c>
      <c r="F151" s="454">
        <v>22.23</v>
      </c>
      <c r="G151" s="784">
        <v>44561</v>
      </c>
      <c r="H151" s="786">
        <v>44536</v>
      </c>
    </row>
    <row r="152" spans="1:8" x14ac:dyDescent="0.25">
      <c r="A152" s="610" t="s">
        <v>4706</v>
      </c>
      <c r="B152" s="30" t="s">
        <v>5548</v>
      </c>
      <c r="C152" s="30" t="s">
        <v>2270</v>
      </c>
      <c r="D152" s="30" t="s">
        <v>7061</v>
      </c>
      <c r="E152" s="30" t="s">
        <v>3567</v>
      </c>
      <c r="F152" s="454">
        <v>22.200000000000003</v>
      </c>
      <c r="G152" s="784">
        <v>44561</v>
      </c>
      <c r="H152" s="786">
        <v>44536</v>
      </c>
    </row>
    <row r="153" spans="1:8" x14ac:dyDescent="0.25">
      <c r="A153" s="610" t="s">
        <v>5176</v>
      </c>
      <c r="B153" s="30" t="s">
        <v>5548</v>
      </c>
      <c r="C153" s="30" t="s">
        <v>2270</v>
      </c>
      <c r="D153" s="30" t="s">
        <v>7062</v>
      </c>
      <c r="E153" s="30" t="s">
        <v>3055</v>
      </c>
      <c r="F153" s="454">
        <v>22.17</v>
      </c>
      <c r="G153" s="784">
        <v>44561</v>
      </c>
      <c r="H153" s="786">
        <v>44536</v>
      </c>
    </row>
    <row r="154" spans="1:8" x14ac:dyDescent="0.25">
      <c r="A154" s="625" t="s">
        <v>4201</v>
      </c>
      <c r="B154" s="219" t="s">
        <v>5548</v>
      </c>
      <c r="C154" s="219" t="s">
        <v>2270</v>
      </c>
      <c r="D154" s="219" t="s">
        <v>7063</v>
      </c>
      <c r="E154" s="219" t="s">
        <v>1980</v>
      </c>
      <c r="F154" s="455">
        <v>22.14</v>
      </c>
      <c r="G154" s="784">
        <v>44561</v>
      </c>
      <c r="H154" s="786">
        <v>44536</v>
      </c>
    </row>
    <row r="155" spans="1:8" x14ac:dyDescent="0.25">
      <c r="A155" s="610" t="s">
        <v>2183</v>
      </c>
      <c r="B155" s="30" t="s">
        <v>5548</v>
      </c>
      <c r="C155" s="30" t="s">
        <v>2270</v>
      </c>
      <c r="D155" s="30" t="s">
        <v>7064</v>
      </c>
      <c r="E155" s="30" t="s">
        <v>4810</v>
      </c>
      <c r="F155" s="454">
        <v>20.23</v>
      </c>
      <c r="G155" s="784">
        <v>44561</v>
      </c>
      <c r="H155" s="786">
        <v>44536</v>
      </c>
    </row>
    <row r="156" spans="1:8" x14ac:dyDescent="0.25">
      <c r="A156" s="610" t="s">
        <v>2184</v>
      </c>
      <c r="B156" s="30" t="s">
        <v>5548</v>
      </c>
      <c r="C156" s="30" t="s">
        <v>2270</v>
      </c>
      <c r="D156" s="109" t="s">
        <v>7065</v>
      </c>
      <c r="E156" s="30" t="s">
        <v>4331</v>
      </c>
      <c r="F156" s="454">
        <v>23.23</v>
      </c>
      <c r="G156" s="784">
        <v>44561</v>
      </c>
      <c r="H156" s="786">
        <v>44536</v>
      </c>
    </row>
    <row r="157" spans="1:8" x14ac:dyDescent="0.25">
      <c r="A157" s="610" t="s">
        <v>2185</v>
      </c>
      <c r="B157" s="30" t="s">
        <v>5548</v>
      </c>
      <c r="C157" s="30" t="s">
        <v>2270</v>
      </c>
      <c r="D157" s="30" t="s">
        <v>7066</v>
      </c>
      <c r="E157" s="30" t="s">
        <v>674</v>
      </c>
      <c r="F157" s="454">
        <v>23.23</v>
      </c>
      <c r="G157" s="784">
        <v>44561</v>
      </c>
      <c r="H157" s="786">
        <v>44536</v>
      </c>
    </row>
    <row r="158" spans="1:8" x14ac:dyDescent="0.25">
      <c r="A158" s="610" t="s">
        <v>4707</v>
      </c>
      <c r="B158" s="30" t="s">
        <v>5548</v>
      </c>
      <c r="C158" s="30" t="s">
        <v>2270</v>
      </c>
      <c r="D158" s="30" t="s">
        <v>7067</v>
      </c>
      <c r="E158" s="30" t="s">
        <v>3567</v>
      </c>
      <c r="F158" s="454">
        <v>23.200000000000003</v>
      </c>
      <c r="G158" s="784">
        <v>44561</v>
      </c>
      <c r="H158" s="786">
        <v>44536</v>
      </c>
    </row>
    <row r="159" spans="1:8" x14ac:dyDescent="0.25">
      <c r="A159" s="610" t="s">
        <v>5177</v>
      </c>
      <c r="B159" s="30" t="s">
        <v>5548</v>
      </c>
      <c r="C159" s="30" t="s">
        <v>2270</v>
      </c>
      <c r="D159" s="30" t="s">
        <v>7068</v>
      </c>
      <c r="E159" s="30" t="s">
        <v>3055</v>
      </c>
      <c r="F159" s="454">
        <v>23.17</v>
      </c>
      <c r="G159" s="784">
        <v>44561</v>
      </c>
      <c r="H159" s="786">
        <v>44536</v>
      </c>
    </row>
    <row r="160" spans="1:8" x14ac:dyDescent="0.25">
      <c r="A160" s="625" t="s">
        <v>4202</v>
      </c>
      <c r="B160" s="219" t="s">
        <v>5548</v>
      </c>
      <c r="C160" s="219" t="s">
        <v>2270</v>
      </c>
      <c r="D160" s="219" t="s">
        <v>7069</v>
      </c>
      <c r="E160" s="219" t="s">
        <v>1980</v>
      </c>
      <c r="F160" s="455">
        <v>23.14</v>
      </c>
      <c r="G160" s="784">
        <v>44561</v>
      </c>
      <c r="H160" s="786">
        <v>44536</v>
      </c>
    </row>
    <row r="161" spans="1:8" x14ac:dyDescent="0.25">
      <c r="A161" s="610" t="s">
        <v>2186</v>
      </c>
      <c r="B161" s="30" t="s">
        <v>5548</v>
      </c>
      <c r="C161" s="30" t="s">
        <v>2270</v>
      </c>
      <c r="D161" s="30" t="s">
        <v>7070</v>
      </c>
      <c r="E161" s="30" t="s">
        <v>4810</v>
      </c>
      <c r="F161" s="454">
        <v>20.23</v>
      </c>
      <c r="G161" s="784">
        <v>44561</v>
      </c>
      <c r="H161" s="786">
        <v>44536</v>
      </c>
    </row>
    <row r="162" spans="1:8" x14ac:dyDescent="0.25">
      <c r="A162" s="610" t="s">
        <v>2187</v>
      </c>
      <c r="B162" s="30" t="s">
        <v>5548</v>
      </c>
      <c r="C162" s="30" t="s">
        <v>2270</v>
      </c>
      <c r="D162" s="30" t="s">
        <v>7071</v>
      </c>
      <c r="E162" s="30" t="s">
        <v>4331</v>
      </c>
      <c r="F162" s="454">
        <v>23.23</v>
      </c>
      <c r="G162" s="784">
        <v>44561</v>
      </c>
      <c r="H162" s="786">
        <v>44536</v>
      </c>
    </row>
    <row r="163" spans="1:8" x14ac:dyDescent="0.25">
      <c r="A163" s="610" t="s">
        <v>512</v>
      </c>
      <c r="B163" s="30" t="s">
        <v>5548</v>
      </c>
      <c r="C163" s="30" t="s">
        <v>2270</v>
      </c>
      <c r="D163" s="30" t="s">
        <v>7072</v>
      </c>
      <c r="E163" s="30" t="s">
        <v>674</v>
      </c>
      <c r="F163" s="454">
        <v>23.23</v>
      </c>
      <c r="G163" s="784">
        <v>44561</v>
      </c>
      <c r="H163" s="786">
        <v>44536</v>
      </c>
    </row>
    <row r="164" spans="1:8" x14ac:dyDescent="0.25">
      <c r="A164" s="610" t="s">
        <v>4708</v>
      </c>
      <c r="B164" s="30" t="s">
        <v>5548</v>
      </c>
      <c r="C164" s="30" t="s">
        <v>2270</v>
      </c>
      <c r="D164" s="30" t="s">
        <v>7073</v>
      </c>
      <c r="E164" s="30" t="s">
        <v>3567</v>
      </c>
      <c r="F164" s="454">
        <v>23.200000000000003</v>
      </c>
      <c r="G164" s="784">
        <v>44561</v>
      </c>
      <c r="H164" s="786">
        <v>44536</v>
      </c>
    </row>
    <row r="165" spans="1:8" x14ac:dyDescent="0.25">
      <c r="A165" s="610" t="s">
        <v>5178</v>
      </c>
      <c r="B165" s="30" t="s">
        <v>5548</v>
      </c>
      <c r="C165" s="30" t="s">
        <v>2270</v>
      </c>
      <c r="D165" s="30" t="s">
        <v>7074</v>
      </c>
      <c r="E165" s="30" t="s">
        <v>3055</v>
      </c>
      <c r="F165" s="454">
        <v>23.17</v>
      </c>
      <c r="G165" s="784">
        <v>44561</v>
      </c>
      <c r="H165" s="786">
        <v>44536</v>
      </c>
    </row>
    <row r="166" spans="1:8" x14ac:dyDescent="0.25">
      <c r="A166" s="625" t="s">
        <v>4203</v>
      </c>
      <c r="B166" s="219" t="s">
        <v>5548</v>
      </c>
      <c r="C166" s="219" t="s">
        <v>2270</v>
      </c>
      <c r="D166" s="219" t="s">
        <v>7075</v>
      </c>
      <c r="E166" s="219" t="s">
        <v>1980</v>
      </c>
      <c r="F166" s="455">
        <v>23.14</v>
      </c>
      <c r="G166" s="784">
        <v>44561</v>
      </c>
      <c r="H166" s="786">
        <v>44536</v>
      </c>
    </row>
    <row r="167" spans="1:8" x14ac:dyDescent="0.25">
      <c r="A167" s="610" t="s">
        <v>513</v>
      </c>
      <c r="B167" s="30" t="s">
        <v>5548</v>
      </c>
      <c r="C167" s="30" t="s">
        <v>2270</v>
      </c>
      <c r="D167" s="30" t="s">
        <v>7076</v>
      </c>
      <c r="E167" s="30" t="s">
        <v>4810</v>
      </c>
      <c r="F167" s="454">
        <v>21.23</v>
      </c>
      <c r="G167" s="784">
        <v>44561</v>
      </c>
      <c r="H167" s="786">
        <v>44536</v>
      </c>
    </row>
    <row r="168" spans="1:8" x14ac:dyDescent="0.25">
      <c r="A168" s="610" t="s">
        <v>514</v>
      </c>
      <c r="B168" s="30" t="s">
        <v>5548</v>
      </c>
      <c r="C168" s="30" t="s">
        <v>2270</v>
      </c>
      <c r="D168" s="109" t="s">
        <v>7077</v>
      </c>
      <c r="E168" s="30" t="s">
        <v>4331</v>
      </c>
      <c r="F168" s="454">
        <v>24.23</v>
      </c>
      <c r="G168" s="784">
        <v>44561</v>
      </c>
      <c r="H168" s="786">
        <v>44536</v>
      </c>
    </row>
    <row r="169" spans="1:8" x14ac:dyDescent="0.25">
      <c r="A169" s="610" t="s">
        <v>515</v>
      </c>
      <c r="B169" s="30" t="s">
        <v>5548</v>
      </c>
      <c r="C169" s="30" t="s">
        <v>2270</v>
      </c>
      <c r="D169" s="30" t="s">
        <v>7078</v>
      </c>
      <c r="E169" s="30" t="s">
        <v>674</v>
      </c>
      <c r="F169" s="454">
        <v>24.23</v>
      </c>
      <c r="G169" s="784">
        <v>44561</v>
      </c>
      <c r="H169" s="786">
        <v>44536</v>
      </c>
    </row>
    <row r="170" spans="1:8" x14ac:dyDescent="0.25">
      <c r="A170" s="610" t="s">
        <v>4709</v>
      </c>
      <c r="B170" s="30" t="s">
        <v>5548</v>
      </c>
      <c r="C170" s="30" t="s">
        <v>2270</v>
      </c>
      <c r="D170" s="30" t="s">
        <v>7079</v>
      </c>
      <c r="E170" s="30" t="s">
        <v>3567</v>
      </c>
      <c r="F170" s="454">
        <v>24.200000000000003</v>
      </c>
      <c r="G170" s="784">
        <v>44561</v>
      </c>
      <c r="H170" s="786">
        <v>44536</v>
      </c>
    </row>
    <row r="171" spans="1:8" x14ac:dyDescent="0.25">
      <c r="A171" s="610" t="s">
        <v>5179</v>
      </c>
      <c r="B171" s="30" t="s">
        <v>5548</v>
      </c>
      <c r="C171" s="30" t="s">
        <v>2270</v>
      </c>
      <c r="D171" s="30" t="s">
        <v>7080</v>
      </c>
      <c r="E171" s="30" t="s">
        <v>3055</v>
      </c>
      <c r="F171" s="454">
        <v>24.17</v>
      </c>
      <c r="G171" s="784">
        <v>44561</v>
      </c>
      <c r="H171" s="786">
        <v>44536</v>
      </c>
    </row>
    <row r="172" spans="1:8" x14ac:dyDescent="0.25">
      <c r="A172" s="625" t="s">
        <v>4204</v>
      </c>
      <c r="B172" s="219" t="s">
        <v>5548</v>
      </c>
      <c r="C172" s="219" t="s">
        <v>2270</v>
      </c>
      <c r="D172" s="219" t="s">
        <v>7081</v>
      </c>
      <c r="E172" s="219" t="s">
        <v>1980</v>
      </c>
      <c r="F172" s="455">
        <v>24.14</v>
      </c>
      <c r="G172" s="784">
        <v>44561</v>
      </c>
      <c r="H172" s="786">
        <v>44536</v>
      </c>
    </row>
    <row r="173" spans="1:8" x14ac:dyDescent="0.25">
      <c r="A173" s="609" t="s">
        <v>5550</v>
      </c>
      <c r="B173" s="1" t="s">
        <v>5548</v>
      </c>
      <c r="C173" s="1" t="s">
        <v>2270</v>
      </c>
      <c r="D173" s="1" t="s">
        <v>5408</v>
      </c>
      <c r="E173" s="192" t="s">
        <v>4810</v>
      </c>
      <c r="F173" s="457">
        <v>9.2100000000000009</v>
      </c>
      <c r="G173" s="784">
        <v>44561</v>
      </c>
      <c r="H173" s="786">
        <v>44536</v>
      </c>
    </row>
    <row r="174" spans="1:8" x14ac:dyDescent="0.25">
      <c r="A174" s="610" t="s">
        <v>2621</v>
      </c>
      <c r="B174" s="30" t="s">
        <v>5548</v>
      </c>
      <c r="C174" s="30" t="s">
        <v>2270</v>
      </c>
      <c r="D174" s="30" t="s">
        <v>6754</v>
      </c>
      <c r="E174" s="17" t="s">
        <v>674</v>
      </c>
      <c r="F174" s="454">
        <v>12.21</v>
      </c>
      <c r="G174" s="784">
        <v>44561</v>
      </c>
      <c r="H174" s="786">
        <v>44536</v>
      </c>
    </row>
    <row r="175" spans="1:8" x14ac:dyDescent="0.25">
      <c r="A175" s="610" t="s">
        <v>3214</v>
      </c>
      <c r="B175" s="30" t="s">
        <v>5548</v>
      </c>
      <c r="C175" s="30" t="s">
        <v>2270</v>
      </c>
      <c r="D175" s="30" t="s">
        <v>6755</v>
      </c>
      <c r="E175" s="30" t="s">
        <v>3567</v>
      </c>
      <c r="F175" s="454">
        <v>12.180000000000001</v>
      </c>
      <c r="G175" s="784">
        <v>44561</v>
      </c>
      <c r="H175" s="786">
        <v>44536</v>
      </c>
    </row>
    <row r="176" spans="1:8" x14ac:dyDescent="0.25">
      <c r="A176" s="610" t="s">
        <v>5180</v>
      </c>
      <c r="B176" s="30" t="s">
        <v>5548</v>
      </c>
      <c r="C176" s="30" t="s">
        <v>2270</v>
      </c>
      <c r="D176" s="30" t="s">
        <v>6756</v>
      </c>
      <c r="E176" s="30" t="s">
        <v>3055</v>
      </c>
      <c r="F176" s="454">
        <v>12.15</v>
      </c>
      <c r="G176" s="784">
        <v>44561</v>
      </c>
      <c r="H176" s="786">
        <v>44536</v>
      </c>
    </row>
    <row r="177" spans="1:8" x14ac:dyDescent="0.25">
      <c r="A177" s="625" t="s">
        <v>4205</v>
      </c>
      <c r="B177" s="219" t="s">
        <v>5548</v>
      </c>
      <c r="C177" s="219" t="s">
        <v>2270</v>
      </c>
      <c r="D177" s="219" t="s">
        <v>6757</v>
      </c>
      <c r="E177" s="219" t="s">
        <v>1980</v>
      </c>
      <c r="F177" s="455">
        <v>12.120000000000001</v>
      </c>
      <c r="G177" s="784">
        <v>44561</v>
      </c>
      <c r="H177" s="786">
        <v>44536</v>
      </c>
    </row>
    <row r="178" spans="1:8" x14ac:dyDescent="0.25">
      <c r="A178" s="628" t="s">
        <v>4793</v>
      </c>
      <c r="B178" s="1" t="s">
        <v>5548</v>
      </c>
      <c r="C178" s="1" t="s">
        <v>2270</v>
      </c>
      <c r="D178" s="1" t="s">
        <v>598</v>
      </c>
      <c r="E178" s="192" t="s">
        <v>4810</v>
      </c>
      <c r="F178" s="457">
        <v>13.21</v>
      </c>
      <c r="G178" s="784">
        <v>44561</v>
      </c>
      <c r="H178" s="786">
        <v>44536</v>
      </c>
    </row>
    <row r="179" spans="1:8" x14ac:dyDescent="0.25">
      <c r="A179" s="612" t="s">
        <v>2622</v>
      </c>
      <c r="B179" s="30" t="s">
        <v>5548</v>
      </c>
      <c r="C179" s="30" t="s">
        <v>2270</v>
      </c>
      <c r="D179" s="30" t="s">
        <v>6758</v>
      </c>
      <c r="E179" s="17" t="s">
        <v>674</v>
      </c>
      <c r="F179" s="454">
        <v>16.21</v>
      </c>
      <c r="G179" s="784">
        <v>44561</v>
      </c>
      <c r="H179" s="786">
        <v>44536</v>
      </c>
    </row>
    <row r="180" spans="1:8" x14ac:dyDescent="0.25">
      <c r="A180" s="612" t="s">
        <v>3215</v>
      </c>
      <c r="B180" s="30" t="s">
        <v>5548</v>
      </c>
      <c r="C180" s="30" t="s">
        <v>2270</v>
      </c>
      <c r="D180" s="30" t="s">
        <v>6759</v>
      </c>
      <c r="E180" s="30" t="s">
        <v>3567</v>
      </c>
      <c r="F180" s="454">
        <v>16.18</v>
      </c>
      <c r="G180" s="784">
        <v>44561</v>
      </c>
      <c r="H180" s="786">
        <v>44536</v>
      </c>
    </row>
    <row r="181" spans="1:8" x14ac:dyDescent="0.25">
      <c r="A181" s="612" t="s">
        <v>5181</v>
      </c>
      <c r="B181" s="30" t="s">
        <v>5548</v>
      </c>
      <c r="C181" s="30" t="s">
        <v>2270</v>
      </c>
      <c r="D181" s="30" t="s">
        <v>6760</v>
      </c>
      <c r="E181" s="30" t="s">
        <v>3055</v>
      </c>
      <c r="F181" s="454">
        <v>16.149999999999999</v>
      </c>
      <c r="G181" s="784">
        <v>44561</v>
      </c>
      <c r="H181" s="786">
        <v>44536</v>
      </c>
    </row>
    <row r="182" spans="1:8" x14ac:dyDescent="0.25">
      <c r="A182" s="626" t="s">
        <v>4206</v>
      </c>
      <c r="B182" s="219" t="s">
        <v>5548</v>
      </c>
      <c r="C182" s="219" t="s">
        <v>2270</v>
      </c>
      <c r="D182" s="219" t="s">
        <v>6761</v>
      </c>
      <c r="E182" s="219" t="s">
        <v>1980</v>
      </c>
      <c r="F182" s="455">
        <v>16.12</v>
      </c>
      <c r="G182" s="784">
        <v>44561</v>
      </c>
      <c r="H182" s="786">
        <v>44536</v>
      </c>
    </row>
    <row r="183" spans="1:8" x14ac:dyDescent="0.25">
      <c r="A183" s="628" t="s">
        <v>4794</v>
      </c>
      <c r="B183" s="1" t="s">
        <v>5548</v>
      </c>
      <c r="C183" s="1" t="s">
        <v>2270</v>
      </c>
      <c r="D183" s="1" t="s">
        <v>6762</v>
      </c>
      <c r="E183" s="192" t="s">
        <v>4810</v>
      </c>
      <c r="F183" s="457">
        <v>11.71</v>
      </c>
      <c r="G183" s="784">
        <v>44561</v>
      </c>
      <c r="H183" s="786">
        <v>44536</v>
      </c>
    </row>
    <row r="184" spans="1:8" x14ac:dyDescent="0.25">
      <c r="A184" s="612" t="s">
        <v>5519</v>
      </c>
      <c r="B184" s="30" t="s">
        <v>5548</v>
      </c>
      <c r="C184" s="30" t="s">
        <v>2270</v>
      </c>
      <c r="D184" s="30" t="s">
        <v>6763</v>
      </c>
      <c r="E184" s="17" t="s">
        <v>674</v>
      </c>
      <c r="F184" s="454">
        <v>14.71</v>
      </c>
      <c r="G184" s="784">
        <v>44561</v>
      </c>
      <c r="H184" s="786">
        <v>44536</v>
      </c>
    </row>
    <row r="185" spans="1:8" x14ac:dyDescent="0.25">
      <c r="A185" s="612" t="s">
        <v>3216</v>
      </c>
      <c r="B185" s="30" t="s">
        <v>5548</v>
      </c>
      <c r="C185" s="30" t="s">
        <v>2270</v>
      </c>
      <c r="D185" s="30" t="s">
        <v>6764</v>
      </c>
      <c r="E185" s="30" t="s">
        <v>3567</v>
      </c>
      <c r="F185" s="454">
        <v>14.680000000000001</v>
      </c>
      <c r="G185" s="784">
        <v>44561</v>
      </c>
      <c r="H185" s="786">
        <v>44536</v>
      </c>
    </row>
    <row r="186" spans="1:8" x14ac:dyDescent="0.25">
      <c r="A186" s="612" t="s">
        <v>5182</v>
      </c>
      <c r="B186" s="30" t="s">
        <v>5548</v>
      </c>
      <c r="C186" s="30" t="s">
        <v>2270</v>
      </c>
      <c r="D186" s="30" t="s">
        <v>6765</v>
      </c>
      <c r="E186" s="30" t="s">
        <v>3055</v>
      </c>
      <c r="F186" s="454">
        <v>14.65</v>
      </c>
      <c r="G186" s="784">
        <v>44561</v>
      </c>
      <c r="H186" s="786">
        <v>44536</v>
      </c>
    </row>
    <row r="187" spans="1:8" x14ac:dyDescent="0.25">
      <c r="A187" s="626" t="s">
        <v>4207</v>
      </c>
      <c r="B187" s="219" t="s">
        <v>5548</v>
      </c>
      <c r="C187" s="219" t="s">
        <v>2270</v>
      </c>
      <c r="D187" s="219" t="s">
        <v>6766</v>
      </c>
      <c r="E187" s="219" t="s">
        <v>1980</v>
      </c>
      <c r="F187" s="455">
        <v>14.620000000000001</v>
      </c>
      <c r="G187" s="784">
        <v>44561</v>
      </c>
      <c r="H187" s="786">
        <v>44536</v>
      </c>
    </row>
    <row r="188" spans="1:8" x14ac:dyDescent="0.25">
      <c r="A188" s="628" t="s">
        <v>4795</v>
      </c>
      <c r="B188" s="1" t="s">
        <v>5548</v>
      </c>
      <c r="C188" s="1" t="s">
        <v>2270</v>
      </c>
      <c r="D188" s="1" t="s">
        <v>7362</v>
      </c>
      <c r="E188" s="192" t="s">
        <v>4810</v>
      </c>
      <c r="F188" s="456">
        <v>8.6999999999999993</v>
      </c>
      <c r="G188" s="784">
        <v>44561</v>
      </c>
      <c r="H188" s="786">
        <v>44536</v>
      </c>
    </row>
    <row r="189" spans="1:8" x14ac:dyDescent="0.25">
      <c r="A189" s="610" t="s">
        <v>3663</v>
      </c>
      <c r="B189" s="30" t="s">
        <v>5548</v>
      </c>
      <c r="C189" s="30" t="s">
        <v>2270</v>
      </c>
      <c r="D189" s="30" t="s">
        <v>7363</v>
      </c>
      <c r="E189" s="17" t="s">
        <v>674</v>
      </c>
      <c r="F189" s="454">
        <v>11.7</v>
      </c>
      <c r="G189" s="784">
        <v>44561</v>
      </c>
      <c r="H189" s="786">
        <v>44536</v>
      </c>
    </row>
    <row r="190" spans="1:8" x14ac:dyDescent="0.25">
      <c r="A190" s="610" t="s">
        <v>3217</v>
      </c>
      <c r="B190" s="30" t="s">
        <v>5548</v>
      </c>
      <c r="C190" s="30" t="s">
        <v>2270</v>
      </c>
      <c r="D190" s="30" t="s">
        <v>7364</v>
      </c>
      <c r="E190" s="30" t="s">
        <v>3567</v>
      </c>
      <c r="F190" s="454">
        <v>11.67</v>
      </c>
      <c r="G190" s="784">
        <v>44561</v>
      </c>
      <c r="H190" s="786">
        <v>44536</v>
      </c>
    </row>
    <row r="191" spans="1:8" x14ac:dyDescent="0.25">
      <c r="A191" s="610" t="s">
        <v>5183</v>
      </c>
      <c r="B191" s="30" t="s">
        <v>5548</v>
      </c>
      <c r="C191" s="30" t="s">
        <v>2270</v>
      </c>
      <c r="D191" s="30" t="s">
        <v>7365</v>
      </c>
      <c r="E191" s="30" t="s">
        <v>3055</v>
      </c>
      <c r="F191" s="454">
        <v>11.639999999999999</v>
      </c>
      <c r="G191" s="784">
        <v>44561</v>
      </c>
      <c r="H191" s="786">
        <v>44536</v>
      </c>
    </row>
    <row r="192" spans="1:8" x14ac:dyDescent="0.25">
      <c r="A192" s="625" t="s">
        <v>4208</v>
      </c>
      <c r="B192" s="219" t="s">
        <v>5548</v>
      </c>
      <c r="C192" s="219" t="s">
        <v>2270</v>
      </c>
      <c r="D192" s="219" t="s">
        <v>7366</v>
      </c>
      <c r="E192" s="219" t="s">
        <v>1980</v>
      </c>
      <c r="F192" s="455">
        <v>11.61</v>
      </c>
      <c r="G192" s="784">
        <v>44561</v>
      </c>
      <c r="H192" s="786">
        <v>44536</v>
      </c>
    </row>
    <row r="193" spans="1:8" x14ac:dyDescent="0.25">
      <c r="A193" s="612" t="s">
        <v>677</v>
      </c>
      <c r="B193" s="21" t="s">
        <v>5548</v>
      </c>
      <c r="C193" s="17" t="s">
        <v>2270</v>
      </c>
      <c r="D193" s="30" t="s">
        <v>7382</v>
      </c>
      <c r="E193" s="194" t="s">
        <v>4180</v>
      </c>
      <c r="F193" s="454">
        <v>7</v>
      </c>
      <c r="G193" s="784">
        <v>44561</v>
      </c>
      <c r="H193" s="786">
        <v>44536</v>
      </c>
    </row>
    <row r="194" spans="1:8" x14ac:dyDescent="0.25">
      <c r="A194" s="610" t="s">
        <v>2662</v>
      </c>
      <c r="B194" s="30" t="s">
        <v>5548</v>
      </c>
      <c r="C194" s="30" t="s">
        <v>2270</v>
      </c>
      <c r="D194" s="30" t="s">
        <v>7383</v>
      </c>
      <c r="E194" s="17" t="s">
        <v>674</v>
      </c>
      <c r="F194" s="454">
        <v>10</v>
      </c>
      <c r="G194" s="784">
        <v>44561</v>
      </c>
      <c r="H194" s="786">
        <v>44536</v>
      </c>
    </row>
    <row r="195" spans="1:8" x14ac:dyDescent="0.25">
      <c r="A195" s="610" t="s">
        <v>3218</v>
      </c>
      <c r="B195" s="30" t="s">
        <v>5548</v>
      </c>
      <c r="C195" s="30" t="s">
        <v>2270</v>
      </c>
      <c r="D195" s="30" t="s">
        <v>7384</v>
      </c>
      <c r="E195" s="30" t="s">
        <v>3567</v>
      </c>
      <c r="F195" s="454">
        <v>9.9700000000000006</v>
      </c>
      <c r="G195" s="784">
        <v>44561</v>
      </c>
      <c r="H195" s="786">
        <v>44536</v>
      </c>
    </row>
    <row r="196" spans="1:8" x14ac:dyDescent="0.25">
      <c r="A196" s="610" t="s">
        <v>5184</v>
      </c>
      <c r="B196" s="30" t="s">
        <v>5548</v>
      </c>
      <c r="C196" s="30" t="s">
        <v>2270</v>
      </c>
      <c r="D196" s="30" t="s">
        <v>7385</v>
      </c>
      <c r="E196" s="30" t="s">
        <v>3055</v>
      </c>
      <c r="F196" s="454">
        <v>9.94</v>
      </c>
      <c r="G196" s="784">
        <v>44561</v>
      </c>
      <c r="H196" s="786">
        <v>44536</v>
      </c>
    </row>
    <row r="197" spans="1:8" x14ac:dyDescent="0.25">
      <c r="A197" s="625" t="s">
        <v>4209</v>
      </c>
      <c r="B197" s="219" t="s">
        <v>5548</v>
      </c>
      <c r="C197" s="219" t="s">
        <v>2270</v>
      </c>
      <c r="D197" s="219" t="s">
        <v>7386</v>
      </c>
      <c r="E197" s="219" t="s">
        <v>1980</v>
      </c>
      <c r="F197" s="455">
        <v>9.91</v>
      </c>
      <c r="G197" s="784">
        <v>44561</v>
      </c>
      <c r="H197" s="786">
        <v>44536</v>
      </c>
    </row>
    <row r="198" spans="1:8" x14ac:dyDescent="0.25">
      <c r="A198" s="609" t="s">
        <v>4180</v>
      </c>
      <c r="B198" s="1"/>
      <c r="C198" s="1"/>
      <c r="D198" s="1" t="s">
        <v>4180</v>
      </c>
      <c r="E198" s="1" t="s">
        <v>4180</v>
      </c>
      <c r="F198" s="457"/>
    </row>
    <row r="199" spans="1:8" x14ac:dyDescent="0.25">
      <c r="A199" s="615" t="s">
        <v>2826</v>
      </c>
      <c r="B199" s="375" t="s">
        <v>5548</v>
      </c>
      <c r="C199" s="375" t="s">
        <v>2270</v>
      </c>
      <c r="D199" s="375" t="s">
        <v>7010</v>
      </c>
      <c r="E199" s="375" t="s">
        <v>2827</v>
      </c>
      <c r="F199" s="458">
        <v>14.55</v>
      </c>
      <c r="G199" s="784">
        <v>44561</v>
      </c>
      <c r="H199" s="786">
        <v>44536</v>
      </c>
    </row>
    <row r="200" spans="1:8" x14ac:dyDescent="0.25">
      <c r="A200" s="615" t="s">
        <v>338</v>
      </c>
      <c r="B200" s="375" t="s">
        <v>5548</v>
      </c>
      <c r="C200" s="375" t="s">
        <v>2270</v>
      </c>
      <c r="D200" s="375" t="s">
        <v>7354</v>
      </c>
      <c r="E200" s="375" t="s">
        <v>2827</v>
      </c>
      <c r="F200" s="458">
        <v>15.55</v>
      </c>
      <c r="G200" s="784">
        <v>44561</v>
      </c>
      <c r="H200" s="786">
        <v>44536</v>
      </c>
    </row>
    <row r="201" spans="1:8" x14ac:dyDescent="0.25">
      <c r="A201" s="615" t="s">
        <v>2328</v>
      </c>
      <c r="B201" s="375" t="s">
        <v>5548</v>
      </c>
      <c r="C201" s="375" t="s">
        <v>2270</v>
      </c>
      <c r="D201" s="375" t="s">
        <v>7355</v>
      </c>
      <c r="E201" s="375" t="s">
        <v>2827</v>
      </c>
      <c r="F201" s="458">
        <v>20.55</v>
      </c>
      <c r="G201" s="784">
        <v>44561</v>
      </c>
      <c r="H201" s="786">
        <v>44536</v>
      </c>
    </row>
    <row r="202" spans="1:8" x14ac:dyDescent="0.25">
      <c r="A202" s="615" t="s">
        <v>2591</v>
      </c>
      <c r="B202" s="375" t="s">
        <v>5548</v>
      </c>
      <c r="C202" s="375" t="s">
        <v>2270</v>
      </c>
      <c r="D202" s="375" t="s">
        <v>6858</v>
      </c>
      <c r="E202" s="375" t="s">
        <v>2827</v>
      </c>
      <c r="F202" s="459">
        <v>25.55</v>
      </c>
      <c r="G202" s="784">
        <v>44561</v>
      </c>
      <c r="H202" s="786">
        <v>44536</v>
      </c>
    </row>
    <row r="203" spans="1:8" x14ac:dyDescent="0.25">
      <c r="A203" s="615" t="s">
        <v>2589</v>
      </c>
      <c r="B203" s="375" t="s">
        <v>5548</v>
      </c>
      <c r="C203" s="375" t="s">
        <v>2270</v>
      </c>
      <c r="D203" s="375" t="s">
        <v>6859</v>
      </c>
      <c r="E203" s="375" t="s">
        <v>2827</v>
      </c>
      <c r="F203" s="459">
        <v>26.55</v>
      </c>
      <c r="G203" s="784">
        <v>44561</v>
      </c>
      <c r="H203" s="786">
        <v>44536</v>
      </c>
    </row>
    <row r="204" spans="1:8" x14ac:dyDescent="0.25">
      <c r="A204" s="615" t="s">
        <v>663</v>
      </c>
      <c r="B204" s="375" t="s">
        <v>5548</v>
      </c>
      <c r="C204" s="375" t="s">
        <v>2270</v>
      </c>
      <c r="D204" s="375" t="s">
        <v>6860</v>
      </c>
      <c r="E204" s="375" t="s">
        <v>2827</v>
      </c>
      <c r="F204" s="458">
        <v>28.55</v>
      </c>
      <c r="G204" s="784">
        <v>44561</v>
      </c>
      <c r="H204" s="786">
        <v>44536</v>
      </c>
    </row>
    <row r="205" spans="1:8" x14ac:dyDescent="0.25">
      <c r="A205" s="615" t="s">
        <v>2829</v>
      </c>
      <c r="B205" s="375" t="s">
        <v>5548</v>
      </c>
      <c r="C205" s="375" t="s">
        <v>2270</v>
      </c>
      <c r="D205" s="375" t="s">
        <v>7229</v>
      </c>
      <c r="E205" s="375" t="s">
        <v>2827</v>
      </c>
      <c r="F205" s="458">
        <v>13.11</v>
      </c>
      <c r="G205" s="784">
        <v>44561</v>
      </c>
      <c r="H205" s="786">
        <v>44536</v>
      </c>
    </row>
    <row r="206" spans="1:8" x14ac:dyDescent="0.25">
      <c r="A206" s="615" t="s">
        <v>339</v>
      </c>
      <c r="B206" s="375" t="s">
        <v>5548</v>
      </c>
      <c r="C206" s="375" t="s">
        <v>2270</v>
      </c>
      <c r="D206" s="375" t="s">
        <v>7338</v>
      </c>
      <c r="E206" s="375" t="s">
        <v>2827</v>
      </c>
      <c r="F206" s="458">
        <v>14.11</v>
      </c>
      <c r="G206" s="784">
        <v>44561</v>
      </c>
      <c r="H206" s="786">
        <v>44536</v>
      </c>
    </row>
    <row r="207" spans="1:8" x14ac:dyDescent="0.25">
      <c r="A207" s="615" t="s">
        <v>2329</v>
      </c>
      <c r="B207" s="375" t="s">
        <v>5548</v>
      </c>
      <c r="C207" s="375" t="s">
        <v>2270</v>
      </c>
      <c r="D207" s="375" t="s">
        <v>7339</v>
      </c>
      <c r="E207" s="375" t="s">
        <v>2827</v>
      </c>
      <c r="F207" s="458">
        <v>19.11</v>
      </c>
      <c r="G207" s="784">
        <v>44561</v>
      </c>
      <c r="H207" s="786">
        <v>44536</v>
      </c>
    </row>
    <row r="208" spans="1:8" x14ac:dyDescent="0.25">
      <c r="A208" s="615" t="s">
        <v>2592</v>
      </c>
      <c r="B208" s="375" t="s">
        <v>5548</v>
      </c>
      <c r="C208" s="375" t="s">
        <v>2270</v>
      </c>
      <c r="D208" s="375" t="s">
        <v>7082</v>
      </c>
      <c r="E208" s="375" t="s">
        <v>2827</v>
      </c>
      <c r="F208" s="459">
        <v>21.11</v>
      </c>
      <c r="G208" s="784">
        <v>44561</v>
      </c>
      <c r="H208" s="786">
        <v>44536</v>
      </c>
    </row>
    <row r="209" spans="1:8" x14ac:dyDescent="0.25">
      <c r="A209" s="615" t="s">
        <v>2590</v>
      </c>
      <c r="B209" s="375" t="s">
        <v>5548</v>
      </c>
      <c r="C209" s="375" t="s">
        <v>2270</v>
      </c>
      <c r="D209" s="375" t="s">
        <v>7083</v>
      </c>
      <c r="E209" s="375" t="s">
        <v>2827</v>
      </c>
      <c r="F209" s="459">
        <v>22.11</v>
      </c>
      <c r="G209" s="784">
        <v>44561</v>
      </c>
      <c r="H209" s="786">
        <v>44536</v>
      </c>
    </row>
    <row r="210" spans="1:8" x14ac:dyDescent="0.25">
      <c r="A210" s="615" t="s">
        <v>664</v>
      </c>
      <c r="B210" s="375" t="s">
        <v>5548</v>
      </c>
      <c r="C210" s="375" t="s">
        <v>2270</v>
      </c>
      <c r="D210" s="375" t="s">
        <v>7084</v>
      </c>
      <c r="E210" s="375" t="s">
        <v>2827</v>
      </c>
      <c r="F210" s="458">
        <v>24.11</v>
      </c>
      <c r="G210" s="784">
        <v>44561</v>
      </c>
      <c r="H210" s="786">
        <v>44536</v>
      </c>
    </row>
    <row r="211" spans="1:8" x14ac:dyDescent="0.25">
      <c r="A211" s="615" t="s">
        <v>2830</v>
      </c>
      <c r="B211" s="375" t="s">
        <v>5548</v>
      </c>
      <c r="C211" s="375" t="s">
        <v>2270</v>
      </c>
      <c r="D211" s="375" t="s">
        <v>6767</v>
      </c>
      <c r="E211" s="375" t="s">
        <v>2827</v>
      </c>
      <c r="F211" s="458">
        <v>12.09</v>
      </c>
      <c r="G211" s="784">
        <v>44561</v>
      </c>
      <c r="H211" s="786">
        <v>44536</v>
      </c>
    </row>
    <row r="212" spans="1:8" x14ac:dyDescent="0.25">
      <c r="A212" s="615" t="s">
        <v>2330</v>
      </c>
      <c r="B212" s="375" t="s">
        <v>5548</v>
      </c>
      <c r="C212" s="375" t="s">
        <v>2270</v>
      </c>
      <c r="D212" s="375" t="s">
        <v>6768</v>
      </c>
      <c r="E212" s="375" t="s">
        <v>2827</v>
      </c>
      <c r="F212" s="458">
        <v>16.09</v>
      </c>
      <c r="G212" s="784">
        <v>44561</v>
      </c>
      <c r="H212" s="786">
        <v>44536</v>
      </c>
    </row>
    <row r="213" spans="1:8" x14ac:dyDescent="0.25">
      <c r="A213" s="416" t="s">
        <v>340</v>
      </c>
      <c r="B213" s="375" t="s">
        <v>5548</v>
      </c>
      <c r="C213" s="375" t="s">
        <v>2270</v>
      </c>
      <c r="D213" s="375" t="s">
        <v>7356</v>
      </c>
      <c r="E213" s="375" t="s">
        <v>314</v>
      </c>
      <c r="F213" s="458">
        <v>20.520000000000003</v>
      </c>
      <c r="G213" s="784">
        <v>44561</v>
      </c>
      <c r="H213" s="786">
        <v>44536</v>
      </c>
    </row>
    <row r="214" spans="1:8" x14ac:dyDescent="0.25">
      <c r="A214" s="615" t="s">
        <v>6118</v>
      </c>
      <c r="B214" s="375" t="s">
        <v>5548</v>
      </c>
      <c r="C214" s="375" t="s">
        <v>2270</v>
      </c>
      <c r="D214" s="375" t="s">
        <v>6861</v>
      </c>
      <c r="E214" s="375" t="s">
        <v>314</v>
      </c>
      <c r="F214" s="458">
        <v>21.520000000000003</v>
      </c>
      <c r="G214" s="784">
        <v>44561</v>
      </c>
      <c r="H214" s="786">
        <v>44536</v>
      </c>
    </row>
    <row r="215" spans="1:8" x14ac:dyDescent="0.25">
      <c r="A215" s="416" t="s">
        <v>5622</v>
      </c>
      <c r="B215" s="375" t="s">
        <v>5548</v>
      </c>
      <c r="C215" s="375" t="s">
        <v>2270</v>
      </c>
      <c r="D215" s="375" t="s">
        <v>7357</v>
      </c>
      <c r="E215" s="375" t="s">
        <v>314</v>
      </c>
      <c r="F215" s="458">
        <v>25.520000000000003</v>
      </c>
      <c r="G215" s="784">
        <v>44561</v>
      </c>
      <c r="H215" s="786">
        <v>44536</v>
      </c>
    </row>
    <row r="216" spans="1:8" x14ac:dyDescent="0.25">
      <c r="A216" s="416" t="s">
        <v>341</v>
      </c>
      <c r="B216" s="375" t="s">
        <v>5548</v>
      </c>
      <c r="C216" s="375" t="s">
        <v>2270</v>
      </c>
      <c r="D216" s="375" t="s">
        <v>7340</v>
      </c>
      <c r="E216" s="375" t="s">
        <v>314</v>
      </c>
      <c r="F216" s="458">
        <v>19.080000000000002</v>
      </c>
      <c r="G216" s="784">
        <v>44561</v>
      </c>
      <c r="H216" s="786">
        <v>44536</v>
      </c>
    </row>
    <row r="217" spans="1:8" x14ac:dyDescent="0.25">
      <c r="A217" s="615" t="s">
        <v>6119</v>
      </c>
      <c r="B217" s="375" t="s">
        <v>5548</v>
      </c>
      <c r="C217" s="375" t="s">
        <v>2270</v>
      </c>
      <c r="D217" s="375" t="s">
        <v>7085</v>
      </c>
      <c r="E217" s="375" t="s">
        <v>314</v>
      </c>
      <c r="F217" s="458">
        <v>20.080000000000002</v>
      </c>
      <c r="G217" s="784">
        <v>44561</v>
      </c>
      <c r="H217" s="786">
        <v>44536</v>
      </c>
    </row>
    <row r="218" spans="1:8" x14ac:dyDescent="0.25">
      <c r="A218" s="416" t="s">
        <v>6334</v>
      </c>
      <c r="B218" s="375" t="s">
        <v>5548</v>
      </c>
      <c r="C218" s="375" t="s">
        <v>2270</v>
      </c>
      <c r="D218" s="375" t="s">
        <v>7086</v>
      </c>
      <c r="E218" s="375" t="s">
        <v>314</v>
      </c>
      <c r="F218" s="458">
        <v>21.080000000000002</v>
      </c>
      <c r="G218" s="784">
        <v>44561</v>
      </c>
      <c r="H218" s="786">
        <v>44536</v>
      </c>
    </row>
    <row r="219" spans="1:8" x14ac:dyDescent="0.25">
      <c r="A219" s="615" t="s">
        <v>342</v>
      </c>
      <c r="B219" s="375" t="s">
        <v>5548</v>
      </c>
      <c r="C219" s="375" t="s">
        <v>2270</v>
      </c>
      <c r="D219" s="375" t="s">
        <v>6769</v>
      </c>
      <c r="E219" s="375" t="s">
        <v>314</v>
      </c>
      <c r="F219" s="458">
        <v>16.060000000000002</v>
      </c>
      <c r="G219" s="784">
        <v>44561</v>
      </c>
      <c r="H219" s="786">
        <v>44536</v>
      </c>
    </row>
    <row r="220" spans="1:8" x14ac:dyDescent="0.25">
      <c r="A220" s="615" t="s">
        <v>5801</v>
      </c>
      <c r="B220" s="375" t="s">
        <v>5548</v>
      </c>
      <c r="C220" s="375" t="s">
        <v>2270</v>
      </c>
      <c r="D220" s="375" t="s">
        <v>6862</v>
      </c>
      <c r="E220" s="375" t="s">
        <v>5625</v>
      </c>
      <c r="F220" s="458">
        <v>25.490000000000002</v>
      </c>
      <c r="G220" s="784">
        <v>44561</v>
      </c>
      <c r="H220" s="786">
        <v>44536</v>
      </c>
    </row>
    <row r="221" spans="1:8" x14ac:dyDescent="0.25">
      <c r="A221" s="615" t="s">
        <v>6340</v>
      </c>
      <c r="B221" s="375" t="s">
        <v>5548</v>
      </c>
      <c r="C221" s="375" t="s">
        <v>2270</v>
      </c>
      <c r="D221" s="375" t="s">
        <v>6863</v>
      </c>
      <c r="E221" s="375" t="s">
        <v>5625</v>
      </c>
      <c r="F221" s="458">
        <v>26.490000000000002</v>
      </c>
      <c r="G221" s="784">
        <v>44561</v>
      </c>
      <c r="H221" s="786">
        <v>44536</v>
      </c>
    </row>
    <row r="222" spans="1:8" x14ac:dyDescent="0.25">
      <c r="A222" s="615" t="s">
        <v>5802</v>
      </c>
      <c r="B222" s="375" t="s">
        <v>5548</v>
      </c>
      <c r="C222" s="375" t="s">
        <v>2270</v>
      </c>
      <c r="D222" s="375" t="s">
        <v>7087</v>
      </c>
      <c r="E222" s="375" t="s">
        <v>5625</v>
      </c>
      <c r="F222" s="458">
        <v>21.05</v>
      </c>
      <c r="G222" s="784">
        <v>44561</v>
      </c>
      <c r="H222" s="786">
        <v>44536</v>
      </c>
    </row>
    <row r="223" spans="1:8" x14ac:dyDescent="0.25">
      <c r="A223" s="615" t="s">
        <v>6341</v>
      </c>
      <c r="B223" s="375" t="s">
        <v>5548</v>
      </c>
      <c r="C223" s="375" t="s">
        <v>2270</v>
      </c>
      <c r="D223" s="375" t="s">
        <v>7088</v>
      </c>
      <c r="E223" s="375" t="s">
        <v>5625</v>
      </c>
      <c r="F223" s="458">
        <v>22.05</v>
      </c>
      <c r="G223" s="784">
        <v>44561</v>
      </c>
      <c r="H223" s="786">
        <v>44536</v>
      </c>
    </row>
    <row r="224" spans="1:8" x14ac:dyDescent="0.25">
      <c r="A224" s="615" t="s">
        <v>6342</v>
      </c>
      <c r="B224" s="375" t="s">
        <v>5548</v>
      </c>
      <c r="C224" s="375" t="s">
        <v>2270</v>
      </c>
      <c r="D224" s="375" t="s">
        <v>6770</v>
      </c>
      <c r="E224" s="375" t="s">
        <v>5625</v>
      </c>
      <c r="F224" s="458">
        <v>16.03</v>
      </c>
      <c r="G224" s="784">
        <v>44561</v>
      </c>
      <c r="H224" s="786">
        <v>44536</v>
      </c>
    </row>
    <row r="225" spans="1:8" x14ac:dyDescent="0.25">
      <c r="A225" s="615" t="s">
        <v>6149</v>
      </c>
      <c r="B225" s="375" t="s">
        <v>5548</v>
      </c>
      <c r="C225" s="375" t="s">
        <v>2270</v>
      </c>
      <c r="D225" s="375" t="s">
        <v>7358</v>
      </c>
      <c r="E225" s="375" t="s">
        <v>5807</v>
      </c>
      <c r="F225" s="458">
        <v>15.469999999999999</v>
      </c>
      <c r="G225" s="784">
        <v>44561</v>
      </c>
      <c r="H225" s="786">
        <v>44536</v>
      </c>
    </row>
    <row r="226" spans="1:8" x14ac:dyDescent="0.25">
      <c r="A226" s="615" t="s">
        <v>6150</v>
      </c>
      <c r="B226" s="375" t="s">
        <v>5548</v>
      </c>
      <c r="C226" s="375" t="s">
        <v>2270</v>
      </c>
      <c r="D226" s="375" t="s">
        <v>7341</v>
      </c>
      <c r="E226" s="375" t="s">
        <v>5807</v>
      </c>
      <c r="F226" s="458">
        <v>14.030000000000001</v>
      </c>
      <c r="G226" s="784">
        <v>44561</v>
      </c>
      <c r="H226" s="786">
        <v>44536</v>
      </c>
    </row>
    <row r="227" spans="1:8" x14ac:dyDescent="0.25">
      <c r="A227" s="615" t="s">
        <v>7512</v>
      </c>
      <c r="B227" s="375" t="s">
        <v>5548</v>
      </c>
      <c r="C227" s="375" t="s">
        <v>2270</v>
      </c>
      <c r="D227" s="375" t="s">
        <v>7511</v>
      </c>
      <c r="E227" s="375" t="s">
        <v>6158</v>
      </c>
      <c r="F227" s="458">
        <v>15.44</v>
      </c>
      <c r="G227" s="784">
        <v>44561</v>
      </c>
      <c r="H227" s="786">
        <v>44536</v>
      </c>
    </row>
    <row r="228" spans="1:8" x14ac:dyDescent="0.25">
      <c r="A228" s="615" t="s">
        <v>6349</v>
      </c>
      <c r="B228" s="375" t="s">
        <v>5548</v>
      </c>
      <c r="C228" s="375" t="s">
        <v>2270</v>
      </c>
      <c r="D228" s="375" t="s">
        <v>6864</v>
      </c>
      <c r="E228" s="375" t="s">
        <v>6158</v>
      </c>
      <c r="F228" s="458">
        <v>25.44</v>
      </c>
      <c r="G228" s="784">
        <v>44561</v>
      </c>
      <c r="H228" s="786">
        <v>44536</v>
      </c>
    </row>
    <row r="230" spans="1:8" s="178" customFormat="1" x14ac:dyDescent="0.25">
      <c r="A230" s="618" t="s">
        <v>4397</v>
      </c>
      <c r="B230" s="31" t="s">
        <v>5548</v>
      </c>
      <c r="C230" s="33" t="s">
        <v>3724</v>
      </c>
      <c r="D230" s="32" t="s">
        <v>1780</v>
      </c>
      <c r="E230" s="193" t="s">
        <v>4810</v>
      </c>
      <c r="F230" s="451">
        <v>11.67</v>
      </c>
      <c r="G230" s="784">
        <v>44926</v>
      </c>
      <c r="H230" s="786">
        <f>'EEG-Vergütungen und vNNE'!J$31</f>
        <v>44896</v>
      </c>
    </row>
    <row r="231" spans="1:8" s="178" customFormat="1" x14ac:dyDescent="0.25">
      <c r="A231" s="610" t="s">
        <v>4028</v>
      </c>
      <c r="B231" s="30" t="s">
        <v>5548</v>
      </c>
      <c r="C231" s="30" t="s">
        <v>3724</v>
      </c>
      <c r="D231" s="21" t="s">
        <v>6869</v>
      </c>
      <c r="E231" s="30" t="s">
        <v>4331</v>
      </c>
      <c r="F231" s="452">
        <v>14.67</v>
      </c>
      <c r="G231" s="784">
        <v>44926</v>
      </c>
      <c r="H231" s="786">
        <f>'EEG-Vergütungen und vNNE'!J$31</f>
        <v>44896</v>
      </c>
    </row>
    <row r="232" spans="1:8" s="178" customFormat="1" x14ac:dyDescent="0.25">
      <c r="A232" s="610" t="s">
        <v>2605</v>
      </c>
      <c r="B232" s="30" t="s">
        <v>5548</v>
      </c>
      <c r="C232" s="30" t="s">
        <v>3724</v>
      </c>
      <c r="D232" s="21" t="s">
        <v>6870</v>
      </c>
      <c r="E232" s="17" t="s">
        <v>674</v>
      </c>
      <c r="F232" s="452">
        <v>14.67</v>
      </c>
      <c r="G232" s="784">
        <v>44926</v>
      </c>
      <c r="H232" s="786">
        <f>'EEG-Vergütungen und vNNE'!J$31</f>
        <v>44896</v>
      </c>
    </row>
    <row r="233" spans="1:8" s="178" customFormat="1" x14ac:dyDescent="0.25">
      <c r="A233" s="610" t="s">
        <v>3219</v>
      </c>
      <c r="B233" s="30" t="s">
        <v>5548</v>
      </c>
      <c r="C233" s="30" t="s">
        <v>3724</v>
      </c>
      <c r="D233" s="21" t="s">
        <v>6871</v>
      </c>
      <c r="E233" s="30" t="s">
        <v>3567</v>
      </c>
      <c r="F233" s="452">
        <v>14.64</v>
      </c>
      <c r="G233" s="784">
        <v>44926</v>
      </c>
      <c r="H233" s="786">
        <f>'EEG-Vergütungen und vNNE'!J$31</f>
        <v>44896</v>
      </c>
    </row>
    <row r="234" spans="1:8" s="178" customFormat="1" x14ac:dyDescent="0.25">
      <c r="A234" s="610" t="s">
        <v>5185</v>
      </c>
      <c r="B234" s="30" t="s">
        <v>5548</v>
      </c>
      <c r="C234" s="30" t="s">
        <v>3724</v>
      </c>
      <c r="D234" s="21" t="s">
        <v>6872</v>
      </c>
      <c r="E234" s="30" t="s">
        <v>3055</v>
      </c>
      <c r="F234" s="452">
        <v>14.61</v>
      </c>
      <c r="G234" s="784">
        <v>44926</v>
      </c>
      <c r="H234" s="786">
        <f>'EEG-Vergütungen und vNNE'!J$31</f>
        <v>44896</v>
      </c>
    </row>
    <row r="235" spans="1:8" s="178" customFormat="1" x14ac:dyDescent="0.25">
      <c r="A235" s="625" t="s">
        <v>4210</v>
      </c>
      <c r="B235" s="219" t="s">
        <v>5548</v>
      </c>
      <c r="C235" s="219" t="s">
        <v>3724</v>
      </c>
      <c r="D235" s="220" t="s">
        <v>6873</v>
      </c>
      <c r="E235" s="219" t="s">
        <v>1980</v>
      </c>
      <c r="F235" s="453">
        <v>14.58</v>
      </c>
      <c r="G235" s="784">
        <v>44926</v>
      </c>
      <c r="H235" s="786">
        <f>'EEG-Vergütungen und vNNE'!J$31</f>
        <v>44896</v>
      </c>
    </row>
    <row r="236" spans="1:8" s="178" customFormat="1" x14ac:dyDescent="0.25">
      <c r="A236" s="610" t="s">
        <v>832</v>
      </c>
      <c r="B236" s="17" t="s">
        <v>5548</v>
      </c>
      <c r="C236" s="30" t="s">
        <v>3724</v>
      </c>
      <c r="D236" s="21" t="s">
        <v>6874</v>
      </c>
      <c r="E236" s="194" t="s">
        <v>4810</v>
      </c>
      <c r="F236" s="452">
        <v>12.67</v>
      </c>
      <c r="G236" s="784">
        <v>44926</v>
      </c>
      <c r="H236" s="786">
        <f>'EEG-Vergütungen und vNNE'!J$31</f>
        <v>44896</v>
      </c>
    </row>
    <row r="237" spans="1:8" s="178" customFormat="1" x14ac:dyDescent="0.25">
      <c r="A237" s="610" t="s">
        <v>833</v>
      </c>
      <c r="B237" s="30" t="s">
        <v>5548</v>
      </c>
      <c r="C237" s="30" t="s">
        <v>3724</v>
      </c>
      <c r="D237" s="21" t="s">
        <v>6876</v>
      </c>
      <c r="E237" s="30" t="s">
        <v>4331</v>
      </c>
      <c r="F237" s="452">
        <v>15.67</v>
      </c>
      <c r="G237" s="784">
        <v>44926</v>
      </c>
      <c r="H237" s="786">
        <f>'EEG-Vergütungen und vNNE'!J$31</f>
        <v>44896</v>
      </c>
    </row>
    <row r="238" spans="1:8" s="178" customFormat="1" x14ac:dyDescent="0.25">
      <c r="A238" s="610" t="s">
        <v>834</v>
      </c>
      <c r="B238" s="30" t="s">
        <v>5548</v>
      </c>
      <c r="C238" s="30" t="s">
        <v>3724</v>
      </c>
      <c r="D238" s="21" t="s">
        <v>6877</v>
      </c>
      <c r="E238" s="17" t="s">
        <v>674</v>
      </c>
      <c r="F238" s="452">
        <v>15.67</v>
      </c>
      <c r="G238" s="784">
        <v>44926</v>
      </c>
      <c r="H238" s="786">
        <f>'EEG-Vergütungen und vNNE'!J$31</f>
        <v>44896</v>
      </c>
    </row>
    <row r="239" spans="1:8" s="178" customFormat="1" x14ac:dyDescent="0.25">
      <c r="A239" s="610" t="s">
        <v>3220</v>
      </c>
      <c r="B239" s="30" t="s">
        <v>5548</v>
      </c>
      <c r="C239" s="30" t="s">
        <v>3724</v>
      </c>
      <c r="D239" s="21" t="s">
        <v>6878</v>
      </c>
      <c r="E239" s="30" t="s">
        <v>3567</v>
      </c>
      <c r="F239" s="452">
        <v>15.64</v>
      </c>
      <c r="G239" s="784">
        <v>44926</v>
      </c>
      <c r="H239" s="786">
        <f>'EEG-Vergütungen und vNNE'!J$31</f>
        <v>44896</v>
      </c>
    </row>
    <row r="240" spans="1:8" s="178" customFormat="1" x14ac:dyDescent="0.25">
      <c r="A240" s="610" t="s">
        <v>5186</v>
      </c>
      <c r="B240" s="30" t="s">
        <v>5548</v>
      </c>
      <c r="C240" s="30" t="s">
        <v>3724</v>
      </c>
      <c r="D240" s="21" t="s">
        <v>6879</v>
      </c>
      <c r="E240" s="30" t="s">
        <v>3055</v>
      </c>
      <c r="F240" s="452">
        <v>15.61</v>
      </c>
      <c r="G240" s="784">
        <v>44926</v>
      </c>
      <c r="H240" s="786">
        <f>'EEG-Vergütungen und vNNE'!J$31</f>
        <v>44896</v>
      </c>
    </row>
    <row r="241" spans="1:8" s="178" customFormat="1" x14ac:dyDescent="0.25">
      <c r="A241" s="625" t="s">
        <v>4211</v>
      </c>
      <c r="B241" s="219" t="s">
        <v>5548</v>
      </c>
      <c r="C241" s="219" t="s">
        <v>3724</v>
      </c>
      <c r="D241" s="220" t="s">
        <v>6880</v>
      </c>
      <c r="E241" s="219" t="s">
        <v>1980</v>
      </c>
      <c r="F241" s="453">
        <v>15.58</v>
      </c>
      <c r="G241" s="784">
        <v>44926</v>
      </c>
      <c r="H241" s="786">
        <f>'EEG-Vergütungen und vNNE'!J$31</f>
        <v>44896</v>
      </c>
    </row>
    <row r="242" spans="1:8" s="178" customFormat="1" x14ac:dyDescent="0.25">
      <c r="A242" s="618" t="s">
        <v>4398</v>
      </c>
      <c r="B242" s="33" t="s">
        <v>5548</v>
      </c>
      <c r="C242" s="33" t="s">
        <v>3724</v>
      </c>
      <c r="D242" s="32" t="s">
        <v>7351</v>
      </c>
      <c r="E242" s="193" t="s">
        <v>4810</v>
      </c>
      <c r="F242" s="451">
        <v>17.670000000000002</v>
      </c>
      <c r="G242" s="784">
        <v>44926</v>
      </c>
      <c r="H242" s="786">
        <f>'EEG-Vergütungen und vNNE'!J$31</f>
        <v>44896</v>
      </c>
    </row>
    <row r="243" spans="1:8" s="178" customFormat="1" x14ac:dyDescent="0.25">
      <c r="A243" s="610" t="s">
        <v>4029</v>
      </c>
      <c r="B243" s="30" t="s">
        <v>5548</v>
      </c>
      <c r="C243" s="30" t="s">
        <v>3724</v>
      </c>
      <c r="D243" s="21" t="s">
        <v>7352</v>
      </c>
      <c r="E243" s="30" t="s">
        <v>4331</v>
      </c>
      <c r="F243" s="452">
        <v>20.67</v>
      </c>
      <c r="G243" s="784">
        <v>44926</v>
      </c>
      <c r="H243" s="786">
        <f>'EEG-Vergütungen und vNNE'!J$31</f>
        <v>44896</v>
      </c>
    </row>
    <row r="244" spans="1:8" s="178" customFormat="1" x14ac:dyDescent="0.25">
      <c r="A244" s="610" t="s">
        <v>2606</v>
      </c>
      <c r="B244" s="30" t="s">
        <v>5548</v>
      </c>
      <c r="C244" s="30" t="s">
        <v>3724</v>
      </c>
      <c r="D244" s="21" t="s">
        <v>6884</v>
      </c>
      <c r="E244" s="17" t="s">
        <v>674</v>
      </c>
      <c r="F244" s="452">
        <v>20.67</v>
      </c>
      <c r="G244" s="784">
        <v>44926</v>
      </c>
      <c r="H244" s="786">
        <f>'EEG-Vergütungen und vNNE'!J$31</f>
        <v>44896</v>
      </c>
    </row>
    <row r="245" spans="1:8" s="178" customFormat="1" x14ac:dyDescent="0.25">
      <c r="A245" s="610" t="s">
        <v>3221</v>
      </c>
      <c r="B245" s="30" t="s">
        <v>5548</v>
      </c>
      <c r="C245" s="30" t="s">
        <v>3724</v>
      </c>
      <c r="D245" s="21" t="s">
        <v>6885</v>
      </c>
      <c r="E245" s="30" t="s">
        <v>3567</v>
      </c>
      <c r="F245" s="452">
        <v>20.64</v>
      </c>
      <c r="G245" s="784">
        <v>44926</v>
      </c>
      <c r="H245" s="786">
        <f>'EEG-Vergütungen und vNNE'!J$31</f>
        <v>44896</v>
      </c>
    </row>
    <row r="246" spans="1:8" s="178" customFormat="1" x14ac:dyDescent="0.25">
      <c r="A246" s="610" t="s">
        <v>5187</v>
      </c>
      <c r="B246" s="30" t="s">
        <v>5548</v>
      </c>
      <c r="C246" s="30" t="s">
        <v>3724</v>
      </c>
      <c r="D246" s="21" t="s">
        <v>6886</v>
      </c>
      <c r="E246" s="30" t="s">
        <v>3055</v>
      </c>
      <c r="F246" s="452">
        <v>20.61</v>
      </c>
      <c r="G246" s="784">
        <v>44926</v>
      </c>
      <c r="H246" s="786">
        <f>'EEG-Vergütungen und vNNE'!J$31</f>
        <v>44896</v>
      </c>
    </row>
    <row r="247" spans="1:8" s="178" customFormat="1" x14ac:dyDescent="0.25">
      <c r="A247" s="625" t="s">
        <v>4212</v>
      </c>
      <c r="B247" s="219" t="s">
        <v>5548</v>
      </c>
      <c r="C247" s="219" t="s">
        <v>3724</v>
      </c>
      <c r="D247" s="220" t="s">
        <v>6887</v>
      </c>
      <c r="E247" s="219" t="s">
        <v>1980</v>
      </c>
      <c r="F247" s="453">
        <v>20.58</v>
      </c>
      <c r="G247" s="784">
        <v>44926</v>
      </c>
      <c r="H247" s="786">
        <f>'EEG-Vergütungen und vNNE'!J$31</f>
        <v>44896</v>
      </c>
    </row>
    <row r="248" spans="1:8" s="178" customFormat="1" x14ac:dyDescent="0.25">
      <c r="A248" s="610" t="s">
        <v>835</v>
      </c>
      <c r="B248" s="30" t="s">
        <v>5548</v>
      </c>
      <c r="C248" s="30" t="s">
        <v>3724</v>
      </c>
      <c r="D248" s="21" t="s">
        <v>7353</v>
      </c>
      <c r="E248" s="194" t="s">
        <v>4810</v>
      </c>
      <c r="F248" s="452">
        <v>18.670000000000002</v>
      </c>
      <c r="G248" s="784">
        <v>44926</v>
      </c>
      <c r="H248" s="786">
        <f>'EEG-Vergütungen und vNNE'!J$31</f>
        <v>44896</v>
      </c>
    </row>
    <row r="249" spans="1:8" s="178" customFormat="1" x14ac:dyDescent="0.25">
      <c r="A249" s="610" t="s">
        <v>836</v>
      </c>
      <c r="B249" s="30" t="s">
        <v>5548</v>
      </c>
      <c r="C249" s="30" t="s">
        <v>3724</v>
      </c>
      <c r="D249" s="21" t="s">
        <v>6890</v>
      </c>
      <c r="E249" s="30" t="s">
        <v>4331</v>
      </c>
      <c r="F249" s="452">
        <v>21.67</v>
      </c>
      <c r="G249" s="784">
        <v>44926</v>
      </c>
      <c r="H249" s="786">
        <f>'EEG-Vergütungen und vNNE'!J$31</f>
        <v>44896</v>
      </c>
    </row>
    <row r="250" spans="1:8" s="178" customFormat="1" x14ac:dyDescent="0.25">
      <c r="A250" s="610" t="s">
        <v>837</v>
      </c>
      <c r="B250" s="30" t="s">
        <v>5548</v>
      </c>
      <c r="C250" s="30" t="s">
        <v>3724</v>
      </c>
      <c r="D250" s="21" t="s">
        <v>6891</v>
      </c>
      <c r="E250" s="17" t="s">
        <v>674</v>
      </c>
      <c r="F250" s="452">
        <v>21.67</v>
      </c>
      <c r="G250" s="784">
        <v>44926</v>
      </c>
      <c r="H250" s="786">
        <f>'EEG-Vergütungen und vNNE'!J$31</f>
        <v>44896</v>
      </c>
    </row>
    <row r="251" spans="1:8" s="178" customFormat="1" x14ac:dyDescent="0.25">
      <c r="A251" s="610" t="s">
        <v>3222</v>
      </c>
      <c r="B251" s="30" t="s">
        <v>5548</v>
      </c>
      <c r="C251" s="30" t="s">
        <v>3724</v>
      </c>
      <c r="D251" s="21" t="s">
        <v>6892</v>
      </c>
      <c r="E251" s="30" t="s">
        <v>3567</v>
      </c>
      <c r="F251" s="452">
        <v>21.64</v>
      </c>
      <c r="G251" s="784">
        <v>44926</v>
      </c>
      <c r="H251" s="786">
        <f>'EEG-Vergütungen und vNNE'!J$31</f>
        <v>44896</v>
      </c>
    </row>
    <row r="252" spans="1:8" s="178" customFormat="1" x14ac:dyDescent="0.25">
      <c r="A252" s="610" t="s">
        <v>5188</v>
      </c>
      <c r="B252" s="30" t="s">
        <v>5548</v>
      </c>
      <c r="C252" s="30" t="s">
        <v>3724</v>
      </c>
      <c r="D252" s="21" t="s">
        <v>6893</v>
      </c>
      <c r="E252" s="30" t="s">
        <v>3055</v>
      </c>
      <c r="F252" s="452">
        <v>21.61</v>
      </c>
      <c r="G252" s="784">
        <v>44926</v>
      </c>
      <c r="H252" s="786">
        <f>'EEG-Vergütungen und vNNE'!J$31</f>
        <v>44896</v>
      </c>
    </row>
    <row r="253" spans="1:8" s="178" customFormat="1" x14ac:dyDescent="0.25">
      <c r="A253" s="625" t="s">
        <v>4213</v>
      </c>
      <c r="B253" s="219" t="s">
        <v>5548</v>
      </c>
      <c r="C253" s="219" t="s">
        <v>3724</v>
      </c>
      <c r="D253" s="220" t="s">
        <v>6894</v>
      </c>
      <c r="E253" s="219" t="s">
        <v>1980</v>
      </c>
      <c r="F253" s="453">
        <v>21.58</v>
      </c>
      <c r="G253" s="784">
        <v>44926</v>
      </c>
      <c r="H253" s="786">
        <f>'EEG-Vergütungen und vNNE'!J$31</f>
        <v>44896</v>
      </c>
    </row>
    <row r="254" spans="1:8" s="178" customFormat="1" x14ac:dyDescent="0.25">
      <c r="A254" s="610" t="s">
        <v>4628</v>
      </c>
      <c r="B254" s="30" t="s">
        <v>5548</v>
      </c>
      <c r="C254" s="30" t="s">
        <v>3724</v>
      </c>
      <c r="D254" s="30" t="s">
        <v>6810</v>
      </c>
      <c r="E254" s="30" t="s">
        <v>4810</v>
      </c>
      <c r="F254" s="454">
        <v>18.670000000000002</v>
      </c>
      <c r="G254" s="784">
        <v>44926</v>
      </c>
      <c r="H254" s="786">
        <f>'EEG-Vergütungen und vNNE'!J$31</f>
        <v>44896</v>
      </c>
    </row>
    <row r="255" spans="1:8" s="178" customFormat="1" x14ac:dyDescent="0.25">
      <c r="A255" s="610" t="s">
        <v>2141</v>
      </c>
      <c r="B255" s="30" t="s">
        <v>5548</v>
      </c>
      <c r="C255" s="30" t="s">
        <v>3724</v>
      </c>
      <c r="D255" s="30" t="s">
        <v>6811</v>
      </c>
      <c r="E255" s="30" t="s">
        <v>4331</v>
      </c>
      <c r="F255" s="454">
        <v>21.67</v>
      </c>
      <c r="G255" s="784">
        <v>44926</v>
      </c>
      <c r="H255" s="786">
        <f>'EEG-Vergütungen und vNNE'!J$31</f>
        <v>44896</v>
      </c>
    </row>
    <row r="256" spans="1:8" s="178" customFormat="1" x14ac:dyDescent="0.25">
      <c r="A256" s="610" t="s">
        <v>2142</v>
      </c>
      <c r="B256" s="30" t="s">
        <v>5548</v>
      </c>
      <c r="C256" s="30" t="s">
        <v>3724</v>
      </c>
      <c r="D256" s="30" t="s">
        <v>6812</v>
      </c>
      <c r="E256" s="30" t="s">
        <v>674</v>
      </c>
      <c r="F256" s="454">
        <v>21.67</v>
      </c>
      <c r="G256" s="784">
        <v>44926</v>
      </c>
      <c r="H256" s="786">
        <f>'EEG-Vergütungen und vNNE'!J$31</f>
        <v>44896</v>
      </c>
    </row>
    <row r="257" spans="1:8" s="178" customFormat="1" x14ac:dyDescent="0.25">
      <c r="A257" s="610" t="s">
        <v>3223</v>
      </c>
      <c r="B257" s="30" t="s">
        <v>5548</v>
      </c>
      <c r="C257" s="30" t="s">
        <v>3724</v>
      </c>
      <c r="D257" s="30" t="s">
        <v>6813</v>
      </c>
      <c r="E257" s="30" t="s">
        <v>3567</v>
      </c>
      <c r="F257" s="454">
        <v>21.64</v>
      </c>
      <c r="G257" s="784">
        <v>44926</v>
      </c>
      <c r="H257" s="786">
        <f>'EEG-Vergütungen und vNNE'!J$31</f>
        <v>44896</v>
      </c>
    </row>
    <row r="258" spans="1:8" s="178" customFormat="1" x14ac:dyDescent="0.25">
      <c r="A258" s="610" t="s">
        <v>5189</v>
      </c>
      <c r="B258" s="30" t="s">
        <v>5548</v>
      </c>
      <c r="C258" s="30" t="s">
        <v>3724</v>
      </c>
      <c r="D258" s="30" t="s">
        <v>6814</v>
      </c>
      <c r="E258" s="30" t="s">
        <v>3055</v>
      </c>
      <c r="F258" s="454">
        <v>21.61</v>
      </c>
      <c r="G258" s="784">
        <v>44926</v>
      </c>
      <c r="H258" s="786">
        <f>'EEG-Vergütungen und vNNE'!J$31</f>
        <v>44896</v>
      </c>
    </row>
    <row r="259" spans="1:8" s="178" customFormat="1" x14ac:dyDescent="0.25">
      <c r="A259" s="625" t="s">
        <v>4214</v>
      </c>
      <c r="B259" s="219" t="s">
        <v>5548</v>
      </c>
      <c r="C259" s="219" t="s">
        <v>3724</v>
      </c>
      <c r="D259" s="219" t="s">
        <v>6815</v>
      </c>
      <c r="E259" s="219" t="s">
        <v>1980</v>
      </c>
      <c r="F259" s="455">
        <v>21.58</v>
      </c>
      <c r="G259" s="784">
        <v>44926</v>
      </c>
      <c r="H259" s="786">
        <f>'EEG-Vergütungen und vNNE'!J$31</f>
        <v>44896</v>
      </c>
    </row>
    <row r="260" spans="1:8" s="178" customFormat="1" x14ac:dyDescent="0.25">
      <c r="A260" s="610" t="s">
        <v>2143</v>
      </c>
      <c r="B260" s="30" t="s">
        <v>5548</v>
      </c>
      <c r="C260" s="30" t="s">
        <v>3724</v>
      </c>
      <c r="D260" s="30" t="s">
        <v>6816</v>
      </c>
      <c r="E260" s="30" t="s">
        <v>4810</v>
      </c>
      <c r="F260" s="454">
        <v>19.670000000000002</v>
      </c>
      <c r="G260" s="784">
        <v>44926</v>
      </c>
      <c r="H260" s="786">
        <f>'EEG-Vergütungen und vNNE'!J$31</f>
        <v>44896</v>
      </c>
    </row>
    <row r="261" spans="1:8" customFormat="1" x14ac:dyDescent="0.25">
      <c r="A261" s="610" t="s">
        <v>2144</v>
      </c>
      <c r="B261" s="30" t="s">
        <v>5548</v>
      </c>
      <c r="C261" s="30" t="s">
        <v>3724</v>
      </c>
      <c r="D261" s="109" t="s">
        <v>6817</v>
      </c>
      <c r="E261" s="30" t="s">
        <v>4331</v>
      </c>
      <c r="F261" s="454">
        <v>22.67</v>
      </c>
      <c r="G261" s="784">
        <v>44926</v>
      </c>
      <c r="H261" s="786">
        <f>'EEG-Vergütungen und vNNE'!J$31</f>
        <v>44896</v>
      </c>
    </row>
    <row r="262" spans="1:8" customFormat="1" x14ac:dyDescent="0.25">
      <c r="A262" s="610" t="s">
        <v>2145</v>
      </c>
      <c r="B262" s="30" t="s">
        <v>5548</v>
      </c>
      <c r="C262" s="30" t="s">
        <v>3724</v>
      </c>
      <c r="D262" s="30" t="s">
        <v>6818</v>
      </c>
      <c r="E262" s="30" t="s">
        <v>674</v>
      </c>
      <c r="F262" s="454">
        <v>22.67</v>
      </c>
      <c r="G262" s="784">
        <v>44926</v>
      </c>
      <c r="H262" s="786">
        <f>'EEG-Vergütungen und vNNE'!J$31</f>
        <v>44896</v>
      </c>
    </row>
    <row r="263" spans="1:8" customFormat="1" x14ac:dyDescent="0.25">
      <c r="A263" s="610" t="s">
        <v>3224</v>
      </c>
      <c r="B263" s="30" t="s">
        <v>5548</v>
      </c>
      <c r="C263" s="30" t="s">
        <v>3724</v>
      </c>
      <c r="D263" s="30" t="s">
        <v>6819</v>
      </c>
      <c r="E263" s="30" t="s">
        <v>3567</v>
      </c>
      <c r="F263" s="454">
        <v>22.64</v>
      </c>
      <c r="G263" s="784">
        <v>44926</v>
      </c>
      <c r="H263" s="786">
        <f>'EEG-Vergütungen und vNNE'!J$31</f>
        <v>44896</v>
      </c>
    </row>
    <row r="264" spans="1:8" customFormat="1" x14ac:dyDescent="0.25">
      <c r="A264" s="610" t="s">
        <v>5190</v>
      </c>
      <c r="B264" s="30" t="s">
        <v>5548</v>
      </c>
      <c r="C264" s="30" t="s">
        <v>3724</v>
      </c>
      <c r="D264" s="30" t="s">
        <v>6820</v>
      </c>
      <c r="E264" s="30" t="s">
        <v>3055</v>
      </c>
      <c r="F264" s="454">
        <v>22.61</v>
      </c>
      <c r="G264" s="784">
        <v>44926</v>
      </c>
      <c r="H264" s="786">
        <f>'EEG-Vergütungen und vNNE'!J$31</f>
        <v>44896</v>
      </c>
    </row>
    <row r="265" spans="1:8" customFormat="1" x14ac:dyDescent="0.25">
      <c r="A265" s="625" t="s">
        <v>4215</v>
      </c>
      <c r="B265" s="219" t="s">
        <v>5548</v>
      </c>
      <c r="C265" s="219" t="s">
        <v>3724</v>
      </c>
      <c r="D265" s="219" t="s">
        <v>6821</v>
      </c>
      <c r="E265" s="219" t="s">
        <v>1980</v>
      </c>
      <c r="F265" s="455">
        <v>22.58</v>
      </c>
      <c r="G265" s="784">
        <v>44926</v>
      </c>
      <c r="H265" s="786">
        <f>'EEG-Vergütungen und vNNE'!J$31</f>
        <v>44896</v>
      </c>
    </row>
    <row r="266" spans="1:8" customFormat="1" x14ac:dyDescent="0.25">
      <c r="A266" s="610" t="s">
        <v>2146</v>
      </c>
      <c r="B266" s="30" t="s">
        <v>5548</v>
      </c>
      <c r="C266" s="30" t="s">
        <v>3724</v>
      </c>
      <c r="D266" s="30" t="s">
        <v>6822</v>
      </c>
      <c r="E266" s="30" t="s">
        <v>4810</v>
      </c>
      <c r="F266" s="454">
        <v>22.67</v>
      </c>
      <c r="G266" s="784">
        <v>44926</v>
      </c>
      <c r="H266" s="786">
        <f>'EEG-Vergütungen und vNNE'!J$31</f>
        <v>44896</v>
      </c>
    </row>
    <row r="267" spans="1:8" customFormat="1" x14ac:dyDescent="0.25">
      <c r="A267" s="610" t="s">
        <v>2147</v>
      </c>
      <c r="B267" s="30" t="s">
        <v>5548</v>
      </c>
      <c r="C267" s="30" t="s">
        <v>3724</v>
      </c>
      <c r="D267" s="30" t="s">
        <v>6823</v>
      </c>
      <c r="E267" s="30" t="s">
        <v>4331</v>
      </c>
      <c r="F267" s="454">
        <v>25.67</v>
      </c>
      <c r="G267" s="784">
        <v>44926</v>
      </c>
      <c r="H267" s="786">
        <f>'EEG-Vergütungen und vNNE'!J$31</f>
        <v>44896</v>
      </c>
    </row>
    <row r="268" spans="1:8" customFormat="1" x14ac:dyDescent="0.25">
      <c r="A268" s="610" t="s">
        <v>2148</v>
      </c>
      <c r="B268" s="30" t="s">
        <v>5548</v>
      </c>
      <c r="C268" s="30" t="s">
        <v>3724</v>
      </c>
      <c r="D268" s="30" t="s">
        <v>6824</v>
      </c>
      <c r="E268" s="30" t="s">
        <v>674</v>
      </c>
      <c r="F268" s="454">
        <v>25.67</v>
      </c>
      <c r="G268" s="784">
        <v>44926</v>
      </c>
      <c r="H268" s="786">
        <f>'EEG-Vergütungen und vNNE'!J$31</f>
        <v>44896</v>
      </c>
    </row>
    <row r="269" spans="1:8" customFormat="1" x14ac:dyDescent="0.25">
      <c r="A269" s="610" t="s">
        <v>3225</v>
      </c>
      <c r="B269" s="30" t="s">
        <v>5548</v>
      </c>
      <c r="C269" s="30" t="s">
        <v>3724</v>
      </c>
      <c r="D269" s="30" t="s">
        <v>6825</v>
      </c>
      <c r="E269" s="30" t="s">
        <v>3567</v>
      </c>
      <c r="F269" s="454">
        <v>25.64</v>
      </c>
      <c r="G269" s="784">
        <v>44926</v>
      </c>
      <c r="H269" s="786">
        <f>'EEG-Vergütungen und vNNE'!J$31</f>
        <v>44896</v>
      </c>
    </row>
    <row r="270" spans="1:8" customFormat="1" x14ac:dyDescent="0.25">
      <c r="A270" s="610" t="s">
        <v>5191</v>
      </c>
      <c r="B270" s="30" t="s">
        <v>5548</v>
      </c>
      <c r="C270" s="30" t="s">
        <v>3724</v>
      </c>
      <c r="D270" s="30" t="s">
        <v>6826</v>
      </c>
      <c r="E270" s="30" t="s">
        <v>3055</v>
      </c>
      <c r="F270" s="454">
        <v>25.61</v>
      </c>
      <c r="G270" s="784">
        <v>44926</v>
      </c>
      <c r="H270" s="786">
        <f>'EEG-Vergütungen und vNNE'!J$31</f>
        <v>44896</v>
      </c>
    </row>
    <row r="271" spans="1:8" customFormat="1" x14ac:dyDescent="0.25">
      <c r="A271" s="625" t="s">
        <v>4216</v>
      </c>
      <c r="B271" s="219" t="s">
        <v>5548</v>
      </c>
      <c r="C271" s="219" t="s">
        <v>3724</v>
      </c>
      <c r="D271" s="219" t="s">
        <v>6827</v>
      </c>
      <c r="E271" s="219" t="s">
        <v>1980</v>
      </c>
      <c r="F271" s="455">
        <v>25.58</v>
      </c>
      <c r="G271" s="784">
        <v>44926</v>
      </c>
      <c r="H271" s="786">
        <f>'EEG-Vergütungen und vNNE'!J$31</f>
        <v>44896</v>
      </c>
    </row>
    <row r="272" spans="1:8" customFormat="1" x14ac:dyDescent="0.25">
      <c r="A272" s="610" t="s">
        <v>2149</v>
      </c>
      <c r="B272" s="30" t="s">
        <v>5548</v>
      </c>
      <c r="C272" s="30" t="s">
        <v>3724</v>
      </c>
      <c r="D272" s="30" t="s">
        <v>6828</v>
      </c>
      <c r="E272" s="30" t="s">
        <v>4810</v>
      </c>
      <c r="F272" s="454">
        <v>23.67</v>
      </c>
      <c r="G272" s="784">
        <v>44926</v>
      </c>
      <c r="H272" s="786">
        <f>'EEG-Vergütungen und vNNE'!J$31</f>
        <v>44896</v>
      </c>
    </row>
    <row r="273" spans="1:8" customFormat="1" x14ac:dyDescent="0.25">
      <c r="A273" s="610" t="s">
        <v>2150</v>
      </c>
      <c r="B273" s="30" t="s">
        <v>5548</v>
      </c>
      <c r="C273" s="30" t="s">
        <v>3724</v>
      </c>
      <c r="D273" s="109" t="s">
        <v>6829</v>
      </c>
      <c r="E273" s="30" t="s">
        <v>4331</v>
      </c>
      <c r="F273" s="454">
        <v>26.67</v>
      </c>
      <c r="G273" s="784">
        <v>44926</v>
      </c>
      <c r="H273" s="786">
        <f>'EEG-Vergütungen und vNNE'!J$31</f>
        <v>44896</v>
      </c>
    </row>
    <row r="274" spans="1:8" customFormat="1" x14ac:dyDescent="0.25">
      <c r="A274" s="610" t="s">
        <v>2151</v>
      </c>
      <c r="B274" s="30" t="s">
        <v>5548</v>
      </c>
      <c r="C274" s="30" t="s">
        <v>3724</v>
      </c>
      <c r="D274" s="30" t="s">
        <v>6830</v>
      </c>
      <c r="E274" s="30" t="s">
        <v>674</v>
      </c>
      <c r="F274" s="454">
        <v>26.67</v>
      </c>
      <c r="G274" s="784">
        <v>44926</v>
      </c>
      <c r="H274" s="786">
        <f>'EEG-Vergütungen und vNNE'!J$31</f>
        <v>44896</v>
      </c>
    </row>
    <row r="275" spans="1:8" customFormat="1" x14ac:dyDescent="0.25">
      <c r="A275" s="610" t="s">
        <v>3226</v>
      </c>
      <c r="B275" s="30" t="s">
        <v>5548</v>
      </c>
      <c r="C275" s="30" t="s">
        <v>3724</v>
      </c>
      <c r="D275" s="30" t="s">
        <v>6831</v>
      </c>
      <c r="E275" s="30" t="s">
        <v>3567</v>
      </c>
      <c r="F275" s="454">
        <v>26.64</v>
      </c>
      <c r="G275" s="784">
        <v>44926</v>
      </c>
      <c r="H275" s="786">
        <f>'EEG-Vergütungen und vNNE'!J$31</f>
        <v>44896</v>
      </c>
    </row>
    <row r="276" spans="1:8" customFormat="1" x14ac:dyDescent="0.25">
      <c r="A276" s="610" t="s">
        <v>5192</v>
      </c>
      <c r="B276" s="30" t="s">
        <v>5548</v>
      </c>
      <c r="C276" s="30" t="s">
        <v>3724</v>
      </c>
      <c r="D276" s="30" t="s">
        <v>6832</v>
      </c>
      <c r="E276" s="30" t="s">
        <v>3055</v>
      </c>
      <c r="F276" s="454">
        <v>26.61</v>
      </c>
      <c r="G276" s="784">
        <v>44926</v>
      </c>
      <c r="H276" s="786">
        <f>'EEG-Vergütungen und vNNE'!J$31</f>
        <v>44896</v>
      </c>
    </row>
    <row r="277" spans="1:8" customFormat="1" x14ac:dyDescent="0.25">
      <c r="A277" s="625" t="s">
        <v>4217</v>
      </c>
      <c r="B277" s="219" t="s">
        <v>5548</v>
      </c>
      <c r="C277" s="219" t="s">
        <v>3724</v>
      </c>
      <c r="D277" s="219" t="s">
        <v>6833</v>
      </c>
      <c r="E277" s="219" t="s">
        <v>1980</v>
      </c>
      <c r="F277" s="455">
        <v>26.58</v>
      </c>
      <c r="G277" s="784">
        <v>44926</v>
      </c>
      <c r="H277" s="786">
        <f>'EEG-Vergütungen und vNNE'!J$31</f>
        <v>44896</v>
      </c>
    </row>
    <row r="278" spans="1:8" customFormat="1" x14ac:dyDescent="0.25">
      <c r="A278" s="610" t="s">
        <v>2152</v>
      </c>
      <c r="B278" s="30" t="s">
        <v>5548</v>
      </c>
      <c r="C278" s="30" t="s">
        <v>3724</v>
      </c>
      <c r="D278" s="30" t="s">
        <v>6834</v>
      </c>
      <c r="E278" s="30" t="s">
        <v>4810</v>
      </c>
      <c r="F278" s="454">
        <v>20.67</v>
      </c>
      <c r="G278" s="784">
        <v>44926</v>
      </c>
      <c r="H278" s="786">
        <f>'EEG-Vergütungen und vNNE'!J$31</f>
        <v>44896</v>
      </c>
    </row>
    <row r="279" spans="1:8" customFormat="1" x14ac:dyDescent="0.25">
      <c r="A279" s="610" t="s">
        <v>2153</v>
      </c>
      <c r="B279" s="30" t="s">
        <v>5548</v>
      </c>
      <c r="C279" s="30" t="s">
        <v>3724</v>
      </c>
      <c r="D279" s="30" t="s">
        <v>6835</v>
      </c>
      <c r="E279" s="30" t="s">
        <v>4331</v>
      </c>
      <c r="F279" s="454">
        <v>23.67</v>
      </c>
      <c r="G279" s="784">
        <v>44926</v>
      </c>
      <c r="H279" s="786">
        <f>'EEG-Vergütungen und vNNE'!J$31</f>
        <v>44896</v>
      </c>
    </row>
    <row r="280" spans="1:8" s="178" customFormat="1" x14ac:dyDescent="0.25">
      <c r="A280" s="610" t="s">
        <v>2154</v>
      </c>
      <c r="B280" s="30" t="s">
        <v>5548</v>
      </c>
      <c r="C280" s="30" t="s">
        <v>3724</v>
      </c>
      <c r="D280" s="30" t="s">
        <v>6836</v>
      </c>
      <c r="E280" s="30" t="s">
        <v>674</v>
      </c>
      <c r="F280" s="454">
        <v>23.67</v>
      </c>
      <c r="G280" s="784">
        <v>44926</v>
      </c>
      <c r="H280" s="786">
        <f>'EEG-Vergütungen und vNNE'!J$31</f>
        <v>44896</v>
      </c>
    </row>
    <row r="281" spans="1:8" s="178" customFormat="1" x14ac:dyDescent="0.25">
      <c r="A281" s="610" t="s">
        <v>3227</v>
      </c>
      <c r="B281" s="30" t="s">
        <v>5548</v>
      </c>
      <c r="C281" s="30" t="s">
        <v>3724</v>
      </c>
      <c r="D281" s="30" t="s">
        <v>6837</v>
      </c>
      <c r="E281" s="30" t="s">
        <v>3567</v>
      </c>
      <c r="F281" s="454">
        <v>23.64</v>
      </c>
      <c r="G281" s="784">
        <v>44926</v>
      </c>
      <c r="H281" s="786">
        <f>'EEG-Vergütungen und vNNE'!J$31</f>
        <v>44896</v>
      </c>
    </row>
    <row r="282" spans="1:8" s="178" customFormat="1" x14ac:dyDescent="0.25">
      <c r="A282" s="610" t="s">
        <v>5193</v>
      </c>
      <c r="B282" s="30" t="s">
        <v>5548</v>
      </c>
      <c r="C282" s="30" t="s">
        <v>3724</v>
      </c>
      <c r="D282" s="30" t="s">
        <v>6838</v>
      </c>
      <c r="E282" s="30" t="s">
        <v>3055</v>
      </c>
      <c r="F282" s="454">
        <v>23.61</v>
      </c>
      <c r="G282" s="784">
        <v>44926</v>
      </c>
      <c r="H282" s="786">
        <f>'EEG-Vergütungen und vNNE'!J$31</f>
        <v>44896</v>
      </c>
    </row>
    <row r="283" spans="1:8" s="178" customFormat="1" x14ac:dyDescent="0.25">
      <c r="A283" s="625" t="s">
        <v>4218</v>
      </c>
      <c r="B283" s="219" t="s">
        <v>5548</v>
      </c>
      <c r="C283" s="219" t="s">
        <v>3724</v>
      </c>
      <c r="D283" s="219" t="s">
        <v>6839</v>
      </c>
      <c r="E283" s="219" t="s">
        <v>1980</v>
      </c>
      <c r="F283" s="455">
        <v>23.58</v>
      </c>
      <c r="G283" s="784">
        <v>44926</v>
      </c>
      <c r="H283" s="786">
        <f>'EEG-Vergütungen und vNNE'!J$31</f>
        <v>44896</v>
      </c>
    </row>
    <row r="284" spans="1:8" s="178" customFormat="1" x14ac:dyDescent="0.25">
      <c r="A284" s="610" t="s">
        <v>2155</v>
      </c>
      <c r="B284" s="30" t="s">
        <v>5548</v>
      </c>
      <c r="C284" s="30" t="s">
        <v>3724</v>
      </c>
      <c r="D284" s="30" t="s">
        <v>6840</v>
      </c>
      <c r="E284" s="30" t="s">
        <v>4810</v>
      </c>
      <c r="F284" s="454">
        <v>21.67</v>
      </c>
      <c r="G284" s="784">
        <v>44926</v>
      </c>
      <c r="H284" s="786">
        <f>'EEG-Vergütungen und vNNE'!J$31</f>
        <v>44896</v>
      </c>
    </row>
    <row r="285" spans="1:8" s="178" customFormat="1" x14ac:dyDescent="0.25">
      <c r="A285" s="610" t="s">
        <v>2156</v>
      </c>
      <c r="B285" s="30" t="s">
        <v>5548</v>
      </c>
      <c r="C285" s="30" t="s">
        <v>3724</v>
      </c>
      <c r="D285" s="109" t="s">
        <v>6841</v>
      </c>
      <c r="E285" s="30" t="s">
        <v>4331</v>
      </c>
      <c r="F285" s="454">
        <v>24.67</v>
      </c>
      <c r="G285" s="784">
        <v>44926</v>
      </c>
      <c r="H285" s="786">
        <f>'EEG-Vergütungen und vNNE'!J$31</f>
        <v>44896</v>
      </c>
    </row>
    <row r="286" spans="1:8" s="178" customFormat="1" x14ac:dyDescent="0.25">
      <c r="A286" s="610" t="s">
        <v>2157</v>
      </c>
      <c r="B286" s="30" t="s">
        <v>5548</v>
      </c>
      <c r="C286" s="30" t="s">
        <v>3724</v>
      </c>
      <c r="D286" s="30" t="s">
        <v>6842</v>
      </c>
      <c r="E286" s="30" t="s">
        <v>674</v>
      </c>
      <c r="F286" s="454">
        <v>24.67</v>
      </c>
      <c r="G286" s="784">
        <v>44926</v>
      </c>
      <c r="H286" s="786">
        <f>'EEG-Vergütungen und vNNE'!J$31</f>
        <v>44896</v>
      </c>
    </row>
    <row r="287" spans="1:8" s="178" customFormat="1" x14ac:dyDescent="0.25">
      <c r="A287" s="610" t="s">
        <v>3228</v>
      </c>
      <c r="B287" s="30" t="s">
        <v>5548</v>
      </c>
      <c r="C287" s="30" t="s">
        <v>3724</v>
      </c>
      <c r="D287" s="30" t="s">
        <v>6843</v>
      </c>
      <c r="E287" s="30" t="s">
        <v>3567</v>
      </c>
      <c r="F287" s="454">
        <v>24.64</v>
      </c>
      <c r="G287" s="784">
        <v>44926</v>
      </c>
      <c r="H287" s="786">
        <f>'EEG-Vergütungen und vNNE'!J$31</f>
        <v>44896</v>
      </c>
    </row>
    <row r="288" spans="1:8" s="178" customFormat="1" x14ac:dyDescent="0.25">
      <c r="A288" s="610" t="s">
        <v>5194</v>
      </c>
      <c r="B288" s="30" t="s">
        <v>5548</v>
      </c>
      <c r="C288" s="30" t="s">
        <v>3724</v>
      </c>
      <c r="D288" s="30" t="s">
        <v>6844</v>
      </c>
      <c r="E288" s="30" t="s">
        <v>3055</v>
      </c>
      <c r="F288" s="454">
        <v>24.61</v>
      </c>
      <c r="G288" s="784">
        <v>44926</v>
      </c>
      <c r="H288" s="786">
        <f>'EEG-Vergütungen und vNNE'!J$31</f>
        <v>44896</v>
      </c>
    </row>
    <row r="289" spans="1:8" s="178" customFormat="1" x14ac:dyDescent="0.25">
      <c r="A289" s="625" t="s">
        <v>4219</v>
      </c>
      <c r="B289" s="219" t="s">
        <v>5548</v>
      </c>
      <c r="C289" s="219" t="s">
        <v>3724</v>
      </c>
      <c r="D289" s="219" t="s">
        <v>6845</v>
      </c>
      <c r="E289" s="219" t="s">
        <v>1980</v>
      </c>
      <c r="F289" s="455">
        <v>24.58</v>
      </c>
      <c r="G289" s="784">
        <v>44926</v>
      </c>
      <c r="H289" s="786">
        <f>'EEG-Vergütungen und vNNE'!J$31</f>
        <v>44896</v>
      </c>
    </row>
    <row r="290" spans="1:8" s="178" customFormat="1" x14ac:dyDescent="0.25">
      <c r="A290" s="610" t="s">
        <v>2158</v>
      </c>
      <c r="B290" s="30" t="s">
        <v>5548</v>
      </c>
      <c r="C290" s="30" t="s">
        <v>3724</v>
      </c>
      <c r="D290" s="30" t="s">
        <v>6846</v>
      </c>
      <c r="E290" s="30" t="s">
        <v>4810</v>
      </c>
      <c r="F290" s="454">
        <v>24.67</v>
      </c>
      <c r="G290" s="784">
        <v>44926</v>
      </c>
      <c r="H290" s="786">
        <f>'EEG-Vergütungen und vNNE'!J$31</f>
        <v>44896</v>
      </c>
    </row>
    <row r="291" spans="1:8" s="178" customFormat="1" x14ac:dyDescent="0.25">
      <c r="A291" s="610" t="s">
        <v>2159</v>
      </c>
      <c r="B291" s="30" t="s">
        <v>5548</v>
      </c>
      <c r="C291" s="30" t="s">
        <v>3724</v>
      </c>
      <c r="D291" s="30" t="s">
        <v>6847</v>
      </c>
      <c r="E291" s="30" t="s">
        <v>4331</v>
      </c>
      <c r="F291" s="454">
        <v>27.67</v>
      </c>
      <c r="G291" s="784">
        <v>44926</v>
      </c>
      <c r="H291" s="786">
        <f>'EEG-Vergütungen und vNNE'!J$31</f>
        <v>44896</v>
      </c>
    </row>
    <row r="292" spans="1:8" s="178" customFormat="1" x14ac:dyDescent="0.25">
      <c r="A292" s="610" t="s">
        <v>2160</v>
      </c>
      <c r="B292" s="30" t="s">
        <v>5548</v>
      </c>
      <c r="C292" s="30" t="s">
        <v>3724</v>
      </c>
      <c r="D292" s="30" t="s">
        <v>6848</v>
      </c>
      <c r="E292" s="30" t="s">
        <v>674</v>
      </c>
      <c r="F292" s="454">
        <v>27.67</v>
      </c>
      <c r="G292" s="784">
        <v>44926</v>
      </c>
      <c r="H292" s="786">
        <f>'EEG-Vergütungen und vNNE'!J$31</f>
        <v>44896</v>
      </c>
    </row>
    <row r="293" spans="1:8" s="178" customFormat="1" x14ac:dyDescent="0.25">
      <c r="A293" s="610" t="s">
        <v>3229</v>
      </c>
      <c r="B293" s="30" t="s">
        <v>5548</v>
      </c>
      <c r="C293" s="30" t="s">
        <v>3724</v>
      </c>
      <c r="D293" s="30" t="s">
        <v>6849</v>
      </c>
      <c r="E293" s="30" t="s">
        <v>3567</v>
      </c>
      <c r="F293" s="454">
        <v>27.64</v>
      </c>
      <c r="G293" s="784">
        <v>44926</v>
      </c>
      <c r="H293" s="786">
        <f>'EEG-Vergütungen und vNNE'!J$31</f>
        <v>44896</v>
      </c>
    </row>
    <row r="294" spans="1:8" s="178" customFormat="1" x14ac:dyDescent="0.25">
      <c r="A294" s="610" t="s">
        <v>5195</v>
      </c>
      <c r="B294" s="30" t="s">
        <v>5548</v>
      </c>
      <c r="C294" s="30" t="s">
        <v>3724</v>
      </c>
      <c r="D294" s="30" t="s">
        <v>6850</v>
      </c>
      <c r="E294" s="30" t="s">
        <v>3055</v>
      </c>
      <c r="F294" s="454">
        <v>27.61</v>
      </c>
      <c r="G294" s="784">
        <v>44926</v>
      </c>
      <c r="H294" s="786">
        <f>'EEG-Vergütungen und vNNE'!J$31</f>
        <v>44896</v>
      </c>
    </row>
    <row r="295" spans="1:8" s="178" customFormat="1" x14ac:dyDescent="0.25">
      <c r="A295" s="625" t="s">
        <v>4220</v>
      </c>
      <c r="B295" s="219" t="s">
        <v>5548</v>
      </c>
      <c r="C295" s="219" t="s">
        <v>3724</v>
      </c>
      <c r="D295" s="219" t="s">
        <v>6851</v>
      </c>
      <c r="E295" s="219" t="s">
        <v>1980</v>
      </c>
      <c r="F295" s="455">
        <v>27.58</v>
      </c>
      <c r="G295" s="784">
        <v>44926</v>
      </c>
      <c r="H295" s="786">
        <f>'EEG-Vergütungen und vNNE'!J$31</f>
        <v>44896</v>
      </c>
    </row>
    <row r="296" spans="1:8" s="178" customFormat="1" x14ac:dyDescent="0.25">
      <c r="A296" s="610" t="s">
        <v>2161</v>
      </c>
      <c r="B296" s="30" t="s">
        <v>5548</v>
      </c>
      <c r="C296" s="30" t="s">
        <v>3724</v>
      </c>
      <c r="D296" s="30" t="s">
        <v>6852</v>
      </c>
      <c r="E296" s="30" t="s">
        <v>4810</v>
      </c>
      <c r="F296" s="454">
        <v>25.67</v>
      </c>
      <c r="G296" s="784">
        <v>44926</v>
      </c>
      <c r="H296" s="786">
        <f>'EEG-Vergütungen und vNNE'!J$31</f>
        <v>44896</v>
      </c>
    </row>
    <row r="297" spans="1:8" s="178" customFormat="1" x14ac:dyDescent="0.25">
      <c r="A297" s="610" t="s">
        <v>2162</v>
      </c>
      <c r="B297" s="30" t="s">
        <v>5548</v>
      </c>
      <c r="C297" s="30" t="s">
        <v>3724</v>
      </c>
      <c r="D297" s="109" t="s">
        <v>6853</v>
      </c>
      <c r="E297" s="30" t="s">
        <v>4331</v>
      </c>
      <c r="F297" s="454">
        <v>28.67</v>
      </c>
      <c r="G297" s="784">
        <v>44926</v>
      </c>
      <c r="H297" s="786">
        <f>'EEG-Vergütungen und vNNE'!J$31</f>
        <v>44896</v>
      </c>
    </row>
    <row r="298" spans="1:8" s="178" customFormat="1" x14ac:dyDescent="0.25">
      <c r="A298" s="610" t="s">
        <v>2163</v>
      </c>
      <c r="B298" s="30" t="s">
        <v>5548</v>
      </c>
      <c r="C298" s="30" t="s">
        <v>3724</v>
      </c>
      <c r="D298" s="30" t="s">
        <v>6854</v>
      </c>
      <c r="E298" s="30" t="s">
        <v>674</v>
      </c>
      <c r="F298" s="454">
        <v>28.67</v>
      </c>
      <c r="G298" s="784">
        <v>44926</v>
      </c>
      <c r="H298" s="786">
        <f>'EEG-Vergütungen und vNNE'!J$31</f>
        <v>44896</v>
      </c>
    </row>
    <row r="299" spans="1:8" s="178" customFormat="1" x14ac:dyDescent="0.25">
      <c r="A299" s="610" t="s">
        <v>3230</v>
      </c>
      <c r="B299" s="30" t="s">
        <v>5548</v>
      </c>
      <c r="C299" s="30" t="s">
        <v>3724</v>
      </c>
      <c r="D299" s="30" t="s">
        <v>6855</v>
      </c>
      <c r="E299" s="30" t="s">
        <v>3567</v>
      </c>
      <c r="F299" s="454">
        <v>28.64</v>
      </c>
      <c r="G299" s="784">
        <v>44926</v>
      </c>
      <c r="H299" s="786">
        <f>'EEG-Vergütungen und vNNE'!J$31</f>
        <v>44896</v>
      </c>
    </row>
    <row r="300" spans="1:8" s="178" customFormat="1" x14ac:dyDescent="0.25">
      <c r="A300" s="610" t="s">
        <v>5196</v>
      </c>
      <c r="B300" s="30" t="s">
        <v>5548</v>
      </c>
      <c r="C300" s="30" t="s">
        <v>3724</v>
      </c>
      <c r="D300" s="30" t="s">
        <v>6856</v>
      </c>
      <c r="E300" s="30" t="s">
        <v>3055</v>
      </c>
      <c r="F300" s="454">
        <v>28.61</v>
      </c>
      <c r="G300" s="784">
        <v>44926</v>
      </c>
      <c r="H300" s="786">
        <f>'EEG-Vergütungen und vNNE'!J$31</f>
        <v>44896</v>
      </c>
    </row>
    <row r="301" spans="1:8" s="178" customFormat="1" x14ac:dyDescent="0.25">
      <c r="A301" s="625" t="s">
        <v>4221</v>
      </c>
      <c r="B301" s="219" t="s">
        <v>5548</v>
      </c>
      <c r="C301" s="219" t="s">
        <v>3724</v>
      </c>
      <c r="D301" s="219" t="s">
        <v>6857</v>
      </c>
      <c r="E301" s="219" t="s">
        <v>1980</v>
      </c>
      <c r="F301" s="455">
        <v>28.58</v>
      </c>
      <c r="G301" s="784">
        <v>44926</v>
      </c>
      <c r="H301" s="786">
        <f>'EEG-Vergütungen und vNNE'!J$31</f>
        <v>44896</v>
      </c>
    </row>
    <row r="302" spans="1:8" s="178" customFormat="1" x14ac:dyDescent="0.25">
      <c r="A302" s="608" t="s">
        <v>4796</v>
      </c>
      <c r="B302" s="2" t="s">
        <v>5548</v>
      </c>
      <c r="C302" s="2" t="s">
        <v>3724</v>
      </c>
      <c r="D302" s="34" t="s">
        <v>1779</v>
      </c>
      <c r="E302" s="192" t="s">
        <v>4810</v>
      </c>
      <c r="F302" s="456">
        <v>10.1</v>
      </c>
      <c r="G302" s="784">
        <v>44926</v>
      </c>
      <c r="H302" s="786">
        <f>'EEG-Vergütungen und vNNE'!J$31</f>
        <v>44896</v>
      </c>
    </row>
    <row r="303" spans="1:8" s="178" customFormat="1" x14ac:dyDescent="0.25">
      <c r="A303" s="610" t="s">
        <v>4030</v>
      </c>
      <c r="B303" s="30" t="s">
        <v>5548</v>
      </c>
      <c r="C303" s="30" t="s">
        <v>3724</v>
      </c>
      <c r="D303" s="21" t="s">
        <v>7092</v>
      </c>
      <c r="E303" s="30" t="s">
        <v>4331</v>
      </c>
      <c r="F303" s="452">
        <v>13.1</v>
      </c>
      <c r="G303" s="784">
        <v>44926</v>
      </c>
      <c r="H303" s="786">
        <f>'EEG-Vergütungen und vNNE'!J$31</f>
        <v>44896</v>
      </c>
    </row>
    <row r="304" spans="1:8" s="178" customFormat="1" x14ac:dyDescent="0.25">
      <c r="A304" s="610" t="s">
        <v>2607</v>
      </c>
      <c r="B304" s="30" t="s">
        <v>5548</v>
      </c>
      <c r="C304" s="17" t="s">
        <v>3724</v>
      </c>
      <c r="D304" s="21" t="s">
        <v>7093</v>
      </c>
      <c r="E304" s="17" t="s">
        <v>674</v>
      </c>
      <c r="F304" s="452">
        <v>13.1</v>
      </c>
      <c r="G304" s="784">
        <v>44926</v>
      </c>
      <c r="H304" s="786">
        <f>'EEG-Vergütungen und vNNE'!J$31</f>
        <v>44896</v>
      </c>
    </row>
    <row r="305" spans="1:8" s="178" customFormat="1" x14ac:dyDescent="0.25">
      <c r="A305" s="610" t="s">
        <v>3231</v>
      </c>
      <c r="B305" s="30" t="s">
        <v>5548</v>
      </c>
      <c r="C305" s="17" t="s">
        <v>3724</v>
      </c>
      <c r="D305" s="21" t="s">
        <v>7094</v>
      </c>
      <c r="E305" s="30" t="s">
        <v>3567</v>
      </c>
      <c r="F305" s="452">
        <v>13.07</v>
      </c>
      <c r="G305" s="784">
        <v>44926</v>
      </c>
      <c r="H305" s="786">
        <f>'EEG-Vergütungen und vNNE'!J$31</f>
        <v>44896</v>
      </c>
    </row>
    <row r="306" spans="1:8" s="178" customFormat="1" x14ac:dyDescent="0.25">
      <c r="A306" s="610" t="s">
        <v>5197</v>
      </c>
      <c r="B306" s="30" t="s">
        <v>5548</v>
      </c>
      <c r="C306" s="17" t="s">
        <v>3724</v>
      </c>
      <c r="D306" s="21" t="s">
        <v>7095</v>
      </c>
      <c r="E306" s="30" t="s">
        <v>3055</v>
      </c>
      <c r="F306" s="452">
        <v>13.04</v>
      </c>
      <c r="G306" s="784">
        <v>44926</v>
      </c>
      <c r="H306" s="786">
        <f>'EEG-Vergütungen und vNNE'!J$31</f>
        <v>44896</v>
      </c>
    </row>
    <row r="307" spans="1:8" s="178" customFormat="1" x14ac:dyDescent="0.25">
      <c r="A307" s="625" t="s">
        <v>4222</v>
      </c>
      <c r="B307" s="219" t="s">
        <v>5548</v>
      </c>
      <c r="C307" s="221" t="s">
        <v>3724</v>
      </c>
      <c r="D307" s="220" t="s">
        <v>7096</v>
      </c>
      <c r="E307" s="219" t="s">
        <v>1980</v>
      </c>
      <c r="F307" s="453">
        <v>13.01</v>
      </c>
      <c r="G307" s="784">
        <v>44926</v>
      </c>
      <c r="H307" s="786">
        <f>'EEG-Vergütungen und vNNE'!J$31</f>
        <v>44896</v>
      </c>
    </row>
    <row r="308" spans="1:8" s="178" customFormat="1" x14ac:dyDescent="0.25">
      <c r="A308" s="610" t="s">
        <v>838</v>
      </c>
      <c r="B308" s="17" t="s">
        <v>5548</v>
      </c>
      <c r="C308" s="17" t="s">
        <v>3724</v>
      </c>
      <c r="D308" s="21" t="s">
        <v>7097</v>
      </c>
      <c r="E308" s="194" t="s">
        <v>4810</v>
      </c>
      <c r="F308" s="454">
        <v>11.1</v>
      </c>
      <c r="G308" s="784">
        <v>44926</v>
      </c>
      <c r="H308" s="786">
        <f>'EEG-Vergütungen und vNNE'!J$31</f>
        <v>44896</v>
      </c>
    </row>
    <row r="309" spans="1:8" s="178" customFormat="1" x14ac:dyDescent="0.25">
      <c r="A309" s="610" t="s">
        <v>839</v>
      </c>
      <c r="B309" s="30" t="s">
        <v>5548</v>
      </c>
      <c r="C309" s="30" t="s">
        <v>3724</v>
      </c>
      <c r="D309" s="21" t="s">
        <v>7099</v>
      </c>
      <c r="E309" s="30" t="s">
        <v>4331</v>
      </c>
      <c r="F309" s="452">
        <v>14.1</v>
      </c>
      <c r="G309" s="784">
        <v>44926</v>
      </c>
      <c r="H309" s="786">
        <f>'EEG-Vergütungen und vNNE'!J$31</f>
        <v>44896</v>
      </c>
    </row>
    <row r="310" spans="1:8" s="178" customFormat="1" x14ac:dyDescent="0.25">
      <c r="A310" s="610" t="s">
        <v>840</v>
      </c>
      <c r="B310" s="30" t="s">
        <v>5548</v>
      </c>
      <c r="C310" s="17" t="s">
        <v>3724</v>
      </c>
      <c r="D310" s="21" t="s">
        <v>7100</v>
      </c>
      <c r="E310" s="17" t="s">
        <v>674</v>
      </c>
      <c r="F310" s="452">
        <v>14.1</v>
      </c>
      <c r="G310" s="784">
        <v>44926</v>
      </c>
      <c r="H310" s="786">
        <f>'EEG-Vergütungen und vNNE'!J$31</f>
        <v>44896</v>
      </c>
    </row>
    <row r="311" spans="1:8" s="178" customFormat="1" x14ac:dyDescent="0.25">
      <c r="A311" s="610" t="s">
        <v>3232</v>
      </c>
      <c r="B311" s="30" t="s">
        <v>5548</v>
      </c>
      <c r="C311" s="17" t="s">
        <v>3724</v>
      </c>
      <c r="D311" s="21" t="s">
        <v>7101</v>
      </c>
      <c r="E311" s="30" t="s">
        <v>3567</v>
      </c>
      <c r="F311" s="452">
        <v>14.07</v>
      </c>
      <c r="G311" s="784">
        <v>44926</v>
      </c>
      <c r="H311" s="786">
        <f>'EEG-Vergütungen und vNNE'!J$31</f>
        <v>44896</v>
      </c>
    </row>
    <row r="312" spans="1:8" s="178" customFormat="1" x14ac:dyDescent="0.25">
      <c r="A312" s="610" t="s">
        <v>5198</v>
      </c>
      <c r="B312" s="30" t="s">
        <v>5548</v>
      </c>
      <c r="C312" s="17" t="s">
        <v>3724</v>
      </c>
      <c r="D312" s="21" t="s">
        <v>7102</v>
      </c>
      <c r="E312" s="30" t="s">
        <v>3055</v>
      </c>
      <c r="F312" s="452">
        <v>14.04</v>
      </c>
      <c r="G312" s="784">
        <v>44926</v>
      </c>
      <c r="H312" s="786">
        <f>'EEG-Vergütungen und vNNE'!J$31</f>
        <v>44896</v>
      </c>
    </row>
    <row r="313" spans="1:8" s="178" customFormat="1" x14ac:dyDescent="0.25">
      <c r="A313" s="625" t="s">
        <v>4223</v>
      </c>
      <c r="B313" s="219" t="s">
        <v>5548</v>
      </c>
      <c r="C313" s="221" t="s">
        <v>3724</v>
      </c>
      <c r="D313" s="220" t="s">
        <v>7103</v>
      </c>
      <c r="E313" s="219" t="s">
        <v>1980</v>
      </c>
      <c r="F313" s="453">
        <v>14.01</v>
      </c>
      <c r="G313" s="784">
        <v>44926</v>
      </c>
      <c r="H313" s="786">
        <f>'EEG-Vergütungen und vNNE'!J$31</f>
        <v>44896</v>
      </c>
    </row>
    <row r="314" spans="1:8" s="178" customFormat="1" x14ac:dyDescent="0.25">
      <c r="A314" s="608" t="s">
        <v>4797</v>
      </c>
      <c r="B314" s="2" t="s">
        <v>5548</v>
      </c>
      <c r="C314" s="2" t="s">
        <v>3724</v>
      </c>
      <c r="D314" s="34" t="s">
        <v>7104</v>
      </c>
      <c r="E314" s="192" t="s">
        <v>4810</v>
      </c>
      <c r="F314" s="456">
        <v>16.100000000000001</v>
      </c>
      <c r="G314" s="784">
        <v>44926</v>
      </c>
      <c r="H314" s="786">
        <f>'EEG-Vergütungen und vNNE'!J$31</f>
        <v>44896</v>
      </c>
    </row>
    <row r="315" spans="1:8" s="178" customFormat="1" x14ac:dyDescent="0.25">
      <c r="A315" s="610" t="s">
        <v>4031</v>
      </c>
      <c r="B315" s="30" t="s">
        <v>5548</v>
      </c>
      <c r="C315" s="30" t="s">
        <v>3724</v>
      </c>
      <c r="D315" s="30" t="s">
        <v>7342</v>
      </c>
      <c r="E315" s="30" t="s">
        <v>4331</v>
      </c>
      <c r="F315" s="454">
        <v>19.100000000000001</v>
      </c>
      <c r="G315" s="784">
        <v>44926</v>
      </c>
      <c r="H315" s="786">
        <f>'EEG-Vergütungen und vNNE'!J$31</f>
        <v>44896</v>
      </c>
    </row>
    <row r="316" spans="1:8" s="178" customFormat="1" x14ac:dyDescent="0.25">
      <c r="A316" s="610" t="s">
        <v>2608</v>
      </c>
      <c r="B316" s="30" t="s">
        <v>5548</v>
      </c>
      <c r="C316" s="17" t="s">
        <v>3724</v>
      </c>
      <c r="D316" s="30" t="s">
        <v>7343</v>
      </c>
      <c r="E316" s="17" t="s">
        <v>674</v>
      </c>
      <c r="F316" s="454">
        <v>19.100000000000001</v>
      </c>
      <c r="G316" s="784">
        <v>44926</v>
      </c>
      <c r="H316" s="786">
        <f>'EEG-Vergütungen und vNNE'!J$31</f>
        <v>44896</v>
      </c>
    </row>
    <row r="317" spans="1:8" s="178" customFormat="1" x14ac:dyDescent="0.25">
      <c r="A317" s="610" t="s">
        <v>3233</v>
      </c>
      <c r="B317" s="30" t="s">
        <v>5548</v>
      </c>
      <c r="C317" s="17" t="s">
        <v>3724</v>
      </c>
      <c r="D317" s="30" t="s">
        <v>7344</v>
      </c>
      <c r="E317" s="30" t="s">
        <v>3567</v>
      </c>
      <c r="F317" s="454">
        <v>19.07</v>
      </c>
      <c r="G317" s="784">
        <v>44926</v>
      </c>
      <c r="H317" s="786">
        <f>'EEG-Vergütungen und vNNE'!J$31</f>
        <v>44896</v>
      </c>
    </row>
    <row r="318" spans="1:8" customFormat="1" x14ac:dyDescent="0.25">
      <c r="A318" s="610" t="s">
        <v>5199</v>
      </c>
      <c r="B318" s="30" t="s">
        <v>5548</v>
      </c>
      <c r="C318" s="17" t="s">
        <v>3724</v>
      </c>
      <c r="D318" s="30" t="s">
        <v>7345</v>
      </c>
      <c r="E318" s="30" t="s">
        <v>3055</v>
      </c>
      <c r="F318" s="454">
        <v>19.04</v>
      </c>
      <c r="G318" s="784">
        <v>44926</v>
      </c>
      <c r="H318" s="786">
        <f>'EEG-Vergütungen und vNNE'!J$31</f>
        <v>44896</v>
      </c>
    </row>
    <row r="319" spans="1:8" customFormat="1" x14ac:dyDescent="0.25">
      <c r="A319" s="625" t="s">
        <v>4224</v>
      </c>
      <c r="B319" s="219" t="s">
        <v>5548</v>
      </c>
      <c r="C319" s="221" t="s">
        <v>3724</v>
      </c>
      <c r="D319" s="219" t="s">
        <v>7346</v>
      </c>
      <c r="E319" s="219" t="s">
        <v>1980</v>
      </c>
      <c r="F319" s="455">
        <v>19.009999999999998</v>
      </c>
      <c r="G319" s="784">
        <v>44926</v>
      </c>
      <c r="H319" s="786">
        <f>'EEG-Vergütungen und vNNE'!J$31</f>
        <v>44896</v>
      </c>
    </row>
    <row r="320" spans="1:8" customFormat="1" x14ac:dyDescent="0.25">
      <c r="A320" s="610" t="s">
        <v>841</v>
      </c>
      <c r="B320" s="17" t="s">
        <v>5548</v>
      </c>
      <c r="C320" s="17" t="s">
        <v>3724</v>
      </c>
      <c r="D320" s="30" t="s">
        <v>7111</v>
      </c>
      <c r="E320" s="194" t="s">
        <v>4810</v>
      </c>
      <c r="F320" s="454">
        <v>17.100000000000001</v>
      </c>
      <c r="G320" s="784">
        <v>44926</v>
      </c>
      <c r="H320" s="786">
        <f>'EEG-Vergütungen und vNNE'!J$31</f>
        <v>44896</v>
      </c>
    </row>
    <row r="321" spans="1:8" customFormat="1" x14ac:dyDescent="0.25">
      <c r="A321" s="610" t="s">
        <v>842</v>
      </c>
      <c r="B321" s="30" t="s">
        <v>5548</v>
      </c>
      <c r="C321" s="30" t="s">
        <v>3724</v>
      </c>
      <c r="D321" s="30" t="s">
        <v>7113</v>
      </c>
      <c r="E321" s="30" t="s">
        <v>4331</v>
      </c>
      <c r="F321" s="454">
        <v>20.100000000000001</v>
      </c>
      <c r="G321" s="784">
        <v>44926</v>
      </c>
      <c r="H321" s="786">
        <f>'EEG-Vergütungen und vNNE'!J$31</f>
        <v>44896</v>
      </c>
    </row>
    <row r="322" spans="1:8" customFormat="1" x14ac:dyDescent="0.25">
      <c r="A322" s="610" t="s">
        <v>843</v>
      </c>
      <c r="B322" s="30" t="s">
        <v>5548</v>
      </c>
      <c r="C322" s="17" t="s">
        <v>3724</v>
      </c>
      <c r="D322" s="30" t="s">
        <v>7114</v>
      </c>
      <c r="E322" s="17" t="s">
        <v>674</v>
      </c>
      <c r="F322" s="454">
        <v>20.100000000000001</v>
      </c>
      <c r="G322" s="784">
        <v>44926</v>
      </c>
      <c r="H322" s="786">
        <f>'EEG-Vergütungen und vNNE'!J$31</f>
        <v>44896</v>
      </c>
    </row>
    <row r="323" spans="1:8" customFormat="1" x14ac:dyDescent="0.25">
      <c r="A323" s="610" t="s">
        <v>3234</v>
      </c>
      <c r="B323" s="30" t="s">
        <v>5548</v>
      </c>
      <c r="C323" s="17" t="s">
        <v>3724</v>
      </c>
      <c r="D323" s="30" t="s">
        <v>7115</v>
      </c>
      <c r="E323" s="30" t="s">
        <v>3567</v>
      </c>
      <c r="F323" s="454">
        <v>20.07</v>
      </c>
      <c r="G323" s="784">
        <v>44926</v>
      </c>
      <c r="H323" s="786">
        <f>'EEG-Vergütungen und vNNE'!J$31</f>
        <v>44896</v>
      </c>
    </row>
    <row r="324" spans="1:8" customFormat="1" x14ac:dyDescent="0.25">
      <c r="A324" s="610" t="s">
        <v>5200</v>
      </c>
      <c r="B324" s="30" t="s">
        <v>5548</v>
      </c>
      <c r="C324" s="17" t="s">
        <v>3724</v>
      </c>
      <c r="D324" s="30" t="s">
        <v>7116</v>
      </c>
      <c r="E324" s="30" t="s">
        <v>3055</v>
      </c>
      <c r="F324" s="454">
        <v>20.04</v>
      </c>
      <c r="G324" s="784">
        <v>44926</v>
      </c>
      <c r="H324" s="786">
        <f>'EEG-Vergütungen und vNNE'!J$31</f>
        <v>44896</v>
      </c>
    </row>
    <row r="325" spans="1:8" customFormat="1" x14ac:dyDescent="0.25">
      <c r="A325" s="625" t="s">
        <v>4225</v>
      </c>
      <c r="B325" s="219" t="s">
        <v>5548</v>
      </c>
      <c r="C325" s="221" t="s">
        <v>3724</v>
      </c>
      <c r="D325" s="219" t="s">
        <v>7117</v>
      </c>
      <c r="E325" s="219" t="s">
        <v>1980</v>
      </c>
      <c r="F325" s="455">
        <v>20.009999999999998</v>
      </c>
      <c r="G325" s="784">
        <v>44926</v>
      </c>
      <c r="H325" s="786">
        <f>'EEG-Vergütungen und vNNE'!J$31</f>
        <v>44896</v>
      </c>
    </row>
    <row r="326" spans="1:8" customFormat="1" x14ac:dyDescent="0.25">
      <c r="A326" s="610" t="s">
        <v>4619</v>
      </c>
      <c r="B326" s="30" t="s">
        <v>5548</v>
      </c>
      <c r="C326" s="30" t="s">
        <v>3724</v>
      </c>
      <c r="D326" s="30" t="s">
        <v>7034</v>
      </c>
      <c r="E326" s="30" t="s">
        <v>4810</v>
      </c>
      <c r="F326" s="454">
        <v>17.100000000000001</v>
      </c>
      <c r="G326" s="784">
        <v>44926</v>
      </c>
      <c r="H326" s="786">
        <f>'EEG-Vergütungen und vNNE'!J$31</f>
        <v>44896</v>
      </c>
    </row>
    <row r="327" spans="1:8" customFormat="1" x14ac:dyDescent="0.25">
      <c r="A327" s="610" t="s">
        <v>4620</v>
      </c>
      <c r="B327" s="30" t="s">
        <v>5548</v>
      </c>
      <c r="C327" s="30" t="s">
        <v>3724</v>
      </c>
      <c r="D327" s="30" t="s">
        <v>7035</v>
      </c>
      <c r="E327" s="30" t="s">
        <v>4331</v>
      </c>
      <c r="F327" s="454">
        <v>20.100000000000001</v>
      </c>
      <c r="G327" s="784">
        <v>44926</v>
      </c>
      <c r="H327" s="786">
        <f>'EEG-Vergütungen und vNNE'!J$31</f>
        <v>44896</v>
      </c>
    </row>
    <row r="328" spans="1:8" customFormat="1" x14ac:dyDescent="0.25">
      <c r="A328" s="610" t="s">
        <v>4621</v>
      </c>
      <c r="B328" s="30" t="s">
        <v>5548</v>
      </c>
      <c r="C328" s="30" t="s">
        <v>3724</v>
      </c>
      <c r="D328" s="30" t="s">
        <v>7036</v>
      </c>
      <c r="E328" s="30" t="s">
        <v>674</v>
      </c>
      <c r="F328" s="454">
        <v>20.100000000000001</v>
      </c>
      <c r="G328" s="784">
        <v>44926</v>
      </c>
      <c r="H328" s="786">
        <f>'EEG-Vergütungen und vNNE'!J$31</f>
        <v>44896</v>
      </c>
    </row>
    <row r="329" spans="1:8" customFormat="1" x14ac:dyDescent="0.25">
      <c r="A329" s="610" t="s">
        <v>3235</v>
      </c>
      <c r="B329" s="30" t="s">
        <v>5548</v>
      </c>
      <c r="C329" s="30" t="s">
        <v>3724</v>
      </c>
      <c r="D329" s="30" t="s">
        <v>7037</v>
      </c>
      <c r="E329" s="30" t="s">
        <v>3567</v>
      </c>
      <c r="F329" s="454">
        <v>20.07</v>
      </c>
      <c r="G329" s="784">
        <v>44926</v>
      </c>
      <c r="H329" s="786">
        <f>'EEG-Vergütungen und vNNE'!J$31</f>
        <v>44896</v>
      </c>
    </row>
    <row r="330" spans="1:8" customFormat="1" x14ac:dyDescent="0.25">
      <c r="A330" s="610" t="s">
        <v>5201</v>
      </c>
      <c r="B330" s="30" t="s">
        <v>5548</v>
      </c>
      <c r="C330" s="30" t="s">
        <v>3724</v>
      </c>
      <c r="D330" s="30" t="s">
        <v>7038</v>
      </c>
      <c r="E330" s="30" t="s">
        <v>3055</v>
      </c>
      <c r="F330" s="454">
        <v>20.04</v>
      </c>
      <c r="G330" s="784">
        <v>44926</v>
      </c>
      <c r="H330" s="786">
        <f>'EEG-Vergütungen und vNNE'!J$31</f>
        <v>44896</v>
      </c>
    </row>
    <row r="331" spans="1:8" customFormat="1" x14ac:dyDescent="0.25">
      <c r="A331" s="625" t="s">
        <v>4226</v>
      </c>
      <c r="B331" s="219" t="s">
        <v>5548</v>
      </c>
      <c r="C331" s="219" t="s">
        <v>3724</v>
      </c>
      <c r="D331" s="219" t="s">
        <v>7039</v>
      </c>
      <c r="E331" s="219" t="s">
        <v>1980</v>
      </c>
      <c r="F331" s="455">
        <v>20.009999999999998</v>
      </c>
      <c r="G331" s="784">
        <v>44926</v>
      </c>
      <c r="H331" s="786">
        <f>'EEG-Vergütungen und vNNE'!J$31</f>
        <v>44896</v>
      </c>
    </row>
    <row r="332" spans="1:8" customFormat="1" x14ac:dyDescent="0.25">
      <c r="A332" s="610" t="s">
        <v>4622</v>
      </c>
      <c r="B332" s="30" t="s">
        <v>5548</v>
      </c>
      <c r="C332" s="30" t="s">
        <v>3724</v>
      </c>
      <c r="D332" s="30" t="s">
        <v>7040</v>
      </c>
      <c r="E332" s="30" t="s">
        <v>4810</v>
      </c>
      <c r="F332" s="454">
        <v>18.100000000000001</v>
      </c>
      <c r="G332" s="784">
        <v>44926</v>
      </c>
      <c r="H332" s="786">
        <f>'EEG-Vergütungen und vNNE'!J$31</f>
        <v>44896</v>
      </c>
    </row>
    <row r="333" spans="1:8" customFormat="1" x14ac:dyDescent="0.25">
      <c r="A333" s="610" t="s">
        <v>4623</v>
      </c>
      <c r="B333" s="30" t="s">
        <v>5548</v>
      </c>
      <c r="C333" s="30" t="s">
        <v>3724</v>
      </c>
      <c r="D333" s="109" t="s">
        <v>7041</v>
      </c>
      <c r="E333" s="30" t="s">
        <v>4331</v>
      </c>
      <c r="F333" s="454">
        <v>21.1</v>
      </c>
      <c r="G333" s="784">
        <v>44926</v>
      </c>
      <c r="H333" s="786">
        <f>'EEG-Vergütungen und vNNE'!J$31</f>
        <v>44896</v>
      </c>
    </row>
    <row r="334" spans="1:8" customFormat="1" x14ac:dyDescent="0.25">
      <c r="A334" s="610" t="s">
        <v>4624</v>
      </c>
      <c r="B334" s="30" t="s">
        <v>5548</v>
      </c>
      <c r="C334" s="30" t="s">
        <v>3724</v>
      </c>
      <c r="D334" s="30" t="s">
        <v>7042</v>
      </c>
      <c r="E334" s="30" t="s">
        <v>674</v>
      </c>
      <c r="F334" s="454">
        <v>21.1</v>
      </c>
      <c r="G334" s="784">
        <v>44926</v>
      </c>
      <c r="H334" s="786">
        <f>'EEG-Vergütungen und vNNE'!J$31</f>
        <v>44896</v>
      </c>
    </row>
    <row r="335" spans="1:8" customFormat="1" x14ac:dyDescent="0.25">
      <c r="A335" s="610" t="s">
        <v>3236</v>
      </c>
      <c r="B335" s="30" t="s">
        <v>5548</v>
      </c>
      <c r="C335" s="30" t="s">
        <v>3724</v>
      </c>
      <c r="D335" s="30" t="s">
        <v>7043</v>
      </c>
      <c r="E335" s="30" t="s">
        <v>3567</v>
      </c>
      <c r="F335" s="454">
        <v>21.07</v>
      </c>
      <c r="G335" s="784">
        <v>44926</v>
      </c>
      <c r="H335" s="786">
        <f>'EEG-Vergütungen und vNNE'!J$31</f>
        <v>44896</v>
      </c>
    </row>
    <row r="336" spans="1:8" customFormat="1" x14ac:dyDescent="0.25">
      <c r="A336" s="610" t="s">
        <v>5202</v>
      </c>
      <c r="B336" s="30" t="s">
        <v>5548</v>
      </c>
      <c r="C336" s="30" t="s">
        <v>3724</v>
      </c>
      <c r="D336" s="30" t="s">
        <v>7044</v>
      </c>
      <c r="E336" s="30" t="s">
        <v>3055</v>
      </c>
      <c r="F336" s="454">
        <v>21.04</v>
      </c>
      <c r="G336" s="784">
        <v>44926</v>
      </c>
      <c r="H336" s="786">
        <f>'EEG-Vergütungen und vNNE'!J$31</f>
        <v>44896</v>
      </c>
    </row>
    <row r="337" spans="1:8" customFormat="1" x14ac:dyDescent="0.25">
      <c r="A337" s="625" t="s">
        <v>4227</v>
      </c>
      <c r="B337" s="219" t="s">
        <v>5548</v>
      </c>
      <c r="C337" s="219" t="s">
        <v>3724</v>
      </c>
      <c r="D337" s="219" t="s">
        <v>7045</v>
      </c>
      <c r="E337" s="219" t="s">
        <v>1980</v>
      </c>
      <c r="F337" s="455">
        <v>21.009999999999998</v>
      </c>
      <c r="G337" s="784">
        <v>44926</v>
      </c>
      <c r="H337" s="786">
        <f>'EEG-Vergütungen und vNNE'!J$31</f>
        <v>44896</v>
      </c>
    </row>
    <row r="338" spans="1:8" customFormat="1" x14ac:dyDescent="0.25">
      <c r="A338" s="610" t="s">
        <v>4625</v>
      </c>
      <c r="B338" s="30" t="s">
        <v>5548</v>
      </c>
      <c r="C338" s="30" t="s">
        <v>3724</v>
      </c>
      <c r="D338" s="30" t="s">
        <v>7046</v>
      </c>
      <c r="E338" s="30" t="s">
        <v>4810</v>
      </c>
      <c r="F338" s="454">
        <v>18.100000000000001</v>
      </c>
      <c r="G338" s="784">
        <v>44926</v>
      </c>
      <c r="H338" s="786">
        <f>'EEG-Vergütungen und vNNE'!J$31</f>
        <v>44896</v>
      </c>
    </row>
    <row r="339" spans="1:8" customFormat="1" x14ac:dyDescent="0.25">
      <c r="A339" s="610" t="s">
        <v>4626</v>
      </c>
      <c r="B339" s="30" t="s">
        <v>5548</v>
      </c>
      <c r="C339" s="30" t="s">
        <v>3724</v>
      </c>
      <c r="D339" s="30" t="s">
        <v>7047</v>
      </c>
      <c r="E339" s="30" t="s">
        <v>4331</v>
      </c>
      <c r="F339" s="454">
        <v>21.1</v>
      </c>
      <c r="G339" s="784">
        <v>44926</v>
      </c>
      <c r="H339" s="786">
        <f>'EEG-Vergütungen und vNNE'!J$31</f>
        <v>44896</v>
      </c>
    </row>
    <row r="340" spans="1:8" customFormat="1" x14ac:dyDescent="0.25">
      <c r="A340" s="610" t="s">
        <v>4096</v>
      </c>
      <c r="B340" s="30" t="s">
        <v>5548</v>
      </c>
      <c r="C340" s="30" t="s">
        <v>3724</v>
      </c>
      <c r="D340" s="30" t="s">
        <v>7048</v>
      </c>
      <c r="E340" s="30" t="s">
        <v>674</v>
      </c>
      <c r="F340" s="454">
        <v>21.1</v>
      </c>
      <c r="G340" s="784">
        <v>44926</v>
      </c>
      <c r="H340" s="786">
        <f>'EEG-Vergütungen und vNNE'!J$31</f>
        <v>44896</v>
      </c>
    </row>
    <row r="341" spans="1:8" customFormat="1" x14ac:dyDescent="0.25">
      <c r="A341" s="610" t="s">
        <v>3237</v>
      </c>
      <c r="B341" s="30" t="s">
        <v>5548</v>
      </c>
      <c r="C341" s="30" t="s">
        <v>3724</v>
      </c>
      <c r="D341" s="30" t="s">
        <v>7049</v>
      </c>
      <c r="E341" s="30" t="s">
        <v>3567</v>
      </c>
      <c r="F341" s="454">
        <v>21.07</v>
      </c>
      <c r="G341" s="784">
        <v>44926</v>
      </c>
      <c r="H341" s="786">
        <f>'EEG-Vergütungen und vNNE'!J$31</f>
        <v>44896</v>
      </c>
    </row>
    <row r="342" spans="1:8" customFormat="1" x14ac:dyDescent="0.25">
      <c r="A342" s="610" t="s">
        <v>5203</v>
      </c>
      <c r="B342" s="30" t="s">
        <v>5548</v>
      </c>
      <c r="C342" s="30" t="s">
        <v>3724</v>
      </c>
      <c r="D342" s="30" t="s">
        <v>7050</v>
      </c>
      <c r="E342" s="30" t="s">
        <v>3055</v>
      </c>
      <c r="F342" s="454">
        <v>21.04</v>
      </c>
      <c r="G342" s="784">
        <v>44926</v>
      </c>
      <c r="H342" s="786">
        <f>'EEG-Vergütungen und vNNE'!J$31</f>
        <v>44896</v>
      </c>
    </row>
    <row r="343" spans="1:8" customFormat="1" x14ac:dyDescent="0.25">
      <c r="A343" s="625" t="s">
        <v>4228</v>
      </c>
      <c r="B343" s="219" t="s">
        <v>5548</v>
      </c>
      <c r="C343" s="219" t="s">
        <v>3724</v>
      </c>
      <c r="D343" s="219" t="s">
        <v>7051</v>
      </c>
      <c r="E343" s="219" t="s">
        <v>1980</v>
      </c>
      <c r="F343" s="455">
        <v>21.009999999999998</v>
      </c>
      <c r="G343" s="784">
        <v>44926</v>
      </c>
      <c r="H343" s="786">
        <f>'EEG-Vergütungen und vNNE'!J$31</f>
        <v>44896</v>
      </c>
    </row>
    <row r="344" spans="1:8" customFormat="1" x14ac:dyDescent="0.25">
      <c r="A344" s="612" t="s">
        <v>4097</v>
      </c>
      <c r="B344" s="30" t="s">
        <v>5548</v>
      </c>
      <c r="C344" s="30" t="s">
        <v>3724</v>
      </c>
      <c r="D344" s="30" t="s">
        <v>7052</v>
      </c>
      <c r="E344" s="30" t="s">
        <v>4810</v>
      </c>
      <c r="F344" s="454">
        <v>19.100000000000001</v>
      </c>
      <c r="G344" s="784">
        <v>44926</v>
      </c>
      <c r="H344" s="786">
        <f>'EEG-Vergütungen und vNNE'!J$31</f>
        <v>44896</v>
      </c>
    </row>
    <row r="345" spans="1:8" customFormat="1" x14ac:dyDescent="0.25">
      <c r="A345" s="612" t="s">
        <v>4098</v>
      </c>
      <c r="B345" s="30" t="s">
        <v>5548</v>
      </c>
      <c r="C345" s="30" t="s">
        <v>3724</v>
      </c>
      <c r="D345" s="109" t="s">
        <v>7053</v>
      </c>
      <c r="E345" s="30" t="s">
        <v>4331</v>
      </c>
      <c r="F345" s="454">
        <v>22.1</v>
      </c>
      <c r="G345" s="784">
        <v>44926</v>
      </c>
      <c r="H345" s="786">
        <f>'EEG-Vergütungen und vNNE'!J$31</f>
        <v>44896</v>
      </c>
    </row>
    <row r="346" spans="1:8" customFormat="1" x14ac:dyDescent="0.25">
      <c r="A346" s="612" t="s">
        <v>4099</v>
      </c>
      <c r="B346" s="30" t="s">
        <v>5548</v>
      </c>
      <c r="C346" s="30" t="s">
        <v>3724</v>
      </c>
      <c r="D346" s="30" t="s">
        <v>7054</v>
      </c>
      <c r="E346" s="30" t="s">
        <v>674</v>
      </c>
      <c r="F346" s="454">
        <v>22.1</v>
      </c>
      <c r="G346" s="784">
        <v>44926</v>
      </c>
      <c r="H346" s="786">
        <f>'EEG-Vergütungen und vNNE'!J$31</f>
        <v>44896</v>
      </c>
    </row>
    <row r="347" spans="1:8" customFormat="1" x14ac:dyDescent="0.25">
      <c r="A347" s="612" t="s">
        <v>3238</v>
      </c>
      <c r="B347" s="30" t="s">
        <v>5548</v>
      </c>
      <c r="C347" s="30" t="s">
        <v>3724</v>
      </c>
      <c r="D347" s="30" t="s">
        <v>7055</v>
      </c>
      <c r="E347" s="30" t="s">
        <v>3567</v>
      </c>
      <c r="F347" s="454">
        <v>22.07</v>
      </c>
      <c r="G347" s="784">
        <v>44926</v>
      </c>
      <c r="H347" s="786">
        <f>'EEG-Vergütungen und vNNE'!J$31</f>
        <v>44896</v>
      </c>
    </row>
    <row r="348" spans="1:8" customFormat="1" x14ac:dyDescent="0.25">
      <c r="A348" s="612" t="s">
        <v>5204</v>
      </c>
      <c r="B348" s="30" t="s">
        <v>5548</v>
      </c>
      <c r="C348" s="30" t="s">
        <v>3724</v>
      </c>
      <c r="D348" s="30" t="s">
        <v>7056</v>
      </c>
      <c r="E348" s="30" t="s">
        <v>3055</v>
      </c>
      <c r="F348" s="454">
        <v>22.04</v>
      </c>
      <c r="G348" s="784">
        <v>44926</v>
      </c>
      <c r="H348" s="786">
        <f>'EEG-Vergütungen und vNNE'!J$31</f>
        <v>44896</v>
      </c>
    </row>
    <row r="349" spans="1:8" customFormat="1" x14ac:dyDescent="0.25">
      <c r="A349" s="626" t="s">
        <v>4229</v>
      </c>
      <c r="B349" s="219" t="s">
        <v>5548</v>
      </c>
      <c r="C349" s="219" t="s">
        <v>3724</v>
      </c>
      <c r="D349" s="219" t="s">
        <v>7057</v>
      </c>
      <c r="E349" s="219" t="s">
        <v>1980</v>
      </c>
      <c r="F349" s="455">
        <v>22.009999999999998</v>
      </c>
      <c r="G349" s="784">
        <v>44926</v>
      </c>
      <c r="H349" s="786">
        <f>'EEG-Vergütungen und vNNE'!J$31</f>
        <v>44896</v>
      </c>
    </row>
    <row r="350" spans="1:8" customFormat="1" x14ac:dyDescent="0.25">
      <c r="A350" s="612" t="s">
        <v>4100</v>
      </c>
      <c r="B350" s="30" t="s">
        <v>5548</v>
      </c>
      <c r="C350" s="30" t="s">
        <v>3724</v>
      </c>
      <c r="D350" s="30" t="s">
        <v>7058</v>
      </c>
      <c r="E350" s="30" t="s">
        <v>4810</v>
      </c>
      <c r="F350" s="454">
        <v>19.100000000000001</v>
      </c>
      <c r="G350" s="784">
        <v>44926</v>
      </c>
      <c r="H350" s="786">
        <f>'EEG-Vergütungen und vNNE'!J$31</f>
        <v>44896</v>
      </c>
    </row>
    <row r="351" spans="1:8" customFormat="1" x14ac:dyDescent="0.25">
      <c r="A351" s="612" t="s">
        <v>4101</v>
      </c>
      <c r="B351" s="30" t="s">
        <v>5548</v>
      </c>
      <c r="C351" s="30" t="s">
        <v>3724</v>
      </c>
      <c r="D351" s="30" t="s">
        <v>7059</v>
      </c>
      <c r="E351" s="30" t="s">
        <v>4331</v>
      </c>
      <c r="F351" s="454">
        <v>22.1</v>
      </c>
      <c r="G351" s="784">
        <v>44926</v>
      </c>
      <c r="H351" s="786">
        <f>'EEG-Vergütungen und vNNE'!J$31</f>
        <v>44896</v>
      </c>
    </row>
    <row r="352" spans="1:8" customFormat="1" x14ac:dyDescent="0.25">
      <c r="A352" s="612" t="s">
        <v>4102</v>
      </c>
      <c r="B352" s="30" t="s">
        <v>5548</v>
      </c>
      <c r="C352" s="30" t="s">
        <v>3724</v>
      </c>
      <c r="D352" s="30" t="s">
        <v>7060</v>
      </c>
      <c r="E352" s="30" t="s">
        <v>674</v>
      </c>
      <c r="F352" s="454">
        <v>22.1</v>
      </c>
      <c r="G352" s="784">
        <v>44926</v>
      </c>
      <c r="H352" s="786">
        <f>'EEG-Vergütungen und vNNE'!J$31</f>
        <v>44896</v>
      </c>
    </row>
    <row r="353" spans="1:8" customFormat="1" x14ac:dyDescent="0.25">
      <c r="A353" s="612" t="s">
        <v>3239</v>
      </c>
      <c r="B353" s="30" t="s">
        <v>5548</v>
      </c>
      <c r="C353" s="30" t="s">
        <v>3724</v>
      </c>
      <c r="D353" s="30" t="s">
        <v>7061</v>
      </c>
      <c r="E353" s="30" t="s">
        <v>3567</v>
      </c>
      <c r="F353" s="454">
        <v>22.07</v>
      </c>
      <c r="G353" s="784">
        <v>44926</v>
      </c>
      <c r="H353" s="786">
        <f>'EEG-Vergütungen und vNNE'!J$31</f>
        <v>44896</v>
      </c>
    </row>
    <row r="354" spans="1:8" customFormat="1" x14ac:dyDescent="0.25">
      <c r="A354" s="610" t="s">
        <v>5205</v>
      </c>
      <c r="B354" s="30" t="s">
        <v>5548</v>
      </c>
      <c r="C354" s="30" t="s">
        <v>3724</v>
      </c>
      <c r="D354" s="30" t="s">
        <v>7062</v>
      </c>
      <c r="E354" s="30" t="s">
        <v>3055</v>
      </c>
      <c r="F354" s="454">
        <v>22.04</v>
      </c>
      <c r="G354" s="784">
        <v>44926</v>
      </c>
      <c r="H354" s="786">
        <f>'EEG-Vergütungen und vNNE'!J$31</f>
        <v>44896</v>
      </c>
    </row>
    <row r="355" spans="1:8" customFormat="1" x14ac:dyDescent="0.25">
      <c r="A355" s="625" t="s">
        <v>4230</v>
      </c>
      <c r="B355" s="219" t="s">
        <v>5548</v>
      </c>
      <c r="C355" s="219" t="s">
        <v>3724</v>
      </c>
      <c r="D355" s="219" t="s">
        <v>7063</v>
      </c>
      <c r="E355" s="219" t="s">
        <v>1980</v>
      </c>
      <c r="F355" s="455">
        <v>22.009999999999998</v>
      </c>
      <c r="G355" s="784">
        <v>44926</v>
      </c>
      <c r="H355" s="786">
        <f>'EEG-Vergütungen und vNNE'!J$31</f>
        <v>44896</v>
      </c>
    </row>
    <row r="356" spans="1:8" customFormat="1" x14ac:dyDescent="0.25">
      <c r="A356" s="610" t="s">
        <v>4103</v>
      </c>
      <c r="B356" s="30" t="s">
        <v>5548</v>
      </c>
      <c r="C356" s="30" t="s">
        <v>3724</v>
      </c>
      <c r="D356" s="30" t="s">
        <v>7064</v>
      </c>
      <c r="E356" s="30" t="s">
        <v>4810</v>
      </c>
      <c r="F356" s="454">
        <v>20.100000000000001</v>
      </c>
      <c r="G356" s="784">
        <v>44926</v>
      </c>
      <c r="H356" s="786">
        <f>'EEG-Vergütungen und vNNE'!J$31</f>
        <v>44896</v>
      </c>
    </row>
    <row r="357" spans="1:8" customFormat="1" x14ac:dyDescent="0.25">
      <c r="A357" s="610" t="s">
        <v>4104</v>
      </c>
      <c r="B357" s="30" t="s">
        <v>5548</v>
      </c>
      <c r="C357" s="30" t="s">
        <v>3724</v>
      </c>
      <c r="D357" s="109" t="s">
        <v>7065</v>
      </c>
      <c r="E357" s="30" t="s">
        <v>4331</v>
      </c>
      <c r="F357" s="454">
        <v>23.1</v>
      </c>
      <c r="G357" s="784">
        <v>44926</v>
      </c>
      <c r="H357" s="786">
        <f>'EEG-Vergütungen und vNNE'!J$31</f>
        <v>44896</v>
      </c>
    </row>
    <row r="358" spans="1:8" customFormat="1" x14ac:dyDescent="0.25">
      <c r="A358" s="612" t="s">
        <v>4105</v>
      </c>
      <c r="B358" s="30" t="s">
        <v>5548</v>
      </c>
      <c r="C358" s="30" t="s">
        <v>3724</v>
      </c>
      <c r="D358" s="30" t="s">
        <v>7066</v>
      </c>
      <c r="E358" s="30" t="s">
        <v>674</v>
      </c>
      <c r="F358" s="454">
        <v>23.1</v>
      </c>
      <c r="G358" s="784">
        <v>44926</v>
      </c>
      <c r="H358" s="786">
        <f>'EEG-Vergütungen und vNNE'!J$31</f>
        <v>44896</v>
      </c>
    </row>
    <row r="359" spans="1:8" customFormat="1" x14ac:dyDescent="0.25">
      <c r="A359" s="610" t="s">
        <v>3240</v>
      </c>
      <c r="B359" s="30" t="s">
        <v>5548</v>
      </c>
      <c r="C359" s="30" t="s">
        <v>3724</v>
      </c>
      <c r="D359" s="30" t="s">
        <v>7067</v>
      </c>
      <c r="E359" s="30" t="s">
        <v>3567</v>
      </c>
      <c r="F359" s="454">
        <v>23.07</v>
      </c>
      <c r="G359" s="784">
        <v>44926</v>
      </c>
      <c r="H359" s="786">
        <f>'EEG-Vergütungen und vNNE'!J$31</f>
        <v>44896</v>
      </c>
    </row>
    <row r="360" spans="1:8" customFormat="1" x14ac:dyDescent="0.25">
      <c r="A360" s="610" t="s">
        <v>5206</v>
      </c>
      <c r="B360" s="30" t="s">
        <v>5548</v>
      </c>
      <c r="C360" s="30" t="s">
        <v>3724</v>
      </c>
      <c r="D360" s="30" t="s">
        <v>7068</v>
      </c>
      <c r="E360" s="30" t="s">
        <v>3055</v>
      </c>
      <c r="F360" s="454">
        <v>23.04</v>
      </c>
      <c r="G360" s="784">
        <v>44926</v>
      </c>
      <c r="H360" s="786">
        <f>'EEG-Vergütungen und vNNE'!J$31</f>
        <v>44896</v>
      </c>
    </row>
    <row r="361" spans="1:8" customFormat="1" x14ac:dyDescent="0.25">
      <c r="A361" s="625" t="s">
        <v>4231</v>
      </c>
      <c r="B361" s="219" t="s">
        <v>5548</v>
      </c>
      <c r="C361" s="219" t="s">
        <v>3724</v>
      </c>
      <c r="D361" s="219" t="s">
        <v>7069</v>
      </c>
      <c r="E361" s="219" t="s">
        <v>1980</v>
      </c>
      <c r="F361" s="455">
        <v>23.009999999999998</v>
      </c>
      <c r="G361" s="784">
        <v>44926</v>
      </c>
      <c r="H361" s="786">
        <f>'EEG-Vergütungen und vNNE'!J$31</f>
        <v>44896</v>
      </c>
    </row>
    <row r="362" spans="1:8" customFormat="1" x14ac:dyDescent="0.25">
      <c r="A362" s="610" t="s">
        <v>4106</v>
      </c>
      <c r="B362" s="30" t="s">
        <v>5548</v>
      </c>
      <c r="C362" s="30" t="s">
        <v>3724</v>
      </c>
      <c r="D362" s="30" t="s">
        <v>7070</v>
      </c>
      <c r="E362" s="30" t="s">
        <v>4810</v>
      </c>
      <c r="F362" s="454">
        <v>20.100000000000001</v>
      </c>
      <c r="G362" s="784">
        <v>44926</v>
      </c>
      <c r="H362" s="786">
        <f>'EEG-Vergütungen und vNNE'!J$31</f>
        <v>44896</v>
      </c>
    </row>
    <row r="363" spans="1:8" s="178" customFormat="1" x14ac:dyDescent="0.25">
      <c r="A363" s="610" t="s">
        <v>4107</v>
      </c>
      <c r="B363" s="30" t="s">
        <v>5548</v>
      </c>
      <c r="C363" s="30" t="s">
        <v>3724</v>
      </c>
      <c r="D363" s="30" t="s">
        <v>7071</v>
      </c>
      <c r="E363" s="30" t="s">
        <v>4331</v>
      </c>
      <c r="F363" s="454">
        <v>23.1</v>
      </c>
      <c r="G363" s="784">
        <v>44926</v>
      </c>
      <c r="H363" s="786">
        <f>'EEG-Vergütungen und vNNE'!J$31</f>
        <v>44896</v>
      </c>
    </row>
    <row r="364" spans="1:8" s="178" customFormat="1" x14ac:dyDescent="0.25">
      <c r="A364" s="610" t="s">
        <v>4108</v>
      </c>
      <c r="B364" s="30" t="s">
        <v>5548</v>
      </c>
      <c r="C364" s="30" t="s">
        <v>3724</v>
      </c>
      <c r="D364" s="30" t="s">
        <v>7072</v>
      </c>
      <c r="E364" s="30" t="s">
        <v>674</v>
      </c>
      <c r="F364" s="454">
        <v>23.1</v>
      </c>
      <c r="G364" s="784">
        <v>44926</v>
      </c>
      <c r="H364" s="786">
        <f>'EEG-Vergütungen und vNNE'!J$31</f>
        <v>44896</v>
      </c>
    </row>
    <row r="365" spans="1:8" s="178" customFormat="1" x14ac:dyDescent="0.25">
      <c r="A365" s="610" t="s">
        <v>3241</v>
      </c>
      <c r="B365" s="30" t="s">
        <v>5548</v>
      </c>
      <c r="C365" s="30" t="s">
        <v>3724</v>
      </c>
      <c r="D365" s="30" t="s">
        <v>7073</v>
      </c>
      <c r="E365" s="30" t="s">
        <v>3567</v>
      </c>
      <c r="F365" s="454">
        <v>23.07</v>
      </c>
      <c r="G365" s="784">
        <v>44926</v>
      </c>
      <c r="H365" s="786">
        <f>'EEG-Vergütungen und vNNE'!J$31</f>
        <v>44896</v>
      </c>
    </row>
    <row r="366" spans="1:8" s="178" customFormat="1" x14ac:dyDescent="0.25">
      <c r="A366" s="610" t="s">
        <v>5207</v>
      </c>
      <c r="B366" s="30" t="s">
        <v>5548</v>
      </c>
      <c r="C366" s="30" t="s">
        <v>3724</v>
      </c>
      <c r="D366" s="30" t="s">
        <v>7074</v>
      </c>
      <c r="E366" s="30" t="s">
        <v>3055</v>
      </c>
      <c r="F366" s="454">
        <v>23.04</v>
      </c>
      <c r="G366" s="784">
        <v>44926</v>
      </c>
      <c r="H366" s="786">
        <f>'EEG-Vergütungen und vNNE'!J$31</f>
        <v>44896</v>
      </c>
    </row>
    <row r="367" spans="1:8" s="178" customFormat="1" x14ac:dyDescent="0.25">
      <c r="A367" s="625" t="s">
        <v>3514</v>
      </c>
      <c r="B367" s="219" t="s">
        <v>5548</v>
      </c>
      <c r="C367" s="219" t="s">
        <v>3724</v>
      </c>
      <c r="D367" s="219" t="s">
        <v>7075</v>
      </c>
      <c r="E367" s="219" t="s">
        <v>1980</v>
      </c>
      <c r="F367" s="455">
        <v>23.009999999999998</v>
      </c>
      <c r="G367" s="784">
        <v>44926</v>
      </c>
      <c r="H367" s="786">
        <f>'EEG-Vergütungen und vNNE'!J$31</f>
        <v>44896</v>
      </c>
    </row>
    <row r="368" spans="1:8" s="178" customFormat="1" x14ac:dyDescent="0.25">
      <c r="A368" s="610" t="s">
        <v>4109</v>
      </c>
      <c r="B368" s="30" t="s">
        <v>5548</v>
      </c>
      <c r="C368" s="30" t="s">
        <v>3724</v>
      </c>
      <c r="D368" s="30" t="s">
        <v>7076</v>
      </c>
      <c r="E368" s="30" t="s">
        <v>4810</v>
      </c>
      <c r="F368" s="454">
        <v>21.1</v>
      </c>
      <c r="G368" s="784">
        <v>44926</v>
      </c>
      <c r="H368" s="786">
        <f>'EEG-Vergütungen und vNNE'!J$31</f>
        <v>44896</v>
      </c>
    </row>
    <row r="369" spans="1:8" s="178" customFormat="1" x14ac:dyDescent="0.25">
      <c r="A369" s="610" t="s">
        <v>4110</v>
      </c>
      <c r="B369" s="30" t="s">
        <v>5548</v>
      </c>
      <c r="C369" s="30" t="s">
        <v>3724</v>
      </c>
      <c r="D369" s="109" t="s">
        <v>7077</v>
      </c>
      <c r="E369" s="30" t="s">
        <v>4331</v>
      </c>
      <c r="F369" s="454">
        <v>24.1</v>
      </c>
      <c r="G369" s="784">
        <v>44926</v>
      </c>
      <c r="H369" s="786">
        <f>'EEG-Vergütungen und vNNE'!J$31</f>
        <v>44896</v>
      </c>
    </row>
    <row r="370" spans="1:8" s="178" customFormat="1" x14ac:dyDescent="0.25">
      <c r="A370" s="610" t="s">
        <v>4111</v>
      </c>
      <c r="B370" s="30" t="s">
        <v>5548</v>
      </c>
      <c r="C370" s="30" t="s">
        <v>3724</v>
      </c>
      <c r="D370" s="30" t="s">
        <v>7078</v>
      </c>
      <c r="E370" s="30" t="s">
        <v>674</v>
      </c>
      <c r="F370" s="454">
        <v>24.1</v>
      </c>
      <c r="G370" s="784">
        <v>44926</v>
      </c>
      <c r="H370" s="786">
        <f>'EEG-Vergütungen und vNNE'!J$31</f>
        <v>44896</v>
      </c>
    </row>
    <row r="371" spans="1:8" s="178" customFormat="1" x14ac:dyDescent="0.25">
      <c r="A371" s="610" t="s">
        <v>3242</v>
      </c>
      <c r="B371" s="30" t="s">
        <v>5548</v>
      </c>
      <c r="C371" s="30" t="s">
        <v>3724</v>
      </c>
      <c r="D371" s="30" t="s">
        <v>7079</v>
      </c>
      <c r="E371" s="30" t="s">
        <v>3567</v>
      </c>
      <c r="F371" s="454">
        <v>24.07</v>
      </c>
      <c r="G371" s="784">
        <v>44926</v>
      </c>
      <c r="H371" s="786">
        <f>'EEG-Vergütungen und vNNE'!J$31</f>
        <v>44896</v>
      </c>
    </row>
    <row r="372" spans="1:8" s="178" customFormat="1" x14ac:dyDescent="0.25">
      <c r="A372" s="610" t="s">
        <v>5208</v>
      </c>
      <c r="B372" s="30" t="s">
        <v>5548</v>
      </c>
      <c r="C372" s="30" t="s">
        <v>3724</v>
      </c>
      <c r="D372" s="30" t="s">
        <v>7080</v>
      </c>
      <c r="E372" s="30" t="s">
        <v>3055</v>
      </c>
      <c r="F372" s="454">
        <v>24.04</v>
      </c>
      <c r="G372" s="784">
        <v>44926</v>
      </c>
      <c r="H372" s="786">
        <f>'EEG-Vergütungen und vNNE'!J$31</f>
        <v>44896</v>
      </c>
    </row>
    <row r="373" spans="1:8" s="178" customFormat="1" x14ac:dyDescent="0.25">
      <c r="A373" s="625" t="s">
        <v>3515</v>
      </c>
      <c r="B373" s="219" t="s">
        <v>5548</v>
      </c>
      <c r="C373" s="219" t="s">
        <v>3724</v>
      </c>
      <c r="D373" s="219" t="s">
        <v>7081</v>
      </c>
      <c r="E373" s="219" t="s">
        <v>1980</v>
      </c>
      <c r="F373" s="455">
        <v>24.009999999999998</v>
      </c>
      <c r="G373" s="784">
        <v>44926</v>
      </c>
      <c r="H373" s="786">
        <f>'EEG-Vergütungen und vNNE'!J$31</f>
        <v>44896</v>
      </c>
    </row>
    <row r="374" spans="1:8" s="178" customFormat="1" x14ac:dyDescent="0.25">
      <c r="A374" s="609" t="s">
        <v>4798</v>
      </c>
      <c r="B374" s="1" t="s">
        <v>5548</v>
      </c>
      <c r="C374" s="1" t="s">
        <v>3724</v>
      </c>
      <c r="D374" s="1" t="s">
        <v>5408</v>
      </c>
      <c r="E374" s="192" t="s">
        <v>4810</v>
      </c>
      <c r="F374" s="457">
        <v>9.1</v>
      </c>
      <c r="G374" s="784">
        <v>44926</v>
      </c>
      <c r="H374" s="786">
        <f>'EEG-Vergütungen und vNNE'!J$31</f>
        <v>44896</v>
      </c>
    </row>
    <row r="375" spans="1:8" s="178" customFormat="1" x14ac:dyDescent="0.25">
      <c r="A375" s="610" t="s">
        <v>2609</v>
      </c>
      <c r="B375" s="30" t="s">
        <v>5548</v>
      </c>
      <c r="C375" s="30" t="s">
        <v>3724</v>
      </c>
      <c r="D375" s="30" t="s">
        <v>6754</v>
      </c>
      <c r="E375" s="17" t="s">
        <v>674</v>
      </c>
      <c r="F375" s="454">
        <v>12.1</v>
      </c>
      <c r="G375" s="784">
        <v>44926</v>
      </c>
      <c r="H375" s="786">
        <f>'EEG-Vergütungen und vNNE'!J$31</f>
        <v>44896</v>
      </c>
    </row>
    <row r="376" spans="1:8" s="178" customFormat="1" x14ac:dyDescent="0.25">
      <c r="A376" s="610" t="s">
        <v>3243</v>
      </c>
      <c r="B376" s="30" t="s">
        <v>5548</v>
      </c>
      <c r="C376" s="30" t="s">
        <v>3724</v>
      </c>
      <c r="D376" s="30" t="s">
        <v>6755</v>
      </c>
      <c r="E376" s="30" t="s">
        <v>3567</v>
      </c>
      <c r="F376" s="454">
        <v>12.07</v>
      </c>
      <c r="G376" s="784">
        <v>44926</v>
      </c>
      <c r="H376" s="786">
        <f>'EEG-Vergütungen und vNNE'!J$31</f>
        <v>44896</v>
      </c>
    </row>
    <row r="377" spans="1:8" s="178" customFormat="1" x14ac:dyDescent="0.25">
      <c r="A377" s="610" t="s">
        <v>5209</v>
      </c>
      <c r="B377" s="30" t="s">
        <v>5548</v>
      </c>
      <c r="C377" s="30" t="s">
        <v>3724</v>
      </c>
      <c r="D377" s="30" t="s">
        <v>6756</v>
      </c>
      <c r="E377" s="30" t="s">
        <v>3055</v>
      </c>
      <c r="F377" s="454">
        <v>12.04</v>
      </c>
      <c r="G377" s="784">
        <v>44926</v>
      </c>
      <c r="H377" s="786">
        <f>'EEG-Vergütungen und vNNE'!J$31</f>
        <v>44896</v>
      </c>
    </row>
    <row r="378" spans="1:8" s="178" customFormat="1" x14ac:dyDescent="0.25">
      <c r="A378" s="625" t="s">
        <v>3516</v>
      </c>
      <c r="B378" s="219" t="s">
        <v>5548</v>
      </c>
      <c r="C378" s="219" t="s">
        <v>3724</v>
      </c>
      <c r="D378" s="219" t="s">
        <v>6757</v>
      </c>
      <c r="E378" s="219" t="s">
        <v>1980</v>
      </c>
      <c r="F378" s="455">
        <v>12.01</v>
      </c>
      <c r="G378" s="784">
        <v>44926</v>
      </c>
      <c r="H378" s="786">
        <f>'EEG-Vergütungen und vNNE'!J$31</f>
        <v>44896</v>
      </c>
    </row>
    <row r="379" spans="1:8" s="178" customFormat="1" x14ac:dyDescent="0.25">
      <c r="A379" s="609" t="s">
        <v>4799</v>
      </c>
      <c r="B379" s="1" t="s">
        <v>5548</v>
      </c>
      <c r="C379" s="1" t="s">
        <v>3724</v>
      </c>
      <c r="D379" s="1" t="s">
        <v>598</v>
      </c>
      <c r="E379" s="192" t="s">
        <v>4810</v>
      </c>
      <c r="F379" s="457">
        <v>13.1</v>
      </c>
      <c r="G379" s="784">
        <v>44926</v>
      </c>
      <c r="H379" s="786">
        <f>'EEG-Vergütungen und vNNE'!J$31</f>
        <v>44896</v>
      </c>
    </row>
    <row r="380" spans="1:8" s="178" customFormat="1" x14ac:dyDescent="0.25">
      <c r="A380" s="610" t="s">
        <v>2610</v>
      </c>
      <c r="B380" s="30" t="s">
        <v>5548</v>
      </c>
      <c r="C380" s="30" t="s">
        <v>3724</v>
      </c>
      <c r="D380" s="30" t="s">
        <v>6758</v>
      </c>
      <c r="E380" s="17" t="s">
        <v>674</v>
      </c>
      <c r="F380" s="454">
        <v>16.100000000000001</v>
      </c>
      <c r="G380" s="784">
        <v>44926</v>
      </c>
      <c r="H380" s="786">
        <f>'EEG-Vergütungen und vNNE'!J$31</f>
        <v>44896</v>
      </c>
    </row>
    <row r="381" spans="1:8" s="178" customFormat="1" x14ac:dyDescent="0.25">
      <c r="A381" s="610" t="s">
        <v>3244</v>
      </c>
      <c r="B381" s="30" t="s">
        <v>5548</v>
      </c>
      <c r="C381" s="30" t="s">
        <v>3724</v>
      </c>
      <c r="D381" s="30" t="s">
        <v>6759</v>
      </c>
      <c r="E381" s="30" t="s">
        <v>3567</v>
      </c>
      <c r="F381" s="454">
        <v>16.07</v>
      </c>
      <c r="G381" s="784">
        <v>44926</v>
      </c>
      <c r="H381" s="786">
        <f>'EEG-Vergütungen und vNNE'!J$31</f>
        <v>44896</v>
      </c>
    </row>
    <row r="382" spans="1:8" s="178" customFormat="1" x14ac:dyDescent="0.25">
      <c r="A382" s="610" t="s">
        <v>5210</v>
      </c>
      <c r="B382" s="30" t="s">
        <v>5548</v>
      </c>
      <c r="C382" s="30" t="s">
        <v>3724</v>
      </c>
      <c r="D382" s="30" t="s">
        <v>6760</v>
      </c>
      <c r="E382" s="30" t="s">
        <v>3055</v>
      </c>
      <c r="F382" s="454">
        <v>16.04</v>
      </c>
      <c r="G382" s="784">
        <v>44926</v>
      </c>
      <c r="H382" s="786">
        <f>'EEG-Vergütungen und vNNE'!J$31</f>
        <v>44896</v>
      </c>
    </row>
    <row r="383" spans="1:8" s="178" customFormat="1" x14ac:dyDescent="0.25">
      <c r="A383" s="625" t="s">
        <v>3517</v>
      </c>
      <c r="B383" s="219" t="s">
        <v>5548</v>
      </c>
      <c r="C383" s="219" t="s">
        <v>3724</v>
      </c>
      <c r="D383" s="219" t="s">
        <v>6761</v>
      </c>
      <c r="E383" s="219" t="s">
        <v>1980</v>
      </c>
      <c r="F383" s="455">
        <v>16.009999999999998</v>
      </c>
      <c r="G383" s="784">
        <v>44926</v>
      </c>
      <c r="H383" s="786">
        <f>'EEG-Vergütungen und vNNE'!J$31</f>
        <v>44896</v>
      </c>
    </row>
    <row r="384" spans="1:8" s="178" customFormat="1" x14ac:dyDescent="0.25">
      <c r="A384" s="609" t="s">
        <v>4800</v>
      </c>
      <c r="B384" s="1" t="s">
        <v>5548</v>
      </c>
      <c r="C384" s="1" t="s">
        <v>3724</v>
      </c>
      <c r="D384" s="1" t="s">
        <v>6762</v>
      </c>
      <c r="E384" s="192" t="s">
        <v>4810</v>
      </c>
      <c r="F384" s="457">
        <v>11.6</v>
      </c>
      <c r="G384" s="784">
        <v>44926</v>
      </c>
      <c r="H384" s="786">
        <f>'EEG-Vergütungen und vNNE'!J$31</f>
        <v>44896</v>
      </c>
    </row>
    <row r="385" spans="1:8" s="178" customFormat="1" x14ac:dyDescent="0.25">
      <c r="A385" s="610" t="s">
        <v>2611</v>
      </c>
      <c r="B385" s="30" t="s">
        <v>5548</v>
      </c>
      <c r="C385" s="30" t="s">
        <v>3724</v>
      </c>
      <c r="D385" s="30" t="s">
        <v>6763</v>
      </c>
      <c r="E385" s="17" t="s">
        <v>674</v>
      </c>
      <c r="F385" s="454">
        <v>14.6</v>
      </c>
      <c r="G385" s="784">
        <v>44926</v>
      </c>
      <c r="H385" s="786">
        <f>'EEG-Vergütungen und vNNE'!J$31</f>
        <v>44896</v>
      </c>
    </row>
    <row r="386" spans="1:8" s="178" customFormat="1" x14ac:dyDescent="0.25">
      <c r="A386" s="610" t="s">
        <v>3245</v>
      </c>
      <c r="B386" s="30" t="s">
        <v>5548</v>
      </c>
      <c r="C386" s="30" t="s">
        <v>3724</v>
      </c>
      <c r="D386" s="30" t="s">
        <v>6764</v>
      </c>
      <c r="E386" s="30" t="s">
        <v>3567</v>
      </c>
      <c r="F386" s="454">
        <v>14.57</v>
      </c>
      <c r="G386" s="784">
        <v>44926</v>
      </c>
      <c r="H386" s="786">
        <f>'EEG-Vergütungen und vNNE'!J$31</f>
        <v>44896</v>
      </c>
    </row>
    <row r="387" spans="1:8" s="178" customFormat="1" x14ac:dyDescent="0.25">
      <c r="A387" s="610" t="s">
        <v>5211</v>
      </c>
      <c r="B387" s="30" t="s">
        <v>5548</v>
      </c>
      <c r="C387" s="30" t="s">
        <v>3724</v>
      </c>
      <c r="D387" s="30" t="s">
        <v>6765</v>
      </c>
      <c r="E387" s="30" t="s">
        <v>3055</v>
      </c>
      <c r="F387" s="454">
        <v>14.54</v>
      </c>
      <c r="G387" s="784">
        <v>44926</v>
      </c>
      <c r="H387" s="786">
        <f>'EEG-Vergütungen und vNNE'!J$31</f>
        <v>44896</v>
      </c>
    </row>
    <row r="388" spans="1:8" s="178" customFormat="1" x14ac:dyDescent="0.25">
      <c r="A388" s="625" t="s">
        <v>3518</v>
      </c>
      <c r="B388" s="219" t="s">
        <v>5548</v>
      </c>
      <c r="C388" s="219" t="s">
        <v>3724</v>
      </c>
      <c r="D388" s="219" t="s">
        <v>6766</v>
      </c>
      <c r="E388" s="219" t="s">
        <v>1980</v>
      </c>
      <c r="F388" s="455">
        <v>14.51</v>
      </c>
      <c r="G388" s="784">
        <v>44926</v>
      </c>
      <c r="H388" s="786">
        <f>'EEG-Vergütungen und vNNE'!J$31</f>
        <v>44896</v>
      </c>
    </row>
    <row r="389" spans="1:8" s="178" customFormat="1" x14ac:dyDescent="0.25">
      <c r="A389" s="609" t="s">
        <v>4801</v>
      </c>
      <c r="B389" s="1" t="s">
        <v>5548</v>
      </c>
      <c r="C389" s="1" t="s">
        <v>3724</v>
      </c>
      <c r="D389" s="1" t="s">
        <v>7362</v>
      </c>
      <c r="E389" s="192" t="s">
        <v>4810</v>
      </c>
      <c r="F389" s="457">
        <v>8.6</v>
      </c>
      <c r="G389" s="784">
        <v>44926</v>
      </c>
      <c r="H389" s="786">
        <f>'EEG-Vergütungen und vNNE'!J$31</f>
        <v>44896</v>
      </c>
    </row>
    <row r="390" spans="1:8" s="178" customFormat="1" x14ac:dyDescent="0.25">
      <c r="A390" s="610" t="s">
        <v>2612</v>
      </c>
      <c r="B390" s="30" t="s">
        <v>5548</v>
      </c>
      <c r="C390" s="30" t="s">
        <v>3724</v>
      </c>
      <c r="D390" s="30" t="s">
        <v>7363</v>
      </c>
      <c r="E390" s="17" t="s">
        <v>674</v>
      </c>
      <c r="F390" s="454">
        <v>11.6</v>
      </c>
      <c r="G390" s="784">
        <v>44926</v>
      </c>
      <c r="H390" s="786">
        <f>'EEG-Vergütungen und vNNE'!J$31</f>
        <v>44896</v>
      </c>
    </row>
    <row r="391" spans="1:8" s="178" customFormat="1" x14ac:dyDescent="0.25">
      <c r="A391" s="610" t="s">
        <v>3246</v>
      </c>
      <c r="B391" s="30" t="s">
        <v>5548</v>
      </c>
      <c r="C391" s="30" t="s">
        <v>3724</v>
      </c>
      <c r="D391" s="30" t="s">
        <v>7364</v>
      </c>
      <c r="E391" s="30" t="s">
        <v>3567</v>
      </c>
      <c r="F391" s="454">
        <v>11.57</v>
      </c>
      <c r="G391" s="784">
        <v>44926</v>
      </c>
      <c r="H391" s="786">
        <f>'EEG-Vergütungen und vNNE'!J$31</f>
        <v>44896</v>
      </c>
    </row>
    <row r="392" spans="1:8" s="178" customFormat="1" x14ac:dyDescent="0.25">
      <c r="A392" s="610" t="s">
        <v>5212</v>
      </c>
      <c r="B392" s="30" t="s">
        <v>5548</v>
      </c>
      <c r="C392" s="30" t="s">
        <v>3724</v>
      </c>
      <c r="D392" s="30" t="s">
        <v>7365</v>
      </c>
      <c r="E392" s="30" t="s">
        <v>3055</v>
      </c>
      <c r="F392" s="454">
        <v>11.54</v>
      </c>
      <c r="G392" s="784">
        <v>44926</v>
      </c>
      <c r="H392" s="786">
        <f>'EEG-Vergütungen und vNNE'!J$31</f>
        <v>44896</v>
      </c>
    </row>
    <row r="393" spans="1:8" s="178" customFormat="1" x14ac:dyDescent="0.25">
      <c r="A393" s="625" t="s">
        <v>3519</v>
      </c>
      <c r="B393" s="219" t="s">
        <v>5548</v>
      </c>
      <c r="C393" s="219" t="s">
        <v>3724</v>
      </c>
      <c r="D393" s="219" t="s">
        <v>7366</v>
      </c>
      <c r="E393" s="219" t="s">
        <v>1980</v>
      </c>
      <c r="F393" s="455">
        <v>11.51</v>
      </c>
      <c r="G393" s="784">
        <v>44926</v>
      </c>
      <c r="H393" s="786">
        <f>'EEG-Vergütungen und vNNE'!J$31</f>
        <v>44896</v>
      </c>
    </row>
    <row r="394" spans="1:8" s="178" customFormat="1" x14ac:dyDescent="0.25">
      <c r="A394" s="610" t="s">
        <v>678</v>
      </c>
      <c r="B394" s="21" t="s">
        <v>5548</v>
      </c>
      <c r="C394" s="21" t="s">
        <v>3724</v>
      </c>
      <c r="D394" s="30" t="s">
        <v>7382</v>
      </c>
      <c r="E394" s="194" t="s">
        <v>4180</v>
      </c>
      <c r="F394" s="454">
        <v>7</v>
      </c>
      <c r="G394" s="784">
        <v>44926</v>
      </c>
      <c r="H394" s="786">
        <f>'EEG-Vergütungen und vNNE'!J$31</f>
        <v>44896</v>
      </c>
    </row>
    <row r="395" spans="1:8" s="178" customFormat="1" x14ac:dyDescent="0.25">
      <c r="A395" s="610" t="s">
        <v>2663</v>
      </c>
      <c r="B395" s="30" t="s">
        <v>5548</v>
      </c>
      <c r="C395" s="30" t="s">
        <v>3724</v>
      </c>
      <c r="D395" s="30" t="s">
        <v>7383</v>
      </c>
      <c r="E395" s="17" t="s">
        <v>674</v>
      </c>
      <c r="F395" s="454">
        <v>10</v>
      </c>
      <c r="G395" s="784">
        <v>44926</v>
      </c>
      <c r="H395" s="786">
        <f>'EEG-Vergütungen und vNNE'!J$31</f>
        <v>44896</v>
      </c>
    </row>
    <row r="396" spans="1:8" s="178" customFormat="1" x14ac:dyDescent="0.25">
      <c r="A396" s="610" t="s">
        <v>3247</v>
      </c>
      <c r="B396" s="30" t="s">
        <v>5548</v>
      </c>
      <c r="C396" s="30" t="s">
        <v>3724</v>
      </c>
      <c r="D396" s="30" t="s">
        <v>7384</v>
      </c>
      <c r="E396" s="30" t="s">
        <v>3567</v>
      </c>
      <c r="F396" s="454">
        <v>9.9700000000000006</v>
      </c>
      <c r="G396" s="784">
        <v>44926</v>
      </c>
      <c r="H396" s="786">
        <f>'EEG-Vergütungen und vNNE'!J$31</f>
        <v>44896</v>
      </c>
    </row>
    <row r="397" spans="1:8" s="178" customFormat="1" x14ac:dyDescent="0.25">
      <c r="A397" s="610" t="s">
        <v>5213</v>
      </c>
      <c r="B397" s="30" t="s">
        <v>5548</v>
      </c>
      <c r="C397" s="30" t="s">
        <v>3724</v>
      </c>
      <c r="D397" s="30" t="s">
        <v>7385</v>
      </c>
      <c r="E397" s="30" t="s">
        <v>3055</v>
      </c>
      <c r="F397" s="454">
        <v>9.94</v>
      </c>
      <c r="G397" s="784">
        <v>44926</v>
      </c>
      <c r="H397" s="786">
        <f>'EEG-Vergütungen und vNNE'!J$31</f>
        <v>44896</v>
      </c>
    </row>
    <row r="398" spans="1:8" s="178" customFormat="1" x14ac:dyDescent="0.25">
      <c r="A398" s="625" t="s">
        <v>3520</v>
      </c>
      <c r="B398" s="219" t="s">
        <v>5548</v>
      </c>
      <c r="C398" s="219" t="s">
        <v>3724</v>
      </c>
      <c r="D398" s="219" t="s">
        <v>7386</v>
      </c>
      <c r="E398" s="219" t="s">
        <v>1980</v>
      </c>
      <c r="F398" s="455">
        <v>9.91</v>
      </c>
      <c r="G398" s="784">
        <v>44926</v>
      </c>
      <c r="H398" s="786">
        <f>'EEG-Vergütungen und vNNE'!J$31</f>
        <v>44896</v>
      </c>
    </row>
    <row r="399" spans="1:8" s="178" customFormat="1" x14ac:dyDescent="0.25">
      <c r="A399" s="609" t="s">
        <v>4180</v>
      </c>
      <c r="B399" s="1"/>
      <c r="C399" s="1"/>
      <c r="D399" s="1" t="s">
        <v>4180</v>
      </c>
      <c r="E399" s="1" t="s">
        <v>4180</v>
      </c>
      <c r="F399" s="457"/>
    </row>
    <row r="400" spans="1:8" customFormat="1" x14ac:dyDescent="0.25">
      <c r="A400" s="615" t="s">
        <v>2321</v>
      </c>
      <c r="B400" s="375" t="s">
        <v>5548</v>
      </c>
      <c r="C400" s="375" t="s">
        <v>3724</v>
      </c>
      <c r="D400" s="375" t="s">
        <v>7010</v>
      </c>
      <c r="E400" s="375" t="s">
        <v>2827</v>
      </c>
      <c r="F400" s="458">
        <v>14.55</v>
      </c>
      <c r="G400" s="784">
        <v>44926</v>
      </c>
      <c r="H400" s="786">
        <f>'EEG-Vergütungen und vNNE'!J$31</f>
        <v>44896</v>
      </c>
    </row>
    <row r="401" spans="1:8" customFormat="1" x14ac:dyDescent="0.25">
      <c r="A401" s="615" t="s">
        <v>2322</v>
      </c>
      <c r="B401" s="375" t="s">
        <v>5548</v>
      </c>
      <c r="C401" s="375" t="s">
        <v>3724</v>
      </c>
      <c r="D401" s="375" t="s">
        <v>7354</v>
      </c>
      <c r="E401" s="375" t="s">
        <v>2827</v>
      </c>
      <c r="F401" s="458">
        <v>15.55</v>
      </c>
      <c r="G401" s="784">
        <v>44926</v>
      </c>
      <c r="H401" s="786">
        <f>'EEG-Vergütungen und vNNE'!J$31</f>
        <v>44896</v>
      </c>
    </row>
    <row r="402" spans="1:8" customFormat="1" x14ac:dyDescent="0.25">
      <c r="A402" s="615" t="s">
        <v>5783</v>
      </c>
      <c r="B402" s="375" t="s">
        <v>5548</v>
      </c>
      <c r="C402" s="375" t="s">
        <v>3724</v>
      </c>
      <c r="D402" s="375" t="s">
        <v>6858</v>
      </c>
      <c r="E402" s="375" t="s">
        <v>2827</v>
      </c>
      <c r="F402" s="458">
        <v>25.55</v>
      </c>
      <c r="G402" s="784">
        <v>44926</v>
      </c>
      <c r="H402" s="786">
        <f>'EEG-Vergütungen und vNNE'!J$31</f>
        <v>44896</v>
      </c>
    </row>
    <row r="403" spans="1:8" x14ac:dyDescent="0.25">
      <c r="A403" s="615" t="s">
        <v>7856</v>
      </c>
      <c r="B403" s="375" t="s">
        <v>5548</v>
      </c>
      <c r="C403" s="375" t="s">
        <v>3724</v>
      </c>
      <c r="D403" s="375" t="s">
        <v>6859</v>
      </c>
      <c r="E403" s="375" t="s">
        <v>2827</v>
      </c>
      <c r="F403" s="458">
        <v>26.55</v>
      </c>
      <c r="G403" s="784">
        <v>44926</v>
      </c>
      <c r="H403" s="786">
        <f>'EEG-Vergütungen und vNNE'!J$31</f>
        <v>44896</v>
      </c>
    </row>
    <row r="404" spans="1:8" customFormat="1" x14ac:dyDescent="0.25">
      <c r="A404" s="615" t="s">
        <v>2323</v>
      </c>
      <c r="B404" s="375" t="s">
        <v>5548</v>
      </c>
      <c r="C404" s="375" t="s">
        <v>3724</v>
      </c>
      <c r="D404" s="375" t="s">
        <v>7229</v>
      </c>
      <c r="E404" s="375" t="s">
        <v>2827</v>
      </c>
      <c r="F404" s="458">
        <v>12.98</v>
      </c>
      <c r="G404" s="784">
        <v>44926</v>
      </c>
      <c r="H404" s="786">
        <f>'EEG-Vergütungen und vNNE'!J$31</f>
        <v>44896</v>
      </c>
    </row>
    <row r="405" spans="1:8" customFormat="1" x14ac:dyDescent="0.25">
      <c r="A405" s="615" t="s">
        <v>2324</v>
      </c>
      <c r="B405" s="375" t="s">
        <v>5548</v>
      </c>
      <c r="C405" s="375" t="s">
        <v>3724</v>
      </c>
      <c r="D405" s="375" t="s">
        <v>7338</v>
      </c>
      <c r="E405" s="375" t="s">
        <v>2827</v>
      </c>
      <c r="F405" s="458">
        <v>13.98</v>
      </c>
      <c r="G405" s="784">
        <v>44926</v>
      </c>
      <c r="H405" s="786">
        <f>'EEG-Vergütungen und vNNE'!J$31</f>
        <v>44896</v>
      </c>
    </row>
    <row r="406" spans="1:8" customFormat="1" x14ac:dyDescent="0.25">
      <c r="A406" s="615" t="s">
        <v>5784</v>
      </c>
      <c r="B406" s="375" t="s">
        <v>5548</v>
      </c>
      <c r="C406" s="375" t="s">
        <v>3724</v>
      </c>
      <c r="D406" s="375" t="s">
        <v>7082</v>
      </c>
      <c r="E406" s="375" t="s">
        <v>2827</v>
      </c>
      <c r="F406" s="458">
        <v>20.98</v>
      </c>
      <c r="G406" s="784">
        <v>44926</v>
      </c>
      <c r="H406" s="786">
        <f>'EEG-Vergütungen und vNNE'!J$31</f>
        <v>44896</v>
      </c>
    </row>
    <row r="407" spans="1:8" x14ac:dyDescent="0.25">
      <c r="A407" s="615" t="s">
        <v>7857</v>
      </c>
      <c r="B407" s="375" t="s">
        <v>5548</v>
      </c>
      <c r="C407" s="375" t="s">
        <v>3724</v>
      </c>
      <c r="D407" s="375" t="s">
        <v>7083</v>
      </c>
      <c r="E407" s="375" t="s">
        <v>2827</v>
      </c>
      <c r="F407" s="458">
        <v>21.98</v>
      </c>
      <c r="G407" s="784">
        <v>44926</v>
      </c>
      <c r="H407" s="786">
        <f>'EEG-Vergütungen und vNNE'!J$31</f>
        <v>44896</v>
      </c>
    </row>
    <row r="408" spans="1:8" customFormat="1" x14ac:dyDescent="0.25">
      <c r="A408" s="615" t="s">
        <v>2325</v>
      </c>
      <c r="B408" s="375" t="s">
        <v>5548</v>
      </c>
      <c r="C408" s="375" t="s">
        <v>3724</v>
      </c>
      <c r="D408" s="375" t="s">
        <v>6767</v>
      </c>
      <c r="E408" s="375" t="s">
        <v>2827</v>
      </c>
      <c r="F408" s="458">
        <v>11.98</v>
      </c>
      <c r="G408" s="784">
        <v>44926</v>
      </c>
      <c r="H408" s="786">
        <f>'EEG-Vergütungen und vNNE'!J$31</f>
        <v>44896</v>
      </c>
    </row>
    <row r="409" spans="1:8" x14ac:dyDescent="0.25">
      <c r="A409" s="615" t="s">
        <v>7510</v>
      </c>
      <c r="B409" s="375" t="s">
        <v>5548</v>
      </c>
      <c r="C409" s="375" t="s">
        <v>3724</v>
      </c>
      <c r="D409" s="375" t="s">
        <v>7357</v>
      </c>
      <c r="E409" s="375" t="s">
        <v>314</v>
      </c>
      <c r="F409" s="458">
        <v>25.520000000000003</v>
      </c>
      <c r="G409" s="784">
        <v>44926</v>
      </c>
      <c r="H409" s="786">
        <f>'EEG-Vergütungen und vNNE'!J$31</f>
        <v>44896</v>
      </c>
    </row>
    <row r="410" spans="1:8" x14ac:dyDescent="0.25">
      <c r="A410" s="615" t="s">
        <v>6355</v>
      </c>
      <c r="B410" s="375" t="s">
        <v>5548</v>
      </c>
      <c r="C410" s="375" t="s">
        <v>3724</v>
      </c>
      <c r="D410" s="375" t="s">
        <v>5812</v>
      </c>
      <c r="E410" s="375" t="s">
        <v>314</v>
      </c>
      <c r="F410" s="458">
        <v>26.520000000000003</v>
      </c>
      <c r="G410" s="784">
        <v>44926</v>
      </c>
      <c r="H410" s="786">
        <f>'EEG-Vergütungen und vNNE'!J$31</f>
        <v>44896</v>
      </c>
    </row>
    <row r="411" spans="1:8" x14ac:dyDescent="0.25">
      <c r="A411" s="615" t="s">
        <v>7527</v>
      </c>
      <c r="B411" s="375" t="s">
        <v>5548</v>
      </c>
      <c r="C411" s="375" t="s">
        <v>3724</v>
      </c>
      <c r="D411" s="375" t="s">
        <v>7528</v>
      </c>
      <c r="E411" s="375" t="s">
        <v>314</v>
      </c>
      <c r="F411" s="458">
        <v>20.950000000000003</v>
      </c>
      <c r="G411" s="784">
        <v>44926</v>
      </c>
      <c r="H411" s="786">
        <f>'EEG-Vergütungen und vNNE'!J$31</f>
        <v>44896</v>
      </c>
    </row>
    <row r="412" spans="1:8" x14ac:dyDescent="0.25">
      <c r="A412" s="615" t="s">
        <v>6356</v>
      </c>
      <c r="B412" s="375" t="s">
        <v>5548</v>
      </c>
      <c r="C412" s="375" t="s">
        <v>3724</v>
      </c>
      <c r="D412" s="375" t="s">
        <v>7347</v>
      </c>
      <c r="E412" s="375" t="s">
        <v>314</v>
      </c>
      <c r="F412" s="458">
        <v>21.950000000000003</v>
      </c>
      <c r="G412" s="784">
        <v>44926</v>
      </c>
      <c r="H412" s="786">
        <f>'EEG-Vergütungen und vNNE'!J$31</f>
        <v>44896</v>
      </c>
    </row>
    <row r="413" spans="1:8" s="683" customFormat="1" x14ac:dyDescent="0.25">
      <c r="A413" s="615" t="s">
        <v>6177</v>
      </c>
      <c r="B413" s="375" t="s">
        <v>5548</v>
      </c>
      <c r="C413" s="375" t="s">
        <v>3724</v>
      </c>
      <c r="D413" s="375" t="s">
        <v>7359</v>
      </c>
      <c r="E413" s="375" t="s">
        <v>5625</v>
      </c>
      <c r="F413" s="684">
        <v>14.49</v>
      </c>
      <c r="G413" s="784">
        <v>44926</v>
      </c>
      <c r="H413" s="786">
        <f>'EEG-Vergütungen und vNNE'!J$31</f>
        <v>44896</v>
      </c>
    </row>
    <row r="414" spans="1:8" customFormat="1" x14ac:dyDescent="0.25">
      <c r="A414" s="615" t="s">
        <v>5798</v>
      </c>
      <c r="B414" s="375" t="s">
        <v>5548</v>
      </c>
      <c r="C414" s="375" t="s">
        <v>3724</v>
      </c>
      <c r="D414" s="375" t="s">
        <v>6862</v>
      </c>
      <c r="E414" s="375" t="s">
        <v>5625</v>
      </c>
      <c r="F414" s="458">
        <v>25.490000000000002</v>
      </c>
      <c r="G414" s="784">
        <v>44926</v>
      </c>
      <c r="H414" s="786">
        <f>'EEG-Vergütungen und vNNE'!J$31</f>
        <v>44896</v>
      </c>
    </row>
    <row r="415" spans="1:8" s="683" customFormat="1" x14ac:dyDescent="0.25">
      <c r="A415" s="615" t="s">
        <v>6178</v>
      </c>
      <c r="B415" s="375" t="s">
        <v>5548</v>
      </c>
      <c r="C415" s="375" t="s">
        <v>3724</v>
      </c>
      <c r="D415" s="375" t="s">
        <v>7348</v>
      </c>
      <c r="E415" s="375" t="s">
        <v>5625</v>
      </c>
      <c r="F415" s="684">
        <v>12.92</v>
      </c>
      <c r="G415" s="784">
        <v>44926</v>
      </c>
      <c r="H415" s="786">
        <f>'EEG-Vergütungen und vNNE'!J$31</f>
        <v>44896</v>
      </c>
    </row>
    <row r="416" spans="1:8" customFormat="1" x14ac:dyDescent="0.25">
      <c r="A416" s="615" t="s">
        <v>5799</v>
      </c>
      <c r="B416" s="375" t="s">
        <v>5548</v>
      </c>
      <c r="C416" s="375" t="s">
        <v>3724</v>
      </c>
      <c r="D416" s="375" t="s">
        <v>7087</v>
      </c>
      <c r="E416" s="375" t="s">
        <v>5625</v>
      </c>
      <c r="F416" s="458">
        <v>20.92</v>
      </c>
      <c r="G416" s="784">
        <v>44926</v>
      </c>
      <c r="H416" s="786">
        <f>'EEG-Vergütungen und vNNE'!J$31</f>
        <v>44896</v>
      </c>
    </row>
    <row r="417" spans="1:20" s="683" customFormat="1" x14ac:dyDescent="0.25">
      <c r="A417" s="615" t="s">
        <v>6179</v>
      </c>
      <c r="B417" s="375" t="s">
        <v>5548</v>
      </c>
      <c r="C417" s="375" t="s">
        <v>3724</v>
      </c>
      <c r="D417" s="375" t="s">
        <v>6771</v>
      </c>
      <c r="E417" s="375" t="s">
        <v>5625</v>
      </c>
      <c r="F417" s="684">
        <v>11.92</v>
      </c>
      <c r="G417" s="784">
        <v>44926</v>
      </c>
      <c r="H417" s="786">
        <f>'EEG-Vergütungen und vNNE'!J$31</f>
        <v>44896</v>
      </c>
    </row>
    <row r="418" spans="1:20" s="683" customFormat="1" x14ac:dyDescent="0.25">
      <c r="A418" s="615" t="s">
        <v>6180</v>
      </c>
      <c r="B418" s="375" t="s">
        <v>5548</v>
      </c>
      <c r="C418" s="375" t="s">
        <v>3724</v>
      </c>
      <c r="D418" s="375" t="s">
        <v>7370</v>
      </c>
      <c r="E418" s="375" t="s">
        <v>5625</v>
      </c>
      <c r="F418" s="684">
        <v>11.42</v>
      </c>
      <c r="G418" s="784">
        <v>44926</v>
      </c>
      <c r="H418" s="786">
        <f>'EEG-Vergütungen und vNNE'!J$31</f>
        <v>44896</v>
      </c>
    </row>
    <row r="419" spans="1:20" customFormat="1" x14ac:dyDescent="0.25">
      <c r="A419" s="615" t="s">
        <v>6153</v>
      </c>
      <c r="B419" s="375" t="s">
        <v>5548</v>
      </c>
      <c r="C419" s="375" t="s">
        <v>3724</v>
      </c>
      <c r="D419" s="375" t="s">
        <v>7360</v>
      </c>
      <c r="E419" s="375" t="s">
        <v>5807</v>
      </c>
      <c r="F419" s="458">
        <v>14.469999999999999</v>
      </c>
      <c r="G419" s="784">
        <v>44926</v>
      </c>
      <c r="H419" s="786">
        <f>'EEG-Vergütungen und vNNE'!J$31</f>
        <v>44896</v>
      </c>
    </row>
    <row r="420" spans="1:20" customFormat="1" x14ac:dyDescent="0.25">
      <c r="A420" s="615" t="s">
        <v>5806</v>
      </c>
      <c r="B420" s="375" t="s">
        <v>5548</v>
      </c>
      <c r="C420" s="375" t="s">
        <v>3724</v>
      </c>
      <c r="D420" s="375" t="s">
        <v>6865</v>
      </c>
      <c r="E420" s="375" t="s">
        <v>5807</v>
      </c>
      <c r="F420" s="458">
        <v>25.470000000000002</v>
      </c>
      <c r="G420" s="784">
        <v>44926</v>
      </c>
      <c r="H420" s="786">
        <f>'EEG-Vergütungen und vNNE'!J$31</f>
        <v>44896</v>
      </c>
    </row>
    <row r="421" spans="1:20" customFormat="1" x14ac:dyDescent="0.25">
      <c r="A421" s="615" t="s">
        <v>6154</v>
      </c>
      <c r="B421" s="375" t="s">
        <v>5548</v>
      </c>
      <c r="C421" s="375" t="s">
        <v>3724</v>
      </c>
      <c r="D421" s="375" t="s">
        <v>7349</v>
      </c>
      <c r="E421" s="375" t="s">
        <v>5807</v>
      </c>
      <c r="F421" s="458">
        <v>12.899999999999999</v>
      </c>
      <c r="G421" s="784">
        <v>44926</v>
      </c>
      <c r="H421" s="786">
        <f>'EEG-Vergütungen und vNNE'!J$31</f>
        <v>44896</v>
      </c>
    </row>
    <row r="422" spans="1:20" s="178" customFormat="1" x14ac:dyDescent="0.25">
      <c r="A422" s="615" t="s">
        <v>6155</v>
      </c>
      <c r="B422" s="375" t="s">
        <v>5548</v>
      </c>
      <c r="C422" s="375" t="s">
        <v>3724</v>
      </c>
      <c r="D422" s="375" t="s">
        <v>6772</v>
      </c>
      <c r="E422" s="375" t="s">
        <v>5807</v>
      </c>
      <c r="F422" s="458">
        <v>11.899999999999999</v>
      </c>
      <c r="G422" s="784">
        <v>44926</v>
      </c>
      <c r="H422" s="786">
        <f>'EEG-Vergütungen und vNNE'!J$31</f>
        <v>44896</v>
      </c>
    </row>
    <row r="423" spans="1:20" s="178" customFormat="1" x14ac:dyDescent="0.25">
      <c r="A423" s="615" t="s">
        <v>6156</v>
      </c>
      <c r="B423" s="375" t="s">
        <v>5548</v>
      </c>
      <c r="C423" s="375" t="s">
        <v>3724</v>
      </c>
      <c r="D423" s="375" t="s">
        <v>7371</v>
      </c>
      <c r="E423" s="375" t="s">
        <v>5807</v>
      </c>
      <c r="F423" s="458">
        <v>11.399999999999999</v>
      </c>
      <c r="G423" s="784">
        <v>44926</v>
      </c>
      <c r="H423" s="786">
        <f>'EEG-Vergütungen und vNNE'!J$31</f>
        <v>44896</v>
      </c>
    </row>
    <row r="424" spans="1:20" s="178" customFormat="1" x14ac:dyDescent="0.25">
      <c r="A424" s="615" t="s">
        <v>7514</v>
      </c>
      <c r="B424" s="375" t="s">
        <v>5548</v>
      </c>
      <c r="C424" s="375" t="s">
        <v>3724</v>
      </c>
      <c r="D424" s="375" t="s">
        <v>7005</v>
      </c>
      <c r="E424" s="375" t="s">
        <v>6158</v>
      </c>
      <c r="F424" s="458">
        <v>14.44</v>
      </c>
      <c r="G424" s="784">
        <v>44926</v>
      </c>
      <c r="H424" s="786">
        <f>'EEG-Vergütungen und vNNE'!J$31</f>
        <v>44896</v>
      </c>
    </row>
    <row r="425" spans="1:20" s="178" customFormat="1" x14ac:dyDescent="0.25">
      <c r="A425" s="615" t="s">
        <v>7513</v>
      </c>
      <c r="B425" s="375" t="s">
        <v>5548</v>
      </c>
      <c r="C425" s="375" t="s">
        <v>3724</v>
      </c>
      <c r="D425" s="375" t="s">
        <v>7511</v>
      </c>
      <c r="E425" s="375" t="s">
        <v>6158</v>
      </c>
      <c r="F425" s="458">
        <v>15.44</v>
      </c>
      <c r="G425" s="784">
        <v>44926</v>
      </c>
      <c r="H425" s="786">
        <f>'EEG-Vergütungen und vNNE'!J$31</f>
        <v>44896</v>
      </c>
    </row>
    <row r="426" spans="1:20" s="178" customFormat="1" x14ac:dyDescent="0.25">
      <c r="A426" s="615" t="s">
        <v>7516</v>
      </c>
      <c r="B426" s="375" t="s">
        <v>5548</v>
      </c>
      <c r="C426" s="375" t="s">
        <v>3724</v>
      </c>
      <c r="D426" s="375" t="s">
        <v>7224</v>
      </c>
      <c r="E426" s="375" t="s">
        <v>6158</v>
      </c>
      <c r="F426" s="458">
        <v>12.87</v>
      </c>
      <c r="G426" s="784">
        <v>44926</v>
      </c>
      <c r="H426" s="786">
        <f>'EEG-Vergütungen und vNNE'!J$31</f>
        <v>44896</v>
      </c>
    </row>
    <row r="427" spans="1:20" s="178" customFormat="1" x14ac:dyDescent="0.25">
      <c r="A427" s="615" t="s">
        <v>7515</v>
      </c>
      <c r="B427" s="375" t="s">
        <v>5548</v>
      </c>
      <c r="C427" s="375" t="s">
        <v>3724</v>
      </c>
      <c r="D427" s="375" t="s">
        <v>7517</v>
      </c>
      <c r="E427" s="375" t="s">
        <v>6158</v>
      </c>
      <c r="F427" s="458">
        <v>13.87</v>
      </c>
      <c r="G427" s="784">
        <v>44926</v>
      </c>
      <c r="H427" s="786">
        <f>'EEG-Vergütungen und vNNE'!J$31</f>
        <v>44896</v>
      </c>
    </row>
    <row r="429" spans="1:20" customFormat="1" x14ac:dyDescent="0.25">
      <c r="A429" s="609" t="s">
        <v>2656</v>
      </c>
      <c r="B429" s="1" t="s">
        <v>4847</v>
      </c>
      <c r="C429" s="1" t="s">
        <v>2270</v>
      </c>
      <c r="D429" s="1" t="s">
        <v>5407</v>
      </c>
      <c r="E429" s="1"/>
      <c r="F429" s="442">
        <v>7.67</v>
      </c>
      <c r="G429" s="784">
        <v>44561</v>
      </c>
      <c r="H429" s="786">
        <v>44536</v>
      </c>
      <c r="I429" s="774"/>
      <c r="J429" s="774"/>
      <c r="K429" s="774"/>
      <c r="M429" s="27"/>
      <c r="N429" s="16"/>
      <c r="O429" s="27"/>
      <c r="P429" s="27"/>
      <c r="Q429" s="27"/>
      <c r="R429" s="27"/>
      <c r="S429" s="27"/>
      <c r="T429" s="27"/>
    </row>
    <row r="430" spans="1:20" customFormat="1" x14ac:dyDescent="0.25">
      <c r="A430" s="609" t="s">
        <v>4848</v>
      </c>
      <c r="B430" s="1" t="s">
        <v>4847</v>
      </c>
      <c r="C430" s="1" t="s">
        <v>2270</v>
      </c>
      <c r="D430" s="1" t="s">
        <v>5408</v>
      </c>
      <c r="E430" s="1"/>
      <c r="F430" s="442">
        <v>6.65</v>
      </c>
      <c r="G430" s="784">
        <v>44561</v>
      </c>
      <c r="H430" s="786">
        <v>44536</v>
      </c>
      <c r="I430" s="774"/>
      <c r="J430" s="774"/>
      <c r="K430" s="774"/>
      <c r="M430" s="27"/>
      <c r="N430" s="16"/>
      <c r="O430" s="27"/>
      <c r="P430" s="27"/>
      <c r="Q430" s="27"/>
      <c r="R430" s="27"/>
      <c r="S430" s="27"/>
      <c r="T430" s="27"/>
    </row>
    <row r="432" spans="1:20" customFormat="1" x14ac:dyDescent="0.25">
      <c r="A432" s="609" t="s">
        <v>4849</v>
      </c>
      <c r="B432" s="1" t="s">
        <v>4847</v>
      </c>
      <c r="C432" s="1" t="s">
        <v>3724</v>
      </c>
      <c r="D432" s="1" t="s">
        <v>5407</v>
      </c>
      <c r="E432" s="1"/>
      <c r="F432" s="442">
        <v>7.67</v>
      </c>
      <c r="G432" s="784">
        <v>44926</v>
      </c>
      <c r="H432" s="786">
        <f>'EEG-Vergütungen und vNNE'!J$31</f>
        <v>44896</v>
      </c>
    </row>
    <row r="433" spans="1:11" customFormat="1" x14ac:dyDescent="0.25">
      <c r="A433" s="609" t="s">
        <v>4850</v>
      </c>
      <c r="B433" s="1" t="s">
        <v>4847</v>
      </c>
      <c r="C433" s="1" t="s">
        <v>3724</v>
      </c>
      <c r="D433" s="1" t="s">
        <v>5408</v>
      </c>
      <c r="E433" s="1"/>
      <c r="F433" s="442">
        <v>6.65</v>
      </c>
      <c r="G433" s="784">
        <v>44926</v>
      </c>
      <c r="H433" s="786">
        <f>'EEG-Vergütungen und vNNE'!J$31</f>
        <v>44896</v>
      </c>
    </row>
    <row r="434" spans="1:11" customFormat="1" x14ac:dyDescent="0.25">
      <c r="A434" s="774"/>
      <c r="B434" s="774"/>
      <c r="C434" s="774"/>
      <c r="D434" s="774"/>
      <c r="E434" s="774"/>
      <c r="F434" s="774"/>
      <c r="G434" s="755"/>
      <c r="H434" s="774"/>
    </row>
    <row r="435" spans="1:11" customFormat="1" x14ac:dyDescent="0.25">
      <c r="A435" s="609" t="s">
        <v>2033</v>
      </c>
      <c r="B435" s="1" t="s">
        <v>2034</v>
      </c>
      <c r="C435" s="1" t="s">
        <v>2270</v>
      </c>
      <c r="D435" s="1" t="s">
        <v>2035</v>
      </c>
      <c r="E435" s="1"/>
      <c r="F435" s="442">
        <v>8.9499999999999993</v>
      </c>
      <c r="G435" s="784">
        <v>44561</v>
      </c>
      <c r="H435" s="786">
        <v>44536</v>
      </c>
      <c r="I435" s="774"/>
      <c r="J435" s="774"/>
      <c r="K435" s="774"/>
    </row>
    <row r="436" spans="1:11" customFormat="1" x14ac:dyDescent="0.25">
      <c r="A436" s="609" t="s">
        <v>2036</v>
      </c>
      <c r="B436" s="1" t="s">
        <v>2034</v>
      </c>
      <c r="C436" s="1" t="s">
        <v>2270</v>
      </c>
      <c r="D436" s="1" t="s">
        <v>7387</v>
      </c>
      <c r="E436" s="1"/>
      <c r="F436" s="442">
        <v>7.16</v>
      </c>
      <c r="G436" s="784">
        <v>44561</v>
      </c>
      <c r="H436" s="786">
        <v>44536</v>
      </c>
      <c r="I436" s="774"/>
      <c r="J436" s="774"/>
      <c r="K436" s="774"/>
    </row>
    <row r="438" spans="1:11" customFormat="1" x14ac:dyDescent="0.25">
      <c r="A438" s="609" t="s">
        <v>2037</v>
      </c>
      <c r="B438" s="1" t="s">
        <v>2034</v>
      </c>
      <c r="C438" s="1" t="s">
        <v>3724</v>
      </c>
      <c r="D438" s="1" t="s">
        <v>2035</v>
      </c>
      <c r="E438" s="1"/>
      <c r="F438" s="442">
        <v>8.9499999999999993</v>
      </c>
      <c r="G438" s="784">
        <v>44926</v>
      </c>
      <c r="H438" s="786">
        <f>'EEG-Vergütungen und vNNE'!J$31</f>
        <v>44896</v>
      </c>
    </row>
    <row r="439" spans="1:11" customFormat="1" x14ac:dyDescent="0.25">
      <c r="A439" s="609" t="s">
        <v>2038</v>
      </c>
      <c r="B439" s="1" t="s">
        <v>2034</v>
      </c>
      <c r="C439" s="1" t="s">
        <v>3724</v>
      </c>
      <c r="D439" s="1" t="s">
        <v>7387</v>
      </c>
      <c r="E439" s="1"/>
      <c r="F439" s="442">
        <v>7.16</v>
      </c>
      <c r="G439" s="784">
        <v>44926</v>
      </c>
      <c r="H439" s="786">
        <f>'EEG-Vergütungen und vNNE'!J$31</f>
        <v>44896</v>
      </c>
    </row>
    <row r="440" spans="1:11" customFormat="1" x14ac:dyDescent="0.25">
      <c r="A440" s="774"/>
      <c r="B440" s="774"/>
      <c r="C440" s="774"/>
      <c r="D440" s="774"/>
      <c r="E440" s="774"/>
      <c r="F440" s="774"/>
      <c r="G440" s="755"/>
      <c r="H440" s="774"/>
      <c r="I440" s="774"/>
      <c r="J440" s="774"/>
      <c r="K440" s="774"/>
    </row>
    <row r="441" spans="1:11" customFormat="1" x14ac:dyDescent="0.25">
      <c r="A441" s="609" t="s">
        <v>2066</v>
      </c>
      <c r="B441" s="1" t="s">
        <v>2067</v>
      </c>
      <c r="C441" s="1" t="s">
        <v>2270</v>
      </c>
      <c r="D441" s="2" t="s">
        <v>2068</v>
      </c>
      <c r="E441" s="1"/>
      <c r="F441" s="442">
        <v>9.1</v>
      </c>
      <c r="G441" s="784">
        <v>44561</v>
      </c>
      <c r="H441" s="786">
        <v>44536</v>
      </c>
      <c r="I441" s="774"/>
      <c r="J441" s="774"/>
      <c r="K441" s="774"/>
    </row>
    <row r="442" spans="1:11" customFormat="1" x14ac:dyDescent="0.25">
      <c r="A442" s="609" t="s">
        <v>2069</v>
      </c>
      <c r="B442" s="1" t="s">
        <v>2067</v>
      </c>
      <c r="C442" s="1" t="s">
        <v>2270</v>
      </c>
      <c r="D442" s="2" t="s">
        <v>2070</v>
      </c>
      <c r="E442" s="1"/>
      <c r="F442" s="442">
        <v>6.19</v>
      </c>
      <c r="G442" s="784">
        <v>44561</v>
      </c>
      <c r="H442" s="786">
        <v>44536</v>
      </c>
      <c r="I442" s="774"/>
      <c r="J442" s="774"/>
      <c r="K442" s="774"/>
    </row>
    <row r="443" spans="1:11" x14ac:dyDescent="0.25">
      <c r="A443" s="609"/>
      <c r="B443" s="1"/>
      <c r="C443" s="1"/>
      <c r="D443" s="2"/>
      <c r="E443" s="1"/>
      <c r="F443" s="442"/>
      <c r="G443" s="784"/>
      <c r="H443" s="786"/>
    </row>
    <row r="444" spans="1:11" customFormat="1" x14ac:dyDescent="0.25">
      <c r="A444" s="609" t="s">
        <v>2071</v>
      </c>
      <c r="B444" s="1" t="s">
        <v>2067</v>
      </c>
      <c r="C444" s="1" t="s">
        <v>3724</v>
      </c>
      <c r="D444" s="2" t="s">
        <v>2068</v>
      </c>
      <c r="E444" s="1"/>
      <c r="F444" s="442">
        <v>9</v>
      </c>
      <c r="G444" s="784">
        <v>44926</v>
      </c>
      <c r="H444" s="786">
        <f>'EEG-Vergütungen und vNNE'!J$31</f>
        <v>44896</v>
      </c>
    </row>
    <row r="445" spans="1:11" customFormat="1" x14ac:dyDescent="0.25">
      <c r="A445" s="609" t="s">
        <v>2072</v>
      </c>
      <c r="B445" s="1" t="s">
        <v>2067</v>
      </c>
      <c r="C445" s="1" t="s">
        <v>3724</v>
      </c>
      <c r="D445" s="2" t="s">
        <v>2070</v>
      </c>
      <c r="E445" s="1"/>
      <c r="F445" s="442">
        <v>6.1</v>
      </c>
      <c r="G445" s="784">
        <v>44926</v>
      </c>
      <c r="H445" s="786">
        <f>'EEG-Vergütungen und vNNE'!J$31</f>
        <v>44896</v>
      </c>
    </row>
    <row r="446" spans="1:11" customFormat="1" x14ac:dyDescent="0.25">
      <c r="A446" s="610" t="s">
        <v>5523</v>
      </c>
      <c r="B446" s="17" t="s">
        <v>2067</v>
      </c>
      <c r="C446" s="17" t="s">
        <v>3724</v>
      </c>
      <c r="D446" s="21" t="s">
        <v>5529</v>
      </c>
      <c r="E446" s="17"/>
      <c r="F446" s="444">
        <v>9.6999999999999993</v>
      </c>
      <c r="G446" s="784">
        <v>44926</v>
      </c>
      <c r="H446" s="786">
        <f>'EEG-Vergütungen und vNNE'!J$31</f>
        <v>44896</v>
      </c>
    </row>
    <row r="447" spans="1:11" customFormat="1" x14ac:dyDescent="0.25">
      <c r="A447" s="610" t="s">
        <v>5524</v>
      </c>
      <c r="B447" s="17" t="s">
        <v>2067</v>
      </c>
      <c r="C447" s="17" t="s">
        <v>3724</v>
      </c>
      <c r="D447" s="21" t="s">
        <v>5530</v>
      </c>
      <c r="E447" s="17"/>
      <c r="F447" s="444">
        <v>6.8</v>
      </c>
      <c r="G447" s="784">
        <v>44926</v>
      </c>
      <c r="H447" s="786">
        <f>'EEG-Vergütungen und vNNE'!J$31</f>
        <v>44896</v>
      </c>
    </row>
    <row r="449" spans="1:24" customFormat="1" x14ac:dyDescent="0.25">
      <c r="A449" s="608" t="s">
        <v>739</v>
      </c>
      <c r="B449" s="2" t="s">
        <v>740</v>
      </c>
      <c r="C449" s="1" t="s">
        <v>2270</v>
      </c>
      <c r="D449" s="2"/>
      <c r="E449" s="1"/>
      <c r="F449" s="442">
        <v>50.62</v>
      </c>
      <c r="G449" s="784">
        <v>44561</v>
      </c>
      <c r="H449" s="786">
        <v>44536</v>
      </c>
      <c r="I449" s="774"/>
      <c r="J449" s="774"/>
      <c r="K449" s="774"/>
      <c r="M449" s="774"/>
      <c r="N449" s="774"/>
      <c r="O449" s="774"/>
      <c r="P449" s="774"/>
      <c r="Q449" s="774"/>
      <c r="R449" s="774"/>
      <c r="S449" s="774"/>
      <c r="T449" s="774"/>
      <c r="U449" s="774"/>
      <c r="V449" s="774"/>
      <c r="W449" s="774"/>
      <c r="X449" s="774"/>
    </row>
    <row r="450" spans="1:24" customFormat="1" x14ac:dyDescent="0.25">
      <c r="A450" s="608" t="s">
        <v>741</v>
      </c>
      <c r="B450" s="2" t="s">
        <v>740</v>
      </c>
      <c r="C450" s="1" t="s">
        <v>3724</v>
      </c>
      <c r="D450" s="2"/>
      <c r="E450" s="1"/>
      <c r="F450" s="442">
        <v>48.1</v>
      </c>
      <c r="G450" s="784">
        <v>44926</v>
      </c>
      <c r="H450" s="786">
        <f>'EEG-Vergütungen und vNNE'!J$31</f>
        <v>44896</v>
      </c>
    </row>
    <row r="452" spans="1:24" ht="26.25" x14ac:dyDescent="0.4">
      <c r="A452" s="19" t="s">
        <v>7674</v>
      </c>
      <c r="G452" s="774"/>
    </row>
    <row r="453" spans="1:24" ht="36.6" customHeight="1" thickBot="1" x14ac:dyDescent="0.3">
      <c r="A453" s="888" t="s">
        <v>7675</v>
      </c>
      <c r="G453" s="774"/>
    </row>
    <row r="454" spans="1:24" ht="22.35" customHeight="1" x14ac:dyDescent="0.25">
      <c r="A454" s="1041" t="s">
        <v>6695</v>
      </c>
      <c r="B454" s="798"/>
      <c r="C454" s="798"/>
      <c r="D454" s="799"/>
      <c r="E454" s="799"/>
      <c r="F454" s="800"/>
      <c r="G454" s="774"/>
      <c r="H454" s="1034">
        <v>44424</v>
      </c>
    </row>
    <row r="455" spans="1:24" ht="18.75" x14ac:dyDescent="0.3">
      <c r="A455" s="1042" t="s">
        <v>6696</v>
      </c>
      <c r="B455" s="889"/>
      <c r="C455" s="889"/>
      <c r="D455" s="890"/>
      <c r="E455" s="890"/>
      <c r="F455" s="801"/>
      <c r="G455" s="774"/>
      <c r="H455" s="1034">
        <v>44424</v>
      </c>
    </row>
    <row r="456" spans="1:24" ht="18.75" x14ac:dyDescent="0.3">
      <c r="A456" s="1042" t="s">
        <v>7676</v>
      </c>
      <c r="B456" s="889"/>
      <c r="C456" s="889"/>
      <c r="D456" s="890"/>
      <c r="E456" s="890"/>
      <c r="F456" s="801"/>
      <c r="G456" s="774"/>
      <c r="H456" s="1034">
        <v>44424</v>
      </c>
    </row>
    <row r="457" spans="1:24" ht="18.75" x14ac:dyDescent="0.3">
      <c r="A457" s="1042" t="s">
        <v>6697</v>
      </c>
      <c r="B457" s="889"/>
      <c r="C457" s="889"/>
      <c r="D457" s="890"/>
      <c r="E457" s="890"/>
      <c r="F457" s="801"/>
      <c r="G457" s="774"/>
      <c r="H457" s="1034">
        <v>44424</v>
      </c>
    </row>
    <row r="458" spans="1:24" ht="18.75" x14ac:dyDescent="0.3">
      <c r="A458" s="1042" t="s">
        <v>7677</v>
      </c>
      <c r="B458" s="889"/>
      <c r="C458" s="889"/>
      <c r="D458" s="890"/>
      <c r="E458" s="890"/>
      <c r="F458" s="801"/>
      <c r="G458" s="774"/>
      <c r="H458" s="1034">
        <v>44424</v>
      </c>
    </row>
    <row r="459" spans="1:24" ht="18.75" x14ac:dyDescent="0.3">
      <c r="A459" s="1042" t="s">
        <v>7678</v>
      </c>
      <c r="B459" s="889"/>
      <c r="C459" s="889"/>
      <c r="D459" s="890"/>
      <c r="E459" s="890"/>
      <c r="F459" s="801"/>
      <c r="G459" s="774"/>
      <c r="H459" s="1034">
        <v>44424</v>
      </c>
    </row>
    <row r="460" spans="1:24" ht="18.75" x14ac:dyDescent="0.3">
      <c r="A460" s="1043" t="s">
        <v>7679</v>
      </c>
      <c r="B460" s="889"/>
      <c r="C460" s="889"/>
      <c r="D460" s="890"/>
      <c r="E460" s="890"/>
      <c r="F460" s="801"/>
      <c r="G460" s="774"/>
      <c r="H460" s="1034">
        <v>44424</v>
      </c>
    </row>
    <row r="461" spans="1:24" ht="18.75" x14ac:dyDescent="0.3">
      <c r="A461" s="1043" t="s">
        <v>7680</v>
      </c>
      <c r="B461" s="889"/>
      <c r="C461" s="889"/>
      <c r="D461" s="890"/>
      <c r="E461" s="890"/>
      <c r="F461" s="801"/>
      <c r="G461" s="774"/>
      <c r="H461" s="1034">
        <v>44424</v>
      </c>
    </row>
    <row r="462" spans="1:24" ht="18.75" x14ac:dyDescent="0.3">
      <c r="A462" s="1043" t="s">
        <v>7681</v>
      </c>
      <c r="B462" s="889"/>
      <c r="C462" s="889"/>
      <c r="D462" s="890"/>
      <c r="E462" s="890"/>
      <c r="F462" s="801"/>
      <c r="G462" s="774"/>
      <c r="H462" s="1034">
        <v>44424</v>
      </c>
    </row>
    <row r="463" spans="1:24" ht="18.75" x14ac:dyDescent="0.3">
      <c r="A463" s="1042" t="s">
        <v>7682</v>
      </c>
      <c r="B463" s="889"/>
      <c r="C463" s="889"/>
      <c r="D463" s="890"/>
      <c r="E463" s="890"/>
      <c r="F463" s="801"/>
      <c r="G463" s="774"/>
      <c r="H463" s="1034">
        <v>44424</v>
      </c>
    </row>
    <row r="464" spans="1:24" ht="6.6" customHeight="1" thickBot="1" x14ac:dyDescent="0.35">
      <c r="A464" s="802"/>
      <c r="B464" s="803"/>
      <c r="C464" s="803"/>
      <c r="D464" s="804"/>
      <c r="E464" s="804"/>
      <c r="F464" s="805"/>
      <c r="G464" s="774"/>
      <c r="H464" s="1034">
        <v>44424</v>
      </c>
    </row>
    <row r="465" spans="1:16" x14ac:dyDescent="0.25">
      <c r="G465" s="774"/>
    </row>
    <row r="466" spans="1:16" x14ac:dyDescent="0.25">
      <c r="A466" s="644" t="s">
        <v>6705</v>
      </c>
      <c r="B466" s="645" t="s">
        <v>2067</v>
      </c>
      <c r="C466" s="643" t="s">
        <v>7550</v>
      </c>
      <c r="D466" s="643" t="s">
        <v>7541</v>
      </c>
      <c r="E466" s="656"/>
      <c r="F466" s="657"/>
      <c r="G466" s="784">
        <v>44561</v>
      </c>
      <c r="H466" s="652">
        <v>44424</v>
      </c>
      <c r="I466" s="129"/>
      <c r="L466" s="333"/>
      <c r="M466" s="395"/>
      <c r="N466" s="569"/>
      <c r="O466" s="327"/>
      <c r="P466" s="327"/>
    </row>
    <row r="467" spans="1:16" x14ac:dyDescent="0.25">
      <c r="A467" s="644" t="s">
        <v>7440</v>
      </c>
      <c r="B467" s="645" t="s">
        <v>2067</v>
      </c>
      <c r="C467" s="643" t="s">
        <v>7550</v>
      </c>
      <c r="D467" s="643" t="s">
        <v>7544</v>
      </c>
      <c r="E467" s="656"/>
      <c r="F467" s="657"/>
      <c r="G467" s="784">
        <v>44561</v>
      </c>
      <c r="H467" s="652">
        <v>44424</v>
      </c>
      <c r="I467" s="129"/>
      <c r="L467" s="333"/>
      <c r="M467" s="395"/>
      <c r="N467" s="569"/>
      <c r="O467" s="327"/>
      <c r="P467" s="327"/>
    </row>
    <row r="468" spans="1:16" ht="15.75" thickBot="1" x14ac:dyDescent="0.3"/>
    <row r="469" spans="1:16" ht="23.25" x14ac:dyDescent="0.25">
      <c r="A469" s="1036" t="s">
        <v>7554</v>
      </c>
      <c r="B469" s="1037"/>
      <c r="C469" s="1037"/>
      <c r="D469" s="1037"/>
      <c r="E469" s="1037"/>
      <c r="F469" s="1038"/>
      <c r="G469" s="12"/>
      <c r="H469" s="652">
        <v>44477</v>
      </c>
      <c r="I469" s="129"/>
      <c r="L469" s="333"/>
      <c r="M469" s="395"/>
      <c r="N469" s="569"/>
      <c r="O469" s="327"/>
      <c r="P469" s="327"/>
    </row>
    <row r="470" spans="1:16" ht="12" customHeight="1" x14ac:dyDescent="0.25">
      <c r="A470" s="1039"/>
      <c r="B470" s="777"/>
      <c r="C470" s="777"/>
      <c r="D470" s="777"/>
      <c r="E470" s="777"/>
      <c r="F470" s="1040"/>
      <c r="G470" s="12"/>
      <c r="H470" s="652"/>
      <c r="I470" s="129"/>
      <c r="L470" s="333"/>
      <c r="M470" s="395"/>
      <c r="N470" s="569"/>
      <c r="O470" s="327"/>
      <c r="P470" s="327"/>
    </row>
    <row r="471" spans="1:16" ht="86.25" customHeight="1" thickBot="1" x14ac:dyDescent="0.3">
      <c r="A471" s="1193" t="s">
        <v>7564</v>
      </c>
      <c r="B471" s="1194"/>
      <c r="C471" s="1194"/>
      <c r="D471" s="1194"/>
      <c r="E471" s="1194"/>
      <c r="F471" s="1195"/>
      <c r="G471" s="1035"/>
      <c r="H471" s="652">
        <v>44511</v>
      </c>
      <c r="I471" s="129"/>
      <c r="L471" s="333"/>
      <c r="M471" s="395"/>
      <c r="N471" s="569"/>
      <c r="O471" s="327"/>
      <c r="P471" s="327"/>
    </row>
    <row r="472" spans="1:16" ht="15" customHeight="1" x14ac:dyDescent="0.25">
      <c r="G472" s="774"/>
    </row>
    <row r="473" spans="1:16" x14ac:dyDescent="0.25">
      <c r="A473" s="644" t="s">
        <v>7551</v>
      </c>
      <c r="B473" s="645" t="s">
        <v>2067</v>
      </c>
      <c r="C473" s="643" t="s">
        <v>7550</v>
      </c>
      <c r="D473" s="643" t="s">
        <v>7552</v>
      </c>
      <c r="E473" s="656" t="s">
        <v>7553</v>
      </c>
      <c r="F473" s="657"/>
      <c r="G473" s="784">
        <v>44561</v>
      </c>
      <c r="H473" s="652">
        <v>44477</v>
      </c>
      <c r="I473" s="129"/>
      <c r="L473" s="333"/>
      <c r="M473" s="395"/>
      <c r="N473" s="569"/>
      <c r="O473" s="327"/>
      <c r="P473" s="327"/>
    </row>
  </sheetData>
  <autoFilter ref="A3:H467"/>
  <mergeCells count="2">
    <mergeCell ref="A1:E1"/>
    <mergeCell ref="A471:F471"/>
  </mergeCells>
  <pageMargins left="0.7" right="0.7" top="0.78740157499999996" bottom="0.78740157499999996"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76"/>
  <sheetViews>
    <sheetView showGridLines="0" workbookViewId="0">
      <selection sqref="A1:AA1"/>
    </sheetView>
  </sheetViews>
  <sheetFormatPr baseColWidth="10" defaultColWidth="11.42578125" defaultRowHeight="14.25" x14ac:dyDescent="0.2"/>
  <cols>
    <col min="1" max="1" width="35.42578125" style="141" customWidth="1"/>
    <col min="2" max="2" width="18.5703125" style="141" customWidth="1"/>
    <col min="3" max="14" width="16.5703125" style="141" customWidth="1"/>
    <col min="15" max="16" width="11.42578125" style="141"/>
    <col min="17" max="22" width="11.42578125" style="141" customWidth="1"/>
    <col min="23" max="16384" width="11.42578125" style="141"/>
  </cols>
  <sheetData>
    <row r="1" spans="1:28 16384:16384" ht="18" x14ac:dyDescent="0.25">
      <c r="A1" s="1196" t="s">
        <v>8091</v>
      </c>
      <c r="B1" s="1197"/>
      <c r="C1" s="1197"/>
      <c r="D1" s="1197"/>
      <c r="E1" s="1197"/>
      <c r="F1" s="1197"/>
      <c r="G1" s="1197"/>
      <c r="H1" s="1197"/>
      <c r="I1" s="1197"/>
      <c r="J1" s="1197"/>
      <c r="K1" s="1197"/>
      <c r="L1" s="1197"/>
      <c r="M1" s="1197"/>
      <c r="N1" s="1197"/>
      <c r="O1" s="1197"/>
      <c r="P1" s="1197"/>
      <c r="Q1" s="1197"/>
      <c r="R1" s="1197"/>
      <c r="S1" s="1197"/>
      <c r="T1" s="1197"/>
      <c r="U1" s="1197"/>
      <c r="V1" s="1197"/>
      <c r="W1" s="1197"/>
      <c r="X1" s="1197"/>
      <c r="Y1" s="1197"/>
      <c r="Z1" s="1197"/>
      <c r="AA1" s="1198"/>
      <c r="AB1" s="834"/>
    </row>
    <row r="2" spans="1:28 16384:16384" ht="9" customHeight="1" x14ac:dyDescent="0.2">
      <c r="AB2" s="834"/>
    </row>
    <row r="3" spans="1:28 16384:16384" ht="144.75" customHeight="1" x14ac:dyDescent="0.2">
      <c r="A3" s="1199" t="s">
        <v>8199</v>
      </c>
      <c r="B3" s="1200"/>
      <c r="C3" s="1200"/>
      <c r="D3" s="1200"/>
      <c r="E3" s="1200"/>
      <c r="F3" s="1200"/>
      <c r="G3" s="1200"/>
      <c r="H3" s="1200"/>
      <c r="I3" s="1200"/>
      <c r="J3" s="1103"/>
      <c r="K3" s="1103"/>
      <c r="L3" s="1103"/>
      <c r="M3" s="1103"/>
      <c r="N3" s="1103"/>
      <c r="O3" s="1103"/>
      <c r="P3" s="1103"/>
      <c r="Q3" s="1103"/>
      <c r="R3" s="1103"/>
      <c r="S3" s="1103"/>
      <c r="T3" s="1103"/>
      <c r="U3" s="1103"/>
      <c r="V3" s="1103"/>
      <c r="W3" s="1103"/>
      <c r="X3" s="1103"/>
      <c r="Y3" s="1103"/>
      <c r="Z3" s="1103"/>
      <c r="AA3" s="1104"/>
    </row>
    <row r="4" spans="1:28 16384:16384" ht="15" x14ac:dyDescent="0.25">
      <c r="A4" s="850"/>
      <c r="B4" s="834"/>
      <c r="C4" s="834"/>
      <c r="D4" s="834"/>
      <c r="E4" s="834"/>
    </row>
    <row r="5" spans="1:28 16384:16384" ht="15" x14ac:dyDescent="0.25">
      <c r="A5" s="1071" t="s">
        <v>8106</v>
      </c>
      <c r="B5" s="834"/>
      <c r="C5" s="834"/>
      <c r="D5" s="834"/>
      <c r="E5" s="834"/>
    </row>
    <row r="6" spans="1:28 16384:16384" x14ac:dyDescent="0.2">
      <c r="A6" s="1079" t="s">
        <v>8107</v>
      </c>
      <c r="B6" s="834"/>
      <c r="C6" s="834"/>
      <c r="D6" s="834"/>
      <c r="E6" s="834"/>
    </row>
    <row r="7" spans="1:28 16384:16384" x14ac:dyDescent="0.2">
      <c r="A7" s="1079" t="s">
        <v>8144</v>
      </c>
      <c r="B7" s="834"/>
      <c r="C7" s="834"/>
      <c r="D7" s="834"/>
      <c r="E7" s="834"/>
    </row>
    <row r="8" spans="1:28 16384:16384" ht="15" thickBot="1" x14ac:dyDescent="0.25">
      <c r="A8" s="1079"/>
      <c r="B8" s="834"/>
      <c r="C8" s="1098"/>
      <c r="D8" s="1098"/>
      <c r="E8" s="1098"/>
      <c r="F8" s="1099"/>
      <c r="G8" s="1099"/>
      <c r="H8" s="1099"/>
      <c r="I8" s="1099"/>
      <c r="J8" s="1099"/>
      <c r="K8" s="1099"/>
      <c r="L8" s="1099"/>
      <c r="M8" s="1099"/>
      <c r="N8" s="1099"/>
      <c r="O8" s="168"/>
    </row>
    <row r="9" spans="1:28 16384:16384" ht="26.25" thickBot="1" x14ac:dyDescent="0.25">
      <c r="A9" s="1067"/>
      <c r="B9" s="834"/>
      <c r="C9" s="843" t="s">
        <v>8092</v>
      </c>
      <c r="D9" s="844" t="s">
        <v>8093</v>
      </c>
      <c r="E9" s="844" t="s">
        <v>8094</v>
      </c>
      <c r="F9" s="844" t="s">
        <v>8095</v>
      </c>
      <c r="G9" s="844" t="s">
        <v>8096</v>
      </c>
      <c r="H9" s="844" t="s">
        <v>8097</v>
      </c>
      <c r="I9" s="1072" t="s">
        <v>8098</v>
      </c>
      <c r="J9" s="844" t="s">
        <v>8099</v>
      </c>
      <c r="K9" s="844" t="s">
        <v>8100</v>
      </c>
      <c r="L9" s="1072" t="s">
        <v>8101</v>
      </c>
      <c r="M9" s="844" t="s">
        <v>8102</v>
      </c>
      <c r="N9" s="845" t="s">
        <v>8103</v>
      </c>
      <c r="O9" s="168"/>
    </row>
    <row r="10" spans="1:28 16384:16384" x14ac:dyDescent="0.2">
      <c r="A10" s="1068" t="s">
        <v>7969</v>
      </c>
      <c r="B10" s="1069" t="s">
        <v>8104</v>
      </c>
      <c r="C10" s="1070">
        <v>100</v>
      </c>
      <c r="D10" s="1070">
        <v>100</v>
      </c>
      <c r="E10" s="1070">
        <v>100</v>
      </c>
      <c r="F10" s="1070">
        <v>100</v>
      </c>
      <c r="G10" s="1070">
        <v>100</v>
      </c>
      <c r="H10" s="1070">
        <v>100</v>
      </c>
      <c r="I10" s="1070">
        <v>100</v>
      </c>
      <c r="J10" s="1070">
        <v>100</v>
      </c>
      <c r="K10" s="1070">
        <v>100</v>
      </c>
      <c r="L10" s="1070">
        <v>100</v>
      </c>
      <c r="M10" s="1070"/>
      <c r="N10" s="1070"/>
      <c r="O10" s="168"/>
      <c r="XFD10" s="1070"/>
    </row>
    <row r="11" spans="1:28 16384:16384" x14ac:dyDescent="0.2">
      <c r="A11" s="1068" t="s">
        <v>8090</v>
      </c>
      <c r="B11" s="1069" t="s">
        <v>8105</v>
      </c>
      <c r="C11" s="1070"/>
      <c r="D11" s="1070"/>
      <c r="E11" s="1070"/>
      <c r="F11" s="1070"/>
      <c r="G11" s="1070"/>
      <c r="H11" s="1070"/>
      <c r="I11" s="1070"/>
      <c r="J11" s="1070"/>
      <c r="K11" s="1070"/>
      <c r="L11" s="1073">
        <v>-800</v>
      </c>
      <c r="M11" s="1070"/>
      <c r="N11" s="1070"/>
    </row>
    <row r="12" spans="1:28 16384:16384" x14ac:dyDescent="0.2">
      <c r="A12" s="834"/>
      <c r="B12" s="834"/>
      <c r="C12" s="834"/>
      <c r="D12" s="834"/>
      <c r="E12" s="834"/>
    </row>
    <row r="13" spans="1:28 16384:16384" x14ac:dyDescent="0.2">
      <c r="A13" s="834"/>
      <c r="B13" s="834"/>
      <c r="C13" s="834"/>
      <c r="D13" s="834"/>
      <c r="E13" s="834"/>
      <c r="L13" s="1081"/>
      <c r="M13" s="1081"/>
      <c r="N13" s="1081"/>
    </row>
    <row r="14" spans="1:28 16384:16384" x14ac:dyDescent="0.2">
      <c r="A14" s="834"/>
      <c r="B14" s="834"/>
      <c r="C14" s="834"/>
      <c r="D14" s="834"/>
      <c r="E14" s="834"/>
    </row>
    <row r="15" spans="1:28 16384:16384" x14ac:dyDescent="0.2">
      <c r="A15" s="834"/>
      <c r="B15" s="834"/>
      <c r="C15" s="834"/>
      <c r="D15" s="834"/>
      <c r="E15" s="834"/>
    </row>
    <row r="16" spans="1:28 16384:16384" ht="15" x14ac:dyDescent="0.25">
      <c r="A16" s="1071" t="s">
        <v>8149</v>
      </c>
      <c r="B16" s="834"/>
      <c r="C16" s="834"/>
      <c r="D16" s="834"/>
      <c r="E16" s="834"/>
    </row>
    <row r="17" spans="1:15 16384:16384" x14ac:dyDescent="0.2">
      <c r="A17" s="1079" t="s">
        <v>8108</v>
      </c>
      <c r="B17" s="834"/>
      <c r="C17" s="834"/>
      <c r="D17" s="834"/>
      <c r="E17" s="834"/>
    </row>
    <row r="18" spans="1:15 16384:16384" x14ac:dyDescent="0.2">
      <c r="A18" s="1079" t="s">
        <v>8151</v>
      </c>
      <c r="B18" s="834"/>
      <c r="C18" s="834"/>
      <c r="D18" s="834"/>
      <c r="E18" s="834"/>
    </row>
    <row r="19" spans="1:15 16384:16384" ht="15" thickBot="1" x14ac:dyDescent="0.25">
      <c r="A19" s="1067"/>
      <c r="B19" s="834"/>
      <c r="C19" s="834"/>
      <c r="D19" s="834"/>
      <c r="E19" s="834"/>
    </row>
    <row r="20" spans="1:15 16384:16384" ht="26.25" thickBot="1" x14ac:dyDescent="0.25">
      <c r="A20" s="1067"/>
      <c r="B20" s="834"/>
      <c r="C20" s="843" t="s">
        <v>8092</v>
      </c>
      <c r="D20" s="844" t="s">
        <v>8093</v>
      </c>
      <c r="E20" s="844" t="s">
        <v>8094</v>
      </c>
      <c r="F20" s="844" t="s">
        <v>8095</v>
      </c>
      <c r="G20" s="844" t="s">
        <v>8096</v>
      </c>
      <c r="H20" s="844" t="s">
        <v>8097</v>
      </c>
      <c r="I20" s="1072" t="s">
        <v>8098</v>
      </c>
      <c r="J20" s="844" t="s">
        <v>8099</v>
      </c>
      <c r="K20" s="844" t="s">
        <v>8100</v>
      </c>
      <c r="L20" s="1072" t="s">
        <v>8101</v>
      </c>
      <c r="M20" s="844" t="s">
        <v>8102</v>
      </c>
      <c r="N20" s="845" t="s">
        <v>8103</v>
      </c>
      <c r="O20" s="168"/>
    </row>
    <row r="21" spans="1:15 16384:16384" x14ac:dyDescent="0.2">
      <c r="A21" s="1068" t="s">
        <v>7969</v>
      </c>
      <c r="B21" s="1069" t="s">
        <v>8104</v>
      </c>
      <c r="C21" s="1070">
        <v>100</v>
      </c>
      <c r="D21" s="1070">
        <v>100</v>
      </c>
      <c r="E21" s="1070">
        <v>100</v>
      </c>
      <c r="F21" s="1070"/>
      <c r="G21" s="1070"/>
      <c r="H21" s="1070"/>
      <c r="I21" s="1070"/>
      <c r="J21" s="1070"/>
      <c r="K21" s="1070"/>
      <c r="L21" s="1070"/>
      <c r="M21" s="1070"/>
      <c r="N21" s="1070"/>
      <c r="O21" s="168"/>
      <c r="XFD21" s="1070"/>
    </row>
    <row r="22" spans="1:15 16384:16384" x14ac:dyDescent="0.2">
      <c r="A22" s="1068" t="s">
        <v>8024</v>
      </c>
      <c r="B22" s="1069" t="s">
        <v>8104</v>
      </c>
      <c r="C22" s="1070">
        <v>100</v>
      </c>
      <c r="D22" s="1070">
        <v>100</v>
      </c>
      <c r="E22" s="1070">
        <v>100</v>
      </c>
      <c r="F22" s="1070">
        <v>100</v>
      </c>
      <c r="G22" s="1070">
        <v>100</v>
      </c>
      <c r="H22" s="1070">
        <v>100</v>
      </c>
      <c r="I22" s="1070">
        <v>100</v>
      </c>
      <c r="J22" s="1070">
        <v>100</v>
      </c>
      <c r="K22" s="1070">
        <v>100</v>
      </c>
      <c r="L22" s="1070">
        <v>100</v>
      </c>
      <c r="M22" s="1070"/>
      <c r="N22" s="1070"/>
      <c r="O22" s="168"/>
      <c r="XFD22" s="1074"/>
    </row>
    <row r="23" spans="1:15 16384:16384" x14ac:dyDescent="0.2">
      <c r="A23" s="1068" t="s">
        <v>8090</v>
      </c>
      <c r="B23" s="1069" t="s">
        <v>8105</v>
      </c>
      <c r="C23" s="1073">
        <v>-100</v>
      </c>
      <c r="D23" s="1073">
        <v>-100</v>
      </c>
      <c r="E23" s="1073">
        <v>-100</v>
      </c>
      <c r="F23" s="1073"/>
      <c r="G23" s="1073"/>
      <c r="H23" s="1073"/>
      <c r="I23" s="1073"/>
      <c r="J23" s="1073"/>
      <c r="K23" s="1073"/>
      <c r="L23" s="1073"/>
      <c r="M23" s="1070"/>
      <c r="N23" s="1070"/>
    </row>
    <row r="24" spans="1:15 16384:16384" x14ac:dyDescent="0.2">
      <c r="A24" s="834"/>
      <c r="B24" s="834"/>
      <c r="C24" s="834"/>
      <c r="D24" s="834"/>
      <c r="E24" s="834"/>
    </row>
    <row r="25" spans="1:15 16384:16384" x14ac:dyDescent="0.2">
      <c r="A25" s="834"/>
      <c r="C25" s="1082"/>
      <c r="D25" s="1082"/>
      <c r="E25" s="1082"/>
      <c r="F25" s="1082"/>
      <c r="G25" s="1082"/>
      <c r="H25" s="1082"/>
      <c r="I25" s="1082"/>
      <c r="J25" s="1082"/>
      <c r="K25" s="1082"/>
      <c r="L25" s="1082"/>
    </row>
    <row r="26" spans="1:15 16384:16384" x14ac:dyDescent="0.2">
      <c r="B26" s="165"/>
      <c r="L26" s="1100"/>
    </row>
    <row r="27" spans="1:15 16384:16384" x14ac:dyDescent="0.2">
      <c r="A27" s="1076"/>
      <c r="B27" s="1077"/>
      <c r="C27" s="1075"/>
      <c r="D27" s="834"/>
      <c r="E27" s="834"/>
      <c r="K27" s="1083"/>
      <c r="L27" s="1082"/>
    </row>
    <row r="28" spans="1:15 16384:16384" ht="15" x14ac:dyDescent="0.25">
      <c r="A28" s="1078"/>
      <c r="B28" s="1077"/>
      <c r="C28" s="1075"/>
      <c r="D28" s="834"/>
      <c r="E28" s="834"/>
    </row>
    <row r="29" spans="1:15 16384:16384" ht="15" x14ac:dyDescent="0.25">
      <c r="A29" s="1078"/>
      <c r="B29" s="1077"/>
      <c r="C29" s="1075"/>
      <c r="D29" s="834"/>
      <c r="E29" s="834"/>
    </row>
    <row r="30" spans="1:15 16384:16384" ht="15" x14ac:dyDescent="0.25">
      <c r="A30" s="1071" t="s">
        <v>8148</v>
      </c>
      <c r="B30" s="834"/>
      <c r="C30" s="834"/>
      <c r="D30" s="834"/>
      <c r="E30" s="834"/>
    </row>
    <row r="31" spans="1:15 16384:16384" x14ac:dyDescent="0.2">
      <c r="A31" s="1079" t="s">
        <v>8107</v>
      </c>
      <c r="B31" s="834"/>
      <c r="C31" s="834"/>
      <c r="D31" s="834"/>
      <c r="E31" s="834"/>
    </row>
    <row r="32" spans="1:15 16384:16384" x14ac:dyDescent="0.2">
      <c r="A32" s="1079" t="s">
        <v>8145</v>
      </c>
      <c r="B32" s="834"/>
      <c r="C32" s="834"/>
      <c r="D32" s="834"/>
      <c r="E32" s="834"/>
    </row>
    <row r="33" spans="1:15 16384:16384" x14ac:dyDescent="0.2">
      <c r="A33" s="1101" t="s">
        <v>8146</v>
      </c>
      <c r="B33" s="834"/>
      <c r="C33" s="834"/>
      <c r="D33" s="834"/>
      <c r="E33" s="834"/>
    </row>
    <row r="34" spans="1:15 16384:16384" ht="15" thickBot="1" x14ac:dyDescent="0.25">
      <c r="A34" s="1101"/>
      <c r="B34" s="834"/>
      <c r="C34" s="1098"/>
      <c r="D34" s="1098"/>
      <c r="E34" s="1098"/>
      <c r="F34" s="1099"/>
      <c r="G34" s="1099"/>
      <c r="H34" s="1099"/>
      <c r="I34" s="1099"/>
      <c r="J34" s="1099"/>
      <c r="K34" s="1099"/>
      <c r="L34" s="1099"/>
      <c r="M34" s="1099"/>
      <c r="N34" s="1099"/>
      <c r="O34" s="168"/>
    </row>
    <row r="35" spans="1:15 16384:16384" ht="26.25" thickBot="1" x14ac:dyDescent="0.25">
      <c r="A35" s="1067"/>
      <c r="B35" s="834"/>
      <c r="C35" s="843" t="s">
        <v>8092</v>
      </c>
      <c r="D35" s="844" t="s">
        <v>8093</v>
      </c>
      <c r="E35" s="844" t="s">
        <v>8094</v>
      </c>
      <c r="F35" s="844" t="s">
        <v>8095</v>
      </c>
      <c r="G35" s="844" t="s">
        <v>8096</v>
      </c>
      <c r="H35" s="844" t="s">
        <v>8097</v>
      </c>
      <c r="I35" s="1072" t="s">
        <v>8098</v>
      </c>
      <c r="J35" s="844" t="s">
        <v>8099</v>
      </c>
      <c r="K35" s="844" t="s">
        <v>8100</v>
      </c>
      <c r="L35" s="1072" t="s">
        <v>8101</v>
      </c>
      <c r="M35" s="844" t="s">
        <v>8102</v>
      </c>
      <c r="N35" s="845" t="s">
        <v>8103</v>
      </c>
      <c r="O35" s="168"/>
    </row>
    <row r="36" spans="1:15 16384:16384" x14ac:dyDescent="0.2">
      <c r="A36" s="1068" t="s">
        <v>7969</v>
      </c>
      <c r="B36" s="1069" t="s">
        <v>8104</v>
      </c>
      <c r="C36" s="1070">
        <v>100</v>
      </c>
      <c r="D36" s="1070">
        <v>100</v>
      </c>
      <c r="E36" s="1070">
        <v>100</v>
      </c>
      <c r="F36" s="1070">
        <v>100</v>
      </c>
      <c r="G36" s="1070">
        <v>100</v>
      </c>
      <c r="H36" s="1070">
        <v>100</v>
      </c>
      <c r="I36" s="1070">
        <v>100</v>
      </c>
      <c r="J36" s="1070">
        <v>100</v>
      </c>
      <c r="K36" s="1070">
        <v>100</v>
      </c>
      <c r="L36" s="1070">
        <v>100</v>
      </c>
      <c r="M36" s="1070"/>
      <c r="N36" s="1070"/>
      <c r="O36" s="168"/>
      <c r="XFD36" s="1070"/>
    </row>
    <row r="37" spans="1:15 16384:16384" x14ac:dyDescent="0.2">
      <c r="A37" s="1068" t="s">
        <v>8024</v>
      </c>
      <c r="B37" s="1069" t="s">
        <v>8104</v>
      </c>
      <c r="C37" s="1070">
        <v>100</v>
      </c>
      <c r="D37" s="1070">
        <v>100</v>
      </c>
      <c r="E37" s="1070">
        <v>100</v>
      </c>
      <c r="F37" s="1070">
        <v>100</v>
      </c>
      <c r="G37" s="1070">
        <v>100</v>
      </c>
      <c r="H37" s="1070">
        <v>100</v>
      </c>
      <c r="I37" s="1070">
        <v>100</v>
      </c>
      <c r="J37" s="1070"/>
      <c r="K37" s="1070"/>
      <c r="L37" s="1070"/>
      <c r="M37" s="1070"/>
      <c r="N37" s="1070"/>
      <c r="O37" s="168"/>
      <c r="XFD37" s="1074"/>
    </row>
    <row r="38" spans="1:15 16384:16384" x14ac:dyDescent="0.2">
      <c r="A38" s="1068" t="s">
        <v>8090</v>
      </c>
      <c r="B38" s="1069" t="s">
        <v>8105</v>
      </c>
      <c r="C38" s="1073">
        <v>-100</v>
      </c>
      <c r="D38" s="1073">
        <v>-100</v>
      </c>
      <c r="E38" s="1073">
        <v>-100</v>
      </c>
      <c r="F38" s="1073">
        <v>-100</v>
      </c>
      <c r="G38" s="1073">
        <v>-100</v>
      </c>
      <c r="H38" s="1073">
        <v>-100</v>
      </c>
      <c r="I38" s="1073">
        <v>-100</v>
      </c>
      <c r="J38" s="1073"/>
      <c r="K38" s="1073"/>
      <c r="L38" s="1073">
        <v>-240</v>
      </c>
      <c r="M38" s="1070"/>
      <c r="N38" s="1070"/>
    </row>
    <row r="39" spans="1:15 16384:16384" x14ac:dyDescent="0.2">
      <c r="A39" s="856"/>
      <c r="B39" s="897"/>
      <c r="C39" s="856"/>
      <c r="D39" s="834"/>
      <c r="E39" s="1102"/>
    </row>
    <row r="40" spans="1:15 16384:16384" ht="15" customHeight="1" x14ac:dyDescent="0.2">
      <c r="A40" s="834"/>
      <c r="B40" s="898"/>
      <c r="C40" s="834"/>
      <c r="D40" s="834"/>
      <c r="E40" s="834"/>
    </row>
    <row r="41" spans="1:15 16384:16384" x14ac:dyDescent="0.2">
      <c r="A41" s="834"/>
      <c r="B41" s="834"/>
      <c r="C41" s="857"/>
      <c r="D41" s="857"/>
      <c r="E41" s="857"/>
      <c r="F41" s="165"/>
      <c r="G41" s="165"/>
      <c r="H41" s="165"/>
      <c r="I41" s="165"/>
    </row>
    <row r="42" spans="1:15 16384:16384" x14ac:dyDescent="0.2">
      <c r="A42" s="858"/>
      <c r="B42" s="899"/>
      <c r="C42" s="859"/>
      <c r="D42" s="834"/>
      <c r="E42" s="834"/>
      <c r="J42" s="168"/>
    </row>
    <row r="43" spans="1:15 16384:16384" ht="15" customHeight="1" x14ac:dyDescent="0.2">
      <c r="A43" s="858"/>
      <c r="B43" s="899"/>
      <c r="C43" s="860"/>
      <c r="D43" s="834"/>
      <c r="E43" s="834"/>
      <c r="J43" s="168"/>
    </row>
    <row r="44" spans="1:15 16384:16384" ht="15" x14ac:dyDescent="0.25">
      <c r="A44" s="1071" t="s">
        <v>8147</v>
      </c>
      <c r="B44" s="834"/>
      <c r="C44" s="834"/>
      <c r="D44" s="834"/>
      <c r="E44" s="834"/>
    </row>
    <row r="45" spans="1:15 16384:16384" x14ac:dyDescent="0.2">
      <c r="A45" s="1079" t="s">
        <v>8107</v>
      </c>
      <c r="B45" s="834"/>
      <c r="C45" s="834"/>
      <c r="D45" s="834"/>
      <c r="E45" s="834"/>
    </row>
    <row r="46" spans="1:15 16384:16384" x14ac:dyDescent="0.2">
      <c r="A46" s="1079" t="s">
        <v>8150</v>
      </c>
      <c r="B46" s="834"/>
      <c r="C46" s="834"/>
      <c r="D46" s="834"/>
      <c r="E46" s="834"/>
    </row>
    <row r="47" spans="1:15 16384:16384" x14ac:dyDescent="0.2">
      <c r="A47" s="1101"/>
      <c r="B47" s="834"/>
      <c r="C47" s="834"/>
      <c r="D47" s="834"/>
      <c r="E47" s="834"/>
    </row>
    <row r="48" spans="1:15 16384:16384" ht="15" thickBot="1" x14ac:dyDescent="0.25">
      <c r="A48" s="1101"/>
      <c r="B48" s="834"/>
      <c r="C48" s="1098"/>
      <c r="D48" s="1098"/>
      <c r="E48" s="1098"/>
      <c r="F48" s="1099"/>
      <c r="G48" s="1099"/>
      <c r="H48" s="1099"/>
      <c r="I48" s="1099"/>
      <c r="J48" s="1099"/>
      <c r="K48" s="1099"/>
      <c r="L48" s="1099"/>
      <c r="M48" s="1099"/>
      <c r="N48" s="1099"/>
      <c r="O48" s="168"/>
    </row>
    <row r="49" spans="1:15 16384:16384" ht="26.25" thickBot="1" x14ac:dyDescent="0.25">
      <c r="A49" s="1067"/>
      <c r="B49" s="834"/>
      <c r="C49" s="843" t="s">
        <v>8092</v>
      </c>
      <c r="D49" s="844" t="s">
        <v>8093</v>
      </c>
      <c r="E49" s="844" t="s">
        <v>8094</v>
      </c>
      <c r="F49" s="844" t="s">
        <v>8095</v>
      </c>
      <c r="G49" s="844" t="s">
        <v>8096</v>
      </c>
      <c r="H49" s="844" t="s">
        <v>8097</v>
      </c>
      <c r="I49" s="1072" t="s">
        <v>8098</v>
      </c>
      <c r="J49" s="844" t="s">
        <v>8099</v>
      </c>
      <c r="K49" s="844" t="s">
        <v>8100</v>
      </c>
      <c r="L49" s="1072" t="s">
        <v>8101</v>
      </c>
      <c r="M49" s="844" t="s">
        <v>8102</v>
      </c>
      <c r="N49" s="845" t="s">
        <v>8103</v>
      </c>
      <c r="O49" s="168"/>
    </row>
    <row r="50" spans="1:15 16384:16384" x14ac:dyDescent="0.2">
      <c r="A50" s="1068" t="s">
        <v>7969</v>
      </c>
      <c r="B50" s="1069" t="s">
        <v>8104</v>
      </c>
      <c r="C50" s="1070">
        <v>100</v>
      </c>
      <c r="D50" s="1070">
        <v>100</v>
      </c>
      <c r="E50" s="1070">
        <v>100</v>
      </c>
      <c r="F50" s="1070">
        <v>100</v>
      </c>
      <c r="G50" s="1070">
        <v>100</v>
      </c>
      <c r="H50" s="1070">
        <v>100</v>
      </c>
      <c r="I50" s="1070">
        <v>100</v>
      </c>
      <c r="J50" s="1070">
        <v>100</v>
      </c>
      <c r="K50" s="1070">
        <v>100</v>
      </c>
      <c r="L50" s="1070">
        <v>100</v>
      </c>
      <c r="M50" s="1070"/>
      <c r="N50" s="1070"/>
      <c r="O50" s="168"/>
      <c r="XFD50" s="1070"/>
    </row>
    <row r="51" spans="1:15 16384:16384" x14ac:dyDescent="0.2">
      <c r="A51" s="1068" t="s">
        <v>8064</v>
      </c>
      <c r="B51" s="1069" t="s">
        <v>8104</v>
      </c>
      <c r="C51" s="1070">
        <v>100</v>
      </c>
      <c r="D51" s="1070">
        <v>100</v>
      </c>
      <c r="E51" s="1070">
        <v>100</v>
      </c>
      <c r="F51" s="1070">
        <v>100</v>
      </c>
      <c r="G51" s="1070"/>
      <c r="H51" s="1070"/>
      <c r="I51" s="1070"/>
      <c r="J51" s="1070"/>
      <c r="K51" s="1070"/>
      <c r="L51" s="1070"/>
      <c r="M51" s="1070"/>
      <c r="N51" s="1070"/>
      <c r="O51" s="168"/>
      <c r="XFD51" s="1074"/>
    </row>
    <row r="52" spans="1:15 16384:16384" x14ac:dyDescent="0.2">
      <c r="A52" s="1068" t="s">
        <v>8090</v>
      </c>
      <c r="B52" s="1069" t="s">
        <v>8105</v>
      </c>
      <c r="C52" s="1073">
        <v>-100</v>
      </c>
      <c r="D52" s="1073">
        <v>-100</v>
      </c>
      <c r="E52" s="1073">
        <v>-100</v>
      </c>
      <c r="F52" s="1073">
        <v>-100</v>
      </c>
      <c r="G52" s="1073"/>
      <c r="H52" s="1073"/>
      <c r="I52" s="1073"/>
      <c r="J52" s="1073"/>
      <c r="K52" s="1073"/>
      <c r="L52" s="1073">
        <v>-720</v>
      </c>
      <c r="M52" s="1070"/>
      <c r="N52" s="1070"/>
    </row>
    <row r="53" spans="1:15 16384:16384" ht="15" customHeight="1" x14ac:dyDescent="0.2">
      <c r="A53" s="858"/>
      <c r="B53" s="899"/>
      <c r="C53" s="860"/>
      <c r="D53" s="834"/>
      <c r="E53" s="834"/>
      <c r="J53" s="168"/>
    </row>
    <row r="54" spans="1:15 16384:16384" ht="6.75" customHeight="1" x14ac:dyDescent="0.2">
      <c r="A54" s="834"/>
      <c r="B54" s="834"/>
      <c r="C54" s="861"/>
      <c r="D54" s="861"/>
      <c r="E54" s="861"/>
      <c r="F54" s="166"/>
      <c r="G54" s="166"/>
      <c r="H54" s="166"/>
      <c r="I54" s="166"/>
    </row>
    <row r="55" spans="1:15 16384:16384" ht="15" x14ac:dyDescent="0.25">
      <c r="A55" s="862"/>
      <c r="B55" s="834"/>
      <c r="C55" s="859"/>
      <c r="D55" s="834"/>
      <c r="E55" s="834"/>
    </row>
    <row r="56" spans="1:15 16384:16384" ht="15" x14ac:dyDescent="0.25">
      <c r="A56" s="862"/>
      <c r="B56" s="834"/>
      <c r="C56" s="859"/>
      <c r="D56" s="834"/>
      <c r="E56" s="834"/>
    </row>
    <row r="57" spans="1:15 16384:16384" x14ac:dyDescent="0.2">
      <c r="A57" s="834"/>
      <c r="B57" s="834"/>
      <c r="C57" s="834"/>
      <c r="D57" s="834"/>
      <c r="E57" s="834"/>
    </row>
    <row r="58" spans="1:15 16384:16384" x14ac:dyDescent="0.2">
      <c r="A58" s="834"/>
      <c r="B58" s="834"/>
      <c r="C58" s="834"/>
      <c r="D58" s="834"/>
      <c r="E58" s="834"/>
    </row>
    <row r="59" spans="1:15 16384:16384" x14ac:dyDescent="0.2">
      <c r="A59" s="834"/>
      <c r="B59" s="834"/>
      <c r="C59" s="834"/>
      <c r="D59" s="834"/>
      <c r="E59" s="834"/>
    </row>
    <row r="60" spans="1:15 16384:16384" x14ac:dyDescent="0.2">
      <c r="A60" s="834"/>
      <c r="B60" s="834"/>
      <c r="C60" s="834"/>
      <c r="D60" s="834"/>
      <c r="E60" s="834"/>
    </row>
    <row r="61" spans="1:15 16384:16384" x14ac:dyDescent="0.2">
      <c r="A61" s="834"/>
      <c r="B61" s="834"/>
      <c r="C61" s="834"/>
      <c r="D61" s="834"/>
      <c r="E61" s="834"/>
    </row>
    <row r="62" spans="1:15 16384:16384" ht="15" x14ac:dyDescent="0.25">
      <c r="A62" s="855"/>
      <c r="B62" s="834"/>
      <c r="C62" s="834"/>
      <c r="D62" s="834"/>
      <c r="E62" s="834"/>
    </row>
    <row r="63" spans="1:15 16384:16384" x14ac:dyDescent="0.2">
      <c r="A63" s="834"/>
      <c r="B63" s="834"/>
      <c r="C63" s="834"/>
      <c r="D63" s="834"/>
      <c r="E63" s="834"/>
    </row>
    <row r="64" spans="1:15 16384:16384" x14ac:dyDescent="0.2">
      <c r="A64" s="834"/>
      <c r="B64" s="834"/>
      <c r="C64" s="834"/>
      <c r="D64" s="834"/>
      <c r="E64" s="834"/>
    </row>
    <row r="65" spans="1:5" x14ac:dyDescent="0.2">
      <c r="A65" s="834"/>
      <c r="B65" s="834"/>
      <c r="C65" s="834"/>
      <c r="D65" s="834"/>
      <c r="E65" s="834"/>
    </row>
    <row r="66" spans="1:5" x14ac:dyDescent="0.2">
      <c r="A66" s="858"/>
      <c r="B66" s="834"/>
      <c r="C66" s="834"/>
      <c r="D66" s="834"/>
      <c r="E66" s="834"/>
    </row>
    <row r="67" spans="1:5" x14ac:dyDescent="0.2">
      <c r="A67" s="858"/>
      <c r="B67" s="834"/>
      <c r="C67" s="834"/>
      <c r="D67" s="834"/>
      <c r="E67" s="834"/>
    </row>
    <row r="68" spans="1:5" x14ac:dyDescent="0.2">
      <c r="A68" s="834"/>
      <c r="B68" s="834"/>
      <c r="C68" s="834"/>
      <c r="D68" s="834"/>
      <c r="E68" s="834"/>
    </row>
    <row r="69" spans="1:5" x14ac:dyDescent="0.2">
      <c r="A69" s="834"/>
      <c r="B69" s="834"/>
      <c r="C69" s="834"/>
      <c r="D69" s="834"/>
      <c r="E69" s="834"/>
    </row>
    <row r="70" spans="1:5" x14ac:dyDescent="0.2">
      <c r="A70" s="834"/>
      <c r="B70" s="834"/>
      <c r="C70" s="834"/>
      <c r="D70" s="834"/>
      <c r="E70" s="834"/>
    </row>
    <row r="71" spans="1:5" x14ac:dyDescent="0.2">
      <c r="A71" s="834"/>
      <c r="B71" s="834"/>
      <c r="C71" s="834"/>
      <c r="D71" s="834"/>
      <c r="E71" s="834"/>
    </row>
    <row r="72" spans="1:5" x14ac:dyDescent="0.2">
      <c r="A72" s="834"/>
      <c r="B72" s="834"/>
      <c r="C72" s="834"/>
      <c r="D72" s="834"/>
      <c r="E72" s="834"/>
    </row>
    <row r="73" spans="1:5" x14ac:dyDescent="0.2">
      <c r="A73" s="834"/>
      <c r="B73" s="834"/>
      <c r="C73" s="834"/>
      <c r="D73" s="834"/>
      <c r="E73" s="834"/>
    </row>
    <row r="76" spans="1:5" ht="15" x14ac:dyDescent="0.25">
      <c r="A76" s="161"/>
    </row>
  </sheetData>
  <mergeCells count="2">
    <mergeCell ref="A1:AA1"/>
    <mergeCell ref="A3:I3"/>
  </mergeCells>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53250" r:id="rId4">
          <objectPr defaultSize="0" autoPict="0" r:id="rId5">
            <anchor moveWithCells="1" sizeWithCells="1">
              <from>
                <xdr:col>0</xdr:col>
                <xdr:colOff>0</xdr:colOff>
                <xdr:row>61</xdr:row>
                <xdr:rowOff>0</xdr:rowOff>
              </from>
              <to>
                <xdr:col>2</xdr:col>
                <xdr:colOff>0</xdr:colOff>
                <xdr:row>61</xdr:row>
                <xdr:rowOff>0</xdr:rowOff>
              </to>
            </anchor>
          </objectPr>
        </oleObject>
      </mc:Choice>
      <mc:Fallback>
        <oleObject progId="Equation.3" shapeId="53250" r:id="rId4"/>
      </mc:Fallback>
    </mc:AlternateContent>
    <mc:AlternateContent xmlns:mc="http://schemas.openxmlformats.org/markup-compatibility/2006">
      <mc:Choice Requires="x14">
        <oleObject progId="Equation.3" shapeId="53251" r:id="rId6">
          <objectPr defaultSize="0" autoPict="0" r:id="rId7">
            <anchor moveWithCells="1" sizeWithCells="1">
              <from>
                <xdr:col>0</xdr:col>
                <xdr:colOff>361950</xdr:colOff>
                <xdr:row>61</xdr:row>
                <xdr:rowOff>0</xdr:rowOff>
              </from>
              <to>
                <xdr:col>2</xdr:col>
                <xdr:colOff>0</xdr:colOff>
                <xdr:row>61</xdr:row>
                <xdr:rowOff>0</xdr:rowOff>
              </to>
            </anchor>
          </objectPr>
        </oleObject>
      </mc:Choice>
      <mc:Fallback>
        <oleObject progId="Equation.3" shapeId="53251" r:id="rId6"/>
      </mc:Fallback>
    </mc:AlternateContent>
    <mc:AlternateContent xmlns:mc="http://schemas.openxmlformats.org/markup-compatibility/2006">
      <mc:Choice Requires="x14">
        <oleObject progId="Equation.3" shapeId="53252" r:id="rId8">
          <objectPr defaultSize="0" autoPict="0" r:id="rId9">
            <anchor moveWithCells="1" sizeWithCells="1">
              <from>
                <xdr:col>0</xdr:col>
                <xdr:colOff>323850</xdr:colOff>
                <xdr:row>61</xdr:row>
                <xdr:rowOff>0</xdr:rowOff>
              </from>
              <to>
                <xdr:col>2</xdr:col>
                <xdr:colOff>0</xdr:colOff>
                <xdr:row>61</xdr:row>
                <xdr:rowOff>0</xdr:rowOff>
              </to>
            </anchor>
          </objectPr>
        </oleObject>
      </mc:Choice>
      <mc:Fallback>
        <oleObject progId="Equation.3" shapeId="53252" r:id="rId8"/>
      </mc:Fallback>
    </mc:AlternateContent>
    <mc:AlternateContent xmlns:mc="http://schemas.openxmlformats.org/markup-compatibility/2006">
      <mc:Choice Requires="x14">
        <oleObject progId="Equation.3" shapeId="53253" r:id="rId10">
          <objectPr defaultSize="0" autoPict="0" r:id="rId11">
            <anchor moveWithCells="1" sizeWithCells="1">
              <from>
                <xdr:col>0</xdr:col>
                <xdr:colOff>9525</xdr:colOff>
                <xdr:row>61</xdr:row>
                <xdr:rowOff>0</xdr:rowOff>
              </from>
              <to>
                <xdr:col>2</xdr:col>
                <xdr:colOff>0</xdr:colOff>
                <xdr:row>61</xdr:row>
                <xdr:rowOff>0</xdr:rowOff>
              </to>
            </anchor>
          </objectPr>
        </oleObject>
      </mc:Choice>
      <mc:Fallback>
        <oleObject progId="Equation.3" shapeId="53253" r:id="rId1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82"/>
  <sheetViews>
    <sheetView workbookViewId="0">
      <selection sqref="A1:AA1"/>
    </sheetView>
  </sheetViews>
  <sheetFormatPr baseColWidth="10" defaultColWidth="11.42578125" defaultRowHeight="14.25" x14ac:dyDescent="0.2"/>
  <cols>
    <col min="1" max="1" width="35.42578125" style="956" customWidth="1"/>
    <col min="2" max="2" width="18.5703125" style="956" customWidth="1"/>
    <col min="3" max="3" width="17.5703125" style="956" customWidth="1"/>
    <col min="4" max="9" width="11.42578125" style="956" customWidth="1"/>
    <col min="10" max="13" width="12.42578125" style="956" bestFit="1" customWidth="1"/>
    <col min="14" max="14" width="11.5703125" style="956" bestFit="1" customWidth="1"/>
    <col min="15" max="15" width="11.42578125" style="956"/>
    <col min="16" max="16" width="4.85546875" style="956" customWidth="1"/>
    <col min="17" max="22" width="11.42578125" style="956" customWidth="1"/>
    <col min="23" max="16384" width="11.42578125" style="956"/>
  </cols>
  <sheetData>
    <row r="1" spans="1:28" ht="37.700000000000003" customHeight="1" x14ac:dyDescent="0.25">
      <c r="A1" s="1241" t="s">
        <v>7828</v>
      </c>
      <c r="B1" s="1237"/>
      <c r="C1" s="1237"/>
      <c r="D1" s="1237"/>
      <c r="E1" s="1237"/>
      <c r="F1" s="1237"/>
      <c r="G1" s="1237"/>
      <c r="H1" s="1237"/>
      <c r="I1" s="1237"/>
      <c r="J1" s="1237"/>
      <c r="K1" s="1237"/>
      <c r="L1" s="1237"/>
      <c r="M1" s="1237"/>
      <c r="N1" s="1237"/>
      <c r="O1" s="1237"/>
      <c r="P1" s="1237"/>
      <c r="Q1" s="1237"/>
      <c r="R1" s="1237"/>
      <c r="S1" s="1237"/>
      <c r="T1" s="1237"/>
      <c r="U1" s="1237"/>
      <c r="V1" s="1237"/>
      <c r="W1" s="1237"/>
      <c r="X1" s="1237"/>
      <c r="Y1" s="1237"/>
      <c r="Z1" s="1237"/>
      <c r="AA1" s="1238"/>
      <c r="AB1" s="955"/>
    </row>
    <row r="2" spans="1:28" ht="9" customHeight="1" x14ac:dyDescent="0.2">
      <c r="A2" s="957"/>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5"/>
    </row>
    <row r="3" spans="1:28" ht="28.5" customHeight="1" x14ac:dyDescent="0.2">
      <c r="A3" s="958" t="s">
        <v>7765</v>
      </c>
      <c r="B3" s="959"/>
      <c r="C3" s="959"/>
      <c r="D3" s="959"/>
      <c r="E3" s="959"/>
      <c r="F3" s="959"/>
      <c r="G3" s="959"/>
      <c r="H3" s="959"/>
      <c r="I3" s="959"/>
      <c r="J3" s="959"/>
      <c r="K3" s="959"/>
      <c r="L3" s="959"/>
      <c r="M3" s="959"/>
      <c r="N3" s="959"/>
      <c r="O3" s="959"/>
      <c r="P3" s="959"/>
      <c r="Q3" s="959"/>
      <c r="R3" s="959"/>
      <c r="S3" s="959"/>
      <c r="T3" s="959"/>
      <c r="U3" s="959"/>
      <c r="V3" s="959"/>
      <c r="W3" s="959"/>
      <c r="X3" s="959"/>
      <c r="Y3" s="959"/>
      <c r="Z3" s="959"/>
      <c r="AA3" s="959"/>
      <c r="AB3" s="960"/>
    </row>
    <row r="4" spans="1:28" ht="81.75" customHeight="1" x14ac:dyDescent="0.2">
      <c r="A4" s="1239" t="s">
        <v>7821</v>
      </c>
      <c r="B4" s="1240"/>
      <c r="C4" s="1240"/>
      <c r="D4" s="1240"/>
      <c r="E4" s="1240"/>
      <c r="F4" s="1240"/>
      <c r="G4" s="1240"/>
      <c r="H4" s="1240"/>
      <c r="I4" s="1240"/>
      <c r="J4" s="1240"/>
      <c r="K4" s="1240"/>
      <c r="L4" s="1240"/>
      <c r="M4" s="1240"/>
      <c r="N4" s="1240"/>
      <c r="O4" s="1240"/>
      <c r="P4" s="1240"/>
      <c r="Q4" s="1240"/>
      <c r="R4" s="1240"/>
      <c r="S4" s="1010"/>
      <c r="T4" s="1010"/>
      <c r="U4" s="1010"/>
      <c r="V4" s="1010"/>
      <c r="W4" s="1010"/>
      <c r="X4" s="1010"/>
      <c r="Y4" s="1010"/>
      <c r="Z4" s="1010"/>
      <c r="AA4" s="1011"/>
    </row>
    <row r="5" spans="1:28" ht="22.35" customHeight="1" x14ac:dyDescent="0.2">
      <c r="A5" s="1230" t="s">
        <v>7785</v>
      </c>
      <c r="B5" s="1231"/>
      <c r="C5" s="1231"/>
      <c r="D5" s="1231"/>
      <c r="E5" s="1231"/>
      <c r="F5" s="1231"/>
      <c r="G5" s="1231"/>
      <c r="H5" s="1231"/>
      <c r="I5" s="1231"/>
      <c r="J5" s="1231"/>
      <c r="K5" s="1231"/>
      <c r="L5" s="1231"/>
      <c r="M5" s="1231"/>
      <c r="N5" s="1231"/>
      <c r="O5" s="1231"/>
      <c r="P5" s="1231"/>
      <c r="Q5" s="1231"/>
      <c r="R5" s="1231"/>
      <c r="S5" s="1010"/>
      <c r="T5" s="1010"/>
      <c r="U5" s="1010"/>
      <c r="V5" s="1010"/>
      <c r="W5" s="1010"/>
      <c r="X5" s="1010"/>
      <c r="Y5" s="1010"/>
      <c r="Z5" s="1010"/>
      <c r="AA5" s="1011"/>
    </row>
    <row r="6" spans="1:28" ht="54" customHeight="1" x14ac:dyDescent="0.2">
      <c r="A6" s="1230" t="s">
        <v>7822</v>
      </c>
      <c r="B6" s="1231"/>
      <c r="C6" s="1231"/>
      <c r="D6" s="1231"/>
      <c r="E6" s="1231"/>
      <c r="F6" s="1231"/>
      <c r="G6" s="1231"/>
      <c r="H6" s="1231"/>
      <c r="I6" s="1231"/>
      <c r="J6" s="1231"/>
      <c r="K6" s="1231"/>
      <c r="L6" s="1231"/>
      <c r="M6" s="1231"/>
      <c r="N6" s="1231"/>
      <c r="O6" s="1231"/>
      <c r="P6" s="1231"/>
      <c r="Q6" s="1231"/>
      <c r="R6" s="1231"/>
      <c r="S6" s="1010"/>
      <c r="T6" s="1010"/>
      <c r="U6" s="1010"/>
      <c r="V6" s="1010"/>
      <c r="W6" s="1010"/>
      <c r="X6" s="1010"/>
      <c r="Y6" s="1010"/>
      <c r="Z6" s="1010"/>
      <c r="AA6" s="1011"/>
    </row>
    <row r="7" spans="1:28" ht="130.5" customHeight="1" thickBot="1" x14ac:dyDescent="0.25">
      <c r="A7" s="1223" t="s">
        <v>7839</v>
      </c>
      <c r="B7" s="1224"/>
      <c r="C7" s="1224"/>
      <c r="D7" s="1224"/>
      <c r="E7" s="1224"/>
      <c r="F7" s="1224"/>
      <c r="G7" s="1224"/>
      <c r="H7" s="1224"/>
      <c r="I7" s="1224"/>
      <c r="J7" s="1224"/>
      <c r="K7" s="1224"/>
      <c r="L7" s="1224"/>
      <c r="M7" s="1224"/>
      <c r="N7" s="1224"/>
      <c r="O7" s="1224"/>
      <c r="P7" s="1224"/>
      <c r="Q7" s="1224"/>
      <c r="R7" s="1225"/>
    </row>
    <row r="8" spans="1:28" ht="26.85" customHeight="1" thickBot="1" x14ac:dyDescent="0.3">
      <c r="A8" s="961"/>
      <c r="B8" s="961"/>
      <c r="C8" s="961"/>
      <c r="D8" s="1226" t="s">
        <v>7772</v>
      </c>
      <c r="E8" s="1227"/>
      <c r="F8" s="1228" t="s">
        <v>7771</v>
      </c>
      <c r="G8" s="1227"/>
      <c r="H8" s="1228" t="s">
        <v>7773</v>
      </c>
      <c r="I8" s="1227"/>
      <c r="J8" s="1228" t="s">
        <v>7774</v>
      </c>
      <c r="K8" s="1227"/>
      <c r="L8" s="1228" t="s">
        <v>7775</v>
      </c>
      <c r="M8" s="1227"/>
      <c r="N8" s="1229" t="s">
        <v>7776</v>
      </c>
      <c r="O8" s="1205"/>
      <c r="P8" s="961"/>
      <c r="Q8" s="1204" t="s">
        <v>7784</v>
      </c>
      <c r="R8" s="1205"/>
      <c r="S8" s="991"/>
    </row>
    <row r="9" spans="1:28" ht="22.5" customHeight="1" thickBot="1" x14ac:dyDescent="0.3">
      <c r="A9" s="962"/>
      <c r="B9" s="962"/>
      <c r="C9" s="962"/>
      <c r="D9" s="1206" t="s">
        <v>7777</v>
      </c>
      <c r="E9" s="1207"/>
      <c r="F9" s="1207"/>
      <c r="G9" s="1207"/>
      <c r="H9" s="1207"/>
      <c r="I9" s="1207"/>
      <c r="J9" s="1207"/>
      <c r="K9" s="1207"/>
      <c r="L9" s="1207"/>
      <c r="M9" s="1207"/>
      <c r="N9" s="1207"/>
      <c r="O9" s="1208"/>
      <c r="P9" s="961"/>
      <c r="Q9" s="1008"/>
      <c r="R9" s="1008"/>
    </row>
    <row r="10" spans="1:28" ht="30.75" thickBot="1" x14ac:dyDescent="0.3">
      <c r="A10" s="1009" t="s">
        <v>7787</v>
      </c>
      <c r="B10" s="1009" t="s">
        <v>1764</v>
      </c>
      <c r="C10" s="963" t="s">
        <v>7786</v>
      </c>
      <c r="D10" s="1005" t="s">
        <v>7769</v>
      </c>
      <c r="E10" s="1006" t="s">
        <v>7770</v>
      </c>
      <c r="F10" s="1006" t="s">
        <v>7769</v>
      </c>
      <c r="G10" s="1006" t="s">
        <v>7770</v>
      </c>
      <c r="H10" s="1006" t="s">
        <v>7769</v>
      </c>
      <c r="I10" s="1006" t="s">
        <v>7770</v>
      </c>
      <c r="J10" s="1006" t="s">
        <v>7769</v>
      </c>
      <c r="K10" s="1006" t="s">
        <v>7770</v>
      </c>
      <c r="L10" s="1006" t="s">
        <v>7769</v>
      </c>
      <c r="M10" s="1006" t="s">
        <v>7770</v>
      </c>
      <c r="N10" s="1006" t="s">
        <v>7769</v>
      </c>
      <c r="O10" s="1007" t="s">
        <v>7770</v>
      </c>
      <c r="P10" s="961"/>
      <c r="Q10" s="1005" t="s">
        <v>7769</v>
      </c>
      <c r="R10" s="1007" t="s">
        <v>7770</v>
      </c>
      <c r="S10" s="991"/>
    </row>
    <row r="11" spans="1:28" ht="15" x14ac:dyDescent="0.25">
      <c r="A11" s="964"/>
      <c r="B11" s="961"/>
      <c r="C11" s="961"/>
      <c r="D11" s="961"/>
      <c r="E11" s="961"/>
      <c r="F11" s="961"/>
      <c r="G11" s="961"/>
      <c r="H11" s="961"/>
      <c r="I11" s="961"/>
      <c r="J11" s="961"/>
      <c r="K11" s="961"/>
      <c r="L11" s="961"/>
      <c r="M11" s="961"/>
      <c r="N11" s="961"/>
      <c r="O11" s="961"/>
      <c r="P11" s="961"/>
      <c r="Q11" s="961"/>
      <c r="R11" s="961"/>
    </row>
    <row r="12" spans="1:28" ht="15" x14ac:dyDescent="0.25">
      <c r="A12" s="965" t="s">
        <v>7616</v>
      </c>
      <c r="B12" s="966" t="s">
        <v>6280</v>
      </c>
      <c r="C12" s="967">
        <v>12.2</v>
      </c>
      <c r="D12" s="933">
        <v>37845</v>
      </c>
      <c r="E12" s="1000">
        <v>4617.09</v>
      </c>
      <c r="F12" s="933">
        <v>26580</v>
      </c>
      <c r="G12" s="1000">
        <v>3242.76</v>
      </c>
      <c r="H12" s="933">
        <v>16334</v>
      </c>
      <c r="I12" s="1000">
        <v>1992.75</v>
      </c>
      <c r="J12" s="933">
        <v>9328</v>
      </c>
      <c r="K12" s="1000">
        <v>1138.02</v>
      </c>
      <c r="L12" s="933">
        <v>3024</v>
      </c>
      <c r="M12" s="1000">
        <v>368.93</v>
      </c>
      <c r="N12" s="933"/>
      <c r="O12" s="1000"/>
      <c r="P12" s="961"/>
      <c r="Q12" s="1004">
        <f t="shared" ref="Q12:R14" si="0">D12+F12+H12+J12+L12+N12</f>
        <v>93111</v>
      </c>
      <c r="R12" s="998">
        <f t="shared" si="0"/>
        <v>11359.550000000001</v>
      </c>
    </row>
    <row r="13" spans="1:28" ht="15" x14ac:dyDescent="0.25">
      <c r="A13" s="965" t="s">
        <v>7616</v>
      </c>
      <c r="B13" s="966" t="s">
        <v>7778</v>
      </c>
      <c r="C13" s="967">
        <v>11.87</v>
      </c>
      <c r="D13" s="933">
        <v>56767.5</v>
      </c>
      <c r="E13" s="1000">
        <v>6738.3</v>
      </c>
      <c r="F13" s="933">
        <v>39870</v>
      </c>
      <c r="G13" s="1000">
        <v>4732.57</v>
      </c>
      <c r="H13" s="933">
        <v>24501</v>
      </c>
      <c r="I13" s="1000">
        <v>2908.27</v>
      </c>
      <c r="J13" s="933">
        <v>13992</v>
      </c>
      <c r="K13" s="1000">
        <v>1660.85</v>
      </c>
      <c r="L13" s="933">
        <v>4536</v>
      </c>
      <c r="M13" s="1000">
        <v>538.41999999999996</v>
      </c>
      <c r="N13" s="933"/>
      <c r="O13" s="1000"/>
      <c r="P13" s="961"/>
      <c r="Q13" s="1004">
        <f t="shared" si="0"/>
        <v>139666.5</v>
      </c>
      <c r="R13" s="998">
        <f t="shared" si="0"/>
        <v>16578.41</v>
      </c>
    </row>
    <row r="14" spans="1:28" ht="15" x14ac:dyDescent="0.25">
      <c r="A14" s="965" t="s">
        <v>7616</v>
      </c>
      <c r="B14" s="966" t="s">
        <v>209</v>
      </c>
      <c r="C14" s="1016" t="s">
        <v>7796</v>
      </c>
      <c r="D14" s="933"/>
      <c r="E14" s="1000"/>
      <c r="F14" s="933"/>
      <c r="G14" s="1000"/>
      <c r="H14" s="933"/>
      <c r="I14" s="1000"/>
      <c r="J14" s="933"/>
      <c r="K14" s="1000"/>
      <c r="L14" s="933"/>
      <c r="M14" s="1000"/>
      <c r="N14" s="933">
        <v>5892.5</v>
      </c>
      <c r="O14" s="1000">
        <v>471.40000000000003</v>
      </c>
      <c r="P14" s="961"/>
      <c r="Q14" s="1004">
        <f t="shared" si="0"/>
        <v>5892.5</v>
      </c>
      <c r="R14" s="998">
        <f t="shared" si="0"/>
        <v>471.40000000000003</v>
      </c>
    </row>
    <row r="15" spans="1:28" ht="15" hidden="1" x14ac:dyDescent="0.25">
      <c r="A15" s="968" t="s">
        <v>7616</v>
      </c>
      <c r="B15" s="969" t="s">
        <v>6114</v>
      </c>
      <c r="C15" s="970"/>
      <c r="D15" s="971"/>
      <c r="E15" s="1001"/>
      <c r="F15" s="971"/>
      <c r="G15" s="1001"/>
      <c r="H15" s="971"/>
      <c r="I15" s="1001">
        <v>200000</v>
      </c>
      <c r="J15" s="972"/>
      <c r="K15" s="1003"/>
      <c r="L15" s="972"/>
      <c r="M15" s="1003"/>
      <c r="N15" s="972"/>
      <c r="O15" s="1003"/>
      <c r="P15" s="961"/>
      <c r="Q15" s="972"/>
      <c r="R15" s="1003"/>
    </row>
    <row r="16" spans="1:28" ht="7.35" customHeight="1" x14ac:dyDescent="0.25">
      <c r="A16" s="973"/>
      <c r="B16" s="974"/>
      <c r="C16" s="975"/>
      <c r="D16" s="976"/>
      <c r="E16" s="1002"/>
      <c r="F16" s="975"/>
      <c r="G16" s="1002"/>
      <c r="H16" s="975"/>
      <c r="I16" s="1002"/>
      <c r="J16" s="975"/>
      <c r="K16" s="1002"/>
      <c r="L16" s="975"/>
      <c r="M16" s="1002"/>
      <c r="N16" s="975"/>
      <c r="O16" s="1002"/>
      <c r="P16" s="961"/>
      <c r="Q16" s="975"/>
      <c r="R16" s="1002"/>
    </row>
    <row r="17" spans="1:22" ht="16.350000000000001" customHeight="1" x14ac:dyDescent="0.25">
      <c r="A17" s="1216" t="s">
        <v>7768</v>
      </c>
      <c r="B17" s="1217"/>
      <c r="C17" s="1219"/>
      <c r="D17" s="977">
        <f t="shared" ref="D17:O17" si="1">SUM(D12:D14)</f>
        <v>94612.5</v>
      </c>
      <c r="E17" s="1000">
        <f t="shared" si="1"/>
        <v>11355.39</v>
      </c>
      <c r="F17" s="977">
        <f t="shared" si="1"/>
        <v>66450</v>
      </c>
      <c r="G17" s="1000">
        <f t="shared" si="1"/>
        <v>7975.33</v>
      </c>
      <c r="H17" s="977">
        <f t="shared" si="1"/>
        <v>40835</v>
      </c>
      <c r="I17" s="1000">
        <f t="shared" si="1"/>
        <v>4901.0200000000004</v>
      </c>
      <c r="J17" s="977">
        <f t="shared" si="1"/>
        <v>23320</v>
      </c>
      <c r="K17" s="1000">
        <f t="shared" si="1"/>
        <v>2798.87</v>
      </c>
      <c r="L17" s="977">
        <f t="shared" si="1"/>
        <v>7560</v>
      </c>
      <c r="M17" s="1000">
        <f t="shared" si="1"/>
        <v>907.34999999999991</v>
      </c>
      <c r="N17" s="977">
        <f t="shared" si="1"/>
        <v>5892.5</v>
      </c>
      <c r="O17" s="1000">
        <f t="shared" si="1"/>
        <v>471.40000000000003</v>
      </c>
      <c r="Q17" s="1004">
        <f>SUM(Q12:Q14)</f>
        <v>238670</v>
      </c>
      <c r="R17" s="998">
        <f>SUM(R12:R14)</f>
        <v>28409.360000000001</v>
      </c>
    </row>
    <row r="18" spans="1:22" ht="7.5" customHeight="1" x14ac:dyDescent="0.2">
      <c r="A18" s="978"/>
      <c r="B18" s="979"/>
      <c r="C18" s="980"/>
      <c r="D18" s="981"/>
      <c r="E18" s="980"/>
      <c r="F18" s="980"/>
      <c r="G18" s="980"/>
      <c r="H18" s="980"/>
      <c r="I18" s="980"/>
      <c r="J18" s="980"/>
      <c r="K18" s="980"/>
      <c r="L18" s="980"/>
      <c r="M18" s="980"/>
      <c r="N18" s="980"/>
      <c r="O18" s="980"/>
    </row>
    <row r="19" spans="1:22" ht="21.6" customHeight="1" x14ac:dyDescent="0.25">
      <c r="A19" s="962"/>
      <c r="B19" s="962"/>
      <c r="C19" s="962"/>
      <c r="D19" s="1206" t="s">
        <v>7781</v>
      </c>
      <c r="E19" s="1207"/>
      <c r="F19" s="1207"/>
      <c r="G19" s="1207"/>
      <c r="H19" s="1207"/>
      <c r="I19" s="1207"/>
      <c r="J19" s="1207"/>
      <c r="K19" s="1207"/>
      <c r="L19" s="1207"/>
      <c r="M19" s="1207"/>
      <c r="N19" s="1207"/>
      <c r="O19" s="1208"/>
      <c r="P19" s="961"/>
      <c r="U19" s="982"/>
    </row>
    <row r="20" spans="1:22" ht="15" x14ac:dyDescent="0.25">
      <c r="A20" s="1216" t="s">
        <v>7780</v>
      </c>
      <c r="B20" s="1217"/>
      <c r="C20" s="1217"/>
      <c r="D20" s="1215" t="s">
        <v>7767</v>
      </c>
      <c r="E20" s="1215"/>
      <c r="F20" s="1215" t="s">
        <v>7767</v>
      </c>
      <c r="G20" s="1215"/>
      <c r="H20" s="1215" t="s">
        <v>7767</v>
      </c>
      <c r="I20" s="1215"/>
      <c r="J20" s="1215" t="s">
        <v>7767</v>
      </c>
      <c r="K20" s="1215"/>
      <c r="L20" s="1215" t="s">
        <v>7767</v>
      </c>
      <c r="M20" s="1215"/>
      <c r="N20" s="1218" t="s">
        <v>7766</v>
      </c>
      <c r="O20" s="1218"/>
      <c r="P20" s="961"/>
    </row>
    <row r="21" spans="1:22" ht="15" x14ac:dyDescent="0.25">
      <c r="A21" s="1216" t="s">
        <v>7779</v>
      </c>
      <c r="B21" s="1217"/>
      <c r="C21" s="1217"/>
      <c r="D21" s="1218" t="s">
        <v>7766</v>
      </c>
      <c r="E21" s="1218"/>
      <c r="F21" s="1218" t="s">
        <v>7766</v>
      </c>
      <c r="G21" s="1218"/>
      <c r="H21" s="1215" t="s">
        <v>7767</v>
      </c>
      <c r="I21" s="1215"/>
      <c r="J21" s="1215" t="s">
        <v>7767</v>
      </c>
      <c r="K21" s="1215"/>
      <c r="L21" s="1215" t="s">
        <v>7767</v>
      </c>
      <c r="M21" s="1215"/>
      <c r="N21" s="1218" t="s">
        <v>7766</v>
      </c>
      <c r="O21" s="1218"/>
      <c r="P21" s="961"/>
    </row>
    <row r="22" spans="1:22" ht="26.85" customHeight="1" thickBot="1" x14ac:dyDescent="0.3">
      <c r="A22" s="962"/>
      <c r="B22" s="962"/>
      <c r="C22" s="962"/>
      <c r="D22" s="1206" t="s">
        <v>7782</v>
      </c>
      <c r="E22" s="1207"/>
      <c r="F22" s="1207"/>
      <c r="G22" s="1207"/>
      <c r="H22" s="1207"/>
      <c r="I22" s="1207"/>
      <c r="J22" s="1207"/>
      <c r="K22" s="1207"/>
      <c r="L22" s="1207"/>
      <c r="M22" s="1207"/>
      <c r="N22" s="1207"/>
      <c r="O22" s="1208"/>
      <c r="P22" s="961"/>
      <c r="Q22" s="957"/>
      <c r="R22" s="957"/>
    </row>
    <row r="23" spans="1:22" ht="30.75" thickBot="1" x14ac:dyDescent="0.3">
      <c r="A23" s="1009" t="s">
        <v>7787</v>
      </c>
      <c r="B23" s="1009" t="s">
        <v>1764</v>
      </c>
      <c r="C23" s="963" t="s">
        <v>7786</v>
      </c>
      <c r="D23" s="1005" t="s">
        <v>7769</v>
      </c>
      <c r="E23" s="1006" t="s">
        <v>7770</v>
      </c>
      <c r="F23" s="1006" t="s">
        <v>7769</v>
      </c>
      <c r="G23" s="1006" t="s">
        <v>7770</v>
      </c>
      <c r="H23" s="1006" t="s">
        <v>7769</v>
      </c>
      <c r="I23" s="1006" t="s">
        <v>7770</v>
      </c>
      <c r="J23" s="1006" t="s">
        <v>7769</v>
      </c>
      <c r="K23" s="1006" t="s">
        <v>7770</v>
      </c>
      <c r="L23" s="1006" t="s">
        <v>7769</v>
      </c>
      <c r="M23" s="1006" t="s">
        <v>7770</v>
      </c>
      <c r="N23" s="1006" t="s">
        <v>7769</v>
      </c>
      <c r="O23" s="1007" t="s">
        <v>7770</v>
      </c>
      <c r="P23" s="961"/>
      <c r="Q23" s="1005" t="s">
        <v>7769</v>
      </c>
      <c r="R23" s="1007" t="s">
        <v>7770</v>
      </c>
      <c r="S23" s="991"/>
    </row>
    <row r="24" spans="1:22" ht="15" x14ac:dyDescent="0.25">
      <c r="A24" s="964"/>
      <c r="B24" s="961"/>
      <c r="C24" s="961"/>
      <c r="D24" s="961"/>
      <c r="E24" s="961"/>
      <c r="F24" s="961"/>
      <c r="G24" s="961"/>
      <c r="H24" s="961"/>
      <c r="I24" s="961"/>
      <c r="J24" s="961"/>
      <c r="K24" s="961"/>
      <c r="L24" s="961"/>
      <c r="M24" s="961"/>
      <c r="N24" s="961"/>
      <c r="O24" s="961"/>
      <c r="P24" s="961"/>
      <c r="Q24" s="961"/>
      <c r="R24" s="961"/>
      <c r="S24" s="961"/>
      <c r="T24" s="961"/>
      <c r="U24" s="961"/>
      <c r="V24" s="961"/>
    </row>
    <row r="25" spans="1:22" ht="15" x14ac:dyDescent="0.25">
      <c r="A25" s="965" t="s">
        <v>7616</v>
      </c>
      <c r="B25" s="966" t="s">
        <v>6280</v>
      </c>
      <c r="C25" s="967">
        <v>12.2</v>
      </c>
      <c r="D25" s="933">
        <v>37845</v>
      </c>
      <c r="E25" s="998">
        <v>4617.09</v>
      </c>
      <c r="F25" s="933">
        <v>26580</v>
      </c>
      <c r="G25" s="998">
        <v>3242.76</v>
      </c>
      <c r="H25" s="933" t="s">
        <v>4180</v>
      </c>
      <c r="I25" s="998" t="s">
        <v>4180</v>
      </c>
      <c r="J25" s="933" t="s">
        <v>4180</v>
      </c>
      <c r="K25" s="998" t="s">
        <v>4180</v>
      </c>
      <c r="L25" s="933" t="s">
        <v>4180</v>
      </c>
      <c r="M25" s="998" t="s">
        <v>4180</v>
      </c>
      <c r="N25" s="933">
        <v>28686</v>
      </c>
      <c r="O25" s="998">
        <v>3499.7</v>
      </c>
      <c r="Q25" s="1004">
        <f>D25+F25+N25</f>
        <v>93111</v>
      </c>
      <c r="R25" s="998">
        <f>E25+G25+O25</f>
        <v>11359.55</v>
      </c>
    </row>
    <row r="26" spans="1:22" ht="15" x14ac:dyDescent="0.25">
      <c r="A26" s="965" t="s">
        <v>7616</v>
      </c>
      <c r="B26" s="966" t="s">
        <v>7778</v>
      </c>
      <c r="C26" s="967">
        <v>11.87</v>
      </c>
      <c r="D26" s="933">
        <v>56767.5</v>
      </c>
      <c r="E26" s="998">
        <v>6738.3</v>
      </c>
      <c r="F26" s="933">
        <v>39870</v>
      </c>
      <c r="G26" s="998">
        <v>4732.57</v>
      </c>
      <c r="H26" s="933" t="s">
        <v>4180</v>
      </c>
      <c r="I26" s="998" t="s">
        <v>4180</v>
      </c>
      <c r="J26" s="933" t="s">
        <v>4180</v>
      </c>
      <c r="K26" s="998" t="s">
        <v>4180</v>
      </c>
      <c r="L26" s="933" t="s">
        <v>4180</v>
      </c>
      <c r="M26" s="998" t="s">
        <v>4180</v>
      </c>
      <c r="N26" s="933">
        <v>43029</v>
      </c>
      <c r="O26" s="998">
        <v>5107.54</v>
      </c>
      <c r="Q26" s="1004">
        <f>D26+F26+N26</f>
        <v>139666.5</v>
      </c>
      <c r="R26" s="998">
        <f>E26+G26+O26</f>
        <v>16578.41</v>
      </c>
    </row>
    <row r="27" spans="1:22" ht="15" x14ac:dyDescent="0.25">
      <c r="A27" s="965" t="s">
        <v>7616</v>
      </c>
      <c r="B27" s="966" t="s">
        <v>209</v>
      </c>
      <c r="C27" s="1016" t="s">
        <v>7796</v>
      </c>
      <c r="D27" s="933"/>
      <c r="E27" s="1000"/>
      <c r="F27" s="933"/>
      <c r="G27" s="1000"/>
      <c r="H27" s="933"/>
      <c r="I27" s="1000"/>
      <c r="J27" s="933"/>
      <c r="K27" s="1000"/>
      <c r="L27" s="933"/>
      <c r="M27" s="1000"/>
      <c r="N27" s="933">
        <v>5892.5</v>
      </c>
      <c r="O27" s="1000">
        <v>471.40000000000003</v>
      </c>
      <c r="P27" s="961"/>
      <c r="Q27" s="1004">
        <f>D27+F27+H27+J27+L27+N27</f>
        <v>5892.5</v>
      </c>
      <c r="R27" s="998">
        <f>E27+G27+I27+K27+M27+O27</f>
        <v>471.40000000000003</v>
      </c>
    </row>
    <row r="28" spans="1:22" ht="16.350000000000001" customHeight="1" x14ac:dyDescent="0.2">
      <c r="A28" s="965" t="s">
        <v>7616</v>
      </c>
      <c r="B28" s="983" t="s">
        <v>7419</v>
      </c>
      <c r="C28" s="933"/>
      <c r="D28" s="933" t="s">
        <v>4180</v>
      </c>
      <c r="E28" s="998" t="s">
        <v>4180</v>
      </c>
      <c r="F28" s="933" t="s">
        <v>4180</v>
      </c>
      <c r="G28" s="998" t="s">
        <v>4180</v>
      </c>
      <c r="H28" s="933">
        <v>40835</v>
      </c>
      <c r="I28" s="998">
        <v>0</v>
      </c>
      <c r="J28" s="933">
        <v>23320</v>
      </c>
      <c r="K28" s="998">
        <v>0</v>
      </c>
      <c r="L28" s="933">
        <v>7560</v>
      </c>
      <c r="M28" s="998">
        <v>0</v>
      </c>
      <c r="N28" s="997">
        <v>-71715</v>
      </c>
      <c r="O28" s="998">
        <v>0</v>
      </c>
      <c r="Q28" s="1004">
        <f>H28+J28+L28+N28</f>
        <v>0</v>
      </c>
      <c r="R28" s="998">
        <f>I28+K28+M28+O28</f>
        <v>0</v>
      </c>
    </row>
    <row r="29" spans="1:22" ht="7.35" customHeight="1" x14ac:dyDescent="0.2">
      <c r="B29" s="955"/>
      <c r="C29" s="955"/>
      <c r="E29" s="999"/>
      <c r="G29" s="999"/>
    </row>
    <row r="30" spans="1:22" ht="15" x14ac:dyDescent="0.25">
      <c r="A30" s="984" t="s">
        <v>7783</v>
      </c>
      <c r="B30" s="974"/>
      <c r="C30" s="975"/>
      <c r="D30" s="977">
        <f>SUM(D25:D28)</f>
        <v>94612.5</v>
      </c>
      <c r="E30" s="1000">
        <f t="shared" ref="E30:O30" si="2">SUM(E25:E28)</f>
        <v>11355.39</v>
      </c>
      <c r="F30" s="977">
        <f t="shared" si="2"/>
        <v>66450</v>
      </c>
      <c r="G30" s="1000">
        <f t="shared" si="2"/>
        <v>7975.33</v>
      </c>
      <c r="H30" s="977">
        <f t="shared" si="2"/>
        <v>40835</v>
      </c>
      <c r="I30" s="1000">
        <f t="shared" si="2"/>
        <v>0</v>
      </c>
      <c r="J30" s="977">
        <f t="shared" si="2"/>
        <v>23320</v>
      </c>
      <c r="K30" s="1000">
        <f t="shared" si="2"/>
        <v>0</v>
      </c>
      <c r="L30" s="977">
        <f t="shared" si="2"/>
        <v>7560</v>
      </c>
      <c r="M30" s="1000">
        <f t="shared" si="2"/>
        <v>0</v>
      </c>
      <c r="N30" s="977">
        <f t="shared" si="2"/>
        <v>5892.5</v>
      </c>
      <c r="O30" s="1000">
        <f t="shared" si="2"/>
        <v>9078.64</v>
      </c>
      <c r="Q30" s="977">
        <f>SUM(Q25:Q28)</f>
        <v>238670</v>
      </c>
      <c r="R30" s="1000">
        <f>SUM(R25:R28)</f>
        <v>28409.360000000001</v>
      </c>
    </row>
    <row r="31" spans="1:22" x14ac:dyDescent="0.2">
      <c r="B31" s="955"/>
      <c r="C31" s="955"/>
      <c r="D31" s="955"/>
      <c r="E31" s="955"/>
    </row>
    <row r="32" spans="1:22" x14ac:dyDescent="0.2">
      <c r="A32" s="955" t="s">
        <v>7807</v>
      </c>
      <c r="B32" s="955"/>
      <c r="C32" s="955"/>
      <c r="D32" s="955"/>
      <c r="E32" s="955"/>
    </row>
    <row r="33" spans="1:28" ht="15" thickBot="1" x14ac:dyDescent="0.25">
      <c r="A33" s="955"/>
      <c r="B33" s="955"/>
      <c r="C33" s="955"/>
      <c r="D33" s="955"/>
      <c r="E33" s="955"/>
    </row>
    <row r="34" spans="1:28" ht="26.85" customHeight="1" thickBot="1" x14ac:dyDescent="0.3">
      <c r="A34" s="961"/>
      <c r="B34" s="961"/>
      <c r="C34" s="961"/>
      <c r="D34" s="1204" t="s">
        <v>7798</v>
      </c>
      <c r="E34" s="1205"/>
      <c r="P34" s="961"/>
      <c r="S34" s="991"/>
    </row>
    <row r="35" spans="1:28" ht="30.75" thickBot="1" x14ac:dyDescent="0.25">
      <c r="A35" s="1009" t="s">
        <v>7787</v>
      </c>
      <c r="B35" s="1009" t="s">
        <v>1764</v>
      </c>
      <c r="C35" s="963" t="s">
        <v>7786</v>
      </c>
      <c r="D35" s="1005" t="s">
        <v>7769</v>
      </c>
      <c r="E35" s="1007" t="s">
        <v>7770</v>
      </c>
    </row>
    <row r="36" spans="1:28" ht="15" x14ac:dyDescent="0.25">
      <c r="A36" s="964"/>
      <c r="B36" s="961"/>
      <c r="C36" s="961"/>
      <c r="D36" s="961"/>
      <c r="E36" s="961"/>
    </row>
    <row r="37" spans="1:28" ht="15" x14ac:dyDescent="0.25">
      <c r="A37" s="965" t="s">
        <v>7616</v>
      </c>
      <c r="B37" s="966" t="s">
        <v>6280</v>
      </c>
      <c r="C37" s="967">
        <v>12.2</v>
      </c>
      <c r="D37" s="933">
        <v>93111</v>
      </c>
      <c r="E37" s="998">
        <v>11359.550000000001</v>
      </c>
    </row>
    <row r="38" spans="1:28" ht="15" x14ac:dyDescent="0.25">
      <c r="A38" s="965" t="s">
        <v>7616</v>
      </c>
      <c r="B38" s="966" t="s">
        <v>7778</v>
      </c>
      <c r="C38" s="967">
        <v>11.87</v>
      </c>
      <c r="D38" s="933">
        <v>139666.5</v>
      </c>
      <c r="E38" s="998">
        <v>16578.41</v>
      </c>
    </row>
    <row r="39" spans="1:28" ht="15" x14ac:dyDescent="0.25">
      <c r="A39" s="965" t="s">
        <v>7616</v>
      </c>
      <c r="B39" s="966" t="s">
        <v>209</v>
      </c>
      <c r="C39" s="1016" t="s">
        <v>7796</v>
      </c>
      <c r="D39" s="933">
        <v>5892.5</v>
      </c>
      <c r="E39" s="1000">
        <v>471.40000000000003</v>
      </c>
    </row>
    <row r="40" spans="1:28" ht="5.0999999999999996" customHeight="1" x14ac:dyDescent="0.2">
      <c r="B40" s="955"/>
      <c r="C40" s="955"/>
      <c r="E40" s="999"/>
    </row>
    <row r="41" spans="1:28" ht="13.5" customHeight="1" x14ac:dyDescent="0.25">
      <c r="A41" s="984" t="s">
        <v>7688</v>
      </c>
      <c r="B41" s="974"/>
      <c r="C41" s="975"/>
      <c r="D41" s="977">
        <f>SUM(D37:D39)</f>
        <v>238670</v>
      </c>
      <c r="E41" s="1000">
        <f>SUM(E37:E39)</f>
        <v>28409.360000000001</v>
      </c>
      <c r="F41" s="957"/>
      <c r="G41" s="957"/>
      <c r="H41" s="957"/>
      <c r="I41" s="957"/>
    </row>
    <row r="42" spans="1:28" x14ac:dyDescent="0.2">
      <c r="A42" s="988"/>
      <c r="B42" s="989"/>
      <c r="C42" s="990"/>
      <c r="D42" s="955"/>
      <c r="E42" s="955"/>
      <c r="J42" s="991"/>
    </row>
    <row r="43" spans="1:28" ht="30" customHeight="1" x14ac:dyDescent="0.2">
      <c r="A43" s="1230" t="s">
        <v>7823</v>
      </c>
      <c r="B43" s="1231"/>
      <c r="C43" s="1231"/>
      <c r="D43" s="1231"/>
      <c r="E43" s="1231"/>
      <c r="F43" s="1231"/>
      <c r="G43" s="1231"/>
      <c r="H43" s="1231"/>
      <c r="I43" s="1231"/>
      <c r="J43" s="1231"/>
      <c r="K43" s="1231"/>
      <c r="L43" s="1231"/>
      <c r="M43" s="1231"/>
      <c r="N43" s="1231"/>
      <c r="O43" s="1231"/>
      <c r="P43" s="1231"/>
      <c r="Q43" s="1231"/>
      <c r="R43" s="1232"/>
    </row>
    <row r="44" spans="1:28" ht="15" x14ac:dyDescent="0.25">
      <c r="A44" s="985"/>
      <c r="B44" s="955"/>
      <c r="C44" s="955"/>
      <c r="D44" s="955"/>
      <c r="E44" s="955"/>
    </row>
    <row r="45" spans="1:28" ht="27" customHeight="1" x14ac:dyDescent="0.25">
      <c r="A45" s="1236" t="s">
        <v>7804</v>
      </c>
      <c r="B45" s="1237"/>
      <c r="C45" s="1237"/>
      <c r="D45" s="1237"/>
      <c r="E45" s="1237"/>
      <c r="F45" s="1237"/>
      <c r="G45" s="1237"/>
      <c r="H45" s="1237"/>
      <c r="I45" s="1237"/>
      <c r="J45" s="1237"/>
      <c r="K45" s="1237"/>
      <c r="L45" s="1237"/>
      <c r="M45" s="1237"/>
      <c r="N45" s="1237"/>
      <c r="O45" s="1237"/>
      <c r="P45" s="1237"/>
      <c r="Q45" s="1237"/>
      <c r="R45" s="1237"/>
      <c r="S45" s="1237"/>
      <c r="T45" s="1237"/>
      <c r="U45" s="1237"/>
      <c r="V45" s="1237"/>
      <c r="W45" s="1237"/>
      <c r="X45" s="1237"/>
      <c r="Y45" s="1237"/>
      <c r="Z45" s="1237"/>
      <c r="AA45" s="1238"/>
      <c r="AB45" s="955"/>
    </row>
    <row r="46" spans="1:28" ht="9" customHeight="1" x14ac:dyDescent="0.2">
      <c r="A46" s="957"/>
      <c r="B46" s="957"/>
      <c r="C46" s="957"/>
      <c r="D46" s="957"/>
      <c r="E46" s="957"/>
      <c r="F46" s="957"/>
      <c r="G46" s="957"/>
      <c r="H46" s="957"/>
      <c r="I46" s="957"/>
      <c r="J46" s="957"/>
      <c r="K46" s="957"/>
      <c r="L46" s="957"/>
      <c r="M46" s="957"/>
      <c r="N46" s="957"/>
      <c r="O46" s="957"/>
      <c r="P46" s="957"/>
      <c r="Q46" s="957"/>
      <c r="R46" s="957"/>
      <c r="S46" s="957"/>
      <c r="T46" s="957"/>
      <c r="U46" s="957"/>
      <c r="V46" s="957"/>
      <c r="W46" s="957"/>
      <c r="X46" s="957"/>
      <c r="Y46" s="957"/>
      <c r="Z46" s="957"/>
      <c r="AA46" s="957"/>
      <c r="AB46" s="955"/>
    </row>
    <row r="47" spans="1:28" ht="28.5" customHeight="1" x14ac:dyDescent="0.2">
      <c r="A47" s="958" t="s">
        <v>7788</v>
      </c>
      <c r="B47" s="959"/>
      <c r="C47" s="959"/>
      <c r="D47" s="959"/>
      <c r="E47" s="959"/>
      <c r="F47" s="959"/>
      <c r="G47" s="959"/>
      <c r="H47" s="959"/>
      <c r="I47" s="959"/>
      <c r="J47" s="959"/>
      <c r="K47" s="959"/>
      <c r="L47" s="959"/>
      <c r="M47" s="959"/>
      <c r="N47" s="959"/>
      <c r="O47" s="959"/>
      <c r="P47" s="959"/>
      <c r="Q47" s="959"/>
      <c r="R47" s="959"/>
      <c r="S47" s="959"/>
      <c r="T47" s="959"/>
      <c r="U47" s="959"/>
      <c r="V47" s="959"/>
      <c r="W47" s="959"/>
      <c r="X47" s="959"/>
      <c r="Y47" s="959"/>
      <c r="Z47" s="959"/>
      <c r="AA47" s="959"/>
      <c r="AB47" s="960"/>
    </row>
    <row r="48" spans="1:28" ht="7.35" customHeight="1" x14ac:dyDescent="0.2">
      <c r="A48" s="986"/>
      <c r="B48" s="955"/>
      <c r="C48" s="955"/>
      <c r="D48" s="955"/>
      <c r="E48" s="955"/>
    </row>
    <row r="49" spans="1:19" ht="35.85" customHeight="1" x14ac:dyDescent="0.2">
      <c r="A49" s="1230" t="s">
        <v>7791</v>
      </c>
      <c r="B49" s="1231"/>
      <c r="C49" s="1231"/>
      <c r="D49" s="1231"/>
      <c r="E49" s="1231"/>
      <c r="F49" s="1231"/>
      <c r="G49" s="1231"/>
      <c r="H49" s="1231"/>
      <c r="I49" s="1231"/>
      <c r="J49" s="1231"/>
      <c r="K49" s="1231"/>
      <c r="L49" s="1231"/>
      <c r="M49" s="1231"/>
      <c r="N49" s="1231"/>
      <c r="O49" s="1231"/>
      <c r="P49" s="1231"/>
      <c r="Q49" s="1231"/>
      <c r="R49" s="1232"/>
    </row>
    <row r="50" spans="1:19" ht="66.75" customHeight="1" x14ac:dyDescent="0.2">
      <c r="A50" s="1230" t="s">
        <v>7790</v>
      </c>
      <c r="B50" s="1231"/>
      <c r="C50" s="1231"/>
      <c r="D50" s="1231"/>
      <c r="E50" s="1231"/>
      <c r="F50" s="1231"/>
      <c r="G50" s="1231"/>
      <c r="H50" s="1231"/>
      <c r="I50" s="1231"/>
      <c r="J50" s="1231"/>
      <c r="K50" s="1231"/>
      <c r="L50" s="1231"/>
      <c r="M50" s="1231"/>
      <c r="N50" s="1231"/>
      <c r="O50" s="1231"/>
      <c r="P50" s="1231"/>
      <c r="Q50" s="1231"/>
      <c r="R50" s="1232"/>
    </row>
    <row r="51" spans="1:19" ht="82.35" customHeight="1" x14ac:dyDescent="0.2">
      <c r="A51" s="1230" t="s">
        <v>7789</v>
      </c>
      <c r="B51" s="1231"/>
      <c r="C51" s="1231"/>
      <c r="D51" s="1231"/>
      <c r="E51" s="1231"/>
      <c r="F51" s="1231"/>
      <c r="G51" s="1231"/>
      <c r="H51" s="1231"/>
      <c r="I51" s="1231"/>
      <c r="J51" s="1231"/>
      <c r="K51" s="1231"/>
      <c r="L51" s="1231"/>
      <c r="M51" s="1231"/>
      <c r="N51" s="1231"/>
      <c r="O51" s="1231"/>
      <c r="P51" s="1231"/>
      <c r="Q51" s="1231"/>
      <c r="R51" s="1232"/>
    </row>
    <row r="52" spans="1:19" ht="64.349999999999994" customHeight="1" x14ac:dyDescent="0.2">
      <c r="A52" s="1230" t="s">
        <v>7792</v>
      </c>
      <c r="B52" s="1231"/>
      <c r="C52" s="1231"/>
      <c r="D52" s="1231"/>
      <c r="E52" s="1231"/>
      <c r="F52" s="1231"/>
      <c r="G52" s="1231"/>
      <c r="H52" s="1231"/>
      <c r="I52" s="1231"/>
      <c r="J52" s="1231"/>
      <c r="K52" s="1231"/>
      <c r="L52" s="1231"/>
      <c r="M52" s="1231"/>
      <c r="N52" s="1231"/>
      <c r="O52" s="1231"/>
      <c r="P52" s="1231"/>
      <c r="Q52" s="1231"/>
      <c r="R52" s="1232"/>
    </row>
    <row r="53" spans="1:19" ht="15.75" x14ac:dyDescent="0.2">
      <c r="A53" s="1233" t="s">
        <v>7793</v>
      </c>
      <c r="B53" s="1234"/>
      <c r="C53" s="1234"/>
      <c r="D53" s="1234"/>
      <c r="E53" s="1234"/>
      <c r="F53" s="1234"/>
      <c r="G53" s="1234"/>
      <c r="H53" s="1234"/>
      <c r="I53" s="1234"/>
      <c r="J53" s="1234"/>
      <c r="K53" s="1234"/>
      <c r="L53" s="1234"/>
      <c r="M53" s="1234"/>
      <c r="N53" s="1234"/>
      <c r="O53" s="1234"/>
      <c r="P53" s="1234"/>
      <c r="Q53" s="1234"/>
      <c r="R53" s="1235"/>
    </row>
    <row r="54" spans="1:19" x14ac:dyDescent="0.2">
      <c r="A54" s="955"/>
      <c r="B54" s="955"/>
      <c r="C54" s="955"/>
      <c r="D54" s="955"/>
      <c r="E54" s="955"/>
    </row>
    <row r="55" spans="1:19" ht="151.35" customHeight="1" thickBot="1" x14ac:dyDescent="0.25">
      <c r="A55" s="1223" t="s">
        <v>7797</v>
      </c>
      <c r="B55" s="1224"/>
      <c r="C55" s="1224"/>
      <c r="D55" s="1224"/>
      <c r="E55" s="1224"/>
      <c r="F55" s="1224"/>
      <c r="G55" s="1224"/>
      <c r="H55" s="1224"/>
      <c r="I55" s="1224"/>
      <c r="J55" s="1224"/>
      <c r="K55" s="1224"/>
      <c r="L55" s="1224"/>
      <c r="M55" s="1224"/>
      <c r="N55" s="1224"/>
      <c r="O55" s="1224"/>
      <c r="P55" s="1224"/>
      <c r="Q55" s="1224"/>
      <c r="R55" s="1225"/>
    </row>
    <row r="56" spans="1:19" ht="26.85" customHeight="1" thickBot="1" x14ac:dyDescent="0.3">
      <c r="A56" s="961"/>
      <c r="B56" s="961"/>
      <c r="C56" s="961"/>
      <c r="D56" s="1226" t="s">
        <v>7772</v>
      </c>
      <c r="E56" s="1227"/>
      <c r="F56" s="1228" t="s">
        <v>7771</v>
      </c>
      <c r="G56" s="1227"/>
      <c r="H56" s="1228" t="s">
        <v>7773</v>
      </c>
      <c r="I56" s="1227"/>
      <c r="J56" s="1228" t="s">
        <v>7774</v>
      </c>
      <c r="K56" s="1227"/>
      <c r="L56" s="1228" t="s">
        <v>7775</v>
      </c>
      <c r="M56" s="1227"/>
      <c r="N56" s="1229" t="s">
        <v>7776</v>
      </c>
      <c r="O56" s="1205"/>
      <c r="P56" s="961"/>
      <c r="Q56" s="1204" t="s">
        <v>7784</v>
      </c>
      <c r="R56" s="1205"/>
      <c r="S56" s="991"/>
    </row>
    <row r="57" spans="1:19" ht="22.5" customHeight="1" thickBot="1" x14ac:dyDescent="0.3">
      <c r="A57" s="962"/>
      <c r="B57" s="962"/>
      <c r="C57" s="962"/>
      <c r="D57" s="1206" t="s">
        <v>7777</v>
      </c>
      <c r="E57" s="1207"/>
      <c r="F57" s="1207"/>
      <c r="G57" s="1207"/>
      <c r="H57" s="1207"/>
      <c r="I57" s="1207"/>
      <c r="J57" s="1207"/>
      <c r="K57" s="1207"/>
      <c r="L57" s="1207"/>
      <c r="M57" s="1207"/>
      <c r="N57" s="1207"/>
      <c r="O57" s="1208"/>
      <c r="P57" s="961"/>
      <c r="Q57" s="1008"/>
      <c r="R57" s="1008"/>
    </row>
    <row r="58" spans="1:19" ht="30.75" thickBot="1" x14ac:dyDescent="0.3">
      <c r="A58" s="1009" t="s">
        <v>7787</v>
      </c>
      <c r="B58" s="1009" t="s">
        <v>1764</v>
      </c>
      <c r="C58" s="963" t="s">
        <v>7786</v>
      </c>
      <c r="D58" s="1005" t="s">
        <v>7769</v>
      </c>
      <c r="E58" s="1006" t="s">
        <v>7770</v>
      </c>
      <c r="F58" s="1006" t="s">
        <v>7769</v>
      </c>
      <c r="G58" s="1006" t="s">
        <v>7770</v>
      </c>
      <c r="H58" s="1006" t="s">
        <v>7769</v>
      </c>
      <c r="I58" s="1006" t="s">
        <v>7770</v>
      </c>
      <c r="J58" s="1006" t="s">
        <v>7769</v>
      </c>
      <c r="K58" s="1006" t="s">
        <v>7770</v>
      </c>
      <c r="L58" s="1006" t="s">
        <v>7769</v>
      </c>
      <c r="M58" s="1006" t="s">
        <v>7770</v>
      </c>
      <c r="N58" s="1006" t="s">
        <v>7769</v>
      </c>
      <c r="O58" s="1007" t="s">
        <v>7770</v>
      </c>
      <c r="P58" s="961"/>
      <c r="Q58" s="1005" t="s">
        <v>7769</v>
      </c>
      <c r="R58" s="1007" t="s">
        <v>7770</v>
      </c>
      <c r="S58" s="991"/>
    </row>
    <row r="59" spans="1:19" ht="15" x14ac:dyDescent="0.25">
      <c r="A59" s="964"/>
      <c r="B59" s="961"/>
      <c r="C59" s="961"/>
      <c r="D59" s="961"/>
      <c r="E59" s="961"/>
      <c r="F59" s="961"/>
      <c r="G59" s="961"/>
      <c r="H59" s="961"/>
      <c r="I59" s="961"/>
      <c r="J59" s="961"/>
      <c r="K59" s="961"/>
      <c r="L59" s="961"/>
      <c r="M59" s="961"/>
      <c r="N59" s="961"/>
      <c r="O59" s="961"/>
      <c r="P59" s="961"/>
      <c r="Q59" s="961"/>
      <c r="R59" s="961"/>
    </row>
    <row r="60" spans="1:19" ht="15" x14ac:dyDescent="0.25">
      <c r="A60" s="965" t="s">
        <v>7616</v>
      </c>
      <c r="B60" s="966" t="s">
        <v>6280</v>
      </c>
      <c r="C60" s="967">
        <v>12.2</v>
      </c>
      <c r="D60" s="933">
        <v>37845</v>
      </c>
      <c r="E60" s="1000">
        <v>4617.09</v>
      </c>
      <c r="F60" s="933">
        <v>26580</v>
      </c>
      <c r="G60" s="1000">
        <v>3242.76</v>
      </c>
      <c r="H60" s="933">
        <v>16334</v>
      </c>
      <c r="I60" s="1000">
        <v>1992.75</v>
      </c>
      <c r="J60" s="933">
        <v>9328</v>
      </c>
      <c r="K60" s="1000">
        <v>1138.02</v>
      </c>
      <c r="L60" s="933">
        <v>3024</v>
      </c>
      <c r="M60" s="1000">
        <v>368.93</v>
      </c>
      <c r="N60" s="933"/>
      <c r="O60" s="1000"/>
      <c r="P60" s="961"/>
      <c r="Q60" s="1004">
        <f t="shared" ref="Q60:R62" si="3">D60+F60+H60+J60+L60+N60</f>
        <v>93111</v>
      </c>
      <c r="R60" s="998">
        <f t="shared" si="3"/>
        <v>11359.550000000001</v>
      </c>
    </row>
    <row r="61" spans="1:19" ht="15" x14ac:dyDescent="0.25">
      <c r="A61" s="965" t="s">
        <v>7616</v>
      </c>
      <c r="B61" s="966" t="s">
        <v>7778</v>
      </c>
      <c r="C61" s="967">
        <v>11.87</v>
      </c>
      <c r="D61" s="933">
        <v>56767.5</v>
      </c>
      <c r="E61" s="1000">
        <v>6738.3</v>
      </c>
      <c r="F61" s="933">
        <v>39870</v>
      </c>
      <c r="G61" s="1000">
        <v>4732.57</v>
      </c>
      <c r="H61" s="933">
        <v>24501</v>
      </c>
      <c r="I61" s="1000">
        <v>2908.27</v>
      </c>
      <c r="J61" s="933">
        <v>13992</v>
      </c>
      <c r="K61" s="1000">
        <v>1660.85</v>
      </c>
      <c r="L61" s="933">
        <v>4536</v>
      </c>
      <c r="M61" s="1000">
        <v>538.41999999999996</v>
      </c>
      <c r="N61" s="933"/>
      <c r="O61" s="1000"/>
      <c r="P61" s="961"/>
      <c r="Q61" s="1004">
        <f t="shared" si="3"/>
        <v>139666.5</v>
      </c>
      <c r="R61" s="998">
        <f t="shared" si="3"/>
        <v>16578.41</v>
      </c>
    </row>
    <row r="62" spans="1:19" ht="15" x14ac:dyDescent="0.25">
      <c r="A62" s="965" t="s">
        <v>7616</v>
      </c>
      <c r="B62" s="966" t="s">
        <v>209</v>
      </c>
      <c r="C62" s="967" t="s">
        <v>7796</v>
      </c>
      <c r="D62" s="933"/>
      <c r="E62" s="1000"/>
      <c r="F62" s="933"/>
      <c r="G62" s="1000"/>
      <c r="H62" s="933"/>
      <c r="I62" s="1000"/>
      <c r="J62" s="933"/>
      <c r="K62" s="1000"/>
      <c r="L62" s="933"/>
      <c r="M62" s="1000"/>
      <c r="N62" s="933">
        <v>5892.5</v>
      </c>
      <c r="O62" s="1000">
        <v>471.40000000000003</v>
      </c>
      <c r="P62" s="961"/>
      <c r="Q62" s="1004">
        <f t="shared" si="3"/>
        <v>5892.5</v>
      </c>
      <c r="R62" s="998">
        <f t="shared" si="3"/>
        <v>471.40000000000003</v>
      </c>
    </row>
    <row r="63" spans="1:19" ht="15" hidden="1" x14ac:dyDescent="0.25">
      <c r="A63" s="968" t="s">
        <v>7616</v>
      </c>
      <c r="B63" s="969" t="s">
        <v>6114</v>
      </c>
      <c r="C63" s="970"/>
      <c r="D63" s="971"/>
      <c r="E63" s="1001"/>
      <c r="F63" s="971"/>
      <c r="G63" s="1001"/>
      <c r="H63" s="971"/>
      <c r="I63" s="1001">
        <v>200000</v>
      </c>
      <c r="J63" s="972"/>
      <c r="K63" s="1003"/>
      <c r="L63" s="972"/>
      <c r="M63" s="1003"/>
      <c r="N63" s="972"/>
      <c r="O63" s="1003"/>
      <c r="P63" s="961"/>
      <c r="Q63" s="972"/>
      <c r="R63" s="1003"/>
    </row>
    <row r="64" spans="1:19" ht="7.35" customHeight="1" x14ac:dyDescent="0.25">
      <c r="A64" s="973"/>
      <c r="B64" s="974"/>
      <c r="C64" s="975"/>
      <c r="D64" s="976"/>
      <c r="E64" s="1002"/>
      <c r="F64" s="975"/>
      <c r="G64" s="1002"/>
      <c r="H64" s="975"/>
      <c r="I64" s="1002"/>
      <c r="J64" s="975"/>
      <c r="K64" s="1002"/>
      <c r="L64" s="975"/>
      <c r="M64" s="1002"/>
      <c r="N64" s="975"/>
      <c r="O64" s="1002"/>
      <c r="P64" s="961"/>
      <c r="Q64" s="975"/>
      <c r="R64" s="1002"/>
    </row>
    <row r="65" spans="1:22" ht="16.350000000000001" customHeight="1" x14ac:dyDescent="0.25">
      <c r="A65" s="1216" t="s">
        <v>7768</v>
      </c>
      <c r="B65" s="1217"/>
      <c r="C65" s="1219"/>
      <c r="D65" s="977">
        <f t="shared" ref="D65:O65" si="4">SUM(D60:D62)</f>
        <v>94612.5</v>
      </c>
      <c r="E65" s="1000">
        <f t="shared" si="4"/>
        <v>11355.39</v>
      </c>
      <c r="F65" s="977">
        <f t="shared" si="4"/>
        <v>66450</v>
      </c>
      <c r="G65" s="1000">
        <f t="shared" si="4"/>
        <v>7975.33</v>
      </c>
      <c r="H65" s="977">
        <f t="shared" si="4"/>
        <v>40835</v>
      </c>
      <c r="I65" s="1000">
        <f t="shared" si="4"/>
        <v>4901.0200000000004</v>
      </c>
      <c r="J65" s="977">
        <f t="shared" si="4"/>
        <v>23320</v>
      </c>
      <c r="K65" s="1000">
        <f t="shared" si="4"/>
        <v>2798.87</v>
      </c>
      <c r="L65" s="977">
        <f t="shared" si="4"/>
        <v>7560</v>
      </c>
      <c r="M65" s="1000">
        <f t="shared" si="4"/>
        <v>907.34999999999991</v>
      </c>
      <c r="N65" s="977">
        <f t="shared" si="4"/>
        <v>5892.5</v>
      </c>
      <c r="O65" s="1000">
        <f t="shared" si="4"/>
        <v>471.40000000000003</v>
      </c>
      <c r="Q65" s="1004">
        <f>SUM(Q60:Q62)</f>
        <v>238670</v>
      </c>
      <c r="R65" s="998">
        <f>SUM(R60:R62)</f>
        <v>28409.360000000001</v>
      </c>
    </row>
    <row r="66" spans="1:22" ht="7.5" customHeight="1" x14ac:dyDescent="0.2">
      <c r="A66" s="978"/>
      <c r="B66" s="979"/>
      <c r="C66" s="980"/>
      <c r="D66" s="981"/>
      <c r="E66" s="980"/>
      <c r="F66" s="980"/>
      <c r="G66" s="980"/>
      <c r="H66" s="980"/>
      <c r="I66" s="980"/>
      <c r="J66" s="980"/>
      <c r="K66" s="980"/>
      <c r="L66" s="980"/>
      <c r="M66" s="980"/>
      <c r="N66" s="980"/>
      <c r="O66" s="980"/>
    </row>
    <row r="67" spans="1:22" ht="21.6" customHeight="1" x14ac:dyDescent="0.25">
      <c r="A67" s="962"/>
      <c r="B67" s="962"/>
      <c r="C67" s="962"/>
      <c r="D67" s="1206" t="s">
        <v>7781</v>
      </c>
      <c r="E67" s="1207"/>
      <c r="F67" s="1207"/>
      <c r="G67" s="1207"/>
      <c r="H67" s="1207"/>
      <c r="I67" s="1207"/>
      <c r="J67" s="1207"/>
      <c r="K67" s="1207"/>
      <c r="L67" s="1207"/>
      <c r="M67" s="1207"/>
      <c r="N67" s="1207"/>
      <c r="O67" s="1208"/>
      <c r="P67" s="961"/>
      <c r="U67" s="982"/>
    </row>
    <row r="68" spans="1:22" ht="15" x14ac:dyDescent="0.25">
      <c r="A68" s="1216" t="s">
        <v>7780</v>
      </c>
      <c r="B68" s="1217"/>
      <c r="C68" s="1217"/>
      <c r="D68" s="1215" t="s">
        <v>7767</v>
      </c>
      <c r="E68" s="1215"/>
      <c r="F68" s="1215" t="s">
        <v>7767</v>
      </c>
      <c r="G68" s="1215"/>
      <c r="H68" s="1215" t="s">
        <v>7767</v>
      </c>
      <c r="I68" s="1215"/>
      <c r="J68" s="1215" t="s">
        <v>7767</v>
      </c>
      <c r="K68" s="1215"/>
      <c r="L68" s="1215" t="s">
        <v>7767</v>
      </c>
      <c r="M68" s="1215"/>
      <c r="N68" s="1218" t="s">
        <v>7766</v>
      </c>
      <c r="O68" s="1218"/>
      <c r="P68" s="961"/>
    </row>
    <row r="69" spans="1:22" ht="15" x14ac:dyDescent="0.25">
      <c r="A69" s="1216" t="s">
        <v>7779</v>
      </c>
      <c r="B69" s="1217"/>
      <c r="C69" s="1217"/>
      <c r="D69" s="1218" t="s">
        <v>7766</v>
      </c>
      <c r="E69" s="1218"/>
      <c r="F69" s="1218" t="s">
        <v>7766</v>
      </c>
      <c r="G69" s="1218"/>
      <c r="H69" s="1215" t="s">
        <v>7767</v>
      </c>
      <c r="I69" s="1215"/>
      <c r="J69" s="1215" t="s">
        <v>7767</v>
      </c>
      <c r="K69" s="1215"/>
      <c r="L69" s="1215" t="s">
        <v>7767</v>
      </c>
      <c r="M69" s="1215"/>
      <c r="N69" s="1218" t="s">
        <v>7766</v>
      </c>
      <c r="O69" s="1218"/>
      <c r="P69" s="961"/>
    </row>
    <row r="70" spans="1:22" ht="26.85" customHeight="1" thickBot="1" x14ac:dyDescent="0.3">
      <c r="A70" s="962"/>
      <c r="B70" s="962"/>
      <c r="C70" s="962"/>
      <c r="D70" s="1206" t="s">
        <v>7782</v>
      </c>
      <c r="E70" s="1207"/>
      <c r="F70" s="1207"/>
      <c r="G70" s="1207"/>
      <c r="H70" s="1207"/>
      <c r="I70" s="1207"/>
      <c r="J70" s="1207"/>
      <c r="K70" s="1207"/>
      <c r="L70" s="1207"/>
      <c r="M70" s="1207"/>
      <c r="N70" s="1207"/>
      <c r="O70" s="1208"/>
      <c r="P70" s="961"/>
      <c r="Q70" s="957"/>
      <c r="R70" s="957"/>
    </row>
    <row r="71" spans="1:22" ht="30.75" thickBot="1" x14ac:dyDescent="0.3">
      <c r="A71" s="1009" t="s">
        <v>7787</v>
      </c>
      <c r="B71" s="1009" t="s">
        <v>1764</v>
      </c>
      <c r="C71" s="963" t="s">
        <v>7786</v>
      </c>
      <c r="D71" s="1005" t="s">
        <v>7769</v>
      </c>
      <c r="E71" s="1006" t="s">
        <v>7770</v>
      </c>
      <c r="F71" s="1006" t="s">
        <v>7769</v>
      </c>
      <c r="G71" s="1006" t="s">
        <v>7770</v>
      </c>
      <c r="H71" s="1006" t="s">
        <v>7769</v>
      </c>
      <c r="I71" s="1006" t="s">
        <v>7770</v>
      </c>
      <c r="J71" s="1006" t="s">
        <v>7769</v>
      </c>
      <c r="K71" s="1006" t="s">
        <v>7770</v>
      </c>
      <c r="L71" s="1006" t="s">
        <v>7769</v>
      </c>
      <c r="M71" s="1006" t="s">
        <v>7770</v>
      </c>
      <c r="N71" s="1006" t="s">
        <v>7769</v>
      </c>
      <c r="O71" s="1007" t="s">
        <v>7770</v>
      </c>
      <c r="P71" s="961"/>
      <c r="Q71" s="1005" t="s">
        <v>7769</v>
      </c>
      <c r="R71" s="1007" t="s">
        <v>7770</v>
      </c>
      <c r="S71" s="991"/>
    </row>
    <row r="72" spans="1:22" ht="15" x14ac:dyDescent="0.25">
      <c r="A72" s="964"/>
      <c r="B72" s="961"/>
      <c r="C72" s="961"/>
      <c r="D72" s="961"/>
      <c r="E72" s="961"/>
      <c r="F72" s="961"/>
      <c r="G72" s="961"/>
      <c r="H72" s="961"/>
      <c r="I72" s="961"/>
      <c r="J72" s="961"/>
      <c r="K72" s="961"/>
      <c r="L72" s="961"/>
      <c r="M72" s="961"/>
      <c r="N72" s="961"/>
      <c r="O72" s="961"/>
      <c r="P72" s="961"/>
      <c r="Q72" s="961"/>
      <c r="R72" s="961"/>
      <c r="S72" s="961"/>
      <c r="T72" s="961"/>
      <c r="U72" s="961"/>
      <c r="V72" s="961"/>
    </row>
    <row r="73" spans="1:22" ht="15" x14ac:dyDescent="0.25">
      <c r="A73" s="965" t="s">
        <v>7616</v>
      </c>
      <c r="B73" s="966" t="s">
        <v>6280</v>
      </c>
      <c r="C73" s="967">
        <v>12.2</v>
      </c>
      <c r="D73" s="933">
        <v>37845</v>
      </c>
      <c r="E73" s="998">
        <v>4617.09</v>
      </c>
      <c r="F73" s="933">
        <v>26580</v>
      </c>
      <c r="G73" s="998">
        <v>3242.76</v>
      </c>
      <c r="H73" s="933">
        <v>16334</v>
      </c>
      <c r="I73" s="998">
        <v>1992.75</v>
      </c>
      <c r="J73" s="933">
        <v>9328</v>
      </c>
      <c r="K73" s="998">
        <v>1138.02</v>
      </c>
      <c r="L73" s="933">
        <v>3024</v>
      </c>
      <c r="M73" s="998">
        <v>368.93</v>
      </c>
      <c r="N73" s="933"/>
      <c r="O73" s="998"/>
      <c r="Q73" s="1004">
        <f>D73+F73+H73+J73+L73</f>
        <v>93111</v>
      </c>
      <c r="R73" s="998">
        <f>E73+G73+I73+K73+M73</f>
        <v>11359.550000000001</v>
      </c>
    </row>
    <row r="74" spans="1:22" ht="15" x14ac:dyDescent="0.25">
      <c r="A74" s="965" t="s">
        <v>7616</v>
      </c>
      <c r="B74" s="966" t="s">
        <v>7778</v>
      </c>
      <c r="C74" s="967">
        <v>11.87</v>
      </c>
      <c r="D74" s="933">
        <v>56767.5</v>
      </c>
      <c r="E74" s="998">
        <v>6738.3</v>
      </c>
      <c r="F74" s="933">
        <v>39870</v>
      </c>
      <c r="G74" s="998">
        <v>4732.57</v>
      </c>
      <c r="H74" s="933">
        <v>24501</v>
      </c>
      <c r="I74" s="998">
        <v>2908.27</v>
      </c>
      <c r="J74" s="933">
        <v>13992</v>
      </c>
      <c r="K74" s="998">
        <v>1660.85</v>
      </c>
      <c r="L74" s="933">
        <v>4536</v>
      </c>
      <c r="M74" s="998">
        <v>538.41999999999996</v>
      </c>
      <c r="N74" s="933"/>
      <c r="O74" s="998"/>
      <c r="Q74" s="1004">
        <f>D74+F74+H74+J74+L74</f>
        <v>139666.5</v>
      </c>
      <c r="R74" s="998">
        <f>E74+G74+I74+K74+M74</f>
        <v>16578.41</v>
      </c>
    </row>
    <row r="75" spans="1:22" ht="15" x14ac:dyDescent="0.25">
      <c r="A75" s="965" t="s">
        <v>7616</v>
      </c>
      <c r="B75" s="966" t="s">
        <v>209</v>
      </c>
      <c r="C75" s="1016" t="s">
        <v>7796</v>
      </c>
      <c r="D75" s="933"/>
      <c r="E75" s="1000"/>
      <c r="F75" s="933"/>
      <c r="G75" s="1000"/>
      <c r="H75" s="933"/>
      <c r="I75" s="1000"/>
      <c r="J75" s="933"/>
      <c r="K75" s="1000"/>
      <c r="L75" s="933"/>
      <c r="M75" s="1000"/>
      <c r="N75" s="933">
        <v>5892.5</v>
      </c>
      <c r="O75" s="1000">
        <v>471.40000000000003</v>
      </c>
      <c r="P75" s="961"/>
      <c r="Q75" s="1004">
        <f>D75+F75+H75+J75+L75+N75</f>
        <v>5892.5</v>
      </c>
      <c r="R75" s="998">
        <f>E75+G75+I75+K75+M75+O75</f>
        <v>471.40000000000003</v>
      </c>
    </row>
    <row r="76" spans="1:22" ht="16.350000000000001" customHeight="1" x14ac:dyDescent="0.2">
      <c r="A76" s="965" t="s">
        <v>7616</v>
      </c>
      <c r="B76" s="983" t="s">
        <v>7794</v>
      </c>
      <c r="C76" s="933"/>
      <c r="D76" s="933" t="s">
        <v>4180</v>
      </c>
      <c r="E76" s="998" t="s">
        <v>4180</v>
      </c>
      <c r="F76" s="933" t="s">
        <v>4180</v>
      </c>
      <c r="G76" s="998" t="s">
        <v>4180</v>
      </c>
      <c r="H76" s="1013">
        <v>0</v>
      </c>
      <c r="I76" s="1014">
        <v>-4901.0200000000004</v>
      </c>
      <c r="J76" s="1013">
        <v>0</v>
      </c>
      <c r="K76" s="1014">
        <v>-2798.87</v>
      </c>
      <c r="L76" s="1013">
        <v>0</v>
      </c>
      <c r="M76" s="1014">
        <v>-907.35</v>
      </c>
      <c r="N76" s="1013"/>
      <c r="O76" s="998"/>
      <c r="Q76" s="1004">
        <f>H76+J76+L76+N76</f>
        <v>0</v>
      </c>
      <c r="R76" s="1014">
        <f>I76+K76+M76+O76</f>
        <v>-8607.24</v>
      </c>
    </row>
    <row r="77" spans="1:22" ht="16.350000000000001" customHeight="1" x14ac:dyDescent="0.2">
      <c r="A77" s="965" t="s">
        <v>7616</v>
      </c>
      <c r="B77" s="1012" t="s">
        <v>7795</v>
      </c>
      <c r="C77" s="933"/>
      <c r="D77" s="933" t="s">
        <v>4180</v>
      </c>
      <c r="E77" s="998" t="s">
        <v>4180</v>
      </c>
      <c r="F77" s="933" t="s">
        <v>4180</v>
      </c>
      <c r="G77" s="998" t="s">
        <v>4180</v>
      </c>
      <c r="H77" s="933"/>
      <c r="I77" s="998"/>
      <c r="J77" s="933"/>
      <c r="K77" s="998"/>
      <c r="L77" s="933"/>
      <c r="M77" s="998"/>
      <c r="N77" s="1013">
        <v>0</v>
      </c>
      <c r="O77" s="1015">
        <v>8607.24</v>
      </c>
      <c r="Q77" s="1004">
        <f>H77+J77+L77+N77</f>
        <v>0</v>
      </c>
      <c r="R77" s="1015">
        <f>I77+K77+M77+O77</f>
        <v>8607.24</v>
      </c>
    </row>
    <row r="78" spans="1:22" ht="7.35" customHeight="1" x14ac:dyDescent="0.2">
      <c r="B78" s="955"/>
      <c r="C78" s="955"/>
      <c r="E78" s="999"/>
      <c r="G78" s="999"/>
    </row>
    <row r="79" spans="1:22" ht="15" x14ac:dyDescent="0.25">
      <c r="A79" s="984" t="s">
        <v>7783</v>
      </c>
      <c r="B79" s="974"/>
      <c r="C79" s="975"/>
      <c r="D79" s="977">
        <f>SUM(D73:D77)</f>
        <v>94612.5</v>
      </c>
      <c r="E79" s="1000">
        <f t="shared" ref="E79:O79" si="5">SUM(E73:E77)</f>
        <v>11355.39</v>
      </c>
      <c r="F79" s="977">
        <f t="shared" si="5"/>
        <v>66450</v>
      </c>
      <c r="G79" s="1000">
        <f t="shared" si="5"/>
        <v>7975.33</v>
      </c>
      <c r="H79" s="977">
        <f t="shared" si="5"/>
        <v>40835</v>
      </c>
      <c r="I79" s="1000">
        <f t="shared" si="5"/>
        <v>0</v>
      </c>
      <c r="J79" s="977">
        <f t="shared" si="5"/>
        <v>23320</v>
      </c>
      <c r="K79" s="1000">
        <f t="shared" si="5"/>
        <v>0</v>
      </c>
      <c r="L79" s="977">
        <f t="shared" si="5"/>
        <v>7560</v>
      </c>
      <c r="M79" s="1000">
        <f t="shared" si="5"/>
        <v>0</v>
      </c>
      <c r="N79" s="977">
        <f t="shared" si="5"/>
        <v>5892.5</v>
      </c>
      <c r="O79" s="1000">
        <f t="shared" si="5"/>
        <v>9078.64</v>
      </c>
      <c r="Q79" s="977">
        <f>SUM(Q73:Q77)</f>
        <v>238670</v>
      </c>
      <c r="R79" s="1000">
        <f>SUM(R73:R77)</f>
        <v>28409.360000000001</v>
      </c>
    </row>
    <row r="80" spans="1:22" x14ac:dyDescent="0.2">
      <c r="B80" s="955"/>
      <c r="C80" s="955"/>
      <c r="D80" s="955"/>
      <c r="E80" s="955"/>
    </row>
    <row r="81" spans="1:19" ht="51" customHeight="1" x14ac:dyDescent="0.2">
      <c r="A81" s="1230" t="s">
        <v>7838</v>
      </c>
      <c r="B81" s="1231"/>
      <c r="C81" s="1231"/>
      <c r="D81" s="1231"/>
      <c r="E81" s="1231"/>
      <c r="F81" s="1231"/>
      <c r="G81" s="1231"/>
      <c r="H81" s="1231"/>
      <c r="I81" s="1231"/>
      <c r="J81" s="1231"/>
      <c r="K81" s="1231"/>
      <c r="L81" s="1231"/>
      <c r="M81" s="1231"/>
      <c r="N81" s="1231"/>
      <c r="O81" s="1231"/>
      <c r="P81" s="1231"/>
      <c r="Q81" s="1231"/>
      <c r="R81" s="1232"/>
    </row>
    <row r="82" spans="1:19" ht="15" thickBot="1" x14ac:dyDescent="0.25">
      <c r="A82" s="955"/>
      <c r="B82" s="955"/>
      <c r="C82" s="955"/>
      <c r="D82" s="955"/>
      <c r="E82" s="955"/>
    </row>
    <row r="83" spans="1:19" ht="26.85" customHeight="1" thickBot="1" x14ac:dyDescent="0.3">
      <c r="A83" s="961"/>
      <c r="B83" s="961"/>
      <c r="C83" s="961"/>
      <c r="D83" s="1204" t="s">
        <v>7798</v>
      </c>
      <c r="E83" s="1205"/>
      <c r="P83" s="961"/>
      <c r="S83" s="991"/>
    </row>
    <row r="84" spans="1:19" ht="30.75" thickBot="1" x14ac:dyDescent="0.25">
      <c r="A84" s="1009" t="s">
        <v>7787</v>
      </c>
      <c r="B84" s="1009" t="s">
        <v>1764</v>
      </c>
      <c r="C84" s="963" t="s">
        <v>7786</v>
      </c>
      <c r="D84" s="1005" t="s">
        <v>7769</v>
      </c>
      <c r="E84" s="1007" t="s">
        <v>7770</v>
      </c>
    </row>
    <row r="85" spans="1:19" ht="15" x14ac:dyDescent="0.25">
      <c r="A85" s="964"/>
      <c r="B85" s="961"/>
      <c r="C85" s="961"/>
      <c r="D85" s="961"/>
      <c r="E85" s="961"/>
    </row>
    <row r="86" spans="1:19" ht="15" x14ac:dyDescent="0.25">
      <c r="A86" s="965" t="s">
        <v>7616</v>
      </c>
      <c r="B86" s="966" t="s">
        <v>6280</v>
      </c>
      <c r="C86" s="967">
        <v>12.2</v>
      </c>
      <c r="D86" s="933">
        <v>93111</v>
      </c>
      <c r="E86" s="998">
        <v>11359.550000000001</v>
      </c>
    </row>
    <row r="87" spans="1:19" ht="15" x14ac:dyDescent="0.25">
      <c r="A87" s="965" t="s">
        <v>7616</v>
      </c>
      <c r="B87" s="966" t="s">
        <v>7778</v>
      </c>
      <c r="C87" s="967">
        <v>11.87</v>
      </c>
      <c r="D87" s="933">
        <v>139666.5</v>
      </c>
      <c r="E87" s="998">
        <v>16578.41</v>
      </c>
    </row>
    <row r="88" spans="1:19" ht="15" x14ac:dyDescent="0.25">
      <c r="A88" s="965" t="s">
        <v>7616</v>
      </c>
      <c r="B88" s="966" t="s">
        <v>209</v>
      </c>
      <c r="C88" s="1016" t="s">
        <v>7796</v>
      </c>
      <c r="D88" s="933">
        <v>5892.5</v>
      </c>
      <c r="E88" s="1000">
        <v>471.40000000000003</v>
      </c>
    </row>
    <row r="89" spans="1:19" ht="5.0999999999999996" customHeight="1" x14ac:dyDescent="0.2">
      <c r="B89" s="955"/>
      <c r="C89" s="955"/>
      <c r="E89" s="999"/>
    </row>
    <row r="90" spans="1:19" ht="13.5" customHeight="1" x14ac:dyDescent="0.25">
      <c r="A90" s="984" t="s">
        <v>7799</v>
      </c>
      <c r="B90" s="974"/>
      <c r="C90" s="975"/>
      <c r="D90" s="977">
        <f>SUM(D86:D88)</f>
        <v>238670</v>
      </c>
      <c r="E90" s="1000">
        <f>SUM(E86:E88)</f>
        <v>28409.360000000001</v>
      </c>
      <c r="F90" s="957"/>
      <c r="G90" s="957"/>
      <c r="H90" s="957"/>
      <c r="I90" s="957"/>
    </row>
    <row r="91" spans="1:19" x14ac:dyDescent="0.2">
      <c r="A91" s="988"/>
      <c r="B91" s="989"/>
      <c r="C91" s="990"/>
      <c r="D91" s="955"/>
      <c r="E91" s="955"/>
      <c r="J91" s="991"/>
    </row>
    <row r="92" spans="1:19" ht="23.85" customHeight="1" x14ac:dyDescent="0.25">
      <c r="A92" s="1220" t="s">
        <v>7812</v>
      </c>
      <c r="B92" s="1221"/>
      <c r="C92" s="1221"/>
      <c r="D92" s="1221"/>
      <c r="E92" s="1221"/>
      <c r="F92" s="1221"/>
      <c r="G92" s="1221"/>
      <c r="H92" s="1221"/>
      <c r="I92" s="1221"/>
      <c r="J92" s="1221"/>
      <c r="K92" s="1221"/>
      <c r="L92" s="1221"/>
      <c r="M92" s="1221"/>
      <c r="N92" s="1221"/>
      <c r="O92" s="1221"/>
      <c r="P92" s="1221"/>
      <c r="Q92" s="1221"/>
      <c r="R92" s="1222"/>
    </row>
    <row r="93" spans="1:19" ht="15" customHeight="1" x14ac:dyDescent="0.2">
      <c r="A93" s="988"/>
      <c r="B93" s="989"/>
      <c r="C93" s="992"/>
      <c r="D93" s="955"/>
      <c r="E93" s="955"/>
      <c r="J93" s="991"/>
    </row>
    <row r="94" spans="1:19" ht="69" customHeight="1" thickBot="1" x14ac:dyDescent="0.25">
      <c r="A94" s="1223" t="s">
        <v>7800</v>
      </c>
      <c r="B94" s="1224"/>
      <c r="C94" s="1224"/>
      <c r="D94" s="1224"/>
      <c r="E94" s="1224"/>
      <c r="F94" s="1224"/>
      <c r="G94" s="1224"/>
      <c r="H94" s="1224"/>
      <c r="I94" s="1224"/>
      <c r="J94" s="1224"/>
      <c r="K94" s="1224"/>
      <c r="L94" s="1224"/>
      <c r="M94" s="1224"/>
      <c r="N94" s="1224"/>
      <c r="O94" s="1224"/>
      <c r="P94" s="1224"/>
      <c r="Q94" s="1224"/>
      <c r="R94" s="1225"/>
    </row>
    <row r="95" spans="1:19" ht="26.85" customHeight="1" thickBot="1" x14ac:dyDescent="0.3">
      <c r="A95" s="961"/>
      <c r="B95" s="961"/>
      <c r="C95" s="961"/>
      <c r="D95" s="1226" t="s">
        <v>7772</v>
      </c>
      <c r="E95" s="1227"/>
      <c r="F95" s="1228" t="s">
        <v>7771</v>
      </c>
      <c r="G95" s="1227"/>
      <c r="H95" s="1228" t="s">
        <v>7773</v>
      </c>
      <c r="I95" s="1227"/>
      <c r="J95" s="1228" t="s">
        <v>7774</v>
      </c>
      <c r="K95" s="1227"/>
      <c r="L95" s="1228" t="s">
        <v>7775</v>
      </c>
      <c r="M95" s="1227"/>
      <c r="N95" s="1229" t="s">
        <v>7776</v>
      </c>
      <c r="O95" s="1205"/>
      <c r="P95" s="961"/>
      <c r="Q95" s="1204" t="s">
        <v>7784</v>
      </c>
      <c r="R95" s="1205"/>
      <c r="S95" s="991"/>
    </row>
    <row r="96" spans="1:19" ht="22.5" customHeight="1" thickBot="1" x14ac:dyDescent="0.3">
      <c r="A96" s="962"/>
      <c r="B96" s="962"/>
      <c r="C96" s="962"/>
      <c r="D96" s="1206" t="s">
        <v>7777</v>
      </c>
      <c r="E96" s="1207"/>
      <c r="F96" s="1207"/>
      <c r="G96" s="1207"/>
      <c r="H96" s="1207"/>
      <c r="I96" s="1207"/>
      <c r="J96" s="1207"/>
      <c r="K96" s="1207"/>
      <c r="L96" s="1207"/>
      <c r="M96" s="1207"/>
      <c r="N96" s="1207"/>
      <c r="O96" s="1208"/>
      <c r="P96" s="961"/>
      <c r="Q96" s="1008"/>
      <c r="R96" s="1008"/>
    </row>
    <row r="97" spans="1:22" ht="30.75" thickBot="1" x14ac:dyDescent="0.3">
      <c r="A97" s="1009" t="s">
        <v>7787</v>
      </c>
      <c r="B97" s="1009" t="s">
        <v>1764</v>
      </c>
      <c r="C97" s="963" t="s">
        <v>7786</v>
      </c>
      <c r="D97" s="1005" t="s">
        <v>7769</v>
      </c>
      <c r="E97" s="1006" t="s">
        <v>7770</v>
      </c>
      <c r="F97" s="1006" t="s">
        <v>7769</v>
      </c>
      <c r="G97" s="1006" t="s">
        <v>7770</v>
      </c>
      <c r="H97" s="1006" t="s">
        <v>7769</v>
      </c>
      <c r="I97" s="1006" t="s">
        <v>7770</v>
      </c>
      <c r="J97" s="1006" t="s">
        <v>7769</v>
      </c>
      <c r="K97" s="1006" t="s">
        <v>7770</v>
      </c>
      <c r="L97" s="1006" t="s">
        <v>7769</v>
      </c>
      <c r="M97" s="1006" t="s">
        <v>7770</v>
      </c>
      <c r="N97" s="1006" t="s">
        <v>7769</v>
      </c>
      <c r="O97" s="1007" t="s">
        <v>7770</v>
      </c>
      <c r="P97" s="961"/>
      <c r="Q97" s="1005" t="s">
        <v>7769</v>
      </c>
      <c r="R97" s="1007" t="s">
        <v>7770</v>
      </c>
      <c r="S97" s="991"/>
    </row>
    <row r="98" spans="1:22" ht="15" x14ac:dyDescent="0.25">
      <c r="A98" s="964"/>
      <c r="B98" s="961"/>
      <c r="C98" s="961"/>
      <c r="D98" s="961"/>
      <c r="E98" s="961"/>
      <c r="F98" s="961"/>
      <c r="G98" s="961"/>
      <c r="H98" s="961"/>
      <c r="I98" s="961"/>
      <c r="J98" s="961"/>
      <c r="K98" s="961"/>
      <c r="L98" s="961"/>
      <c r="M98" s="961"/>
      <c r="N98" s="961"/>
      <c r="O98" s="961"/>
      <c r="P98" s="961"/>
      <c r="Q98" s="961"/>
      <c r="R98" s="961"/>
    </row>
    <row r="99" spans="1:22" ht="15" x14ac:dyDescent="0.25">
      <c r="A99" s="965" t="s">
        <v>7616</v>
      </c>
      <c r="B99" s="966" t="s">
        <v>6280</v>
      </c>
      <c r="C99" s="967">
        <v>12.2</v>
      </c>
      <c r="D99" s="933">
        <v>37845</v>
      </c>
      <c r="E99" s="1000">
        <v>4617.09</v>
      </c>
      <c r="F99" s="933">
        <v>26580</v>
      </c>
      <c r="G99" s="1000">
        <v>3242.76</v>
      </c>
      <c r="H99" s="933">
        <v>16334</v>
      </c>
      <c r="I99" s="1000">
        <v>1992.75</v>
      </c>
      <c r="J99" s="933">
        <v>9328</v>
      </c>
      <c r="K99" s="1000">
        <v>1138.02</v>
      </c>
      <c r="L99" s="933">
        <v>3024</v>
      </c>
      <c r="M99" s="1000">
        <v>368.93</v>
      </c>
      <c r="N99" s="933"/>
      <c r="O99" s="1000"/>
      <c r="P99" s="961"/>
      <c r="Q99" s="1004">
        <f t="shared" ref="Q99:R101" si="6">D99+F99+H99+J99+L99+N99</f>
        <v>93111</v>
      </c>
      <c r="R99" s="998">
        <f t="shared" si="6"/>
        <v>11359.550000000001</v>
      </c>
    </row>
    <row r="100" spans="1:22" ht="15" x14ac:dyDescent="0.25">
      <c r="A100" s="965" t="s">
        <v>7616</v>
      </c>
      <c r="B100" s="966" t="s">
        <v>7778</v>
      </c>
      <c r="C100" s="967">
        <v>11.87</v>
      </c>
      <c r="D100" s="933">
        <v>56767.5</v>
      </c>
      <c r="E100" s="1000">
        <v>6738.3</v>
      </c>
      <c r="F100" s="933">
        <v>39870</v>
      </c>
      <c r="G100" s="1000">
        <v>4732.57</v>
      </c>
      <c r="H100" s="933">
        <v>24501</v>
      </c>
      <c r="I100" s="1000">
        <v>2908.27</v>
      </c>
      <c r="J100" s="933">
        <v>13992</v>
      </c>
      <c r="K100" s="1000">
        <v>1660.85</v>
      </c>
      <c r="L100" s="933">
        <v>4536</v>
      </c>
      <c r="M100" s="1000">
        <v>538.41999999999996</v>
      </c>
      <c r="N100" s="933"/>
      <c r="O100" s="1000"/>
      <c r="P100" s="961"/>
      <c r="Q100" s="1004">
        <f t="shared" si="6"/>
        <v>139666.5</v>
      </c>
      <c r="R100" s="998">
        <f t="shared" si="6"/>
        <v>16578.41</v>
      </c>
    </row>
    <row r="101" spans="1:22" ht="15" x14ac:dyDescent="0.25">
      <c r="A101" s="965" t="s">
        <v>7616</v>
      </c>
      <c r="B101" s="966" t="s">
        <v>209</v>
      </c>
      <c r="C101" s="967" t="s">
        <v>7796</v>
      </c>
      <c r="D101" s="933"/>
      <c r="E101" s="1000"/>
      <c r="F101" s="933"/>
      <c r="G101" s="1000"/>
      <c r="H101" s="933"/>
      <c r="I101" s="1000"/>
      <c r="J101" s="933"/>
      <c r="K101" s="1000"/>
      <c r="L101" s="933"/>
      <c r="M101" s="1000"/>
      <c r="N101" s="933">
        <v>5892.5</v>
      </c>
      <c r="O101" s="1000">
        <v>471.40000000000003</v>
      </c>
      <c r="P101" s="961"/>
      <c r="Q101" s="1004">
        <f t="shared" si="6"/>
        <v>5892.5</v>
      </c>
      <c r="R101" s="998">
        <f t="shared" si="6"/>
        <v>471.40000000000003</v>
      </c>
    </row>
    <row r="102" spans="1:22" ht="15" hidden="1" x14ac:dyDescent="0.25">
      <c r="A102" s="968" t="s">
        <v>7616</v>
      </c>
      <c r="B102" s="969" t="s">
        <v>6114</v>
      </c>
      <c r="C102" s="970"/>
      <c r="D102" s="971"/>
      <c r="E102" s="1001"/>
      <c r="F102" s="971"/>
      <c r="G102" s="1001"/>
      <c r="H102" s="971"/>
      <c r="I102" s="1001">
        <v>200000</v>
      </c>
      <c r="J102" s="972"/>
      <c r="K102" s="1003"/>
      <c r="L102" s="972"/>
      <c r="M102" s="1003"/>
      <c r="N102" s="972"/>
      <c r="O102" s="1003"/>
      <c r="P102" s="961"/>
      <c r="Q102" s="972"/>
      <c r="R102" s="1003"/>
    </row>
    <row r="103" spans="1:22" ht="7.35" customHeight="1" x14ac:dyDescent="0.25">
      <c r="A103" s="973"/>
      <c r="B103" s="974"/>
      <c r="C103" s="975"/>
      <c r="D103" s="976"/>
      <c r="E103" s="1002"/>
      <c r="F103" s="975"/>
      <c r="G103" s="1002"/>
      <c r="H103" s="975"/>
      <c r="I103" s="1002"/>
      <c r="J103" s="975"/>
      <c r="K103" s="1002"/>
      <c r="L103" s="975"/>
      <c r="M103" s="1002"/>
      <c r="N103" s="975"/>
      <c r="O103" s="1002"/>
      <c r="P103" s="961"/>
      <c r="Q103" s="975"/>
      <c r="R103" s="1002"/>
    </row>
    <row r="104" spans="1:22" ht="16.350000000000001" customHeight="1" x14ac:dyDescent="0.25">
      <c r="A104" s="1216" t="s">
        <v>7768</v>
      </c>
      <c r="B104" s="1217"/>
      <c r="C104" s="1219"/>
      <c r="D104" s="977">
        <f t="shared" ref="D104:O104" si="7">SUM(D99:D101)</f>
        <v>94612.5</v>
      </c>
      <c r="E104" s="1000">
        <f t="shared" si="7"/>
        <v>11355.39</v>
      </c>
      <c r="F104" s="977">
        <f t="shared" si="7"/>
        <v>66450</v>
      </c>
      <c r="G104" s="1000">
        <f t="shared" si="7"/>
        <v>7975.33</v>
      </c>
      <c r="H104" s="977">
        <f t="shared" si="7"/>
        <v>40835</v>
      </c>
      <c r="I104" s="1000">
        <f t="shared" si="7"/>
        <v>4901.0200000000004</v>
      </c>
      <c r="J104" s="977">
        <f t="shared" si="7"/>
        <v>23320</v>
      </c>
      <c r="K104" s="1000">
        <f t="shared" si="7"/>
        <v>2798.87</v>
      </c>
      <c r="L104" s="977">
        <f t="shared" si="7"/>
        <v>7560</v>
      </c>
      <c r="M104" s="1000">
        <f t="shared" si="7"/>
        <v>907.34999999999991</v>
      </c>
      <c r="N104" s="977">
        <f t="shared" si="7"/>
        <v>5892.5</v>
      </c>
      <c r="O104" s="1000">
        <f t="shared" si="7"/>
        <v>471.40000000000003</v>
      </c>
      <c r="Q104" s="1004">
        <f>SUM(Q99:Q101)</f>
        <v>238670</v>
      </c>
      <c r="R104" s="998">
        <f>SUM(R99:R101)</f>
        <v>28409.360000000001</v>
      </c>
    </row>
    <row r="105" spans="1:22" ht="7.5" customHeight="1" x14ac:dyDescent="0.2">
      <c r="A105" s="978"/>
      <c r="B105" s="979"/>
      <c r="C105" s="980"/>
      <c r="D105" s="981"/>
      <c r="E105" s="980"/>
      <c r="F105" s="980"/>
      <c r="G105" s="980"/>
      <c r="H105" s="980"/>
      <c r="I105" s="980"/>
      <c r="J105" s="980"/>
      <c r="K105" s="980"/>
      <c r="L105" s="980"/>
      <c r="M105" s="980"/>
      <c r="N105" s="980"/>
      <c r="O105" s="980"/>
    </row>
    <row r="106" spans="1:22" ht="21.6" customHeight="1" x14ac:dyDescent="0.25">
      <c r="A106" s="962"/>
      <c r="B106" s="962"/>
      <c r="C106" s="962"/>
      <c r="D106" s="1206" t="s">
        <v>7781</v>
      </c>
      <c r="E106" s="1207"/>
      <c r="F106" s="1207"/>
      <c r="G106" s="1207"/>
      <c r="H106" s="1207"/>
      <c r="I106" s="1207"/>
      <c r="J106" s="1207"/>
      <c r="K106" s="1207"/>
      <c r="L106" s="1207"/>
      <c r="M106" s="1207"/>
      <c r="N106" s="1207"/>
      <c r="O106" s="1208"/>
      <c r="P106" s="961"/>
      <c r="U106" s="982"/>
    </row>
    <row r="107" spans="1:22" ht="15" x14ac:dyDescent="0.25">
      <c r="A107" s="1216" t="s">
        <v>7780</v>
      </c>
      <c r="B107" s="1217"/>
      <c r="C107" s="1217"/>
      <c r="D107" s="1215" t="s">
        <v>7767</v>
      </c>
      <c r="E107" s="1215"/>
      <c r="F107" s="1215" t="s">
        <v>7767</v>
      </c>
      <c r="G107" s="1215"/>
      <c r="H107" s="1215" t="s">
        <v>7767</v>
      </c>
      <c r="I107" s="1215"/>
      <c r="J107" s="1215" t="s">
        <v>7767</v>
      </c>
      <c r="K107" s="1215"/>
      <c r="L107" s="1215" t="s">
        <v>7767</v>
      </c>
      <c r="M107" s="1215"/>
      <c r="N107" s="1215" t="s">
        <v>7767</v>
      </c>
      <c r="O107" s="1215"/>
      <c r="P107" s="961"/>
    </row>
    <row r="108" spans="1:22" ht="15" x14ac:dyDescent="0.25">
      <c r="A108" s="1216" t="s">
        <v>7779</v>
      </c>
      <c r="B108" s="1217"/>
      <c r="C108" s="1217"/>
      <c r="D108" s="1218" t="s">
        <v>7766</v>
      </c>
      <c r="E108" s="1218"/>
      <c r="F108" s="1218" t="s">
        <v>7766</v>
      </c>
      <c r="G108" s="1218"/>
      <c r="H108" s="1215" t="s">
        <v>7767</v>
      </c>
      <c r="I108" s="1215"/>
      <c r="J108" s="1215" t="s">
        <v>7767</v>
      </c>
      <c r="K108" s="1215"/>
      <c r="L108" s="1215" t="s">
        <v>7767</v>
      </c>
      <c r="M108" s="1215"/>
      <c r="N108" s="1215" t="s">
        <v>7767</v>
      </c>
      <c r="O108" s="1215"/>
      <c r="P108" s="961"/>
    </row>
    <row r="109" spans="1:22" ht="26.85" customHeight="1" thickBot="1" x14ac:dyDescent="0.3">
      <c r="A109" s="962"/>
      <c r="B109" s="962"/>
      <c r="C109" s="962"/>
      <c r="D109" s="1206" t="s">
        <v>7782</v>
      </c>
      <c r="E109" s="1207"/>
      <c r="F109" s="1207"/>
      <c r="G109" s="1207"/>
      <c r="H109" s="1207"/>
      <c r="I109" s="1207"/>
      <c r="J109" s="1207"/>
      <c r="K109" s="1207"/>
      <c r="L109" s="1207"/>
      <c r="M109" s="1207"/>
      <c r="N109" s="1207"/>
      <c r="O109" s="1208"/>
      <c r="P109" s="961"/>
      <c r="Q109" s="957"/>
      <c r="R109" s="957"/>
    </row>
    <row r="110" spans="1:22" ht="30.75" thickBot="1" x14ac:dyDescent="0.3">
      <c r="A110" s="1009" t="s">
        <v>7787</v>
      </c>
      <c r="B110" s="1009" t="s">
        <v>1764</v>
      </c>
      <c r="C110" s="963" t="s">
        <v>7786</v>
      </c>
      <c r="D110" s="1005" t="s">
        <v>7769</v>
      </c>
      <c r="E110" s="1006" t="s">
        <v>7770</v>
      </c>
      <c r="F110" s="1006" t="s">
        <v>7769</v>
      </c>
      <c r="G110" s="1006" t="s">
        <v>7770</v>
      </c>
      <c r="H110" s="1006" t="s">
        <v>7769</v>
      </c>
      <c r="I110" s="1006" t="s">
        <v>7770</v>
      </c>
      <c r="J110" s="1006" t="s">
        <v>7769</v>
      </c>
      <c r="K110" s="1006" t="s">
        <v>7770</v>
      </c>
      <c r="L110" s="1006" t="s">
        <v>7769</v>
      </c>
      <c r="M110" s="1006" t="s">
        <v>7770</v>
      </c>
      <c r="N110" s="1006" t="s">
        <v>7769</v>
      </c>
      <c r="O110" s="1007" t="s">
        <v>7770</v>
      </c>
      <c r="P110" s="961"/>
      <c r="Q110" s="1005" t="s">
        <v>7769</v>
      </c>
      <c r="R110" s="1007" t="s">
        <v>7770</v>
      </c>
      <c r="S110" s="991"/>
    </row>
    <row r="111" spans="1:22" ht="15" x14ac:dyDescent="0.25">
      <c r="A111" s="964"/>
      <c r="B111" s="961"/>
      <c r="C111" s="961"/>
      <c r="D111" s="961"/>
      <c r="E111" s="961"/>
      <c r="F111" s="961"/>
      <c r="G111" s="961"/>
      <c r="H111" s="961"/>
      <c r="I111" s="961"/>
      <c r="J111" s="961"/>
      <c r="K111" s="961"/>
      <c r="L111" s="961"/>
      <c r="M111" s="961"/>
      <c r="N111" s="961"/>
      <c r="O111" s="961"/>
      <c r="P111" s="961"/>
      <c r="Q111" s="961"/>
      <c r="R111" s="961"/>
      <c r="S111" s="961"/>
      <c r="T111" s="961"/>
      <c r="U111" s="961"/>
      <c r="V111" s="961"/>
    </row>
    <row r="112" spans="1:22" ht="15" x14ac:dyDescent="0.25">
      <c r="A112" s="965" t="s">
        <v>7616</v>
      </c>
      <c r="B112" s="966" t="s">
        <v>6280</v>
      </c>
      <c r="C112" s="967">
        <v>12.2</v>
      </c>
      <c r="D112" s="933">
        <v>37845</v>
      </c>
      <c r="E112" s="998">
        <v>4617.09</v>
      </c>
      <c r="F112" s="933">
        <v>26580</v>
      </c>
      <c r="G112" s="998">
        <v>3242.76</v>
      </c>
      <c r="H112" s="933">
        <v>16334</v>
      </c>
      <c r="I112" s="998">
        <v>1992.75</v>
      </c>
      <c r="J112" s="933">
        <v>9328</v>
      </c>
      <c r="K112" s="998">
        <v>1138.02</v>
      </c>
      <c r="L112" s="933">
        <v>3024</v>
      </c>
      <c r="M112" s="998">
        <v>368.93</v>
      </c>
      <c r="N112" s="933"/>
      <c r="O112" s="998"/>
      <c r="Q112" s="1004">
        <f>D112+F112+H112+J112+L112</f>
        <v>93111</v>
      </c>
      <c r="R112" s="998">
        <f>E112+G112+I112+K112+M112</f>
        <v>11359.550000000001</v>
      </c>
    </row>
    <row r="113" spans="1:18" ht="15" x14ac:dyDescent="0.25">
      <c r="A113" s="965" t="s">
        <v>7616</v>
      </c>
      <c r="B113" s="966" t="s">
        <v>7778</v>
      </c>
      <c r="C113" s="967">
        <v>11.87</v>
      </c>
      <c r="D113" s="933">
        <v>56767.5</v>
      </c>
      <c r="E113" s="998">
        <v>6738.3</v>
      </c>
      <c r="F113" s="933">
        <v>39870</v>
      </c>
      <c r="G113" s="998">
        <v>4732.57</v>
      </c>
      <c r="H113" s="933">
        <v>24501</v>
      </c>
      <c r="I113" s="998">
        <v>2908.27</v>
      </c>
      <c r="J113" s="933">
        <v>13992</v>
      </c>
      <c r="K113" s="998">
        <v>1660.85</v>
      </c>
      <c r="L113" s="933">
        <v>4536</v>
      </c>
      <c r="M113" s="998">
        <v>538.41999999999996</v>
      </c>
      <c r="N113" s="933"/>
      <c r="O113" s="998"/>
      <c r="Q113" s="1004">
        <f>D113+F113+H113+J113+L113</f>
        <v>139666.5</v>
      </c>
      <c r="R113" s="998">
        <f>E113+G113+I113+K113+M113</f>
        <v>16578.41</v>
      </c>
    </row>
    <row r="114" spans="1:18" ht="15" x14ac:dyDescent="0.25">
      <c r="A114" s="965" t="s">
        <v>7616</v>
      </c>
      <c r="B114" s="966" t="s">
        <v>209</v>
      </c>
      <c r="C114" s="1016" t="s">
        <v>7796</v>
      </c>
      <c r="D114" s="933"/>
      <c r="E114" s="1000"/>
      <c r="F114" s="933"/>
      <c r="G114" s="1000"/>
      <c r="H114" s="933"/>
      <c r="I114" s="1000"/>
      <c r="J114" s="933"/>
      <c r="K114" s="1000"/>
      <c r="L114" s="933"/>
      <c r="M114" s="1000"/>
      <c r="N114" s="933">
        <v>5892.5</v>
      </c>
      <c r="O114" s="1000">
        <v>471.40000000000003</v>
      </c>
      <c r="P114" s="961"/>
      <c r="Q114" s="1004">
        <f>D114+F114+H114+J114+L114+N114</f>
        <v>5892.5</v>
      </c>
      <c r="R114" s="998">
        <f>E114+G114+I114+K114+M114+O114</f>
        <v>471.40000000000003</v>
      </c>
    </row>
    <row r="115" spans="1:18" ht="16.350000000000001" customHeight="1" x14ac:dyDescent="0.2">
      <c r="A115" s="965" t="s">
        <v>7616</v>
      </c>
      <c r="B115" s="983" t="s">
        <v>7794</v>
      </c>
      <c r="C115" s="933"/>
      <c r="D115" s="933" t="s">
        <v>4180</v>
      </c>
      <c r="E115" s="998" t="s">
        <v>4180</v>
      </c>
      <c r="F115" s="933" t="s">
        <v>4180</v>
      </c>
      <c r="G115" s="998" t="s">
        <v>4180</v>
      </c>
      <c r="H115" s="1013">
        <v>0</v>
      </c>
      <c r="I115" s="1014">
        <v>-4901.0200000000004</v>
      </c>
      <c r="J115" s="1013">
        <v>0</v>
      </c>
      <c r="K115" s="1014">
        <v>-2798.87</v>
      </c>
      <c r="L115" s="1013">
        <v>0</v>
      </c>
      <c r="M115" s="1014">
        <v>-907.35</v>
      </c>
      <c r="N115" s="1013">
        <v>0</v>
      </c>
      <c r="O115" s="1014">
        <v>-471.4</v>
      </c>
      <c r="Q115" s="1004">
        <f>H115+J115+L115+N115</f>
        <v>0</v>
      </c>
      <c r="R115" s="1014">
        <f>I115+K115+M115+O115</f>
        <v>-9078.64</v>
      </c>
    </row>
    <row r="116" spans="1:18" ht="16.350000000000001" customHeight="1" x14ac:dyDescent="0.2">
      <c r="A116" s="965" t="s">
        <v>7616</v>
      </c>
      <c r="B116" s="1012" t="s">
        <v>7795</v>
      </c>
      <c r="C116" s="933"/>
      <c r="D116" s="933" t="s">
        <v>4180</v>
      </c>
      <c r="E116" s="998" t="s">
        <v>4180</v>
      </c>
      <c r="F116" s="933" t="s">
        <v>4180</v>
      </c>
      <c r="G116" s="998" t="s">
        <v>4180</v>
      </c>
      <c r="H116" s="933"/>
      <c r="I116" s="998"/>
      <c r="J116" s="933"/>
      <c r="K116" s="998"/>
      <c r="L116" s="933"/>
      <c r="M116" s="998"/>
      <c r="N116" s="1013"/>
      <c r="O116" s="1015"/>
      <c r="Q116" s="1004">
        <f>H116+J116+L116+N116</f>
        <v>0</v>
      </c>
      <c r="R116" s="1015">
        <f>I116+K116+M116+O116</f>
        <v>0</v>
      </c>
    </row>
    <row r="117" spans="1:18" ht="7.35" customHeight="1" x14ac:dyDescent="0.2">
      <c r="B117" s="955"/>
      <c r="C117" s="955"/>
      <c r="E117" s="999"/>
      <c r="G117" s="999"/>
    </row>
    <row r="118" spans="1:18" ht="15" x14ac:dyDescent="0.25">
      <c r="A118" s="984" t="s">
        <v>7783</v>
      </c>
      <c r="B118" s="974"/>
      <c r="C118" s="975"/>
      <c r="D118" s="977">
        <f>SUM(D112:D116)</f>
        <v>94612.5</v>
      </c>
      <c r="E118" s="1000">
        <f t="shared" ref="E118:O118" si="8">SUM(E112:E116)</f>
        <v>11355.39</v>
      </c>
      <c r="F118" s="977">
        <f t="shared" si="8"/>
        <v>66450</v>
      </c>
      <c r="G118" s="1000">
        <f t="shared" si="8"/>
        <v>7975.33</v>
      </c>
      <c r="H118" s="977">
        <f t="shared" si="8"/>
        <v>40835</v>
      </c>
      <c r="I118" s="1000">
        <f t="shared" si="8"/>
        <v>0</v>
      </c>
      <c r="J118" s="977">
        <f t="shared" si="8"/>
        <v>23320</v>
      </c>
      <c r="K118" s="1000">
        <f t="shared" si="8"/>
        <v>0</v>
      </c>
      <c r="L118" s="977">
        <f t="shared" si="8"/>
        <v>7560</v>
      </c>
      <c r="M118" s="1000">
        <f t="shared" si="8"/>
        <v>0</v>
      </c>
      <c r="N118" s="977">
        <f t="shared" si="8"/>
        <v>5892.5</v>
      </c>
      <c r="O118" s="1000">
        <f t="shared" si="8"/>
        <v>0</v>
      </c>
      <c r="Q118" s="977">
        <f>SUM(Q112:Q116)</f>
        <v>238670</v>
      </c>
      <c r="R118" s="1000">
        <f>SUM(R112:R116)</f>
        <v>19330.72</v>
      </c>
    </row>
    <row r="119" spans="1:18" x14ac:dyDescent="0.2">
      <c r="B119" s="955"/>
      <c r="C119" s="955"/>
      <c r="D119" s="955"/>
      <c r="E119" s="955"/>
    </row>
    <row r="120" spans="1:18" ht="111" customHeight="1" x14ac:dyDescent="0.2">
      <c r="A120" s="1209" t="s">
        <v>7837</v>
      </c>
      <c r="B120" s="1210"/>
      <c r="C120" s="1210"/>
      <c r="D120" s="1210"/>
      <c r="E120" s="1210"/>
      <c r="F120" s="1210"/>
      <c r="G120" s="1210"/>
      <c r="H120" s="1210"/>
      <c r="I120" s="1210"/>
      <c r="J120" s="1210"/>
      <c r="K120" s="1210"/>
      <c r="L120" s="1210"/>
      <c r="M120" s="1210"/>
      <c r="N120" s="1210"/>
      <c r="O120" s="1210"/>
      <c r="P120" s="1210"/>
      <c r="Q120" s="1210"/>
      <c r="R120" s="1211"/>
    </row>
    <row r="121" spans="1:18" ht="15" customHeight="1" x14ac:dyDescent="0.2">
      <c r="A121" s="1209"/>
      <c r="B121" s="1210"/>
      <c r="C121" s="1210"/>
      <c r="D121" s="1210"/>
      <c r="E121" s="1210"/>
      <c r="F121" s="1210"/>
      <c r="G121" s="1210"/>
      <c r="H121" s="1210"/>
      <c r="I121" s="1210"/>
      <c r="J121" s="1210"/>
      <c r="K121" s="1210"/>
      <c r="L121" s="1210"/>
      <c r="M121" s="1210"/>
      <c r="N121" s="1210"/>
      <c r="O121" s="1210"/>
      <c r="P121" s="1210"/>
      <c r="Q121" s="1210"/>
      <c r="R121" s="1211"/>
    </row>
    <row r="122" spans="1:18" ht="15" x14ac:dyDescent="0.25">
      <c r="A122" s="1212" t="s">
        <v>7801</v>
      </c>
      <c r="B122" s="1213"/>
      <c r="C122" s="1213"/>
      <c r="D122" s="1213"/>
      <c r="E122" s="1213"/>
      <c r="F122" s="1213"/>
      <c r="G122" s="1213"/>
      <c r="H122" s="1213"/>
      <c r="I122" s="1213"/>
      <c r="J122" s="1213"/>
      <c r="K122" s="1213"/>
      <c r="L122" s="1213"/>
      <c r="M122" s="1213"/>
      <c r="N122" s="1213"/>
      <c r="O122" s="1213"/>
      <c r="P122" s="1213"/>
      <c r="Q122" s="1213"/>
      <c r="R122" s="1214"/>
    </row>
    <row r="123" spans="1:18" ht="15" customHeight="1" x14ac:dyDescent="0.2">
      <c r="A123" s="1209"/>
      <c r="B123" s="1210"/>
      <c r="C123" s="1210"/>
      <c r="D123" s="1210"/>
      <c r="E123" s="1210"/>
      <c r="F123" s="1210"/>
      <c r="G123" s="1210"/>
      <c r="H123" s="1210"/>
      <c r="I123" s="1210"/>
      <c r="J123" s="1210"/>
      <c r="K123" s="1210"/>
      <c r="L123" s="1210"/>
      <c r="M123" s="1210"/>
      <c r="N123" s="1210"/>
      <c r="O123" s="1210"/>
      <c r="P123" s="1210"/>
      <c r="Q123" s="1210"/>
      <c r="R123" s="1211"/>
    </row>
    <row r="124" spans="1:18" ht="44.1" customHeight="1" x14ac:dyDescent="0.2">
      <c r="A124" s="1201" t="s">
        <v>7802</v>
      </c>
      <c r="B124" s="1202"/>
      <c r="C124" s="1202"/>
      <c r="D124" s="1202"/>
      <c r="E124" s="1202"/>
      <c r="F124" s="1202"/>
      <c r="G124" s="1202"/>
      <c r="H124" s="1202"/>
      <c r="I124" s="1202"/>
      <c r="J124" s="1202"/>
      <c r="K124" s="1202"/>
      <c r="L124" s="1202"/>
      <c r="M124" s="1202"/>
      <c r="N124" s="1202"/>
      <c r="O124" s="1202"/>
      <c r="P124" s="1202"/>
      <c r="Q124" s="1202"/>
      <c r="R124" s="1203"/>
    </row>
    <row r="125" spans="1:18" ht="15" x14ac:dyDescent="0.25">
      <c r="A125" s="1212" t="s">
        <v>7803</v>
      </c>
      <c r="B125" s="1213"/>
      <c r="C125" s="1213"/>
      <c r="D125" s="1213"/>
      <c r="E125" s="1213"/>
      <c r="F125" s="1213"/>
      <c r="G125" s="1213"/>
      <c r="H125" s="1213"/>
      <c r="I125" s="1213"/>
      <c r="J125" s="1213"/>
      <c r="K125" s="1213"/>
      <c r="L125" s="1213"/>
      <c r="M125" s="1213"/>
      <c r="N125" s="1213"/>
      <c r="O125" s="1213"/>
      <c r="P125" s="1213"/>
      <c r="Q125" s="1213"/>
      <c r="R125" s="1214"/>
    </row>
    <row r="126" spans="1:18" ht="15" customHeight="1" x14ac:dyDescent="0.2">
      <c r="A126" s="1209"/>
      <c r="B126" s="1210"/>
      <c r="C126" s="1210"/>
      <c r="D126" s="1210"/>
      <c r="E126" s="1210"/>
      <c r="F126" s="1210"/>
      <c r="G126" s="1210"/>
      <c r="H126" s="1210"/>
      <c r="I126" s="1210"/>
      <c r="J126" s="1210"/>
      <c r="K126" s="1210"/>
      <c r="L126" s="1210"/>
      <c r="M126" s="1210"/>
      <c r="N126" s="1210"/>
      <c r="O126" s="1210"/>
      <c r="P126" s="1210"/>
      <c r="Q126" s="1210"/>
      <c r="R126" s="1211"/>
    </row>
    <row r="127" spans="1:18" ht="50.85" customHeight="1" x14ac:dyDescent="0.2">
      <c r="A127" s="1201" t="s">
        <v>7805</v>
      </c>
      <c r="B127" s="1202"/>
      <c r="C127" s="1202"/>
      <c r="D127" s="1202"/>
      <c r="E127" s="1202"/>
      <c r="F127" s="1202"/>
      <c r="G127" s="1202"/>
      <c r="H127" s="1202"/>
      <c r="I127" s="1202"/>
      <c r="J127" s="1202"/>
      <c r="K127" s="1202"/>
      <c r="L127" s="1202"/>
      <c r="M127" s="1202"/>
      <c r="N127" s="1202"/>
      <c r="O127" s="1202"/>
      <c r="P127" s="1202"/>
      <c r="Q127" s="1202"/>
      <c r="R127" s="1203"/>
    </row>
    <row r="128" spans="1:18" x14ac:dyDescent="0.2">
      <c r="A128" s="955" t="s">
        <v>7806</v>
      </c>
      <c r="B128" s="955"/>
      <c r="C128" s="955"/>
      <c r="D128" s="955"/>
      <c r="E128" s="955"/>
    </row>
    <row r="129" spans="1:19" ht="15" thickBot="1" x14ac:dyDescent="0.25">
      <c r="A129" s="955"/>
      <c r="B129" s="955"/>
      <c r="C129" s="955"/>
      <c r="D129" s="955"/>
      <c r="E129" s="955"/>
    </row>
    <row r="130" spans="1:19" ht="26.85" customHeight="1" thickBot="1" x14ac:dyDescent="0.3">
      <c r="A130" s="961"/>
      <c r="B130" s="961"/>
      <c r="C130" s="961"/>
      <c r="D130" s="1204" t="s">
        <v>7798</v>
      </c>
      <c r="E130" s="1205"/>
      <c r="P130" s="961"/>
      <c r="S130" s="991"/>
    </row>
    <row r="131" spans="1:19" ht="30.75" thickBot="1" x14ac:dyDescent="0.25">
      <c r="A131" s="1009" t="s">
        <v>7787</v>
      </c>
      <c r="B131" s="1009" t="s">
        <v>1764</v>
      </c>
      <c r="C131" s="963" t="s">
        <v>7786</v>
      </c>
      <c r="D131" s="1005" t="s">
        <v>7769</v>
      </c>
      <c r="E131" s="1007" t="s">
        <v>7770</v>
      </c>
    </row>
    <row r="132" spans="1:19" ht="15" x14ac:dyDescent="0.25">
      <c r="A132" s="964"/>
      <c r="B132" s="961"/>
      <c r="C132" s="961"/>
      <c r="D132" s="961"/>
      <c r="E132" s="961"/>
    </row>
    <row r="133" spans="1:19" ht="15" x14ac:dyDescent="0.25">
      <c r="A133" s="965" t="s">
        <v>7616</v>
      </c>
      <c r="B133" s="966" t="s">
        <v>6280</v>
      </c>
      <c r="C133" s="967">
        <v>12.2</v>
      </c>
      <c r="D133" s="933">
        <v>93111</v>
      </c>
      <c r="E133" s="998">
        <v>11359.550000000001</v>
      </c>
    </row>
    <row r="134" spans="1:19" ht="15" x14ac:dyDescent="0.25">
      <c r="A134" s="965" t="s">
        <v>7616</v>
      </c>
      <c r="B134" s="966" t="s">
        <v>7778</v>
      </c>
      <c r="C134" s="967">
        <v>11.87</v>
      </c>
      <c r="D134" s="933">
        <v>139666.5</v>
      </c>
      <c r="E134" s="998">
        <v>16578.41</v>
      </c>
    </row>
    <row r="135" spans="1:19" ht="15" x14ac:dyDescent="0.25">
      <c r="A135" s="965" t="s">
        <v>7616</v>
      </c>
      <c r="B135" s="966" t="s">
        <v>209</v>
      </c>
      <c r="C135" s="1016" t="s">
        <v>7796</v>
      </c>
      <c r="D135" s="933">
        <v>5892.5</v>
      </c>
      <c r="E135" s="1000">
        <v>471.40000000000003</v>
      </c>
    </row>
    <row r="136" spans="1:19" ht="15" x14ac:dyDescent="0.25">
      <c r="A136" s="965" t="s">
        <v>7616</v>
      </c>
      <c r="B136" s="983" t="s">
        <v>7794</v>
      </c>
      <c r="C136" s="1016"/>
      <c r="D136" s="977">
        <v>0</v>
      </c>
      <c r="E136" s="1014">
        <v>-9078.64</v>
      </c>
    </row>
    <row r="137" spans="1:19" ht="5.0999999999999996" customHeight="1" x14ac:dyDescent="0.2">
      <c r="B137" s="955"/>
      <c r="C137" s="955"/>
      <c r="E137" s="999"/>
    </row>
    <row r="138" spans="1:19" ht="13.5" customHeight="1" x14ac:dyDescent="0.25">
      <c r="A138" s="984" t="s">
        <v>7799</v>
      </c>
      <c r="B138" s="974"/>
      <c r="C138" s="975"/>
      <c r="D138" s="977">
        <f>SUM(D133:D136)</f>
        <v>238670</v>
      </c>
      <c r="E138" s="1000">
        <f>SUM(E133:E136)</f>
        <v>19330.72</v>
      </c>
      <c r="F138" s="957"/>
      <c r="G138" s="957"/>
      <c r="H138" s="957"/>
      <c r="I138" s="957"/>
    </row>
    <row r="139" spans="1:19" ht="15" customHeight="1" x14ac:dyDescent="0.2">
      <c r="A139" s="1201"/>
      <c r="B139" s="1202"/>
      <c r="C139" s="1202"/>
      <c r="D139" s="1202"/>
      <c r="E139" s="1202"/>
      <c r="F139" s="1202"/>
      <c r="G139" s="1202"/>
      <c r="H139" s="1202"/>
      <c r="I139" s="1202"/>
      <c r="J139" s="1202"/>
      <c r="K139" s="1202"/>
      <c r="L139" s="1202"/>
      <c r="M139" s="1202"/>
      <c r="N139" s="1202"/>
      <c r="O139" s="1202"/>
      <c r="P139" s="1202"/>
      <c r="Q139" s="1202"/>
      <c r="R139" s="1203"/>
    </row>
    <row r="140" spans="1:19" ht="54.6" customHeight="1" thickBot="1" x14ac:dyDescent="0.25">
      <c r="A140" s="1201" t="s">
        <v>7811</v>
      </c>
      <c r="B140" s="1202"/>
      <c r="C140" s="1202"/>
      <c r="D140" s="1202"/>
      <c r="E140" s="1202"/>
      <c r="F140" s="1202"/>
      <c r="G140" s="1202"/>
      <c r="H140" s="1202"/>
      <c r="I140" s="1202"/>
      <c r="J140" s="1202"/>
      <c r="K140" s="1202"/>
      <c r="L140" s="1202"/>
      <c r="M140" s="1202"/>
      <c r="N140" s="1202"/>
      <c r="O140" s="1202"/>
      <c r="P140" s="1202"/>
      <c r="Q140" s="1202"/>
      <c r="R140" s="1203"/>
    </row>
    <row r="141" spans="1:19" ht="26.85" customHeight="1" thickBot="1" x14ac:dyDescent="0.3">
      <c r="A141" s="961"/>
      <c r="B141" s="961"/>
      <c r="C141" s="961"/>
      <c r="D141" s="1204" t="s">
        <v>7808</v>
      </c>
      <c r="E141" s="1205"/>
      <c r="P141" s="961"/>
      <c r="S141" s="991"/>
    </row>
    <row r="142" spans="1:19" ht="30.75" thickBot="1" x14ac:dyDescent="0.25">
      <c r="A142" s="1009" t="s">
        <v>7787</v>
      </c>
      <c r="B142" s="1009" t="s">
        <v>1764</v>
      </c>
      <c r="C142" s="963" t="s">
        <v>7786</v>
      </c>
      <c r="D142" s="1005" t="s">
        <v>7769</v>
      </c>
      <c r="E142" s="1007" t="s">
        <v>7770</v>
      </c>
    </row>
    <row r="143" spans="1:19" ht="15" x14ac:dyDescent="0.25">
      <c r="A143" s="964"/>
      <c r="B143" s="961"/>
      <c r="C143" s="961"/>
      <c r="D143" s="961"/>
      <c r="E143" s="961"/>
    </row>
    <row r="144" spans="1:19" ht="15" x14ac:dyDescent="0.25">
      <c r="A144" s="965" t="s">
        <v>7616</v>
      </c>
      <c r="B144" s="966" t="s">
        <v>6280</v>
      </c>
      <c r="C144" s="967">
        <v>12.2</v>
      </c>
      <c r="D144" s="1024" t="s">
        <v>7809</v>
      </c>
      <c r="E144" s="1024" t="s">
        <v>7809</v>
      </c>
    </row>
    <row r="145" spans="1:18" ht="15" x14ac:dyDescent="0.25">
      <c r="A145" s="965" t="s">
        <v>7616</v>
      </c>
      <c r="B145" s="966" t="s">
        <v>7778</v>
      </c>
      <c r="C145" s="967">
        <v>11.87</v>
      </c>
      <c r="D145" s="1024" t="s">
        <v>7809</v>
      </c>
      <c r="E145" s="1024" t="s">
        <v>7809</v>
      </c>
    </row>
    <row r="146" spans="1:18" ht="15" x14ac:dyDescent="0.25">
      <c r="A146" s="965" t="s">
        <v>7616</v>
      </c>
      <c r="B146" s="1024" t="s">
        <v>7809</v>
      </c>
      <c r="C146" s="1016"/>
      <c r="D146" s="1024" t="s">
        <v>7809</v>
      </c>
      <c r="E146" s="1024" t="s">
        <v>7809</v>
      </c>
    </row>
    <row r="147" spans="1:18" ht="15" x14ac:dyDescent="0.25">
      <c r="A147" s="965" t="s">
        <v>7616</v>
      </c>
      <c r="B147" s="1012" t="s">
        <v>7795</v>
      </c>
      <c r="C147" s="1016"/>
      <c r="D147" s="977">
        <v>0</v>
      </c>
      <c r="E147" s="1015">
        <v>9078.64</v>
      </c>
      <c r="F147" s="1026"/>
    </row>
    <row r="148" spans="1:18" ht="5.0999999999999996" customHeight="1" x14ac:dyDescent="0.2">
      <c r="B148" s="955"/>
      <c r="C148" s="955"/>
      <c r="E148" s="999"/>
    </row>
    <row r="149" spans="1:18" ht="13.5" customHeight="1" x14ac:dyDescent="0.2">
      <c r="A149" s="984" t="s">
        <v>7799</v>
      </c>
      <c r="B149" s="974"/>
      <c r="C149" s="975"/>
      <c r="D149" s="1024" t="s">
        <v>7809</v>
      </c>
      <c r="E149" s="1025" t="s">
        <v>7810</v>
      </c>
      <c r="F149" s="957"/>
      <c r="G149" s="957"/>
      <c r="H149" s="957"/>
      <c r="I149" s="957"/>
    </row>
    <row r="150" spans="1:18" ht="15" customHeight="1" x14ac:dyDescent="0.2">
      <c r="A150" s="1201"/>
      <c r="B150" s="1202"/>
      <c r="C150" s="1202"/>
      <c r="D150" s="1202"/>
      <c r="E150" s="1202"/>
      <c r="F150" s="1202"/>
      <c r="G150" s="1202"/>
      <c r="H150" s="1202"/>
      <c r="I150" s="1202"/>
      <c r="J150" s="1202"/>
      <c r="K150" s="1202"/>
      <c r="L150" s="1202"/>
      <c r="M150" s="1202"/>
      <c r="N150" s="1202"/>
      <c r="O150" s="1202"/>
      <c r="P150" s="1202"/>
      <c r="Q150" s="1202"/>
      <c r="R150" s="1203"/>
    </row>
    <row r="151" spans="1:18" ht="62.85" customHeight="1" x14ac:dyDescent="0.2">
      <c r="A151" s="1201" t="s">
        <v>7813</v>
      </c>
      <c r="B151" s="1202"/>
      <c r="C151" s="1202"/>
      <c r="D151" s="1202"/>
      <c r="E151" s="1202"/>
      <c r="F151" s="1202"/>
      <c r="G151" s="1202"/>
      <c r="H151" s="1202"/>
      <c r="I151" s="1202"/>
      <c r="J151" s="1202"/>
      <c r="K151" s="1202"/>
      <c r="L151" s="1202"/>
      <c r="M151" s="1202"/>
      <c r="N151" s="1202"/>
      <c r="O151" s="1202"/>
      <c r="P151" s="1202"/>
      <c r="Q151" s="1202"/>
      <c r="R151" s="1203"/>
    </row>
    <row r="152" spans="1:18" ht="15" customHeight="1" x14ac:dyDescent="0.2">
      <c r="A152" s="1201"/>
      <c r="B152" s="1202"/>
      <c r="C152" s="1202"/>
      <c r="D152" s="1202"/>
      <c r="E152" s="1202"/>
      <c r="F152" s="1202"/>
      <c r="G152" s="1202"/>
      <c r="H152" s="1202"/>
      <c r="I152" s="1202"/>
      <c r="J152" s="1202"/>
      <c r="K152" s="1202"/>
      <c r="L152" s="1202"/>
      <c r="M152" s="1202"/>
      <c r="N152" s="1202"/>
      <c r="O152" s="1202"/>
      <c r="P152" s="1202"/>
      <c r="Q152" s="1202"/>
      <c r="R152" s="1203"/>
    </row>
    <row r="153" spans="1:18" ht="15" customHeight="1" x14ac:dyDescent="0.2">
      <c r="A153" s="1201"/>
      <c r="B153" s="1202"/>
      <c r="C153" s="1202"/>
      <c r="D153" s="1202"/>
      <c r="E153" s="1202"/>
      <c r="F153" s="1202"/>
      <c r="G153" s="1202"/>
      <c r="H153" s="1202"/>
      <c r="I153" s="1202"/>
      <c r="J153" s="1202"/>
      <c r="K153" s="1202"/>
      <c r="L153" s="1202"/>
      <c r="M153" s="1202"/>
      <c r="N153" s="1202"/>
      <c r="O153" s="1202"/>
      <c r="P153" s="1202"/>
      <c r="Q153" s="1202"/>
      <c r="R153" s="1203"/>
    </row>
    <row r="154" spans="1:18" ht="15" customHeight="1" x14ac:dyDescent="0.2">
      <c r="A154" s="1201"/>
      <c r="B154" s="1202"/>
      <c r="C154" s="1202"/>
      <c r="D154" s="1202"/>
      <c r="E154" s="1202"/>
      <c r="F154" s="1202"/>
      <c r="G154" s="1202"/>
      <c r="H154" s="1202"/>
      <c r="I154" s="1202"/>
      <c r="J154" s="1202"/>
      <c r="K154" s="1202"/>
      <c r="L154" s="1202"/>
      <c r="M154" s="1202"/>
      <c r="N154" s="1202"/>
      <c r="O154" s="1202"/>
      <c r="P154" s="1202"/>
      <c r="Q154" s="1202"/>
      <c r="R154" s="1203"/>
    </row>
    <row r="155" spans="1:18" ht="15" customHeight="1" x14ac:dyDescent="0.2">
      <c r="A155" s="1201"/>
      <c r="B155" s="1202"/>
      <c r="C155" s="1202"/>
      <c r="D155" s="1202"/>
      <c r="E155" s="1202"/>
      <c r="F155" s="1202"/>
      <c r="G155" s="1202"/>
      <c r="H155" s="1202"/>
      <c r="I155" s="1202"/>
      <c r="J155" s="1202"/>
      <c r="K155" s="1202"/>
      <c r="L155" s="1202"/>
      <c r="M155" s="1202"/>
      <c r="N155" s="1202"/>
      <c r="O155" s="1202"/>
      <c r="P155" s="1202"/>
      <c r="Q155" s="1202"/>
      <c r="R155" s="1203"/>
    </row>
    <row r="156" spans="1:18" x14ac:dyDescent="0.2">
      <c r="A156" s="1017"/>
      <c r="B156" s="1018"/>
      <c r="C156" s="1019"/>
      <c r="D156" s="1020"/>
      <c r="E156" s="1020"/>
      <c r="F156" s="1021"/>
      <c r="G156" s="1021"/>
      <c r="H156" s="1021"/>
      <c r="I156" s="1021"/>
      <c r="J156" s="1022"/>
      <c r="K156" s="1021"/>
      <c r="L156" s="1021"/>
      <c r="M156" s="1021"/>
      <c r="N156" s="1021"/>
      <c r="O156" s="1021"/>
      <c r="P156" s="1021"/>
      <c r="Q156" s="1021"/>
      <c r="R156" s="1021"/>
    </row>
    <row r="157" spans="1:18" ht="15" customHeight="1" x14ac:dyDescent="0.2">
      <c r="A157" s="1017"/>
      <c r="B157" s="1018"/>
      <c r="C157" s="1023"/>
      <c r="D157" s="1020"/>
      <c r="E157" s="1020"/>
      <c r="F157" s="1021"/>
      <c r="G157" s="1021"/>
      <c r="H157" s="1021"/>
      <c r="I157" s="1021"/>
      <c r="J157" s="1022"/>
      <c r="K157" s="1021"/>
      <c r="L157" s="1021"/>
      <c r="M157" s="1021"/>
      <c r="N157" s="1021"/>
      <c r="O157" s="1021"/>
      <c r="P157" s="1021"/>
      <c r="Q157" s="1021"/>
      <c r="R157" s="1021"/>
    </row>
    <row r="158" spans="1:18" ht="15" customHeight="1" x14ac:dyDescent="0.2">
      <c r="A158" s="988"/>
      <c r="B158" s="989"/>
      <c r="C158" s="992"/>
      <c r="D158" s="955"/>
      <c r="E158" s="955"/>
      <c r="J158" s="991"/>
    </row>
    <row r="159" spans="1:18" ht="15" customHeight="1" x14ac:dyDescent="0.2">
      <c r="A159" s="988"/>
      <c r="B159" s="989"/>
      <c r="C159" s="992"/>
      <c r="D159" s="955"/>
      <c r="E159" s="955"/>
      <c r="J159" s="991"/>
    </row>
    <row r="160" spans="1:18" ht="6.75" customHeight="1" x14ac:dyDescent="0.2">
      <c r="A160" s="955"/>
      <c r="B160" s="955"/>
      <c r="C160" s="993"/>
      <c r="D160" s="993"/>
      <c r="E160" s="993"/>
      <c r="F160" s="994"/>
      <c r="G160" s="994"/>
      <c r="H160" s="994"/>
      <c r="I160" s="994"/>
    </row>
    <row r="161" spans="1:5" ht="15" x14ac:dyDescent="0.25">
      <c r="A161" s="995"/>
      <c r="B161" s="955"/>
      <c r="C161" s="990"/>
      <c r="D161" s="955"/>
      <c r="E161" s="955"/>
    </row>
    <row r="162" spans="1:5" ht="15" x14ac:dyDescent="0.25">
      <c r="A162" s="995"/>
      <c r="B162" s="955"/>
      <c r="C162" s="990"/>
      <c r="D162" s="955"/>
      <c r="E162" s="955"/>
    </row>
    <row r="163" spans="1:5" x14ac:dyDescent="0.2">
      <c r="A163" s="955"/>
      <c r="B163" s="955"/>
      <c r="C163" s="955"/>
      <c r="D163" s="955"/>
      <c r="E163" s="955"/>
    </row>
    <row r="164" spans="1:5" x14ac:dyDescent="0.2">
      <c r="A164" s="955"/>
      <c r="B164" s="955"/>
      <c r="C164" s="955"/>
      <c r="D164" s="955"/>
      <c r="E164" s="955"/>
    </row>
    <row r="165" spans="1:5" x14ac:dyDescent="0.2">
      <c r="A165" s="955"/>
      <c r="B165" s="955"/>
      <c r="C165" s="955"/>
      <c r="D165" s="955"/>
      <c r="E165" s="955"/>
    </row>
    <row r="166" spans="1:5" x14ac:dyDescent="0.2">
      <c r="A166" s="955"/>
      <c r="B166" s="955"/>
      <c r="C166" s="955"/>
      <c r="D166" s="955"/>
      <c r="E166" s="955"/>
    </row>
    <row r="167" spans="1:5" x14ac:dyDescent="0.2">
      <c r="A167" s="955"/>
      <c r="B167" s="955"/>
      <c r="C167" s="955"/>
      <c r="D167" s="955"/>
      <c r="E167" s="955"/>
    </row>
    <row r="168" spans="1:5" ht="15" x14ac:dyDescent="0.25">
      <c r="A168" s="987"/>
      <c r="B168" s="955"/>
      <c r="C168" s="955"/>
      <c r="D168" s="955"/>
      <c r="E168" s="955"/>
    </row>
    <row r="169" spans="1:5" x14ac:dyDescent="0.2">
      <c r="A169" s="955"/>
      <c r="B169" s="955"/>
      <c r="C169" s="955"/>
      <c r="D169" s="955"/>
      <c r="E169" s="955"/>
    </row>
    <row r="170" spans="1:5" x14ac:dyDescent="0.2">
      <c r="A170" s="955"/>
      <c r="B170" s="955"/>
      <c r="C170" s="955"/>
      <c r="D170" s="955"/>
      <c r="E170" s="955"/>
    </row>
    <row r="171" spans="1:5" x14ac:dyDescent="0.2">
      <c r="A171" s="955"/>
      <c r="B171" s="955"/>
      <c r="C171" s="955"/>
      <c r="D171" s="955"/>
      <c r="E171" s="955"/>
    </row>
    <row r="172" spans="1:5" x14ac:dyDescent="0.2">
      <c r="A172" s="988"/>
      <c r="B172" s="955"/>
      <c r="C172" s="955"/>
      <c r="D172" s="955"/>
      <c r="E172" s="955"/>
    </row>
    <row r="173" spans="1:5" x14ac:dyDescent="0.2">
      <c r="A173" s="988"/>
      <c r="B173" s="955"/>
      <c r="C173" s="955"/>
      <c r="D173" s="955"/>
      <c r="E173" s="955"/>
    </row>
    <row r="174" spans="1:5" x14ac:dyDescent="0.2">
      <c r="A174" s="955"/>
      <c r="B174" s="955"/>
      <c r="C174" s="955"/>
      <c r="D174" s="955"/>
      <c r="E174" s="955"/>
    </row>
    <row r="175" spans="1:5" x14ac:dyDescent="0.2">
      <c r="A175" s="955"/>
      <c r="B175" s="955"/>
      <c r="C175" s="955"/>
      <c r="D175" s="955"/>
      <c r="E175" s="955"/>
    </row>
    <row r="176" spans="1:5" x14ac:dyDescent="0.2">
      <c r="A176" s="955"/>
      <c r="B176" s="955"/>
      <c r="C176" s="955"/>
      <c r="D176" s="955"/>
      <c r="E176" s="955"/>
    </row>
    <row r="177" spans="1:5" x14ac:dyDescent="0.2">
      <c r="A177" s="955"/>
      <c r="B177" s="955"/>
      <c r="C177" s="955"/>
      <c r="D177" s="955"/>
      <c r="E177" s="955"/>
    </row>
    <row r="178" spans="1:5" x14ac:dyDescent="0.2">
      <c r="A178" s="955"/>
      <c r="B178" s="955"/>
      <c r="C178" s="955"/>
      <c r="D178" s="955"/>
      <c r="E178" s="955"/>
    </row>
    <row r="179" spans="1:5" x14ac:dyDescent="0.2">
      <c r="A179" s="955"/>
      <c r="B179" s="955"/>
      <c r="C179" s="955"/>
      <c r="D179" s="955"/>
      <c r="E179" s="955"/>
    </row>
    <row r="182" spans="1:5" ht="15" x14ac:dyDescent="0.25">
      <c r="A182" s="996"/>
    </row>
  </sheetData>
  <mergeCells count="111">
    <mergeCell ref="A5:R5"/>
    <mergeCell ref="A4:R4"/>
    <mergeCell ref="A1:AA1"/>
    <mergeCell ref="D8:E8"/>
    <mergeCell ref="F8:G8"/>
    <mergeCell ref="H8:I8"/>
    <mergeCell ref="J8:K8"/>
    <mergeCell ref="L21:M21"/>
    <mergeCell ref="N21:O21"/>
    <mergeCell ref="N20:O20"/>
    <mergeCell ref="L20:M20"/>
    <mergeCell ref="J20:K20"/>
    <mergeCell ref="D9:O9"/>
    <mergeCell ref="A21:C21"/>
    <mergeCell ref="A20:C20"/>
    <mergeCell ref="D19:O19"/>
    <mergeCell ref="Q8:R8"/>
    <mergeCell ref="A17:C17"/>
    <mergeCell ref="D20:E20"/>
    <mergeCell ref="F20:G20"/>
    <mergeCell ref="H20:I20"/>
    <mergeCell ref="L8:M8"/>
    <mergeCell ref="N8:O8"/>
    <mergeCell ref="A6:R6"/>
    <mergeCell ref="D21:E21"/>
    <mergeCell ref="F21:G21"/>
    <mergeCell ref="H21:I21"/>
    <mergeCell ref="J21:K21"/>
    <mergeCell ref="D34:E34"/>
    <mergeCell ref="A43:R43"/>
    <mergeCell ref="A7:R7"/>
    <mergeCell ref="A45:AA45"/>
    <mergeCell ref="D22:O22"/>
    <mergeCell ref="A55:R55"/>
    <mergeCell ref="D56:E56"/>
    <mergeCell ref="F56:G56"/>
    <mergeCell ref="H56:I56"/>
    <mergeCell ref="J56:K56"/>
    <mergeCell ref="L56:M56"/>
    <mergeCell ref="N56:O56"/>
    <mergeCell ref="Q56:R56"/>
    <mergeCell ref="A49:R49"/>
    <mergeCell ref="A52:R52"/>
    <mergeCell ref="A51:R51"/>
    <mergeCell ref="A50:R50"/>
    <mergeCell ref="A53:R53"/>
    <mergeCell ref="D57:O57"/>
    <mergeCell ref="A65:C65"/>
    <mergeCell ref="D67:O67"/>
    <mergeCell ref="A68:C68"/>
    <mergeCell ref="D68:E68"/>
    <mergeCell ref="F68:G68"/>
    <mergeCell ref="H68:I68"/>
    <mergeCell ref="J68:K68"/>
    <mergeCell ref="N69:O69"/>
    <mergeCell ref="L68:M68"/>
    <mergeCell ref="N68:O68"/>
    <mergeCell ref="D70:O70"/>
    <mergeCell ref="Q95:R95"/>
    <mergeCell ref="D96:O96"/>
    <mergeCell ref="A104:C104"/>
    <mergeCell ref="D106:O106"/>
    <mergeCell ref="A69:C69"/>
    <mergeCell ref="D69:E69"/>
    <mergeCell ref="F69:G69"/>
    <mergeCell ref="H69:I69"/>
    <mergeCell ref="D83:E83"/>
    <mergeCell ref="A92:R92"/>
    <mergeCell ref="A94:R94"/>
    <mergeCell ref="D95:E95"/>
    <mergeCell ref="F95:G95"/>
    <mergeCell ref="H95:I95"/>
    <mergeCell ref="J95:K95"/>
    <mergeCell ref="L95:M95"/>
    <mergeCell ref="N95:O95"/>
    <mergeCell ref="A81:R81"/>
    <mergeCell ref="J69:K69"/>
    <mergeCell ref="L69:M69"/>
    <mergeCell ref="H108:I108"/>
    <mergeCell ref="J108:K108"/>
    <mergeCell ref="L108:M108"/>
    <mergeCell ref="N108:O108"/>
    <mergeCell ref="A107:C107"/>
    <mergeCell ref="D107:E107"/>
    <mergeCell ref="F107:G107"/>
    <mergeCell ref="H107:I107"/>
    <mergeCell ref="J107:K107"/>
    <mergeCell ref="L107:M107"/>
    <mergeCell ref="N107:O107"/>
    <mergeCell ref="A108:C108"/>
    <mergeCell ref="D108:E108"/>
    <mergeCell ref="F108:G108"/>
    <mergeCell ref="A153:R153"/>
    <mergeCell ref="A154:R154"/>
    <mergeCell ref="A155:R155"/>
    <mergeCell ref="A140:R140"/>
    <mergeCell ref="A151:R151"/>
    <mergeCell ref="A152:R152"/>
    <mergeCell ref="D141:E141"/>
    <mergeCell ref="D109:O109"/>
    <mergeCell ref="A120:R120"/>
    <mergeCell ref="A121:R121"/>
    <mergeCell ref="A122:R122"/>
    <mergeCell ref="A150:R150"/>
    <mergeCell ref="A139:R139"/>
    <mergeCell ref="A123:R123"/>
    <mergeCell ref="A124:R124"/>
    <mergeCell ref="A125:R125"/>
    <mergeCell ref="A126:R126"/>
    <mergeCell ref="A127:R127"/>
    <mergeCell ref="D130:E130"/>
  </mergeCells>
  <conditionalFormatting sqref="N12 N14">
    <cfRule type="cellIs" dxfId="114" priority="113" stopIfTrue="1" operator="lessThan">
      <formula>0</formula>
    </cfRule>
  </conditionalFormatting>
  <conditionalFormatting sqref="E12 E14">
    <cfRule type="cellIs" dxfId="113" priority="112" stopIfTrue="1" operator="lessThan">
      <formula>0</formula>
    </cfRule>
  </conditionalFormatting>
  <conditionalFormatting sqref="G12 G14">
    <cfRule type="cellIs" dxfId="112" priority="111" stopIfTrue="1" operator="lessThan">
      <formula>0</formula>
    </cfRule>
  </conditionalFormatting>
  <conditionalFormatting sqref="I12 I14">
    <cfRule type="cellIs" dxfId="111" priority="110" stopIfTrue="1" operator="lessThan">
      <formula>0</formula>
    </cfRule>
  </conditionalFormatting>
  <conditionalFormatting sqref="K12 K14">
    <cfRule type="cellIs" dxfId="110" priority="109" stopIfTrue="1" operator="lessThan">
      <formula>0</formula>
    </cfRule>
  </conditionalFormatting>
  <conditionalFormatting sqref="M12 M14">
    <cfRule type="cellIs" dxfId="109" priority="108" stopIfTrue="1" operator="lessThan">
      <formula>0</formula>
    </cfRule>
  </conditionalFormatting>
  <conditionalFormatting sqref="O12 O14">
    <cfRule type="cellIs" dxfId="108" priority="107" stopIfTrue="1" operator="lessThan">
      <formula>0</formula>
    </cfRule>
  </conditionalFormatting>
  <conditionalFormatting sqref="R17">
    <cfRule type="cellIs" dxfId="107" priority="96" stopIfTrue="1" operator="lessThan">
      <formula>0</formula>
    </cfRule>
  </conditionalFormatting>
  <conditionalFormatting sqref="R12 R14">
    <cfRule type="cellIs" dxfId="106" priority="104" stopIfTrue="1" operator="lessThan">
      <formula>0</formula>
    </cfRule>
  </conditionalFormatting>
  <conditionalFormatting sqref="Q25:Q26">
    <cfRule type="cellIs" dxfId="105" priority="99" stopIfTrue="1" operator="lessThan">
      <formula>0</formula>
    </cfRule>
  </conditionalFormatting>
  <conditionalFormatting sqref="R25:R26">
    <cfRule type="cellIs" dxfId="104" priority="102" stopIfTrue="1" operator="lessThan">
      <formula>0</formula>
    </cfRule>
  </conditionalFormatting>
  <conditionalFormatting sqref="Q28">
    <cfRule type="cellIs" dxfId="103" priority="101" stopIfTrue="1" operator="lessThan">
      <formula>0</formula>
    </cfRule>
  </conditionalFormatting>
  <conditionalFormatting sqref="R28">
    <cfRule type="cellIs" dxfId="102" priority="100" stopIfTrue="1" operator="lessThan">
      <formula>0</formula>
    </cfRule>
  </conditionalFormatting>
  <conditionalFormatting sqref="Q12 Q14">
    <cfRule type="cellIs" dxfId="101" priority="98" stopIfTrue="1" operator="lessThan">
      <formula>0</formula>
    </cfRule>
  </conditionalFormatting>
  <conditionalFormatting sqref="Q17">
    <cfRule type="cellIs" dxfId="100" priority="97" stopIfTrue="1" operator="lessThan">
      <formula>0</formula>
    </cfRule>
  </conditionalFormatting>
  <conditionalFormatting sqref="N60 N62">
    <cfRule type="cellIs" dxfId="99" priority="95" stopIfTrue="1" operator="lessThan">
      <formula>0</formula>
    </cfRule>
  </conditionalFormatting>
  <conditionalFormatting sqref="E60 E62">
    <cfRule type="cellIs" dxfId="98" priority="94" stopIfTrue="1" operator="lessThan">
      <formula>0</formula>
    </cfRule>
  </conditionalFormatting>
  <conditionalFormatting sqref="G60 G62">
    <cfRule type="cellIs" dxfId="97" priority="93" stopIfTrue="1" operator="lessThan">
      <formula>0</formula>
    </cfRule>
  </conditionalFormatting>
  <conditionalFormatting sqref="I60 I62">
    <cfRule type="cellIs" dxfId="96" priority="92" stopIfTrue="1" operator="lessThan">
      <formula>0</formula>
    </cfRule>
  </conditionalFormatting>
  <conditionalFormatting sqref="K60 K62">
    <cfRule type="cellIs" dxfId="95" priority="91" stopIfTrue="1" operator="lessThan">
      <formula>0</formula>
    </cfRule>
  </conditionalFormatting>
  <conditionalFormatting sqref="M60 M62">
    <cfRule type="cellIs" dxfId="94" priority="90" stopIfTrue="1" operator="lessThan">
      <formula>0</formula>
    </cfRule>
  </conditionalFormatting>
  <conditionalFormatting sqref="O60 O62">
    <cfRule type="cellIs" dxfId="93" priority="89" stopIfTrue="1" operator="lessThan">
      <formula>0</formula>
    </cfRule>
  </conditionalFormatting>
  <conditionalFormatting sqref="R65">
    <cfRule type="cellIs" dxfId="92" priority="81" stopIfTrue="1" operator="lessThan">
      <formula>0</formula>
    </cfRule>
  </conditionalFormatting>
  <conditionalFormatting sqref="R60 R62">
    <cfRule type="cellIs" dxfId="91" priority="88" stopIfTrue="1" operator="lessThan">
      <formula>0</formula>
    </cfRule>
  </conditionalFormatting>
  <conditionalFormatting sqref="Q73:Q74">
    <cfRule type="cellIs" dxfId="90" priority="84" stopIfTrue="1" operator="lessThan">
      <formula>0</formula>
    </cfRule>
  </conditionalFormatting>
  <conditionalFormatting sqref="R73:R74">
    <cfRule type="cellIs" dxfId="89" priority="87" stopIfTrue="1" operator="lessThan">
      <formula>0</formula>
    </cfRule>
  </conditionalFormatting>
  <conditionalFormatting sqref="Q77">
    <cfRule type="cellIs" dxfId="88" priority="86" stopIfTrue="1" operator="lessThan">
      <formula>0</formula>
    </cfRule>
  </conditionalFormatting>
  <conditionalFormatting sqref="R77">
    <cfRule type="cellIs" dxfId="87" priority="85" stopIfTrue="1" operator="lessThan">
      <formula>0</formula>
    </cfRule>
  </conditionalFormatting>
  <conditionalFormatting sqref="Q60 Q62">
    <cfRule type="cellIs" dxfId="86" priority="83" stopIfTrue="1" operator="lessThan">
      <formula>0</formula>
    </cfRule>
  </conditionalFormatting>
  <conditionalFormatting sqref="Q65">
    <cfRule type="cellIs" dxfId="85" priority="82" stopIfTrue="1" operator="lessThan">
      <formula>0</formula>
    </cfRule>
  </conditionalFormatting>
  <conditionalFormatting sqref="Q76">
    <cfRule type="cellIs" dxfId="84" priority="80" stopIfTrue="1" operator="lessThan">
      <formula>0</formula>
    </cfRule>
  </conditionalFormatting>
  <conditionalFormatting sqref="Q13">
    <cfRule type="cellIs" dxfId="83" priority="70" stopIfTrue="1" operator="lessThan">
      <formula>0</formula>
    </cfRule>
  </conditionalFormatting>
  <conditionalFormatting sqref="N13">
    <cfRule type="cellIs" dxfId="82" priority="78" stopIfTrue="1" operator="lessThan">
      <formula>0</formula>
    </cfRule>
  </conditionalFormatting>
  <conditionalFormatting sqref="E13">
    <cfRule type="cellIs" dxfId="81" priority="77" stopIfTrue="1" operator="lessThan">
      <formula>0</formula>
    </cfRule>
  </conditionalFormatting>
  <conditionalFormatting sqref="G13">
    <cfRule type="cellIs" dxfId="80" priority="76" stopIfTrue="1" operator="lessThan">
      <formula>0</formula>
    </cfRule>
  </conditionalFormatting>
  <conditionalFormatting sqref="I13">
    <cfRule type="cellIs" dxfId="79" priority="75" stopIfTrue="1" operator="lessThan">
      <formula>0</formula>
    </cfRule>
  </conditionalFormatting>
  <conditionalFormatting sqref="K13">
    <cfRule type="cellIs" dxfId="78" priority="74" stopIfTrue="1" operator="lessThan">
      <formula>0</formula>
    </cfRule>
  </conditionalFormatting>
  <conditionalFormatting sqref="M13">
    <cfRule type="cellIs" dxfId="77" priority="73" stopIfTrue="1" operator="lessThan">
      <formula>0</formula>
    </cfRule>
  </conditionalFormatting>
  <conditionalFormatting sqref="O13">
    <cfRule type="cellIs" dxfId="76" priority="72" stopIfTrue="1" operator="lessThan">
      <formula>0</formula>
    </cfRule>
  </conditionalFormatting>
  <conditionalFormatting sqref="R13">
    <cfRule type="cellIs" dxfId="75" priority="71" stopIfTrue="1" operator="lessThan">
      <formula>0</formula>
    </cfRule>
  </conditionalFormatting>
  <conditionalFormatting sqref="Q27">
    <cfRule type="cellIs" dxfId="74" priority="61" stopIfTrue="1" operator="lessThan">
      <formula>0</formula>
    </cfRule>
  </conditionalFormatting>
  <conditionalFormatting sqref="N27">
    <cfRule type="cellIs" dxfId="73" priority="69" stopIfTrue="1" operator="lessThan">
      <formula>0</formula>
    </cfRule>
  </conditionalFormatting>
  <conditionalFormatting sqref="E27">
    <cfRule type="cellIs" dxfId="72" priority="68" stopIfTrue="1" operator="lessThan">
      <formula>0</formula>
    </cfRule>
  </conditionalFormatting>
  <conditionalFormatting sqref="G27">
    <cfRule type="cellIs" dxfId="71" priority="67" stopIfTrue="1" operator="lessThan">
      <formula>0</formula>
    </cfRule>
  </conditionalFormatting>
  <conditionalFormatting sqref="I27">
    <cfRule type="cellIs" dxfId="70" priority="66" stopIfTrue="1" operator="lessThan">
      <formula>0</formula>
    </cfRule>
  </conditionalFormatting>
  <conditionalFormatting sqref="K27">
    <cfRule type="cellIs" dxfId="69" priority="65" stopIfTrue="1" operator="lessThan">
      <formula>0</formula>
    </cfRule>
  </conditionalFormatting>
  <conditionalFormatting sqref="M27">
    <cfRule type="cellIs" dxfId="68" priority="64" stopIfTrue="1" operator="lessThan">
      <formula>0</formula>
    </cfRule>
  </conditionalFormatting>
  <conditionalFormatting sqref="O27">
    <cfRule type="cellIs" dxfId="67" priority="63" stopIfTrue="1" operator="lessThan">
      <formula>0</formula>
    </cfRule>
  </conditionalFormatting>
  <conditionalFormatting sqref="R27">
    <cfRule type="cellIs" dxfId="66" priority="62" stopIfTrue="1" operator="lessThan">
      <formula>0</formula>
    </cfRule>
  </conditionalFormatting>
  <conditionalFormatting sqref="Q61">
    <cfRule type="cellIs" dxfId="65" priority="52" stopIfTrue="1" operator="lessThan">
      <formula>0</formula>
    </cfRule>
  </conditionalFormatting>
  <conditionalFormatting sqref="N61">
    <cfRule type="cellIs" dxfId="64" priority="60" stopIfTrue="1" operator="lessThan">
      <formula>0</formula>
    </cfRule>
  </conditionalFormatting>
  <conditionalFormatting sqref="E61">
    <cfRule type="cellIs" dxfId="63" priority="59" stopIfTrue="1" operator="lessThan">
      <formula>0</formula>
    </cfRule>
  </conditionalFormatting>
  <conditionalFormatting sqref="G61">
    <cfRule type="cellIs" dxfId="62" priority="58" stopIfTrue="1" operator="lessThan">
      <formula>0</formula>
    </cfRule>
  </conditionalFormatting>
  <conditionalFormatting sqref="I61">
    <cfRule type="cellIs" dxfId="61" priority="57" stopIfTrue="1" operator="lessThan">
      <formula>0</formula>
    </cfRule>
  </conditionalFormatting>
  <conditionalFormatting sqref="K61">
    <cfRule type="cellIs" dxfId="60" priority="56" stopIfTrue="1" operator="lessThan">
      <formula>0</formula>
    </cfRule>
  </conditionalFormatting>
  <conditionalFormatting sqref="M61">
    <cfRule type="cellIs" dxfId="59" priority="55" stopIfTrue="1" operator="lessThan">
      <formula>0</formula>
    </cfRule>
  </conditionalFormatting>
  <conditionalFormatting sqref="O61">
    <cfRule type="cellIs" dxfId="58" priority="54" stopIfTrue="1" operator="lessThan">
      <formula>0</formula>
    </cfRule>
  </conditionalFormatting>
  <conditionalFormatting sqref="R61">
    <cfRule type="cellIs" dxfId="57" priority="53" stopIfTrue="1" operator="lessThan">
      <formula>0</formula>
    </cfRule>
  </conditionalFormatting>
  <conditionalFormatting sqref="E88">
    <cfRule type="cellIs" dxfId="56" priority="42" stopIfTrue="1" operator="lessThan">
      <formula>0</formula>
    </cfRule>
  </conditionalFormatting>
  <conditionalFormatting sqref="Q75">
    <cfRule type="cellIs" dxfId="55" priority="43" stopIfTrue="1" operator="lessThan">
      <formula>0</formula>
    </cfRule>
  </conditionalFormatting>
  <conditionalFormatting sqref="N75">
    <cfRule type="cellIs" dxfId="54" priority="51" stopIfTrue="1" operator="lessThan">
      <formula>0</formula>
    </cfRule>
  </conditionalFormatting>
  <conditionalFormatting sqref="E75">
    <cfRule type="cellIs" dxfId="53" priority="50" stopIfTrue="1" operator="lessThan">
      <formula>0</formula>
    </cfRule>
  </conditionalFormatting>
  <conditionalFormatting sqref="G75">
    <cfRule type="cellIs" dxfId="52" priority="49" stopIfTrue="1" operator="lessThan">
      <formula>0</formula>
    </cfRule>
  </conditionalFormatting>
  <conditionalFormatting sqref="I75">
    <cfRule type="cellIs" dxfId="51" priority="48" stopIfTrue="1" operator="lessThan">
      <formula>0</formula>
    </cfRule>
  </conditionalFormatting>
  <conditionalFormatting sqref="K75">
    <cfRule type="cellIs" dxfId="50" priority="47" stopIfTrue="1" operator="lessThan">
      <formula>0</formula>
    </cfRule>
  </conditionalFormatting>
  <conditionalFormatting sqref="M75">
    <cfRule type="cellIs" dxfId="49" priority="46" stopIfTrue="1" operator="lessThan">
      <formula>0</formula>
    </cfRule>
  </conditionalFormatting>
  <conditionalFormatting sqref="O75">
    <cfRule type="cellIs" dxfId="48" priority="45" stopIfTrue="1" operator="lessThan">
      <formula>0</formula>
    </cfRule>
  </conditionalFormatting>
  <conditionalFormatting sqref="R75">
    <cfRule type="cellIs" dxfId="47" priority="44" stopIfTrue="1" operator="lessThan">
      <formula>0</formula>
    </cfRule>
  </conditionalFormatting>
  <conditionalFormatting sqref="E39">
    <cfRule type="cellIs" dxfId="46" priority="41" stopIfTrue="1" operator="lessThan">
      <formula>0</formula>
    </cfRule>
  </conditionalFormatting>
  <conditionalFormatting sqref="N99 N101">
    <cfRule type="cellIs" dxfId="45" priority="40" stopIfTrue="1" operator="lessThan">
      <formula>0</formula>
    </cfRule>
  </conditionalFormatting>
  <conditionalFormatting sqref="E99 E101">
    <cfRule type="cellIs" dxfId="44" priority="39" stopIfTrue="1" operator="lessThan">
      <formula>0</formula>
    </cfRule>
  </conditionalFormatting>
  <conditionalFormatting sqref="G99 G101">
    <cfRule type="cellIs" dxfId="43" priority="38" stopIfTrue="1" operator="lessThan">
      <formula>0</formula>
    </cfRule>
  </conditionalFormatting>
  <conditionalFormatting sqref="I99 I101">
    <cfRule type="cellIs" dxfId="42" priority="37" stopIfTrue="1" operator="lessThan">
      <formula>0</formula>
    </cfRule>
  </conditionalFormatting>
  <conditionalFormatting sqref="K99 K101">
    <cfRule type="cellIs" dxfId="41" priority="36" stopIfTrue="1" operator="lessThan">
      <formula>0</formula>
    </cfRule>
  </conditionalFormatting>
  <conditionalFormatting sqref="M99 M101">
    <cfRule type="cellIs" dxfId="40" priority="35" stopIfTrue="1" operator="lessThan">
      <formula>0</formula>
    </cfRule>
  </conditionalFormatting>
  <conditionalFormatting sqref="O99 O101">
    <cfRule type="cellIs" dxfId="39" priority="34" stopIfTrue="1" operator="lessThan">
      <formula>0</formula>
    </cfRule>
  </conditionalFormatting>
  <conditionalFormatting sqref="R104">
    <cfRule type="cellIs" dxfId="38" priority="26" stopIfTrue="1" operator="lessThan">
      <formula>0</formula>
    </cfRule>
  </conditionalFormatting>
  <conditionalFormatting sqref="R99 R101">
    <cfRule type="cellIs" dxfId="37" priority="33" stopIfTrue="1" operator="lessThan">
      <formula>0</formula>
    </cfRule>
  </conditionalFormatting>
  <conditionalFormatting sqref="Q112:Q113">
    <cfRule type="cellIs" dxfId="36" priority="29" stopIfTrue="1" operator="lessThan">
      <formula>0</formula>
    </cfRule>
  </conditionalFormatting>
  <conditionalFormatting sqref="R112:R113">
    <cfRule type="cellIs" dxfId="35" priority="32" stopIfTrue="1" operator="lessThan">
      <formula>0</formula>
    </cfRule>
  </conditionalFormatting>
  <conditionalFormatting sqref="Q116">
    <cfRule type="cellIs" dxfId="34" priority="31" stopIfTrue="1" operator="lessThan">
      <formula>0</formula>
    </cfRule>
  </conditionalFormatting>
  <conditionalFormatting sqref="R116">
    <cfRule type="cellIs" dxfId="33" priority="30" stopIfTrue="1" operator="lessThan">
      <formula>0</formula>
    </cfRule>
  </conditionalFormatting>
  <conditionalFormatting sqref="Q99 Q101">
    <cfRule type="cellIs" dxfId="32" priority="28" stopIfTrue="1" operator="lessThan">
      <formula>0</formula>
    </cfRule>
  </conditionalFormatting>
  <conditionalFormatting sqref="Q104">
    <cfRule type="cellIs" dxfId="31" priority="27" stopIfTrue="1" operator="lessThan">
      <formula>0</formula>
    </cfRule>
  </conditionalFormatting>
  <conditionalFormatting sqref="Q115">
    <cfRule type="cellIs" dxfId="30" priority="25" stopIfTrue="1" operator="lessThan">
      <formula>0</formula>
    </cfRule>
  </conditionalFormatting>
  <conditionalFormatting sqref="Q100">
    <cfRule type="cellIs" dxfId="29" priority="16" stopIfTrue="1" operator="lessThan">
      <formula>0</formula>
    </cfRule>
  </conditionalFormatting>
  <conditionalFormatting sqref="N100">
    <cfRule type="cellIs" dxfId="28" priority="24" stopIfTrue="1" operator="lessThan">
      <formula>0</formula>
    </cfRule>
  </conditionalFormatting>
  <conditionalFormatting sqref="E100">
    <cfRule type="cellIs" dxfId="27" priority="23" stopIfTrue="1" operator="lessThan">
      <formula>0</formula>
    </cfRule>
  </conditionalFormatting>
  <conditionalFormatting sqref="G100">
    <cfRule type="cellIs" dxfId="26" priority="22" stopIfTrue="1" operator="lessThan">
      <formula>0</formula>
    </cfRule>
  </conditionalFormatting>
  <conditionalFormatting sqref="I100">
    <cfRule type="cellIs" dxfId="25" priority="21" stopIfTrue="1" operator="lessThan">
      <formula>0</formula>
    </cfRule>
  </conditionalFormatting>
  <conditionalFormatting sqref="K100">
    <cfRule type="cellIs" dxfId="24" priority="20" stopIfTrue="1" operator="lessThan">
      <formula>0</formula>
    </cfRule>
  </conditionalFormatting>
  <conditionalFormatting sqref="M100">
    <cfRule type="cellIs" dxfId="23" priority="19" stopIfTrue="1" operator="lessThan">
      <formula>0</formula>
    </cfRule>
  </conditionalFormatting>
  <conditionalFormatting sqref="O100">
    <cfRule type="cellIs" dxfId="22" priority="18" stopIfTrue="1" operator="lessThan">
      <formula>0</formula>
    </cfRule>
  </conditionalFormatting>
  <conditionalFormatting sqref="R100">
    <cfRule type="cellIs" dxfId="21" priority="17" stopIfTrue="1" operator="lessThan">
      <formula>0</formula>
    </cfRule>
  </conditionalFormatting>
  <conditionalFormatting sqref="Q114">
    <cfRule type="cellIs" dxfId="20" priority="7" stopIfTrue="1" operator="lessThan">
      <formula>0</formula>
    </cfRule>
  </conditionalFormatting>
  <conditionalFormatting sqref="N114">
    <cfRule type="cellIs" dxfId="19" priority="15" stopIfTrue="1" operator="lessThan">
      <formula>0</formula>
    </cfRule>
  </conditionalFormatting>
  <conditionalFormatting sqref="E114">
    <cfRule type="cellIs" dxfId="18" priority="14" stopIfTrue="1" operator="lessThan">
      <formula>0</formula>
    </cfRule>
  </conditionalFormatting>
  <conditionalFormatting sqref="G114">
    <cfRule type="cellIs" dxfId="17" priority="13" stopIfTrue="1" operator="lessThan">
      <formula>0</formula>
    </cfRule>
  </conditionalFormatting>
  <conditionalFormatting sqref="I114">
    <cfRule type="cellIs" dxfId="16" priority="12" stopIfTrue="1" operator="lessThan">
      <formula>0</formula>
    </cfRule>
  </conditionalFormatting>
  <conditionalFormatting sqref="K114">
    <cfRule type="cellIs" dxfId="15" priority="11" stopIfTrue="1" operator="lessThan">
      <formula>0</formula>
    </cfRule>
  </conditionalFormatting>
  <conditionalFormatting sqref="M114">
    <cfRule type="cellIs" dxfId="14" priority="10" stopIfTrue="1" operator="lessThan">
      <formula>0</formula>
    </cfRule>
  </conditionalFormatting>
  <conditionalFormatting sqref="O114">
    <cfRule type="cellIs" dxfId="13" priority="9" stopIfTrue="1" operator="lessThan">
      <formula>0</formula>
    </cfRule>
  </conditionalFormatting>
  <conditionalFormatting sqref="R114">
    <cfRule type="cellIs" dxfId="12" priority="8" stopIfTrue="1" operator="lessThan">
      <formula>0</formula>
    </cfRule>
  </conditionalFormatting>
  <conditionalFormatting sqref="E135">
    <cfRule type="cellIs" dxfId="11" priority="5" stopIfTrue="1" operator="lessThan">
      <formula>0</formula>
    </cfRule>
  </conditionalFormatting>
  <dataValidations count="1">
    <dataValidation type="list" allowBlank="1" showDropDown="1" showInputMessage="1" showErrorMessage="1" errorTitle="Ungültige Kategorie" error="Diese Kategorie ist für das aktuelle Jahr nicht zugelassen." sqref="B30 B12:C16 B8:C9 B28 B76:B77 B18:C19 B22:C22 B79 B70:C70 B56:C57 B60:C64 B25:C27 B66:C67 B73:C75 B86:C88 B83:C83 B90 B37:C39 B34:C34 B41 B115:B116 B118 B109:C109 B95:C96 B99:C103 B105:C106 B112:C114 B138 B130:C130 B133:C136 B149 B141:C141 D144:E146 B144:C147 D149:E149">
      <formula1>VGLISTE</formula1>
    </dataValidation>
  </dataValidations>
  <pageMargins left="0.78740157480314965" right="0.78740157480314965" top="0.78740157480314965" bottom="0.78740157480314965" header="0.51181102362204722" footer="0.51181102362204722"/>
  <pageSetup paperSize="9" orientation="landscape" r:id="rId1"/>
  <headerFooter alignWithMargins="0"/>
  <ignoredErrors>
    <ignoredError sqref="I17" formulaRange="1"/>
    <ignoredError sqref="C14 C62 C27 C75 C88 C39 C114 C101 C135" numberStoredAsText="1"/>
  </ignoredErrors>
  <drawing r:id="rId2"/>
  <legacyDrawing r:id="rId3"/>
  <oleObjects>
    <mc:AlternateContent xmlns:mc="http://schemas.openxmlformats.org/markup-compatibility/2006">
      <mc:Choice Requires="x14">
        <oleObject progId="Equation.3" shapeId="36865" r:id="rId4">
          <objectPr defaultSize="0" autoPict="0" r:id="rId5">
            <anchor moveWithCells="1" sizeWithCells="1">
              <from>
                <xdr:col>0</xdr:col>
                <xdr:colOff>57150</xdr:colOff>
                <xdr:row>15</xdr:row>
                <xdr:rowOff>0</xdr:rowOff>
              </from>
              <to>
                <xdr:col>2</xdr:col>
                <xdr:colOff>0</xdr:colOff>
                <xdr:row>15</xdr:row>
                <xdr:rowOff>0</xdr:rowOff>
              </to>
            </anchor>
          </objectPr>
        </oleObject>
      </mc:Choice>
      <mc:Fallback>
        <oleObject progId="Equation.3" shapeId="36865" r:id="rId4"/>
      </mc:Fallback>
    </mc:AlternateContent>
    <mc:AlternateContent xmlns:mc="http://schemas.openxmlformats.org/markup-compatibility/2006">
      <mc:Choice Requires="x14">
        <oleObject progId="Equation.3" shapeId="36866" r:id="rId6">
          <objectPr defaultSize="0" autoPict="0" r:id="rId7">
            <anchor moveWithCells="1" sizeWithCells="1">
              <from>
                <xdr:col>0</xdr:col>
                <xdr:colOff>0</xdr:colOff>
                <xdr:row>167</xdr:row>
                <xdr:rowOff>0</xdr:rowOff>
              </from>
              <to>
                <xdr:col>2</xdr:col>
                <xdr:colOff>0</xdr:colOff>
                <xdr:row>167</xdr:row>
                <xdr:rowOff>0</xdr:rowOff>
              </to>
            </anchor>
          </objectPr>
        </oleObject>
      </mc:Choice>
      <mc:Fallback>
        <oleObject progId="Equation.3" shapeId="36866" r:id="rId6"/>
      </mc:Fallback>
    </mc:AlternateContent>
    <mc:AlternateContent xmlns:mc="http://schemas.openxmlformats.org/markup-compatibility/2006">
      <mc:Choice Requires="x14">
        <oleObject progId="Equation.3" shapeId="36867" r:id="rId8">
          <objectPr defaultSize="0" autoPict="0" r:id="rId9">
            <anchor moveWithCells="1" sizeWithCells="1">
              <from>
                <xdr:col>0</xdr:col>
                <xdr:colOff>361950</xdr:colOff>
                <xdr:row>167</xdr:row>
                <xdr:rowOff>0</xdr:rowOff>
              </from>
              <to>
                <xdr:col>2</xdr:col>
                <xdr:colOff>0</xdr:colOff>
                <xdr:row>167</xdr:row>
                <xdr:rowOff>0</xdr:rowOff>
              </to>
            </anchor>
          </objectPr>
        </oleObject>
      </mc:Choice>
      <mc:Fallback>
        <oleObject progId="Equation.3" shapeId="36867" r:id="rId8"/>
      </mc:Fallback>
    </mc:AlternateContent>
    <mc:AlternateContent xmlns:mc="http://schemas.openxmlformats.org/markup-compatibility/2006">
      <mc:Choice Requires="x14">
        <oleObject progId="Equation.3" shapeId="36868" r:id="rId10">
          <objectPr defaultSize="0" autoPict="0" r:id="rId11">
            <anchor moveWithCells="1" sizeWithCells="1">
              <from>
                <xdr:col>0</xdr:col>
                <xdr:colOff>323850</xdr:colOff>
                <xdr:row>167</xdr:row>
                <xdr:rowOff>0</xdr:rowOff>
              </from>
              <to>
                <xdr:col>2</xdr:col>
                <xdr:colOff>0</xdr:colOff>
                <xdr:row>167</xdr:row>
                <xdr:rowOff>0</xdr:rowOff>
              </to>
            </anchor>
          </objectPr>
        </oleObject>
      </mc:Choice>
      <mc:Fallback>
        <oleObject progId="Equation.3" shapeId="36868" r:id="rId10"/>
      </mc:Fallback>
    </mc:AlternateContent>
    <mc:AlternateContent xmlns:mc="http://schemas.openxmlformats.org/markup-compatibility/2006">
      <mc:Choice Requires="x14">
        <oleObject progId="Equation.3" shapeId="36869" r:id="rId12">
          <objectPr defaultSize="0" autoPict="0" r:id="rId13">
            <anchor moveWithCells="1" sizeWithCells="1">
              <from>
                <xdr:col>0</xdr:col>
                <xdr:colOff>9525</xdr:colOff>
                <xdr:row>167</xdr:row>
                <xdr:rowOff>0</xdr:rowOff>
              </from>
              <to>
                <xdr:col>2</xdr:col>
                <xdr:colOff>0</xdr:colOff>
                <xdr:row>167</xdr:row>
                <xdr:rowOff>0</xdr:rowOff>
              </to>
            </anchor>
          </objectPr>
        </oleObject>
      </mc:Choice>
      <mc:Fallback>
        <oleObject progId="Equation.3" shapeId="36869" r:id="rId12"/>
      </mc:Fallback>
    </mc:AlternateContent>
    <mc:AlternateContent xmlns:mc="http://schemas.openxmlformats.org/markup-compatibility/2006">
      <mc:Choice Requires="x14">
        <oleObject progId="Equation.3" shapeId="36873" r:id="rId14">
          <objectPr defaultSize="0" autoPict="0" r:id="rId5">
            <anchor moveWithCells="1" sizeWithCells="1">
              <from>
                <xdr:col>0</xdr:col>
                <xdr:colOff>57150</xdr:colOff>
                <xdr:row>63</xdr:row>
                <xdr:rowOff>0</xdr:rowOff>
              </from>
              <to>
                <xdr:col>2</xdr:col>
                <xdr:colOff>0</xdr:colOff>
                <xdr:row>63</xdr:row>
                <xdr:rowOff>0</xdr:rowOff>
              </to>
            </anchor>
          </objectPr>
        </oleObject>
      </mc:Choice>
      <mc:Fallback>
        <oleObject progId="Equation.3" shapeId="36873" r:id="rId14"/>
      </mc:Fallback>
    </mc:AlternateContent>
    <mc:AlternateContent xmlns:mc="http://schemas.openxmlformats.org/markup-compatibility/2006">
      <mc:Choice Requires="x14">
        <oleObject progId="Equation.3" shapeId="36874" r:id="rId15">
          <objectPr defaultSize="0" autoPict="0" r:id="rId5">
            <anchor moveWithCells="1" sizeWithCells="1">
              <from>
                <xdr:col>0</xdr:col>
                <xdr:colOff>57150</xdr:colOff>
                <xdr:row>102</xdr:row>
                <xdr:rowOff>0</xdr:rowOff>
              </from>
              <to>
                <xdr:col>2</xdr:col>
                <xdr:colOff>0</xdr:colOff>
                <xdr:row>102</xdr:row>
                <xdr:rowOff>0</xdr:rowOff>
              </to>
            </anchor>
          </objectPr>
        </oleObject>
      </mc:Choice>
      <mc:Fallback>
        <oleObject progId="Equation.3" shapeId="36874" r:id="rId1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75"/>
  <sheetViews>
    <sheetView workbookViewId="0">
      <selection sqref="A1:AA1"/>
    </sheetView>
  </sheetViews>
  <sheetFormatPr baseColWidth="10" defaultColWidth="11.42578125" defaultRowHeight="14.25" outlineLevelCol="1" x14ac:dyDescent="0.2"/>
  <cols>
    <col min="1" max="1" width="35.42578125" style="141" customWidth="1"/>
    <col min="2" max="2" width="18.5703125" style="141" customWidth="1"/>
    <col min="3" max="3" width="12.42578125" style="141" customWidth="1"/>
    <col min="4" max="9" width="11.42578125" style="141" hidden="1" customWidth="1" outlineLevel="1"/>
    <col min="10" max="10" width="12.42578125" style="141" bestFit="1" customWidth="1" collapsed="1"/>
    <col min="11" max="13" width="12.42578125" style="141" bestFit="1" customWidth="1"/>
    <col min="14" max="14" width="11.5703125" style="141" bestFit="1" customWidth="1"/>
    <col min="15" max="16" width="11.42578125" style="141"/>
    <col min="17" max="22" width="11.42578125" style="141" hidden="1" customWidth="1" outlineLevel="1"/>
    <col min="23" max="23" width="11.42578125" style="141" collapsed="1"/>
    <col min="24" max="16384" width="11.42578125" style="141"/>
  </cols>
  <sheetData>
    <row r="1" spans="1:28" ht="18" x14ac:dyDescent="0.25">
      <c r="A1" s="1196" t="s">
        <v>7652</v>
      </c>
      <c r="B1" s="1197"/>
      <c r="C1" s="1197"/>
      <c r="D1" s="1197"/>
      <c r="E1" s="1197"/>
      <c r="F1" s="1197"/>
      <c r="G1" s="1197"/>
      <c r="H1" s="1197"/>
      <c r="I1" s="1197"/>
      <c r="J1" s="1197"/>
      <c r="K1" s="1197"/>
      <c r="L1" s="1197"/>
      <c r="M1" s="1197"/>
      <c r="N1" s="1197"/>
      <c r="O1" s="1197"/>
      <c r="P1" s="1197"/>
      <c r="Q1" s="1197"/>
      <c r="R1" s="1197"/>
      <c r="S1" s="1197"/>
      <c r="T1" s="1197"/>
      <c r="U1" s="1197"/>
      <c r="V1" s="1197"/>
      <c r="W1" s="1197"/>
      <c r="X1" s="1197"/>
      <c r="Y1" s="1197"/>
      <c r="Z1" s="1197"/>
      <c r="AA1" s="1198"/>
      <c r="AB1" s="834"/>
    </row>
    <row r="2" spans="1:28" ht="9" customHeight="1" x14ac:dyDescent="0.2">
      <c r="AB2" s="834"/>
    </row>
    <row r="3" spans="1:28" ht="61.5" customHeight="1" x14ac:dyDescent="0.2">
      <c r="A3" s="1199" t="s">
        <v>7715</v>
      </c>
      <c r="B3" s="1200"/>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45"/>
    </row>
    <row r="4" spans="1:28" ht="46.35" customHeight="1" x14ac:dyDescent="0.2">
      <c r="A4" s="1199" t="s">
        <v>7710</v>
      </c>
      <c r="B4" s="1200"/>
      <c r="C4" s="1200"/>
      <c r="D4" s="1200"/>
      <c r="E4" s="1200"/>
      <c r="F4" s="1200"/>
      <c r="G4" s="1200"/>
      <c r="H4" s="1200"/>
      <c r="I4" s="1200"/>
      <c r="J4" s="1200"/>
      <c r="K4" s="1200"/>
      <c r="L4" s="1200"/>
      <c r="M4" s="1200"/>
      <c r="N4" s="1200"/>
      <c r="O4" s="1200"/>
      <c r="P4" s="1200"/>
      <c r="Q4" s="1200"/>
      <c r="R4" s="1200"/>
      <c r="S4" s="1200"/>
      <c r="T4" s="1200"/>
      <c r="U4" s="1200"/>
      <c r="V4" s="1200"/>
      <c r="W4" s="1200"/>
      <c r="X4" s="1200"/>
      <c r="Y4" s="1200"/>
      <c r="Z4" s="1200"/>
      <c r="AA4" s="1245"/>
    </row>
    <row r="5" spans="1:28" x14ac:dyDescent="0.2">
      <c r="A5" s="834"/>
      <c r="B5" s="834"/>
      <c r="C5" s="834"/>
      <c r="D5" s="834"/>
      <c r="E5" s="834"/>
    </row>
    <row r="6" spans="1:28" x14ac:dyDescent="0.2">
      <c r="A6" s="834"/>
      <c r="B6" s="834"/>
      <c r="C6" s="834"/>
      <c r="D6" s="834"/>
      <c r="E6" s="834"/>
      <c r="P6" s="1242" t="s">
        <v>7699</v>
      </c>
      <c r="Q6" s="1243"/>
      <c r="R6" s="1243"/>
      <c r="S6" s="1243"/>
      <c r="T6" s="1243"/>
      <c r="U6" s="1243"/>
      <c r="V6" s="1243"/>
      <c r="W6" s="1243"/>
      <c r="X6" s="1243"/>
      <c r="Y6" s="1243"/>
      <c r="Z6" s="1243"/>
      <c r="AA6" s="1244"/>
    </row>
    <row r="7" spans="1:28" ht="38.25" x14ac:dyDescent="0.25">
      <c r="A7" s="835"/>
      <c r="B7" s="835"/>
      <c r="C7" s="1246"/>
      <c r="D7" s="1246"/>
      <c r="E7" s="1246"/>
      <c r="F7" s="1246"/>
      <c r="G7" s="1246"/>
      <c r="H7" s="1246"/>
      <c r="I7" s="1246"/>
      <c r="J7" s="1246"/>
      <c r="K7" s="1246"/>
      <c r="L7" s="1246"/>
      <c r="M7" s="1246"/>
      <c r="N7" s="1246"/>
      <c r="O7" s="835"/>
      <c r="P7" s="837" t="s">
        <v>7579</v>
      </c>
      <c r="Q7" s="837" t="s">
        <v>7580</v>
      </c>
      <c r="R7" s="837" t="s">
        <v>7581</v>
      </c>
      <c r="S7" s="837" t="s">
        <v>7582</v>
      </c>
      <c r="T7" s="837" t="s">
        <v>7583</v>
      </c>
      <c r="U7" s="837" t="s">
        <v>7584</v>
      </c>
      <c r="V7" s="837" t="s">
        <v>7585</v>
      </c>
      <c r="W7" s="837" t="s">
        <v>7586</v>
      </c>
      <c r="X7" s="837" t="s">
        <v>7587</v>
      </c>
      <c r="Y7" s="837" t="s">
        <v>7588</v>
      </c>
      <c r="Z7" s="837" t="s">
        <v>7589</v>
      </c>
      <c r="AA7" s="838" t="s">
        <v>7590</v>
      </c>
      <c r="AB7" s="835"/>
    </row>
    <row r="8" spans="1:28" ht="15.75" thickBot="1" x14ac:dyDescent="0.3">
      <c r="A8" s="835"/>
      <c r="B8" s="835"/>
      <c r="C8" s="1242" t="s">
        <v>7704</v>
      </c>
      <c r="D8" s="1243"/>
      <c r="E8" s="1243"/>
      <c r="F8" s="1243"/>
      <c r="G8" s="1243"/>
      <c r="H8" s="1243"/>
      <c r="I8" s="1243"/>
      <c r="J8" s="1243"/>
      <c r="K8" s="1243"/>
      <c r="L8" s="1243"/>
      <c r="M8" s="1243"/>
      <c r="N8" s="1244"/>
      <c r="O8" s="835"/>
      <c r="P8" s="839">
        <v>5.5430000000000001</v>
      </c>
      <c r="Q8" s="839">
        <v>4.4989999999999997</v>
      </c>
      <c r="R8" s="839">
        <v>4.1050000000000004</v>
      </c>
      <c r="S8" s="839">
        <v>4.5510000000000002</v>
      </c>
      <c r="T8" s="839">
        <v>4.1870000000000003</v>
      </c>
      <c r="U8" s="839">
        <v>6.8639999999999999</v>
      </c>
      <c r="V8" s="839">
        <v>7.4089999999999998</v>
      </c>
      <c r="W8" s="839">
        <v>7.681</v>
      </c>
      <c r="X8" s="840">
        <v>11.715</v>
      </c>
      <c r="Y8" s="841">
        <v>3.2690000000000001</v>
      </c>
      <c r="Z8" s="842">
        <v>8.7200000000000006</v>
      </c>
      <c r="AA8" s="840">
        <v>8.86</v>
      </c>
      <c r="AB8" s="835"/>
    </row>
    <row r="9" spans="1:28" ht="51.75" thickBot="1" x14ac:dyDescent="0.3">
      <c r="A9" s="835"/>
      <c r="B9" s="835"/>
      <c r="C9" s="843" t="s">
        <v>7592</v>
      </c>
      <c r="D9" s="844" t="s">
        <v>7593</v>
      </c>
      <c r="E9" s="844" t="s">
        <v>7594</v>
      </c>
      <c r="F9" s="844" t="s">
        <v>7595</v>
      </c>
      <c r="G9" s="844" t="s">
        <v>7596</v>
      </c>
      <c r="H9" s="844" t="s">
        <v>7597</v>
      </c>
      <c r="I9" s="844" t="s">
        <v>7598</v>
      </c>
      <c r="J9" s="844" t="s">
        <v>7599</v>
      </c>
      <c r="K9" s="844" t="s">
        <v>7600</v>
      </c>
      <c r="L9" s="844" t="s">
        <v>7601</v>
      </c>
      <c r="M9" s="844" t="s">
        <v>7602</v>
      </c>
      <c r="N9" s="845" t="s">
        <v>7603</v>
      </c>
      <c r="O9" s="845" t="s">
        <v>7660</v>
      </c>
      <c r="P9" s="843" t="s">
        <v>7604</v>
      </c>
      <c r="Q9" s="844" t="s">
        <v>7605</v>
      </c>
      <c r="R9" s="844" t="s">
        <v>7606</v>
      </c>
      <c r="S9" s="844" t="s">
        <v>7607</v>
      </c>
      <c r="T9" s="844" t="s">
        <v>7608</v>
      </c>
      <c r="U9" s="844" t="s">
        <v>7609</v>
      </c>
      <c r="V9" s="844" t="s">
        <v>7610</v>
      </c>
      <c r="W9" s="844" t="s">
        <v>7611</v>
      </c>
      <c r="X9" s="844" t="s">
        <v>7612</v>
      </c>
      <c r="Y9" s="844" t="s">
        <v>7613</v>
      </c>
      <c r="Z9" s="844" t="s">
        <v>7614</v>
      </c>
      <c r="AA9" s="845" t="s">
        <v>7615</v>
      </c>
      <c r="AB9" s="835"/>
    </row>
    <row r="10" spans="1:28" ht="15" x14ac:dyDescent="0.25">
      <c r="A10" s="846"/>
      <c r="B10" s="835"/>
      <c r="C10" s="835"/>
      <c r="D10" s="835"/>
      <c r="E10" s="835"/>
      <c r="F10" s="835"/>
      <c r="G10" s="835"/>
      <c r="H10" s="835"/>
      <c r="I10" s="835"/>
      <c r="J10" s="835"/>
      <c r="K10" s="835"/>
      <c r="L10" s="835"/>
      <c r="M10" s="835"/>
      <c r="N10" s="835"/>
      <c r="O10" s="835"/>
      <c r="P10" s="835"/>
      <c r="Q10" s="835"/>
      <c r="R10" s="835"/>
      <c r="S10" s="835"/>
      <c r="T10" s="835"/>
      <c r="U10" s="835"/>
      <c r="V10" s="835"/>
      <c r="W10" s="835"/>
      <c r="X10" s="835"/>
      <c r="Y10" s="835"/>
      <c r="Z10" s="835"/>
      <c r="AA10" s="835"/>
      <c r="AB10" s="835"/>
    </row>
    <row r="11" spans="1:28" ht="15" x14ac:dyDescent="0.25">
      <c r="A11" s="891" t="s">
        <v>7616</v>
      </c>
      <c r="B11" s="895" t="s">
        <v>6597</v>
      </c>
      <c r="C11" s="894">
        <v>3006</v>
      </c>
      <c r="D11" s="894">
        <v>7944</v>
      </c>
      <c r="E11" s="894">
        <v>12352</v>
      </c>
      <c r="F11" s="894">
        <v>28881</v>
      </c>
      <c r="G11" s="894">
        <v>30147</v>
      </c>
      <c r="H11" s="894">
        <v>37725</v>
      </c>
      <c r="I11" s="894">
        <v>29951</v>
      </c>
      <c r="J11" s="894">
        <v>26580</v>
      </c>
      <c r="K11" s="894">
        <v>16334</v>
      </c>
      <c r="L11" s="894">
        <v>9328</v>
      </c>
      <c r="M11" s="894">
        <v>3024</v>
      </c>
      <c r="N11" s="894">
        <v>2357</v>
      </c>
      <c r="O11" s="847">
        <v>8.8800000000000008</v>
      </c>
      <c r="P11" s="848">
        <f>IF($O11&gt;0,C11*($O11-P$8)/100,0)</f>
        <v>100.31022000000003</v>
      </c>
      <c r="Q11" s="848">
        <f t="shared" ref="Q11:V12" si="0">IF($O11&gt;0,D11*($O11-Q$8)/100,0)</f>
        <v>348.0266400000001</v>
      </c>
      <c r="R11" s="848">
        <f t="shared" si="0"/>
        <v>589.80799999999999</v>
      </c>
      <c r="S11" s="848">
        <f t="shared" si="0"/>
        <v>1250.2584900000002</v>
      </c>
      <c r="T11" s="848">
        <f t="shared" si="0"/>
        <v>1414.79871</v>
      </c>
      <c r="U11" s="848">
        <f t="shared" si="0"/>
        <v>760.5360000000004</v>
      </c>
      <c r="V11" s="848">
        <f t="shared" si="0"/>
        <v>440.57921000000033</v>
      </c>
      <c r="W11" s="848">
        <f t="shared" ref="W11:AA12" si="1">IF($O11&gt;0,J11*($O11-W$8)/100,0)</f>
        <v>318.69420000000019</v>
      </c>
      <c r="X11" s="848">
        <f t="shared" si="1"/>
        <v>-463.06889999999987</v>
      </c>
      <c r="Y11" s="848">
        <f t="shared" si="1"/>
        <v>523.39408000000003</v>
      </c>
      <c r="Z11" s="848">
        <f t="shared" si="1"/>
        <v>4.8384000000000045</v>
      </c>
      <c r="AA11" s="848">
        <f t="shared" si="1"/>
        <v>0.47140000000003185</v>
      </c>
      <c r="AB11" s="835"/>
    </row>
    <row r="12" spans="1:28" ht="15" x14ac:dyDescent="0.25">
      <c r="A12" s="891" t="s">
        <v>7616</v>
      </c>
      <c r="B12" s="895" t="s">
        <v>7617</v>
      </c>
      <c r="C12" s="933">
        <f t="shared" ref="C12:N12" si="2">C11*1.5</f>
        <v>4509</v>
      </c>
      <c r="D12" s="933">
        <f t="shared" si="2"/>
        <v>11916</v>
      </c>
      <c r="E12" s="933">
        <f t="shared" si="2"/>
        <v>18528</v>
      </c>
      <c r="F12" s="933">
        <f t="shared" si="2"/>
        <v>43321.5</v>
      </c>
      <c r="G12" s="933">
        <f t="shared" si="2"/>
        <v>45220.5</v>
      </c>
      <c r="H12" s="933">
        <f t="shared" si="2"/>
        <v>56587.5</v>
      </c>
      <c r="I12" s="933">
        <f t="shared" si="2"/>
        <v>44926.5</v>
      </c>
      <c r="J12" s="933">
        <f t="shared" si="2"/>
        <v>39870</v>
      </c>
      <c r="K12" s="933">
        <f t="shared" si="2"/>
        <v>24501</v>
      </c>
      <c r="L12" s="933">
        <f t="shared" si="2"/>
        <v>13992</v>
      </c>
      <c r="M12" s="933">
        <f t="shared" si="2"/>
        <v>4536</v>
      </c>
      <c r="N12" s="933">
        <f t="shared" si="2"/>
        <v>3535.5</v>
      </c>
      <c r="O12" s="847">
        <v>8.64</v>
      </c>
      <c r="P12" s="848">
        <f>IF($O12&gt;0,C12*($O12-P$8)/100,0)</f>
        <v>139.64373000000001</v>
      </c>
      <c r="Q12" s="848">
        <f t="shared" si="0"/>
        <v>493.44156000000009</v>
      </c>
      <c r="R12" s="848">
        <f t="shared" si="0"/>
        <v>840.24479999999994</v>
      </c>
      <c r="S12" s="848">
        <f t="shared" si="0"/>
        <v>1771.4161350000002</v>
      </c>
      <c r="T12" s="848">
        <f t="shared" si="0"/>
        <v>2013.6688650000003</v>
      </c>
      <c r="U12" s="848">
        <f t="shared" si="0"/>
        <v>1004.9940000000004</v>
      </c>
      <c r="V12" s="848">
        <f t="shared" si="0"/>
        <v>553.04521500000033</v>
      </c>
      <c r="W12" s="848">
        <f t="shared" si="1"/>
        <v>382.35330000000022</v>
      </c>
      <c r="X12" s="848">
        <f t="shared" si="1"/>
        <v>-753.40574999999978</v>
      </c>
      <c r="Y12" s="848">
        <f t="shared" si="1"/>
        <v>751.51032000000009</v>
      </c>
      <c r="Z12" s="848">
        <f t="shared" si="1"/>
        <v>-3.6288000000000036</v>
      </c>
      <c r="AA12" s="848">
        <f t="shared" si="1"/>
        <v>-7.7780999999999594</v>
      </c>
      <c r="AB12" s="835"/>
    </row>
    <row r="13" spans="1:28" ht="15" hidden="1" x14ac:dyDescent="0.25">
      <c r="A13" s="949" t="s">
        <v>7616</v>
      </c>
      <c r="B13" s="950" t="s">
        <v>6114</v>
      </c>
      <c r="C13" s="951"/>
      <c r="D13" s="951"/>
      <c r="E13" s="951"/>
      <c r="F13" s="951"/>
      <c r="G13" s="951"/>
      <c r="H13" s="951"/>
      <c r="I13" s="951"/>
      <c r="J13" s="951"/>
      <c r="K13" s="951"/>
      <c r="L13" s="951"/>
      <c r="M13" s="951"/>
      <c r="N13" s="951">
        <v>200000</v>
      </c>
      <c r="O13" s="952"/>
      <c r="P13" s="953"/>
      <c r="Q13" s="953"/>
      <c r="R13" s="953"/>
      <c r="S13" s="953"/>
      <c r="T13" s="953"/>
      <c r="U13" s="953"/>
      <c r="V13" s="953"/>
      <c r="W13" s="953"/>
      <c r="X13" s="953"/>
      <c r="Y13" s="953"/>
      <c r="Z13" s="953"/>
      <c r="AA13" s="953">
        <f>IF($O13&gt;0,N13*($O13-AA$8)/100,0)</f>
        <v>0</v>
      </c>
      <c r="AB13" s="835"/>
    </row>
    <row r="14" spans="1:28" ht="7.35" customHeight="1" x14ac:dyDescent="0.25">
      <c r="A14" s="901"/>
      <c r="B14" s="903"/>
      <c r="C14" s="905"/>
      <c r="D14" s="902"/>
      <c r="E14" s="894"/>
      <c r="F14" s="894"/>
      <c r="G14" s="894"/>
      <c r="H14" s="894"/>
      <c r="I14" s="904"/>
      <c r="J14" s="905"/>
      <c r="K14" s="905"/>
      <c r="L14" s="905"/>
      <c r="M14" s="905"/>
      <c r="N14" s="905"/>
      <c r="O14" s="905"/>
      <c r="P14" s="905"/>
      <c r="Q14" s="905"/>
      <c r="R14" s="905"/>
      <c r="S14" s="905"/>
      <c r="T14" s="905"/>
      <c r="U14" s="905"/>
      <c r="V14" s="905"/>
      <c r="W14" s="905"/>
      <c r="X14" s="905"/>
      <c r="Y14" s="905"/>
      <c r="Z14" s="905"/>
      <c r="AA14" s="905"/>
      <c r="AB14" s="835"/>
    </row>
    <row r="15" spans="1:28" ht="16.350000000000001" customHeight="1" x14ac:dyDescent="0.25">
      <c r="A15" s="901" t="s">
        <v>7687</v>
      </c>
      <c r="B15" s="903"/>
      <c r="C15" s="905"/>
      <c r="D15" s="902"/>
      <c r="E15" s="894"/>
      <c r="F15" s="894"/>
      <c r="G15" s="894"/>
      <c r="H15" s="894"/>
      <c r="I15" s="904"/>
      <c r="J15" s="905"/>
      <c r="K15" s="905"/>
      <c r="L15" s="905"/>
      <c r="M15" s="905"/>
      <c r="N15" s="905"/>
      <c r="O15" s="906"/>
      <c r="P15" s="848">
        <f>SUM(P11:P13)</f>
        <v>239.95395000000002</v>
      </c>
      <c r="Q15" s="848">
        <f t="shared" ref="Q15:V15" si="3">SUM(Q11:Q13)</f>
        <v>841.46820000000025</v>
      </c>
      <c r="R15" s="848">
        <f t="shared" si="3"/>
        <v>1430.0527999999999</v>
      </c>
      <c r="S15" s="848">
        <f t="shared" si="3"/>
        <v>3021.6746250000006</v>
      </c>
      <c r="T15" s="848">
        <f t="shared" si="3"/>
        <v>3428.4675750000006</v>
      </c>
      <c r="U15" s="848">
        <f t="shared" si="3"/>
        <v>1765.5300000000007</v>
      </c>
      <c r="V15" s="848">
        <f t="shared" si="3"/>
        <v>993.62442500000066</v>
      </c>
      <c r="W15" s="848">
        <f>SUM(W11:W13)</f>
        <v>701.04750000000035</v>
      </c>
      <c r="X15" s="848">
        <f>SUM(X11:X13)</f>
        <v>-1216.4746499999997</v>
      </c>
      <c r="Y15" s="848">
        <f>SUM(Y11:Y13)</f>
        <v>1274.9044000000001</v>
      </c>
      <c r="Z15" s="848">
        <f>SUM(Z11:Z13)</f>
        <v>1.2096000000000009</v>
      </c>
      <c r="AA15" s="848">
        <f>SUM(AA11:AA13)</f>
        <v>-7.3066999999999274</v>
      </c>
      <c r="AB15" s="835"/>
    </row>
    <row r="16" spans="1:28" ht="7.5" customHeight="1" x14ac:dyDescent="0.25">
      <c r="A16" s="901"/>
      <c r="B16" s="903"/>
      <c r="C16" s="905"/>
      <c r="D16" s="902"/>
      <c r="E16" s="894"/>
      <c r="F16" s="894"/>
      <c r="G16" s="894"/>
      <c r="H16" s="894"/>
      <c r="I16" s="904"/>
      <c r="J16" s="905"/>
      <c r="K16" s="905"/>
      <c r="L16" s="905"/>
      <c r="M16" s="905"/>
      <c r="N16" s="905"/>
      <c r="O16" s="905"/>
      <c r="P16" s="905"/>
      <c r="Q16" s="905"/>
      <c r="R16" s="905"/>
      <c r="S16" s="905"/>
      <c r="T16" s="905"/>
      <c r="U16" s="905"/>
      <c r="V16" s="905"/>
      <c r="W16" s="905"/>
      <c r="X16" s="905"/>
      <c r="Y16" s="905"/>
      <c r="Z16" s="905"/>
      <c r="AA16" s="905"/>
      <c r="AB16" s="835"/>
    </row>
    <row r="17" spans="1:28" ht="16.350000000000001" customHeight="1" x14ac:dyDescent="0.25">
      <c r="A17" s="891" t="s">
        <v>7616</v>
      </c>
      <c r="B17" s="942" t="s">
        <v>7578</v>
      </c>
      <c r="C17" s="894"/>
      <c r="D17" s="894"/>
      <c r="E17" s="894"/>
      <c r="F17" s="894"/>
      <c r="G17" s="894"/>
      <c r="H17" s="894"/>
      <c r="I17" s="894"/>
      <c r="J17" s="894"/>
      <c r="K17" s="894"/>
      <c r="L17" s="894"/>
      <c r="M17" s="894"/>
      <c r="N17" s="894"/>
      <c r="O17" s="849"/>
      <c r="P17" s="848">
        <f t="shared" ref="P17:Z17" si="4">IF(SUM(P11:P12)&gt;=0,0,-SUM(P11:P12))</f>
        <v>0</v>
      </c>
      <c r="Q17" s="848">
        <f t="shared" si="4"/>
        <v>0</v>
      </c>
      <c r="R17" s="848">
        <f t="shared" si="4"/>
        <v>0</v>
      </c>
      <c r="S17" s="848">
        <f t="shared" si="4"/>
        <v>0</v>
      </c>
      <c r="T17" s="848">
        <f t="shared" si="4"/>
        <v>0</v>
      </c>
      <c r="U17" s="848">
        <f t="shared" si="4"/>
        <v>0</v>
      </c>
      <c r="V17" s="848">
        <f t="shared" si="4"/>
        <v>0</v>
      </c>
      <c r="W17" s="848">
        <f t="shared" si="4"/>
        <v>0</v>
      </c>
      <c r="X17" s="848">
        <f t="shared" si="4"/>
        <v>1216.4746499999997</v>
      </c>
      <c r="Y17" s="848">
        <f t="shared" si="4"/>
        <v>0</v>
      </c>
      <c r="Z17" s="848">
        <f t="shared" si="4"/>
        <v>0</v>
      </c>
      <c r="AA17" s="848">
        <f>IF(SUM(AA11:AA12)&gt;=0,0,-SUM(AA11:AA12))</f>
        <v>7.3066999999999274</v>
      </c>
      <c r="AB17" s="835"/>
    </row>
    <row r="18" spans="1:28" ht="7.35" customHeight="1" x14ac:dyDescent="0.2">
      <c r="B18" s="834"/>
      <c r="C18" s="834"/>
      <c r="D18" s="834"/>
      <c r="E18" s="834"/>
    </row>
    <row r="19" spans="1:28" ht="15" x14ac:dyDescent="0.25">
      <c r="A19" s="900" t="s">
        <v>7688</v>
      </c>
      <c r="B19" s="903"/>
      <c r="C19" s="905"/>
      <c r="D19" s="902"/>
      <c r="E19" s="894"/>
      <c r="F19" s="894"/>
      <c r="G19" s="894"/>
      <c r="H19" s="894"/>
      <c r="I19" s="904"/>
      <c r="J19" s="905"/>
      <c r="K19" s="905"/>
      <c r="L19" s="905"/>
      <c r="M19" s="905"/>
      <c r="N19" s="905"/>
      <c r="O19" s="906"/>
      <c r="P19" s="848">
        <f>SUM(P15:P18)</f>
        <v>239.95395000000002</v>
      </c>
      <c r="Q19" s="848">
        <f t="shared" ref="Q19:V19" si="5">SUM(Q11:Q18)</f>
        <v>1682.9364000000005</v>
      </c>
      <c r="R19" s="848">
        <f t="shared" si="5"/>
        <v>2860.1055999999999</v>
      </c>
      <c r="S19" s="848">
        <f t="shared" si="5"/>
        <v>6043.3492500000011</v>
      </c>
      <c r="T19" s="848">
        <f t="shared" si="5"/>
        <v>6856.9351500000012</v>
      </c>
      <c r="U19" s="848">
        <f t="shared" si="5"/>
        <v>3531.0600000000013</v>
      </c>
      <c r="V19" s="848">
        <f t="shared" si="5"/>
        <v>1987.2488500000013</v>
      </c>
      <c r="W19" s="848">
        <f>SUM(W15:W18)</f>
        <v>701.04750000000035</v>
      </c>
      <c r="X19" s="853">
        <f>SUM(X15:X18)</f>
        <v>0</v>
      </c>
      <c r="Y19" s="848">
        <f>SUM(Y15:Y18)</f>
        <v>1274.9044000000001</v>
      </c>
      <c r="Z19" s="848">
        <f>SUM(Z15:Z18)</f>
        <v>1.2096000000000009</v>
      </c>
      <c r="AA19" s="853">
        <f>SUM(AA15:AA18)</f>
        <v>0</v>
      </c>
    </row>
    <row r="20" spans="1:28" x14ac:dyDescent="0.2">
      <c r="B20" s="834"/>
      <c r="C20" s="834"/>
      <c r="D20" s="834"/>
      <c r="E20" s="834"/>
    </row>
    <row r="21" spans="1:28" ht="15" x14ac:dyDescent="0.25">
      <c r="A21" s="850"/>
      <c r="B21" s="834"/>
      <c r="C21" s="834"/>
      <c r="D21" s="834"/>
      <c r="E21" s="834"/>
    </row>
    <row r="22" spans="1:28" x14ac:dyDescent="0.2">
      <c r="A22" s="852"/>
      <c r="B22" s="834"/>
      <c r="C22" s="834"/>
      <c r="D22" s="834"/>
      <c r="E22" s="834"/>
    </row>
    <row r="23" spans="1:28" x14ac:dyDescent="0.2">
      <c r="A23" s="834"/>
      <c r="B23" s="834"/>
      <c r="C23" s="834"/>
      <c r="D23" s="834"/>
      <c r="E23" s="834"/>
    </row>
    <row r="24" spans="1:28" x14ac:dyDescent="0.2">
      <c r="A24" s="834"/>
      <c r="B24" s="834"/>
      <c r="C24" s="834"/>
      <c r="D24" s="834"/>
      <c r="E24" s="834"/>
    </row>
    <row r="25" spans="1:28" x14ac:dyDescent="0.2">
      <c r="A25" s="834"/>
      <c r="B25" s="834"/>
      <c r="C25" s="834"/>
      <c r="D25" s="834"/>
      <c r="E25" s="834"/>
    </row>
    <row r="26" spans="1:28" x14ac:dyDescent="0.2">
      <c r="A26" s="834"/>
      <c r="B26" s="834"/>
      <c r="C26" s="834"/>
      <c r="D26" s="834"/>
      <c r="E26" s="834"/>
    </row>
    <row r="27" spans="1:28" x14ac:dyDescent="0.2">
      <c r="A27" s="852"/>
      <c r="B27" s="834"/>
      <c r="C27" s="834"/>
      <c r="D27" s="834"/>
      <c r="E27" s="834"/>
    </row>
    <row r="28" spans="1:28" x14ac:dyDescent="0.2">
      <c r="A28" s="852"/>
      <c r="B28" s="834"/>
      <c r="C28" s="834"/>
      <c r="D28" s="834"/>
      <c r="E28" s="834"/>
    </row>
    <row r="29" spans="1:28" x14ac:dyDescent="0.2">
      <c r="A29" s="852"/>
      <c r="B29" s="834"/>
      <c r="C29" s="834"/>
      <c r="D29" s="834"/>
      <c r="E29" s="834"/>
    </row>
    <row r="30" spans="1:28" x14ac:dyDescent="0.2">
      <c r="A30" s="852"/>
      <c r="B30" s="834"/>
      <c r="C30" s="834"/>
      <c r="D30" s="834"/>
      <c r="E30" s="834"/>
    </row>
    <row r="31" spans="1:28" x14ac:dyDescent="0.2">
      <c r="A31" s="834"/>
      <c r="B31" s="834"/>
      <c r="C31" s="834"/>
      <c r="D31" s="834"/>
      <c r="E31" s="834"/>
    </row>
    <row r="32" spans="1:28" x14ac:dyDescent="0.2">
      <c r="A32" s="834"/>
      <c r="B32" s="834"/>
      <c r="C32" s="834"/>
      <c r="D32" s="834"/>
      <c r="E32" s="834"/>
    </row>
    <row r="33" spans="1:10" x14ac:dyDescent="0.2">
      <c r="A33" s="834"/>
      <c r="B33" s="834"/>
      <c r="C33" s="834"/>
      <c r="D33" s="834"/>
      <c r="E33" s="834"/>
    </row>
    <row r="34" spans="1:10" ht="15" x14ac:dyDescent="0.25">
      <c r="A34" s="855"/>
      <c r="B34" s="834"/>
      <c r="C34" s="834"/>
      <c r="D34" s="834"/>
      <c r="E34" s="834"/>
    </row>
    <row r="35" spans="1:10" x14ac:dyDescent="0.2">
      <c r="A35" s="834"/>
      <c r="B35" s="834"/>
      <c r="C35" s="834"/>
      <c r="D35" s="834"/>
      <c r="E35" s="834"/>
    </row>
    <row r="36" spans="1:10" x14ac:dyDescent="0.2">
      <c r="A36" s="834"/>
      <c r="B36" s="834"/>
      <c r="C36" s="834"/>
      <c r="D36" s="834"/>
      <c r="E36" s="834"/>
    </row>
    <row r="37" spans="1:10" ht="9" customHeight="1" x14ac:dyDescent="0.2">
      <c r="A37" s="834"/>
      <c r="B37" s="834"/>
      <c r="C37" s="834"/>
      <c r="D37" s="834"/>
      <c r="E37" s="834"/>
    </row>
    <row r="38" spans="1:10" ht="43.5" customHeight="1" x14ac:dyDescent="0.2">
      <c r="A38" s="856"/>
      <c r="B38" s="897"/>
      <c r="C38" s="856"/>
      <c r="D38" s="834"/>
      <c r="E38" s="834"/>
    </row>
    <row r="39" spans="1:10" ht="15" customHeight="1" x14ac:dyDescent="0.2">
      <c r="A39" s="834"/>
      <c r="B39" s="898"/>
      <c r="C39" s="834"/>
      <c r="D39" s="834"/>
      <c r="E39" s="834"/>
    </row>
    <row r="40" spans="1:10" ht="6" customHeight="1" x14ac:dyDescent="0.2">
      <c r="A40" s="834"/>
      <c r="B40" s="834"/>
      <c r="C40" s="857"/>
      <c r="D40" s="857"/>
      <c r="E40" s="857"/>
      <c r="F40" s="165"/>
      <c r="G40" s="165"/>
      <c r="H40" s="165"/>
      <c r="I40" s="165"/>
    </row>
    <row r="41" spans="1:10" x14ac:dyDescent="0.2">
      <c r="A41" s="858"/>
      <c r="B41" s="899"/>
      <c r="C41" s="859"/>
      <c r="D41" s="834"/>
      <c r="E41" s="834"/>
      <c r="J41" s="168"/>
    </row>
    <row r="42" spans="1:10" ht="15" customHeight="1" x14ac:dyDescent="0.2">
      <c r="A42" s="858"/>
      <c r="B42" s="899"/>
      <c r="C42" s="860"/>
      <c r="D42" s="834"/>
      <c r="E42" s="834"/>
      <c r="J42" s="168"/>
    </row>
    <row r="43" spans="1:10" ht="15" customHeight="1" x14ac:dyDescent="0.2">
      <c r="A43" s="858"/>
      <c r="B43" s="899"/>
      <c r="C43" s="860"/>
      <c r="D43" s="834"/>
      <c r="E43" s="834"/>
      <c r="J43" s="168"/>
    </row>
    <row r="44" spans="1:10" ht="15" customHeight="1" x14ac:dyDescent="0.2">
      <c r="A44" s="858"/>
      <c r="B44" s="899"/>
      <c r="C44" s="860"/>
      <c r="D44" s="834"/>
      <c r="E44" s="834"/>
      <c r="J44" s="168"/>
    </row>
    <row r="45" spans="1:10" x14ac:dyDescent="0.2">
      <c r="A45" s="858"/>
      <c r="B45" s="899"/>
      <c r="C45" s="859"/>
      <c r="D45" s="834"/>
      <c r="E45" s="834"/>
      <c r="J45" s="168"/>
    </row>
    <row r="46" spans="1:10" ht="15" customHeight="1" x14ac:dyDescent="0.2">
      <c r="A46" s="858"/>
      <c r="B46" s="899"/>
      <c r="C46" s="860"/>
      <c r="D46" s="834"/>
      <c r="E46" s="834"/>
      <c r="J46" s="168"/>
    </row>
    <row r="47" spans="1:10" ht="15" customHeight="1" x14ac:dyDescent="0.2">
      <c r="A47" s="858"/>
      <c r="B47" s="899"/>
      <c r="C47" s="860"/>
      <c r="D47" s="834"/>
      <c r="E47" s="834"/>
      <c r="J47" s="168"/>
    </row>
    <row r="48" spans="1:10" ht="15" customHeight="1" x14ac:dyDescent="0.2">
      <c r="A48" s="858"/>
      <c r="B48" s="899"/>
      <c r="C48" s="860"/>
      <c r="D48" s="834"/>
      <c r="E48" s="834"/>
      <c r="J48" s="168"/>
    </row>
    <row r="49" spans="1:10" x14ac:dyDescent="0.2">
      <c r="A49" s="858"/>
      <c r="B49" s="899"/>
      <c r="C49" s="859"/>
      <c r="D49" s="834"/>
      <c r="E49" s="834"/>
      <c r="J49" s="168"/>
    </row>
    <row r="50" spans="1:10" ht="15" customHeight="1" x14ac:dyDescent="0.2">
      <c r="A50" s="858"/>
      <c r="B50" s="899"/>
      <c r="C50" s="860"/>
      <c r="D50" s="834"/>
      <c r="E50" s="834"/>
      <c r="J50" s="168"/>
    </row>
    <row r="51" spans="1:10" ht="15" customHeight="1" x14ac:dyDescent="0.2">
      <c r="A51" s="858"/>
      <c r="B51" s="899"/>
      <c r="C51" s="860"/>
      <c r="D51" s="834"/>
      <c r="E51" s="834"/>
      <c r="J51" s="168"/>
    </row>
    <row r="52" spans="1:10" ht="15" customHeight="1" x14ac:dyDescent="0.2">
      <c r="A52" s="858"/>
      <c r="B52" s="899"/>
      <c r="C52" s="860"/>
      <c r="D52" s="834"/>
      <c r="E52" s="834"/>
      <c r="J52" s="168"/>
    </row>
    <row r="53" spans="1:10" ht="6.75" customHeight="1" x14ac:dyDescent="0.2">
      <c r="A53" s="834"/>
      <c r="B53" s="834"/>
      <c r="C53" s="861"/>
      <c r="D53" s="861"/>
      <c r="E53" s="861"/>
      <c r="F53" s="166"/>
      <c r="G53" s="166"/>
      <c r="H53" s="166"/>
      <c r="I53" s="166"/>
    </row>
    <row r="54" spans="1:10" ht="15" x14ac:dyDescent="0.25">
      <c r="A54" s="862"/>
      <c r="B54" s="834"/>
      <c r="C54" s="859"/>
      <c r="D54" s="834"/>
      <c r="E54" s="834"/>
    </row>
    <row r="55" spans="1:10" ht="15" x14ac:dyDescent="0.25">
      <c r="A55" s="862"/>
      <c r="B55" s="834"/>
      <c r="C55" s="859"/>
      <c r="D55" s="834"/>
      <c r="E55" s="834"/>
    </row>
    <row r="56" spans="1:10" x14ac:dyDescent="0.2">
      <c r="A56" s="834"/>
      <c r="B56" s="834"/>
      <c r="C56" s="834"/>
      <c r="D56" s="834"/>
      <c r="E56" s="834"/>
    </row>
    <row r="57" spans="1:10" x14ac:dyDescent="0.2">
      <c r="A57" s="834"/>
      <c r="B57" s="834"/>
      <c r="C57" s="834"/>
      <c r="D57" s="834"/>
      <c r="E57" s="834"/>
    </row>
    <row r="58" spans="1:10" x14ac:dyDescent="0.2">
      <c r="A58" s="834"/>
      <c r="B58" s="834"/>
      <c r="C58" s="834"/>
      <c r="D58" s="834"/>
      <c r="E58" s="834"/>
    </row>
    <row r="59" spans="1:10" x14ac:dyDescent="0.2">
      <c r="A59" s="834"/>
      <c r="B59" s="834"/>
      <c r="C59" s="834"/>
      <c r="D59" s="834"/>
      <c r="E59" s="834"/>
    </row>
    <row r="60" spans="1:10" x14ac:dyDescent="0.2">
      <c r="A60" s="834"/>
      <c r="B60" s="834"/>
      <c r="C60" s="834"/>
      <c r="D60" s="834"/>
      <c r="E60" s="834"/>
    </row>
    <row r="61" spans="1:10" ht="15" x14ac:dyDescent="0.25">
      <c r="A61" s="855"/>
      <c r="B61" s="834"/>
      <c r="C61" s="834"/>
      <c r="D61" s="834"/>
      <c r="E61" s="834"/>
    </row>
    <row r="62" spans="1:10" x14ac:dyDescent="0.2">
      <c r="A62" s="834"/>
      <c r="B62" s="834"/>
      <c r="C62" s="834"/>
      <c r="D62" s="834"/>
      <c r="E62" s="834"/>
    </row>
    <row r="63" spans="1:10" x14ac:dyDescent="0.2">
      <c r="A63" s="834"/>
      <c r="B63" s="834"/>
      <c r="C63" s="834"/>
      <c r="D63" s="834"/>
      <c r="E63" s="834"/>
    </row>
    <row r="64" spans="1:10" x14ac:dyDescent="0.2">
      <c r="A64" s="834"/>
      <c r="B64" s="834"/>
      <c r="C64" s="834"/>
      <c r="D64" s="834"/>
      <c r="E64" s="834"/>
    </row>
    <row r="65" spans="1:5" x14ac:dyDescent="0.2">
      <c r="A65" s="858"/>
      <c r="B65" s="834"/>
      <c r="C65" s="834"/>
      <c r="D65" s="834"/>
      <c r="E65" s="834"/>
    </row>
    <row r="66" spans="1:5" x14ac:dyDescent="0.2">
      <c r="A66" s="858"/>
      <c r="B66" s="834"/>
      <c r="C66" s="834"/>
      <c r="D66" s="834"/>
      <c r="E66" s="834"/>
    </row>
    <row r="67" spans="1:5" x14ac:dyDescent="0.2">
      <c r="A67" s="834"/>
      <c r="B67" s="834"/>
      <c r="C67" s="834"/>
      <c r="D67" s="834"/>
      <c r="E67" s="834"/>
    </row>
    <row r="68" spans="1:5" x14ac:dyDescent="0.2">
      <c r="A68" s="834"/>
      <c r="B68" s="834"/>
      <c r="C68" s="834"/>
      <c r="D68" s="834"/>
      <c r="E68" s="834"/>
    </row>
    <row r="69" spans="1:5" x14ac:dyDescent="0.2">
      <c r="A69" s="834"/>
      <c r="B69" s="834"/>
      <c r="C69" s="834"/>
      <c r="D69" s="834"/>
      <c r="E69" s="834"/>
    </row>
    <row r="70" spans="1:5" x14ac:dyDescent="0.2">
      <c r="A70" s="834"/>
      <c r="B70" s="834"/>
      <c r="C70" s="834"/>
      <c r="D70" s="834"/>
      <c r="E70" s="834"/>
    </row>
    <row r="71" spans="1:5" x14ac:dyDescent="0.2">
      <c r="A71" s="834"/>
      <c r="B71" s="834"/>
      <c r="C71" s="834"/>
      <c r="D71" s="834"/>
      <c r="E71" s="834"/>
    </row>
    <row r="72" spans="1:5" x14ac:dyDescent="0.2">
      <c r="A72" s="834"/>
      <c r="B72" s="834"/>
      <c r="C72" s="834"/>
      <c r="D72" s="834"/>
      <c r="E72" s="834"/>
    </row>
    <row r="75" spans="1:5" ht="15" x14ac:dyDescent="0.25">
      <c r="A75" s="161"/>
    </row>
  </sheetData>
  <mergeCells count="6">
    <mergeCell ref="A1:AA1"/>
    <mergeCell ref="C8:N8"/>
    <mergeCell ref="A3:AA3"/>
    <mergeCell ref="A4:AA4"/>
    <mergeCell ref="C7:N7"/>
    <mergeCell ref="P6:AA6"/>
  </mergeCells>
  <conditionalFormatting sqref="P11:P12 AA13 W11:AA12">
    <cfRule type="cellIs" dxfId="10" priority="5" stopIfTrue="1" operator="lessThan">
      <formula>0</formula>
    </cfRule>
  </conditionalFormatting>
  <conditionalFormatting sqref="AA15">
    <cfRule type="cellIs" dxfId="9" priority="2" stopIfTrue="1" operator="lessThan">
      <formula>0</formula>
    </cfRule>
  </conditionalFormatting>
  <conditionalFormatting sqref="X15">
    <cfRule type="cellIs" dxfId="8" priority="3" stopIfTrue="1" operator="lessThan">
      <formula>0</formula>
    </cfRule>
  </conditionalFormatting>
  <conditionalFormatting sqref="Q11:V12">
    <cfRule type="cellIs" dxfId="7" priority="1" stopIfTrue="1" operator="lessThan">
      <formula>0</formula>
    </cfRule>
  </conditionalFormatting>
  <dataValidations count="1">
    <dataValidation type="list" allowBlank="1" showDropDown="1" showInputMessage="1" showErrorMessage="1" errorTitle="Ungültige Kategorie" error="Diese Kategorie ist für das aktuelle Jahr nicht zugelassen." sqref="B19 B11:B17">
      <formula1>VGLISTE</formula1>
    </dataValidation>
  </dataValidations>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30721" r:id="rId4">
          <objectPr defaultSize="0" autoPict="0" r:id="rId5">
            <anchor moveWithCells="1" sizeWithCells="1">
              <from>
                <xdr:col>0</xdr:col>
                <xdr:colOff>57150</xdr:colOff>
                <xdr:row>13</xdr:row>
                <xdr:rowOff>0</xdr:rowOff>
              </from>
              <to>
                <xdr:col>2</xdr:col>
                <xdr:colOff>0</xdr:colOff>
                <xdr:row>13</xdr:row>
                <xdr:rowOff>0</xdr:rowOff>
              </to>
            </anchor>
          </objectPr>
        </oleObject>
      </mc:Choice>
      <mc:Fallback>
        <oleObject progId="Equation.3" shapeId="30721" r:id="rId4"/>
      </mc:Fallback>
    </mc:AlternateContent>
    <mc:AlternateContent xmlns:mc="http://schemas.openxmlformats.org/markup-compatibility/2006">
      <mc:Choice Requires="x14">
        <oleObject progId="Equation.3" shapeId="30722" r:id="rId6">
          <objectPr defaultSize="0" autoPict="0" r:id="rId7">
            <anchor moveWithCells="1" sizeWithCells="1">
              <from>
                <xdr:col>0</xdr:col>
                <xdr:colOff>0</xdr:colOff>
                <xdr:row>60</xdr:row>
                <xdr:rowOff>0</xdr:rowOff>
              </from>
              <to>
                <xdr:col>2</xdr:col>
                <xdr:colOff>0</xdr:colOff>
                <xdr:row>60</xdr:row>
                <xdr:rowOff>0</xdr:rowOff>
              </to>
            </anchor>
          </objectPr>
        </oleObject>
      </mc:Choice>
      <mc:Fallback>
        <oleObject progId="Equation.3" shapeId="30722" r:id="rId6"/>
      </mc:Fallback>
    </mc:AlternateContent>
    <mc:AlternateContent xmlns:mc="http://schemas.openxmlformats.org/markup-compatibility/2006">
      <mc:Choice Requires="x14">
        <oleObject progId="Equation.3" shapeId="30723" r:id="rId8">
          <objectPr defaultSize="0" autoPict="0" r:id="rId9">
            <anchor moveWithCells="1" sizeWithCells="1">
              <from>
                <xdr:col>0</xdr:col>
                <xdr:colOff>361950</xdr:colOff>
                <xdr:row>60</xdr:row>
                <xdr:rowOff>0</xdr:rowOff>
              </from>
              <to>
                <xdr:col>2</xdr:col>
                <xdr:colOff>0</xdr:colOff>
                <xdr:row>60</xdr:row>
                <xdr:rowOff>0</xdr:rowOff>
              </to>
            </anchor>
          </objectPr>
        </oleObject>
      </mc:Choice>
      <mc:Fallback>
        <oleObject progId="Equation.3" shapeId="30723" r:id="rId8"/>
      </mc:Fallback>
    </mc:AlternateContent>
    <mc:AlternateContent xmlns:mc="http://schemas.openxmlformats.org/markup-compatibility/2006">
      <mc:Choice Requires="x14">
        <oleObject progId="Equation.3" shapeId="30724" r:id="rId10">
          <objectPr defaultSize="0" autoPict="0" r:id="rId11">
            <anchor moveWithCells="1" sizeWithCells="1">
              <from>
                <xdr:col>0</xdr:col>
                <xdr:colOff>323850</xdr:colOff>
                <xdr:row>60</xdr:row>
                <xdr:rowOff>0</xdr:rowOff>
              </from>
              <to>
                <xdr:col>2</xdr:col>
                <xdr:colOff>0</xdr:colOff>
                <xdr:row>60</xdr:row>
                <xdr:rowOff>0</xdr:rowOff>
              </to>
            </anchor>
          </objectPr>
        </oleObject>
      </mc:Choice>
      <mc:Fallback>
        <oleObject progId="Equation.3" shapeId="30724" r:id="rId10"/>
      </mc:Fallback>
    </mc:AlternateContent>
    <mc:AlternateContent xmlns:mc="http://schemas.openxmlformats.org/markup-compatibility/2006">
      <mc:Choice Requires="x14">
        <oleObject progId="Equation.3" shapeId="30725" r:id="rId12">
          <objectPr defaultSize="0" autoPict="0" r:id="rId13">
            <anchor moveWithCells="1" sizeWithCells="1">
              <from>
                <xdr:col>0</xdr:col>
                <xdr:colOff>9525</xdr:colOff>
                <xdr:row>60</xdr:row>
                <xdr:rowOff>0</xdr:rowOff>
              </from>
              <to>
                <xdr:col>2</xdr:col>
                <xdr:colOff>0</xdr:colOff>
                <xdr:row>60</xdr:row>
                <xdr:rowOff>0</xdr:rowOff>
              </to>
            </anchor>
          </objectPr>
        </oleObject>
      </mc:Choice>
      <mc:Fallback>
        <oleObject progId="Equation.3" shapeId="30725" r:id="rId12"/>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Schlagw_x00f6_rter xmlns="A958F2EA-269F-4275-9920-ED9D9E3C030A">EEG-Vergütungskategorien 2022</Schlagw_x00f6_rter>
    <IconOverlay xmlns="http://schemas.microsoft.com/sharepoint/v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kument" ma:contentTypeID="0x01010005FE926BB6EC3B45802E5B07D68A203C" ma:contentTypeVersion="1" ma:contentTypeDescription="Ein neues Dokument erstellen." ma:contentTypeScope="" ma:versionID="9412473f6ec19f4d8aad534d456ea370">
  <xsd:schema xmlns:xsd="http://www.w3.org/2001/XMLSchema" xmlns:xs="http://www.w3.org/2001/XMLSchema" xmlns:p="http://schemas.microsoft.com/office/2006/metadata/properties" xmlns:ns2="A958F2EA-269F-4275-9920-ED9D9E3C030A" xmlns:ns3="http://schemas.microsoft.com/sharepoint/v4" targetNamespace="http://schemas.microsoft.com/office/2006/metadata/properties" ma:root="true" ma:fieldsID="56210bf031d9dd2be40d273680e1210d" ns2:_="" ns3:_="">
    <xsd:import namespace="A958F2EA-269F-4275-9920-ED9D9E3C030A"/>
    <xsd:import namespace="http://schemas.microsoft.com/sharepoint/v4"/>
    <xsd:element name="properties">
      <xsd:complexType>
        <xsd:sequence>
          <xsd:element name="documentManagement">
            <xsd:complexType>
              <xsd:all>
                <xsd:element ref="ns2:Schlagw_x00f6_rter"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58F2EA-269F-4275-9920-ED9D9E3C030A" elementFormDefault="qualified">
    <xsd:import namespace="http://schemas.microsoft.com/office/2006/documentManagement/types"/>
    <xsd:import namespace="http://schemas.microsoft.com/office/infopath/2007/PartnerControls"/>
    <xsd:element name="Schlagw_x00f6_rter" ma:index="8" nillable="true" ma:displayName="Schlagwörter" ma:internalName="Schlagw_x00f6_rter"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906183-6EC7-474E-B2E7-3101D045B1FC}">
  <ds:schemaRefs>
    <ds:schemaRef ds:uri="http://schemas.microsoft.com/office/2006/metadata/longProperties"/>
  </ds:schemaRefs>
</ds:datastoreItem>
</file>

<file path=customXml/itemProps2.xml><?xml version="1.0" encoding="utf-8"?>
<ds:datastoreItem xmlns:ds="http://schemas.openxmlformats.org/officeDocument/2006/customXml" ds:itemID="{3C7D4D6C-83C2-48F2-916E-C332C8816D4F}">
  <ds:schemaRefs>
    <ds:schemaRef ds:uri="http://purl.org/dc/elements/1.1/"/>
    <ds:schemaRef ds:uri="http://schemas.microsoft.com/sharepoint/v4"/>
    <ds:schemaRef ds:uri="http://schemas.openxmlformats.org/package/2006/metadata/core-properties"/>
    <ds:schemaRef ds:uri="http://www.w3.org/XML/1998/namespace"/>
    <ds:schemaRef ds:uri="http://purl.org/dc/terms/"/>
    <ds:schemaRef ds:uri="http://schemas.microsoft.com/office/2006/documentManagement/types"/>
    <ds:schemaRef ds:uri="http://schemas.microsoft.com/office/2006/metadata/properties"/>
    <ds:schemaRef ds:uri="A958F2EA-269F-4275-9920-ED9D9E3C030A"/>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321D237C-5E1B-49F9-83AC-3122BCA01C33}">
  <ds:schemaRefs>
    <ds:schemaRef ds:uri="http://schemas.microsoft.com/sharepoint/v3/contenttype/forms"/>
  </ds:schemaRefs>
</ds:datastoreItem>
</file>

<file path=customXml/itemProps4.xml><?xml version="1.0" encoding="utf-8"?>
<ds:datastoreItem xmlns:ds="http://schemas.openxmlformats.org/officeDocument/2006/customXml" ds:itemID="{80EB2009-4B5A-4B34-92CD-383615C59F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58F2EA-269F-4275-9920-ED9D9E3C030A"/>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10</vt:i4>
      </vt:variant>
    </vt:vector>
  </HeadingPairs>
  <TitlesOfParts>
    <vt:vector size="23" baseType="lpstr">
      <vt:lpstr>Vorbehalt und Haftungsauschluss</vt:lpstr>
      <vt:lpstr>Änderungshistorie</vt:lpstr>
      <vt:lpstr>Erläuterungen</vt:lpstr>
      <vt:lpstr>EEG-Vergütungen und vNNE</vt:lpstr>
      <vt:lpstr>Nicht mehr verwendbare Kateg.</vt:lpstr>
      <vt:lpstr>Kategorien Auslauf d. Förderung</vt:lpstr>
      <vt:lpstr>Beispiel Sanktionen §52 EEG2023</vt:lpstr>
      <vt:lpstr>Beispiel § 23 MaStRV</vt:lpstr>
      <vt:lpstr>Beispiel negative Marktprämie</vt:lpstr>
      <vt:lpstr>Beispiel Leistungsstufen</vt:lpstr>
      <vt:lpstr>Beispiel Sanktion Marktwert</vt:lpstr>
      <vt:lpstr>Beispiel Biomasseanlage</vt:lpstr>
      <vt:lpstr>Beispiel Solarstromeigenverbr.</vt:lpstr>
      <vt:lpstr>Erläuterungen!_ftn2</vt:lpstr>
      <vt:lpstr>Erläuterungen!_ftn3</vt:lpstr>
      <vt:lpstr>Erläuterungen!_ftn4</vt:lpstr>
      <vt:lpstr>Erläuterungen!_ftn5</vt:lpstr>
      <vt:lpstr>Erläuterungen!_ftnref1</vt:lpstr>
      <vt:lpstr>Erläuterungen!_ftnref2</vt:lpstr>
      <vt:lpstr>Erläuterungen!_ftnref3</vt:lpstr>
      <vt:lpstr>Erläuterungen!_ftnref4</vt:lpstr>
      <vt:lpstr>Erläuterungen!_ftnref5</vt:lpstr>
      <vt:lpstr>'EEG-Vergütungen und vNNE'!Druckbereich</vt:lpstr>
    </vt:vector>
  </TitlesOfParts>
  <Company>BDEW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EEG-Vergütungskategorien 2022_V5</dc:title>
  <dc:creator>BDEW Geschäftsbereich Energienetze</dc:creator>
  <cp:lastModifiedBy>Koch, Andreas</cp:lastModifiedBy>
  <cp:lastPrinted>2012-11-15T15:35:42Z</cp:lastPrinted>
  <dcterms:created xsi:type="dcterms:W3CDTF">2008-06-18T12:15:39Z</dcterms:created>
  <dcterms:modified xsi:type="dcterms:W3CDTF">2023-01-12T15:30:15Z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Dokument</vt:lpwstr>
  </property>
  <property fmtid="{D5CDD505-2E9C-101B-9397-08002B2CF9AE}" pid="3" name="ContentTypeId">
    <vt:lpwstr>0x01010005FE926BB6EC3B45802E5B07D68A203C</vt:lpwstr>
  </property>
  <property fmtid="{D5CDD505-2E9C-101B-9397-08002B2CF9AE}" pid="4" name="display_urn:schemas-microsoft-com:office:office#Editor">
    <vt:lpwstr>Sven Lipinski</vt:lpwstr>
  </property>
  <property fmtid="{D5CDD505-2E9C-101B-9397-08002B2CF9AE}" pid="5" name="xd_Signature">
    <vt:lpwstr/>
  </property>
  <property fmtid="{D5CDD505-2E9C-101B-9397-08002B2CF9AE}" pid="6" name="ComplianceAssetId">
    <vt:lpwstr/>
  </property>
  <property fmtid="{D5CDD505-2E9C-101B-9397-08002B2CF9AE}" pid="7" name="TemplateUrl">
    <vt:lpwstr/>
  </property>
  <property fmtid="{D5CDD505-2E9C-101B-9397-08002B2CF9AE}" pid="8" name="display_urn:schemas-microsoft-com:office:office#Author">
    <vt:lpwstr>Christian Knuth</vt:lpwstr>
  </property>
  <property fmtid="{D5CDD505-2E9C-101B-9397-08002B2CF9AE}" pid="9" name="xd_ProgID">
    <vt:lpwstr/>
  </property>
  <property fmtid="{D5CDD505-2E9C-101B-9397-08002B2CF9AE}" pid="10" name="URL">
    <vt:lpwstr/>
  </property>
</Properties>
</file>